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comments8.xml" ContentType="application/vnd.openxmlformats-officedocument.spreadsheetml.comments+xml"/>
  <Override PartName="/xl/drawings/drawing6.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comments6.xml" ContentType="application/vnd.openxmlformats-officedocument.spreadsheetml.comments+xml"/>
  <Override PartName="/xl/charts/chart2.xml" ContentType="application/vnd.openxmlformats-officedocument.drawingml.chart+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comments4.xml" ContentType="application/vnd.openxmlformats-officedocument.spreadsheetml.comments+xml"/>
  <Override PartName="/xl/drawings/drawing2.xml" ContentType="application/vnd.openxmlformats-officedocument.drawing+xml"/>
  <Override PartName="/xl/comments18.xml" ContentType="application/vnd.openxmlformats-officedocument.spreadsheetml.comments+xml"/>
  <Override PartName="/xl/worksheets/sheet3.xml" ContentType="application/vnd.openxmlformats-officedocument.spreadsheetml.worksheet+xml"/>
  <Override PartName="/xl/externalLinks/externalLink3.xml" ContentType="application/vnd.openxmlformats-officedocument.spreadsheetml.externalLink+xml"/>
  <Override PartName="/xl/comments2.xml" ContentType="application/vnd.openxmlformats-officedocument.spreadsheetml.comments+xml"/>
  <Override PartName="/xl/comments16.xml" ContentType="application/vnd.openxmlformats-officedocument.spreadsheetml.comments+xml"/>
  <Override PartName="/xl/activeX/activeX1.xml" ContentType="application/vnd.ms-office.activeX+xml"/>
  <Override PartName="/xl/comments25.xml" ContentType="application/vnd.openxmlformats-officedocument.spreadsheetml.comments+xml"/>
  <Override PartName="/xl/worksheets/sheet1.xml" ContentType="application/vnd.openxmlformats-officedocument.spreadsheetml.worksheet+xml"/>
  <Override PartName="/xl/externalLinks/externalLink1.xml" ContentType="application/vnd.openxmlformats-officedocument.spreadsheetml.externalLink+xml"/>
  <Override PartName="/xl/comments14.xml" ContentType="application/vnd.openxmlformats-officedocument.spreadsheetml.comments+xml"/>
  <Override PartName="/xl/comments23.xml" ContentType="application/vnd.openxmlformats-officedocument.spreadsheetml.comments+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21.xml" ContentType="application/vnd.openxmlformats-officedocument.spreadsheetml.comment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comments10.xml" ContentType="application/vnd.openxmlformats-officedocument.spreadsheetml.comment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comments9.xml" ContentType="application/vnd.openxmlformats-officedocument.spreadsheetml.comments+xml"/>
  <Override PartName="/xl/activeX/activeX1.bin" ContentType="application/vnd.ms-office.activeX"/>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omments7.xml" ContentType="application/vnd.openxmlformats-officedocument.spreadsheetml.comments+xml"/>
  <Default Extension="emf" ContentType="image/x-emf"/>
  <Override PartName="/xl/drawings/drawing5.xml" ContentType="application/vnd.openxmlformats-officedocument.drawing+xml"/>
  <Override PartName="/xl/charts/chart3.xml" ContentType="application/vnd.openxmlformats-officedocument.drawingml.char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comments5.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xl/comments19.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comments3.xml" ContentType="application/vnd.openxmlformats-officedocument.spreadsheetml.comments+xml"/>
  <Override PartName="/xl/drawings/drawing1.xml" ContentType="application/vnd.openxmlformats-officedocument.drawing+xml"/>
  <Override PartName="/xl/comments17.xml" ContentType="application/vnd.openxmlformats-officedocument.spreadsheetml.comments+xml"/>
  <Override PartName="/xl/comments26.xml" ContentType="application/vnd.openxmlformats-officedocument.spreadsheetml.comments+xml"/>
  <Default Extension="vml" ContentType="application/vnd.openxmlformats-officedocument.vmlDrawing"/>
  <Override PartName="/xl/comments1.xml" ContentType="application/vnd.openxmlformats-officedocument.spreadsheetml.comments+xml"/>
  <Override PartName="/xl/comments15.xml" ContentType="application/vnd.openxmlformats-officedocument.spreadsheetml.comments+xml"/>
  <Override PartName="/xl/comments24.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comments13.xml" ContentType="application/vnd.openxmlformats-officedocument.spreadsheetml.comments+xml"/>
  <Override PartName="/xl/comments22.xml" ContentType="application/vnd.openxmlformats-officedocument.spreadsheetml.comments+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comments11.xml" ContentType="application/vnd.openxmlformats-officedocument.spreadsheetml.comments+xml"/>
  <Override PartName="/xl/comments20.xml" ContentType="application/vnd.openxmlformats-officedocument.spreadsheetml.comments+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bookViews>
    <workbookView xWindow="9825" yWindow="465" windowWidth="12930" windowHeight="8655" tabRatio="921" firstSheet="17" activeTab="39"/>
  </bookViews>
  <sheets>
    <sheet name="Hyperion Panel" sheetId="36" state="hidden" r:id="rId1"/>
    <sheet name="Upload" sheetId="39" state="hidden" r:id="rId2"/>
    <sheet name="Upload Detail" sheetId="62" state="hidden" r:id="rId3"/>
    <sheet name="Upload_Tx" sheetId="89" state="hidden" r:id="rId4"/>
    <sheet name="7.0 Levered Returns" sheetId="86" state="hidden" r:id="rId5"/>
    <sheet name="Zang format" sheetId="82" state="hidden" r:id="rId6"/>
    <sheet name="PtrMonthlyCF" sheetId="81" state="hidden" r:id="rId7"/>
    <sheet name="JV Pmnt Sched" sheetId="101" r:id="rId8"/>
    <sheet name="Txs" sheetId="25" r:id="rId9"/>
    <sheet name="PtrBS" sheetId="76" r:id="rId10"/>
    <sheet name="PtrIS" sheetId="26" r:id="rId11"/>
    <sheet name="PtrCF OUTPUT" sheetId="94" r:id="rId12"/>
    <sheet name="PtrCF" sheetId="66" state="hidden" r:id="rId13"/>
    <sheet name="Intro" sheetId="34" state="hidden" r:id="rId14"/>
    <sheet name="Process Flow" sheetId="100" state="hidden" r:id="rId15"/>
    <sheet name="Acronyms" sheetId="95" state="hidden" r:id="rId16"/>
    <sheet name="Finance Terms" sheetId="96" state="hidden" r:id="rId17"/>
    <sheet name="1Tab_Input" sheetId="93" r:id="rId18"/>
    <sheet name="1.0 Summary" sheetId="22" r:id="rId19"/>
    <sheet name="1.1 Parents" sheetId="71" r:id="rId20"/>
    <sheet name="1.2 OmniTot" sheetId="58" r:id="rId21"/>
    <sheet name="1.2 EssPL" sheetId="57" r:id="rId22"/>
    <sheet name="1.3 OmniBal" sheetId="79" r:id="rId23"/>
    <sheet name="1.3 EssBS" sheetId="78" r:id="rId24"/>
    <sheet name="2.0 Patients" sheetId="18" r:id="rId25"/>
    <sheet name="ESRD_CAGR" sheetId="103" r:id="rId26"/>
    <sheet name="2.1 Reimburse" sheetId="44" r:id="rId27"/>
    <sheet name="Sheet1" sheetId="104" r:id="rId28"/>
    <sheet name="2.2 Staffing" sheetId="28" r:id="rId29"/>
    <sheet name="2.3 Expenses" sheetId="31" r:id="rId30"/>
    <sheet name="P&amp;L Line Items" sheetId="92" state="hidden" r:id="rId31"/>
    <sheet name="Heritage Targets" sheetId="102" state="hidden" r:id="rId32"/>
    <sheet name="2.4 HHD" sheetId="54" r:id="rId33"/>
    <sheet name="3. CapEx" sheetId="32" r:id="rId34"/>
    <sheet name="Cap Ex Units" sheetId="87" state="hidden" r:id="rId35"/>
    <sheet name="Cap Ex Pricing" sheetId="42" state="hidden" r:id="rId36"/>
    <sheet name="4. Scenarios" sheetId="61" r:id="rId37"/>
    <sheet name="5. Financials" sheetId="20" r:id="rId38"/>
    <sheet name="6. Market" sheetId="48" r:id="rId39"/>
    <sheet name="VMM CoC" sheetId="98" r:id="rId40"/>
    <sheet name="SOR" sheetId="83" r:id="rId41"/>
    <sheet name="CON" sheetId="84" state="hidden" r:id="rId42"/>
    <sheet name="DVA RE by State" sheetId="85" state="hidden" r:id="rId43"/>
    <sheet name="RevPerTxCalc" sheetId="80" state="hidden" r:id="rId44"/>
    <sheet name="System" sheetId="64" state="hidden" r:id="rId45"/>
    <sheet name="BainData" sheetId="65" state="hidden" r:id="rId46"/>
    <sheet name="Timeline" sheetId="68" state="hidden" r:id="rId47"/>
    <sheet name="6.1 Chart" sheetId="77" state="hidden" r:id="rId48"/>
  </sheets>
  <externalReferences>
    <externalReference r:id="rId49"/>
    <externalReference r:id="rId50"/>
    <externalReference r:id="rId51"/>
    <externalReference r:id="rId52"/>
  </externalReferences>
  <definedNames>
    <definedName name="_xlnm._FilterDatabase" localSheetId="18" hidden="1">'1.0 Summary'!$X$17:$X$18</definedName>
    <definedName name="_xlnm._FilterDatabase" localSheetId="45" hidden="1">BainData!$A$4:$D$3145</definedName>
    <definedName name="_xlnm._FilterDatabase" localSheetId="35" hidden="1">'Cap Ex Pricing'!$A$1:$DE$1</definedName>
    <definedName name="_xlnm._FilterDatabase" localSheetId="34" hidden="1">'Cap Ex Units'!$A$1:$DE$1</definedName>
    <definedName name="_xlnm._FilterDatabase" localSheetId="41" hidden="1">CON!$A$1:$E$52</definedName>
    <definedName name="aaa" localSheetId="25" hidden="1">{#N/A,#N/A,FALSE,"Summary";#N/A,#N/A,FALSE,"Proforma";#N/A,#N/A,FALSE,"Tx"}</definedName>
    <definedName name="aaa" localSheetId="39" hidden="1">{#N/A,#N/A,FALSE,"Summary";#N/A,#N/A,FALSE,"Proforma";#N/A,#N/A,FALSE,"Tx"}</definedName>
    <definedName name="aaa" hidden="1">{#N/A,#N/A,FALSE,"Summary";#N/A,#N/A,FALSE,"Proforma";#N/A,#N/A,FALSE,"Tx"}</definedName>
    <definedName name="BainData" localSheetId="25">[1]BainData!$C$5:$D$3145</definedName>
    <definedName name="BainData" localSheetId="11">BainData!$C$5:$D$3145</definedName>
    <definedName name="BainData">BainData!$C$5:$D$3145</definedName>
    <definedName name="BuildoutFees" localSheetId="25">'[1]3. CapEx'!$P$141</definedName>
    <definedName name="BuildoutFees" localSheetId="11">'3. CapEx'!$P$141</definedName>
    <definedName name="BuildoutFees">'3. CapEx'!$P$141</definedName>
    <definedName name="BuildoutFFE" localSheetId="25">'[1]3. CapEx'!$P$142</definedName>
    <definedName name="BuildoutFFE" localSheetId="11">'3. CapEx'!$P$142</definedName>
    <definedName name="BuildoutFFE">'3. CapEx'!$P$142</definedName>
    <definedName name="BuildoutTI" localSheetId="25">'[1]3. CapEx'!$P$137</definedName>
    <definedName name="BuildoutTI" localSheetId="11">'3. CapEx'!$P$137</definedName>
    <definedName name="BuildoutTI">'3. CapEx'!$P$137</definedName>
    <definedName name="BuildoutYear" localSheetId="25">'[1]2.0 Patients'!$G$15</definedName>
    <definedName name="BuildoutYear" localSheetId="11">'2.0 Patients'!$G$15</definedName>
    <definedName name="BuildoutYear">'2.0 Patients'!$G$15</definedName>
    <definedName name="ChooseBuyLease" localSheetId="25">[1]System!$B$85:$B$86</definedName>
    <definedName name="ChooseBuyLease" localSheetId="11">System!$B$85:$B$86</definedName>
    <definedName name="ChooseBuyLease">System!$B$85:$B$86</definedName>
    <definedName name="ChooseCompPeriod" localSheetId="25">[1]System!$B$68:$B$81</definedName>
    <definedName name="ChooseCompPeriod" localSheetId="11">System!$B$68:$B$81</definedName>
    <definedName name="ChooseCompPeriod">System!$B$68:$B$81</definedName>
    <definedName name="ChooseCompPeriod2" localSheetId="25">[1]System!$B$68:$B$82</definedName>
    <definedName name="ChooseCompPeriod2">System!$B$68:$B$82</definedName>
    <definedName name="ChooseConstructionType" localSheetId="25">[1]System!$B$32:$B$33</definedName>
    <definedName name="ChooseConstructionType" localSheetId="11">System!$B$32:$B$33</definedName>
    <definedName name="ChooseConstructionType">System!$B$32:$B$33</definedName>
    <definedName name="ChooseExistingNew">System!$B$11:$B$13</definedName>
    <definedName name="ChooseFinishLevel">System!$B$16:$B$20</definedName>
    <definedName name="ChooseMonth" localSheetId="25">[1]System!$B$36:$B$47</definedName>
    <definedName name="ChooseMonth" localSheetId="11">System!$B$36:$B$47</definedName>
    <definedName name="ChooseMonth">System!$B$36:$B$47</definedName>
    <definedName name="ChooseOnOff" localSheetId="11">System!$B$7:$B$8</definedName>
    <definedName name="ChooseOnOff">System!$B$7:$B$8</definedName>
    <definedName name="ChooseOwnerPartner" localSheetId="25">[1]System!$B$23:$B$24</definedName>
    <definedName name="ChooseOwnerPartner" localSheetId="11">System!$B$23:$B$24</definedName>
    <definedName name="ChooseOwnerPartner">System!$B$23:$B$24</definedName>
    <definedName name="ChooseProjectType" localSheetId="25">[1]System!$B$27:$B$29</definedName>
    <definedName name="ChooseProjectType" localSheetId="11">System!$B$27:$B$29</definedName>
    <definedName name="ChooseProjectType">System!$B$27:$B$29</definedName>
    <definedName name="ChooseYear" localSheetId="25">[1]System!$B$50:$B$65</definedName>
    <definedName name="ChooseYear" localSheetId="11">System!$B$50:$B$65</definedName>
    <definedName name="ChooseYear">System!$B$50:$B$65</definedName>
    <definedName name="ChooseYesNo" localSheetId="25">[1]System!$B$3:$B$4</definedName>
    <definedName name="ChooseYesNo" localSheetId="11">System!$B$3:$B$4</definedName>
    <definedName name="ChooseYesNo">System!$B$3:$B$4</definedName>
    <definedName name="City" localSheetId="25">'[1]1.0 Summary'!$F$14</definedName>
    <definedName name="City">'1.0 Summary'!$F$14</definedName>
    <definedName name="clawback" localSheetId="25">'[1]5. Financials'!$G$328</definedName>
    <definedName name="clawback" localSheetId="11">'5. Financials'!$G$328</definedName>
    <definedName name="clawback">'5. Financials'!$G$328</definedName>
    <definedName name="coc" localSheetId="25">'[1]6. Market'!$Z$241</definedName>
    <definedName name="coc" localSheetId="11">'6. Market'!$Z$241</definedName>
    <definedName name="coc">'6. Market'!$Z$241</definedName>
    <definedName name="Counties" localSheetId="25">[1]BainData!$C$5:$C$3145</definedName>
    <definedName name="Counties" localSheetId="11">BainData!$C$5:$C$3145</definedName>
    <definedName name="Counties">BainData!$C$5:$C$3145</definedName>
    <definedName name="County" localSheetId="25">'[1]1.0 Summary'!$F$15</definedName>
    <definedName name="County" localSheetId="11">'1.0 Summary'!$F$15</definedName>
    <definedName name="County">'1.0 Summary'!$F$15</definedName>
    <definedName name="DeNovo_Tx" localSheetId="25">[1]Upload_Tx!$D$96:$AL$107</definedName>
    <definedName name="DeNovo_Tx" localSheetId="11">Upload_Tx!$D$96:$AL$107</definedName>
    <definedName name="DeNovo_Tx">Upload_Tx!$D$96:$AL$107</definedName>
    <definedName name="DevelopmentFee" localSheetId="25">[1]PtrIS!$P$31</definedName>
    <definedName name="DevelopmentFee" localSheetId="11">PtrIS!$P$32</definedName>
    <definedName name="DevelopmentFee">PtrIS!$P$32</definedName>
    <definedName name="DevFeeBookAmortYears">PtrIS!$Q$35</definedName>
    <definedName name="DevFeeTaxAmortYears">PtrIS!$Q$36</definedName>
    <definedName name="Division" localSheetId="25">'[1]1.0 Summary'!$F$10</definedName>
    <definedName name="Division" localSheetId="11">'1.0 Summary'!$F$10</definedName>
    <definedName name="Division">'1.0 Summary'!$F$10</definedName>
    <definedName name="DVAOwnership" localSheetId="25">'[1]1.0 Summary'!$O$14</definedName>
    <definedName name="DVAOwnership" localSheetId="11">'1.0 Summary'!$O$14</definedName>
    <definedName name="DVAOwnership">'1.0 Summary'!$O$14</definedName>
    <definedName name="dyr0pts" localSheetId="41">'[2]2.1 Assumptions - Pts'!#REF!</definedName>
    <definedName name="dyr0pts" localSheetId="42">'[2]2.1 Assumptions - Pts'!#REF!</definedName>
    <definedName name="dyr1pts" localSheetId="41">'[2]2.1 Assumptions - Pts'!#REF!</definedName>
    <definedName name="dyr1pts" localSheetId="42">'[2]2.1 Assumptions - Pts'!#REF!</definedName>
    <definedName name="dyr2pts" localSheetId="41">'[2]2.1 Assumptions - Pts'!#REF!</definedName>
    <definedName name="dyr2pts" localSheetId="42">'[2]2.1 Assumptions - Pts'!#REF!</definedName>
    <definedName name="dyr3pts" localSheetId="41">'[2]2.1 Assumptions - Pts'!#REF!</definedName>
    <definedName name="dyr3pts" localSheetId="42">'[2]2.1 Assumptions - Pts'!#REF!</definedName>
    <definedName name="dyr4pts" localSheetId="41">'[2]2.1 Assumptions - Pts'!#REF!</definedName>
    <definedName name="dyr4pts" localSheetId="42">'[2]2.1 Assumptions - Pts'!#REF!</definedName>
    <definedName name="dyr5pts" localSheetId="41">'[2]2.1 Assumptions - Pts'!#REF!</definedName>
    <definedName name="dyr5pts" localSheetId="42">'[2]2.1 Assumptions - Pts'!#REF!</definedName>
    <definedName name="endstation" localSheetId="25">'[1]2.0 Patients'!$I$8</definedName>
    <definedName name="endstation" localSheetId="11">'2.0 Patients'!$I$8</definedName>
    <definedName name="endstation">'2.0 Patients'!$I$8</definedName>
    <definedName name="EssAliasTable" localSheetId="20">"Default"</definedName>
    <definedName name="EssAliasTable" localSheetId="22">"Default"</definedName>
    <definedName name="EssfHasNonUnique" localSheetId="20">FALSE</definedName>
    <definedName name="EssfHasNonUnique" localSheetId="22">FALSE</definedName>
    <definedName name="EssfHasNonUnique" localSheetId="27">FALSE</definedName>
    <definedName name="EssLatest" localSheetId="20">"Jan"</definedName>
    <definedName name="EssLatest" localSheetId="22">"Jan"</definedName>
    <definedName name="EssOptions" localSheetId="20">"A1110000000111000011001101020_010010"</definedName>
    <definedName name="EssOptions" localSheetId="22">"A1100000000011000011001101020_01000"</definedName>
    <definedName name="EssSamplingValue" localSheetId="20">100</definedName>
    <definedName name="EssSamplingValue" localSheetId="22">100</definedName>
    <definedName name="ExitMultiple" localSheetId="25">[1]PtrCF!$R$33</definedName>
    <definedName name="ExitMultiple" localSheetId="11">'PtrCF OUTPUT'!$R$40</definedName>
    <definedName name="ExitMultiple" localSheetId="6">PtrMonthlyCF!$X$35</definedName>
    <definedName name="ExitMultiple">PtrCF!$R$33</definedName>
    <definedName name="Facility" localSheetId="25">'[1]1.0 Summary'!$E$6</definedName>
    <definedName name="Facility" localSheetId="11">'1.0 Summary'!$E$6</definedName>
    <definedName name="Facility">'1.0 Summary'!$E$6</definedName>
    <definedName name="ffe" localSheetId="25">'[1]3. CapEx'!$AA$142</definedName>
    <definedName name="ffe" localSheetId="11">'3. CapEx'!$AA$142</definedName>
    <definedName name="ffe">'3. CapEx'!$AA$142</definedName>
    <definedName name="hdyr0pts" localSheetId="41">'[2]2.1 Assumptions - Pts'!#REF!</definedName>
    <definedName name="hdyr0pts" localSheetId="42">'[2]2.1 Assumptions - Pts'!#REF!</definedName>
    <definedName name="hdyr1pts" localSheetId="41">'[2]2.1 Assumptions - Pts'!#REF!</definedName>
    <definedName name="hdyr1pts" localSheetId="42">'[2]2.1 Assumptions - Pts'!#REF!</definedName>
    <definedName name="hdyr2pts" localSheetId="41">'[2]2.1 Assumptions - Pts'!#REF!</definedName>
    <definedName name="hdyr2pts" localSheetId="42">'[2]2.1 Assumptions - Pts'!#REF!</definedName>
    <definedName name="hdyr3pts" localSheetId="41">'[2]2.1 Assumptions - Pts'!#REF!</definedName>
    <definedName name="hdyr3pts" localSheetId="42">'[2]2.1 Assumptions - Pts'!#REF!</definedName>
    <definedName name="hdyr4pts" localSheetId="41">'[2]2.1 Assumptions - Pts'!#REF!</definedName>
    <definedName name="hdyr4pts" localSheetId="42">'[2]2.1 Assumptions - Pts'!#REF!</definedName>
    <definedName name="hdyr5pts" localSheetId="41">'[2]2.1 Assumptions - Pts'!#REF!</definedName>
    <definedName name="hdyr5pts" localSheetId="42">'[2]2.1 Assumptions - Pts'!#REF!</definedName>
    <definedName name="HemoCann" localSheetId="41">'[2]2.1 Assumptions - Pts'!#REF!</definedName>
    <definedName name="HemoCann" localSheetId="42">'[2]2.1 Assumptions - Pts'!#REF!</definedName>
    <definedName name="hemomiss" localSheetId="2">'2.1 Reimburse'!$J$5</definedName>
    <definedName name="hemomiss">'2.1 Reimburse'!$J$5</definedName>
    <definedName name="HHD_pshare" localSheetId="25">'[1]1.0 Summary'!$S$16</definedName>
    <definedName name="HHD_pshare" localSheetId="11">'1.0 Summary'!$S$16</definedName>
    <definedName name="HHD_pshare">'1.0 Summary'!$S$16</definedName>
    <definedName name="hhdmiss" localSheetId="25">'[1]2.1 Reimburse'!$J$7</definedName>
    <definedName name="hhdmiss" localSheetId="11">'2.1 Reimburse'!$J$7</definedName>
    <definedName name="hhdmiss">'2.1 Reimburse'!$J$7</definedName>
    <definedName name="HomeCann" localSheetId="41">'[2]2.1 Assumptions - Pts'!#REF!</definedName>
    <definedName name="HomeCann" localSheetId="42">'[2]2.1 Assumptions - Pts'!#REF!</definedName>
    <definedName name="homemiss" localSheetId="25">'[1]2.1 Reimburse'!$J$6</definedName>
    <definedName name="homemiss" localSheetId="11">'2.1 Reimburse'!$J$6</definedName>
    <definedName name="homemiss" localSheetId="2">'2.1 Reimburse'!$J$6</definedName>
    <definedName name="homemiss">'2.1 Reimburse'!$J$6</definedName>
    <definedName name="hpyr0pts" localSheetId="41">'[2]2.1 Assumptions - Pts'!#REF!</definedName>
    <definedName name="hpyr0pts" localSheetId="42">'[2]2.1 Assumptions - Pts'!#REF!</definedName>
    <definedName name="hpyr1pts" localSheetId="41">'[2]2.1 Assumptions - Pts'!#REF!</definedName>
    <definedName name="hpyr1pts" localSheetId="42">'[2]2.1 Assumptions - Pts'!#REF!</definedName>
    <definedName name="hpyr2pts" localSheetId="41">'[2]2.1 Assumptions - Pts'!#REF!</definedName>
    <definedName name="hpyr2pts" localSheetId="42">'[2]2.1 Assumptions - Pts'!#REF!</definedName>
    <definedName name="hpyr3pts" localSheetId="41">'[2]2.1 Assumptions - Pts'!#REF!</definedName>
    <definedName name="hpyr3pts" localSheetId="42">'[2]2.1 Assumptions - Pts'!#REF!</definedName>
    <definedName name="hpyr4pts" localSheetId="41">'[2]2.1 Assumptions - Pts'!#REF!</definedName>
    <definedName name="hpyr4pts" localSheetId="42">'[2]2.1 Assumptions - Pts'!#REF!</definedName>
    <definedName name="hpyr5pts" localSheetId="41">'[2]2.1 Assumptions - Pts'!#REF!</definedName>
    <definedName name="hpyr5pts" localSheetId="42">'[2]2.1 Assumptions - Pts'!#REF!</definedName>
    <definedName name="hxyr0pts" localSheetId="41">'[2]2.1 Assumptions - Pts'!#REF!</definedName>
    <definedName name="hxyr0pts" localSheetId="42">'[2]2.1 Assumptions - Pts'!#REF!</definedName>
    <definedName name="hxyr1pts" localSheetId="41">'[2]2.1 Assumptions - Pts'!#REF!</definedName>
    <definedName name="hxyr1pts" localSheetId="42">'[2]2.1 Assumptions - Pts'!#REF!</definedName>
    <definedName name="hxyr2pts" localSheetId="41">'[2]2.1 Assumptions - Pts'!#REF!</definedName>
    <definedName name="hxyr2pts" localSheetId="42">'[2]2.1 Assumptions - Pts'!#REF!</definedName>
    <definedName name="hxyr3pts" localSheetId="41">'[2]2.1 Assumptions - Pts'!#REF!</definedName>
    <definedName name="hxyr3pts" localSheetId="42">'[2]2.1 Assumptions - Pts'!#REF!</definedName>
    <definedName name="hxyr4pts" localSheetId="41">'[2]2.1 Assumptions - Pts'!#REF!</definedName>
    <definedName name="hxyr4pts" localSheetId="42">'[2]2.1 Assumptions - Pts'!#REF!</definedName>
    <definedName name="hxyr5pts" localSheetId="41">'[2]2.1 Assumptions - Pts'!#REF!</definedName>
    <definedName name="hxyr5pts" localSheetId="42">'[2]2.1 Assumptions - Pts'!#REF!</definedName>
    <definedName name="IQ_ADDIN" hidden="1">"AUTO"</definedName>
    <definedName name="IRR" localSheetId="25">'[1]6. Market'!$X$255</definedName>
    <definedName name="IRR" localSheetId="11">'6. Market'!$V$255</definedName>
    <definedName name="IRR">'6. Market'!$X$255</definedName>
    <definedName name="IsolationStations" localSheetId="25">'[1]2.0 Patients'!$G$9</definedName>
    <definedName name="IsolationStations" localSheetId="11">'2.0 Patients'!$G$9</definedName>
    <definedName name="IsolationStations">'2.0 Patients'!$G$9</definedName>
    <definedName name="JVShare" localSheetId="25">'[1]1.0 Summary'!$O$14</definedName>
    <definedName name="JVShare" localSheetId="11">'1.0 Summary'!$O$14</definedName>
    <definedName name="JVShare">'1.0 Summary'!$O$14</definedName>
    <definedName name="mbbi">'3. CapEx'!$J$24</definedName>
    <definedName name="mdafee">'2.3 Expenses'!$T$61</definedName>
    <definedName name="MgtFee" localSheetId="25">[1]PtrIS!$H$46</definedName>
    <definedName name="MgtFee" localSheetId="11">PtrIS!$H$47</definedName>
    <definedName name="MgtFee">PtrIS!$H$47</definedName>
    <definedName name="ModelExpirationDate" localSheetId="12">PtrCF!$G$58</definedName>
    <definedName name="ModelExpirationDate" localSheetId="11">'PtrCF OUTPUT'!$G$65</definedName>
    <definedName name="ModelExpirationDate" localSheetId="6">PtrMonthlyCF!$G$74</definedName>
    <definedName name="ModelExpirationDate">PtrCF!$G$58</definedName>
    <definedName name="month" localSheetId="2">'Hyperion Panel'!$B$10</definedName>
    <definedName name="month">'Hyperion Panel'!$B$10</definedName>
    <definedName name="NumberOfHHDParents" localSheetId="11">'1.2 EssPL'!$G$151</definedName>
    <definedName name="NumberOfHHDParents">'1.2 EssPL'!$G$151</definedName>
    <definedName name="NumberOfParents" localSheetId="25">'1.2 EssPL'!$G$150</definedName>
    <definedName name="NumberOfParents" localSheetId="11">'1.2 EssPL'!$G$150</definedName>
    <definedName name="NumberOfParents">'1.2 EssPL'!$G$150</definedName>
    <definedName name="Openstation" localSheetId="25">'[1]2.0 Patients'!$G$8</definedName>
    <definedName name="Openstation" localSheetId="11">'2.0 Patients'!$G$8</definedName>
    <definedName name="Openstation">'2.0 Patients'!$G$8</definedName>
    <definedName name="OVP">'1.0 Summary'!$F$19</definedName>
    <definedName name="P_After_Tx" localSheetId="25">[1]Upload_Tx!$D$57:$AL$68</definedName>
    <definedName name="P_After_Tx" localSheetId="11">Upload_Tx!$D$57:$AL$68</definedName>
    <definedName name="P_After_Tx">Upload_Tx!$D$57:$AL$68</definedName>
    <definedName name="Parent" localSheetId="4">'2.3 Expenses'!#REF!</definedName>
    <definedName name="Parent" localSheetId="34">'[3]2.3 Expenses'!#REF!</definedName>
    <definedName name="Parent_Facility" localSheetId="4">'2.3 Expenses'!#REF!</definedName>
    <definedName name="Parent_Facility" localSheetId="34">'[3]2.3 Expenses'!#REF!</definedName>
    <definedName name="PartnerExitMultiple" localSheetId="11">'PtrCF OUTPUT'!$R$40</definedName>
    <definedName name="PartnerExitMultiple" localSheetId="6">PtrMonthlyCF!$X$35</definedName>
    <definedName name="PartnerExitMultiple">PtrCF!$R$33</definedName>
    <definedName name="PartnerIRRPretax" localSheetId="25">'[1]PtrCF OUTPUT'!$G$48</definedName>
    <definedName name="PartnerIRRPretax" localSheetId="11">'PtrCF OUTPUT'!$G$49</definedName>
    <definedName name="PartnerIRRPretax" localSheetId="6">PtrMonthlyCF!$G$57</definedName>
    <definedName name="PartnerIRRPretax">'PtrCF OUTPUT'!$G$48</definedName>
    <definedName name="PartnerOwnership" localSheetId="25">[1]PtrCF!$R$10</definedName>
    <definedName name="PartnerOwnership" localSheetId="11">'PtrCF OUTPUT'!$R$10</definedName>
    <definedName name="PartnerOwnership" localSheetId="6">PtrMonthlyCF!$X$11</definedName>
    <definedName name="PartnerOwnership">PtrCF!$R$10</definedName>
    <definedName name="PM">'1.0 Summary'!$F$23</definedName>
    <definedName name="Price" localSheetId="25">'[1]Cap Ex Pricing'!$B$1:$AS$99</definedName>
    <definedName name="Price" localSheetId="7">'Cap Ex Pricing'!$B$1:$AS$101</definedName>
    <definedName name="Price">'Cap Ex Pricing'!$B$1:$AS$99</definedName>
    <definedName name="_xlnm.Print_Area" localSheetId="18">'1.0 Summary'!$C$3:$U$109</definedName>
    <definedName name="_xlnm.Print_Area" localSheetId="19">'1.1 Parents'!$B$2:$M$51</definedName>
    <definedName name="_xlnm.Print_Area" localSheetId="23">'1.3 EssBS'!$B$1:$E$39</definedName>
    <definedName name="_xlnm.Print_Area" localSheetId="22">'1.3 OmniBal'!$A$8:$B$263</definedName>
    <definedName name="_xlnm.Print_Area" localSheetId="17">'1Tab_Input'!$A$1:$I$102</definedName>
    <definedName name="_xlnm.Print_Area" localSheetId="24">'2.0 Patients'!$C$3:$N$96</definedName>
    <definedName name="_xlnm.Print_Area" localSheetId="26">'2.1 Reimburse'!$B$2:$P$62</definedName>
    <definedName name="_xlnm.Print_Area" localSheetId="28">'2.2 Staffing'!$C$3:$AA$138</definedName>
    <definedName name="_xlnm.Print_Area" localSheetId="29">'2.3 Expenses'!$C$3:$Y$104</definedName>
    <definedName name="_xlnm.Print_Area" localSheetId="32">'2.4 HHD'!$B$2:$M$49</definedName>
    <definedName name="_xlnm.Print_Area" localSheetId="33">'3. CapEx'!$C$3:$AJ$146</definedName>
    <definedName name="_xlnm.Print_Area" localSheetId="37">'5. Financials'!$B$2:$O$314</definedName>
    <definedName name="_xlnm.Print_Area" localSheetId="38">'6. Market'!$C$6:$AS$208</definedName>
    <definedName name="_xlnm.Print_Area" localSheetId="35">'Cap Ex Pricing'!$A$1:$AA$100</definedName>
    <definedName name="_xlnm.Print_Area" localSheetId="34">'Cap Ex Units'!$A$1:$AA$102</definedName>
    <definedName name="_xlnm.Print_Area" localSheetId="31">'Heritage Targets'!$A$1:$L$52</definedName>
    <definedName name="_xlnm.Print_Area" localSheetId="13">Intro!$C$4:$P$72</definedName>
    <definedName name="_xlnm.Print_Area" localSheetId="9">PtrBS!$C$3:$M$39</definedName>
    <definedName name="_xlnm.Print_Area" localSheetId="12">PtrCF!$C$3:$O$54</definedName>
    <definedName name="_xlnm.Print_Area" localSheetId="11">'PtrCF OUTPUT'!$C$3:$O$61</definedName>
    <definedName name="_xlnm.Print_Area" localSheetId="10">PtrIS!$C$3:$M$44</definedName>
    <definedName name="_xlnm.Print_Area" localSheetId="6">PtrMonthlyCF!$C$4:$U$70</definedName>
    <definedName name="_xlnm.Print_Area" localSheetId="40">SOR!$A$1:$J$71</definedName>
    <definedName name="_xlnm.Print_Area" localSheetId="8">Txs!$C$3:$T$96</definedName>
    <definedName name="_xlnm.Print_Area" localSheetId="39">'VMM CoC'!$B$1:$J$43</definedName>
    <definedName name="_xlnm.Print_Area" localSheetId="5">'Zang format'!$A$1:$O$28</definedName>
    <definedName name="_xlnm.Print_Titles" localSheetId="23">'1.3 EssBS'!$1:$6</definedName>
    <definedName name="_xlnm.Print_Titles" localSheetId="22">'1.3 OmniBal'!$1:$6</definedName>
    <definedName name="_xlnm.Print_Titles" localSheetId="24">'2.0 Patients'!$3:$16</definedName>
    <definedName name="_xlnm.Print_Titles" localSheetId="28">'2.2 Staffing'!$3:$8</definedName>
    <definedName name="_xlnm.Print_Titles" localSheetId="29">'2.3 Expenses'!$3:$8</definedName>
    <definedName name="_xlnm.Print_Titles" localSheetId="33">'3. CapEx'!$3:$17</definedName>
    <definedName name="_xlnm.Print_Titles" localSheetId="37">'5. Financials'!$2:$7</definedName>
    <definedName name="_xlnm.Print_Titles" localSheetId="38">'6. Market'!$6:$6</definedName>
    <definedName name="_xlnm.Print_Titles" localSheetId="35">'Cap Ex Pricing'!$1:$1</definedName>
    <definedName name="_xlnm.Print_Titles" localSheetId="34">'Cap Ex Units'!$1:$1</definedName>
    <definedName name="_xlnm.Print_Titles" localSheetId="8">Txs!$3:$6</definedName>
    <definedName name="Project" localSheetId="25">'[1]1.0 Summary'!$E$4</definedName>
    <definedName name="Project" localSheetId="11">'1.0 Summary'!$E$4</definedName>
    <definedName name="Project">'1.0 Summary'!$E$4</definedName>
    <definedName name="pshare" localSheetId="25">'[1]1.0 Summary'!$S$11</definedName>
    <definedName name="pshare" localSheetId="11">'1.0 Summary'!$S$11</definedName>
    <definedName name="pshare">'1.0 Summary'!$S$11</definedName>
    <definedName name="pyr0pts" localSheetId="41">'[2]2.1 Assumptions - Pts'!#REF!</definedName>
    <definedName name="pyr0pts" localSheetId="42">'[2]2.1 Assumptions - Pts'!#REF!</definedName>
    <definedName name="pyr1pts" localSheetId="41">'[2]2.1 Assumptions - Pts'!#REF!</definedName>
    <definedName name="pyr1pts" localSheetId="42">'[2]2.1 Assumptions - Pts'!#REF!</definedName>
    <definedName name="pyr2pts" localSheetId="41">'[2]2.1 Assumptions - Pts'!#REF!</definedName>
    <definedName name="pyr2pts" localSheetId="42">'[2]2.1 Assumptions - Pts'!#REF!</definedName>
    <definedName name="pyr3pts" localSheetId="41">'[2]2.1 Assumptions - Pts'!#REF!</definedName>
    <definedName name="pyr3pts" localSheetId="42">'[2]2.1 Assumptions - Pts'!#REF!</definedName>
    <definedName name="pyr4pts" localSheetId="41">'[2]2.1 Assumptions - Pts'!#REF!</definedName>
    <definedName name="pyr4pts" localSheetId="42">'[2]2.1 Assumptions - Pts'!#REF!</definedName>
    <definedName name="pyr5pts" localSheetId="41">'[2]2.1 Assumptions - Pts'!#REF!</definedName>
    <definedName name="pyr5pts" localSheetId="42">'[2]2.1 Assumptions - Pts'!#REF!</definedName>
    <definedName name="RD" localSheetId="25">'[1]1.0 Summary'!$F$21</definedName>
    <definedName name="RD" localSheetId="11">'1.0 Summary'!$F$21</definedName>
    <definedName name="RD">'1.0 Summary'!$F$21</definedName>
    <definedName name="RecurringCapexPerStation" localSheetId="25">'[1]2.3 Expenses'!$T$100</definedName>
    <definedName name="RecurringCapexPerStation" localSheetId="11">'2.3 Expenses'!$T$100</definedName>
    <definedName name="RecurringCapexPerStation">'2.3 Expenses'!$T$100</definedName>
    <definedName name="Region">'1.0 Summary'!$F$11</definedName>
    <definedName name="SensitivityIncChrPts" localSheetId="25">'[1]4. Scenarios'!$E$52</definedName>
    <definedName name="SensitivityIncChrPts" localSheetId="7">'4. Scenarios'!$E$52</definedName>
    <definedName name="SensitivityIncChrPts" localSheetId="11">'4. Scenarios'!$E$52</definedName>
    <definedName name="SensitivityIncChrPts">'4. Scenarios'!$E$52</definedName>
    <definedName name="SensitivityIncHHDPts" localSheetId="25">'[1]4. Scenarios'!$E$54</definedName>
    <definedName name="SensitivityIncHHDPts" localSheetId="7">'4. Scenarios'!$E$54</definedName>
    <definedName name="SensitivityIncHHDPts" localSheetId="11">'4. Scenarios'!$E$54</definedName>
    <definedName name="SensitivityIncHHDPts">'4. Scenarios'!$E$54</definedName>
    <definedName name="SensitivityIncHHDRevPerTx" localSheetId="25">'[1]4. Scenarios'!$E$51</definedName>
    <definedName name="SensitivityIncHHDRevPerTx" localSheetId="7">'4. Scenarios'!$E$51</definedName>
    <definedName name="SensitivityIncHHDRevPerTx" localSheetId="11">'4. Scenarios'!$E$51</definedName>
    <definedName name="SensitivityIncHHDRevPerTx">'4. Scenarios'!$E$51</definedName>
    <definedName name="SensitivityIncPDPts" localSheetId="25">'[1]4. Scenarios'!$E$53</definedName>
    <definedName name="SensitivityIncPDPts" localSheetId="7">'4. Scenarios'!$E$53</definedName>
    <definedName name="SensitivityIncPDPts" localSheetId="11">'4. Scenarios'!$E$53</definedName>
    <definedName name="SensitivityIncPDPts">'4. Scenarios'!$E$53</definedName>
    <definedName name="SensitivityIncPDRevPerTx" localSheetId="25">'[1]4. Scenarios'!$E$50</definedName>
    <definedName name="SensitivityIncPDRevPerTx" localSheetId="7">'4. Scenarios'!$E$50</definedName>
    <definedName name="SensitivityIncPDRevPerTx" localSheetId="11">'4. Scenarios'!$E$50</definedName>
    <definedName name="SensitivityIncPDRevPerTx">'4. Scenarios'!$E$50</definedName>
    <definedName name="SensitivityIncRevPerTx" localSheetId="25">'[1]4. Scenarios'!$E$49</definedName>
    <definedName name="SensitivityIncRevPerTx" localSheetId="7">'4. Scenarios'!$E$49</definedName>
    <definedName name="SensitivityIncRevPerTx" localSheetId="11">'4. Scenarios'!$E$49</definedName>
    <definedName name="SensitivityIncRevPerTx">'4. Scenarios'!$E$49</definedName>
    <definedName name="Sheeet1" localSheetId="19" hidden="1">{#N/A,#N/A,FALSE,"Summary";#N/A,#N/A,FALSE,"Proforma";#N/A,#N/A,FALSE,"Tx"}</definedName>
    <definedName name="Sheeet1" localSheetId="4" hidden="1">{#N/A,#N/A,FALSE,"Summary";#N/A,#N/A,FALSE,"Proforma";#N/A,#N/A,FALSE,"Tx"}</definedName>
    <definedName name="Sheeet1" localSheetId="34" hidden="1">{#N/A,#N/A,FALSE,"Summary";#N/A,#N/A,FALSE,"Proforma";#N/A,#N/A,FALSE,"Tx"}</definedName>
    <definedName name="Sheeet1" localSheetId="25" hidden="1">{#N/A,#N/A,FALSE,"Summary";#N/A,#N/A,FALSE,"Proforma";#N/A,#N/A,FALSE,"Tx"}</definedName>
    <definedName name="Sheeet1" localSheetId="9" hidden="1">{#N/A,#N/A,FALSE,"Summary";#N/A,#N/A,FALSE,"Proforma";#N/A,#N/A,FALSE,"Tx"}</definedName>
    <definedName name="Sheeet1" localSheetId="12" hidden="1">{#N/A,#N/A,FALSE,"Summary";#N/A,#N/A,FALSE,"Proforma";#N/A,#N/A,FALSE,"Tx"}</definedName>
    <definedName name="Sheeet1" localSheetId="11" hidden="1">{#N/A,#N/A,FALSE,"Summary";#N/A,#N/A,FALSE,"Proforma";#N/A,#N/A,FALSE,"Tx"}</definedName>
    <definedName name="Sheeet1" localSheetId="6" hidden="1">{#N/A,#N/A,FALSE,"Summary";#N/A,#N/A,FALSE,"Proforma";#N/A,#N/A,FALSE,"Tx"}</definedName>
    <definedName name="Sheeet1" localSheetId="46" hidden="1">{#N/A,#N/A,FALSE,"Summary";#N/A,#N/A,FALSE,"Proforma";#N/A,#N/A,FALSE,"Tx"}</definedName>
    <definedName name="Sheeet1" hidden="1">{#N/A,#N/A,FALSE,"Summary";#N/A,#N/A,FALSE,"Proforma";#N/A,#N/A,FALSE,"Tx"}</definedName>
    <definedName name="sheet" localSheetId="19" hidden="1">{#N/A,#N/A,FALSE,"Summary";#N/A,#N/A,FALSE,"Proforma";#N/A,#N/A,FALSE,"Tx"}</definedName>
    <definedName name="sheet" localSheetId="4" hidden="1">{#N/A,#N/A,FALSE,"Summary";#N/A,#N/A,FALSE,"Proforma";#N/A,#N/A,FALSE,"Tx"}</definedName>
    <definedName name="sheet" localSheetId="34" hidden="1">{#N/A,#N/A,FALSE,"Summary";#N/A,#N/A,FALSE,"Proforma";#N/A,#N/A,FALSE,"Tx"}</definedName>
    <definedName name="sheet" localSheetId="25" hidden="1">{#N/A,#N/A,FALSE,"Summary";#N/A,#N/A,FALSE,"Proforma";#N/A,#N/A,FALSE,"Tx"}</definedName>
    <definedName name="sheet" localSheetId="9" hidden="1">{#N/A,#N/A,FALSE,"Summary";#N/A,#N/A,FALSE,"Proforma";#N/A,#N/A,FALSE,"Tx"}</definedName>
    <definedName name="sheet" localSheetId="12" hidden="1">{#N/A,#N/A,FALSE,"Summary";#N/A,#N/A,FALSE,"Proforma";#N/A,#N/A,FALSE,"Tx"}</definedName>
    <definedName name="sheet" localSheetId="11" hidden="1">{#N/A,#N/A,FALSE,"Summary";#N/A,#N/A,FALSE,"Proforma";#N/A,#N/A,FALSE,"Tx"}</definedName>
    <definedName name="sheet" localSheetId="6" hidden="1">{#N/A,#N/A,FALSE,"Summary";#N/A,#N/A,FALSE,"Proforma";#N/A,#N/A,FALSE,"Tx"}</definedName>
    <definedName name="sheet" localSheetId="46" hidden="1">{#N/A,#N/A,FALSE,"Summary";#N/A,#N/A,FALSE,"Proforma";#N/A,#N/A,FALSE,"Tx"}</definedName>
    <definedName name="sheet" hidden="1">{#N/A,#N/A,FALSE,"Summary";#N/A,#N/A,FALSE,"Proforma";#N/A,#N/A,FALSE,"Tx"}</definedName>
    <definedName name="sheet1" localSheetId="18" hidden="1">{#N/A,#N/A,FALSE,"Summary";#N/A,#N/A,FALSE,"Proforma";#N/A,#N/A,FALSE,"Tx"}</definedName>
    <definedName name="sheet1" localSheetId="19" hidden="1">{#N/A,#N/A,FALSE,"Summary";#N/A,#N/A,FALSE,"Proforma";#N/A,#N/A,FALSE,"Tx"}</definedName>
    <definedName name="sheet1" localSheetId="26" hidden="1">{#N/A,#N/A,FALSE,"Summary";#N/A,#N/A,FALSE,"Proforma";#N/A,#N/A,FALSE,"Tx"}</definedName>
    <definedName name="sheet1" localSheetId="33" hidden="1">{#N/A,#N/A,FALSE,"Summary";#N/A,#N/A,FALSE,"Proforma";#N/A,#N/A,FALSE,"Tx"}</definedName>
    <definedName name="sheet1" localSheetId="36" hidden="1">{#N/A,#N/A,FALSE,"Summary";#N/A,#N/A,FALSE,"Proforma";#N/A,#N/A,FALSE,"Tx"}</definedName>
    <definedName name="sheet1" localSheetId="37" hidden="1">{#N/A,#N/A,FALSE,"Summary";#N/A,#N/A,FALSE,"Proforma";#N/A,#N/A,FALSE,"Tx"}</definedName>
    <definedName name="sheet1" localSheetId="38" hidden="1">{#N/A,#N/A,FALSE,"Summary";#N/A,#N/A,FALSE,"Proforma";#N/A,#N/A,FALSE,"Tx"}</definedName>
    <definedName name="sheet1" localSheetId="4" hidden="1">{#N/A,#N/A,FALSE,"Summary";#N/A,#N/A,FALSE,"Proforma";#N/A,#N/A,FALSE,"Tx"}</definedName>
    <definedName name="sheet1" localSheetId="45" hidden="1">{#N/A,#N/A,FALSE,"Summary";#N/A,#N/A,FALSE,"Proforma";#N/A,#N/A,FALSE,"Tx"}</definedName>
    <definedName name="sheet1" localSheetId="35" hidden="1">{#N/A,#N/A,FALSE,"Summary";#N/A,#N/A,FALSE,"Proforma";#N/A,#N/A,FALSE,"Tx"}</definedName>
    <definedName name="sheet1" localSheetId="34" hidden="1">{#N/A,#N/A,FALSE,"Summary";#N/A,#N/A,FALSE,"Proforma";#N/A,#N/A,FALSE,"Tx"}</definedName>
    <definedName name="sheet1" localSheetId="41" hidden="1">{#N/A,#N/A,FALSE,"Summary";#N/A,#N/A,FALSE,"Proforma";#N/A,#N/A,FALSE,"Tx"}</definedName>
    <definedName name="sheet1" localSheetId="42" hidden="1">{#N/A,#N/A,FALSE,"Summary";#N/A,#N/A,FALSE,"Proforma";#N/A,#N/A,FALSE,"Tx"}</definedName>
    <definedName name="sheet1" localSheetId="25" hidden="1">{#N/A,#N/A,FALSE,"Summary";#N/A,#N/A,FALSE,"Proforma";#N/A,#N/A,FALSE,"Tx"}</definedName>
    <definedName name="sheet1" localSheetId="7" hidden="1">{#N/A,#N/A,FALSE,"Summary";#N/A,#N/A,FALSE,"Proforma";#N/A,#N/A,FALSE,"Tx"}</definedName>
    <definedName name="sheet1" localSheetId="30" hidden="1">{#N/A,#N/A,FALSE,"Summary";#N/A,#N/A,FALSE,"Proforma";#N/A,#N/A,FALSE,"Tx"}</definedName>
    <definedName name="sheet1" localSheetId="9" hidden="1">{#N/A,#N/A,FALSE,"Summary";#N/A,#N/A,FALSE,"Proforma";#N/A,#N/A,FALSE,"Tx"}</definedName>
    <definedName name="sheet1" localSheetId="12" hidden="1">{#N/A,#N/A,FALSE,"Summary";#N/A,#N/A,FALSE,"Proforma";#N/A,#N/A,FALSE,"Tx"}</definedName>
    <definedName name="sheet1" localSheetId="11" hidden="1">{#N/A,#N/A,FALSE,"Summary";#N/A,#N/A,FALSE,"Proforma";#N/A,#N/A,FALSE,"Tx"}</definedName>
    <definedName name="sheet1" localSheetId="6" hidden="1">{#N/A,#N/A,FALSE,"Summary";#N/A,#N/A,FALSE,"Proforma";#N/A,#N/A,FALSE,"Tx"}</definedName>
    <definedName name="sheet1" localSheetId="40" hidden="1">{#N/A,#N/A,FALSE,"Summary";#N/A,#N/A,FALSE,"Proforma";#N/A,#N/A,FALSE,"Tx"}</definedName>
    <definedName name="sheet1" localSheetId="46" hidden="1">{#N/A,#N/A,FALSE,"Summary";#N/A,#N/A,FALSE,"Proforma";#N/A,#N/A,FALSE,"Tx"}</definedName>
    <definedName name="sheet1" localSheetId="2" hidden="1">{#N/A,#N/A,FALSE,"Summary";#N/A,#N/A,FALSE,"Proforma";#N/A,#N/A,FALSE,"Tx"}</definedName>
    <definedName name="sheet1" localSheetId="39" hidden="1">{#N/A,#N/A,FALSE,"Summary";#N/A,#N/A,FALSE,"Proforma";#N/A,#N/A,FALSE,"Tx"}</definedName>
    <definedName name="sheet1" hidden="1">{#N/A,#N/A,FALSE,"Summary";#N/A,#N/A,FALSE,"Proforma";#N/A,#N/A,FALSE,"Tx"}</definedName>
    <definedName name="sheet2" localSheetId="19" hidden="1">{#N/A,#N/A,FALSE,"Summary";#N/A,#N/A,FALSE,"Proforma";#N/A,#N/A,FALSE,"Tx"}</definedName>
    <definedName name="sheet2" localSheetId="36" hidden="1">{#N/A,#N/A,FALSE,"Summary";#N/A,#N/A,FALSE,"Proforma";#N/A,#N/A,FALSE,"Tx"}</definedName>
    <definedName name="sheet2" localSheetId="38" hidden="1">{#N/A,#N/A,FALSE,"Summary";#N/A,#N/A,FALSE,"Proforma";#N/A,#N/A,FALSE,"Tx"}</definedName>
    <definedName name="sheet2" localSheetId="4" hidden="1">{#N/A,#N/A,FALSE,"Summary";#N/A,#N/A,FALSE,"Proforma";#N/A,#N/A,FALSE,"Tx"}</definedName>
    <definedName name="sheet2" localSheetId="34" hidden="1">{#N/A,#N/A,FALSE,"Summary";#N/A,#N/A,FALSE,"Proforma";#N/A,#N/A,FALSE,"Tx"}</definedName>
    <definedName name="sheet2" localSheetId="41" hidden="1">{#N/A,#N/A,FALSE,"Summary";#N/A,#N/A,FALSE,"Proforma";#N/A,#N/A,FALSE,"Tx"}</definedName>
    <definedName name="sheet2" localSheetId="42" hidden="1">{#N/A,#N/A,FALSE,"Summary";#N/A,#N/A,FALSE,"Proforma";#N/A,#N/A,FALSE,"Tx"}</definedName>
    <definedName name="sheet2" localSheetId="25" hidden="1">{#N/A,#N/A,FALSE,"Summary";#N/A,#N/A,FALSE,"Proforma";#N/A,#N/A,FALSE,"Tx"}</definedName>
    <definedName name="sheet2" localSheetId="7" hidden="1">{#N/A,#N/A,FALSE,"Summary";#N/A,#N/A,FALSE,"Proforma";#N/A,#N/A,FALSE,"Tx"}</definedName>
    <definedName name="sheet2" localSheetId="30" hidden="1">{#N/A,#N/A,FALSE,"Summary";#N/A,#N/A,FALSE,"Proforma";#N/A,#N/A,FALSE,"Tx"}</definedName>
    <definedName name="sheet2" localSheetId="9" hidden="1">{#N/A,#N/A,FALSE,"Summary";#N/A,#N/A,FALSE,"Proforma";#N/A,#N/A,FALSE,"Tx"}</definedName>
    <definedName name="sheet2" localSheetId="12" hidden="1">{#N/A,#N/A,FALSE,"Summary";#N/A,#N/A,FALSE,"Proforma";#N/A,#N/A,FALSE,"Tx"}</definedName>
    <definedName name="sheet2" localSheetId="11" hidden="1">{#N/A,#N/A,FALSE,"Summary";#N/A,#N/A,FALSE,"Proforma";#N/A,#N/A,FALSE,"Tx"}</definedName>
    <definedName name="sheet2" localSheetId="6" hidden="1">{#N/A,#N/A,FALSE,"Summary";#N/A,#N/A,FALSE,"Proforma";#N/A,#N/A,FALSE,"Tx"}</definedName>
    <definedName name="sheet2" localSheetId="40" hidden="1">{#N/A,#N/A,FALSE,"Summary";#N/A,#N/A,FALSE,"Proforma";#N/A,#N/A,FALSE,"Tx"}</definedName>
    <definedName name="sheet2" localSheetId="46" hidden="1">{#N/A,#N/A,FALSE,"Summary";#N/A,#N/A,FALSE,"Proforma";#N/A,#N/A,FALSE,"Tx"}</definedName>
    <definedName name="sheet2" localSheetId="2" hidden="1">{#N/A,#N/A,FALSE,"Summary";#N/A,#N/A,FALSE,"Proforma";#N/A,#N/A,FALSE,"Tx"}</definedName>
    <definedName name="sheet2" hidden="1">{#N/A,#N/A,FALSE,"Summary";#N/A,#N/A,FALSE,"Proforma";#N/A,#N/A,FALSE,"Tx"}</definedName>
    <definedName name="soft" localSheetId="25">'[1]3. CapEx'!$AA$141</definedName>
    <definedName name="soft" localSheetId="11">'3. CapEx'!$AA$141</definedName>
    <definedName name="soft">'3. CapEx'!$AA$141</definedName>
    <definedName name="State" localSheetId="25">'[1]1.0 Summary'!$F$16</definedName>
    <definedName name="State" localSheetId="11">'1.0 Summary'!$F$16</definedName>
    <definedName name="State">'1.0 Summary'!$F$16</definedName>
    <definedName name="states" localSheetId="41">CON!#REF!</definedName>
    <definedName name="states" localSheetId="42">'DVA RE by State'!#REF!</definedName>
    <definedName name="SurveyDelay" localSheetId="25">'[1]1.0 Summary'!$X$21</definedName>
    <definedName name="SurveyDelay" localSheetId="11">'1.0 Summary'!$X$21</definedName>
    <definedName name="SurveyDelay">'1.0 Summary'!$X$21</definedName>
    <definedName name="test" localSheetId="19" hidden="1">{#N/A,#N/A,FALSE,"Summary";#N/A,#N/A,FALSE,"Proforma";#N/A,#N/A,FALSE,"Tx"}</definedName>
    <definedName name="test" localSheetId="4" hidden="1">{#N/A,#N/A,FALSE,"Summary";#N/A,#N/A,FALSE,"Proforma";#N/A,#N/A,FALSE,"Tx"}</definedName>
    <definedName name="test" localSheetId="34" hidden="1">{#N/A,#N/A,FALSE,"Summary";#N/A,#N/A,FALSE,"Proforma";#N/A,#N/A,FALSE,"Tx"}</definedName>
    <definedName name="test" localSheetId="41" hidden="1">{#N/A,#N/A,FALSE,"Summary";#N/A,#N/A,FALSE,"Proforma";#N/A,#N/A,FALSE,"Tx"}</definedName>
    <definedName name="test" localSheetId="42" hidden="1">{#N/A,#N/A,FALSE,"Summary";#N/A,#N/A,FALSE,"Proforma";#N/A,#N/A,FALSE,"Tx"}</definedName>
    <definedName name="test" localSheetId="25" hidden="1">{#N/A,#N/A,FALSE,"Summary";#N/A,#N/A,FALSE,"Proforma";#N/A,#N/A,FALSE,"Tx"}</definedName>
    <definedName name="test" localSheetId="7" hidden="1">{#N/A,#N/A,FALSE,"Summary";#N/A,#N/A,FALSE,"Proforma";#N/A,#N/A,FALSE,"Tx"}</definedName>
    <definedName name="test" localSheetId="30" hidden="1">{#N/A,#N/A,FALSE,"Summary";#N/A,#N/A,FALSE,"Proforma";#N/A,#N/A,FALSE,"Tx"}</definedName>
    <definedName name="test" localSheetId="9" hidden="1">{#N/A,#N/A,FALSE,"Summary";#N/A,#N/A,FALSE,"Proforma";#N/A,#N/A,FALSE,"Tx"}</definedName>
    <definedName name="test" localSheetId="12" hidden="1">{#N/A,#N/A,FALSE,"Summary";#N/A,#N/A,FALSE,"Proforma";#N/A,#N/A,FALSE,"Tx"}</definedName>
    <definedName name="test" localSheetId="11" hidden="1">{#N/A,#N/A,FALSE,"Summary";#N/A,#N/A,FALSE,"Proforma";#N/A,#N/A,FALSE,"Tx"}</definedName>
    <definedName name="test" localSheetId="6" hidden="1">{#N/A,#N/A,FALSE,"Summary";#N/A,#N/A,FALSE,"Proforma";#N/A,#N/A,FALSE,"Tx"}</definedName>
    <definedName name="test" localSheetId="40" hidden="1">{#N/A,#N/A,FALSE,"Summary";#N/A,#N/A,FALSE,"Proforma";#N/A,#N/A,FALSE,"Tx"}</definedName>
    <definedName name="test" localSheetId="46" hidden="1">{#N/A,#N/A,FALSE,"Summary";#N/A,#N/A,FALSE,"Proforma";#N/A,#N/A,FALSE,"Tx"}</definedName>
    <definedName name="test" localSheetId="2" hidden="1">{#N/A,#N/A,FALSE,"Summary";#N/A,#N/A,FALSE,"Proforma";#N/A,#N/A,FALSE,"Tx"}</definedName>
    <definedName name="test" hidden="1">{#N/A,#N/A,FALSE,"Summary";#N/A,#N/A,FALSE,"Proforma";#N/A,#N/A,FALSE,"Tx"}</definedName>
    <definedName name="ti" localSheetId="25">'[1]3. CapEx'!$J$26</definedName>
    <definedName name="ti" localSheetId="11">'3. CapEx'!$AA$26</definedName>
    <definedName name="ti">'3. CapEx'!$AA$26</definedName>
    <definedName name="TICDuration" localSheetId="25">'[1]1.0 Summary'!$O$19</definedName>
    <definedName name="TICDuration" localSheetId="11">'1.0 Summary'!$O$19</definedName>
    <definedName name="TICDuration">'1.0 Summary'!$O$19</definedName>
    <definedName name="TICTerms" localSheetId="25">'[1]1.0 Summary'!$O$18</definedName>
    <definedName name="TICTerms" localSheetId="11">'1.0 Summary'!$O$18</definedName>
    <definedName name="TICTerms">'1.0 Summary'!$O$18</definedName>
    <definedName name="Type" localSheetId="25">'[1]1.0 Summary'!$J$18</definedName>
    <definedName name="Type" localSheetId="11">'1.0 Summary'!$J$18</definedName>
    <definedName name="Type">'1.0 Summary'!$J$18</definedName>
    <definedName name="TypeNew">'2.3 Expenses'!$I$48</definedName>
    <definedName name="Units" localSheetId="25">'[1]Cap Ex Units'!$B$1:$AS$101</definedName>
    <definedName name="Units" localSheetId="7">'Cap Ex Units'!$B$1:$AS$101</definedName>
    <definedName name="Units">'Cap Ex Units'!$B$1:$AS$101</definedName>
    <definedName name="Village_Spirit" localSheetId="4">'5. Financials'!#REF!</definedName>
    <definedName name="Village_Spirit" localSheetId="34">'[3]5. Financials'!#REF!</definedName>
    <definedName name="VMM_coc" localSheetId="25">'[1]VMM CoC'!$C$28</definedName>
    <definedName name="VMM_coc">'VMM CoC'!$C$28</definedName>
    <definedName name="withfs" localSheetId="25">'[1]3. CapEx'!$AA$137</definedName>
    <definedName name="withfs" localSheetId="11">'3. CapEx'!$AA$137</definedName>
    <definedName name="withfs">'3. CapEx'!$AA$137</definedName>
    <definedName name="wrn.FULL_ACQ." localSheetId="18" hidden="1">{#N/A,#N/A,FALSE,"Summary";#N/A,#N/A,FALSE,"Proforma";#N/A,#N/A,FALSE,"Tx"}</definedName>
    <definedName name="wrn.FULL_ACQ." localSheetId="19" hidden="1">{#N/A,#N/A,FALSE,"Summary";#N/A,#N/A,FALSE,"Proforma";#N/A,#N/A,FALSE,"Tx"}</definedName>
    <definedName name="wrn.FULL_ACQ." localSheetId="26" hidden="1">{#N/A,#N/A,FALSE,"Summary";#N/A,#N/A,FALSE,"Proforma";#N/A,#N/A,FALSE,"Tx"}</definedName>
    <definedName name="wrn.FULL_ACQ." localSheetId="33" hidden="1">{#N/A,#N/A,FALSE,"Summary";#N/A,#N/A,FALSE,"Proforma";#N/A,#N/A,FALSE,"Tx"}</definedName>
    <definedName name="wrn.FULL_ACQ." localSheetId="36" hidden="1">{#N/A,#N/A,FALSE,"Summary";#N/A,#N/A,FALSE,"Proforma";#N/A,#N/A,FALSE,"Tx"}</definedName>
    <definedName name="wrn.FULL_ACQ." localSheetId="37" hidden="1">{#N/A,#N/A,FALSE,"Summary";#N/A,#N/A,FALSE,"Proforma";#N/A,#N/A,FALSE,"Tx"}</definedName>
    <definedName name="wrn.FULL_ACQ." localSheetId="38" hidden="1">{#N/A,#N/A,FALSE,"Summary";#N/A,#N/A,FALSE,"Proforma";#N/A,#N/A,FALSE,"Tx"}</definedName>
    <definedName name="wrn.FULL_ACQ." localSheetId="4" hidden="1">{#N/A,#N/A,FALSE,"Summary";#N/A,#N/A,FALSE,"Proforma";#N/A,#N/A,FALSE,"Tx"}</definedName>
    <definedName name="wrn.FULL_ACQ." localSheetId="45" hidden="1">{#N/A,#N/A,FALSE,"Summary";#N/A,#N/A,FALSE,"Proforma";#N/A,#N/A,FALSE,"Tx"}</definedName>
    <definedName name="wrn.FULL_ACQ." localSheetId="35" hidden="1">{#N/A,#N/A,FALSE,"Summary";#N/A,#N/A,FALSE,"Proforma";#N/A,#N/A,FALSE,"Tx"}</definedName>
    <definedName name="wrn.FULL_ACQ." localSheetId="34" hidden="1">{#N/A,#N/A,FALSE,"Summary";#N/A,#N/A,FALSE,"Proforma";#N/A,#N/A,FALSE,"Tx"}</definedName>
    <definedName name="wrn.FULL_ACQ." localSheetId="41" hidden="1">{#N/A,#N/A,FALSE,"Summary";#N/A,#N/A,FALSE,"Proforma";#N/A,#N/A,FALSE,"Tx"}</definedName>
    <definedName name="wrn.FULL_ACQ." localSheetId="42" hidden="1">{#N/A,#N/A,FALSE,"Summary";#N/A,#N/A,FALSE,"Proforma";#N/A,#N/A,FALSE,"Tx"}</definedName>
    <definedName name="wrn.FULL_ACQ." localSheetId="25" hidden="1">{#N/A,#N/A,FALSE,"Summary";#N/A,#N/A,FALSE,"Proforma";#N/A,#N/A,FALSE,"Tx"}</definedName>
    <definedName name="wrn.FULL_ACQ." localSheetId="7" hidden="1">{#N/A,#N/A,FALSE,"Summary";#N/A,#N/A,FALSE,"Proforma";#N/A,#N/A,FALSE,"Tx"}</definedName>
    <definedName name="wrn.FULL_ACQ." localSheetId="30" hidden="1">{#N/A,#N/A,FALSE,"Summary";#N/A,#N/A,FALSE,"Proforma";#N/A,#N/A,FALSE,"Tx"}</definedName>
    <definedName name="wrn.FULL_ACQ." localSheetId="9" hidden="1">{#N/A,#N/A,FALSE,"Summary";#N/A,#N/A,FALSE,"Proforma";#N/A,#N/A,FALSE,"Tx"}</definedName>
    <definedName name="wrn.FULL_ACQ." localSheetId="12" hidden="1">{#N/A,#N/A,FALSE,"Summary";#N/A,#N/A,FALSE,"Proforma";#N/A,#N/A,FALSE,"Tx"}</definedName>
    <definedName name="wrn.FULL_ACQ." localSheetId="11" hidden="1">{#N/A,#N/A,FALSE,"Summary";#N/A,#N/A,FALSE,"Proforma";#N/A,#N/A,FALSE,"Tx"}</definedName>
    <definedName name="wrn.FULL_ACQ." localSheetId="6" hidden="1">{#N/A,#N/A,FALSE,"Summary";#N/A,#N/A,FALSE,"Proforma";#N/A,#N/A,FALSE,"Tx"}</definedName>
    <definedName name="wrn.FULL_ACQ." localSheetId="40" hidden="1">{#N/A,#N/A,FALSE,"Summary";#N/A,#N/A,FALSE,"Proforma";#N/A,#N/A,FALSE,"Tx"}</definedName>
    <definedName name="wrn.FULL_ACQ." localSheetId="46" hidden="1">{#N/A,#N/A,FALSE,"Summary";#N/A,#N/A,FALSE,"Proforma";#N/A,#N/A,FALSE,"Tx"}</definedName>
    <definedName name="wrn.FULL_ACQ." localSheetId="2" hidden="1">{#N/A,#N/A,FALSE,"Summary";#N/A,#N/A,FALSE,"Proforma";#N/A,#N/A,FALSE,"Tx"}</definedName>
    <definedName name="wrn.FULL_ACQ." localSheetId="39" hidden="1">{#N/A,#N/A,FALSE,"Summary";#N/A,#N/A,FALSE,"Proforma";#N/A,#N/A,FALSE,"Tx"}</definedName>
    <definedName name="wrn.FULL_ACQ." hidden="1">{#N/A,#N/A,FALSE,"Summary";#N/A,#N/A,FALSE,"Proforma";#N/A,#N/A,FALSE,"Tx"}</definedName>
    <definedName name="wrn.full_acq1" localSheetId="19" hidden="1">{#N/A,#N/A,FALSE,"Summary";#N/A,#N/A,FALSE,"Proforma";#N/A,#N/A,FALSE,"Tx"}</definedName>
    <definedName name="wrn.full_acq1" localSheetId="36" hidden="1">{#N/A,#N/A,FALSE,"Summary";#N/A,#N/A,FALSE,"Proforma";#N/A,#N/A,FALSE,"Tx"}</definedName>
    <definedName name="wrn.full_acq1" localSheetId="38" hidden="1">{#N/A,#N/A,FALSE,"Summary";#N/A,#N/A,FALSE,"Proforma";#N/A,#N/A,FALSE,"Tx"}</definedName>
    <definedName name="wrn.full_acq1" localSheetId="4" hidden="1">{#N/A,#N/A,FALSE,"Summary";#N/A,#N/A,FALSE,"Proforma";#N/A,#N/A,FALSE,"Tx"}</definedName>
    <definedName name="wrn.full_acq1" localSheetId="34" hidden="1">{#N/A,#N/A,FALSE,"Summary";#N/A,#N/A,FALSE,"Proforma";#N/A,#N/A,FALSE,"Tx"}</definedName>
    <definedName name="wrn.full_acq1" localSheetId="41" hidden="1">{#N/A,#N/A,FALSE,"Summary";#N/A,#N/A,FALSE,"Proforma";#N/A,#N/A,FALSE,"Tx"}</definedName>
    <definedName name="wrn.full_acq1" localSheetId="42" hidden="1">{#N/A,#N/A,FALSE,"Summary";#N/A,#N/A,FALSE,"Proforma";#N/A,#N/A,FALSE,"Tx"}</definedName>
    <definedName name="wrn.full_acq1" localSheetId="25" hidden="1">{#N/A,#N/A,FALSE,"Summary";#N/A,#N/A,FALSE,"Proforma";#N/A,#N/A,FALSE,"Tx"}</definedName>
    <definedName name="wrn.full_acq1" localSheetId="7" hidden="1">{#N/A,#N/A,FALSE,"Summary";#N/A,#N/A,FALSE,"Proforma";#N/A,#N/A,FALSE,"Tx"}</definedName>
    <definedName name="wrn.full_acq1" localSheetId="30" hidden="1">{#N/A,#N/A,FALSE,"Summary";#N/A,#N/A,FALSE,"Proforma";#N/A,#N/A,FALSE,"Tx"}</definedName>
    <definedName name="wrn.full_acq1" localSheetId="9" hidden="1">{#N/A,#N/A,FALSE,"Summary";#N/A,#N/A,FALSE,"Proforma";#N/A,#N/A,FALSE,"Tx"}</definedName>
    <definedName name="wrn.full_acq1" localSheetId="12" hidden="1">{#N/A,#N/A,FALSE,"Summary";#N/A,#N/A,FALSE,"Proforma";#N/A,#N/A,FALSE,"Tx"}</definedName>
    <definedName name="wrn.full_acq1" localSheetId="11" hidden="1">{#N/A,#N/A,FALSE,"Summary";#N/A,#N/A,FALSE,"Proforma";#N/A,#N/A,FALSE,"Tx"}</definedName>
    <definedName name="wrn.full_acq1" localSheetId="6" hidden="1">{#N/A,#N/A,FALSE,"Summary";#N/A,#N/A,FALSE,"Proforma";#N/A,#N/A,FALSE,"Tx"}</definedName>
    <definedName name="wrn.full_acq1" localSheetId="40" hidden="1">{#N/A,#N/A,FALSE,"Summary";#N/A,#N/A,FALSE,"Proforma";#N/A,#N/A,FALSE,"Tx"}</definedName>
    <definedName name="wrn.full_acq1" localSheetId="46" hidden="1">{#N/A,#N/A,FALSE,"Summary";#N/A,#N/A,FALSE,"Proforma";#N/A,#N/A,FALSE,"Tx"}</definedName>
    <definedName name="wrn.full_acq1" localSheetId="2" hidden="1">{#N/A,#N/A,FALSE,"Summary";#N/A,#N/A,FALSE,"Proforma";#N/A,#N/A,FALSE,"Tx"}</definedName>
    <definedName name="wrn.full_acq1" hidden="1">{#N/A,#N/A,FALSE,"Summary";#N/A,#N/A,FALSE,"Proforma";#N/A,#N/A,FALSE,"Tx"}</definedName>
    <definedName name="wrn.full_acq2" localSheetId="19" hidden="1">{#N/A,#N/A,FALSE,"Summary";#N/A,#N/A,FALSE,"Proforma";#N/A,#N/A,FALSE,"Tx"}</definedName>
    <definedName name="wrn.full_acq2" localSheetId="36" hidden="1">{#N/A,#N/A,FALSE,"Summary";#N/A,#N/A,FALSE,"Proforma";#N/A,#N/A,FALSE,"Tx"}</definedName>
    <definedName name="wrn.full_acq2" localSheetId="4" hidden="1">{#N/A,#N/A,FALSE,"Summary";#N/A,#N/A,FALSE,"Proforma";#N/A,#N/A,FALSE,"Tx"}</definedName>
    <definedName name="wrn.full_acq2" localSheetId="34" hidden="1">{#N/A,#N/A,FALSE,"Summary";#N/A,#N/A,FALSE,"Proforma";#N/A,#N/A,FALSE,"Tx"}</definedName>
    <definedName name="wrn.full_acq2" localSheetId="41" hidden="1">{#N/A,#N/A,FALSE,"Summary";#N/A,#N/A,FALSE,"Proforma";#N/A,#N/A,FALSE,"Tx"}</definedName>
    <definedName name="wrn.full_acq2" localSheetId="42" hidden="1">{#N/A,#N/A,FALSE,"Summary";#N/A,#N/A,FALSE,"Proforma";#N/A,#N/A,FALSE,"Tx"}</definedName>
    <definedName name="wrn.full_acq2" localSheetId="25" hidden="1">{#N/A,#N/A,FALSE,"Summary";#N/A,#N/A,FALSE,"Proforma";#N/A,#N/A,FALSE,"Tx"}</definedName>
    <definedName name="wrn.full_acq2" localSheetId="7" hidden="1">{#N/A,#N/A,FALSE,"Summary";#N/A,#N/A,FALSE,"Proforma";#N/A,#N/A,FALSE,"Tx"}</definedName>
    <definedName name="wrn.full_acq2" localSheetId="30" hidden="1">{#N/A,#N/A,FALSE,"Summary";#N/A,#N/A,FALSE,"Proforma";#N/A,#N/A,FALSE,"Tx"}</definedName>
    <definedName name="wrn.full_acq2" localSheetId="9" hidden="1">{#N/A,#N/A,FALSE,"Summary";#N/A,#N/A,FALSE,"Proforma";#N/A,#N/A,FALSE,"Tx"}</definedName>
    <definedName name="wrn.full_acq2" localSheetId="12" hidden="1">{#N/A,#N/A,FALSE,"Summary";#N/A,#N/A,FALSE,"Proforma";#N/A,#N/A,FALSE,"Tx"}</definedName>
    <definedName name="wrn.full_acq2" localSheetId="11" hidden="1">{#N/A,#N/A,FALSE,"Summary";#N/A,#N/A,FALSE,"Proforma";#N/A,#N/A,FALSE,"Tx"}</definedName>
    <definedName name="wrn.full_acq2" localSheetId="6" hidden="1">{#N/A,#N/A,FALSE,"Summary";#N/A,#N/A,FALSE,"Proforma";#N/A,#N/A,FALSE,"Tx"}</definedName>
    <definedName name="wrn.full_acq2" localSheetId="40" hidden="1">{#N/A,#N/A,FALSE,"Summary";#N/A,#N/A,FALSE,"Proforma";#N/A,#N/A,FALSE,"Tx"}</definedName>
    <definedName name="wrn.full_acq2" localSheetId="46" hidden="1">{#N/A,#N/A,FALSE,"Summary";#N/A,#N/A,FALSE,"Proforma";#N/A,#N/A,FALSE,"Tx"}</definedName>
    <definedName name="wrn.full_acq2" localSheetId="2" hidden="1">{#N/A,#N/A,FALSE,"Summary";#N/A,#N/A,FALSE,"Proforma";#N/A,#N/A,FALSE,"Tx"}</definedName>
    <definedName name="wrn.full_acq2" hidden="1">{#N/A,#N/A,FALSE,"Summary";#N/A,#N/A,FALSE,"Proforma";#N/A,#N/A,FALSE,"Tx"}</definedName>
    <definedName name="wrn.PARTNERSHIP." localSheetId="18" hidden="1">{#N/A,#N/A,FALSE,"Ptnr Cash Flow";#N/A,#N/A,FALSE,"Pship Summary";#N/A,#N/A,FALSE,"Pship Proforma";#N/A,#N/A,FALSE,"Tx"}</definedName>
    <definedName name="wrn.PARTNERSHIP." localSheetId="19" hidden="1">{#N/A,#N/A,FALSE,"Ptnr Cash Flow";#N/A,#N/A,FALSE,"Pship Summary";#N/A,#N/A,FALSE,"Pship Proforma";#N/A,#N/A,FALSE,"Tx"}</definedName>
    <definedName name="wrn.PARTNERSHIP." localSheetId="26" hidden="1">{#N/A,#N/A,FALSE,"Ptnr Cash Flow";#N/A,#N/A,FALSE,"Pship Summary";#N/A,#N/A,FALSE,"Pship Proforma";#N/A,#N/A,FALSE,"Tx"}</definedName>
    <definedName name="wrn.PARTNERSHIP." localSheetId="33" hidden="1">{#N/A,#N/A,FALSE,"Ptnr Cash Flow";#N/A,#N/A,FALSE,"Pship Summary";#N/A,#N/A,FALSE,"Pship Proforma";#N/A,#N/A,FALSE,"Tx"}</definedName>
    <definedName name="wrn.PARTNERSHIP." localSheetId="36" hidden="1">{#N/A,#N/A,FALSE,"Ptnr Cash Flow";#N/A,#N/A,FALSE,"Pship Summary";#N/A,#N/A,FALSE,"Pship Proforma";#N/A,#N/A,FALSE,"Tx"}</definedName>
    <definedName name="wrn.PARTNERSHIP." localSheetId="37" hidden="1">{#N/A,#N/A,FALSE,"Ptnr Cash Flow";#N/A,#N/A,FALSE,"Pship Summary";#N/A,#N/A,FALSE,"Pship Proforma";#N/A,#N/A,FALSE,"Tx"}</definedName>
    <definedName name="wrn.PARTNERSHIP." localSheetId="38" hidden="1">{#N/A,#N/A,FALSE,"Ptnr Cash Flow";#N/A,#N/A,FALSE,"Pship Summary";#N/A,#N/A,FALSE,"Pship Proforma";#N/A,#N/A,FALSE,"Tx"}</definedName>
    <definedName name="wrn.PARTNERSHIP." localSheetId="4" hidden="1">{#N/A,#N/A,FALSE,"Ptnr Cash Flow";#N/A,#N/A,FALSE,"Pship Summary";#N/A,#N/A,FALSE,"Pship Proforma";#N/A,#N/A,FALSE,"Tx"}</definedName>
    <definedName name="wrn.PARTNERSHIP." localSheetId="45" hidden="1">{#N/A,#N/A,FALSE,"Ptnr Cash Flow";#N/A,#N/A,FALSE,"Pship Summary";#N/A,#N/A,FALSE,"Pship Proforma";#N/A,#N/A,FALSE,"Tx"}</definedName>
    <definedName name="wrn.PARTNERSHIP." localSheetId="35" hidden="1">{#N/A,#N/A,FALSE,"Ptnr Cash Flow";#N/A,#N/A,FALSE,"Pship Summary";#N/A,#N/A,FALSE,"Pship Proforma";#N/A,#N/A,FALSE,"Tx"}</definedName>
    <definedName name="wrn.PARTNERSHIP." localSheetId="34" hidden="1">{#N/A,#N/A,FALSE,"Ptnr Cash Flow";#N/A,#N/A,FALSE,"Pship Summary";#N/A,#N/A,FALSE,"Pship Proforma";#N/A,#N/A,FALSE,"Tx"}</definedName>
    <definedName name="wrn.PARTNERSHIP." localSheetId="41" hidden="1">{#N/A,#N/A,FALSE,"Ptnr Cash Flow";#N/A,#N/A,FALSE,"Pship Summary";#N/A,#N/A,FALSE,"Pship Proforma";#N/A,#N/A,FALSE,"Tx"}</definedName>
    <definedName name="wrn.PARTNERSHIP." localSheetId="42" hidden="1">{#N/A,#N/A,FALSE,"Ptnr Cash Flow";#N/A,#N/A,FALSE,"Pship Summary";#N/A,#N/A,FALSE,"Pship Proforma";#N/A,#N/A,FALSE,"Tx"}</definedName>
    <definedName name="wrn.PARTNERSHIP." localSheetId="25" hidden="1">{#N/A,#N/A,FALSE,"Ptnr Cash Flow";#N/A,#N/A,FALSE,"Pship Summary";#N/A,#N/A,FALSE,"Pship Proforma";#N/A,#N/A,FALSE,"Tx"}</definedName>
    <definedName name="wrn.PARTNERSHIP." localSheetId="7" hidden="1">{#N/A,#N/A,FALSE,"Ptnr Cash Flow";#N/A,#N/A,FALSE,"Pship Summary";#N/A,#N/A,FALSE,"Pship Proforma";#N/A,#N/A,FALSE,"Tx"}</definedName>
    <definedName name="wrn.PARTNERSHIP." localSheetId="30" hidden="1">{#N/A,#N/A,FALSE,"Ptnr Cash Flow";#N/A,#N/A,FALSE,"Pship Summary";#N/A,#N/A,FALSE,"Pship Proforma";#N/A,#N/A,FALSE,"Tx"}</definedName>
    <definedName name="wrn.PARTNERSHIP." localSheetId="9" hidden="1">{#N/A,#N/A,FALSE,"Ptnr Cash Flow";#N/A,#N/A,FALSE,"Pship Summary";#N/A,#N/A,FALSE,"Pship Proforma";#N/A,#N/A,FALSE,"Tx"}</definedName>
    <definedName name="wrn.PARTNERSHIP." localSheetId="12" hidden="1">{#N/A,#N/A,FALSE,"Ptnr Cash Flow";#N/A,#N/A,FALSE,"Pship Summary";#N/A,#N/A,FALSE,"Pship Proforma";#N/A,#N/A,FALSE,"Tx"}</definedName>
    <definedName name="wrn.PARTNERSHIP." localSheetId="11" hidden="1">{#N/A,#N/A,FALSE,"Ptnr Cash Flow";#N/A,#N/A,FALSE,"Pship Summary";#N/A,#N/A,FALSE,"Pship Proforma";#N/A,#N/A,FALSE,"Tx"}</definedName>
    <definedName name="wrn.PARTNERSHIP." localSheetId="6" hidden="1">{#N/A,#N/A,FALSE,"Ptnr Cash Flow";#N/A,#N/A,FALSE,"Pship Summary";#N/A,#N/A,FALSE,"Pship Proforma";#N/A,#N/A,FALSE,"Tx"}</definedName>
    <definedName name="wrn.PARTNERSHIP." localSheetId="40" hidden="1">{#N/A,#N/A,FALSE,"Ptnr Cash Flow";#N/A,#N/A,FALSE,"Pship Summary";#N/A,#N/A,FALSE,"Pship Proforma";#N/A,#N/A,FALSE,"Tx"}</definedName>
    <definedName name="wrn.PARTNERSHIP." localSheetId="46" hidden="1">{#N/A,#N/A,FALSE,"Ptnr Cash Flow";#N/A,#N/A,FALSE,"Pship Summary";#N/A,#N/A,FALSE,"Pship Proforma";#N/A,#N/A,FALSE,"Tx"}</definedName>
    <definedName name="wrn.PARTNERSHIP." localSheetId="2" hidden="1">{#N/A,#N/A,FALSE,"Ptnr Cash Flow";#N/A,#N/A,FALSE,"Pship Summary";#N/A,#N/A,FALSE,"Pship Proforma";#N/A,#N/A,FALSE,"Tx"}</definedName>
    <definedName name="wrn.PARTNERSHIP." localSheetId="39" hidden="1">{#N/A,#N/A,FALSE,"Ptnr Cash Flow";#N/A,#N/A,FALSE,"Pship Summary";#N/A,#N/A,FALSE,"Pship Proforma";#N/A,#N/A,FALSE,"Tx"}</definedName>
    <definedName name="wrn.PARTNERSHIP." hidden="1">{#N/A,#N/A,FALSE,"Ptnr Cash Flow";#N/A,#N/A,FALSE,"Pship Summary";#N/A,#N/A,FALSE,"Pship Proforma";#N/A,#N/A,FALSE,"Tx"}</definedName>
    <definedName name="wrn.Partnership1" localSheetId="19" hidden="1">{#N/A,#N/A,FALSE,"Ptnr Cash Flow";#N/A,#N/A,FALSE,"Pship Summary";#N/A,#N/A,FALSE,"Pship Proforma";#N/A,#N/A,FALSE,"Tx"}</definedName>
    <definedName name="wrn.Partnership1" localSheetId="36" hidden="1">{#N/A,#N/A,FALSE,"Ptnr Cash Flow";#N/A,#N/A,FALSE,"Pship Summary";#N/A,#N/A,FALSE,"Pship Proforma";#N/A,#N/A,FALSE,"Tx"}</definedName>
    <definedName name="wrn.Partnership1" localSheetId="38" hidden="1">{#N/A,#N/A,FALSE,"Ptnr Cash Flow";#N/A,#N/A,FALSE,"Pship Summary";#N/A,#N/A,FALSE,"Pship Proforma";#N/A,#N/A,FALSE,"Tx"}</definedName>
    <definedName name="wrn.Partnership1" localSheetId="4" hidden="1">{#N/A,#N/A,FALSE,"Ptnr Cash Flow";#N/A,#N/A,FALSE,"Pship Summary";#N/A,#N/A,FALSE,"Pship Proforma";#N/A,#N/A,FALSE,"Tx"}</definedName>
    <definedName name="wrn.Partnership1" localSheetId="34" hidden="1">{#N/A,#N/A,FALSE,"Ptnr Cash Flow";#N/A,#N/A,FALSE,"Pship Summary";#N/A,#N/A,FALSE,"Pship Proforma";#N/A,#N/A,FALSE,"Tx"}</definedName>
    <definedName name="wrn.Partnership1" localSheetId="41" hidden="1">{#N/A,#N/A,FALSE,"Ptnr Cash Flow";#N/A,#N/A,FALSE,"Pship Summary";#N/A,#N/A,FALSE,"Pship Proforma";#N/A,#N/A,FALSE,"Tx"}</definedName>
    <definedName name="wrn.Partnership1" localSheetId="42" hidden="1">{#N/A,#N/A,FALSE,"Ptnr Cash Flow";#N/A,#N/A,FALSE,"Pship Summary";#N/A,#N/A,FALSE,"Pship Proforma";#N/A,#N/A,FALSE,"Tx"}</definedName>
    <definedName name="wrn.Partnership1" localSheetId="25" hidden="1">{#N/A,#N/A,FALSE,"Ptnr Cash Flow";#N/A,#N/A,FALSE,"Pship Summary";#N/A,#N/A,FALSE,"Pship Proforma";#N/A,#N/A,FALSE,"Tx"}</definedName>
    <definedName name="wrn.Partnership1" localSheetId="7" hidden="1">{#N/A,#N/A,FALSE,"Ptnr Cash Flow";#N/A,#N/A,FALSE,"Pship Summary";#N/A,#N/A,FALSE,"Pship Proforma";#N/A,#N/A,FALSE,"Tx"}</definedName>
    <definedName name="wrn.Partnership1" localSheetId="30" hidden="1">{#N/A,#N/A,FALSE,"Ptnr Cash Flow";#N/A,#N/A,FALSE,"Pship Summary";#N/A,#N/A,FALSE,"Pship Proforma";#N/A,#N/A,FALSE,"Tx"}</definedName>
    <definedName name="wrn.Partnership1" localSheetId="9" hidden="1">{#N/A,#N/A,FALSE,"Ptnr Cash Flow";#N/A,#N/A,FALSE,"Pship Summary";#N/A,#N/A,FALSE,"Pship Proforma";#N/A,#N/A,FALSE,"Tx"}</definedName>
    <definedName name="wrn.Partnership1" localSheetId="12" hidden="1">{#N/A,#N/A,FALSE,"Ptnr Cash Flow";#N/A,#N/A,FALSE,"Pship Summary";#N/A,#N/A,FALSE,"Pship Proforma";#N/A,#N/A,FALSE,"Tx"}</definedName>
    <definedName name="wrn.Partnership1" localSheetId="11" hidden="1">{#N/A,#N/A,FALSE,"Ptnr Cash Flow";#N/A,#N/A,FALSE,"Pship Summary";#N/A,#N/A,FALSE,"Pship Proforma";#N/A,#N/A,FALSE,"Tx"}</definedName>
    <definedName name="wrn.Partnership1" localSheetId="6" hidden="1">{#N/A,#N/A,FALSE,"Ptnr Cash Flow";#N/A,#N/A,FALSE,"Pship Summary";#N/A,#N/A,FALSE,"Pship Proforma";#N/A,#N/A,FALSE,"Tx"}</definedName>
    <definedName name="wrn.Partnership1" localSheetId="40" hidden="1">{#N/A,#N/A,FALSE,"Ptnr Cash Flow";#N/A,#N/A,FALSE,"Pship Summary";#N/A,#N/A,FALSE,"Pship Proforma";#N/A,#N/A,FALSE,"Tx"}</definedName>
    <definedName name="wrn.Partnership1" localSheetId="46" hidden="1">{#N/A,#N/A,FALSE,"Ptnr Cash Flow";#N/A,#N/A,FALSE,"Pship Summary";#N/A,#N/A,FALSE,"Pship Proforma";#N/A,#N/A,FALSE,"Tx"}</definedName>
    <definedName name="wrn.Partnership1" localSheetId="2" hidden="1">{#N/A,#N/A,FALSE,"Ptnr Cash Flow";#N/A,#N/A,FALSE,"Pship Summary";#N/A,#N/A,FALSE,"Pship Proforma";#N/A,#N/A,FALSE,"Tx"}</definedName>
    <definedName name="wrn.Partnership1" hidden="1">{#N/A,#N/A,FALSE,"Ptnr Cash Flow";#N/A,#N/A,FALSE,"Pship Summary";#N/A,#N/A,FALSE,"Pship Proforma";#N/A,#N/A,FALSE,"Tx"}</definedName>
    <definedName name="wrn.Partnership2" localSheetId="19" hidden="1">{#N/A,#N/A,FALSE,"Ptnr Cash Flow";#N/A,#N/A,FALSE,"Pship Summary";#N/A,#N/A,FALSE,"Pship Proforma";#N/A,#N/A,FALSE,"Tx"}</definedName>
    <definedName name="wrn.Partnership2" localSheetId="36" hidden="1">{#N/A,#N/A,FALSE,"Ptnr Cash Flow";#N/A,#N/A,FALSE,"Pship Summary";#N/A,#N/A,FALSE,"Pship Proforma";#N/A,#N/A,FALSE,"Tx"}</definedName>
    <definedName name="wrn.Partnership2" localSheetId="4" hidden="1">{#N/A,#N/A,FALSE,"Ptnr Cash Flow";#N/A,#N/A,FALSE,"Pship Summary";#N/A,#N/A,FALSE,"Pship Proforma";#N/A,#N/A,FALSE,"Tx"}</definedName>
    <definedName name="wrn.Partnership2" localSheetId="34" hidden="1">{#N/A,#N/A,FALSE,"Ptnr Cash Flow";#N/A,#N/A,FALSE,"Pship Summary";#N/A,#N/A,FALSE,"Pship Proforma";#N/A,#N/A,FALSE,"Tx"}</definedName>
    <definedName name="wrn.Partnership2" localSheetId="41" hidden="1">{#N/A,#N/A,FALSE,"Ptnr Cash Flow";#N/A,#N/A,FALSE,"Pship Summary";#N/A,#N/A,FALSE,"Pship Proforma";#N/A,#N/A,FALSE,"Tx"}</definedName>
    <definedName name="wrn.Partnership2" localSheetId="42" hidden="1">{#N/A,#N/A,FALSE,"Ptnr Cash Flow";#N/A,#N/A,FALSE,"Pship Summary";#N/A,#N/A,FALSE,"Pship Proforma";#N/A,#N/A,FALSE,"Tx"}</definedName>
    <definedName name="wrn.Partnership2" localSheetId="25" hidden="1">{#N/A,#N/A,FALSE,"Ptnr Cash Flow";#N/A,#N/A,FALSE,"Pship Summary";#N/A,#N/A,FALSE,"Pship Proforma";#N/A,#N/A,FALSE,"Tx"}</definedName>
    <definedName name="wrn.Partnership2" localSheetId="7" hidden="1">{#N/A,#N/A,FALSE,"Ptnr Cash Flow";#N/A,#N/A,FALSE,"Pship Summary";#N/A,#N/A,FALSE,"Pship Proforma";#N/A,#N/A,FALSE,"Tx"}</definedName>
    <definedName name="wrn.Partnership2" localSheetId="30" hidden="1">{#N/A,#N/A,FALSE,"Ptnr Cash Flow";#N/A,#N/A,FALSE,"Pship Summary";#N/A,#N/A,FALSE,"Pship Proforma";#N/A,#N/A,FALSE,"Tx"}</definedName>
    <definedName name="wrn.Partnership2" localSheetId="9" hidden="1">{#N/A,#N/A,FALSE,"Ptnr Cash Flow";#N/A,#N/A,FALSE,"Pship Summary";#N/A,#N/A,FALSE,"Pship Proforma";#N/A,#N/A,FALSE,"Tx"}</definedName>
    <definedName name="wrn.Partnership2" localSheetId="12" hidden="1">{#N/A,#N/A,FALSE,"Ptnr Cash Flow";#N/A,#N/A,FALSE,"Pship Summary";#N/A,#N/A,FALSE,"Pship Proforma";#N/A,#N/A,FALSE,"Tx"}</definedName>
    <definedName name="wrn.Partnership2" localSheetId="11" hidden="1">{#N/A,#N/A,FALSE,"Ptnr Cash Flow";#N/A,#N/A,FALSE,"Pship Summary";#N/A,#N/A,FALSE,"Pship Proforma";#N/A,#N/A,FALSE,"Tx"}</definedName>
    <definedName name="wrn.Partnership2" localSheetId="6" hidden="1">{#N/A,#N/A,FALSE,"Ptnr Cash Flow";#N/A,#N/A,FALSE,"Pship Summary";#N/A,#N/A,FALSE,"Pship Proforma";#N/A,#N/A,FALSE,"Tx"}</definedName>
    <definedName name="wrn.Partnership2" localSheetId="40" hidden="1">{#N/A,#N/A,FALSE,"Ptnr Cash Flow";#N/A,#N/A,FALSE,"Pship Summary";#N/A,#N/A,FALSE,"Pship Proforma";#N/A,#N/A,FALSE,"Tx"}</definedName>
    <definedName name="wrn.Partnership2" localSheetId="46" hidden="1">{#N/A,#N/A,FALSE,"Ptnr Cash Flow";#N/A,#N/A,FALSE,"Pship Summary";#N/A,#N/A,FALSE,"Pship Proforma";#N/A,#N/A,FALSE,"Tx"}</definedName>
    <definedName name="wrn.Partnership2" localSheetId="2" hidden="1">{#N/A,#N/A,FALSE,"Ptnr Cash Flow";#N/A,#N/A,FALSE,"Pship Summary";#N/A,#N/A,FALSE,"Pship Proforma";#N/A,#N/A,FALSE,"Tx"}</definedName>
    <definedName name="wrn.Partnership2" hidden="1">{#N/A,#N/A,FALSE,"Ptnr Cash Flow";#N/A,#N/A,FALSE,"Pship Summary";#N/A,#N/A,FALSE,"Pship Proforma";#N/A,#N/A,FALSE,"Tx"}</definedName>
    <definedName name="X_baseline_Tx" localSheetId="25">[1]Upload_Tx!$D$17:$AL$28</definedName>
    <definedName name="X_baseline_Tx" localSheetId="11">Upload_Tx!$D$17:$AL$28</definedName>
    <definedName name="X_baseline_Tx">Upload_Tx!$D$17:$AL$28</definedName>
    <definedName name="xxx" localSheetId="25" hidden="1">{#N/A,#N/A,FALSE,"Summary";#N/A,#N/A,FALSE,"Proforma";#N/A,#N/A,FALSE,"Tx"}</definedName>
    <definedName name="xxx" localSheetId="39" hidden="1">{#N/A,#N/A,FALSE,"Summary";#N/A,#N/A,FALSE,"Proforma";#N/A,#N/A,FALSE,"Tx"}</definedName>
    <definedName name="xxx" hidden="1">{#N/A,#N/A,FALSE,"Summary";#N/A,#N/A,FALSE,"Proforma";#N/A,#N/A,FALSE,"Tx"}</definedName>
    <definedName name="xyr0pts" localSheetId="41">'[2]2.1 Assumptions - Pts'!#REF!</definedName>
    <definedName name="xyr0pts" localSheetId="42">'[2]2.1 Assumptions - Pts'!#REF!</definedName>
    <definedName name="xyr1pts" localSheetId="41">'[2]2.1 Assumptions - Pts'!#REF!</definedName>
    <definedName name="xyr1pts" localSheetId="42">'[2]2.1 Assumptions - Pts'!#REF!</definedName>
    <definedName name="xyr2pts" localSheetId="41">'[2]2.1 Assumptions - Pts'!#REF!</definedName>
    <definedName name="xyr2pts" localSheetId="42">'[2]2.1 Assumptions - Pts'!#REF!</definedName>
    <definedName name="xyr3pts" localSheetId="41">'[2]2.1 Assumptions - Pts'!#REF!</definedName>
    <definedName name="xyr3pts" localSheetId="42">'[2]2.1 Assumptions - Pts'!#REF!</definedName>
    <definedName name="xyr4pts" localSheetId="41">'[2]2.1 Assumptions - Pts'!#REF!</definedName>
    <definedName name="xyr4pts" localSheetId="42">'[2]2.1 Assumptions - Pts'!#REF!</definedName>
    <definedName name="xyr5pts" localSheetId="41">'[2]2.1 Assumptions - Pts'!#REF!</definedName>
    <definedName name="xyr5pts" localSheetId="42">'[2]2.1 Assumptions - Pts'!#REF!</definedName>
    <definedName name="ZipCode">'1.0 Summary'!$F$18</definedName>
    <definedName name="zzz" localSheetId="25" hidden="1">{#N/A,#N/A,FALSE,"Ptnr Cash Flow";#N/A,#N/A,FALSE,"Pship Summary";#N/A,#N/A,FALSE,"Pship Proforma";#N/A,#N/A,FALSE,"Tx"}</definedName>
    <definedName name="zzz" localSheetId="39" hidden="1">{#N/A,#N/A,FALSE,"Ptnr Cash Flow";#N/A,#N/A,FALSE,"Pship Summary";#N/A,#N/A,FALSE,"Pship Proforma";#N/A,#N/A,FALSE,"Tx"}</definedName>
    <definedName name="zzz" hidden="1">{#N/A,#N/A,FALSE,"Ptnr Cash Flow";#N/A,#N/A,FALSE,"Pship Summary";#N/A,#N/A,FALSE,"Pship Proforma";#N/A,#N/A,FALSE,"Tx"}</definedName>
  </definedNames>
  <calcPr calcId="125725"/>
</workbook>
</file>

<file path=xl/calcChain.xml><?xml version="1.0" encoding="utf-8"?>
<calcChain xmlns="http://schemas.openxmlformats.org/spreadsheetml/2006/main">
  <c r="T10" i="31"/>
  <c r="U47" i="44"/>
  <c r="E20" i="104"/>
  <c r="D20"/>
  <c r="F19"/>
  <c r="F18"/>
  <c r="E13"/>
  <c r="D13"/>
  <c r="C13"/>
  <c r="F12"/>
  <c r="F13" s="1"/>
  <c r="F11"/>
  <c r="E7"/>
  <c r="D7"/>
  <c r="C7"/>
  <c r="F6"/>
  <c r="F7" s="1"/>
  <c r="F5"/>
  <c r="E3"/>
  <c r="D3"/>
  <c r="C3"/>
  <c r="E2"/>
  <c r="D2"/>
  <c r="C2"/>
  <c r="F20" l="1"/>
  <c r="I106" i="44" l="1"/>
  <c r="I102"/>
  <c r="J102" s="1"/>
  <c r="L98"/>
  <c r="L106" s="1"/>
  <c r="K98"/>
  <c r="K106" s="1"/>
  <c r="J98"/>
  <c r="J106" s="1"/>
  <c r="I98"/>
  <c r="H98"/>
  <c r="H106" s="1"/>
  <c r="G98"/>
  <c r="G106" s="1"/>
  <c r="L91"/>
  <c r="K91"/>
  <c r="J91"/>
  <c r="I91"/>
  <c r="G90"/>
  <c r="G103" s="1"/>
  <c r="G104" s="1"/>
  <c r="K88"/>
  <c r="I88"/>
  <c r="G88"/>
  <c r="L84"/>
  <c r="K84"/>
  <c r="J84"/>
  <c r="I84"/>
  <c r="H84"/>
  <c r="G84"/>
  <c r="G82"/>
  <c r="G81"/>
  <c r="I80"/>
  <c r="J80" s="1"/>
  <c r="I68"/>
  <c r="H68"/>
  <c r="H81" s="1"/>
  <c r="H82" s="1"/>
  <c r="L66"/>
  <c r="L88" s="1"/>
  <c r="K66"/>
  <c r="J66"/>
  <c r="J88" s="1"/>
  <c r="I66"/>
  <c r="H66"/>
  <c r="H88" s="1"/>
  <c r="HM142" i="58"/>
  <c r="HL142"/>
  <c r="HK142"/>
  <c r="HJ142"/>
  <c r="HI142"/>
  <c r="HH142"/>
  <c r="HG142"/>
  <c r="HF142"/>
  <c r="HE142"/>
  <c r="HD142"/>
  <c r="HC142"/>
  <c r="HM139"/>
  <c r="HL139"/>
  <c r="HK139"/>
  <c r="HJ139"/>
  <c r="HI139"/>
  <c r="HH139"/>
  <c r="HG139"/>
  <c r="HF139"/>
  <c r="HE139"/>
  <c r="HD139"/>
  <c r="HC139"/>
  <c r="HM124"/>
  <c r="HL124"/>
  <c r="HK124"/>
  <c r="HJ124"/>
  <c r="HI124"/>
  <c r="HH124"/>
  <c r="HG124"/>
  <c r="HF124"/>
  <c r="HE124"/>
  <c r="HD124"/>
  <c r="HC124"/>
  <c r="HM93"/>
  <c r="HL93"/>
  <c r="HK93"/>
  <c r="HJ93"/>
  <c r="HI93"/>
  <c r="HH93"/>
  <c r="HG93"/>
  <c r="HF93"/>
  <c r="HE93"/>
  <c r="HD93"/>
  <c r="HC93"/>
  <c r="HM61"/>
  <c r="HL61"/>
  <c r="HK61"/>
  <c r="HJ61"/>
  <c r="HI61"/>
  <c r="HH61"/>
  <c r="HG61"/>
  <c r="HF61"/>
  <c r="HE61"/>
  <c r="HD61"/>
  <c r="HC61"/>
  <c r="HM35"/>
  <c r="HL35"/>
  <c r="HK35"/>
  <c r="HJ35"/>
  <c r="HI35"/>
  <c r="HH35"/>
  <c r="HG35"/>
  <c r="HF35"/>
  <c r="HE35"/>
  <c r="HD35"/>
  <c r="HC35"/>
  <c r="HM33"/>
  <c r="HL33"/>
  <c r="HK33"/>
  <c r="HJ33"/>
  <c r="HI33"/>
  <c r="HH33"/>
  <c r="HG33"/>
  <c r="HF33"/>
  <c r="HE33"/>
  <c r="HD33"/>
  <c r="HC33"/>
  <c r="HM32"/>
  <c r="HL32"/>
  <c r="HK32"/>
  <c r="HJ32"/>
  <c r="HI32"/>
  <c r="HH32"/>
  <c r="HG32"/>
  <c r="HF32"/>
  <c r="HE32"/>
  <c r="HD32"/>
  <c r="HC32"/>
  <c r="HM31"/>
  <c r="HK31"/>
  <c r="HI31"/>
  <c r="HG31"/>
  <c r="HE31"/>
  <c r="HC31"/>
  <c r="HM28"/>
  <c r="HL28"/>
  <c r="HL31" s="1"/>
  <c r="HK28"/>
  <c r="HJ28"/>
  <c r="HJ31" s="1"/>
  <c r="HI28"/>
  <c r="HH28"/>
  <c r="HH31" s="1"/>
  <c r="HG28"/>
  <c r="HF28"/>
  <c r="HF31" s="1"/>
  <c r="HE28"/>
  <c r="HD28"/>
  <c r="HD31" s="1"/>
  <c r="HC28"/>
  <c r="HM23"/>
  <c r="HL23"/>
  <c r="HK23"/>
  <c r="HJ23"/>
  <c r="HI23"/>
  <c r="HH23"/>
  <c r="HG23"/>
  <c r="HF23"/>
  <c r="HE23"/>
  <c r="HD23"/>
  <c r="HC23"/>
  <c r="HM21"/>
  <c r="HL21"/>
  <c r="HK21"/>
  <c r="HJ21"/>
  <c r="HI21"/>
  <c r="HH21"/>
  <c r="HG21"/>
  <c r="HF21"/>
  <c r="HE21"/>
  <c r="HD21"/>
  <c r="HC21"/>
  <c r="HM18"/>
  <c r="HL18"/>
  <c r="HK18"/>
  <c r="HJ18"/>
  <c r="HI18"/>
  <c r="HH18"/>
  <c r="HG18"/>
  <c r="HF18"/>
  <c r="HE18"/>
  <c r="HD18"/>
  <c r="HC18"/>
  <c r="GA278"/>
  <c r="FZ278"/>
  <c r="FY278"/>
  <c r="FX278"/>
  <c r="FW278"/>
  <c r="FV278"/>
  <c r="FU278"/>
  <c r="FT278"/>
  <c r="FS278"/>
  <c r="FR278"/>
  <c r="FQ278"/>
  <c r="FP278"/>
  <c r="FO278"/>
  <c r="FN278"/>
  <c r="FM278"/>
  <c r="FL278"/>
  <c r="FK278"/>
  <c r="FJ278"/>
  <c r="FI278"/>
  <c r="FH278"/>
  <c r="FG278"/>
  <c r="FF278"/>
  <c r="FE278"/>
  <c r="FD278"/>
  <c r="FC278"/>
  <c r="FB278"/>
  <c r="FA278"/>
  <c r="EZ278"/>
  <c r="EY278"/>
  <c r="EX278"/>
  <c r="EW278"/>
  <c r="EV278"/>
  <c r="EU278"/>
  <c r="ET278"/>
  <c r="ES278"/>
  <c r="ER278"/>
  <c r="EQ278"/>
  <c r="EP278"/>
  <c r="EO278"/>
  <c r="EN278"/>
  <c r="EM278"/>
  <c r="EL278"/>
  <c r="EK278"/>
  <c r="EJ278"/>
  <c r="EI278"/>
  <c r="EH278"/>
  <c r="EG278"/>
  <c r="EF278"/>
  <c r="EE278"/>
  <c r="ED278"/>
  <c r="EC278"/>
  <c r="EB278"/>
  <c r="EA278"/>
  <c r="DZ278"/>
  <c r="DY278"/>
  <c r="DX278"/>
  <c r="DW278"/>
  <c r="DV278"/>
  <c r="DU278"/>
  <c r="DT278"/>
  <c r="DS278"/>
  <c r="DR278"/>
  <c r="DQ278"/>
  <c r="DP278"/>
  <c r="DO278"/>
  <c r="DN278"/>
  <c r="DM278"/>
  <c r="DL278"/>
  <c r="DK278"/>
  <c r="DJ278"/>
  <c r="DI278"/>
  <c r="DH278"/>
  <c r="DG278"/>
  <c r="DF278"/>
  <c r="DE278"/>
  <c r="DD278"/>
  <c r="DC278"/>
  <c r="DB278"/>
  <c r="DA278"/>
  <c r="CZ278"/>
  <c r="CY278"/>
  <c r="CX278"/>
  <c r="CW278"/>
  <c r="CV278"/>
  <c r="CU278"/>
  <c r="CT278"/>
  <c r="CS278"/>
  <c r="CR278"/>
  <c r="CQ278"/>
  <c r="CP278"/>
  <c r="CO278"/>
  <c r="CN278"/>
  <c r="CM278"/>
  <c r="CL278"/>
  <c r="CK278"/>
  <c r="CJ278"/>
  <c r="CI278"/>
  <c r="CH278"/>
  <c r="CG278"/>
  <c r="CF278"/>
  <c r="CE278"/>
  <c r="CD278"/>
  <c r="CC278"/>
  <c r="CB278"/>
  <c r="CA278"/>
  <c r="BZ278"/>
  <c r="BY278"/>
  <c r="BX278"/>
  <c r="BW278"/>
  <c r="BV278"/>
  <c r="BU278"/>
  <c r="BT278"/>
  <c r="BS278"/>
  <c r="BR278"/>
  <c r="BQ278"/>
  <c r="BP278"/>
  <c r="BO278"/>
  <c r="BN278"/>
  <c r="BM278"/>
  <c r="BL278"/>
  <c r="BK278"/>
  <c r="BJ278"/>
  <c r="BI278"/>
  <c r="BH278"/>
  <c r="BG278"/>
  <c r="BF278"/>
  <c r="BE278"/>
  <c r="BD278"/>
  <c r="BC278"/>
  <c r="BB278"/>
  <c r="BA278"/>
  <c r="AZ278"/>
  <c r="AY278"/>
  <c r="AX278"/>
  <c r="AW278"/>
  <c r="AV278"/>
  <c r="AU278"/>
  <c r="AT278"/>
  <c r="AS278"/>
  <c r="AR278"/>
  <c r="AQ278"/>
  <c r="AP278"/>
  <c r="AO278"/>
  <c r="AN278"/>
  <c r="AM278"/>
  <c r="AL278"/>
  <c r="AK278"/>
  <c r="AJ278"/>
  <c r="AI278"/>
  <c r="AH278"/>
  <c r="AG278"/>
  <c r="AF278"/>
  <c r="AE278"/>
  <c r="AD278"/>
  <c r="AC278"/>
  <c r="AB278"/>
  <c r="AA278"/>
  <c r="Z278"/>
  <c r="Y278"/>
  <c r="X278"/>
  <c r="W278"/>
  <c r="V278"/>
  <c r="U278"/>
  <c r="T278"/>
  <c r="S278"/>
  <c r="R278"/>
  <c r="Q278"/>
  <c r="P278"/>
  <c r="O278"/>
  <c r="N278"/>
  <c r="M278"/>
  <c r="L278"/>
  <c r="K278"/>
  <c r="J278"/>
  <c r="I278"/>
  <c r="H278"/>
  <c r="G278"/>
  <c r="F278"/>
  <c r="E278"/>
  <c r="D278"/>
  <c r="A278"/>
  <c r="HB142"/>
  <c r="GA142"/>
  <c r="FZ142"/>
  <c r="FY142"/>
  <c r="FX142"/>
  <c r="FW142"/>
  <c r="FV142"/>
  <c r="FU142"/>
  <c r="FT142"/>
  <c r="FS142"/>
  <c r="FR142"/>
  <c r="FQ142"/>
  <c r="FP142"/>
  <c r="FO142"/>
  <c r="FN142"/>
  <c r="FM142"/>
  <c r="FL142"/>
  <c r="FK142"/>
  <c r="FJ142"/>
  <c r="FI142"/>
  <c r="FH142"/>
  <c r="FG142"/>
  <c r="FF142"/>
  <c r="FE142"/>
  <c r="FD142"/>
  <c r="FC142"/>
  <c r="FB142"/>
  <c r="FA142"/>
  <c r="EZ142"/>
  <c r="EY142"/>
  <c r="EX142"/>
  <c r="EW142"/>
  <c r="EV142"/>
  <c r="EU142"/>
  <c r="ET142"/>
  <c r="ES142"/>
  <c r="ER142"/>
  <c r="EQ142"/>
  <c r="EP142"/>
  <c r="EO142"/>
  <c r="EN142"/>
  <c r="EM142"/>
  <c r="EL142"/>
  <c r="EK142"/>
  <c r="EJ142"/>
  <c r="EI142"/>
  <c r="EH142"/>
  <c r="EG142"/>
  <c r="EF142"/>
  <c r="EE142"/>
  <c r="ED142"/>
  <c r="EC142"/>
  <c r="EB142"/>
  <c r="EA142"/>
  <c r="DZ142"/>
  <c r="DY142"/>
  <c r="DX142"/>
  <c r="DW142"/>
  <c r="DV142"/>
  <c r="DU142"/>
  <c r="DT142"/>
  <c r="DS142"/>
  <c r="DR142"/>
  <c r="DQ142"/>
  <c r="DP142"/>
  <c r="DO142"/>
  <c r="DN142"/>
  <c r="DM142"/>
  <c r="DL142"/>
  <c r="DK142"/>
  <c r="DJ142"/>
  <c r="DI142"/>
  <c r="DH142"/>
  <c r="DG142"/>
  <c r="DF142"/>
  <c r="DE142"/>
  <c r="DD142"/>
  <c r="DC142"/>
  <c r="DB142"/>
  <c r="DA142"/>
  <c r="CZ142"/>
  <c r="CY142"/>
  <c r="CX142"/>
  <c r="CW142"/>
  <c r="CV142"/>
  <c r="CU142"/>
  <c r="CT142"/>
  <c r="CS142"/>
  <c r="CR142"/>
  <c r="CQ142"/>
  <c r="CP142"/>
  <c r="CO142"/>
  <c r="CN142"/>
  <c r="CM142"/>
  <c r="CL142"/>
  <c r="CK142"/>
  <c r="CJ142"/>
  <c r="CI142"/>
  <c r="CH142"/>
  <c r="CG142"/>
  <c r="CF142"/>
  <c r="CE142"/>
  <c r="CD142"/>
  <c r="CC142"/>
  <c r="CB142"/>
  <c r="CA142"/>
  <c r="BZ142"/>
  <c r="BY142"/>
  <c r="BX142"/>
  <c r="BW142"/>
  <c r="BV142"/>
  <c r="BU142"/>
  <c r="BT142"/>
  <c r="BS142"/>
  <c r="BR142"/>
  <c r="BQ142"/>
  <c r="BP142"/>
  <c r="BO142"/>
  <c r="BN142"/>
  <c r="BM142"/>
  <c r="BL142"/>
  <c r="BK142"/>
  <c r="BJ142"/>
  <c r="BI142"/>
  <c r="BH142"/>
  <c r="BG142"/>
  <c r="BF142"/>
  <c r="BE142"/>
  <c r="BD142"/>
  <c r="BC142"/>
  <c r="BB142"/>
  <c r="BA142"/>
  <c r="AZ142"/>
  <c r="AY142"/>
  <c r="AX142"/>
  <c r="AW142"/>
  <c r="AV142"/>
  <c r="AU142"/>
  <c r="AT142"/>
  <c r="AS142"/>
  <c r="AR142"/>
  <c r="AQ142"/>
  <c r="AP142"/>
  <c r="AO142"/>
  <c r="AN142"/>
  <c r="AM142"/>
  <c r="AL142"/>
  <c r="AK142"/>
  <c r="AJ142"/>
  <c r="AI142"/>
  <c r="AH142"/>
  <c r="AG142"/>
  <c r="AF142"/>
  <c r="AE142"/>
  <c r="AD142"/>
  <c r="AC142"/>
  <c r="AB142"/>
  <c r="AA142"/>
  <c r="Z142"/>
  <c r="Y142"/>
  <c r="X142"/>
  <c r="W142"/>
  <c r="V142"/>
  <c r="U142"/>
  <c r="T142"/>
  <c r="S142"/>
  <c r="R142"/>
  <c r="Q142"/>
  <c r="P142"/>
  <c r="O142"/>
  <c r="N142"/>
  <c r="M142"/>
  <c r="L142"/>
  <c r="K142"/>
  <c r="J142"/>
  <c r="I142"/>
  <c r="H142"/>
  <c r="G142"/>
  <c r="F142"/>
  <c r="E142"/>
  <c r="D142"/>
  <c r="HB139"/>
  <c r="GA139"/>
  <c r="FZ139"/>
  <c r="FY139"/>
  <c r="FX139"/>
  <c r="FW139"/>
  <c r="FV139"/>
  <c r="FU139"/>
  <c r="FT139"/>
  <c r="FS139"/>
  <c r="FR139"/>
  <c r="FQ139"/>
  <c r="FP139"/>
  <c r="FO139"/>
  <c r="FN139"/>
  <c r="FM139"/>
  <c r="FL139"/>
  <c r="FK139"/>
  <c r="FJ139"/>
  <c r="FI139"/>
  <c r="FH139"/>
  <c r="FG139"/>
  <c r="FF139"/>
  <c r="FE139"/>
  <c r="FD139"/>
  <c r="FC139"/>
  <c r="FB139"/>
  <c r="FA139"/>
  <c r="EZ139"/>
  <c r="EY139"/>
  <c r="EX139"/>
  <c r="EW139"/>
  <c r="EV139"/>
  <c r="EU139"/>
  <c r="ET139"/>
  <c r="ES139"/>
  <c r="ER139"/>
  <c r="EQ139"/>
  <c r="EP139"/>
  <c r="EO139"/>
  <c r="EN139"/>
  <c r="EM139"/>
  <c r="EL139"/>
  <c r="EK139"/>
  <c r="EJ139"/>
  <c r="EI139"/>
  <c r="EH139"/>
  <c r="EG139"/>
  <c r="EF139"/>
  <c r="EE139"/>
  <c r="ED139"/>
  <c r="EC139"/>
  <c r="EB139"/>
  <c r="EA139"/>
  <c r="DZ139"/>
  <c r="DY139"/>
  <c r="DX139"/>
  <c r="DW139"/>
  <c r="DV139"/>
  <c r="DU139"/>
  <c r="DT139"/>
  <c r="DS139"/>
  <c r="DR139"/>
  <c r="DQ139"/>
  <c r="DP139"/>
  <c r="DO139"/>
  <c r="DN139"/>
  <c r="DM139"/>
  <c r="DL139"/>
  <c r="DK139"/>
  <c r="DJ139"/>
  <c r="DI139"/>
  <c r="DH139"/>
  <c r="DG139"/>
  <c r="DF139"/>
  <c r="DE139"/>
  <c r="DD139"/>
  <c r="DC139"/>
  <c r="DB139"/>
  <c r="DA139"/>
  <c r="CZ139"/>
  <c r="CY139"/>
  <c r="CX139"/>
  <c r="CW139"/>
  <c r="CV139"/>
  <c r="CU139"/>
  <c r="CT139"/>
  <c r="CS139"/>
  <c r="CR139"/>
  <c r="CQ139"/>
  <c r="CP139"/>
  <c r="CO139"/>
  <c r="CN139"/>
  <c r="CM139"/>
  <c r="CL139"/>
  <c r="CK139"/>
  <c r="CJ139"/>
  <c r="CI139"/>
  <c r="CH139"/>
  <c r="CG139"/>
  <c r="CF139"/>
  <c r="CE139"/>
  <c r="CD139"/>
  <c r="CC139"/>
  <c r="CB139"/>
  <c r="CA139"/>
  <c r="BZ139"/>
  <c r="BY139"/>
  <c r="BX139"/>
  <c r="BW139"/>
  <c r="BV139"/>
  <c r="BU139"/>
  <c r="BT139"/>
  <c r="BS139"/>
  <c r="BR139"/>
  <c r="BQ139"/>
  <c r="BP139"/>
  <c r="BO139"/>
  <c r="BN139"/>
  <c r="BM139"/>
  <c r="BL139"/>
  <c r="BK139"/>
  <c r="BJ139"/>
  <c r="BI139"/>
  <c r="BH139"/>
  <c r="BG139"/>
  <c r="BF139"/>
  <c r="BE139"/>
  <c r="BD139"/>
  <c r="BC139"/>
  <c r="BB139"/>
  <c r="BA139"/>
  <c r="AZ139"/>
  <c r="AY139"/>
  <c r="AX139"/>
  <c r="AW139"/>
  <c r="AV139"/>
  <c r="AU139"/>
  <c r="AT139"/>
  <c r="AS139"/>
  <c r="AR139"/>
  <c r="AQ139"/>
  <c r="AP139"/>
  <c r="AO139"/>
  <c r="AN139"/>
  <c r="AM139"/>
  <c r="AL139"/>
  <c r="AK139"/>
  <c r="AJ139"/>
  <c r="AI139"/>
  <c r="AH139"/>
  <c r="AG139"/>
  <c r="AF139"/>
  <c r="AE139"/>
  <c r="AD139"/>
  <c r="AC139"/>
  <c r="AB139"/>
  <c r="AA139"/>
  <c r="Z139"/>
  <c r="Y139"/>
  <c r="X139"/>
  <c r="W139"/>
  <c r="V139"/>
  <c r="U139"/>
  <c r="T139"/>
  <c r="S139"/>
  <c r="R139"/>
  <c r="Q139"/>
  <c r="P139"/>
  <c r="O139"/>
  <c r="N139"/>
  <c r="M139"/>
  <c r="L139"/>
  <c r="K139"/>
  <c r="J139"/>
  <c r="I139"/>
  <c r="H139"/>
  <c r="G139"/>
  <c r="F139"/>
  <c r="E139"/>
  <c r="D139"/>
  <c r="HB124"/>
  <c r="GA124"/>
  <c r="FZ124"/>
  <c r="FY124"/>
  <c r="FX124"/>
  <c r="FW124"/>
  <c r="FV124"/>
  <c r="FU124"/>
  <c r="FT124"/>
  <c r="FS124"/>
  <c r="FR124"/>
  <c r="FQ124"/>
  <c r="FP124"/>
  <c r="FO124"/>
  <c r="FN124"/>
  <c r="FM124"/>
  <c r="FL124"/>
  <c r="FK124"/>
  <c r="FJ124"/>
  <c r="FI124"/>
  <c r="FH124"/>
  <c r="FG124"/>
  <c r="FF124"/>
  <c r="FE124"/>
  <c r="FD124"/>
  <c r="FC124"/>
  <c r="FB124"/>
  <c r="FA124"/>
  <c r="EZ124"/>
  <c r="EY124"/>
  <c r="EX124"/>
  <c r="EW124"/>
  <c r="EV124"/>
  <c r="EU124"/>
  <c r="ET124"/>
  <c r="ES124"/>
  <c r="ER124"/>
  <c r="EQ124"/>
  <c r="EP124"/>
  <c r="EO124"/>
  <c r="EN124"/>
  <c r="EM124"/>
  <c r="EL124"/>
  <c r="EK124"/>
  <c r="EJ124"/>
  <c r="EI124"/>
  <c r="EH124"/>
  <c r="EG124"/>
  <c r="EF124"/>
  <c r="EE124"/>
  <c r="ED124"/>
  <c r="EC124"/>
  <c r="EB124"/>
  <c r="EA124"/>
  <c r="DZ124"/>
  <c r="DY124"/>
  <c r="DX124"/>
  <c r="DW124"/>
  <c r="DV124"/>
  <c r="DU124"/>
  <c r="DT124"/>
  <c r="DS124"/>
  <c r="DR124"/>
  <c r="DQ124"/>
  <c r="DP124"/>
  <c r="DO124"/>
  <c r="DN124"/>
  <c r="DM124"/>
  <c r="DL124"/>
  <c r="DK124"/>
  <c r="DJ124"/>
  <c r="DI124"/>
  <c r="DH124"/>
  <c r="DG124"/>
  <c r="DF124"/>
  <c r="DE124"/>
  <c r="DD124"/>
  <c r="DC124"/>
  <c r="DB124"/>
  <c r="DA124"/>
  <c r="CZ124"/>
  <c r="CY124"/>
  <c r="CX124"/>
  <c r="CW124"/>
  <c r="CV124"/>
  <c r="CU124"/>
  <c r="CT124"/>
  <c r="CS124"/>
  <c r="CR124"/>
  <c r="CQ124"/>
  <c r="CP124"/>
  <c r="CO124"/>
  <c r="CN124"/>
  <c r="CM124"/>
  <c r="CL124"/>
  <c r="CK124"/>
  <c r="CJ124"/>
  <c r="CI124"/>
  <c r="CH124"/>
  <c r="CG124"/>
  <c r="CF124"/>
  <c r="CE124"/>
  <c r="CD124"/>
  <c r="CC124"/>
  <c r="CB124"/>
  <c r="CA124"/>
  <c r="BZ124"/>
  <c r="BY124"/>
  <c r="BX124"/>
  <c r="BW124"/>
  <c r="BV124"/>
  <c r="BU124"/>
  <c r="BT124"/>
  <c r="BS124"/>
  <c r="BR124"/>
  <c r="BQ124"/>
  <c r="BP124"/>
  <c r="BO124"/>
  <c r="BN124"/>
  <c r="BM124"/>
  <c r="BL124"/>
  <c r="BK124"/>
  <c r="BJ124"/>
  <c r="BI124"/>
  <c r="BH124"/>
  <c r="BG124"/>
  <c r="BF124"/>
  <c r="BE124"/>
  <c r="BD124"/>
  <c r="BC124"/>
  <c r="BB124"/>
  <c r="BA124"/>
  <c r="AZ124"/>
  <c r="AY124"/>
  <c r="AX124"/>
  <c r="AW124"/>
  <c r="AV124"/>
  <c r="AU124"/>
  <c r="AT124"/>
  <c r="AS124"/>
  <c r="AR124"/>
  <c r="AQ124"/>
  <c r="AP124"/>
  <c r="AO124"/>
  <c r="AN124"/>
  <c r="AM124"/>
  <c r="AL124"/>
  <c r="AK124"/>
  <c r="AJ124"/>
  <c r="AI124"/>
  <c r="AH124"/>
  <c r="AG124"/>
  <c r="AF124"/>
  <c r="AE124"/>
  <c r="AD124"/>
  <c r="AC124"/>
  <c r="AB124"/>
  <c r="AA124"/>
  <c r="Z124"/>
  <c r="Y124"/>
  <c r="X124"/>
  <c r="W124"/>
  <c r="V124"/>
  <c r="U124"/>
  <c r="T124"/>
  <c r="S124"/>
  <c r="R124"/>
  <c r="Q124"/>
  <c r="P124"/>
  <c r="O124"/>
  <c r="N124"/>
  <c r="M124"/>
  <c r="L124"/>
  <c r="K124"/>
  <c r="J124"/>
  <c r="I124"/>
  <c r="H124"/>
  <c r="G124"/>
  <c r="F124"/>
  <c r="E124"/>
  <c r="D124"/>
  <c r="HB93"/>
  <c r="GA93"/>
  <c r="FZ93"/>
  <c r="FY93"/>
  <c r="FX93"/>
  <c r="FW93"/>
  <c r="FV93"/>
  <c r="FU93"/>
  <c r="FT93"/>
  <c r="FS93"/>
  <c r="FR93"/>
  <c r="FQ93"/>
  <c r="FP93"/>
  <c r="FO93"/>
  <c r="FN93"/>
  <c r="FM93"/>
  <c r="FL93"/>
  <c r="FK93"/>
  <c r="FJ93"/>
  <c r="FI93"/>
  <c r="FH93"/>
  <c r="FG93"/>
  <c r="FF93"/>
  <c r="FE93"/>
  <c r="FD93"/>
  <c r="FC93"/>
  <c r="FB93"/>
  <c r="FA93"/>
  <c r="EZ93"/>
  <c r="EY93"/>
  <c r="EX93"/>
  <c r="EW93"/>
  <c r="EV93"/>
  <c r="EU93"/>
  <c r="ET93"/>
  <c r="ES93"/>
  <c r="ER93"/>
  <c r="EQ93"/>
  <c r="EP93"/>
  <c r="EO93"/>
  <c r="EN93"/>
  <c r="EM93"/>
  <c r="EL93"/>
  <c r="EK93"/>
  <c r="EJ93"/>
  <c r="EI93"/>
  <c r="EH93"/>
  <c r="EG93"/>
  <c r="EF93"/>
  <c r="EE93"/>
  <c r="ED93"/>
  <c r="EC93"/>
  <c r="EB93"/>
  <c r="EA93"/>
  <c r="DZ93"/>
  <c r="DY93"/>
  <c r="DX93"/>
  <c r="DW93"/>
  <c r="DV93"/>
  <c r="DU93"/>
  <c r="DT93"/>
  <c r="DS93"/>
  <c r="DR93"/>
  <c r="DQ93"/>
  <c r="DP93"/>
  <c r="DO93"/>
  <c r="DN93"/>
  <c r="DM93"/>
  <c r="DL93"/>
  <c r="DK93"/>
  <c r="DJ93"/>
  <c r="DI93"/>
  <c r="DH93"/>
  <c r="DG93"/>
  <c r="DF93"/>
  <c r="DE93"/>
  <c r="DD93"/>
  <c r="DC93"/>
  <c r="DB93"/>
  <c r="DA93"/>
  <c r="CZ93"/>
  <c r="CY93"/>
  <c r="CX93"/>
  <c r="CW93"/>
  <c r="CV93"/>
  <c r="CU93"/>
  <c r="CT93"/>
  <c r="CS93"/>
  <c r="CR93"/>
  <c r="CQ93"/>
  <c r="CP93"/>
  <c r="CO93"/>
  <c r="CN93"/>
  <c r="CM93"/>
  <c r="CL93"/>
  <c r="CK93"/>
  <c r="CJ93"/>
  <c r="CI93"/>
  <c r="CH93"/>
  <c r="CG93"/>
  <c r="CF93"/>
  <c r="CE93"/>
  <c r="CD93"/>
  <c r="CC93"/>
  <c r="CB93"/>
  <c r="CA93"/>
  <c r="BZ93"/>
  <c r="BY93"/>
  <c r="BX93"/>
  <c r="BW93"/>
  <c r="BV93"/>
  <c r="BU93"/>
  <c r="BT93"/>
  <c r="BS93"/>
  <c r="BR93"/>
  <c r="BQ93"/>
  <c r="BP93"/>
  <c r="BO93"/>
  <c r="BN93"/>
  <c r="BM93"/>
  <c r="BL93"/>
  <c r="BK93"/>
  <c r="BJ93"/>
  <c r="BI93"/>
  <c r="BH93"/>
  <c r="BG93"/>
  <c r="BF93"/>
  <c r="BE93"/>
  <c r="BD93"/>
  <c r="BC93"/>
  <c r="BB93"/>
  <c r="BA93"/>
  <c r="AZ93"/>
  <c r="AY93"/>
  <c r="AX93"/>
  <c r="AW93"/>
  <c r="AV93"/>
  <c r="AU93"/>
  <c r="AT93"/>
  <c r="AS93"/>
  <c r="AR93"/>
  <c r="AQ93"/>
  <c r="AP93"/>
  <c r="AO93"/>
  <c r="AN93"/>
  <c r="AM93"/>
  <c r="AL93"/>
  <c r="AK93"/>
  <c r="AJ93"/>
  <c r="AI93"/>
  <c r="AH93"/>
  <c r="AG93"/>
  <c r="AF93"/>
  <c r="AE93"/>
  <c r="AD93"/>
  <c r="AC93"/>
  <c r="AB93"/>
  <c r="AA93"/>
  <c r="Z93"/>
  <c r="Y93"/>
  <c r="X93"/>
  <c r="W93"/>
  <c r="V93"/>
  <c r="U93"/>
  <c r="T93"/>
  <c r="S93"/>
  <c r="R93"/>
  <c r="Q93"/>
  <c r="P93"/>
  <c r="O93"/>
  <c r="N93"/>
  <c r="M93"/>
  <c r="L93"/>
  <c r="K93"/>
  <c r="J93"/>
  <c r="I93"/>
  <c r="H93"/>
  <c r="G93"/>
  <c r="F93"/>
  <c r="E93"/>
  <c r="D93"/>
  <c r="HB61"/>
  <c r="GA61"/>
  <c r="FZ61"/>
  <c r="FY61"/>
  <c r="FX61"/>
  <c r="FW61"/>
  <c r="FV61"/>
  <c r="FU61"/>
  <c r="FT61"/>
  <c r="FS61"/>
  <c r="FR61"/>
  <c r="FQ61"/>
  <c r="FP61"/>
  <c r="FO61"/>
  <c r="FN61"/>
  <c r="FM61"/>
  <c r="FL61"/>
  <c r="FK61"/>
  <c r="FJ61"/>
  <c r="FI61"/>
  <c r="FH61"/>
  <c r="FG61"/>
  <c r="FF61"/>
  <c r="FE61"/>
  <c r="FD61"/>
  <c r="FC61"/>
  <c r="FB61"/>
  <c r="FA61"/>
  <c r="EZ61"/>
  <c r="EY61"/>
  <c r="EX61"/>
  <c r="EW61"/>
  <c r="EV61"/>
  <c r="EU61"/>
  <c r="ET61"/>
  <c r="ES61"/>
  <c r="ER61"/>
  <c r="EQ61"/>
  <c r="EP61"/>
  <c r="EO61"/>
  <c r="EN61"/>
  <c r="EM61"/>
  <c r="EL61"/>
  <c r="EK61"/>
  <c r="EJ61"/>
  <c r="EI61"/>
  <c r="EH61"/>
  <c r="EG61"/>
  <c r="EF61"/>
  <c r="EE61"/>
  <c r="ED61"/>
  <c r="EC61"/>
  <c r="EB61"/>
  <c r="EA61"/>
  <c r="DZ61"/>
  <c r="DY61"/>
  <c r="DX61"/>
  <c r="DW61"/>
  <c r="DV61"/>
  <c r="DU61"/>
  <c r="DT61"/>
  <c r="DS61"/>
  <c r="DR61"/>
  <c r="DQ61"/>
  <c r="DP61"/>
  <c r="DO61"/>
  <c r="DN61"/>
  <c r="DM61"/>
  <c r="DL61"/>
  <c r="DK61"/>
  <c r="DJ61"/>
  <c r="DI61"/>
  <c r="DH61"/>
  <c r="DG61"/>
  <c r="DF61"/>
  <c r="DE61"/>
  <c r="DD61"/>
  <c r="DC61"/>
  <c r="DB61"/>
  <c r="DA61"/>
  <c r="CZ61"/>
  <c r="CY61"/>
  <c r="CX61"/>
  <c r="CW61"/>
  <c r="CV61"/>
  <c r="CU61"/>
  <c r="CT61"/>
  <c r="CS61"/>
  <c r="CR61"/>
  <c r="CQ61"/>
  <c r="CP61"/>
  <c r="CO61"/>
  <c r="CN61"/>
  <c r="CM61"/>
  <c r="CL61"/>
  <c r="CK61"/>
  <c r="CJ61"/>
  <c r="CI61"/>
  <c r="CH61"/>
  <c r="CG61"/>
  <c r="CF61"/>
  <c r="CE61"/>
  <c r="CD61"/>
  <c r="CC61"/>
  <c r="CB61"/>
  <c r="CA61"/>
  <c r="BZ61"/>
  <c r="BY61"/>
  <c r="BX61"/>
  <c r="BW61"/>
  <c r="BV61"/>
  <c r="BU61"/>
  <c r="BT61"/>
  <c r="BS61"/>
  <c r="BR61"/>
  <c r="BQ61"/>
  <c r="BP61"/>
  <c r="BO61"/>
  <c r="BN61"/>
  <c r="BM61"/>
  <c r="BL61"/>
  <c r="BK61"/>
  <c r="BJ61"/>
  <c r="BI61"/>
  <c r="BH61"/>
  <c r="BG61"/>
  <c r="BF61"/>
  <c r="BE61"/>
  <c r="BD61"/>
  <c r="BC61"/>
  <c r="BB61"/>
  <c r="BA61"/>
  <c r="AZ61"/>
  <c r="AY61"/>
  <c r="AX61"/>
  <c r="AW61"/>
  <c r="AV61"/>
  <c r="AU61"/>
  <c r="AT61"/>
  <c r="AS61"/>
  <c r="AR61"/>
  <c r="AQ61"/>
  <c r="AP61"/>
  <c r="AO61"/>
  <c r="AN61"/>
  <c r="AM61"/>
  <c r="AL61"/>
  <c r="AK61"/>
  <c r="AJ61"/>
  <c r="AI61"/>
  <c r="AH61"/>
  <c r="AG61"/>
  <c r="AF61"/>
  <c r="AE61"/>
  <c r="AD61"/>
  <c r="AC61"/>
  <c r="AB61"/>
  <c r="AA61"/>
  <c r="Z61"/>
  <c r="Y61"/>
  <c r="X61"/>
  <c r="W61"/>
  <c r="V61"/>
  <c r="U61"/>
  <c r="T61"/>
  <c r="S61"/>
  <c r="R61"/>
  <c r="Q61"/>
  <c r="P61"/>
  <c r="O61"/>
  <c r="N61"/>
  <c r="M61"/>
  <c r="L61"/>
  <c r="K61"/>
  <c r="J61"/>
  <c r="I61"/>
  <c r="H61"/>
  <c r="G61"/>
  <c r="F61"/>
  <c r="E61"/>
  <c r="D61"/>
  <c r="HB35"/>
  <c r="GA35"/>
  <c r="FZ35"/>
  <c r="FY35"/>
  <c r="FX35"/>
  <c r="FW35"/>
  <c r="FV35"/>
  <c r="FU35"/>
  <c r="FT35"/>
  <c r="FS35"/>
  <c r="FR35"/>
  <c r="FQ35"/>
  <c r="FP35"/>
  <c r="FO35"/>
  <c r="FN35"/>
  <c r="FM35"/>
  <c r="FL35"/>
  <c r="FK35"/>
  <c r="FJ35"/>
  <c r="FI35"/>
  <c r="FH35"/>
  <c r="FG35"/>
  <c r="FF35"/>
  <c r="FE35"/>
  <c r="FD35"/>
  <c r="FC35"/>
  <c r="FB35"/>
  <c r="FA35"/>
  <c r="EZ35"/>
  <c r="EY35"/>
  <c r="EX35"/>
  <c r="EW35"/>
  <c r="EV35"/>
  <c r="EU35"/>
  <c r="ET35"/>
  <c r="ES35"/>
  <c r="ER35"/>
  <c r="EQ35"/>
  <c r="EP35"/>
  <c r="EO35"/>
  <c r="EN35"/>
  <c r="EM35"/>
  <c r="EL35"/>
  <c r="EK35"/>
  <c r="EJ35"/>
  <c r="EI35"/>
  <c r="EH35"/>
  <c r="EG35"/>
  <c r="EF35"/>
  <c r="EE35"/>
  <c r="ED35"/>
  <c r="EC35"/>
  <c r="EB35"/>
  <c r="EA35"/>
  <c r="DZ35"/>
  <c r="DY35"/>
  <c r="DX35"/>
  <c r="DW35"/>
  <c r="DV35"/>
  <c r="DU35"/>
  <c r="DT35"/>
  <c r="DS35"/>
  <c r="DR35"/>
  <c r="DQ35"/>
  <c r="DP35"/>
  <c r="DO35"/>
  <c r="DN35"/>
  <c r="DM35"/>
  <c r="DL35"/>
  <c r="DK35"/>
  <c r="DJ35"/>
  <c r="DI35"/>
  <c r="DH35"/>
  <c r="DG35"/>
  <c r="DF35"/>
  <c r="DE35"/>
  <c r="DD35"/>
  <c r="DC35"/>
  <c r="DB35"/>
  <c r="DA35"/>
  <c r="CZ35"/>
  <c r="CY35"/>
  <c r="CX35"/>
  <c r="CW35"/>
  <c r="CV35"/>
  <c r="CU35"/>
  <c r="CT35"/>
  <c r="CS35"/>
  <c r="CR35"/>
  <c r="CQ35"/>
  <c r="CP35"/>
  <c r="CO35"/>
  <c r="CN35"/>
  <c r="CM35"/>
  <c r="CL35"/>
  <c r="CK35"/>
  <c r="CJ35"/>
  <c r="CI35"/>
  <c r="CH35"/>
  <c r="CG35"/>
  <c r="CF35"/>
  <c r="CE35"/>
  <c r="CD35"/>
  <c r="CC35"/>
  <c r="CB35"/>
  <c r="CA35"/>
  <c r="BZ35"/>
  <c r="BY35"/>
  <c r="BX35"/>
  <c r="BW35"/>
  <c r="BV35"/>
  <c r="BU35"/>
  <c r="BT35"/>
  <c r="BS35"/>
  <c r="BR35"/>
  <c r="BQ35"/>
  <c r="BP35"/>
  <c r="BO35"/>
  <c r="BN35"/>
  <c r="BM35"/>
  <c r="BL35"/>
  <c r="BK35"/>
  <c r="BJ35"/>
  <c r="BI35"/>
  <c r="BH35"/>
  <c r="BG35"/>
  <c r="BF35"/>
  <c r="BE35"/>
  <c r="BD35"/>
  <c r="BC35"/>
  <c r="BB35"/>
  <c r="BA35"/>
  <c r="AZ35"/>
  <c r="AY35"/>
  <c r="AX35"/>
  <c r="AW35"/>
  <c r="AV35"/>
  <c r="AU35"/>
  <c r="AT35"/>
  <c r="AS35"/>
  <c r="AR35"/>
  <c r="AQ35"/>
  <c r="AP35"/>
  <c r="AO35"/>
  <c r="AN35"/>
  <c r="AM35"/>
  <c r="AL35"/>
  <c r="AK35"/>
  <c r="AJ35"/>
  <c r="AI35"/>
  <c r="AH35"/>
  <c r="AG35"/>
  <c r="AF35"/>
  <c r="AE35"/>
  <c r="AD35"/>
  <c r="AC35"/>
  <c r="AB35"/>
  <c r="AA35"/>
  <c r="Z35"/>
  <c r="Y35"/>
  <c r="X35"/>
  <c r="W35"/>
  <c r="V35"/>
  <c r="U35"/>
  <c r="T35"/>
  <c r="S35"/>
  <c r="R35"/>
  <c r="Q35"/>
  <c r="P35"/>
  <c r="O35"/>
  <c r="N35"/>
  <c r="M35"/>
  <c r="L35"/>
  <c r="K35"/>
  <c r="J35"/>
  <c r="I35"/>
  <c r="H35"/>
  <c r="G35"/>
  <c r="F35"/>
  <c r="E35"/>
  <c r="D35"/>
  <c r="HB33"/>
  <c r="GA33"/>
  <c r="FZ33"/>
  <c r="FY33"/>
  <c r="FX33"/>
  <c r="FW33"/>
  <c r="FV33"/>
  <c r="FU33"/>
  <c r="FT33"/>
  <c r="FS33"/>
  <c r="FR33"/>
  <c r="FQ33"/>
  <c r="FP33"/>
  <c r="FO33"/>
  <c r="FN33"/>
  <c r="FM33"/>
  <c r="FL33"/>
  <c r="FK33"/>
  <c r="FJ33"/>
  <c r="FI33"/>
  <c r="FH33"/>
  <c r="FG33"/>
  <c r="FF33"/>
  <c r="FE33"/>
  <c r="FD33"/>
  <c r="FC33"/>
  <c r="FB33"/>
  <c r="FA33"/>
  <c r="EZ33"/>
  <c r="EY33"/>
  <c r="EX33"/>
  <c r="EW33"/>
  <c r="EV33"/>
  <c r="EU33"/>
  <c r="ET33"/>
  <c r="ES33"/>
  <c r="ER33"/>
  <c r="EQ33"/>
  <c r="EP33"/>
  <c r="EO33"/>
  <c r="EN33"/>
  <c r="EM33"/>
  <c r="EL33"/>
  <c r="EK33"/>
  <c r="EJ33"/>
  <c r="EI33"/>
  <c r="EH33"/>
  <c r="EG33"/>
  <c r="EF33"/>
  <c r="DS33"/>
  <c r="DR33"/>
  <c r="DQ33"/>
  <c r="DP33"/>
  <c r="DO33"/>
  <c r="DN33"/>
  <c r="DM33"/>
  <c r="DL33"/>
  <c r="DK33"/>
  <c r="DJ33"/>
  <c r="DI33"/>
  <c r="DH33"/>
  <c r="DG33"/>
  <c r="DF33"/>
  <c r="DE33"/>
  <c r="DD33"/>
  <c r="DC33"/>
  <c r="DB33"/>
  <c r="DA33"/>
  <c r="CZ33"/>
  <c r="CY33"/>
  <c r="CX33"/>
  <c r="CW33"/>
  <c r="CV33"/>
  <c r="CU33"/>
  <c r="CT33"/>
  <c r="CS33"/>
  <c r="CR33"/>
  <c r="CQ33"/>
  <c r="CP33"/>
  <c r="CO33"/>
  <c r="CN33"/>
  <c r="CM33"/>
  <c r="CL33"/>
  <c r="CK33"/>
  <c r="CJ33"/>
  <c r="CI33"/>
  <c r="CH33"/>
  <c r="CG33"/>
  <c r="CF33"/>
  <c r="CE33"/>
  <c r="CD33"/>
  <c r="CC33"/>
  <c r="CB33"/>
  <c r="CA33"/>
  <c r="BZ33"/>
  <c r="BY33"/>
  <c r="BX33"/>
  <c r="BW33"/>
  <c r="BV33"/>
  <c r="BU33"/>
  <c r="BT33"/>
  <c r="BS33"/>
  <c r="BR33"/>
  <c r="BQ33"/>
  <c r="BP33"/>
  <c r="BO33"/>
  <c r="BN33"/>
  <c r="BM33"/>
  <c r="BL33"/>
  <c r="BK33"/>
  <c r="BJ33"/>
  <c r="BI33"/>
  <c r="BH33"/>
  <c r="BG33"/>
  <c r="BF33"/>
  <c r="BE33"/>
  <c r="BD33"/>
  <c r="BC33"/>
  <c r="BB33"/>
  <c r="BA33"/>
  <c r="AZ33"/>
  <c r="AY33"/>
  <c r="AX33"/>
  <c r="AW33"/>
  <c r="AV33"/>
  <c r="AU33"/>
  <c r="AT33"/>
  <c r="AS33"/>
  <c r="AR33"/>
  <c r="AQ33"/>
  <c r="AP33"/>
  <c r="AO33"/>
  <c r="AN33"/>
  <c r="AM33"/>
  <c r="AL33"/>
  <c r="AK33"/>
  <c r="AJ33"/>
  <c r="AI33"/>
  <c r="AH33"/>
  <c r="AG33"/>
  <c r="AF33"/>
  <c r="AE33"/>
  <c r="AD33"/>
  <c r="AC33"/>
  <c r="AB33"/>
  <c r="D33"/>
  <c r="HB32"/>
  <c r="GA32"/>
  <c r="FZ32"/>
  <c r="FY32"/>
  <c r="FX32"/>
  <c r="FW32"/>
  <c r="FV32"/>
  <c r="FU32"/>
  <c r="FT32"/>
  <c r="FS32"/>
  <c r="FR32"/>
  <c r="FQ32"/>
  <c r="FP32"/>
  <c r="FO32"/>
  <c r="FN32"/>
  <c r="FM32"/>
  <c r="FL32"/>
  <c r="FK32"/>
  <c r="FJ32"/>
  <c r="FI32"/>
  <c r="FH32"/>
  <c r="FG32"/>
  <c r="FF32"/>
  <c r="FE32"/>
  <c r="FD32"/>
  <c r="FC32"/>
  <c r="FB32"/>
  <c r="FA32"/>
  <c r="EZ32"/>
  <c r="EY32"/>
  <c r="EX32"/>
  <c r="EW32"/>
  <c r="EV32"/>
  <c r="EU32"/>
  <c r="ET32"/>
  <c r="ES32"/>
  <c r="ER32"/>
  <c r="EQ32"/>
  <c r="EP32"/>
  <c r="EO32"/>
  <c r="EN32"/>
  <c r="EM32"/>
  <c r="EL32"/>
  <c r="EK32"/>
  <c r="EJ32"/>
  <c r="EI32"/>
  <c r="EH32"/>
  <c r="EG32"/>
  <c r="EF32"/>
  <c r="DS32"/>
  <c r="DR32"/>
  <c r="DQ32"/>
  <c r="DP32"/>
  <c r="DO32"/>
  <c r="DN32"/>
  <c r="DM32"/>
  <c r="DL32"/>
  <c r="DK32"/>
  <c r="DJ32"/>
  <c r="DI32"/>
  <c r="DH32"/>
  <c r="DG32"/>
  <c r="DF32"/>
  <c r="DE32"/>
  <c r="DD32"/>
  <c r="DC32"/>
  <c r="DB32"/>
  <c r="DA32"/>
  <c r="CZ32"/>
  <c r="CY32"/>
  <c r="CX32"/>
  <c r="CW32"/>
  <c r="CV32"/>
  <c r="CU32"/>
  <c r="CT32"/>
  <c r="CS32"/>
  <c r="CR32"/>
  <c r="CQ32"/>
  <c r="CP32"/>
  <c r="CO32"/>
  <c r="CN32"/>
  <c r="CM32"/>
  <c r="CL32"/>
  <c r="CK32"/>
  <c r="CJ32"/>
  <c r="CI32"/>
  <c r="CH32"/>
  <c r="CG32"/>
  <c r="CF32"/>
  <c r="CE32"/>
  <c r="CD32"/>
  <c r="CC32"/>
  <c r="CB32"/>
  <c r="CA32"/>
  <c r="BZ32"/>
  <c r="BY32"/>
  <c r="BX32"/>
  <c r="BW32"/>
  <c r="BV32"/>
  <c r="BU32"/>
  <c r="BT32"/>
  <c r="BS32"/>
  <c r="BR32"/>
  <c r="BQ32"/>
  <c r="BP32"/>
  <c r="BO32"/>
  <c r="BN32"/>
  <c r="BM32"/>
  <c r="BL32"/>
  <c r="BK32"/>
  <c r="BJ32"/>
  <c r="BI32"/>
  <c r="BH32"/>
  <c r="BG32"/>
  <c r="BF32"/>
  <c r="BE32"/>
  <c r="BD32"/>
  <c r="BC32"/>
  <c r="BB32"/>
  <c r="BA32"/>
  <c r="AZ32"/>
  <c r="AY32"/>
  <c r="AX32"/>
  <c r="AW32"/>
  <c r="AV32"/>
  <c r="AU32"/>
  <c r="AT32"/>
  <c r="AS32"/>
  <c r="AR32"/>
  <c r="AQ32"/>
  <c r="AP32"/>
  <c r="AO32"/>
  <c r="AN32"/>
  <c r="AM32"/>
  <c r="AL32"/>
  <c r="AK32"/>
  <c r="AJ32"/>
  <c r="AI32"/>
  <c r="AH32"/>
  <c r="AG32"/>
  <c r="AF32"/>
  <c r="AE32"/>
  <c r="AD32"/>
  <c r="AC32"/>
  <c r="AB32"/>
  <c r="FY31"/>
  <c r="FU31"/>
  <c r="FQ31"/>
  <c r="FM31"/>
  <c r="FI31"/>
  <c r="FE31"/>
  <c r="FA31"/>
  <c r="EW31"/>
  <c r="ES31"/>
  <c r="EO31"/>
  <c r="EK31"/>
  <c r="EG31"/>
  <c r="EC31"/>
  <c r="EC32" s="1"/>
  <c r="EC33" s="1"/>
  <c r="DY31"/>
  <c r="DY32" s="1"/>
  <c r="DY33" s="1"/>
  <c r="DU31"/>
  <c r="DU32" s="1"/>
  <c r="DU33" s="1"/>
  <c r="DQ31"/>
  <c r="DM31"/>
  <c r="DI31"/>
  <c r="DE31"/>
  <c r="DA31"/>
  <c r="CW31"/>
  <c r="CS31"/>
  <c r="CO31"/>
  <c r="CK31"/>
  <c r="CG31"/>
  <c r="CC31"/>
  <c r="BY31"/>
  <c r="BU31"/>
  <c r="BQ31"/>
  <c r="BM31"/>
  <c r="BI31"/>
  <c r="BE31"/>
  <c r="BA31"/>
  <c r="AW31"/>
  <c r="AS31"/>
  <c r="AO31"/>
  <c r="AK31"/>
  <c r="AG31"/>
  <c r="AC31"/>
  <c r="Y31"/>
  <c r="Y32" s="1"/>
  <c r="Y33" s="1"/>
  <c r="U31"/>
  <c r="U32" s="1"/>
  <c r="U33" s="1"/>
  <c r="Q31"/>
  <c r="Q32" s="1"/>
  <c r="Q33" s="1"/>
  <c r="M31"/>
  <c r="M32" s="1"/>
  <c r="M33" s="1"/>
  <c r="I31"/>
  <c r="I32" s="1"/>
  <c r="I33" s="1"/>
  <c r="E31"/>
  <c r="E32" s="1"/>
  <c r="E33" s="1"/>
  <c r="HB28"/>
  <c r="HB31" s="1"/>
  <c r="GA28"/>
  <c r="GA31" s="1"/>
  <c r="FZ28"/>
  <c r="FZ31" s="1"/>
  <c r="FY28"/>
  <c r="FX28"/>
  <c r="FX31" s="1"/>
  <c r="FW28"/>
  <c r="FW31" s="1"/>
  <c r="FV28"/>
  <c r="FV31" s="1"/>
  <c r="FU28"/>
  <c r="FT28"/>
  <c r="FT31" s="1"/>
  <c r="FS28"/>
  <c r="FS31" s="1"/>
  <c r="FR28"/>
  <c r="FR31" s="1"/>
  <c r="FQ28"/>
  <c r="FP28"/>
  <c r="FP31" s="1"/>
  <c r="FO28"/>
  <c r="FO31" s="1"/>
  <c r="FN28"/>
  <c r="FN31" s="1"/>
  <c r="FM28"/>
  <c r="FL28"/>
  <c r="FL31" s="1"/>
  <c r="FK28"/>
  <c r="FK31" s="1"/>
  <c r="FJ28"/>
  <c r="FJ31" s="1"/>
  <c r="FI28"/>
  <c r="FH28"/>
  <c r="FH31" s="1"/>
  <c r="FG28"/>
  <c r="FG31" s="1"/>
  <c r="FF28"/>
  <c r="FF31" s="1"/>
  <c r="FE28"/>
  <c r="FD28"/>
  <c r="FD31" s="1"/>
  <c r="FC28"/>
  <c r="FC31" s="1"/>
  <c r="FB28"/>
  <c r="FB31" s="1"/>
  <c r="FA28"/>
  <c r="EZ28"/>
  <c r="EZ31" s="1"/>
  <c r="EY28"/>
  <c r="EY31" s="1"/>
  <c r="EX28"/>
  <c r="EX31" s="1"/>
  <c r="EW28"/>
  <c r="EV28"/>
  <c r="EV31" s="1"/>
  <c r="EU28"/>
  <c r="EU31" s="1"/>
  <c r="ET28"/>
  <c r="ET31" s="1"/>
  <c r="ES28"/>
  <c r="ER28"/>
  <c r="ER31" s="1"/>
  <c r="EQ28"/>
  <c r="EQ31" s="1"/>
  <c r="EP28"/>
  <c r="EP31" s="1"/>
  <c r="EO28"/>
  <c r="EN28"/>
  <c r="EN31" s="1"/>
  <c r="EM28"/>
  <c r="EM31" s="1"/>
  <c r="EL28"/>
  <c r="EL31" s="1"/>
  <c r="EK28"/>
  <c r="EJ28"/>
  <c r="EJ31" s="1"/>
  <c r="EI28"/>
  <c r="EI31" s="1"/>
  <c r="EH28"/>
  <c r="EH31" s="1"/>
  <c r="EG28"/>
  <c r="EF28"/>
  <c r="EF31" s="1"/>
  <c r="EE28"/>
  <c r="EE31" s="1"/>
  <c r="EE32" s="1"/>
  <c r="EE33" s="1"/>
  <c r="ED28"/>
  <c r="ED31" s="1"/>
  <c r="ED32" s="1"/>
  <c r="ED33" s="1"/>
  <c r="EC28"/>
  <c r="EB28"/>
  <c r="EB31" s="1"/>
  <c r="EB32" s="1"/>
  <c r="EB33" s="1"/>
  <c r="EA28"/>
  <c r="EA31" s="1"/>
  <c r="EA32" s="1"/>
  <c r="EA33" s="1"/>
  <c r="DZ28"/>
  <c r="DZ31" s="1"/>
  <c r="DZ32" s="1"/>
  <c r="DZ33" s="1"/>
  <c r="DY28"/>
  <c r="DX28"/>
  <c r="DX31" s="1"/>
  <c r="DX32" s="1"/>
  <c r="DX33" s="1"/>
  <c r="DW28"/>
  <c r="DW31" s="1"/>
  <c r="DW32" s="1"/>
  <c r="DW33" s="1"/>
  <c r="DV28"/>
  <c r="DV31" s="1"/>
  <c r="DV32" s="1"/>
  <c r="DV33" s="1"/>
  <c r="DU28"/>
  <c r="DT28"/>
  <c r="DT31" s="1"/>
  <c r="DT32" s="1"/>
  <c r="DT33" s="1"/>
  <c r="DS28"/>
  <c r="DS31" s="1"/>
  <c r="DR28"/>
  <c r="DR31" s="1"/>
  <c r="DQ28"/>
  <c r="DP28"/>
  <c r="DP31" s="1"/>
  <c r="DO28"/>
  <c r="DO31" s="1"/>
  <c r="DN28"/>
  <c r="DN31" s="1"/>
  <c r="DM28"/>
  <c r="DL28"/>
  <c r="DL31" s="1"/>
  <c r="DK28"/>
  <c r="DK31" s="1"/>
  <c r="DJ28"/>
  <c r="DJ31" s="1"/>
  <c r="DI28"/>
  <c r="DH28"/>
  <c r="DH31" s="1"/>
  <c r="DG28"/>
  <c r="DG31" s="1"/>
  <c r="DF28"/>
  <c r="DF31" s="1"/>
  <c r="DE28"/>
  <c r="DD28"/>
  <c r="DD31" s="1"/>
  <c r="DC28"/>
  <c r="DC31" s="1"/>
  <c r="DB28"/>
  <c r="DB31" s="1"/>
  <c r="DA28"/>
  <c r="CZ28"/>
  <c r="CZ31" s="1"/>
  <c r="CY28"/>
  <c r="CY31" s="1"/>
  <c r="CX28"/>
  <c r="CX31" s="1"/>
  <c r="CW28"/>
  <c r="CV28"/>
  <c r="CV31" s="1"/>
  <c r="CU28"/>
  <c r="CU31" s="1"/>
  <c r="CT28"/>
  <c r="CT31" s="1"/>
  <c r="CS28"/>
  <c r="CR28"/>
  <c r="CR31" s="1"/>
  <c r="CQ28"/>
  <c r="CQ31" s="1"/>
  <c r="CP28"/>
  <c r="CP31" s="1"/>
  <c r="CO28"/>
  <c r="CN28"/>
  <c r="CN31" s="1"/>
  <c r="CM28"/>
  <c r="CM31" s="1"/>
  <c r="CL28"/>
  <c r="CL31" s="1"/>
  <c r="CK28"/>
  <c r="CJ28"/>
  <c r="CJ31" s="1"/>
  <c r="CI28"/>
  <c r="CI31" s="1"/>
  <c r="CH28"/>
  <c r="CH31" s="1"/>
  <c r="CG28"/>
  <c r="CF28"/>
  <c r="CF31" s="1"/>
  <c r="CE28"/>
  <c r="CE31" s="1"/>
  <c r="CD28"/>
  <c r="CD31" s="1"/>
  <c r="CC28"/>
  <c r="CB28"/>
  <c r="CB31" s="1"/>
  <c r="CA28"/>
  <c r="CA31" s="1"/>
  <c r="BZ28"/>
  <c r="BZ31" s="1"/>
  <c r="BY28"/>
  <c r="BX28"/>
  <c r="BX31" s="1"/>
  <c r="BW28"/>
  <c r="BW31" s="1"/>
  <c r="BV28"/>
  <c r="BV31" s="1"/>
  <c r="BU28"/>
  <c r="BT28"/>
  <c r="BT31" s="1"/>
  <c r="BS28"/>
  <c r="BS31" s="1"/>
  <c r="BR28"/>
  <c r="BR31" s="1"/>
  <c r="BQ28"/>
  <c r="BP28"/>
  <c r="BP31" s="1"/>
  <c r="BO28"/>
  <c r="BO31" s="1"/>
  <c r="BN28"/>
  <c r="BN31" s="1"/>
  <c r="BM28"/>
  <c r="BL28"/>
  <c r="BL31" s="1"/>
  <c r="BK28"/>
  <c r="BK31" s="1"/>
  <c r="BJ28"/>
  <c r="BJ31" s="1"/>
  <c r="BI28"/>
  <c r="BH28"/>
  <c r="BH31" s="1"/>
  <c r="BG28"/>
  <c r="BG31" s="1"/>
  <c r="BF28"/>
  <c r="BF31" s="1"/>
  <c r="BE28"/>
  <c r="BD28"/>
  <c r="BD31" s="1"/>
  <c r="BC28"/>
  <c r="BC31" s="1"/>
  <c r="BB28"/>
  <c r="BB31" s="1"/>
  <c r="BA28"/>
  <c r="AZ28"/>
  <c r="AZ31" s="1"/>
  <c r="AY28"/>
  <c r="AY31" s="1"/>
  <c r="AX28"/>
  <c r="AX31" s="1"/>
  <c r="AW28"/>
  <c r="AV28"/>
  <c r="AV31" s="1"/>
  <c r="AU28"/>
  <c r="AU31" s="1"/>
  <c r="AT28"/>
  <c r="AT31" s="1"/>
  <c r="AS28"/>
  <c r="AR28"/>
  <c r="AR31" s="1"/>
  <c r="AQ28"/>
  <c r="AQ31" s="1"/>
  <c r="AP28"/>
  <c r="AP31" s="1"/>
  <c r="AO28"/>
  <c r="AN28"/>
  <c r="AN31" s="1"/>
  <c r="AM28"/>
  <c r="AM31" s="1"/>
  <c r="AL28"/>
  <c r="AL31" s="1"/>
  <c r="AK28"/>
  <c r="AJ28"/>
  <c r="AJ31" s="1"/>
  <c r="AI28"/>
  <c r="AI31" s="1"/>
  <c r="AH28"/>
  <c r="AH31" s="1"/>
  <c r="AG28"/>
  <c r="AF28"/>
  <c r="AF31" s="1"/>
  <c r="AE28"/>
  <c r="AE31" s="1"/>
  <c r="AD28"/>
  <c r="AD31" s="1"/>
  <c r="AC28"/>
  <c r="AB28"/>
  <c r="AB31" s="1"/>
  <c r="AA28"/>
  <c r="AA31" s="1"/>
  <c r="AA32" s="1"/>
  <c r="AA33" s="1"/>
  <c r="Z28"/>
  <c r="Z31" s="1"/>
  <c r="Z32" s="1"/>
  <c r="Z33" s="1"/>
  <c r="Y28"/>
  <c r="X28"/>
  <c r="X31" s="1"/>
  <c r="X32" s="1"/>
  <c r="X33" s="1"/>
  <c r="W28"/>
  <c r="W31" s="1"/>
  <c r="W32" s="1"/>
  <c r="W33" s="1"/>
  <c r="V28"/>
  <c r="V31" s="1"/>
  <c r="V32" s="1"/>
  <c r="V33" s="1"/>
  <c r="U28"/>
  <c r="T28"/>
  <c r="T31" s="1"/>
  <c r="T32" s="1"/>
  <c r="T33" s="1"/>
  <c r="S28"/>
  <c r="S31" s="1"/>
  <c r="S32" s="1"/>
  <c r="S33" s="1"/>
  <c r="R28"/>
  <c r="R31" s="1"/>
  <c r="R32" s="1"/>
  <c r="R33" s="1"/>
  <c r="Q28"/>
  <c r="P28"/>
  <c r="P31" s="1"/>
  <c r="P32" s="1"/>
  <c r="P33" s="1"/>
  <c r="O28"/>
  <c r="O31" s="1"/>
  <c r="O32" s="1"/>
  <c r="O33" s="1"/>
  <c r="N28"/>
  <c r="N31" s="1"/>
  <c r="N32" s="1"/>
  <c r="N33" s="1"/>
  <c r="M28"/>
  <c r="L28"/>
  <c r="L31" s="1"/>
  <c r="L32" s="1"/>
  <c r="L33" s="1"/>
  <c r="K28"/>
  <c r="K31" s="1"/>
  <c r="K32" s="1"/>
  <c r="K33" s="1"/>
  <c r="J28"/>
  <c r="J31" s="1"/>
  <c r="J32" s="1"/>
  <c r="J33" s="1"/>
  <c r="I28"/>
  <c r="H28"/>
  <c r="H31" s="1"/>
  <c r="H32" s="1"/>
  <c r="H33" s="1"/>
  <c r="G28"/>
  <c r="G31" s="1"/>
  <c r="G32" s="1"/>
  <c r="G33" s="1"/>
  <c r="F28"/>
  <c r="F31" s="1"/>
  <c r="F32" s="1"/>
  <c r="F33" s="1"/>
  <c r="E28"/>
  <c r="D28"/>
  <c r="D31" s="1"/>
  <c r="D32" s="1"/>
  <c r="HB23"/>
  <c r="GA23"/>
  <c r="FZ23"/>
  <c r="FY23"/>
  <c r="FX23"/>
  <c r="FW23"/>
  <c r="FV23"/>
  <c r="FU23"/>
  <c r="FT23"/>
  <c r="FS23"/>
  <c r="FR23"/>
  <c r="FQ23"/>
  <c r="FP23"/>
  <c r="FO23"/>
  <c r="FN23"/>
  <c r="FM23"/>
  <c r="FL23"/>
  <c r="FK23"/>
  <c r="FJ23"/>
  <c r="FI23"/>
  <c r="FH23"/>
  <c r="FG23"/>
  <c r="FF23"/>
  <c r="FE23"/>
  <c r="FD23"/>
  <c r="FC23"/>
  <c r="FB23"/>
  <c r="FA23"/>
  <c r="EZ23"/>
  <c r="EY23"/>
  <c r="EX23"/>
  <c r="EW23"/>
  <c r="EV23"/>
  <c r="EU23"/>
  <c r="ET23"/>
  <c r="ES23"/>
  <c r="ER23"/>
  <c r="EQ23"/>
  <c r="EP23"/>
  <c r="EO23"/>
  <c r="EN23"/>
  <c r="EM23"/>
  <c r="EL23"/>
  <c r="EK23"/>
  <c r="EJ23"/>
  <c r="EI23"/>
  <c r="EH23"/>
  <c r="EG23"/>
  <c r="EF23"/>
  <c r="EE23"/>
  <c r="ED23"/>
  <c r="EC23"/>
  <c r="EB23"/>
  <c r="EA23"/>
  <c r="DZ23"/>
  <c r="DY23"/>
  <c r="DX23"/>
  <c r="DW23"/>
  <c r="DV23"/>
  <c r="DU23"/>
  <c r="DT23"/>
  <c r="DS23"/>
  <c r="DR23"/>
  <c r="DQ23"/>
  <c r="DP23"/>
  <c r="DO23"/>
  <c r="DN23"/>
  <c r="DM23"/>
  <c r="DL23"/>
  <c r="DK23"/>
  <c r="DJ23"/>
  <c r="DI23"/>
  <c r="DH23"/>
  <c r="DG23"/>
  <c r="DF23"/>
  <c r="DE23"/>
  <c r="DD23"/>
  <c r="DC23"/>
  <c r="DB23"/>
  <c r="DA23"/>
  <c r="CZ23"/>
  <c r="CY23"/>
  <c r="CX23"/>
  <c r="CW23"/>
  <c r="CV23"/>
  <c r="CU23"/>
  <c r="CT23"/>
  <c r="CS23"/>
  <c r="CR23"/>
  <c r="CQ23"/>
  <c r="CP23"/>
  <c r="CO23"/>
  <c r="CN23"/>
  <c r="CM23"/>
  <c r="CL23"/>
  <c r="CK23"/>
  <c r="CJ23"/>
  <c r="CI23"/>
  <c r="CH23"/>
  <c r="CG23"/>
  <c r="CF23"/>
  <c r="CE23"/>
  <c r="CD23"/>
  <c r="CC23"/>
  <c r="CB23"/>
  <c r="CA23"/>
  <c r="BZ23"/>
  <c r="BY23"/>
  <c r="BX23"/>
  <c r="BW23"/>
  <c r="BV23"/>
  <c r="BU23"/>
  <c r="BT23"/>
  <c r="BS23"/>
  <c r="BR23"/>
  <c r="BQ23"/>
  <c r="BP23"/>
  <c r="BO23"/>
  <c r="BN23"/>
  <c r="BM23"/>
  <c r="BL23"/>
  <c r="BK23"/>
  <c r="BJ23"/>
  <c r="BI23"/>
  <c r="BH23"/>
  <c r="BG23"/>
  <c r="BF23"/>
  <c r="BE23"/>
  <c r="BD23"/>
  <c r="BC23"/>
  <c r="BB23"/>
  <c r="BA23"/>
  <c r="AZ23"/>
  <c r="AY23"/>
  <c r="AX23"/>
  <c r="AW23"/>
  <c r="AV23"/>
  <c r="AU23"/>
  <c r="AT23"/>
  <c r="AS23"/>
  <c r="AR23"/>
  <c r="AQ23"/>
  <c r="AP23"/>
  <c r="AO23"/>
  <c r="AN23"/>
  <c r="AM23"/>
  <c r="AL23"/>
  <c r="AK23"/>
  <c r="AJ23"/>
  <c r="AI23"/>
  <c r="AH23"/>
  <c r="AG23"/>
  <c r="AF23"/>
  <c r="AE23"/>
  <c r="AD23"/>
  <c r="AC23"/>
  <c r="AB23"/>
  <c r="AA23"/>
  <c r="Z23"/>
  <c r="Y23"/>
  <c r="X23"/>
  <c r="W23"/>
  <c r="V23"/>
  <c r="U23"/>
  <c r="T23"/>
  <c r="S23"/>
  <c r="R23"/>
  <c r="Q23"/>
  <c r="P23"/>
  <c r="O23"/>
  <c r="N23"/>
  <c r="M23"/>
  <c r="L23"/>
  <c r="K23"/>
  <c r="J23"/>
  <c r="I23"/>
  <c r="H23"/>
  <c r="G23"/>
  <c r="F23"/>
  <c r="E23"/>
  <c r="D23"/>
  <c r="HB21"/>
  <c r="GA21"/>
  <c r="FZ21"/>
  <c r="FY21"/>
  <c r="FX21"/>
  <c r="FW21"/>
  <c r="FV21"/>
  <c r="FU21"/>
  <c r="FT21"/>
  <c r="FS21"/>
  <c r="FR21"/>
  <c r="FQ21"/>
  <c r="FP21"/>
  <c r="FO21"/>
  <c r="FN21"/>
  <c r="FM21"/>
  <c r="FL21"/>
  <c r="FK21"/>
  <c r="FJ21"/>
  <c r="FI21"/>
  <c r="FH21"/>
  <c r="FG21"/>
  <c r="FF21"/>
  <c r="FE21"/>
  <c r="FD21"/>
  <c r="FC21"/>
  <c r="FB21"/>
  <c r="FA21"/>
  <c r="EZ21"/>
  <c r="EY21"/>
  <c r="EX21"/>
  <c r="EW21"/>
  <c r="EV21"/>
  <c r="EU21"/>
  <c r="ET21"/>
  <c r="ES21"/>
  <c r="ER21"/>
  <c r="EQ21"/>
  <c r="EP21"/>
  <c r="EO21"/>
  <c r="EN21"/>
  <c r="EM21"/>
  <c r="EL21"/>
  <c r="EK21"/>
  <c r="EJ21"/>
  <c r="EI21"/>
  <c r="EH21"/>
  <c r="EG21"/>
  <c r="EF21"/>
  <c r="EE21"/>
  <c r="ED21"/>
  <c r="EC21"/>
  <c r="EB21"/>
  <c r="EA21"/>
  <c r="DZ21"/>
  <c r="DY21"/>
  <c r="DX21"/>
  <c r="DW21"/>
  <c r="DV21"/>
  <c r="DU21"/>
  <c r="DT21"/>
  <c r="DS21"/>
  <c r="DR21"/>
  <c r="DQ21"/>
  <c r="DP21"/>
  <c r="DO21"/>
  <c r="DN21"/>
  <c r="DM21"/>
  <c r="DL21"/>
  <c r="DK21"/>
  <c r="DJ21"/>
  <c r="DI21"/>
  <c r="DH21"/>
  <c r="DG21"/>
  <c r="DF21"/>
  <c r="DE21"/>
  <c r="DD21"/>
  <c r="DC21"/>
  <c r="DB21"/>
  <c r="DA21"/>
  <c r="CZ21"/>
  <c r="CY21"/>
  <c r="CX21"/>
  <c r="CW21"/>
  <c r="CV21"/>
  <c r="CU21"/>
  <c r="CT21"/>
  <c r="CS21"/>
  <c r="CR21"/>
  <c r="CQ21"/>
  <c r="CP21"/>
  <c r="CO21"/>
  <c r="CN21"/>
  <c r="CM21"/>
  <c r="CL21"/>
  <c r="CK21"/>
  <c r="CJ21"/>
  <c r="CI21"/>
  <c r="CH21"/>
  <c r="CG21"/>
  <c r="CF21"/>
  <c r="CE21"/>
  <c r="CD21"/>
  <c r="CC21"/>
  <c r="CB21"/>
  <c r="CA21"/>
  <c r="BZ21"/>
  <c r="BY21"/>
  <c r="BX21"/>
  <c r="BW21"/>
  <c r="BV21"/>
  <c r="BU21"/>
  <c r="BT21"/>
  <c r="BS21"/>
  <c r="BR21"/>
  <c r="BQ21"/>
  <c r="BP21"/>
  <c r="BO21"/>
  <c r="BN21"/>
  <c r="BM21"/>
  <c r="BL21"/>
  <c r="BK21"/>
  <c r="BJ21"/>
  <c r="BI21"/>
  <c r="BH21"/>
  <c r="BG21"/>
  <c r="BF21"/>
  <c r="BE21"/>
  <c r="BD21"/>
  <c r="BC21"/>
  <c r="BB21"/>
  <c r="BA21"/>
  <c r="AZ21"/>
  <c r="AY21"/>
  <c r="AX21"/>
  <c r="AW21"/>
  <c r="AV21"/>
  <c r="AU21"/>
  <c r="AT21"/>
  <c r="AS21"/>
  <c r="AR21"/>
  <c r="AQ21"/>
  <c r="AP21"/>
  <c r="AO21"/>
  <c r="AN21"/>
  <c r="AM21"/>
  <c r="AL21"/>
  <c r="AK21"/>
  <c r="AJ21"/>
  <c r="AI21"/>
  <c r="AH21"/>
  <c r="AG21"/>
  <c r="AF21"/>
  <c r="AE21"/>
  <c r="AD21"/>
  <c r="AC21"/>
  <c r="AB21"/>
  <c r="AA21"/>
  <c r="Z21"/>
  <c r="Y21"/>
  <c r="X21"/>
  <c r="W21"/>
  <c r="V21"/>
  <c r="U21"/>
  <c r="T21"/>
  <c r="S21"/>
  <c r="R21"/>
  <c r="Q21"/>
  <c r="P21"/>
  <c r="O21"/>
  <c r="N21"/>
  <c r="M21"/>
  <c r="L21"/>
  <c r="K21"/>
  <c r="J21"/>
  <c r="I21"/>
  <c r="H21"/>
  <c r="G21"/>
  <c r="F21"/>
  <c r="E21"/>
  <c r="D21"/>
  <c r="HB18"/>
  <c r="GA18"/>
  <c r="FZ18"/>
  <c r="FY18"/>
  <c r="FX18"/>
  <c r="FW18"/>
  <c r="FV18"/>
  <c r="FU18"/>
  <c r="FT18"/>
  <c r="FS18"/>
  <c r="FR18"/>
  <c r="FQ18"/>
  <c r="FP18"/>
  <c r="FO18"/>
  <c r="FN18"/>
  <c r="FM18"/>
  <c r="FL18"/>
  <c r="FK18"/>
  <c r="FJ18"/>
  <c r="FI18"/>
  <c r="FH18"/>
  <c r="FG18"/>
  <c r="FF18"/>
  <c r="FE18"/>
  <c r="FD18"/>
  <c r="FC18"/>
  <c r="FB18"/>
  <c r="FA18"/>
  <c r="EZ18"/>
  <c r="EY18"/>
  <c r="EX18"/>
  <c r="EW18"/>
  <c r="EV18"/>
  <c r="EU18"/>
  <c r="ET18"/>
  <c r="ES18"/>
  <c r="ER18"/>
  <c r="EQ18"/>
  <c r="EP18"/>
  <c r="EO18"/>
  <c r="EN18"/>
  <c r="EM18"/>
  <c r="EL18"/>
  <c r="EK18"/>
  <c r="EJ18"/>
  <c r="EI18"/>
  <c r="EH18"/>
  <c r="EG18"/>
  <c r="EF18"/>
  <c r="EE18"/>
  <c r="ED18"/>
  <c r="EC18"/>
  <c r="EB18"/>
  <c r="EA18"/>
  <c r="DZ18"/>
  <c r="DY18"/>
  <c r="DX18"/>
  <c r="DW18"/>
  <c r="DV18"/>
  <c r="DU18"/>
  <c r="DT18"/>
  <c r="DS18"/>
  <c r="DR18"/>
  <c r="DQ18"/>
  <c r="DP18"/>
  <c r="DO18"/>
  <c r="DN18"/>
  <c r="DM18"/>
  <c r="DL18"/>
  <c r="DK18"/>
  <c r="DJ18"/>
  <c r="DI18"/>
  <c r="DH18"/>
  <c r="DG18"/>
  <c r="DF18"/>
  <c r="DE18"/>
  <c r="DD18"/>
  <c r="DC18"/>
  <c r="DB18"/>
  <c r="DA18"/>
  <c r="CZ18"/>
  <c r="CY18"/>
  <c r="CX18"/>
  <c r="CW18"/>
  <c r="CV18"/>
  <c r="CU18"/>
  <c r="CT18"/>
  <c r="CS18"/>
  <c r="CR18"/>
  <c r="CQ18"/>
  <c r="CP18"/>
  <c r="CO18"/>
  <c r="CN18"/>
  <c r="CM18"/>
  <c r="CL18"/>
  <c r="CK18"/>
  <c r="CJ18"/>
  <c r="CI18"/>
  <c r="CH18"/>
  <c r="CG18"/>
  <c r="CF18"/>
  <c r="CE18"/>
  <c r="CD18"/>
  <c r="CC18"/>
  <c r="CB18"/>
  <c r="CA18"/>
  <c r="BZ18"/>
  <c r="BY18"/>
  <c r="BX18"/>
  <c r="BW18"/>
  <c r="BV18"/>
  <c r="BU18"/>
  <c r="BT18"/>
  <c r="BS18"/>
  <c r="BR18"/>
  <c r="BQ18"/>
  <c r="BP18"/>
  <c r="BO18"/>
  <c r="BN18"/>
  <c r="BM18"/>
  <c r="BL18"/>
  <c r="BK18"/>
  <c r="BJ18"/>
  <c r="BI18"/>
  <c r="BH18"/>
  <c r="BG18"/>
  <c r="BF18"/>
  <c r="BE18"/>
  <c r="BD18"/>
  <c r="BC18"/>
  <c r="BB18"/>
  <c r="BA18"/>
  <c r="AZ18"/>
  <c r="AY18"/>
  <c r="AX18"/>
  <c r="AW18"/>
  <c r="AV18"/>
  <c r="AU18"/>
  <c r="AT18"/>
  <c r="AS18"/>
  <c r="AR18"/>
  <c r="AQ18"/>
  <c r="AP18"/>
  <c r="AO18"/>
  <c r="AN18"/>
  <c r="AM18"/>
  <c r="AL18"/>
  <c r="AK18"/>
  <c r="AJ18"/>
  <c r="AI18"/>
  <c r="AH18"/>
  <c r="AG18"/>
  <c r="AF18"/>
  <c r="AE18"/>
  <c r="AD18"/>
  <c r="AC18"/>
  <c r="AB18"/>
  <c r="AA18"/>
  <c r="Z18"/>
  <c r="Y18"/>
  <c r="X18"/>
  <c r="W18"/>
  <c r="V18"/>
  <c r="U18"/>
  <c r="T18"/>
  <c r="S18"/>
  <c r="R18"/>
  <c r="Q18"/>
  <c r="P18"/>
  <c r="O18"/>
  <c r="N18"/>
  <c r="M18"/>
  <c r="L18"/>
  <c r="K18"/>
  <c r="J18"/>
  <c r="I18"/>
  <c r="H18"/>
  <c r="G18"/>
  <c r="F18"/>
  <c r="E18"/>
  <c r="D18"/>
  <c r="HB6"/>
  <c r="GZ5"/>
  <c r="GZ6" s="1"/>
  <c r="GY6" s="1"/>
  <c r="GN5"/>
  <c r="GN6" s="1"/>
  <c r="GZ4"/>
  <c r="GN4"/>
  <c r="GO3"/>
  <c r="GC3"/>
  <c r="GA3"/>
  <c r="GA6" s="1"/>
  <c r="FZ3"/>
  <c r="FZ4" s="1"/>
  <c r="FY3"/>
  <c r="FY6" s="1"/>
  <c r="FX3"/>
  <c r="FX6" s="1"/>
  <c r="FW3"/>
  <c r="FW5" s="1"/>
  <c r="FV3"/>
  <c r="FV6" s="1"/>
  <c r="FU3"/>
  <c r="FU6" s="1"/>
  <c r="FT3"/>
  <c r="FT6" s="1"/>
  <c r="FS3"/>
  <c r="FS6" s="1"/>
  <c r="FR3"/>
  <c r="FR4" s="1"/>
  <c r="FQ3"/>
  <c r="FQ6" s="1"/>
  <c r="FP3"/>
  <c r="FP6" s="1"/>
  <c r="FO3"/>
  <c r="FO5" s="1"/>
  <c r="FN3"/>
  <c r="FN6" s="1"/>
  <c r="FM3"/>
  <c r="FM6" s="1"/>
  <c r="FL3"/>
  <c r="FL6" s="1"/>
  <c r="FK3"/>
  <c r="FK6" s="1"/>
  <c r="FJ3"/>
  <c r="FJ4" s="1"/>
  <c r="FI3"/>
  <c r="FI6" s="1"/>
  <c r="FH3"/>
  <c r="FH6" s="1"/>
  <c r="FG3"/>
  <c r="FG5" s="1"/>
  <c r="FF3"/>
  <c r="FF6" s="1"/>
  <c r="FE3"/>
  <c r="FE6" s="1"/>
  <c r="FD3"/>
  <c r="FD6" s="1"/>
  <c r="FC3"/>
  <c r="FC6" s="1"/>
  <c r="FB3"/>
  <c r="FB4" s="1"/>
  <c r="FA3"/>
  <c r="FA6" s="1"/>
  <c r="EZ3"/>
  <c r="EZ6" s="1"/>
  <c r="EY3"/>
  <c r="EY5" s="1"/>
  <c r="EX3"/>
  <c r="EX6" s="1"/>
  <c r="EW3"/>
  <c r="EW6" s="1"/>
  <c r="EV3"/>
  <c r="EV6" s="1"/>
  <c r="EU3"/>
  <c r="EU6" s="1"/>
  <c r="ET3"/>
  <c r="ET4" s="1"/>
  <c r="ES3"/>
  <c r="ES6" s="1"/>
  <c r="ER3"/>
  <c r="ER6" s="1"/>
  <c r="EQ3"/>
  <c r="EQ5" s="1"/>
  <c r="EP3"/>
  <c r="EP6" s="1"/>
  <c r="EO3"/>
  <c r="EO6" s="1"/>
  <c r="EN3"/>
  <c r="EN6" s="1"/>
  <c r="EM3"/>
  <c r="EM6" s="1"/>
  <c r="EL3"/>
  <c r="EL4" s="1"/>
  <c r="EK3"/>
  <c r="EK6" s="1"/>
  <c r="EJ3"/>
  <c r="EJ6" s="1"/>
  <c r="EI3"/>
  <c r="EI5" s="1"/>
  <c r="EH3"/>
  <c r="EH6" s="1"/>
  <c r="EG3"/>
  <c r="EG6" s="1"/>
  <c r="EF3"/>
  <c r="EF6" s="1"/>
  <c r="EE3"/>
  <c r="EE4" s="1"/>
  <c r="ED3"/>
  <c r="EC3"/>
  <c r="EB3"/>
  <c r="EA3"/>
  <c r="DZ3"/>
  <c r="DY3"/>
  <c r="DX3"/>
  <c r="DW3"/>
  <c r="DV3"/>
  <c r="DU3"/>
  <c r="DT3"/>
  <c r="DS3"/>
  <c r="DS6" s="1"/>
  <c r="DR3"/>
  <c r="DR5" s="1"/>
  <c r="DQ3"/>
  <c r="DQ6" s="1"/>
  <c r="DP3"/>
  <c r="DP6" s="1"/>
  <c r="DO3"/>
  <c r="DO6" s="1"/>
  <c r="DN3"/>
  <c r="DN6" s="1"/>
  <c r="DM3"/>
  <c r="DM6" s="1"/>
  <c r="DL3"/>
  <c r="DL6" s="1"/>
  <c r="DK3"/>
  <c r="DK6" s="1"/>
  <c r="DJ3"/>
  <c r="DJ5" s="1"/>
  <c r="DI3"/>
  <c r="DI6" s="1"/>
  <c r="DH3"/>
  <c r="DH6" s="1"/>
  <c r="DG3"/>
  <c r="DG6" s="1"/>
  <c r="DF3"/>
  <c r="DF6" s="1"/>
  <c r="DE3"/>
  <c r="DE6" s="1"/>
  <c r="DD3"/>
  <c r="DD6" s="1"/>
  <c r="DC3"/>
  <c r="DC6" s="1"/>
  <c r="DB3"/>
  <c r="DB5" s="1"/>
  <c r="DA3"/>
  <c r="DA6" s="1"/>
  <c r="CZ3"/>
  <c r="CZ6" s="1"/>
  <c r="CY3"/>
  <c r="CY6" s="1"/>
  <c r="CX3"/>
  <c r="CX6" s="1"/>
  <c r="CW3"/>
  <c r="CW6" s="1"/>
  <c r="CV3"/>
  <c r="CV6" s="1"/>
  <c r="CU3"/>
  <c r="CU6" s="1"/>
  <c r="CT3"/>
  <c r="CT5" s="1"/>
  <c r="CS3"/>
  <c r="CS6" s="1"/>
  <c r="CR3"/>
  <c r="CR6" s="1"/>
  <c r="CQ3"/>
  <c r="CQ6" s="1"/>
  <c r="CP3"/>
  <c r="CP6" s="1"/>
  <c r="CO3"/>
  <c r="CO6" s="1"/>
  <c r="CN3"/>
  <c r="CN6" s="1"/>
  <c r="CM3"/>
  <c r="CM6" s="1"/>
  <c r="CL3"/>
  <c r="CL5" s="1"/>
  <c r="CK3"/>
  <c r="CK6" s="1"/>
  <c r="CJ3"/>
  <c r="CJ6" s="1"/>
  <c r="CI3"/>
  <c r="CI6" s="1"/>
  <c r="CH3"/>
  <c r="CH6" s="1"/>
  <c r="CG3"/>
  <c r="CG6" s="1"/>
  <c r="CF3"/>
  <c r="CF6" s="1"/>
  <c r="CE3"/>
  <c r="CE6" s="1"/>
  <c r="CD3"/>
  <c r="CD5" s="1"/>
  <c r="CC3"/>
  <c r="CC6" s="1"/>
  <c r="CB3"/>
  <c r="CB6" s="1"/>
  <c r="CA3"/>
  <c r="CA6" s="1"/>
  <c r="BZ3"/>
  <c r="BZ6" s="1"/>
  <c r="BY3"/>
  <c r="BY6" s="1"/>
  <c r="BX3"/>
  <c r="BX6" s="1"/>
  <c r="BW3"/>
  <c r="BW6" s="1"/>
  <c r="BV3"/>
  <c r="BV5" s="1"/>
  <c r="BU3"/>
  <c r="BU6" s="1"/>
  <c r="BT3"/>
  <c r="BT6" s="1"/>
  <c r="BS3"/>
  <c r="BS6" s="1"/>
  <c r="BR3"/>
  <c r="BR6" s="1"/>
  <c r="BQ3"/>
  <c r="BQ6" s="1"/>
  <c r="BP3"/>
  <c r="BP6" s="1"/>
  <c r="BO3"/>
  <c r="BO6" s="1"/>
  <c r="BN3"/>
  <c r="BN5" s="1"/>
  <c r="BM3"/>
  <c r="BM6" s="1"/>
  <c r="BL3"/>
  <c r="BL6" s="1"/>
  <c r="BK3"/>
  <c r="BK6" s="1"/>
  <c r="BJ3"/>
  <c r="BJ6" s="1"/>
  <c r="BI3"/>
  <c r="BI6" s="1"/>
  <c r="BH3"/>
  <c r="BH6" s="1"/>
  <c r="BG3"/>
  <c r="BG6" s="1"/>
  <c r="BF3"/>
  <c r="BF5" s="1"/>
  <c r="BE3"/>
  <c r="BE6" s="1"/>
  <c r="BD3"/>
  <c r="BD6" s="1"/>
  <c r="BC3"/>
  <c r="BC6" s="1"/>
  <c r="BB3"/>
  <c r="BB6" s="1"/>
  <c r="BA3"/>
  <c r="BA6" s="1"/>
  <c r="AZ3"/>
  <c r="AZ6" s="1"/>
  <c r="AY3"/>
  <c r="AY6" s="1"/>
  <c r="AX3"/>
  <c r="AX5" s="1"/>
  <c r="AW3"/>
  <c r="AW6" s="1"/>
  <c r="AV3"/>
  <c r="AV6" s="1"/>
  <c r="AU3"/>
  <c r="AU6" s="1"/>
  <c r="AT3"/>
  <c r="AT6" s="1"/>
  <c r="AS3"/>
  <c r="AS6" s="1"/>
  <c r="AR3"/>
  <c r="AR6" s="1"/>
  <c r="AQ3"/>
  <c r="AQ6" s="1"/>
  <c r="AP3"/>
  <c r="AP5" s="1"/>
  <c r="AO3"/>
  <c r="AO6" s="1"/>
  <c r="AN3"/>
  <c r="AN6" s="1"/>
  <c r="AM3"/>
  <c r="AM6" s="1"/>
  <c r="AL3"/>
  <c r="AL6" s="1"/>
  <c r="AK3"/>
  <c r="AK6" s="1"/>
  <c r="AJ3"/>
  <c r="AJ6" s="1"/>
  <c r="AI3"/>
  <c r="AI6" s="1"/>
  <c r="AH3"/>
  <c r="AH5" s="1"/>
  <c r="AG3"/>
  <c r="AG6" s="1"/>
  <c r="AF3"/>
  <c r="AF6" s="1"/>
  <c r="AE3"/>
  <c r="AE6" s="1"/>
  <c r="AD3"/>
  <c r="AD6" s="1"/>
  <c r="AC3"/>
  <c r="AC6" s="1"/>
  <c r="AB3"/>
  <c r="AB6" s="1"/>
  <c r="AA3"/>
  <c r="AA4" s="1"/>
  <c r="Z3"/>
  <c r="Y3"/>
  <c r="X3"/>
  <c r="W3"/>
  <c r="V3"/>
  <c r="U3"/>
  <c r="T3"/>
  <c r="S3"/>
  <c r="R3"/>
  <c r="Q3"/>
  <c r="P3"/>
  <c r="O3"/>
  <c r="O5" s="1"/>
  <c r="N3"/>
  <c r="M3"/>
  <c r="L3"/>
  <c r="K3"/>
  <c r="J3"/>
  <c r="I3"/>
  <c r="H3"/>
  <c r="G3"/>
  <c r="F3"/>
  <c r="E3"/>
  <c r="D3"/>
  <c r="P257" i="79"/>
  <c r="O257"/>
  <c r="N257"/>
  <c r="M257"/>
  <c r="P242"/>
  <c r="O242"/>
  <c r="N242"/>
  <c r="M242"/>
  <c r="P232"/>
  <c r="O232"/>
  <c r="N232"/>
  <c r="M232"/>
  <c r="P217"/>
  <c r="O217"/>
  <c r="N217"/>
  <c r="M217"/>
  <c r="P160"/>
  <c r="O160"/>
  <c r="N160"/>
  <c r="M160"/>
  <c r="P149"/>
  <c r="O149"/>
  <c r="N149"/>
  <c r="M149"/>
  <c r="P125"/>
  <c r="P129" s="1"/>
  <c r="O125"/>
  <c r="O129" s="1"/>
  <c r="N125"/>
  <c r="N129" s="1"/>
  <c r="M125"/>
  <c r="M129" s="1"/>
  <c r="P116"/>
  <c r="O116"/>
  <c r="N116"/>
  <c r="M116"/>
  <c r="P90"/>
  <c r="O90"/>
  <c r="N90"/>
  <c r="M90"/>
  <c r="P71"/>
  <c r="O71"/>
  <c r="N71"/>
  <c r="M71"/>
  <c r="P50"/>
  <c r="O50"/>
  <c r="N50"/>
  <c r="M50"/>
  <c r="P25"/>
  <c r="O25"/>
  <c r="N25"/>
  <c r="M25"/>
  <c r="P3"/>
  <c r="P6" s="1"/>
  <c r="O3"/>
  <c r="O6" s="1"/>
  <c r="N3"/>
  <c r="N6" s="1"/>
  <c r="M3"/>
  <c r="M6" s="1"/>
  <c r="L257"/>
  <c r="K257"/>
  <c r="J257"/>
  <c r="I257"/>
  <c r="H257"/>
  <c r="G257"/>
  <c r="F257"/>
  <c r="E257"/>
  <c r="D257"/>
  <c r="C257"/>
  <c r="B257"/>
  <c r="L242"/>
  <c r="K242"/>
  <c r="J242"/>
  <c r="I242"/>
  <c r="H242"/>
  <c r="G242"/>
  <c r="F242"/>
  <c r="E242"/>
  <c r="D242"/>
  <c r="C242"/>
  <c r="B242"/>
  <c r="L232"/>
  <c r="K232"/>
  <c r="J232"/>
  <c r="I232"/>
  <c r="H232"/>
  <c r="G232"/>
  <c r="F232"/>
  <c r="E232"/>
  <c r="D232"/>
  <c r="C232"/>
  <c r="B232"/>
  <c r="L217"/>
  <c r="K217"/>
  <c r="J217"/>
  <c r="I217"/>
  <c r="H217"/>
  <c r="G217"/>
  <c r="F217"/>
  <c r="E217"/>
  <c r="D217"/>
  <c r="C217"/>
  <c r="B217"/>
  <c r="L160"/>
  <c r="K160"/>
  <c r="J160"/>
  <c r="I160"/>
  <c r="H160"/>
  <c r="G160"/>
  <c r="F160"/>
  <c r="E160"/>
  <c r="D160"/>
  <c r="C160"/>
  <c r="B160"/>
  <c r="L149"/>
  <c r="K149"/>
  <c r="J149"/>
  <c r="I149"/>
  <c r="H149"/>
  <c r="G149"/>
  <c r="F149"/>
  <c r="E149"/>
  <c r="D149"/>
  <c r="C149"/>
  <c r="B149"/>
  <c r="J129"/>
  <c r="F129"/>
  <c r="B129"/>
  <c r="L125"/>
  <c r="L129" s="1"/>
  <c r="K125"/>
  <c r="K129" s="1"/>
  <c r="J125"/>
  <c r="I125"/>
  <c r="I129" s="1"/>
  <c r="H125"/>
  <c r="H129" s="1"/>
  <c r="G125"/>
  <c r="G129" s="1"/>
  <c r="F125"/>
  <c r="E125"/>
  <c r="E129" s="1"/>
  <c r="D125"/>
  <c r="D129" s="1"/>
  <c r="C125"/>
  <c r="C129" s="1"/>
  <c r="B125"/>
  <c r="L116"/>
  <c r="K116"/>
  <c r="J116"/>
  <c r="I116"/>
  <c r="H116"/>
  <c r="G116"/>
  <c r="F116"/>
  <c r="E116"/>
  <c r="D116"/>
  <c r="C116"/>
  <c r="B116"/>
  <c r="L90"/>
  <c r="K90"/>
  <c r="J90"/>
  <c r="I90"/>
  <c r="H90"/>
  <c r="G90"/>
  <c r="F90"/>
  <c r="E90"/>
  <c r="D90"/>
  <c r="C90"/>
  <c r="B90"/>
  <c r="L71"/>
  <c r="K71"/>
  <c r="J71"/>
  <c r="I71"/>
  <c r="H71"/>
  <c r="G71"/>
  <c r="F71"/>
  <c r="E71"/>
  <c r="D71"/>
  <c r="C71"/>
  <c r="B71"/>
  <c r="L50"/>
  <c r="K50"/>
  <c r="J50"/>
  <c r="I50"/>
  <c r="H50"/>
  <c r="G50"/>
  <c r="F50"/>
  <c r="E50"/>
  <c r="D50"/>
  <c r="C50"/>
  <c r="B50"/>
  <c r="L25"/>
  <c r="K25"/>
  <c r="J25"/>
  <c r="I25"/>
  <c r="H25"/>
  <c r="G25"/>
  <c r="F25"/>
  <c r="E25"/>
  <c r="D25"/>
  <c r="C25"/>
  <c r="B25"/>
  <c r="B6"/>
  <c r="B5"/>
  <c r="L3"/>
  <c r="L6" s="1"/>
  <c r="K3"/>
  <c r="K5" s="1"/>
  <c r="J3"/>
  <c r="J4" s="1"/>
  <c r="I3"/>
  <c r="I6" s="1"/>
  <c r="H3"/>
  <c r="H6" s="1"/>
  <c r="G3"/>
  <c r="G5" s="1"/>
  <c r="F3"/>
  <c r="F4" s="1"/>
  <c r="E3"/>
  <c r="E6" s="1"/>
  <c r="D3"/>
  <c r="D6" s="1"/>
  <c r="C3"/>
  <c r="C5" s="1"/>
  <c r="B3"/>
  <c r="K10" i="22"/>
  <c r="I4" i="79" l="1"/>
  <c r="F5"/>
  <c r="O4" i="58"/>
  <c r="AH4"/>
  <c r="AP4"/>
  <c r="AX4"/>
  <c r="BF4"/>
  <c r="BN4"/>
  <c r="BV4"/>
  <c r="CD4"/>
  <c r="CL4"/>
  <c r="CT4"/>
  <c r="DB4"/>
  <c r="DJ4"/>
  <c r="DR4"/>
  <c r="EI4"/>
  <c r="EQ4"/>
  <c r="EY4"/>
  <c r="FG4"/>
  <c r="FO4"/>
  <c r="FW4"/>
  <c r="AE5"/>
  <c r="AM5"/>
  <c r="AU5"/>
  <c r="BC5"/>
  <c r="BK5"/>
  <c r="BS5"/>
  <c r="CA5"/>
  <c r="CI5"/>
  <c r="CQ5"/>
  <c r="CY5"/>
  <c r="DG5"/>
  <c r="DO5"/>
  <c r="EH5"/>
  <c r="EP5"/>
  <c r="EX5"/>
  <c r="FF5"/>
  <c r="FN5"/>
  <c r="FV5"/>
  <c r="AH6"/>
  <c r="AP6"/>
  <c r="AX6"/>
  <c r="BF6"/>
  <c r="BN6"/>
  <c r="BV6"/>
  <c r="CD6"/>
  <c r="CL6"/>
  <c r="CT6"/>
  <c r="DB6"/>
  <c r="DJ6"/>
  <c r="DR6"/>
  <c r="EL6"/>
  <c r="ET6"/>
  <c r="FB6"/>
  <c r="FJ6"/>
  <c r="FR6"/>
  <c r="FZ6"/>
  <c r="AE4"/>
  <c r="AM4"/>
  <c r="AU4"/>
  <c r="BC4"/>
  <c r="BK4"/>
  <c r="BS4"/>
  <c r="CA4"/>
  <c r="CI4"/>
  <c r="CQ4"/>
  <c r="CY4"/>
  <c r="DG4"/>
  <c r="DO4"/>
  <c r="EH4"/>
  <c r="EP4"/>
  <c r="EX4"/>
  <c r="FF4"/>
  <c r="FN4"/>
  <c r="FV4"/>
  <c r="AD5"/>
  <c r="AL5"/>
  <c r="AT5"/>
  <c r="BB5"/>
  <c r="BJ5"/>
  <c r="BR5"/>
  <c r="BZ5"/>
  <c r="CH5"/>
  <c r="CP5"/>
  <c r="CX5"/>
  <c r="DF5"/>
  <c r="DN5"/>
  <c r="EE5"/>
  <c r="EM5"/>
  <c r="EU5"/>
  <c r="FC5"/>
  <c r="FK5"/>
  <c r="FS5"/>
  <c r="GA5"/>
  <c r="EI6"/>
  <c r="EQ6"/>
  <c r="EY6"/>
  <c r="FG6"/>
  <c r="FO6"/>
  <c r="FW6"/>
  <c r="AD4"/>
  <c r="AL4"/>
  <c r="AT4"/>
  <c r="BB4"/>
  <c r="BJ4"/>
  <c r="BR4"/>
  <c r="BZ4"/>
  <c r="CH4"/>
  <c r="CP4"/>
  <c r="CX4"/>
  <c r="DF4"/>
  <c r="DN4"/>
  <c r="EM4"/>
  <c r="EU4"/>
  <c r="FC4"/>
  <c r="FK4"/>
  <c r="FS4"/>
  <c r="GA4"/>
  <c r="AA5"/>
  <c r="AI5"/>
  <c r="AQ5"/>
  <c r="AY5"/>
  <c r="BG5"/>
  <c r="BO5"/>
  <c r="BW5"/>
  <c r="CE5"/>
  <c r="CM5"/>
  <c r="CU5"/>
  <c r="DC5"/>
  <c r="DK5"/>
  <c r="DS5"/>
  <c r="EL5"/>
  <c r="ET5"/>
  <c r="FB5"/>
  <c r="FJ5"/>
  <c r="FR5"/>
  <c r="FZ5"/>
  <c r="E4" i="79"/>
  <c r="J5"/>
  <c r="AI4" i="58"/>
  <c r="AQ4"/>
  <c r="AY4"/>
  <c r="BG4"/>
  <c r="BO4"/>
  <c r="BW4"/>
  <c r="CE4"/>
  <c r="CM4"/>
  <c r="CU4"/>
  <c r="DC4"/>
  <c r="DK4"/>
  <c r="DS4"/>
  <c r="K80" i="44"/>
  <c r="K102"/>
  <c r="J68"/>
  <c r="H90"/>
  <c r="I81"/>
  <c r="I82" s="1"/>
  <c r="GX6" i="58"/>
  <c r="GY5"/>
  <c r="GY4"/>
  <c r="AA6"/>
  <c r="O6"/>
  <c r="GM6"/>
  <c r="EE6"/>
  <c r="AB4"/>
  <c r="AF4"/>
  <c r="AJ4"/>
  <c r="AN4"/>
  <c r="AR4"/>
  <c r="AV4"/>
  <c r="AZ4"/>
  <c r="BD4"/>
  <c r="BH4"/>
  <c r="BL4"/>
  <c r="BP4"/>
  <c r="BT4"/>
  <c r="BX4"/>
  <c r="CB4"/>
  <c r="CF4"/>
  <c r="CJ4"/>
  <c r="CN4"/>
  <c r="CR4"/>
  <c r="CV4"/>
  <c r="CZ4"/>
  <c r="DD4"/>
  <c r="DH4"/>
  <c r="DL4"/>
  <c r="DP4"/>
  <c r="EF4"/>
  <c r="EJ4"/>
  <c r="EN4"/>
  <c r="ER4"/>
  <c r="EV4"/>
  <c r="EZ4"/>
  <c r="FD4"/>
  <c r="FH4"/>
  <c r="FL4"/>
  <c r="FP4"/>
  <c r="FT4"/>
  <c r="FX4"/>
  <c r="AB5"/>
  <c r="AF5"/>
  <c r="AJ5"/>
  <c r="AN5"/>
  <c r="AR5"/>
  <c r="AV5"/>
  <c r="AZ5"/>
  <c r="BD5"/>
  <c r="BH5"/>
  <c r="BL5"/>
  <c r="BP5"/>
  <c r="BT5"/>
  <c r="BX5"/>
  <c r="CB5"/>
  <c r="CF5"/>
  <c r="CJ5"/>
  <c r="CN5"/>
  <c r="CR5"/>
  <c r="CV5"/>
  <c r="CZ5"/>
  <c r="DD5"/>
  <c r="DH5"/>
  <c r="DL5"/>
  <c r="DP5"/>
  <c r="EF5"/>
  <c r="EJ5"/>
  <c r="EN5"/>
  <c r="ER5"/>
  <c r="EV5"/>
  <c r="EZ5"/>
  <c r="FD5"/>
  <c r="FH5"/>
  <c r="FL5"/>
  <c r="FP5"/>
  <c r="FT5"/>
  <c r="FX5"/>
  <c r="AC4"/>
  <c r="AG4"/>
  <c r="AK4"/>
  <c r="AO4"/>
  <c r="AS4"/>
  <c r="AW4"/>
  <c r="BA4"/>
  <c r="BE4"/>
  <c r="BI4"/>
  <c r="BM4"/>
  <c r="BQ4"/>
  <c r="BU4"/>
  <c r="BY4"/>
  <c r="CC4"/>
  <c r="CG4"/>
  <c r="CK4"/>
  <c r="CO4"/>
  <c r="CS4"/>
  <c r="CW4"/>
  <c r="DA4"/>
  <c r="DE4"/>
  <c r="DI4"/>
  <c r="DM4"/>
  <c r="DQ4"/>
  <c r="EG4"/>
  <c r="EK4"/>
  <c r="EO4"/>
  <c r="ES4"/>
  <c r="EW4"/>
  <c r="FA4"/>
  <c r="FE4"/>
  <c r="FI4"/>
  <c r="FM4"/>
  <c r="FQ4"/>
  <c r="FU4"/>
  <c r="FY4"/>
  <c r="AC5"/>
  <c r="AG5"/>
  <c r="AK5"/>
  <c r="AO5"/>
  <c r="AS5"/>
  <c r="AW5"/>
  <c r="BA5"/>
  <c r="BE5"/>
  <c r="BI5"/>
  <c r="BM5"/>
  <c r="BQ5"/>
  <c r="BU5"/>
  <c r="BY5"/>
  <c r="CC5"/>
  <c r="CG5"/>
  <c r="CK5"/>
  <c r="CO5"/>
  <c r="CS5"/>
  <c r="CW5"/>
  <c r="DA5"/>
  <c r="DE5"/>
  <c r="DI5"/>
  <c r="DM5"/>
  <c r="DQ5"/>
  <c r="EG5"/>
  <c r="EK5"/>
  <c r="EO5"/>
  <c r="ES5"/>
  <c r="EW5"/>
  <c r="FA5"/>
  <c r="FE5"/>
  <c r="FI5"/>
  <c r="FM5"/>
  <c r="FQ5"/>
  <c r="FU5"/>
  <c r="FY5"/>
  <c r="P4" i="79"/>
  <c r="P5"/>
  <c r="O4"/>
  <c r="O5"/>
  <c r="N4"/>
  <c r="N5"/>
  <c r="M4"/>
  <c r="M5"/>
  <c r="K6"/>
  <c r="D4"/>
  <c r="H4"/>
  <c r="L4"/>
  <c r="E5"/>
  <c r="I5"/>
  <c r="F6"/>
  <c r="J6"/>
  <c r="G6"/>
  <c r="C4"/>
  <c r="G4"/>
  <c r="K4"/>
  <c r="D5"/>
  <c r="H5"/>
  <c r="L5"/>
  <c r="C6"/>
  <c r="E6" i="78"/>
  <c r="AM16" i="31"/>
  <c r="AM15"/>
  <c r="AC15"/>
  <c r="H37" i="44"/>
  <c r="I37" s="1"/>
  <c r="J37" s="1"/>
  <c r="K37" s="1"/>
  <c r="L37" s="1"/>
  <c r="F37"/>
  <c r="H28"/>
  <c r="I28" s="1"/>
  <c r="J28" s="1"/>
  <c r="F28"/>
  <c r="H19"/>
  <c r="I19" s="1"/>
  <c r="J19" s="1"/>
  <c r="K19" s="1"/>
  <c r="L19" s="1"/>
  <c r="F19"/>
  <c r="H17"/>
  <c r="I17" s="1"/>
  <c r="J124"/>
  <c r="L112"/>
  <c r="L122" s="1"/>
  <c r="K112"/>
  <c r="K122" s="1"/>
  <c r="J112"/>
  <c r="J122" s="1"/>
  <c r="I112"/>
  <c r="I122" s="1"/>
  <c r="H112"/>
  <c r="H122" s="1"/>
  <c r="H58"/>
  <c r="I58" s="1"/>
  <c r="H55"/>
  <c r="I53"/>
  <c r="J53" s="1"/>
  <c r="K53" s="1"/>
  <c r="L53" s="1"/>
  <c r="H53"/>
  <c r="I48"/>
  <c r="J48" s="1"/>
  <c r="H48"/>
  <c r="I46"/>
  <c r="J46" s="1"/>
  <c r="H46"/>
  <c r="H38"/>
  <c r="H34"/>
  <c r="H56" s="1"/>
  <c r="H33"/>
  <c r="H29"/>
  <c r="H25"/>
  <c r="H51" s="1"/>
  <c r="H24"/>
  <c r="H20"/>
  <c r="S34" i="78"/>
  <c r="S28"/>
  <c r="S26"/>
  <c r="O34"/>
  <c r="K34"/>
  <c r="G34"/>
  <c r="N31"/>
  <c r="M28"/>
  <c r="I28"/>
  <c r="E28"/>
  <c r="L27"/>
  <c r="H27"/>
  <c r="O26"/>
  <c r="K26"/>
  <c r="G26"/>
  <c r="R10" i="66"/>
  <c r="R10" i="94" s="1"/>
  <c r="H145" i="57"/>
  <c r="G139" s="1"/>
  <c r="P44" i="28"/>
  <c r="P45"/>
  <c r="P47"/>
  <c r="P48"/>
  <c r="O44"/>
  <c r="O45"/>
  <c r="O47"/>
  <c r="O48"/>
  <c r="N44"/>
  <c r="N45"/>
  <c r="N47"/>
  <c r="N48"/>
  <c r="M44"/>
  <c r="M45"/>
  <c r="M47"/>
  <c r="M48"/>
  <c r="H44"/>
  <c r="I44"/>
  <c r="J44" s="1"/>
  <c r="K44" s="1"/>
  <c r="H45"/>
  <c r="I45" s="1"/>
  <c r="I46"/>
  <c r="J46" s="1"/>
  <c r="H47"/>
  <c r="H48"/>
  <c r="I48" s="1"/>
  <c r="P18"/>
  <c r="P19"/>
  <c r="O18"/>
  <c r="O19"/>
  <c r="N18"/>
  <c r="N19"/>
  <c r="M18"/>
  <c r="M19"/>
  <c r="H16"/>
  <c r="H18"/>
  <c r="I18" s="1"/>
  <c r="J18" s="1"/>
  <c r="K18" s="1"/>
  <c r="H19"/>
  <c r="I19" s="1"/>
  <c r="G73" i="18"/>
  <c r="F46"/>
  <c r="F73" s="1"/>
  <c r="F48"/>
  <c r="F75" s="1"/>
  <c r="I76" s="1"/>
  <c r="J76" s="1"/>
  <c r="K76" s="1"/>
  <c r="L76" s="1"/>
  <c r="M76" s="1"/>
  <c r="I9" i="32"/>
  <c r="J9"/>
  <c r="G9" i="18"/>
  <c r="P4" i="22"/>
  <c r="M4"/>
  <c r="G42" i="26"/>
  <c r="Q88" i="18"/>
  <c r="AC95" i="89" s="1"/>
  <c r="F60" i="18"/>
  <c r="F87" s="1"/>
  <c r="I88" s="1"/>
  <c r="J88" s="1"/>
  <c r="K88" s="1"/>
  <c r="L88" s="1"/>
  <c r="M88" s="1"/>
  <c r="G85"/>
  <c r="Q86" s="1"/>
  <c r="F58"/>
  <c r="F85" s="1"/>
  <c r="I248" i="20"/>
  <c r="J248"/>
  <c r="K248"/>
  <c r="L248"/>
  <c r="M248"/>
  <c r="I246"/>
  <c r="J246"/>
  <c r="K246"/>
  <c r="L246"/>
  <c r="M246"/>
  <c r="I247"/>
  <c r="J247"/>
  <c r="K247"/>
  <c r="L247"/>
  <c r="M247"/>
  <c r="M265"/>
  <c r="L265"/>
  <c r="K265"/>
  <c r="J265"/>
  <c r="I265"/>
  <c r="D57" i="94"/>
  <c r="O6" i="103"/>
  <c r="M20"/>
  <c r="K20"/>
  <c r="J20"/>
  <c r="G79" i="18"/>
  <c r="G83" s="1"/>
  <c r="F52"/>
  <c r="F79" s="1"/>
  <c r="F54"/>
  <c r="F81" s="1"/>
  <c r="I82" s="1"/>
  <c r="J82" s="1"/>
  <c r="K82" s="1"/>
  <c r="H143" i="57"/>
  <c r="C25" i="103"/>
  <c r="C26" s="1"/>
  <c r="C20"/>
  <c r="B20"/>
  <c r="B26"/>
  <c r="O19"/>
  <c r="O18"/>
  <c r="O17"/>
  <c r="O16"/>
  <c r="O15"/>
  <c r="O14"/>
  <c r="O13"/>
  <c r="O12"/>
  <c r="O11"/>
  <c r="O10"/>
  <c r="O9"/>
  <c r="O8"/>
  <c r="O7"/>
  <c r="N3"/>
  <c r="P5"/>
  <c r="H1"/>
  <c r="I1" s="1"/>
  <c r="J1" s="1"/>
  <c r="K1" s="1"/>
  <c r="L1"/>
  <c r="M1" s="1"/>
  <c r="N1" s="1"/>
  <c r="U57" i="44"/>
  <c r="H35" s="1"/>
  <c r="I35" s="1"/>
  <c r="U52"/>
  <c r="H26" s="1"/>
  <c r="I26" s="1"/>
  <c r="J26" s="1"/>
  <c r="K26" s="1"/>
  <c r="L26" s="1"/>
  <c r="I87" i="28"/>
  <c r="J87" s="1"/>
  <c r="K87" s="1"/>
  <c r="I65"/>
  <c r="J65"/>
  <c r="K16"/>
  <c r="J16"/>
  <c r="I16"/>
  <c r="M16"/>
  <c r="P16"/>
  <c r="I48" i="102"/>
  <c r="H48"/>
  <c r="J48"/>
  <c r="H47"/>
  <c r="J47" s="1"/>
  <c r="I46"/>
  <c r="H46"/>
  <c r="J46" s="1"/>
  <c r="H45"/>
  <c r="J45"/>
  <c r="I44"/>
  <c r="H44"/>
  <c r="J44" s="1"/>
  <c r="H43"/>
  <c r="J43"/>
  <c r="I42"/>
  <c r="H42"/>
  <c r="J42"/>
  <c r="H41"/>
  <c r="J41" s="1"/>
  <c r="I40"/>
  <c r="H40"/>
  <c r="J40"/>
  <c r="H39"/>
  <c r="J39" s="1"/>
  <c r="I38"/>
  <c r="H38"/>
  <c r="J38" s="1"/>
  <c r="H37"/>
  <c r="J37" s="1"/>
  <c r="I36"/>
  <c r="H36"/>
  <c r="J36" s="1"/>
  <c r="H35"/>
  <c r="J35"/>
  <c r="I34"/>
  <c r="H34"/>
  <c r="J34" s="1"/>
  <c r="H33"/>
  <c r="J33" s="1"/>
  <c r="I32"/>
  <c r="H32"/>
  <c r="J32"/>
  <c r="H31"/>
  <c r="J31" s="1"/>
  <c r="I30"/>
  <c r="H30"/>
  <c r="J30" s="1"/>
  <c r="H29"/>
  <c r="J29" s="1"/>
  <c r="I28"/>
  <c r="H28"/>
  <c r="J28" s="1"/>
  <c r="H27"/>
  <c r="J27"/>
  <c r="I26"/>
  <c r="H26"/>
  <c r="J26" s="1"/>
  <c r="H25"/>
  <c r="J25" s="1"/>
  <c r="I24"/>
  <c r="H24"/>
  <c r="J24"/>
  <c r="H23"/>
  <c r="J23" s="1"/>
  <c r="I22"/>
  <c r="H22"/>
  <c r="J22" s="1"/>
  <c r="H21"/>
  <c r="J21" s="1"/>
  <c r="I20"/>
  <c r="H20"/>
  <c r="J20" s="1"/>
  <c r="H19"/>
  <c r="J19"/>
  <c r="I18"/>
  <c r="H18"/>
  <c r="J18" s="1"/>
  <c r="H17"/>
  <c r="J17" s="1"/>
  <c r="I16"/>
  <c r="H16"/>
  <c r="J16"/>
  <c r="H15"/>
  <c r="J15" s="1"/>
  <c r="I14"/>
  <c r="H14"/>
  <c r="J14" s="1"/>
  <c r="H13"/>
  <c r="J13" s="1"/>
  <c r="I12"/>
  <c r="H12"/>
  <c r="J12" s="1"/>
  <c r="H11"/>
  <c r="J11"/>
  <c r="I10"/>
  <c r="H10"/>
  <c r="J10"/>
  <c r="J9"/>
  <c r="I9"/>
  <c r="J8"/>
  <c r="I8"/>
  <c r="J7"/>
  <c r="I7"/>
  <c r="J6"/>
  <c r="I6"/>
  <c r="F34" i="101"/>
  <c r="F29" s="1"/>
  <c r="F48" i="83"/>
  <c r="K34" i="71"/>
  <c r="K33"/>
  <c r="K32"/>
  <c r="K31"/>
  <c r="K30"/>
  <c r="K26"/>
  <c r="K25"/>
  <c r="K24"/>
  <c r="K23"/>
  <c r="K22"/>
  <c r="K21"/>
  <c r="K20"/>
  <c r="K19"/>
  <c r="K18"/>
  <c r="K17"/>
  <c r="E145" i="44"/>
  <c r="E144"/>
  <c r="E140"/>
  <c r="E139"/>
  <c r="G142"/>
  <c r="E132"/>
  <c r="E143"/>
  <c r="E138"/>
  <c r="E133"/>
  <c r="R33" i="66"/>
  <c r="E57" i="44"/>
  <c r="E52"/>
  <c r="E37"/>
  <c r="E28"/>
  <c r="E35"/>
  <c r="E26"/>
  <c r="E54"/>
  <c r="E49"/>
  <c r="E44"/>
  <c r="E32"/>
  <c r="E23"/>
  <c r="D55"/>
  <c r="U56" s="1"/>
  <c r="D50"/>
  <c r="W51" s="1"/>
  <c r="D45"/>
  <c r="U46" s="1"/>
  <c r="M19" i="18"/>
  <c r="L19"/>
  <c r="K19"/>
  <c r="J19"/>
  <c r="I19"/>
  <c r="M99"/>
  <c r="L99"/>
  <c r="K99"/>
  <c r="J99"/>
  <c r="I99"/>
  <c r="M72"/>
  <c r="L72"/>
  <c r="K72"/>
  <c r="J72"/>
  <c r="I72"/>
  <c r="M45"/>
  <c r="L45"/>
  <c r="K45"/>
  <c r="J45"/>
  <c r="I45"/>
  <c r="D86"/>
  <c r="E110" s="1"/>
  <c r="D59"/>
  <c r="D80"/>
  <c r="D53"/>
  <c r="D74"/>
  <c r="D47"/>
  <c r="E91"/>
  <c r="E64"/>
  <c r="E38"/>
  <c r="E65"/>
  <c r="E39"/>
  <c r="E92"/>
  <c r="E87"/>
  <c r="E81"/>
  <c r="E75"/>
  <c r="E60"/>
  <c r="E54"/>
  <c r="E48"/>
  <c r="E34"/>
  <c r="E28"/>
  <c r="E85"/>
  <c r="E79"/>
  <c r="E73"/>
  <c r="E58"/>
  <c r="E52"/>
  <c r="E46"/>
  <c r="E32"/>
  <c r="E26"/>
  <c r="I11"/>
  <c r="J11" s="1"/>
  <c r="AB21" i="31"/>
  <c r="U8" i="32" s="1"/>
  <c r="AF6"/>
  <c r="Z32"/>
  <c r="Z31"/>
  <c r="Z30"/>
  <c r="Z29"/>
  <c r="Z28"/>
  <c r="Z27"/>
  <c r="Q5"/>
  <c r="P93" i="28"/>
  <c r="O93"/>
  <c r="N93"/>
  <c r="M93"/>
  <c r="P92"/>
  <c r="O92"/>
  <c r="N92"/>
  <c r="M92"/>
  <c r="P91"/>
  <c r="O91"/>
  <c r="N91"/>
  <c r="M91"/>
  <c r="P90"/>
  <c r="O90"/>
  <c r="N90"/>
  <c r="M90"/>
  <c r="P89"/>
  <c r="O89"/>
  <c r="N89"/>
  <c r="M89"/>
  <c r="P88"/>
  <c r="O88"/>
  <c r="N88"/>
  <c r="M88"/>
  <c r="H93"/>
  <c r="G93"/>
  <c r="H92"/>
  <c r="I92" s="1"/>
  <c r="G92"/>
  <c r="H91"/>
  <c r="G91"/>
  <c r="H90"/>
  <c r="I90" s="1"/>
  <c r="G90"/>
  <c r="H89"/>
  <c r="I89" s="1"/>
  <c r="G89"/>
  <c r="H88"/>
  <c r="I88" s="1"/>
  <c r="P71"/>
  <c r="O71"/>
  <c r="N71"/>
  <c r="M71"/>
  <c r="P70"/>
  <c r="O70"/>
  <c r="N70"/>
  <c r="M70"/>
  <c r="P69"/>
  <c r="O69"/>
  <c r="N69"/>
  <c r="M69"/>
  <c r="P68"/>
  <c r="O68"/>
  <c r="N68"/>
  <c r="M68"/>
  <c r="P67"/>
  <c r="O67"/>
  <c r="N67"/>
  <c r="M67"/>
  <c r="P66"/>
  <c r="O66"/>
  <c r="N66"/>
  <c r="M66"/>
  <c r="H71"/>
  <c r="I71" s="1"/>
  <c r="G71"/>
  <c r="H70"/>
  <c r="I70" s="1"/>
  <c r="G70"/>
  <c r="H69"/>
  <c r="G69"/>
  <c r="H68"/>
  <c r="G68"/>
  <c r="H67"/>
  <c r="H111" s="1"/>
  <c r="G67"/>
  <c r="H66"/>
  <c r="G19"/>
  <c r="G18"/>
  <c r="I17"/>
  <c r="I14"/>
  <c r="R34" i="78"/>
  <c r="Q34"/>
  <c r="P34"/>
  <c r="N34"/>
  <c r="M34"/>
  <c r="L34"/>
  <c r="J34"/>
  <c r="I34"/>
  <c r="H34"/>
  <c r="F34"/>
  <c r="E34"/>
  <c r="S31"/>
  <c r="R31"/>
  <c r="Q31"/>
  <c r="P31"/>
  <c r="O31"/>
  <c r="N26"/>
  <c r="N27"/>
  <c r="N28"/>
  <c r="M31"/>
  <c r="L31"/>
  <c r="K31"/>
  <c r="J31"/>
  <c r="I31"/>
  <c r="H31"/>
  <c r="G31"/>
  <c r="F31"/>
  <c r="E31"/>
  <c r="R28"/>
  <c r="Q28"/>
  <c r="P28"/>
  <c r="O28"/>
  <c r="L28"/>
  <c r="K28"/>
  <c r="J28"/>
  <c r="H28"/>
  <c r="G28"/>
  <c r="F28"/>
  <c r="S27"/>
  <c r="R27"/>
  <c r="Q27"/>
  <c r="P27"/>
  <c r="O27"/>
  <c r="M27"/>
  <c r="K27"/>
  <c r="J27"/>
  <c r="I27"/>
  <c r="G27"/>
  <c r="G29" s="1"/>
  <c r="F27"/>
  <c r="E27"/>
  <c r="R26"/>
  <c r="Q26"/>
  <c r="P26"/>
  <c r="M26"/>
  <c r="L26"/>
  <c r="J26"/>
  <c r="I26"/>
  <c r="H26"/>
  <c r="F26"/>
  <c r="E26"/>
  <c r="S21"/>
  <c r="R21"/>
  <c r="Q21"/>
  <c r="P21"/>
  <c r="O21"/>
  <c r="N21"/>
  <c r="M21"/>
  <c r="L21"/>
  <c r="K21"/>
  <c r="J21"/>
  <c r="I21"/>
  <c r="H21"/>
  <c r="G21"/>
  <c r="F21"/>
  <c r="E21"/>
  <c r="S20"/>
  <c r="R20"/>
  <c r="Q20"/>
  <c r="P20"/>
  <c r="O20"/>
  <c r="N20"/>
  <c r="M20"/>
  <c r="L20"/>
  <c r="K20"/>
  <c r="J20"/>
  <c r="I20"/>
  <c r="H20"/>
  <c r="G20"/>
  <c r="F20"/>
  <c r="E20"/>
  <c r="S19"/>
  <c r="R19"/>
  <c r="Q19"/>
  <c r="P19"/>
  <c r="O19"/>
  <c r="N19"/>
  <c r="M19"/>
  <c r="L19"/>
  <c r="K19"/>
  <c r="J19"/>
  <c r="I19"/>
  <c r="H19"/>
  <c r="G19"/>
  <c r="F19"/>
  <c r="E19"/>
  <c r="S18"/>
  <c r="R18"/>
  <c r="Q18"/>
  <c r="P18"/>
  <c r="O18"/>
  <c r="N18"/>
  <c r="M18"/>
  <c r="L18"/>
  <c r="K18"/>
  <c r="J18"/>
  <c r="I18"/>
  <c r="H18"/>
  <c r="G18"/>
  <c r="F18"/>
  <c r="E18"/>
  <c r="S17"/>
  <c r="R17"/>
  <c r="Q17"/>
  <c r="P17"/>
  <c r="O17"/>
  <c r="N17"/>
  <c r="M17"/>
  <c r="L17"/>
  <c r="K17"/>
  <c r="J17"/>
  <c r="I17"/>
  <c r="H17"/>
  <c r="G17"/>
  <c r="F17"/>
  <c r="E17"/>
  <c r="S16"/>
  <c r="R16"/>
  <c r="Q16"/>
  <c r="P16"/>
  <c r="O16"/>
  <c r="N16"/>
  <c r="M16"/>
  <c r="L16"/>
  <c r="K16"/>
  <c r="J16"/>
  <c r="I16"/>
  <c r="H16"/>
  <c r="G16"/>
  <c r="F16"/>
  <c r="E16"/>
  <c r="S15"/>
  <c r="R15"/>
  <c r="Q15"/>
  <c r="P15"/>
  <c r="O15"/>
  <c r="N15"/>
  <c r="M15"/>
  <c r="L15"/>
  <c r="K15"/>
  <c r="J15"/>
  <c r="I15"/>
  <c r="H15"/>
  <c r="G15"/>
  <c r="F15"/>
  <c r="E15"/>
  <c r="S12"/>
  <c r="R12"/>
  <c r="Q12"/>
  <c r="P12"/>
  <c r="O12"/>
  <c r="N12"/>
  <c r="M12"/>
  <c r="L12"/>
  <c r="K12"/>
  <c r="J12"/>
  <c r="I12"/>
  <c r="H12"/>
  <c r="G12"/>
  <c r="F12"/>
  <c r="E12"/>
  <c r="S11"/>
  <c r="R11"/>
  <c r="Q11"/>
  <c r="P11"/>
  <c r="O11"/>
  <c r="N11"/>
  <c r="M11"/>
  <c r="L11"/>
  <c r="K11"/>
  <c r="J11"/>
  <c r="I11"/>
  <c r="H11"/>
  <c r="G11"/>
  <c r="F11"/>
  <c r="E11"/>
  <c r="S10"/>
  <c r="R10"/>
  <c r="Q10"/>
  <c r="P10"/>
  <c r="O10"/>
  <c r="N10"/>
  <c r="M10"/>
  <c r="L10"/>
  <c r="K10"/>
  <c r="J10"/>
  <c r="I10"/>
  <c r="H10"/>
  <c r="G10"/>
  <c r="F10"/>
  <c r="E10"/>
  <c r="S9"/>
  <c r="R9"/>
  <c r="Q9"/>
  <c r="P9"/>
  <c r="O9"/>
  <c r="N9"/>
  <c r="M9"/>
  <c r="L9"/>
  <c r="K9"/>
  <c r="J9"/>
  <c r="J13" s="1"/>
  <c r="J23" s="1"/>
  <c r="I9"/>
  <c r="H9"/>
  <c r="G9"/>
  <c r="F9"/>
  <c r="F13" s="1"/>
  <c r="E9"/>
  <c r="E5"/>
  <c r="E4"/>
  <c r="AA26" i="32"/>
  <c r="AB26"/>
  <c r="AA25"/>
  <c r="AA24"/>
  <c r="AA23"/>
  <c r="AA22"/>
  <c r="AB22"/>
  <c r="AA21"/>
  <c r="AB21" s="1"/>
  <c r="AA20"/>
  <c r="AA19"/>
  <c r="AA18"/>
  <c r="V138"/>
  <c r="V137"/>
  <c r="V139"/>
  <c r="O32"/>
  <c r="U32" s="1"/>
  <c r="V32" s="1"/>
  <c r="O31"/>
  <c r="U31" s="1"/>
  <c r="V31" s="1"/>
  <c r="O29"/>
  <c r="U29"/>
  <c r="V29"/>
  <c r="J28"/>
  <c r="M40" i="22"/>
  <c r="AF26" i="32"/>
  <c r="AF138"/>
  <c r="AF25"/>
  <c r="AF137" s="1"/>
  <c r="AF139" s="1"/>
  <c r="AF24"/>
  <c r="AF23"/>
  <c r="AF22"/>
  <c r="AF21"/>
  <c r="AF20"/>
  <c r="AF19"/>
  <c r="AF18"/>
  <c r="AD32"/>
  <c r="AD31"/>
  <c r="AD30"/>
  <c r="AD29"/>
  <c r="AD28"/>
  <c r="AD27"/>
  <c r="AD26"/>
  <c r="AD25"/>
  <c r="AD24"/>
  <c r="AD23"/>
  <c r="AD22"/>
  <c r="AD21"/>
  <c r="AD20"/>
  <c r="AD19"/>
  <c r="AD18"/>
  <c r="W11"/>
  <c r="U150"/>
  <c r="U151"/>
  <c r="U149"/>
  <c r="W26"/>
  <c r="W22"/>
  <c r="W21"/>
  <c r="AB20" i="31"/>
  <c r="I8" i="32" s="1"/>
  <c r="U11"/>
  <c r="U10"/>
  <c r="V104"/>
  <c r="I124" i="44"/>
  <c r="A71" i="83"/>
  <c r="B27"/>
  <c r="B25"/>
  <c r="H11"/>
  <c r="B11"/>
  <c r="Q82" i="18"/>
  <c r="R82" s="1"/>
  <c r="P115" i="28"/>
  <c r="N115"/>
  <c r="G48"/>
  <c r="G47"/>
  <c r="G45"/>
  <c r="G44"/>
  <c r="S15" i="22"/>
  <c r="D50"/>
  <c r="J31" i="32"/>
  <c r="I79" i="20"/>
  <c r="B77" i="31"/>
  <c r="B80" s="1"/>
  <c r="B83" s="1"/>
  <c r="W56" i="44"/>
  <c r="W46"/>
  <c r="G65" i="94"/>
  <c r="O3" i="98"/>
  <c r="N4" s="1"/>
  <c r="N3" s="1"/>
  <c r="B68" i="83"/>
  <c r="B67"/>
  <c r="H9"/>
  <c r="A53" s="1"/>
  <c r="I35"/>
  <c r="D35"/>
  <c r="B9"/>
  <c r="B7"/>
  <c r="B5"/>
  <c r="A80"/>
  <c r="A73"/>
  <c r="K13" i="20"/>
  <c r="S13" i="48" s="1"/>
  <c r="K21" i="20"/>
  <c r="S21" i="48" s="1"/>
  <c r="K30" i="20"/>
  <c r="S30" i="48" s="1"/>
  <c r="K38" i="20"/>
  <c r="S38" i="48" s="1"/>
  <c r="K47" i="20"/>
  <c r="S47" i="48" s="1"/>
  <c r="K55" i="20"/>
  <c r="S55" i="48" s="1"/>
  <c r="AN13"/>
  <c r="AN21"/>
  <c r="AN30"/>
  <c r="AN38"/>
  <c r="AN47"/>
  <c r="AN55"/>
  <c r="L13"/>
  <c r="L21"/>
  <c r="L30"/>
  <c r="L38"/>
  <c r="L47"/>
  <c r="L55"/>
  <c r="N2" i="98"/>
  <c r="D57" i="22"/>
  <c r="J13" i="48"/>
  <c r="J21"/>
  <c r="J30"/>
  <c r="J38"/>
  <c r="C25" i="98"/>
  <c r="J114" i="44"/>
  <c r="K114"/>
  <c r="I114"/>
  <c r="C147" i="57"/>
  <c r="G147"/>
  <c r="W12" i="44"/>
  <c r="U14"/>
  <c r="U13"/>
  <c r="U12"/>
  <c r="C144" i="57"/>
  <c r="G144"/>
  <c r="G146"/>
  <c r="C146"/>
  <c r="G63" i="28"/>
  <c r="G40"/>
  <c r="H148" i="57"/>
  <c r="G197" s="1"/>
  <c r="H149"/>
  <c r="G157" s="1"/>
  <c r="Q76" i="18"/>
  <c r="G95" i="89" s="1"/>
  <c r="M30" i="20"/>
  <c r="U30" i="48" s="1"/>
  <c r="M38" i="20"/>
  <c r="U38" i="48" s="1"/>
  <c r="L30" i="20"/>
  <c r="T30" i="48" s="1"/>
  <c r="L38" i="20"/>
  <c r="T38" i="48" s="1"/>
  <c r="J30" i="20"/>
  <c r="R30" i="48" s="1"/>
  <c r="J38" i="20"/>
  <c r="R38" i="48" s="1"/>
  <c r="I30" i="20"/>
  <c r="Q30" i="48" s="1"/>
  <c r="I38" i="20"/>
  <c r="Q38" i="48" s="1"/>
  <c r="G85" i="28"/>
  <c r="X88"/>
  <c r="G112"/>
  <c r="X2" i="31"/>
  <c r="P9" i="32"/>
  <c r="J30" i="71"/>
  <c r="G151" i="57"/>
  <c r="G150"/>
  <c r="V137"/>
  <c r="U137"/>
  <c r="T137"/>
  <c r="S137"/>
  <c r="R137"/>
  <c r="Q137"/>
  <c r="P137"/>
  <c r="O137"/>
  <c r="N137"/>
  <c r="M137"/>
  <c r="L137"/>
  <c r="K137"/>
  <c r="K19"/>
  <c r="L19"/>
  <c r="M19"/>
  <c r="N19"/>
  <c r="O19"/>
  <c r="P19"/>
  <c r="Q19"/>
  <c r="R19"/>
  <c r="S19"/>
  <c r="T19"/>
  <c r="U19"/>
  <c r="V19"/>
  <c r="I13" i="20"/>
  <c r="Q13" i="48" s="1"/>
  <c r="I21" i="20"/>
  <c r="Q21" i="48" s="1"/>
  <c r="I47" i="20"/>
  <c r="Q47" i="48" s="1"/>
  <c r="I55" i="20"/>
  <c r="Q55" i="48" s="1"/>
  <c r="I10" i="18"/>
  <c r="G99"/>
  <c r="F113"/>
  <c r="F112"/>
  <c r="F108"/>
  <c r="F107"/>
  <c r="F111"/>
  <c r="F106"/>
  <c r="E105"/>
  <c r="E100"/>
  <c r="M113"/>
  <c r="M112" s="1"/>
  <c r="L113"/>
  <c r="L112" s="1"/>
  <c r="K113"/>
  <c r="K112" s="1"/>
  <c r="J113"/>
  <c r="J112" s="1"/>
  <c r="I113"/>
  <c r="I112" s="1"/>
  <c r="G113"/>
  <c r="G112" s="1"/>
  <c r="M108"/>
  <c r="M107" s="1"/>
  <c r="L108"/>
  <c r="L107" s="1"/>
  <c r="K108"/>
  <c r="K107" s="1"/>
  <c r="J108"/>
  <c r="J107"/>
  <c r="I108"/>
  <c r="I107"/>
  <c r="G108"/>
  <c r="G107"/>
  <c r="M103"/>
  <c r="M102"/>
  <c r="L103"/>
  <c r="L102"/>
  <c r="K103"/>
  <c r="K102"/>
  <c r="J103"/>
  <c r="J102"/>
  <c r="I103"/>
  <c r="I102"/>
  <c r="G103"/>
  <c r="G102"/>
  <c r="J27" i="32"/>
  <c r="J29"/>
  <c r="O27"/>
  <c r="U27" s="1"/>
  <c r="V27" s="1"/>
  <c r="O28"/>
  <c r="U28"/>
  <c r="V28" s="1"/>
  <c r="O30"/>
  <c r="U30" s="1"/>
  <c r="V30" s="1"/>
  <c r="P137"/>
  <c r="P138"/>
  <c r="F18" i="22"/>
  <c r="O17"/>
  <c r="Q98" i="20"/>
  <c r="Q179" s="1"/>
  <c r="X21" i="22"/>
  <c r="J13" i="20"/>
  <c r="R13" i="48" s="1"/>
  <c r="J21" i="20"/>
  <c r="R21" i="48" s="1"/>
  <c r="J47" i="20"/>
  <c r="R47" i="48" s="1"/>
  <c r="J55" i="20"/>
  <c r="R55" i="48" s="1"/>
  <c r="I47" i="26"/>
  <c r="N114" i="28"/>
  <c r="J47" i="26"/>
  <c r="L13" i="20"/>
  <c r="T13" i="48" s="1"/>
  <c r="L21" i="20"/>
  <c r="T21" i="48" s="1"/>
  <c r="L47" i="20"/>
  <c r="T47" i="48" s="1"/>
  <c r="L55" i="20"/>
  <c r="T55" i="48" s="1"/>
  <c r="K47" i="26"/>
  <c r="M13" i="20"/>
  <c r="U13" i="48" s="1"/>
  <c r="M21" i="20"/>
  <c r="U21" i="48" s="1"/>
  <c r="M47" i="20"/>
  <c r="U47" i="48" s="1"/>
  <c r="M55" i="20"/>
  <c r="U55" i="48" s="1"/>
  <c r="L47" i="26"/>
  <c r="G25" i="66"/>
  <c r="G26"/>
  <c r="G27"/>
  <c r="D55" i="94"/>
  <c r="R189" i="20"/>
  <c r="D23" i="82" s="1"/>
  <c r="D22"/>
  <c r="D4" i="94"/>
  <c r="T44"/>
  <c r="U44"/>
  <c r="V44" s="1"/>
  <c r="W44" s="1"/>
  <c r="T45"/>
  <c r="U45"/>
  <c r="V45" s="1"/>
  <c r="W45" s="1"/>
  <c r="D56"/>
  <c r="H166" i="20"/>
  <c r="Q182"/>
  <c r="Q181"/>
  <c r="Q69"/>
  <c r="U86" i="48"/>
  <c r="T86"/>
  <c r="AV86" s="1"/>
  <c r="S86"/>
  <c r="AU86" s="1"/>
  <c r="R86"/>
  <c r="AT86" s="1"/>
  <c r="Q86"/>
  <c r="AS86" s="1"/>
  <c r="N20" i="31"/>
  <c r="N62"/>
  <c r="N64"/>
  <c r="AP13" i="48"/>
  <c r="AP21"/>
  <c r="AP30"/>
  <c r="AP38"/>
  <c r="AP47"/>
  <c r="AP55"/>
  <c r="AO13"/>
  <c r="AO21"/>
  <c r="AO30"/>
  <c r="AO38"/>
  <c r="AO47"/>
  <c r="AO55"/>
  <c r="AM13"/>
  <c r="AM21"/>
  <c r="AM30"/>
  <c r="AM38"/>
  <c r="AM47"/>
  <c r="AM55"/>
  <c r="AL13"/>
  <c r="AL21"/>
  <c r="AL30"/>
  <c r="AL38"/>
  <c r="AL47"/>
  <c r="AL55"/>
  <c r="N83" i="31"/>
  <c r="O83"/>
  <c r="N80"/>
  <c r="O80" s="1"/>
  <c r="P80" s="1"/>
  <c r="Q80" s="1"/>
  <c r="N100"/>
  <c r="B91" i="93"/>
  <c r="B90"/>
  <c r="F67" i="28"/>
  <c r="B89" i="93"/>
  <c r="B97"/>
  <c r="F88" i="28"/>
  <c r="B88" i="93"/>
  <c r="B96" s="1"/>
  <c r="F87" i="28" s="1"/>
  <c r="F48"/>
  <c r="F115" s="1"/>
  <c r="F47"/>
  <c r="F114" s="1"/>
  <c r="F46"/>
  <c r="F113" s="1"/>
  <c r="F45"/>
  <c r="F112" s="1"/>
  <c r="F44"/>
  <c r="F111" s="1"/>
  <c r="F43"/>
  <c r="F110" s="1"/>
  <c r="F42"/>
  <c r="F109" s="1"/>
  <c r="F19"/>
  <c r="F18"/>
  <c r="F17"/>
  <c r="F16"/>
  <c r="F15"/>
  <c r="F14"/>
  <c r="B94" i="93"/>
  <c r="B102"/>
  <c r="F93" i="28"/>
  <c r="Q48" i="22"/>
  <c r="M69"/>
  <c r="P46"/>
  <c r="O61"/>
  <c r="O55"/>
  <c r="P32"/>
  <c r="K63"/>
  <c r="F56"/>
  <c r="J31"/>
  <c r="G31"/>
  <c r="C5" i="6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1648"/>
  <c r="C1649"/>
  <c r="C1650"/>
  <c r="C1651"/>
  <c r="C1652"/>
  <c r="C1653"/>
  <c r="C1654"/>
  <c r="C1655"/>
  <c r="C1656"/>
  <c r="C1657"/>
  <c r="C1658"/>
  <c r="C1659"/>
  <c r="C1660"/>
  <c r="C1661"/>
  <c r="C1662"/>
  <c r="C1663"/>
  <c r="C1664"/>
  <c r="C1665"/>
  <c r="C1666"/>
  <c r="C1667"/>
  <c r="C1668"/>
  <c r="C1669"/>
  <c r="C1670"/>
  <c r="C1671"/>
  <c r="C1672"/>
  <c r="C1673"/>
  <c r="C1674"/>
  <c r="C1675"/>
  <c r="C1676"/>
  <c r="C1677"/>
  <c r="C1678"/>
  <c r="C1679"/>
  <c r="C1680"/>
  <c r="C1681"/>
  <c r="C1682"/>
  <c r="C1683"/>
  <c r="C1684"/>
  <c r="C1685"/>
  <c r="C1686"/>
  <c r="C1687"/>
  <c r="C1688"/>
  <c r="C1689"/>
  <c r="C1690"/>
  <c r="C1691"/>
  <c r="C1692"/>
  <c r="C1693"/>
  <c r="C1694"/>
  <c r="C1695"/>
  <c r="C1696"/>
  <c r="C1697"/>
  <c r="C1698"/>
  <c r="C1699"/>
  <c r="C1700"/>
  <c r="C1701"/>
  <c r="C1702"/>
  <c r="C1703"/>
  <c r="C1704"/>
  <c r="C1705"/>
  <c r="C1706"/>
  <c r="C1707"/>
  <c r="C1708"/>
  <c r="C1709"/>
  <c r="C1710"/>
  <c r="C1711"/>
  <c r="C1712"/>
  <c r="C1713"/>
  <c r="C1714"/>
  <c r="C1715"/>
  <c r="C1716"/>
  <c r="C1717"/>
  <c r="C1718"/>
  <c r="C1719"/>
  <c r="C1720"/>
  <c r="C1721"/>
  <c r="C1722"/>
  <c r="C1723"/>
  <c r="C1724"/>
  <c r="C1725"/>
  <c r="C1726"/>
  <c r="C1727"/>
  <c r="C1728"/>
  <c r="C1729"/>
  <c r="C1730"/>
  <c r="C1731"/>
  <c r="C1732"/>
  <c r="C1733"/>
  <c r="C1734"/>
  <c r="C1735"/>
  <c r="C1736"/>
  <c r="C1737"/>
  <c r="C1738"/>
  <c r="C1739"/>
  <c r="C1740"/>
  <c r="C1741"/>
  <c r="C1742"/>
  <c r="C1743"/>
  <c r="C1744"/>
  <c r="C1745"/>
  <c r="C1746"/>
  <c r="C1747"/>
  <c r="C1748"/>
  <c r="C1749"/>
  <c r="C1750"/>
  <c r="C1751"/>
  <c r="C1752"/>
  <c r="C1753"/>
  <c r="C1754"/>
  <c r="C1755"/>
  <c r="C1756"/>
  <c r="C1757"/>
  <c r="C1758"/>
  <c r="C1759"/>
  <c r="C1760"/>
  <c r="C1761"/>
  <c r="C1762"/>
  <c r="C1763"/>
  <c r="C1764"/>
  <c r="C1765"/>
  <c r="C1766"/>
  <c r="C1767"/>
  <c r="C1768"/>
  <c r="C1769"/>
  <c r="C1770"/>
  <c r="C1771"/>
  <c r="C1772"/>
  <c r="C1773"/>
  <c r="C1774"/>
  <c r="C1775"/>
  <c r="C1776"/>
  <c r="C1777"/>
  <c r="C1778"/>
  <c r="C1779"/>
  <c r="C1780"/>
  <c r="C1781"/>
  <c r="C1782"/>
  <c r="C1783"/>
  <c r="C1784"/>
  <c r="C1785"/>
  <c r="C1786"/>
  <c r="C1787"/>
  <c r="C1788"/>
  <c r="C1789"/>
  <c r="C1790"/>
  <c r="C1791"/>
  <c r="C1792"/>
  <c r="C1793"/>
  <c r="C1794"/>
  <c r="C1795"/>
  <c r="C1796"/>
  <c r="C1797"/>
  <c r="C1798"/>
  <c r="C1799"/>
  <c r="C1800"/>
  <c r="C1801"/>
  <c r="C1802"/>
  <c r="C1803"/>
  <c r="C1804"/>
  <c r="C1805"/>
  <c r="C1806"/>
  <c r="C1807"/>
  <c r="C1808"/>
  <c r="C1809"/>
  <c r="C1810"/>
  <c r="C1811"/>
  <c r="C1812"/>
  <c r="C1813"/>
  <c r="C1814"/>
  <c r="C1815"/>
  <c r="C1816"/>
  <c r="C1817"/>
  <c r="C1818"/>
  <c r="C1819"/>
  <c r="C1820"/>
  <c r="C1821"/>
  <c r="C1822"/>
  <c r="C1823"/>
  <c r="C1824"/>
  <c r="C1825"/>
  <c r="C1826"/>
  <c r="C1827"/>
  <c r="C1828"/>
  <c r="C1829"/>
  <c r="C1830"/>
  <c r="C1831"/>
  <c r="C1832"/>
  <c r="C1833"/>
  <c r="C1834"/>
  <c r="C1835"/>
  <c r="C1836"/>
  <c r="C1837"/>
  <c r="C1838"/>
  <c r="C1839"/>
  <c r="C1840"/>
  <c r="C1841"/>
  <c r="C1842"/>
  <c r="C1843"/>
  <c r="C1844"/>
  <c r="C1845"/>
  <c r="C1846"/>
  <c r="C1847"/>
  <c r="C1848"/>
  <c r="C1849"/>
  <c r="C1850"/>
  <c r="C1851"/>
  <c r="C1852"/>
  <c r="C1853"/>
  <c r="C1854"/>
  <c r="C1855"/>
  <c r="C1856"/>
  <c r="C1857"/>
  <c r="C1858"/>
  <c r="C1859"/>
  <c r="C1860"/>
  <c r="C1861"/>
  <c r="C1862"/>
  <c r="C1863"/>
  <c r="C1864"/>
  <c r="C1865"/>
  <c r="C1866"/>
  <c r="C1867"/>
  <c r="C1868"/>
  <c r="C1869"/>
  <c r="C1870"/>
  <c r="C1871"/>
  <c r="C1872"/>
  <c r="C1873"/>
  <c r="C1874"/>
  <c r="C1875"/>
  <c r="C1876"/>
  <c r="C1877"/>
  <c r="C1878"/>
  <c r="C1879"/>
  <c r="C1880"/>
  <c r="C1881"/>
  <c r="C1882"/>
  <c r="C1883"/>
  <c r="C1884"/>
  <c r="C1885"/>
  <c r="C1886"/>
  <c r="C1887"/>
  <c r="C1888"/>
  <c r="C1889"/>
  <c r="C1890"/>
  <c r="C1891"/>
  <c r="C1892"/>
  <c r="C1893"/>
  <c r="C1894"/>
  <c r="C1895"/>
  <c r="C1896"/>
  <c r="C1897"/>
  <c r="C1898"/>
  <c r="C1899"/>
  <c r="C1900"/>
  <c r="C1901"/>
  <c r="C1902"/>
  <c r="C1903"/>
  <c r="C1904"/>
  <c r="C1905"/>
  <c r="C1906"/>
  <c r="C1907"/>
  <c r="C1908"/>
  <c r="C1909"/>
  <c r="C1910"/>
  <c r="C1911"/>
  <c r="C1912"/>
  <c r="C1913"/>
  <c r="C1914"/>
  <c r="C1915"/>
  <c r="C1916"/>
  <c r="C1917"/>
  <c r="C1918"/>
  <c r="C1919"/>
  <c r="C1920"/>
  <c r="C1921"/>
  <c r="C1922"/>
  <c r="C1923"/>
  <c r="C1924"/>
  <c r="C1925"/>
  <c r="C1926"/>
  <c r="C1927"/>
  <c r="C1928"/>
  <c r="C1929"/>
  <c r="C1930"/>
  <c r="C1931"/>
  <c r="C1932"/>
  <c r="C1933"/>
  <c r="C1934"/>
  <c r="C1935"/>
  <c r="C1936"/>
  <c r="C1937"/>
  <c r="C1938"/>
  <c r="C1939"/>
  <c r="C1940"/>
  <c r="C1941"/>
  <c r="C1942"/>
  <c r="C1943"/>
  <c r="C1944"/>
  <c r="C1945"/>
  <c r="C1946"/>
  <c r="C1947"/>
  <c r="C1948"/>
  <c r="C1949"/>
  <c r="C1950"/>
  <c r="C1951"/>
  <c r="C1952"/>
  <c r="C1953"/>
  <c r="C1954"/>
  <c r="C1955"/>
  <c r="C1956"/>
  <c r="C1957"/>
  <c r="C1958"/>
  <c r="C1959"/>
  <c r="C1960"/>
  <c r="C1961"/>
  <c r="C1962"/>
  <c r="C1963"/>
  <c r="C1964"/>
  <c r="C1965"/>
  <c r="C1966"/>
  <c r="C1967"/>
  <c r="C1968"/>
  <c r="C1969"/>
  <c r="C1970"/>
  <c r="C1971"/>
  <c r="C1972"/>
  <c r="C1973"/>
  <c r="C1974"/>
  <c r="C1975"/>
  <c r="C1976"/>
  <c r="C1977"/>
  <c r="C1978"/>
  <c r="C1979"/>
  <c r="C1980"/>
  <c r="C1981"/>
  <c r="C1982"/>
  <c r="C1983"/>
  <c r="C1984"/>
  <c r="C1985"/>
  <c r="C1986"/>
  <c r="C1987"/>
  <c r="C1988"/>
  <c r="C1989"/>
  <c r="C1990"/>
  <c r="C1991"/>
  <c r="C1992"/>
  <c r="C1993"/>
  <c r="C1994"/>
  <c r="C1995"/>
  <c r="C1996"/>
  <c r="C1997"/>
  <c r="C1998"/>
  <c r="C1999"/>
  <c r="C2000"/>
  <c r="C2001"/>
  <c r="C2002"/>
  <c r="C2003"/>
  <c r="C2004"/>
  <c r="C2005"/>
  <c r="C2006"/>
  <c r="C2007"/>
  <c r="C2008"/>
  <c r="C2009"/>
  <c r="C2010"/>
  <c r="C2011"/>
  <c r="C2012"/>
  <c r="C2013"/>
  <c r="C2014"/>
  <c r="C2015"/>
  <c r="C2016"/>
  <c r="C2017"/>
  <c r="C2018"/>
  <c r="C2019"/>
  <c r="C2020"/>
  <c r="C2021"/>
  <c r="C2022"/>
  <c r="C2023"/>
  <c r="C2024"/>
  <c r="C2025"/>
  <c r="C2026"/>
  <c r="C2027"/>
  <c r="C2028"/>
  <c r="C2029"/>
  <c r="C2030"/>
  <c r="C2031"/>
  <c r="C2032"/>
  <c r="C2033"/>
  <c r="C2034"/>
  <c r="C2035"/>
  <c r="C2036"/>
  <c r="C2037"/>
  <c r="C2038"/>
  <c r="C2039"/>
  <c r="C2040"/>
  <c r="C2041"/>
  <c r="C2042"/>
  <c r="C2043"/>
  <c r="C2044"/>
  <c r="C2045"/>
  <c r="C2046"/>
  <c r="C2047"/>
  <c r="C2048"/>
  <c r="C2049"/>
  <c r="C2050"/>
  <c r="C2051"/>
  <c r="C2052"/>
  <c r="C2053"/>
  <c r="C2054"/>
  <c r="C2055"/>
  <c r="C2056"/>
  <c r="C2057"/>
  <c r="C2058"/>
  <c r="C2059"/>
  <c r="C2060"/>
  <c r="C2061"/>
  <c r="C2062"/>
  <c r="C2063"/>
  <c r="C2064"/>
  <c r="C2065"/>
  <c r="C2066"/>
  <c r="C2067"/>
  <c r="C2068"/>
  <c r="C2069"/>
  <c r="C2070"/>
  <c r="C2071"/>
  <c r="C2072"/>
  <c r="C2073"/>
  <c r="C2074"/>
  <c r="C2075"/>
  <c r="C2076"/>
  <c r="C2077"/>
  <c r="C2078"/>
  <c r="C2079"/>
  <c r="C2080"/>
  <c r="C2081"/>
  <c r="C2082"/>
  <c r="C2083"/>
  <c r="C2084"/>
  <c r="C2085"/>
  <c r="C2086"/>
  <c r="C2087"/>
  <c r="C2088"/>
  <c r="C2089"/>
  <c r="C2090"/>
  <c r="C2091"/>
  <c r="C2092"/>
  <c r="C2093"/>
  <c r="C2094"/>
  <c r="C2095"/>
  <c r="C2096"/>
  <c r="C2097"/>
  <c r="C2098"/>
  <c r="C2099"/>
  <c r="C2100"/>
  <c r="C2101"/>
  <c r="C2102"/>
  <c r="C2103"/>
  <c r="C2104"/>
  <c r="C2105"/>
  <c r="C2106"/>
  <c r="C2107"/>
  <c r="C2108"/>
  <c r="C2109"/>
  <c r="C2110"/>
  <c r="C2111"/>
  <c r="C2112"/>
  <c r="C2113"/>
  <c r="C2114"/>
  <c r="C2115"/>
  <c r="C2116"/>
  <c r="C2117"/>
  <c r="C2118"/>
  <c r="C2119"/>
  <c r="C2120"/>
  <c r="C2121"/>
  <c r="C2122"/>
  <c r="C2123"/>
  <c r="C2124"/>
  <c r="C2125"/>
  <c r="C2126"/>
  <c r="C2127"/>
  <c r="C2128"/>
  <c r="C2129"/>
  <c r="C2130"/>
  <c r="C2131"/>
  <c r="C2132"/>
  <c r="C2133"/>
  <c r="C2134"/>
  <c r="C2135"/>
  <c r="C2136"/>
  <c r="C2137"/>
  <c r="C2138"/>
  <c r="C2139"/>
  <c r="C2140"/>
  <c r="C2141"/>
  <c r="C2142"/>
  <c r="C2143"/>
  <c r="C2144"/>
  <c r="C2145"/>
  <c r="C2146"/>
  <c r="C2147"/>
  <c r="C2148"/>
  <c r="C2149"/>
  <c r="C2150"/>
  <c r="C2151"/>
  <c r="C2152"/>
  <c r="C2153"/>
  <c r="C2154"/>
  <c r="C2155"/>
  <c r="C2156"/>
  <c r="C2157"/>
  <c r="C2158"/>
  <c r="C2159"/>
  <c r="C2160"/>
  <c r="C2161"/>
  <c r="C2162"/>
  <c r="C2163"/>
  <c r="C2164"/>
  <c r="C2165"/>
  <c r="C2166"/>
  <c r="C2167"/>
  <c r="C2168"/>
  <c r="C2169"/>
  <c r="C2170"/>
  <c r="C2171"/>
  <c r="C2172"/>
  <c r="C2173"/>
  <c r="C2174"/>
  <c r="C2175"/>
  <c r="C2176"/>
  <c r="C2177"/>
  <c r="C2178"/>
  <c r="C2179"/>
  <c r="C2180"/>
  <c r="C2181"/>
  <c r="C2182"/>
  <c r="C2183"/>
  <c r="C2184"/>
  <c r="C2185"/>
  <c r="C2186"/>
  <c r="C2187"/>
  <c r="C2188"/>
  <c r="C2189"/>
  <c r="C2190"/>
  <c r="C2191"/>
  <c r="C2192"/>
  <c r="C2193"/>
  <c r="C2194"/>
  <c r="C2195"/>
  <c r="C2196"/>
  <c r="C2197"/>
  <c r="C2198"/>
  <c r="C2199"/>
  <c r="C2200"/>
  <c r="C2201"/>
  <c r="C2202"/>
  <c r="C2203"/>
  <c r="C2204"/>
  <c r="C2205"/>
  <c r="C2206"/>
  <c r="C2207"/>
  <c r="C2208"/>
  <c r="C2209"/>
  <c r="C2210"/>
  <c r="C2211"/>
  <c r="C2212"/>
  <c r="C2213"/>
  <c r="C2214"/>
  <c r="C2215"/>
  <c r="C2216"/>
  <c r="C2217"/>
  <c r="C2218"/>
  <c r="C2219"/>
  <c r="C2220"/>
  <c r="C2221"/>
  <c r="C2222"/>
  <c r="C2223"/>
  <c r="C2224"/>
  <c r="C2225"/>
  <c r="C2226"/>
  <c r="C2227"/>
  <c r="C2228"/>
  <c r="C2229"/>
  <c r="C2230"/>
  <c r="C2231"/>
  <c r="C2232"/>
  <c r="C2233"/>
  <c r="C2234"/>
  <c r="C2235"/>
  <c r="C2236"/>
  <c r="C2237"/>
  <c r="C2238"/>
  <c r="C2239"/>
  <c r="C2240"/>
  <c r="C2241"/>
  <c r="C2242"/>
  <c r="C2243"/>
  <c r="C2244"/>
  <c r="C2245"/>
  <c r="C2246"/>
  <c r="C2247"/>
  <c r="C2248"/>
  <c r="C2249"/>
  <c r="C2250"/>
  <c r="C2251"/>
  <c r="C2252"/>
  <c r="C2253"/>
  <c r="C2254"/>
  <c r="C2255"/>
  <c r="C2256"/>
  <c r="C2257"/>
  <c r="C2258"/>
  <c r="C2259"/>
  <c r="C2260"/>
  <c r="C2261"/>
  <c r="C2262"/>
  <c r="C2263"/>
  <c r="C2264"/>
  <c r="C2265"/>
  <c r="C2266"/>
  <c r="C2267"/>
  <c r="C2268"/>
  <c r="C2269"/>
  <c r="C2270"/>
  <c r="C2271"/>
  <c r="C2272"/>
  <c r="C2273"/>
  <c r="C2274"/>
  <c r="C2275"/>
  <c r="C2276"/>
  <c r="C2277"/>
  <c r="C2278"/>
  <c r="C2279"/>
  <c r="C2280"/>
  <c r="C2281"/>
  <c r="C2282"/>
  <c r="C2283"/>
  <c r="C2284"/>
  <c r="C2285"/>
  <c r="C2286"/>
  <c r="C2287"/>
  <c r="C2288"/>
  <c r="C2289"/>
  <c r="C2290"/>
  <c r="C2291"/>
  <c r="C2292"/>
  <c r="C2293"/>
  <c r="C2294"/>
  <c r="C2295"/>
  <c r="C2296"/>
  <c r="C2297"/>
  <c r="C2298"/>
  <c r="C2299"/>
  <c r="C2300"/>
  <c r="C2301"/>
  <c r="C2302"/>
  <c r="C2303"/>
  <c r="C2304"/>
  <c r="C2305"/>
  <c r="C2306"/>
  <c r="C2307"/>
  <c r="C2308"/>
  <c r="C2309"/>
  <c r="C2310"/>
  <c r="C2311"/>
  <c r="C2312"/>
  <c r="C2313"/>
  <c r="C2314"/>
  <c r="C2315"/>
  <c r="C2316"/>
  <c r="C2317"/>
  <c r="C2318"/>
  <c r="C2319"/>
  <c r="C2320"/>
  <c r="C2321"/>
  <c r="C2322"/>
  <c r="C2323"/>
  <c r="C2324"/>
  <c r="C2325"/>
  <c r="C2326"/>
  <c r="C2327"/>
  <c r="C2328"/>
  <c r="C2329"/>
  <c r="C2330"/>
  <c r="C2331"/>
  <c r="C2332"/>
  <c r="C2333"/>
  <c r="C2334"/>
  <c r="C2335"/>
  <c r="C2336"/>
  <c r="C2337"/>
  <c r="C2338"/>
  <c r="C2339"/>
  <c r="C2340"/>
  <c r="C2341"/>
  <c r="C2342"/>
  <c r="C2343"/>
  <c r="C2344"/>
  <c r="C2345"/>
  <c r="C2346"/>
  <c r="C2347"/>
  <c r="C2348"/>
  <c r="C2349"/>
  <c r="C2350"/>
  <c r="C2351"/>
  <c r="C2352"/>
  <c r="C2353"/>
  <c r="C2354"/>
  <c r="C2355"/>
  <c r="C2356"/>
  <c r="C2357"/>
  <c r="C2358"/>
  <c r="C2359"/>
  <c r="C2360"/>
  <c r="C2361"/>
  <c r="C2362"/>
  <c r="C2363"/>
  <c r="C2364"/>
  <c r="C2365"/>
  <c r="C2366"/>
  <c r="C2367"/>
  <c r="C2368"/>
  <c r="C2369"/>
  <c r="C2370"/>
  <c r="C2371"/>
  <c r="C2372"/>
  <c r="C2373"/>
  <c r="C2374"/>
  <c r="B42" i="83"/>
  <c r="P7" i="22"/>
  <c r="S10"/>
  <c r="T2"/>
  <c r="L27"/>
  <c r="M5"/>
  <c r="V11" i="31"/>
  <c r="W11"/>
  <c r="X11" s="1"/>
  <c r="S46" i="94" s="1"/>
  <c r="V23" i="31"/>
  <c r="W23"/>
  <c r="X23" s="1"/>
  <c r="U43"/>
  <c r="J47" i="48"/>
  <c r="J55"/>
  <c r="K13"/>
  <c r="K21"/>
  <c r="K30"/>
  <c r="K38"/>
  <c r="K47"/>
  <c r="K55"/>
  <c r="M13"/>
  <c r="M21"/>
  <c r="M30"/>
  <c r="M38"/>
  <c r="M47"/>
  <c r="M55"/>
  <c r="N13"/>
  <c r="N21"/>
  <c r="N30"/>
  <c r="N38"/>
  <c r="N47"/>
  <c r="N55"/>
  <c r="O48" i="31"/>
  <c r="U48" s="1"/>
  <c r="V48"/>
  <c r="W48" s="1"/>
  <c r="X48" s="1"/>
  <c r="T83"/>
  <c r="U83"/>
  <c r="V54"/>
  <c r="W54"/>
  <c r="X54" s="1"/>
  <c r="V58"/>
  <c r="W58" s="1"/>
  <c r="X58" s="1"/>
  <c r="V51"/>
  <c r="W51"/>
  <c r="X51" s="1"/>
  <c r="V84"/>
  <c r="W84" s="1"/>
  <c r="X84" s="1"/>
  <c r="N28" i="44"/>
  <c r="H97" i="20"/>
  <c r="P98" i="48"/>
  <c r="AR98" s="1"/>
  <c r="J34" i="71"/>
  <c r="J33"/>
  <c r="J32"/>
  <c r="J31"/>
  <c r="J26"/>
  <c r="J25"/>
  <c r="J24"/>
  <c r="J23"/>
  <c r="J22"/>
  <c r="J21"/>
  <c r="J20"/>
  <c r="J19"/>
  <c r="J18"/>
  <c r="J17"/>
  <c r="P203" i="48"/>
  <c r="P204"/>
  <c r="AR204" s="1"/>
  <c r="F6" i="71"/>
  <c r="F7"/>
  <c r="C151" i="57"/>
  <c r="C150"/>
  <c r="B142"/>
  <c r="G149"/>
  <c r="C149"/>
  <c r="G148"/>
  <c r="C148"/>
  <c r="G145"/>
  <c r="C145"/>
  <c r="G143"/>
  <c r="C143"/>
  <c r="I95" i="93"/>
  <c r="G95"/>
  <c r="F95"/>
  <c r="E95"/>
  <c r="D95"/>
  <c r="C95"/>
  <c r="G87"/>
  <c r="F87"/>
  <c r="E87"/>
  <c r="D87"/>
  <c r="C87"/>
  <c r="I87"/>
  <c r="I79"/>
  <c r="G79"/>
  <c r="F79"/>
  <c r="E79"/>
  <c r="D79"/>
  <c r="C79"/>
  <c r="G70"/>
  <c r="F70"/>
  <c r="E70"/>
  <c r="D70"/>
  <c r="C70"/>
  <c r="B55"/>
  <c r="B57"/>
  <c r="B66" s="1"/>
  <c r="B54"/>
  <c r="B56" s="1"/>
  <c r="B65" s="1"/>
  <c r="B62"/>
  <c r="B61"/>
  <c r="B93"/>
  <c r="B92"/>
  <c r="A96"/>
  <c r="A88"/>
  <c r="A80"/>
  <c r="M15" i="18"/>
  <c r="L16"/>
  <c r="K15"/>
  <c r="J16"/>
  <c r="I15"/>
  <c r="F14"/>
  <c r="G6"/>
  <c r="BO17"/>
  <c r="BP17" s="1"/>
  <c r="BQ17" s="1"/>
  <c r="BR17" s="1"/>
  <c r="BS17"/>
  <c r="BT17" s="1"/>
  <c r="BU17" s="1"/>
  <c r="BV17" s="1"/>
  <c r="BW17" s="1"/>
  <c r="BX17" s="1"/>
  <c r="BY17" s="1"/>
  <c r="BC17"/>
  <c r="BD17"/>
  <c r="BE17" s="1"/>
  <c r="BF17" s="1"/>
  <c r="BG17" s="1"/>
  <c r="BH17"/>
  <c r="BI17" s="1"/>
  <c r="BJ17" s="1"/>
  <c r="BK17" s="1"/>
  <c r="BL17" s="1"/>
  <c r="BM17" s="1"/>
  <c r="AQ17"/>
  <c r="AR17" s="1"/>
  <c r="AS17"/>
  <c r="AT17" s="1"/>
  <c r="AU17" s="1"/>
  <c r="AV17" s="1"/>
  <c r="AW17"/>
  <c r="AX17" s="1"/>
  <c r="AY17" s="1"/>
  <c r="AZ17" s="1"/>
  <c r="BA17" s="1"/>
  <c r="AE17"/>
  <c r="AF17"/>
  <c r="AG17" s="1"/>
  <c r="AH17"/>
  <c r="AI17" s="1"/>
  <c r="AJ17" s="1"/>
  <c r="AK17" s="1"/>
  <c r="AL17" s="1"/>
  <c r="AM17" s="1"/>
  <c r="AN17" s="1"/>
  <c r="AO17" s="1"/>
  <c r="S17"/>
  <c r="T17" s="1"/>
  <c r="U17" s="1"/>
  <c r="V17" s="1"/>
  <c r="W17"/>
  <c r="X17" s="1"/>
  <c r="Y17" s="1"/>
  <c r="Z17" s="1"/>
  <c r="AA17"/>
  <c r="AB17" s="1"/>
  <c r="AC17" s="1"/>
  <c r="D17"/>
  <c r="R45"/>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R72"/>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R19"/>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M2"/>
  <c r="D71"/>
  <c r="N37" i="44"/>
  <c r="D43"/>
  <c r="D60"/>
  <c r="R107" i="28"/>
  <c r="R85"/>
  <c r="R63"/>
  <c r="R40"/>
  <c r="R12"/>
  <c r="E4"/>
  <c r="O63" i="31"/>
  <c r="O65"/>
  <c r="I88"/>
  <c r="J89"/>
  <c r="I90"/>
  <c r="N90"/>
  <c r="O90" s="1"/>
  <c r="J91"/>
  <c r="O91"/>
  <c r="P91" s="1"/>
  <c r="Q91" s="1"/>
  <c r="R91" s="1"/>
  <c r="O37"/>
  <c r="P37" s="1"/>
  <c r="Q37"/>
  <c r="R37" s="1"/>
  <c r="O40"/>
  <c r="P40" s="1"/>
  <c r="O43"/>
  <c r="P43" s="1"/>
  <c r="Q43" s="1"/>
  <c r="P23"/>
  <c r="Q23"/>
  <c r="R23" s="1"/>
  <c r="P48"/>
  <c r="Q48" s="1"/>
  <c r="R48" s="1"/>
  <c r="P54"/>
  <c r="Q54"/>
  <c r="P58"/>
  <c r="Q58"/>
  <c r="R58" s="1"/>
  <c r="P84"/>
  <c r="Q84" s="1"/>
  <c r="R84"/>
  <c r="P81"/>
  <c r="Q81"/>
  <c r="R81" s="1"/>
  <c r="V81"/>
  <c r="W81" s="1"/>
  <c r="X81" s="1"/>
  <c r="K43"/>
  <c r="L43"/>
  <c r="M43" s="1"/>
  <c r="O78"/>
  <c r="U78" s="1"/>
  <c r="U100"/>
  <c r="K23"/>
  <c r="L23"/>
  <c r="M23" s="1"/>
  <c r="T62"/>
  <c r="U63"/>
  <c r="V63"/>
  <c r="U68"/>
  <c r="V68"/>
  <c r="W68" s="1"/>
  <c r="X68" s="1"/>
  <c r="T64"/>
  <c r="I238" i="20"/>
  <c r="U65" i="31"/>
  <c r="T88"/>
  <c r="I239" i="20" s="1"/>
  <c r="U91" i="31"/>
  <c r="V91" s="1"/>
  <c r="K37"/>
  <c r="L37" s="1"/>
  <c r="M37" s="1"/>
  <c r="P51"/>
  <c r="Q51"/>
  <c r="R51" s="1"/>
  <c r="P11"/>
  <c r="Q11" s="1"/>
  <c r="R11" s="1"/>
  <c r="U25"/>
  <c r="V25"/>
  <c r="W25"/>
  <c r="X25"/>
  <c r="T25"/>
  <c r="O75"/>
  <c r="K75"/>
  <c r="L75"/>
  <c r="M75" s="1"/>
  <c r="P78"/>
  <c r="Q78" s="1"/>
  <c r="R78" s="1"/>
  <c r="K78"/>
  <c r="L78"/>
  <c r="M78" s="1"/>
  <c r="J83"/>
  <c r="K84"/>
  <c r="L84"/>
  <c r="S6"/>
  <c r="K54"/>
  <c r="L54" s="1"/>
  <c r="M54" s="1"/>
  <c r="K11"/>
  <c r="L11" s="1"/>
  <c r="M11" s="1"/>
  <c r="K40"/>
  <c r="L40"/>
  <c r="K48"/>
  <c r="L48"/>
  <c r="M48" s="1"/>
  <c r="K58"/>
  <c r="L58" s="1"/>
  <c r="M58" s="1"/>
  <c r="K51"/>
  <c r="L51"/>
  <c r="M51" s="1"/>
  <c r="K91"/>
  <c r="L91" s="1"/>
  <c r="M91" s="1"/>
  <c r="K81"/>
  <c r="L81"/>
  <c r="M81" s="1"/>
  <c r="J80"/>
  <c r="K80" s="1"/>
  <c r="K65"/>
  <c r="L65" s="1"/>
  <c r="M65"/>
  <c r="J64"/>
  <c r="K63"/>
  <c r="L63" s="1"/>
  <c r="M63" s="1"/>
  <c r="M62" s="1"/>
  <c r="J62"/>
  <c r="I6"/>
  <c r="N6"/>
  <c r="G103"/>
  <c r="O100"/>
  <c r="P83" i="48"/>
  <c r="W9" i="25"/>
  <c r="H26" i="54"/>
  <c r="H30" s="1"/>
  <c r="H28"/>
  <c r="H29"/>
  <c r="I39"/>
  <c r="G30"/>
  <c r="G39" s="1"/>
  <c r="H16"/>
  <c r="H17" s="1"/>
  <c r="G16"/>
  <c r="G17" s="1"/>
  <c r="H35"/>
  <c r="G38"/>
  <c r="H38"/>
  <c r="I38"/>
  <c r="I16"/>
  <c r="I17" s="1"/>
  <c r="I35"/>
  <c r="I4" i="32"/>
  <c r="J138"/>
  <c r="E5"/>
  <c r="C29" i="61"/>
  <c r="C30" s="1"/>
  <c r="C31" s="1"/>
  <c r="H24"/>
  <c r="I24"/>
  <c r="J24" s="1"/>
  <c r="F24"/>
  <c r="E24" s="1"/>
  <c r="D24" s="1"/>
  <c r="F10"/>
  <c r="E10"/>
  <c r="D10" s="1"/>
  <c r="P10"/>
  <c r="O10" s="1"/>
  <c r="N10" s="1"/>
  <c r="P38"/>
  <c r="O38"/>
  <c r="N38" s="1"/>
  <c r="P24"/>
  <c r="O24" s="1"/>
  <c r="N24" s="1"/>
  <c r="F38"/>
  <c r="E38"/>
  <c r="D38" s="1"/>
  <c r="R10"/>
  <c r="S10" s="1"/>
  <c r="T10" s="1"/>
  <c r="R24"/>
  <c r="S24"/>
  <c r="T24" s="1"/>
  <c r="H38"/>
  <c r="I38" s="1"/>
  <c r="J38"/>
  <c r="R38"/>
  <c r="S38"/>
  <c r="T38" s="1"/>
  <c r="H10"/>
  <c r="I10" s="1"/>
  <c r="J10" s="1"/>
  <c r="Z10"/>
  <c r="Y10"/>
  <c r="X10" s="1"/>
  <c r="AB10"/>
  <c r="AC10" s="1"/>
  <c r="AD10"/>
  <c r="C15"/>
  <c r="M15"/>
  <c r="M43" s="1"/>
  <c r="M29"/>
  <c r="W15"/>
  <c r="W16"/>
  <c r="Z24"/>
  <c r="Y24"/>
  <c r="X24" s="1"/>
  <c r="AB24"/>
  <c r="AC24" s="1"/>
  <c r="AD24"/>
  <c r="M28"/>
  <c r="W28"/>
  <c r="Z38"/>
  <c r="Y38"/>
  <c r="X38" s="1"/>
  <c r="AB38"/>
  <c r="AC38" s="1"/>
  <c r="AD38" s="1"/>
  <c r="C42"/>
  <c r="M42"/>
  <c r="W42"/>
  <c r="Q64" i="20"/>
  <c r="Q80" s="1"/>
  <c r="S172"/>
  <c r="T172" s="1"/>
  <c r="U172"/>
  <c r="V172" s="1"/>
  <c r="W172" s="1"/>
  <c r="X172" s="1"/>
  <c r="Y172" s="1"/>
  <c r="Z172" s="1"/>
  <c r="AA172" s="1"/>
  <c r="AB172" s="1"/>
  <c r="AC172" s="1"/>
  <c r="R6"/>
  <c r="S6" s="1"/>
  <c r="T6" s="1"/>
  <c r="S174"/>
  <c r="T174" s="1"/>
  <c r="U174"/>
  <c r="V174" s="1"/>
  <c r="W174" s="1"/>
  <c r="X174" s="1"/>
  <c r="Y174" s="1"/>
  <c r="Z174" s="1"/>
  <c r="AA174" s="1"/>
  <c r="AB174" s="1"/>
  <c r="AC174" s="1"/>
  <c r="R70"/>
  <c r="S70"/>
  <c r="E6" i="82" s="1"/>
  <c r="S173" i="20"/>
  <c r="T173" s="1"/>
  <c r="U173" s="1"/>
  <c r="V173" s="1"/>
  <c r="W173" s="1"/>
  <c r="X173" s="1"/>
  <c r="Y173" s="1"/>
  <c r="Z173" s="1"/>
  <c r="AA173" s="1"/>
  <c r="AB173" s="1"/>
  <c r="AC173" s="1"/>
  <c r="F293"/>
  <c r="I309"/>
  <c r="J309" s="1"/>
  <c r="K309" s="1"/>
  <c r="L309" s="1"/>
  <c r="M309" s="1"/>
  <c r="J215"/>
  <c r="J214"/>
  <c r="F318"/>
  <c r="F319"/>
  <c r="F320" s="1"/>
  <c r="F321" s="1"/>
  <c r="F322" s="1"/>
  <c r="F323"/>
  <c r="F324" s="1"/>
  <c r="H205"/>
  <c r="Q66"/>
  <c r="Q67"/>
  <c r="Q65"/>
  <c r="C2"/>
  <c r="BZ157"/>
  <c r="V258" i="48"/>
  <c r="AL203"/>
  <c r="AM203" s="1"/>
  <c r="J203"/>
  <c r="Y256"/>
  <c r="Y255"/>
  <c r="Z221"/>
  <c r="AB209"/>
  <c r="AA209"/>
  <c r="Z209"/>
  <c r="Y209"/>
  <c r="X209"/>
  <c r="I193"/>
  <c r="U186"/>
  <c r="T186"/>
  <c r="S186"/>
  <c r="R186"/>
  <c r="Q186"/>
  <c r="P186"/>
  <c r="P181"/>
  <c r="AR181" s="1"/>
  <c r="P180"/>
  <c r="AR180" s="1"/>
  <c r="P179"/>
  <c r="AR179" s="1"/>
  <c r="AW178"/>
  <c r="AV178"/>
  <c r="AU178"/>
  <c r="AT178"/>
  <c r="AS178"/>
  <c r="AR178"/>
  <c r="U157"/>
  <c r="T157"/>
  <c r="S157"/>
  <c r="R157"/>
  <c r="Q157"/>
  <c r="P157"/>
  <c r="AI13"/>
  <c r="AI21"/>
  <c r="AI30"/>
  <c r="AI38"/>
  <c r="AI47"/>
  <c r="AI55"/>
  <c r="AH13"/>
  <c r="AH21"/>
  <c r="AH30"/>
  <c r="AH38"/>
  <c r="AH47"/>
  <c r="AH55"/>
  <c r="AG13"/>
  <c r="AG21"/>
  <c r="AG30"/>
  <c r="AG38"/>
  <c r="AG47"/>
  <c r="AG55"/>
  <c r="AF13"/>
  <c r="AF21"/>
  <c r="AF30"/>
  <c r="AF38"/>
  <c r="AF47"/>
  <c r="AF55"/>
  <c r="AE13"/>
  <c r="AE21"/>
  <c r="AE30"/>
  <c r="AE38"/>
  <c r="AE47"/>
  <c r="AE55"/>
  <c r="AH86"/>
  <c r="AF86"/>
  <c r="P79"/>
  <c r="AR79" s="1"/>
  <c r="P80"/>
  <c r="AR80" s="1"/>
  <c r="P86"/>
  <c r="AR86" s="1"/>
  <c r="P90"/>
  <c r="B90"/>
  <c r="P89"/>
  <c r="AR89" s="1"/>
  <c r="B89"/>
  <c r="P88"/>
  <c r="P82"/>
  <c r="AR82" s="1"/>
  <c r="AI81"/>
  <c r="AH81"/>
  <c r="AG81"/>
  <c r="AF81"/>
  <c r="AE81"/>
  <c r="AR58"/>
  <c r="AR56"/>
  <c r="AR57" s="1"/>
  <c r="AR50"/>
  <c r="AR48"/>
  <c r="AR49" s="1"/>
  <c r="AS5"/>
  <c r="AL5"/>
  <c r="AE5"/>
  <c r="X5"/>
  <c r="Q5"/>
  <c r="I5"/>
  <c r="C2"/>
  <c r="G49" i="77"/>
  <c r="H49"/>
  <c r="I49"/>
  <c r="J49" s="1"/>
  <c r="K49" s="1"/>
  <c r="C2"/>
  <c r="G69"/>
  <c r="G71"/>
  <c r="G70"/>
  <c r="I21" i="86"/>
  <c r="H21"/>
  <c r="G21"/>
  <c r="F21"/>
  <c r="E21"/>
  <c r="D21"/>
  <c r="C2375" i="65"/>
  <c r="C2376"/>
  <c r="C2377"/>
  <c r="C2378"/>
  <c r="C2379"/>
  <c r="C2380"/>
  <c r="C2381"/>
  <c r="C2382"/>
  <c r="C2383"/>
  <c r="C2384"/>
  <c r="C2385"/>
  <c r="C2386"/>
  <c r="C2387"/>
  <c r="C2388"/>
  <c r="C2389"/>
  <c r="C2390"/>
  <c r="C2391"/>
  <c r="C2392"/>
  <c r="C2393"/>
  <c r="C2394"/>
  <c r="C2395"/>
  <c r="C2396"/>
  <c r="C2397"/>
  <c r="C2398"/>
  <c r="C2399"/>
  <c r="C2400"/>
  <c r="C2401"/>
  <c r="C2402"/>
  <c r="C2403"/>
  <c r="C2404"/>
  <c r="C2405"/>
  <c r="C2406"/>
  <c r="C2407"/>
  <c r="C2408"/>
  <c r="C2409"/>
  <c r="C2410"/>
  <c r="C2411"/>
  <c r="C2412"/>
  <c r="C2413"/>
  <c r="C2414"/>
  <c r="C2415"/>
  <c r="C2416"/>
  <c r="C2417"/>
  <c r="C2418"/>
  <c r="C2419"/>
  <c r="C2420"/>
  <c r="C2421"/>
  <c r="C2422"/>
  <c r="C2423"/>
  <c r="C2424"/>
  <c r="C2425"/>
  <c r="C2426"/>
  <c r="C2427"/>
  <c r="C2428"/>
  <c r="C2429"/>
  <c r="C2430"/>
  <c r="C2431"/>
  <c r="C2432"/>
  <c r="C2433"/>
  <c r="C2434"/>
  <c r="C2435"/>
  <c r="C2436"/>
  <c r="C2437"/>
  <c r="C2438"/>
  <c r="C2439"/>
  <c r="C2440"/>
  <c r="C2441"/>
  <c r="C2442"/>
  <c r="C2443"/>
  <c r="C2444"/>
  <c r="C2445"/>
  <c r="C2446"/>
  <c r="C2447"/>
  <c r="C2448"/>
  <c r="C2449"/>
  <c r="C2450"/>
  <c r="C2451"/>
  <c r="C2452"/>
  <c r="C2453"/>
  <c r="C2454"/>
  <c r="C2455"/>
  <c r="C2456"/>
  <c r="C2457"/>
  <c r="C2458"/>
  <c r="C2459"/>
  <c r="C2460"/>
  <c r="C2461"/>
  <c r="C2462"/>
  <c r="C2463"/>
  <c r="C2464"/>
  <c r="C2465"/>
  <c r="C2466"/>
  <c r="C2467"/>
  <c r="C2468"/>
  <c r="C2469"/>
  <c r="C2470"/>
  <c r="C2471"/>
  <c r="C2472"/>
  <c r="C2473"/>
  <c r="C2474"/>
  <c r="C2475"/>
  <c r="C2476"/>
  <c r="C2477"/>
  <c r="C2478"/>
  <c r="C2479"/>
  <c r="C2480"/>
  <c r="C2481"/>
  <c r="C2482"/>
  <c r="C2483"/>
  <c r="C2484"/>
  <c r="C2485"/>
  <c r="C2486"/>
  <c r="C2487"/>
  <c r="C2488"/>
  <c r="C2489"/>
  <c r="C2490"/>
  <c r="C2491"/>
  <c r="C2492"/>
  <c r="C2493"/>
  <c r="C2494"/>
  <c r="C2495"/>
  <c r="C2496"/>
  <c r="C2497"/>
  <c r="C2498"/>
  <c r="C2499"/>
  <c r="C2500"/>
  <c r="C2501"/>
  <c r="C2502"/>
  <c r="C2503"/>
  <c r="C2504"/>
  <c r="C2505"/>
  <c r="C2506"/>
  <c r="C2507"/>
  <c r="C2508"/>
  <c r="C2509"/>
  <c r="C2510"/>
  <c r="C2511"/>
  <c r="C2512"/>
  <c r="C2513"/>
  <c r="C2514"/>
  <c r="C2515"/>
  <c r="C2516"/>
  <c r="C2517"/>
  <c r="C2518"/>
  <c r="C2519"/>
  <c r="C2520"/>
  <c r="C2521"/>
  <c r="C2522"/>
  <c r="C2523"/>
  <c r="C2524"/>
  <c r="C2525"/>
  <c r="C2526"/>
  <c r="C2527"/>
  <c r="C2528"/>
  <c r="C2529"/>
  <c r="C2530"/>
  <c r="C2531"/>
  <c r="C2532"/>
  <c r="C2533"/>
  <c r="C2534"/>
  <c r="C2535"/>
  <c r="C2536"/>
  <c r="C2537"/>
  <c r="C2538"/>
  <c r="C2539"/>
  <c r="C2540"/>
  <c r="C2541"/>
  <c r="C2542"/>
  <c r="C2543"/>
  <c r="C2544"/>
  <c r="C2545"/>
  <c r="C2546"/>
  <c r="C2547"/>
  <c r="C2548"/>
  <c r="C2549"/>
  <c r="C2550"/>
  <c r="C2551"/>
  <c r="C2552"/>
  <c r="C2553"/>
  <c r="C2554"/>
  <c r="C2555"/>
  <c r="C2556"/>
  <c r="C2557"/>
  <c r="C2558"/>
  <c r="C2559"/>
  <c r="C2560"/>
  <c r="C2561"/>
  <c r="C2562"/>
  <c r="C2563"/>
  <c r="C2564"/>
  <c r="C2565"/>
  <c r="C2566"/>
  <c r="C2567"/>
  <c r="C2568"/>
  <c r="C2569"/>
  <c r="C2570"/>
  <c r="C2571"/>
  <c r="C2572"/>
  <c r="C2573"/>
  <c r="C2574"/>
  <c r="C2575"/>
  <c r="C2576"/>
  <c r="C2577"/>
  <c r="C2578"/>
  <c r="C2579"/>
  <c r="C2580"/>
  <c r="C2581"/>
  <c r="C2582"/>
  <c r="C2583"/>
  <c r="C2584"/>
  <c r="C2585"/>
  <c r="C2586"/>
  <c r="C2587"/>
  <c r="C2588"/>
  <c r="C2589"/>
  <c r="C2590"/>
  <c r="C2591"/>
  <c r="C2592"/>
  <c r="C2593"/>
  <c r="C2594"/>
  <c r="C2595"/>
  <c r="C2596"/>
  <c r="C2597"/>
  <c r="C2598"/>
  <c r="C2599"/>
  <c r="C2600"/>
  <c r="C2601"/>
  <c r="C2602"/>
  <c r="C2603"/>
  <c r="C2604"/>
  <c r="C2605"/>
  <c r="C2606"/>
  <c r="C2607"/>
  <c r="C2608"/>
  <c r="C2609"/>
  <c r="C2610"/>
  <c r="C2611"/>
  <c r="C2612"/>
  <c r="C2613"/>
  <c r="C2614"/>
  <c r="C2615"/>
  <c r="C2616"/>
  <c r="C2617"/>
  <c r="C2618"/>
  <c r="C2619"/>
  <c r="C2620"/>
  <c r="C2621"/>
  <c r="C2622"/>
  <c r="C2623"/>
  <c r="C2624"/>
  <c r="C2625"/>
  <c r="C2626"/>
  <c r="C2627"/>
  <c r="C2628"/>
  <c r="C2629"/>
  <c r="C2630"/>
  <c r="C2631"/>
  <c r="C2632"/>
  <c r="C2633"/>
  <c r="C2634"/>
  <c r="C2635"/>
  <c r="C2636"/>
  <c r="C2637"/>
  <c r="C2638"/>
  <c r="C2639"/>
  <c r="C2640"/>
  <c r="C2641"/>
  <c r="C2642"/>
  <c r="C2643"/>
  <c r="C2644"/>
  <c r="C2645"/>
  <c r="C2646"/>
  <c r="C2647"/>
  <c r="C2648"/>
  <c r="C2649"/>
  <c r="C2650"/>
  <c r="C2651"/>
  <c r="C2652"/>
  <c r="C2653"/>
  <c r="C2654"/>
  <c r="C2655"/>
  <c r="C2656"/>
  <c r="C2657"/>
  <c r="C2658"/>
  <c r="C2659"/>
  <c r="C2660"/>
  <c r="C2661"/>
  <c r="C2662"/>
  <c r="C2663"/>
  <c r="C2664"/>
  <c r="C2665"/>
  <c r="C2666"/>
  <c r="C2667"/>
  <c r="C2668"/>
  <c r="C2669"/>
  <c r="C2670"/>
  <c r="C2671"/>
  <c r="C2672"/>
  <c r="C2673"/>
  <c r="C2674"/>
  <c r="C2675"/>
  <c r="C2676"/>
  <c r="C2677"/>
  <c r="C2678"/>
  <c r="C2679"/>
  <c r="C2680"/>
  <c r="C2681"/>
  <c r="C2682"/>
  <c r="C2683"/>
  <c r="C2684"/>
  <c r="C2685"/>
  <c r="C2686"/>
  <c r="C2687"/>
  <c r="C2688"/>
  <c r="C2689"/>
  <c r="C2690"/>
  <c r="C2691"/>
  <c r="C2692"/>
  <c r="C2693"/>
  <c r="C2694"/>
  <c r="C2695"/>
  <c r="C2696"/>
  <c r="C2697"/>
  <c r="C2698"/>
  <c r="C2699"/>
  <c r="C2700"/>
  <c r="C2701"/>
  <c r="C2702"/>
  <c r="C2703"/>
  <c r="C2704"/>
  <c r="C2705"/>
  <c r="C2706"/>
  <c r="C2707"/>
  <c r="C2708"/>
  <c r="C2709"/>
  <c r="C2710"/>
  <c r="C2711"/>
  <c r="C2712"/>
  <c r="C2713"/>
  <c r="C2714"/>
  <c r="C2715"/>
  <c r="C2716"/>
  <c r="C2717"/>
  <c r="C2718"/>
  <c r="C2719"/>
  <c r="C2720"/>
  <c r="C2721"/>
  <c r="C2722"/>
  <c r="C2723"/>
  <c r="C2724"/>
  <c r="C2725"/>
  <c r="C2726"/>
  <c r="C2727"/>
  <c r="C2728"/>
  <c r="C2729"/>
  <c r="C2730"/>
  <c r="C2731"/>
  <c r="C2732"/>
  <c r="C2733"/>
  <c r="C2734"/>
  <c r="C2735"/>
  <c r="C2736"/>
  <c r="C2737"/>
  <c r="C2738"/>
  <c r="C2739"/>
  <c r="C2740"/>
  <c r="C2741"/>
  <c r="C2742"/>
  <c r="C2743"/>
  <c r="C2744"/>
  <c r="C2745"/>
  <c r="C2746"/>
  <c r="C2747"/>
  <c r="C2748"/>
  <c r="C2749"/>
  <c r="C2750"/>
  <c r="C2751"/>
  <c r="C2752"/>
  <c r="C2753"/>
  <c r="C2754"/>
  <c r="C2755"/>
  <c r="C2756"/>
  <c r="C2757"/>
  <c r="C2758"/>
  <c r="C2759"/>
  <c r="C2760"/>
  <c r="C2761"/>
  <c r="C2762"/>
  <c r="C2763"/>
  <c r="C2764"/>
  <c r="C2765"/>
  <c r="C2766"/>
  <c r="C2767"/>
  <c r="C2768"/>
  <c r="C2769"/>
  <c r="C2770"/>
  <c r="C2771"/>
  <c r="C2772"/>
  <c r="C2773"/>
  <c r="C2774"/>
  <c r="C2775"/>
  <c r="C2776"/>
  <c r="C2777"/>
  <c r="C2778"/>
  <c r="C2779"/>
  <c r="C2780"/>
  <c r="C2781"/>
  <c r="C2782"/>
  <c r="C2783"/>
  <c r="C2784"/>
  <c r="C2785"/>
  <c r="C2786"/>
  <c r="C2787"/>
  <c r="C2788"/>
  <c r="C2789"/>
  <c r="C2790"/>
  <c r="C2791"/>
  <c r="C2792"/>
  <c r="C2793"/>
  <c r="C2794"/>
  <c r="C2795"/>
  <c r="C2796"/>
  <c r="C2797"/>
  <c r="C2798"/>
  <c r="C2799"/>
  <c r="C2800"/>
  <c r="C2801"/>
  <c r="C2802"/>
  <c r="C2803"/>
  <c r="C2804"/>
  <c r="C2805"/>
  <c r="C2806"/>
  <c r="C2807"/>
  <c r="C2808"/>
  <c r="C2809"/>
  <c r="C2810"/>
  <c r="C2811"/>
  <c r="C2812"/>
  <c r="C2813"/>
  <c r="C2814"/>
  <c r="C2815"/>
  <c r="C2816"/>
  <c r="C2817"/>
  <c r="C2818"/>
  <c r="C2819"/>
  <c r="C2820"/>
  <c r="C2821"/>
  <c r="C2822"/>
  <c r="C2823"/>
  <c r="C2824"/>
  <c r="C2825"/>
  <c r="C2826"/>
  <c r="C2827"/>
  <c r="C2828"/>
  <c r="C2829"/>
  <c r="C2830"/>
  <c r="C2831"/>
  <c r="C2832"/>
  <c r="C2833"/>
  <c r="C2834"/>
  <c r="C2835"/>
  <c r="C2836"/>
  <c r="C2837"/>
  <c r="C2838"/>
  <c r="C2839"/>
  <c r="C2840"/>
  <c r="C2841"/>
  <c r="C2842"/>
  <c r="C2843"/>
  <c r="C2844"/>
  <c r="C2845"/>
  <c r="C2846"/>
  <c r="C2847"/>
  <c r="C2848"/>
  <c r="C2849"/>
  <c r="C2850"/>
  <c r="C2851"/>
  <c r="C2852"/>
  <c r="C2853"/>
  <c r="C2854"/>
  <c r="C2855"/>
  <c r="C2856"/>
  <c r="C2857"/>
  <c r="C2858"/>
  <c r="C2859"/>
  <c r="C2860"/>
  <c r="C2861"/>
  <c r="C2862"/>
  <c r="C2863"/>
  <c r="C2864"/>
  <c r="C2865"/>
  <c r="C2866"/>
  <c r="C2867"/>
  <c r="C2868"/>
  <c r="C2869"/>
  <c r="C2870"/>
  <c r="C2871"/>
  <c r="C2872"/>
  <c r="C2873"/>
  <c r="C2874"/>
  <c r="C2875"/>
  <c r="C2876"/>
  <c r="C2877"/>
  <c r="C2878"/>
  <c r="C2879"/>
  <c r="C2880"/>
  <c r="C2881"/>
  <c r="C2882"/>
  <c r="C2883"/>
  <c r="C2884"/>
  <c r="C2885"/>
  <c r="C2886"/>
  <c r="C2887"/>
  <c r="C2888"/>
  <c r="C2889"/>
  <c r="C2890"/>
  <c r="C2891"/>
  <c r="C2892"/>
  <c r="C2893"/>
  <c r="C2894"/>
  <c r="C2895"/>
  <c r="C2896"/>
  <c r="C2897"/>
  <c r="C2898"/>
  <c r="C2899"/>
  <c r="C2900"/>
  <c r="C2901"/>
  <c r="C2902"/>
  <c r="C2903"/>
  <c r="C2904"/>
  <c r="C2905"/>
  <c r="C2906"/>
  <c r="C2907"/>
  <c r="C2908"/>
  <c r="C2909"/>
  <c r="C2910"/>
  <c r="C2911"/>
  <c r="C2912"/>
  <c r="C2913"/>
  <c r="C2914"/>
  <c r="C2915"/>
  <c r="C2916"/>
  <c r="C2917"/>
  <c r="C2918"/>
  <c r="C2919"/>
  <c r="C2920"/>
  <c r="C2921"/>
  <c r="C2922"/>
  <c r="C2923"/>
  <c r="C2924"/>
  <c r="C2925"/>
  <c r="C2926"/>
  <c r="C2927"/>
  <c r="C2928"/>
  <c r="C2929"/>
  <c r="C2930"/>
  <c r="C2931"/>
  <c r="C2932"/>
  <c r="C2933"/>
  <c r="C2934"/>
  <c r="C2935"/>
  <c r="C2936"/>
  <c r="C2937"/>
  <c r="C2938"/>
  <c r="C2939"/>
  <c r="C2940"/>
  <c r="C2941"/>
  <c r="C2942"/>
  <c r="C2943"/>
  <c r="C2944"/>
  <c r="C2945"/>
  <c r="C2946"/>
  <c r="C2947"/>
  <c r="C2948"/>
  <c r="C2949"/>
  <c r="C2950"/>
  <c r="C2951"/>
  <c r="C2952"/>
  <c r="C2953"/>
  <c r="C2954"/>
  <c r="C2955"/>
  <c r="C2956"/>
  <c r="C2957"/>
  <c r="C2958"/>
  <c r="C2959"/>
  <c r="C2960"/>
  <c r="C2961"/>
  <c r="C2962"/>
  <c r="C2963"/>
  <c r="C2964"/>
  <c r="C2965"/>
  <c r="C2966"/>
  <c r="C2967"/>
  <c r="C2968"/>
  <c r="C2969"/>
  <c r="C2970"/>
  <c r="C2971"/>
  <c r="C2972"/>
  <c r="C2973"/>
  <c r="C2974"/>
  <c r="C2975"/>
  <c r="C2976"/>
  <c r="C2977"/>
  <c r="C2978"/>
  <c r="C2979"/>
  <c r="C2980"/>
  <c r="C2981"/>
  <c r="C2982"/>
  <c r="C2983"/>
  <c r="C2984"/>
  <c r="C2985"/>
  <c r="C2986"/>
  <c r="C2987"/>
  <c r="C2988"/>
  <c r="C2989"/>
  <c r="C2990"/>
  <c r="C2991"/>
  <c r="C2992"/>
  <c r="C2993"/>
  <c r="C2994"/>
  <c r="C2995"/>
  <c r="C2996"/>
  <c r="C2997"/>
  <c r="C2998"/>
  <c r="C2999"/>
  <c r="C3000"/>
  <c r="C3001"/>
  <c r="C3002"/>
  <c r="C3003"/>
  <c r="C3004"/>
  <c r="C3005"/>
  <c r="C3006"/>
  <c r="C3007"/>
  <c r="C3008"/>
  <c r="C3009"/>
  <c r="C3010"/>
  <c r="C3011"/>
  <c r="C3012"/>
  <c r="C3013"/>
  <c r="C3014"/>
  <c r="C3015"/>
  <c r="C3016"/>
  <c r="C3017"/>
  <c r="C3018"/>
  <c r="C3019"/>
  <c r="C3020"/>
  <c r="C3021"/>
  <c r="C3022"/>
  <c r="C3023"/>
  <c r="C3024"/>
  <c r="C3025"/>
  <c r="C3026"/>
  <c r="C3027"/>
  <c r="C3028"/>
  <c r="C3029"/>
  <c r="C3030"/>
  <c r="C3031"/>
  <c r="C3032"/>
  <c r="C3033"/>
  <c r="C3034"/>
  <c r="C3035"/>
  <c r="C3036"/>
  <c r="C3037"/>
  <c r="C3038"/>
  <c r="C3039"/>
  <c r="C3040"/>
  <c r="C3041"/>
  <c r="C3042"/>
  <c r="C3043"/>
  <c r="C3044"/>
  <c r="C3045"/>
  <c r="C3046"/>
  <c r="C3047"/>
  <c r="C3048"/>
  <c r="C3049"/>
  <c r="C3050"/>
  <c r="C3051"/>
  <c r="C3052"/>
  <c r="C3053"/>
  <c r="C3054"/>
  <c r="C3055"/>
  <c r="C3056"/>
  <c r="C3057"/>
  <c r="C3058"/>
  <c r="C3059"/>
  <c r="C3060"/>
  <c r="C3061"/>
  <c r="C3062"/>
  <c r="C3063"/>
  <c r="C3064"/>
  <c r="C3065"/>
  <c r="C3066"/>
  <c r="C3067"/>
  <c r="C3068"/>
  <c r="C3069"/>
  <c r="C3070"/>
  <c r="C3071"/>
  <c r="C3072"/>
  <c r="C3073"/>
  <c r="C3074"/>
  <c r="C3075"/>
  <c r="C3076"/>
  <c r="C3077"/>
  <c r="C3078"/>
  <c r="C3079"/>
  <c r="C3080"/>
  <c r="C3081"/>
  <c r="C3082"/>
  <c r="C3083"/>
  <c r="C3084"/>
  <c r="C3085"/>
  <c r="C3086"/>
  <c r="C3087"/>
  <c r="C3088"/>
  <c r="C3089"/>
  <c r="C3090"/>
  <c r="C3091"/>
  <c r="C3092"/>
  <c r="C3093"/>
  <c r="C3094"/>
  <c r="C3095"/>
  <c r="C3096"/>
  <c r="C3097"/>
  <c r="C3098"/>
  <c r="C3099"/>
  <c r="C3100"/>
  <c r="C3101"/>
  <c r="C3102"/>
  <c r="C3103"/>
  <c r="C3104"/>
  <c r="C3105"/>
  <c r="C3106"/>
  <c r="C3107"/>
  <c r="C3108"/>
  <c r="C3109"/>
  <c r="C3110"/>
  <c r="C3111"/>
  <c r="C3112"/>
  <c r="C3113"/>
  <c r="C3114"/>
  <c r="C3115"/>
  <c r="C3116"/>
  <c r="C3117"/>
  <c r="C3118"/>
  <c r="C3119"/>
  <c r="C3120"/>
  <c r="C3121"/>
  <c r="C3122"/>
  <c r="C3123"/>
  <c r="C3124"/>
  <c r="C3125"/>
  <c r="C3126"/>
  <c r="C3127"/>
  <c r="C3128"/>
  <c r="C3129"/>
  <c r="C3130"/>
  <c r="C3131"/>
  <c r="C3132"/>
  <c r="C3133"/>
  <c r="C3134"/>
  <c r="C3135"/>
  <c r="C3136"/>
  <c r="C3137"/>
  <c r="C3138"/>
  <c r="C3139"/>
  <c r="C3140"/>
  <c r="C3141"/>
  <c r="C3142"/>
  <c r="C3143"/>
  <c r="C3144"/>
  <c r="C3145"/>
  <c r="A3" i="84"/>
  <c r="A4" s="1"/>
  <c r="A5" s="1"/>
  <c r="A6" s="1"/>
  <c r="A7" s="1"/>
  <c r="A8" s="1"/>
  <c r="A9"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3" i="85"/>
  <c r="A4"/>
  <c r="A5" s="1"/>
  <c r="A6"/>
  <c r="A7" s="1"/>
  <c r="A8" s="1"/>
  <c r="A9" s="1"/>
  <c r="A1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H44" i="83"/>
  <c r="H42"/>
  <c r="H5"/>
  <c r="H3"/>
  <c r="D57" i="89"/>
  <c r="F9"/>
  <c r="F49" s="1"/>
  <c r="G49" s="1"/>
  <c r="H49" s="1"/>
  <c r="I49" s="1"/>
  <c r="J49" s="1"/>
  <c r="K49" s="1"/>
  <c r="L49" s="1"/>
  <c r="M49" s="1"/>
  <c r="N49" s="1"/>
  <c r="O49" s="1"/>
  <c r="D58"/>
  <c r="Q9"/>
  <c r="R9" s="1"/>
  <c r="S9" s="1"/>
  <c r="AB9"/>
  <c r="H21" i="36"/>
  <c r="H29"/>
  <c r="H27"/>
  <c r="B6"/>
  <c r="C6"/>
  <c r="B5"/>
  <c r="C4"/>
  <c r="B4"/>
  <c r="D96" i="89"/>
  <c r="D97"/>
  <c r="L29" i="76"/>
  <c r="K29"/>
  <c r="J29"/>
  <c r="I29"/>
  <c r="H29"/>
  <c r="G29"/>
  <c r="D4" i="66"/>
  <c r="D4" i="26" s="1"/>
  <c r="Q35"/>
  <c r="Q36"/>
  <c r="H24"/>
  <c r="G22"/>
  <c r="G20"/>
  <c r="D48" i="81"/>
  <c r="I21"/>
  <c r="J21"/>
  <c r="K21" s="1"/>
  <c r="L21" s="1"/>
  <c r="M21" s="1"/>
  <c r="N21" s="1"/>
  <c r="O21" s="1"/>
  <c r="P21" s="1"/>
  <c r="Q21" s="1"/>
  <c r="R21" s="1"/>
  <c r="S21" s="1"/>
  <c r="D5"/>
  <c r="D4" i="25" s="1"/>
  <c r="T11" i="81"/>
  <c r="T12"/>
  <c r="T13"/>
  <c r="G27"/>
  <c r="G28"/>
  <c r="G29"/>
  <c r="D66"/>
  <c r="G53"/>
  <c r="T51"/>
  <c r="B51" i="64"/>
  <c r="B52" s="1"/>
  <c r="B53" s="1"/>
  <c r="B54" s="1"/>
  <c r="B55"/>
  <c r="B56" s="1"/>
  <c r="B57" s="1"/>
  <c r="B58" s="1"/>
  <c r="B59"/>
  <c r="B60" s="1"/>
  <c r="B61" s="1"/>
  <c r="B62" s="1"/>
  <c r="B63" s="1"/>
  <c r="B64" s="1"/>
  <c r="B65" s="1"/>
  <c r="D91" i="25"/>
  <c r="D59" i="89"/>
  <c r="D60"/>
  <c r="D61"/>
  <c r="D62"/>
  <c r="D63"/>
  <c r="D64"/>
  <c r="D65"/>
  <c r="D66"/>
  <c r="D67"/>
  <c r="D68"/>
  <c r="W415" i="39"/>
  <c r="W414"/>
  <c r="W392"/>
  <c r="W391"/>
  <c r="W369"/>
  <c r="W368"/>
  <c r="W346"/>
  <c r="W345"/>
  <c r="W323"/>
  <c r="W322"/>
  <c r="W300"/>
  <c r="W299"/>
  <c r="W277"/>
  <c r="W276"/>
  <c r="W254"/>
  <c r="W253"/>
  <c r="W231"/>
  <c r="W230"/>
  <c r="W208"/>
  <c r="W207"/>
  <c r="W185"/>
  <c r="W184"/>
  <c r="W162"/>
  <c r="W161"/>
  <c r="W139"/>
  <c r="W138"/>
  <c r="W116"/>
  <c r="W115"/>
  <c r="W93"/>
  <c r="W92"/>
  <c r="W70"/>
  <c r="W69"/>
  <c r="W47"/>
  <c r="W46"/>
  <c r="V415"/>
  <c r="V414"/>
  <c r="V392"/>
  <c r="V391"/>
  <c r="V369"/>
  <c r="V368"/>
  <c r="V346"/>
  <c r="V345"/>
  <c r="V323"/>
  <c r="V322"/>
  <c r="V300"/>
  <c r="V299"/>
  <c r="V277"/>
  <c r="V276"/>
  <c r="V254"/>
  <c r="V253"/>
  <c r="V231"/>
  <c r="V230"/>
  <c r="V208"/>
  <c r="V207"/>
  <c r="V185"/>
  <c r="V184"/>
  <c r="V162"/>
  <c r="V161"/>
  <c r="V139"/>
  <c r="V138"/>
  <c r="V116"/>
  <c r="V115"/>
  <c r="V93"/>
  <c r="V92"/>
  <c r="V70"/>
  <c r="V69"/>
  <c r="V47"/>
  <c r="V46"/>
  <c r="U415"/>
  <c r="U414"/>
  <c r="U392"/>
  <c r="U391"/>
  <c r="U369"/>
  <c r="U368"/>
  <c r="U346"/>
  <c r="U345"/>
  <c r="U323"/>
  <c r="U322"/>
  <c r="U300"/>
  <c r="U299"/>
  <c r="U277"/>
  <c r="U276"/>
  <c r="U254"/>
  <c r="U253"/>
  <c r="U231"/>
  <c r="U230"/>
  <c r="U208"/>
  <c r="U207"/>
  <c r="U185"/>
  <c r="U184"/>
  <c r="U162"/>
  <c r="U161"/>
  <c r="U139"/>
  <c r="U138"/>
  <c r="U116"/>
  <c r="U115"/>
  <c r="U93"/>
  <c r="U92"/>
  <c r="U70"/>
  <c r="U69"/>
  <c r="U47"/>
  <c r="U46"/>
  <c r="T415"/>
  <c r="T414"/>
  <c r="T392"/>
  <c r="T391"/>
  <c r="T369"/>
  <c r="T368"/>
  <c r="T346"/>
  <c r="T345"/>
  <c r="T323"/>
  <c r="T322"/>
  <c r="T300"/>
  <c r="T299"/>
  <c r="T277"/>
  <c r="T276"/>
  <c r="T254"/>
  <c r="T253"/>
  <c r="T231"/>
  <c r="T230"/>
  <c r="T208"/>
  <c r="T207"/>
  <c r="T185"/>
  <c r="T184"/>
  <c r="T162"/>
  <c r="T161"/>
  <c r="T139"/>
  <c r="T138"/>
  <c r="T116"/>
  <c r="T115"/>
  <c r="T93"/>
  <c r="T92"/>
  <c r="T70"/>
  <c r="T69"/>
  <c r="T47"/>
  <c r="T46"/>
  <c r="S415"/>
  <c r="S414"/>
  <c r="S392"/>
  <c r="S391"/>
  <c r="S369"/>
  <c r="S368"/>
  <c r="S346"/>
  <c r="S345"/>
  <c r="S323"/>
  <c r="S322"/>
  <c r="S300"/>
  <c r="S299"/>
  <c r="S277"/>
  <c r="S276"/>
  <c r="S254"/>
  <c r="S253"/>
  <c r="S231"/>
  <c r="S230"/>
  <c r="S208"/>
  <c r="S207"/>
  <c r="S185"/>
  <c r="S184"/>
  <c r="S162"/>
  <c r="S161"/>
  <c r="S139"/>
  <c r="S138"/>
  <c r="S116"/>
  <c r="S115"/>
  <c r="S93"/>
  <c r="S92"/>
  <c r="S70"/>
  <c r="S69"/>
  <c r="S47"/>
  <c r="S46"/>
  <c r="R415"/>
  <c r="R414"/>
  <c r="R392"/>
  <c r="R391"/>
  <c r="R369"/>
  <c r="R368"/>
  <c r="R346"/>
  <c r="R345"/>
  <c r="R323"/>
  <c r="R322"/>
  <c r="R300"/>
  <c r="R299"/>
  <c r="R277"/>
  <c r="R276"/>
  <c r="R254"/>
  <c r="R253"/>
  <c r="R231"/>
  <c r="R230"/>
  <c r="R208"/>
  <c r="R207"/>
  <c r="R185"/>
  <c r="R184"/>
  <c r="R162"/>
  <c r="R161"/>
  <c r="R139"/>
  <c r="R138"/>
  <c r="R116"/>
  <c r="R115"/>
  <c r="R93"/>
  <c r="R92"/>
  <c r="R70"/>
  <c r="R69"/>
  <c r="R47"/>
  <c r="R46"/>
  <c r="Q415"/>
  <c r="Q414"/>
  <c r="Q392"/>
  <c r="Q391"/>
  <c r="Q369"/>
  <c r="Q368"/>
  <c r="Q346"/>
  <c r="Q345"/>
  <c r="Q323"/>
  <c r="Q322"/>
  <c r="Q300"/>
  <c r="Q299"/>
  <c r="Q277"/>
  <c r="Q276"/>
  <c r="Q254"/>
  <c r="Q253"/>
  <c r="Q231"/>
  <c r="Q230"/>
  <c r="Q208"/>
  <c r="Q207"/>
  <c r="Q185"/>
  <c r="Q184"/>
  <c r="Q162"/>
  <c r="Q161"/>
  <c r="Q139"/>
  <c r="Q138"/>
  <c r="Q116"/>
  <c r="Q115"/>
  <c r="Q93"/>
  <c r="Q92"/>
  <c r="Q70"/>
  <c r="Q69"/>
  <c r="Q47"/>
  <c r="Q46"/>
  <c r="P415"/>
  <c r="P414"/>
  <c r="P392"/>
  <c r="P391"/>
  <c r="P369"/>
  <c r="P368"/>
  <c r="P346"/>
  <c r="P345"/>
  <c r="P323"/>
  <c r="P322"/>
  <c r="P300"/>
  <c r="P299"/>
  <c r="P277"/>
  <c r="P276"/>
  <c r="P254"/>
  <c r="P253"/>
  <c r="P231"/>
  <c r="P230"/>
  <c r="P208"/>
  <c r="P207"/>
  <c r="P185"/>
  <c r="P184"/>
  <c r="P162"/>
  <c r="P161"/>
  <c r="P139"/>
  <c r="P138"/>
  <c r="P116"/>
  <c r="P115"/>
  <c r="P93"/>
  <c r="P92"/>
  <c r="P70"/>
  <c r="P69"/>
  <c r="P47"/>
  <c r="P46"/>
  <c r="O415"/>
  <c r="O414"/>
  <c r="O392"/>
  <c r="O391"/>
  <c r="O369"/>
  <c r="O368"/>
  <c r="O346"/>
  <c r="O345"/>
  <c r="O323"/>
  <c r="O322"/>
  <c r="O300"/>
  <c r="O299"/>
  <c r="O277"/>
  <c r="O276"/>
  <c r="O254"/>
  <c r="O253"/>
  <c r="O231"/>
  <c r="O230"/>
  <c r="O208"/>
  <c r="O207"/>
  <c r="O185"/>
  <c r="O184"/>
  <c r="O162"/>
  <c r="O161"/>
  <c r="O139"/>
  <c r="O138"/>
  <c r="O116"/>
  <c r="O115"/>
  <c r="O93"/>
  <c r="O92"/>
  <c r="O70"/>
  <c r="O69"/>
  <c r="O47"/>
  <c r="O46"/>
  <c r="N415"/>
  <c r="N414"/>
  <c r="N392"/>
  <c r="N391"/>
  <c r="N369"/>
  <c r="N368"/>
  <c r="N346"/>
  <c r="N345"/>
  <c r="N323"/>
  <c r="N322"/>
  <c r="N300"/>
  <c r="N299"/>
  <c r="N277"/>
  <c r="N276"/>
  <c r="N254"/>
  <c r="N253"/>
  <c r="N231"/>
  <c r="N230"/>
  <c r="N208"/>
  <c r="N207"/>
  <c r="N185"/>
  <c r="N184"/>
  <c r="N162"/>
  <c r="N161"/>
  <c r="N139"/>
  <c r="N138"/>
  <c r="N116"/>
  <c r="N115"/>
  <c r="N93"/>
  <c r="N92"/>
  <c r="N70"/>
  <c r="N69"/>
  <c r="N47"/>
  <c r="N46"/>
  <c r="M415"/>
  <c r="M414"/>
  <c r="M392"/>
  <c r="M391"/>
  <c r="M369"/>
  <c r="M368"/>
  <c r="M346"/>
  <c r="M345"/>
  <c r="M323"/>
  <c r="M322"/>
  <c r="M300"/>
  <c r="M299"/>
  <c r="M277"/>
  <c r="M276"/>
  <c r="M254"/>
  <c r="M253"/>
  <c r="M231"/>
  <c r="M230"/>
  <c r="M208"/>
  <c r="M207"/>
  <c r="M185"/>
  <c r="M184"/>
  <c r="M162"/>
  <c r="M161"/>
  <c r="M139"/>
  <c r="M138"/>
  <c r="M116"/>
  <c r="M115"/>
  <c r="M93"/>
  <c r="M92"/>
  <c r="M70"/>
  <c r="M69"/>
  <c r="M47"/>
  <c r="M46"/>
  <c r="L415"/>
  <c r="L414"/>
  <c r="L392"/>
  <c r="L391"/>
  <c r="L369"/>
  <c r="L368"/>
  <c r="L346"/>
  <c r="L345"/>
  <c r="L323"/>
  <c r="L322"/>
  <c r="L300"/>
  <c r="L299"/>
  <c r="L277"/>
  <c r="L276"/>
  <c r="L254"/>
  <c r="L253"/>
  <c r="L231"/>
  <c r="L230"/>
  <c r="L208"/>
  <c r="L207"/>
  <c r="L185"/>
  <c r="L184"/>
  <c r="L162"/>
  <c r="L161"/>
  <c r="L139"/>
  <c r="L138"/>
  <c r="L116"/>
  <c r="L115"/>
  <c r="L93"/>
  <c r="L92"/>
  <c r="L70"/>
  <c r="L69"/>
  <c r="L47"/>
  <c r="L46"/>
  <c r="K415"/>
  <c r="K414"/>
  <c r="K413"/>
  <c r="K412"/>
  <c r="K411"/>
  <c r="K410"/>
  <c r="K409"/>
  <c r="K408"/>
  <c r="K407"/>
  <c r="K406"/>
  <c r="K405"/>
  <c r="K404"/>
  <c r="K403"/>
  <c r="K402"/>
  <c r="K401"/>
  <c r="K400"/>
  <c r="K399"/>
  <c r="K398"/>
  <c r="K397"/>
  <c r="K396"/>
  <c r="K395"/>
  <c r="K394"/>
  <c r="K393"/>
  <c r="K392"/>
  <c r="K391"/>
  <c r="K390"/>
  <c r="K389"/>
  <c r="K388"/>
  <c r="K387"/>
  <c r="K386"/>
  <c r="K385"/>
  <c r="K384"/>
  <c r="K383"/>
  <c r="K382"/>
  <c r="K381"/>
  <c r="K380"/>
  <c r="K379"/>
  <c r="K378"/>
  <c r="K377"/>
  <c r="K376"/>
  <c r="K375"/>
  <c r="K374"/>
  <c r="K373"/>
  <c r="K372"/>
  <c r="K371"/>
  <c r="K370"/>
  <c r="K369"/>
  <c r="K368"/>
  <c r="K367"/>
  <c r="K366"/>
  <c r="K365"/>
  <c r="K364"/>
  <c r="K363"/>
  <c r="K362"/>
  <c r="K361"/>
  <c r="K360"/>
  <c r="K359"/>
  <c r="K358"/>
  <c r="K357"/>
  <c r="K356"/>
  <c r="K355"/>
  <c r="K354"/>
  <c r="K353"/>
  <c r="K352"/>
  <c r="K351"/>
  <c r="K350"/>
  <c r="K349"/>
  <c r="K348"/>
  <c r="K347"/>
  <c r="K346"/>
  <c r="K345"/>
  <c r="K344"/>
  <c r="K343"/>
  <c r="K342"/>
  <c r="K341"/>
  <c r="K340"/>
  <c r="K339"/>
  <c r="K338"/>
  <c r="K337"/>
  <c r="K336"/>
  <c r="K335"/>
  <c r="K334"/>
  <c r="K333"/>
  <c r="K332"/>
  <c r="K331"/>
  <c r="K330"/>
  <c r="K329"/>
  <c r="K328"/>
  <c r="K327"/>
  <c r="K326"/>
  <c r="K325"/>
  <c r="K324"/>
  <c r="K323"/>
  <c r="K322"/>
  <c r="K321"/>
  <c r="K320"/>
  <c r="K319"/>
  <c r="K318"/>
  <c r="K317"/>
  <c r="K316"/>
  <c r="K315"/>
  <c r="K314"/>
  <c r="K313"/>
  <c r="K312"/>
  <c r="K311"/>
  <c r="K310"/>
  <c r="K309"/>
  <c r="K308"/>
  <c r="K307"/>
  <c r="K306"/>
  <c r="K305"/>
  <c r="K304"/>
  <c r="K303"/>
  <c r="K302"/>
  <c r="K301"/>
  <c r="K300"/>
  <c r="K299"/>
  <c r="K298"/>
  <c r="K297"/>
  <c r="K296"/>
  <c r="K295"/>
  <c r="K294"/>
  <c r="K293"/>
  <c r="K292"/>
  <c r="K291"/>
  <c r="K290"/>
  <c r="K289"/>
  <c r="K288"/>
  <c r="K287"/>
  <c r="K286"/>
  <c r="K285"/>
  <c r="K284"/>
  <c r="K283"/>
  <c r="K282"/>
  <c r="K281"/>
  <c r="K280"/>
  <c r="K279"/>
  <c r="K278"/>
  <c r="K277"/>
  <c r="K276"/>
  <c r="K275"/>
  <c r="K274"/>
  <c r="K273"/>
  <c r="K272"/>
  <c r="K271"/>
  <c r="K270"/>
  <c r="K269"/>
  <c r="K268"/>
  <c r="K267"/>
  <c r="K266"/>
  <c r="K265"/>
  <c r="K264"/>
  <c r="K263"/>
  <c r="K262"/>
  <c r="K261"/>
  <c r="K260"/>
  <c r="K259"/>
  <c r="K258"/>
  <c r="K257"/>
  <c r="K256"/>
  <c r="K255"/>
  <c r="K254"/>
  <c r="K253"/>
  <c r="K252"/>
  <c r="K251"/>
  <c r="K250"/>
  <c r="K249"/>
  <c r="K248"/>
  <c r="K247"/>
  <c r="K246"/>
  <c r="K245"/>
  <c r="K244"/>
  <c r="K243"/>
  <c r="K242"/>
  <c r="K241"/>
  <c r="K240"/>
  <c r="K239"/>
  <c r="K238"/>
  <c r="K237"/>
  <c r="K236"/>
  <c r="K235"/>
  <c r="K234"/>
  <c r="K233"/>
  <c r="K232"/>
  <c r="K231"/>
  <c r="K230"/>
  <c r="K229"/>
  <c r="K228"/>
  <c r="K227"/>
  <c r="K226"/>
  <c r="K225"/>
  <c r="K224"/>
  <c r="K223"/>
  <c r="K222"/>
  <c r="K221"/>
  <c r="K220"/>
  <c r="K219"/>
  <c r="K218"/>
  <c r="K217"/>
  <c r="K216"/>
  <c r="K215"/>
  <c r="K214"/>
  <c r="K213"/>
  <c r="K212"/>
  <c r="K211"/>
  <c r="K210"/>
  <c r="K209"/>
  <c r="K208"/>
  <c r="K207"/>
  <c r="K206"/>
  <c r="K205"/>
  <c r="K204"/>
  <c r="K203"/>
  <c r="K202"/>
  <c r="K201"/>
  <c r="K200"/>
  <c r="K199"/>
  <c r="K198"/>
  <c r="K197"/>
  <c r="K196"/>
  <c r="K195"/>
  <c r="K194"/>
  <c r="K193"/>
  <c r="K192"/>
  <c r="K191"/>
  <c r="K190"/>
  <c r="K189"/>
  <c r="K188"/>
  <c r="K187"/>
  <c r="K186"/>
  <c r="K185"/>
  <c r="K184"/>
  <c r="K183"/>
  <c r="K182"/>
  <c r="K181"/>
  <c r="K180"/>
  <c r="K179"/>
  <c r="K178"/>
  <c r="K177"/>
  <c r="K176"/>
  <c r="K175"/>
  <c r="K174"/>
  <c r="K173"/>
  <c r="K172"/>
  <c r="K171"/>
  <c r="K170"/>
  <c r="K169"/>
  <c r="K168"/>
  <c r="K167"/>
  <c r="K166"/>
  <c r="K165"/>
  <c r="K164"/>
  <c r="K163"/>
  <c r="K162"/>
  <c r="K161"/>
  <c r="K160"/>
  <c r="K159"/>
  <c r="K158"/>
  <c r="K157"/>
  <c r="K156"/>
  <c r="K155"/>
  <c r="K154"/>
  <c r="K153"/>
  <c r="K152"/>
  <c r="K151"/>
  <c r="K150"/>
  <c r="K149"/>
  <c r="K148"/>
  <c r="K147"/>
  <c r="K146"/>
  <c r="K145"/>
  <c r="K144"/>
  <c r="K143"/>
  <c r="K142"/>
  <c r="K141"/>
  <c r="K140"/>
  <c r="K139"/>
  <c r="K138"/>
  <c r="K137"/>
  <c r="K136"/>
  <c r="K135"/>
  <c r="K134"/>
  <c r="K133"/>
  <c r="K132"/>
  <c r="K131"/>
  <c r="K130"/>
  <c r="K129"/>
  <c r="K128"/>
  <c r="K127"/>
  <c r="K126"/>
  <c r="K125"/>
  <c r="K124"/>
  <c r="K123"/>
  <c r="K122"/>
  <c r="K121"/>
  <c r="K120"/>
  <c r="K119"/>
  <c r="K118"/>
  <c r="K117"/>
  <c r="K116"/>
  <c r="K115"/>
  <c r="K114"/>
  <c r="K113"/>
  <c r="K112"/>
  <c r="K111"/>
  <c r="K110"/>
  <c r="K109"/>
  <c r="K108"/>
  <c r="K107"/>
  <c r="K106"/>
  <c r="K105"/>
  <c r="K104"/>
  <c r="K103"/>
  <c r="K102"/>
  <c r="K101"/>
  <c r="K100"/>
  <c r="K99"/>
  <c r="K98"/>
  <c r="K97"/>
  <c r="K96"/>
  <c r="K95"/>
  <c r="K94"/>
  <c r="K93"/>
  <c r="K92"/>
  <c r="K91"/>
  <c r="K90"/>
  <c r="K89"/>
  <c r="K88"/>
  <c r="K87"/>
  <c r="K86"/>
  <c r="K85"/>
  <c r="K84"/>
  <c r="K83"/>
  <c r="K82"/>
  <c r="K81"/>
  <c r="K80"/>
  <c r="K79"/>
  <c r="K78"/>
  <c r="K77"/>
  <c r="K76"/>
  <c r="K75"/>
  <c r="K74"/>
  <c r="K73"/>
  <c r="K72"/>
  <c r="K71"/>
  <c r="K70"/>
  <c r="K69"/>
  <c r="K68"/>
  <c r="K67"/>
  <c r="K66"/>
  <c r="K65"/>
  <c r="K64"/>
  <c r="K63"/>
  <c r="K62"/>
  <c r="K61"/>
  <c r="K60"/>
  <c r="K59"/>
  <c r="K58"/>
  <c r="K57"/>
  <c r="K56"/>
  <c r="K55"/>
  <c r="K54"/>
  <c r="K53"/>
  <c r="K52"/>
  <c r="K51"/>
  <c r="K50"/>
  <c r="K49"/>
  <c r="K48"/>
  <c r="K47"/>
  <c r="K46"/>
  <c r="K45"/>
  <c r="K44"/>
  <c r="K43"/>
  <c r="K42"/>
  <c r="K41"/>
  <c r="K40"/>
  <c r="K39"/>
  <c r="K38"/>
  <c r="K37"/>
  <c r="K36"/>
  <c r="K35"/>
  <c r="K34"/>
  <c r="K33"/>
  <c r="K32"/>
  <c r="K31"/>
  <c r="K30"/>
  <c r="K29"/>
  <c r="K28"/>
  <c r="K27"/>
  <c r="K26"/>
  <c r="K25"/>
  <c r="K24"/>
  <c r="K23"/>
  <c r="K22"/>
  <c r="K21"/>
  <c r="K20"/>
  <c r="K19"/>
  <c r="K18"/>
  <c r="K17"/>
  <c r="K16"/>
  <c r="K15"/>
  <c r="K14"/>
  <c r="K13"/>
  <c r="K12"/>
  <c r="K11"/>
  <c r="K10"/>
  <c r="K9"/>
  <c r="K8"/>
  <c r="K7"/>
  <c r="K6"/>
  <c r="K5"/>
  <c r="K4"/>
  <c r="K3"/>
  <c r="K2"/>
  <c r="C2"/>
  <c r="V419" i="62"/>
  <c r="V252" i="39" s="1"/>
  <c r="W419" i="62"/>
  <c r="W252" i="39" s="1"/>
  <c r="V383" i="62"/>
  <c r="V229" i="39" s="1"/>
  <c r="W383" i="62"/>
  <c r="W229" i="39" s="1"/>
  <c r="L419" i="62"/>
  <c r="L252" i="39" s="1"/>
  <c r="M419" i="62"/>
  <c r="M252" i="39" s="1"/>
  <c r="N419" i="62"/>
  <c r="N252" i="39" s="1"/>
  <c r="O419" i="62"/>
  <c r="O252" i="39" s="1"/>
  <c r="P419" i="62"/>
  <c r="P252" i="39" s="1"/>
  <c r="Q419" i="62"/>
  <c r="Q252" i="39" s="1"/>
  <c r="R419" i="62"/>
  <c r="R252" i="39" s="1"/>
  <c r="S419" i="62"/>
  <c r="S252" i="39" s="1"/>
  <c r="T419" i="62"/>
  <c r="T252" i="39" s="1"/>
  <c r="U419" i="62"/>
  <c r="U252" i="39" s="1"/>
  <c r="V347" i="62"/>
  <c r="V206" i="39" s="1"/>
  <c r="W347" i="62"/>
  <c r="W206" i="39" s="1"/>
  <c r="L311" i="62"/>
  <c r="L183" i="39" s="1"/>
  <c r="M311" i="62"/>
  <c r="M183" i="39" s="1"/>
  <c r="N311" i="62"/>
  <c r="N183" i="39" s="1"/>
  <c r="O311" i="62"/>
  <c r="O183" i="39" s="1"/>
  <c r="P311" i="62"/>
  <c r="P183" i="39" s="1"/>
  <c r="Q311" i="62"/>
  <c r="Q183" i="39" s="1"/>
  <c r="R311" i="62"/>
  <c r="R183" i="39" s="1"/>
  <c r="S311" i="62"/>
  <c r="S183" i="39" s="1"/>
  <c r="T311" i="62"/>
  <c r="T183" i="39" s="1"/>
  <c r="U311" i="62"/>
  <c r="U183" i="39" s="1"/>
  <c r="W672" i="62"/>
  <c r="W413" i="39" s="1"/>
  <c r="W636" i="62"/>
  <c r="W390" i="39" s="1"/>
  <c r="W600" i="62"/>
  <c r="W367" i="39" s="1"/>
  <c r="W564" i="62"/>
  <c r="W344" i="39" s="1"/>
  <c r="W528" i="62"/>
  <c r="W321" i="39" s="1"/>
  <c r="W492" i="62"/>
  <c r="W298" i="39" s="1"/>
  <c r="W455" i="62"/>
  <c r="W275" i="39" s="1"/>
  <c r="W311" i="62"/>
  <c r="W183" i="39" s="1"/>
  <c r="W275" i="62"/>
  <c r="W160" i="39" s="1"/>
  <c r="V672" i="62"/>
  <c r="V413" i="39" s="1"/>
  <c r="V636" i="62"/>
  <c r="V390" i="39" s="1"/>
  <c r="V600" i="62"/>
  <c r="V367" i="39" s="1"/>
  <c r="V564" i="62"/>
  <c r="V344" i="39" s="1"/>
  <c r="V528" i="62"/>
  <c r="V321" i="39" s="1"/>
  <c r="V492" i="62"/>
  <c r="V298" i="39" s="1"/>
  <c r="V455" i="62"/>
  <c r="V275" i="39" s="1"/>
  <c r="V311" i="62"/>
  <c r="V183" i="39" s="1"/>
  <c r="V275" i="62"/>
  <c r="V160" i="39" s="1"/>
  <c r="U672" i="62"/>
  <c r="U413" i="39" s="1"/>
  <c r="U636" i="62"/>
  <c r="U390" i="39" s="1"/>
  <c r="U600" i="62"/>
  <c r="U367" i="39" s="1"/>
  <c r="U564" i="62"/>
  <c r="U344" i="39" s="1"/>
  <c r="U528" i="62"/>
  <c r="U321" i="39" s="1"/>
  <c r="U492" i="62"/>
  <c r="U298" i="39" s="1"/>
  <c r="U455" i="62"/>
  <c r="U275" i="39" s="1"/>
  <c r="U383" i="62"/>
  <c r="U229" i="39" s="1"/>
  <c r="U347" i="62"/>
  <c r="U206" i="39" s="1"/>
  <c r="U275" i="62"/>
  <c r="U160" i="39" s="1"/>
  <c r="T672" i="62"/>
  <c r="T413" i="39" s="1"/>
  <c r="T636" i="62"/>
  <c r="T390" i="39" s="1"/>
  <c r="T600" i="62"/>
  <c r="T367" i="39" s="1"/>
  <c r="T564" i="62"/>
  <c r="T344" i="39" s="1"/>
  <c r="T528" i="62"/>
  <c r="T321" i="39" s="1"/>
  <c r="T492" i="62"/>
  <c r="T298" i="39" s="1"/>
  <c r="T455" i="62"/>
  <c r="T275" i="39" s="1"/>
  <c r="T383" i="62"/>
  <c r="T229" i="39" s="1"/>
  <c r="T347" i="62"/>
  <c r="T206" i="39" s="1"/>
  <c r="T275" i="62"/>
  <c r="T160" i="39" s="1"/>
  <c r="S672" i="62"/>
  <c r="S413" i="39" s="1"/>
  <c r="S636" i="62"/>
  <c r="S390" i="39" s="1"/>
  <c r="S600" i="62"/>
  <c r="S367" i="39" s="1"/>
  <c r="S564" i="62"/>
  <c r="S344" i="39" s="1"/>
  <c r="S528" i="62"/>
  <c r="S321" i="39" s="1"/>
  <c r="S492" i="62"/>
  <c r="S298" i="39" s="1"/>
  <c r="S455" i="62"/>
  <c r="S275" i="39" s="1"/>
  <c r="S383" i="62"/>
  <c r="S229" i="39" s="1"/>
  <c r="S347" i="62"/>
  <c r="S206" i="39" s="1"/>
  <c r="S275" i="62"/>
  <c r="S160" i="39" s="1"/>
  <c r="R672" i="62"/>
  <c r="R413" i="39" s="1"/>
  <c r="R636" i="62"/>
  <c r="R390" i="39" s="1"/>
  <c r="R600" i="62"/>
  <c r="R367" i="39" s="1"/>
  <c r="R564" i="62"/>
  <c r="R344" i="39" s="1"/>
  <c r="R528" i="62"/>
  <c r="R321" i="39" s="1"/>
  <c r="R492" i="62"/>
  <c r="R298" i="39" s="1"/>
  <c r="R455" i="62"/>
  <c r="R275" i="39" s="1"/>
  <c r="R383" i="62"/>
  <c r="R229" i="39" s="1"/>
  <c r="R347" i="62"/>
  <c r="R206" i="39" s="1"/>
  <c r="R275" i="62"/>
  <c r="R160" i="39" s="1"/>
  <c r="Q672" i="62"/>
  <c r="Q413" i="39" s="1"/>
  <c r="Q636" i="62"/>
  <c r="Q390" i="39" s="1"/>
  <c r="Q600" i="62"/>
  <c r="Q367" i="39" s="1"/>
  <c r="Q564" i="62"/>
  <c r="Q344" i="39" s="1"/>
  <c r="Q528" i="62"/>
  <c r="Q321" i="39" s="1"/>
  <c r="Q492" i="62"/>
  <c r="Q298" i="39" s="1"/>
  <c r="Q455" i="62"/>
  <c r="Q275" i="39" s="1"/>
  <c r="Q383" i="62"/>
  <c r="Q229" i="39" s="1"/>
  <c r="Q347" i="62"/>
  <c r="Q206" i="39" s="1"/>
  <c r="Q275" i="62"/>
  <c r="Q160" i="39" s="1"/>
  <c r="P672" i="62"/>
  <c r="P413" i="39" s="1"/>
  <c r="P636" i="62"/>
  <c r="P390" i="39" s="1"/>
  <c r="P600" i="62"/>
  <c r="P367" i="39" s="1"/>
  <c r="P564" i="62"/>
  <c r="P344" i="39" s="1"/>
  <c r="P528" i="62"/>
  <c r="P321" i="39" s="1"/>
  <c r="P492" i="62"/>
  <c r="P298" i="39" s="1"/>
  <c r="P455" i="62"/>
  <c r="P275" i="39" s="1"/>
  <c r="P383" i="62"/>
  <c r="P229" i="39" s="1"/>
  <c r="P347" i="62"/>
  <c r="P206" i="39" s="1"/>
  <c r="P275" i="62"/>
  <c r="P160" i="39" s="1"/>
  <c r="O672" i="62"/>
  <c r="O413" i="39" s="1"/>
  <c r="O636" i="62"/>
  <c r="O390" i="39" s="1"/>
  <c r="O600" i="62"/>
  <c r="O367" i="39" s="1"/>
  <c r="O564" i="62"/>
  <c r="O344" i="39" s="1"/>
  <c r="O528" i="62"/>
  <c r="O321" i="39" s="1"/>
  <c r="O492" i="62"/>
  <c r="O298" i="39" s="1"/>
  <c r="O455" i="62"/>
  <c r="O275" i="39" s="1"/>
  <c r="O383" i="62"/>
  <c r="O229" i="39" s="1"/>
  <c r="O347" i="62"/>
  <c r="O206" i="39" s="1"/>
  <c r="O275" i="62"/>
  <c r="O160" i="39" s="1"/>
  <c r="N672" i="62"/>
  <c r="N413" i="39" s="1"/>
  <c r="N636" i="62"/>
  <c r="N390" i="39" s="1"/>
  <c r="N600" i="62"/>
  <c r="N367" i="39" s="1"/>
  <c r="N564" i="62"/>
  <c r="N344" i="39" s="1"/>
  <c r="N528" i="62"/>
  <c r="N321" i="39" s="1"/>
  <c r="N492" i="62"/>
  <c r="N298" i="39" s="1"/>
  <c r="N455" i="62"/>
  <c r="N275" i="39" s="1"/>
  <c r="N383" i="62"/>
  <c r="N229" i="39" s="1"/>
  <c r="N347" i="62"/>
  <c r="N206" i="39" s="1"/>
  <c r="N275" i="62"/>
  <c r="N160" i="39" s="1"/>
  <c r="M672" i="62"/>
  <c r="M413" i="39" s="1"/>
  <c r="M636" i="62"/>
  <c r="M390" i="39" s="1"/>
  <c r="M600" i="62"/>
  <c r="M367" i="39" s="1"/>
  <c r="M564" i="62"/>
  <c r="M344" i="39" s="1"/>
  <c r="M528" i="62"/>
  <c r="M321" i="39" s="1"/>
  <c r="M492" i="62"/>
  <c r="M298" i="39" s="1"/>
  <c r="M455" i="62"/>
  <c r="M275" i="39" s="1"/>
  <c r="M383" i="62"/>
  <c r="M229" i="39" s="1"/>
  <c r="M347" i="62"/>
  <c r="M206" i="39" s="1"/>
  <c r="M275" i="62"/>
  <c r="M160" i="39" s="1"/>
  <c r="L672" i="62"/>
  <c r="L413" i="39" s="1"/>
  <c r="L636" i="62"/>
  <c r="L390" i="39" s="1"/>
  <c r="L600" i="62"/>
  <c r="L367" i="39" s="1"/>
  <c r="L564" i="62"/>
  <c r="L344" i="39" s="1"/>
  <c r="L528" i="62"/>
  <c r="L321" i="39" s="1"/>
  <c r="L492" i="62"/>
  <c r="L298" i="39" s="1"/>
  <c r="L455" i="62"/>
  <c r="L275" i="39" s="1"/>
  <c r="L383" i="62"/>
  <c r="L229" i="39" s="1"/>
  <c r="L347" i="62"/>
  <c r="L206" i="39" s="1"/>
  <c r="L275" i="62"/>
  <c r="L160" i="39" s="1"/>
  <c r="L461" i="62"/>
  <c r="L462"/>
  <c r="L464"/>
  <c r="L279" i="39" s="1"/>
  <c r="L465" i="62"/>
  <c r="L467"/>
  <c r="L468"/>
  <c r="M461"/>
  <c r="M462"/>
  <c r="M464"/>
  <c r="M465"/>
  <c r="M467"/>
  <c r="M468"/>
  <c r="N461"/>
  <c r="N462"/>
  <c r="N464"/>
  <c r="N465"/>
  <c r="N467"/>
  <c r="N468"/>
  <c r="N280" i="39" s="1"/>
  <c r="O461" i="62"/>
  <c r="O462"/>
  <c r="O464"/>
  <c r="O465"/>
  <c r="O279" i="39" s="1"/>
  <c r="O467" i="62"/>
  <c r="O280" i="39" s="1"/>
  <c r="O468" i="62"/>
  <c r="P461"/>
  <c r="P462"/>
  <c r="P464"/>
  <c r="P279" i="39" s="1"/>
  <c r="P465" i="62"/>
  <c r="P467"/>
  <c r="P468"/>
  <c r="Q461"/>
  <c r="Q278" i="39" s="1"/>
  <c r="Q462" i="62"/>
  <c r="Q464"/>
  <c r="Q465"/>
  <c r="Q467"/>
  <c r="Q280" i="39" s="1"/>
  <c r="Q468" i="62"/>
  <c r="R461"/>
  <c r="R462"/>
  <c r="R464"/>
  <c r="R465"/>
  <c r="R467"/>
  <c r="R468"/>
  <c r="S461"/>
  <c r="S462"/>
  <c r="S464"/>
  <c r="S465"/>
  <c r="S467"/>
  <c r="S280" i="39" s="1"/>
  <c r="S468" i="62"/>
  <c r="T461"/>
  <c r="T462"/>
  <c r="T464"/>
  <c r="T279" i="39" s="1"/>
  <c r="T465" i="62"/>
  <c r="T467"/>
  <c r="T468"/>
  <c r="U461"/>
  <c r="U462"/>
  <c r="U464"/>
  <c r="U465"/>
  <c r="U467"/>
  <c r="U468"/>
  <c r="L480"/>
  <c r="L286" i="39" s="1"/>
  <c r="M480" i="62"/>
  <c r="M286" i="39" s="1"/>
  <c r="N480" i="62"/>
  <c r="N286" i="39" s="1"/>
  <c r="O480" i="62"/>
  <c r="O286" i="39" s="1"/>
  <c r="P480" i="62"/>
  <c r="P286" i="39" s="1"/>
  <c r="Q480" i="62"/>
  <c r="Q286" i="39" s="1"/>
  <c r="R480" i="62"/>
  <c r="R286" i="39" s="1"/>
  <c r="S480" i="62"/>
  <c r="S286" i="39" s="1"/>
  <c r="T480" i="62"/>
  <c r="T286" i="39" s="1"/>
  <c r="U480" i="62"/>
  <c r="U286" i="39" s="1"/>
  <c r="V439" i="62"/>
  <c r="V440"/>
  <c r="W439"/>
  <c r="W440"/>
  <c r="V441"/>
  <c r="V261" i="39" s="1"/>
  <c r="W441" i="62"/>
  <c r="W261" i="39" s="1"/>
  <c r="V442" i="62"/>
  <c r="V262" i="39" s="1"/>
  <c r="W442" i="62"/>
  <c r="W262" i="39" s="1"/>
  <c r="V443" i="62"/>
  <c r="V263" i="39" s="1"/>
  <c r="W443" i="62"/>
  <c r="W263" i="39" s="1"/>
  <c r="V444" i="62"/>
  <c r="V264" i="39" s="1"/>
  <c r="W444" i="62"/>
  <c r="W264" i="39" s="1"/>
  <c r="V445" i="62"/>
  <c r="V265" i="39" s="1"/>
  <c r="W445" i="62"/>
  <c r="W265" i="39" s="1"/>
  <c r="V446" i="62"/>
  <c r="V266" i="39" s="1"/>
  <c r="W446" i="62"/>
  <c r="W266" i="39" s="1"/>
  <c r="V447" i="62"/>
  <c r="V267" i="39" s="1"/>
  <c r="W447" i="62"/>
  <c r="W267" i="39" s="1"/>
  <c r="V448" i="62"/>
  <c r="V268" i="39" s="1"/>
  <c r="W448" i="62"/>
  <c r="W268" i="39" s="1"/>
  <c r="V449" i="62"/>
  <c r="V269" i="39" s="1"/>
  <c r="W449" i="62"/>
  <c r="W269" i="39" s="1"/>
  <c r="V450" i="62"/>
  <c r="V270" i="39" s="1"/>
  <c r="W450" i="62"/>
  <c r="W270" i="39" s="1"/>
  <c r="V451" i="62"/>
  <c r="V271" i="39" s="1"/>
  <c r="W451" i="62"/>
  <c r="W271" i="39" s="1"/>
  <c r="L479" i="62"/>
  <c r="L285" i="39" s="1"/>
  <c r="M479" i="62"/>
  <c r="M285" i="39" s="1"/>
  <c r="N479" i="62"/>
  <c r="N285" i="39" s="1"/>
  <c r="O479" i="62"/>
  <c r="O285" i="39" s="1"/>
  <c r="P479" i="62"/>
  <c r="P285" i="39" s="1"/>
  <c r="Q479" i="62"/>
  <c r="Q285" i="39" s="1"/>
  <c r="R479" i="62"/>
  <c r="R285" i="39" s="1"/>
  <c r="S479" i="62"/>
  <c r="S285" i="39" s="1"/>
  <c r="T479" i="62"/>
  <c r="T285" i="39" s="1"/>
  <c r="U479" i="62"/>
  <c r="U285" i="39" s="1"/>
  <c r="L481" i="62"/>
  <c r="L287" i="39" s="1"/>
  <c r="M481" i="62"/>
  <c r="M287" i="39" s="1"/>
  <c r="N481" i="62"/>
  <c r="N287" i="39" s="1"/>
  <c r="O481" i="62"/>
  <c r="O287" i="39" s="1"/>
  <c r="P481" i="62"/>
  <c r="P287" i="39" s="1"/>
  <c r="Q481" i="62"/>
  <c r="Q287" i="39" s="1"/>
  <c r="R481" i="62"/>
  <c r="R287" i="39" s="1"/>
  <c r="S481" i="62"/>
  <c r="S287" i="39" s="1"/>
  <c r="T481" i="62"/>
  <c r="T287" i="39" s="1"/>
  <c r="U481" i="62"/>
  <c r="U287" i="39" s="1"/>
  <c r="V424" i="62"/>
  <c r="V425"/>
  <c r="W424"/>
  <c r="W255" i="39" s="1"/>
  <c r="W425" i="62"/>
  <c r="L263"/>
  <c r="L148" i="39" s="1"/>
  <c r="M263" i="62"/>
  <c r="M148" i="39" s="1"/>
  <c r="N263" i="62"/>
  <c r="N148" i="39" s="1"/>
  <c r="O263" i="62"/>
  <c r="O148" i="39" s="1"/>
  <c r="P263" i="62"/>
  <c r="P148" i="39" s="1"/>
  <c r="Q263" i="62"/>
  <c r="Q148" i="39" s="1"/>
  <c r="R263" i="62"/>
  <c r="R148" i="39" s="1"/>
  <c r="S263" i="62"/>
  <c r="S148" i="39" s="1"/>
  <c r="T263" i="62"/>
  <c r="T148" i="39" s="1"/>
  <c r="U263" i="62"/>
  <c r="U148" i="39" s="1"/>
  <c r="L264" i="62"/>
  <c r="L149" i="39" s="1"/>
  <c r="M264" i="62"/>
  <c r="M149" i="39" s="1"/>
  <c r="N264" i="62"/>
  <c r="N149" i="39" s="1"/>
  <c r="O264" i="62"/>
  <c r="O149" i="39" s="1"/>
  <c r="P264" i="62"/>
  <c r="P149" i="39" s="1"/>
  <c r="Q264" i="62"/>
  <c r="Q149" i="39" s="1"/>
  <c r="R264" i="62"/>
  <c r="R149" i="39" s="1"/>
  <c r="S264" i="62"/>
  <c r="S149" i="39" s="1"/>
  <c r="T264" i="62"/>
  <c r="T149" i="39" s="1"/>
  <c r="U264" i="62"/>
  <c r="U149" i="39" s="1"/>
  <c r="L267" i="62"/>
  <c r="L152" i="39" s="1"/>
  <c r="M267" i="62"/>
  <c r="M152" i="39" s="1"/>
  <c r="N267" i="62"/>
  <c r="N152" i="39" s="1"/>
  <c r="O267" i="62"/>
  <c r="O152" i="39" s="1"/>
  <c r="P267" i="62"/>
  <c r="P152" i="39" s="1"/>
  <c r="Q267" i="62"/>
  <c r="Q152" i="39" s="1"/>
  <c r="R267" i="62"/>
  <c r="R152" i="39" s="1"/>
  <c r="S267" i="62"/>
  <c r="S152" i="39" s="1"/>
  <c r="T267" i="62"/>
  <c r="T152" i="39" s="1"/>
  <c r="U267" i="62"/>
  <c r="U152" i="39" s="1"/>
  <c r="L268" i="62"/>
  <c r="L153" i="39" s="1"/>
  <c r="M268" i="62"/>
  <c r="M153" i="39" s="1"/>
  <c r="N268" i="62"/>
  <c r="N153" i="39" s="1"/>
  <c r="O268" i="62"/>
  <c r="O153" i="39" s="1"/>
  <c r="P268" i="62"/>
  <c r="P153" i="39" s="1"/>
  <c r="Q268" i="62"/>
  <c r="Q153" i="39" s="1"/>
  <c r="R268" i="62"/>
  <c r="R153" i="39" s="1"/>
  <c r="S268" i="62"/>
  <c r="S153" i="39" s="1"/>
  <c r="T268" i="62"/>
  <c r="T153" i="39" s="1"/>
  <c r="U268" i="62"/>
  <c r="U153" i="39" s="1"/>
  <c r="L269" i="62"/>
  <c r="L154" i="39" s="1"/>
  <c r="M269" i="62"/>
  <c r="M154" i="39" s="1"/>
  <c r="N269" i="62"/>
  <c r="N154" i="39" s="1"/>
  <c r="O269" i="62"/>
  <c r="O154" i="39" s="1"/>
  <c r="P269" i="62"/>
  <c r="P154" i="39" s="1"/>
  <c r="Q269" i="62"/>
  <c r="Q154" i="39" s="1"/>
  <c r="R269" i="62"/>
  <c r="R154" i="39" s="1"/>
  <c r="S269" i="62"/>
  <c r="S154" i="39" s="1"/>
  <c r="T269" i="62"/>
  <c r="T154" i="39" s="1"/>
  <c r="U269" i="62"/>
  <c r="U154" i="39" s="1"/>
  <c r="L270" i="62"/>
  <c r="L155" i="39" s="1"/>
  <c r="M270" i="62"/>
  <c r="M155" i="39" s="1"/>
  <c r="N270" i="62"/>
  <c r="N155" i="39" s="1"/>
  <c r="O270" i="62"/>
  <c r="O155" i="39" s="1"/>
  <c r="P270" i="62"/>
  <c r="P155" i="39" s="1"/>
  <c r="Q270" i="62"/>
  <c r="Q155" i="39" s="1"/>
  <c r="R270" i="62"/>
  <c r="R155" i="39" s="1"/>
  <c r="S270" i="62"/>
  <c r="S155" i="39" s="1"/>
  <c r="T270" i="62"/>
  <c r="T155" i="39" s="1"/>
  <c r="U270" i="62"/>
  <c r="U155" i="39" s="1"/>
  <c r="L271" i="62"/>
  <c r="L156" i="39" s="1"/>
  <c r="M271" i="62"/>
  <c r="M156" i="39" s="1"/>
  <c r="N271" i="62"/>
  <c r="N156" i="39" s="1"/>
  <c r="O271" i="62"/>
  <c r="O156" i="39" s="1"/>
  <c r="P271" i="62"/>
  <c r="P156" i="39" s="1"/>
  <c r="Q271" i="62"/>
  <c r="Q156" i="39" s="1"/>
  <c r="R271" i="62"/>
  <c r="R156" i="39" s="1"/>
  <c r="S271" i="62"/>
  <c r="S156" i="39" s="1"/>
  <c r="T271" i="62"/>
  <c r="T156" i="39" s="1"/>
  <c r="U271" i="62"/>
  <c r="U156" i="39" s="1"/>
  <c r="L272" i="62"/>
  <c r="L157" i="39" s="1"/>
  <c r="M272" i="62"/>
  <c r="M157" i="39" s="1"/>
  <c r="N272" i="62"/>
  <c r="N157" i="39" s="1"/>
  <c r="O272" i="62"/>
  <c r="O157" i="39" s="1"/>
  <c r="P272" i="62"/>
  <c r="P157" i="39" s="1"/>
  <c r="Q272" i="62"/>
  <c r="Q157" i="39" s="1"/>
  <c r="R272" i="62"/>
  <c r="R157" i="39" s="1"/>
  <c r="S272" i="62"/>
  <c r="S157" i="39" s="1"/>
  <c r="T272" i="62"/>
  <c r="T157" i="39" s="1"/>
  <c r="U272" i="62"/>
  <c r="U157" i="39" s="1"/>
  <c r="L273" i="62"/>
  <c r="L158" i="39" s="1"/>
  <c r="M273" i="62"/>
  <c r="M158" i="39" s="1"/>
  <c r="N273" i="62"/>
  <c r="N158" i="39" s="1"/>
  <c r="O273" i="62"/>
  <c r="O158" i="39" s="1"/>
  <c r="P273" i="62"/>
  <c r="P158" i="39" s="1"/>
  <c r="Q273" i="62"/>
  <c r="Q158" i="39" s="1"/>
  <c r="R273" i="62"/>
  <c r="R158" i="39" s="1"/>
  <c r="S273" i="62"/>
  <c r="S158" i="39" s="1"/>
  <c r="T273" i="62"/>
  <c r="T158" i="39" s="1"/>
  <c r="U273" i="62"/>
  <c r="U158" i="39" s="1"/>
  <c r="L274" i="62"/>
  <c r="L159" i="39" s="1"/>
  <c r="M274" i="62"/>
  <c r="M159" i="39" s="1"/>
  <c r="N274" i="62"/>
  <c r="N159" i="39" s="1"/>
  <c r="O274" i="62"/>
  <c r="O159" i="39" s="1"/>
  <c r="P274" i="62"/>
  <c r="P159" i="39" s="1"/>
  <c r="Q274" i="62"/>
  <c r="Q159" i="39" s="1"/>
  <c r="R274" i="62"/>
  <c r="R159" i="39" s="1"/>
  <c r="S274" i="62"/>
  <c r="S159" i="39" s="1"/>
  <c r="T274" i="62"/>
  <c r="T159" i="39" s="1"/>
  <c r="U274" i="62"/>
  <c r="U159" i="39" s="1"/>
  <c r="V225" i="62"/>
  <c r="V124" i="39" s="1"/>
  <c r="W225" i="62"/>
  <c r="W124" i="39" s="1"/>
  <c r="V226" i="62"/>
  <c r="V125" i="39" s="1"/>
  <c r="W226" i="62"/>
  <c r="W125" i="39" s="1"/>
  <c r="V227" i="62"/>
  <c r="V126" i="39" s="1"/>
  <c r="W227" i="62"/>
  <c r="W126" i="39" s="1"/>
  <c r="L244" i="62"/>
  <c r="L245"/>
  <c r="M244"/>
  <c r="M245"/>
  <c r="N244"/>
  <c r="N245"/>
  <c r="O244"/>
  <c r="O245"/>
  <c r="P244"/>
  <c r="P245"/>
  <c r="Q244"/>
  <c r="Q245"/>
  <c r="R244"/>
  <c r="R245"/>
  <c r="S244"/>
  <c r="S245"/>
  <c r="T244"/>
  <c r="T140" i="39" s="1"/>
  <c r="T245" i="62"/>
  <c r="U244"/>
  <c r="U245"/>
  <c r="L247"/>
  <c r="L248"/>
  <c r="M247"/>
  <c r="M248"/>
  <c r="N247"/>
  <c r="N141" i="39" s="1"/>
  <c r="N248" i="62"/>
  <c r="O247"/>
  <c r="O248"/>
  <c r="P247"/>
  <c r="P248"/>
  <c r="Q247"/>
  <c r="Q248"/>
  <c r="R247"/>
  <c r="R248"/>
  <c r="S247"/>
  <c r="S248"/>
  <c r="T247"/>
  <c r="T248"/>
  <c r="U247"/>
  <c r="U248"/>
  <c r="L250"/>
  <c r="L142" i="39" s="1"/>
  <c r="L251" i="62"/>
  <c r="M250"/>
  <c r="M251"/>
  <c r="N250"/>
  <c r="N142" i="39" s="1"/>
  <c r="N251" i="62"/>
  <c r="O250"/>
  <c r="O251"/>
  <c r="P250"/>
  <c r="P142" i="39" s="1"/>
  <c r="P251" i="62"/>
  <c r="Q250"/>
  <c r="Q251"/>
  <c r="R250"/>
  <c r="R142" i="39" s="1"/>
  <c r="R251" i="62"/>
  <c r="S250"/>
  <c r="S251"/>
  <c r="T250"/>
  <c r="T251"/>
  <c r="U250"/>
  <c r="U251"/>
  <c r="W671"/>
  <c r="W412" i="39" s="1"/>
  <c r="W670" i="62"/>
  <c r="W411" i="39" s="1"/>
  <c r="W669" i="62"/>
  <c r="W410" i="39" s="1"/>
  <c r="W668" i="62"/>
  <c r="W409" i="39" s="1"/>
  <c r="W667" i="62"/>
  <c r="W408" i="39" s="1"/>
  <c r="W666" i="62"/>
  <c r="W407" i="39" s="1"/>
  <c r="W665" i="62"/>
  <c r="W406" i="39" s="1"/>
  <c r="W664" i="62"/>
  <c r="W405" i="39" s="1"/>
  <c r="W663" i="62"/>
  <c r="W404" i="39" s="1"/>
  <c r="W662" i="62"/>
  <c r="W403" i="39" s="1"/>
  <c r="W661" i="62"/>
  <c r="W402" i="39" s="1"/>
  <c r="W660" i="62"/>
  <c r="W401" i="39" s="1"/>
  <c r="W659" i="62"/>
  <c r="W400" i="39" s="1"/>
  <c r="W658" i="62"/>
  <c r="W399" i="39" s="1"/>
  <c r="W656" i="62"/>
  <c r="W657"/>
  <c r="W653"/>
  <c r="W654"/>
  <c r="W650"/>
  <c r="W651"/>
  <c r="W647"/>
  <c r="W648"/>
  <c r="W644"/>
  <c r="W645"/>
  <c r="W641"/>
  <c r="W642"/>
  <c r="W454"/>
  <c r="W274" i="39" s="1"/>
  <c r="W453" i="62"/>
  <c r="W273" i="39" s="1"/>
  <c r="W452" i="62"/>
  <c r="W272" i="39" s="1"/>
  <c r="W436" i="62"/>
  <c r="W437"/>
  <c r="W259" i="39" s="1"/>
  <c r="W433" i="62"/>
  <c r="W434"/>
  <c r="W430"/>
  <c r="W431"/>
  <c r="W257" i="39" s="1"/>
  <c r="W427" i="62"/>
  <c r="W428"/>
  <c r="W232"/>
  <c r="W131" i="39" s="1"/>
  <c r="W231" i="62"/>
  <c r="W130" i="39" s="1"/>
  <c r="W230" i="62"/>
  <c r="W129" i="39" s="1"/>
  <c r="V671" i="62"/>
  <c r="V412" i="39" s="1"/>
  <c r="V670" i="62"/>
  <c r="V411" i="39" s="1"/>
  <c r="V669" i="62"/>
  <c r="V410" i="39" s="1"/>
  <c r="V668" i="62"/>
  <c r="V409" i="39" s="1"/>
  <c r="V667" i="62"/>
  <c r="V408" i="39" s="1"/>
  <c r="V666" i="62"/>
  <c r="V407" i="39" s="1"/>
  <c r="V665" i="62"/>
  <c r="V406" i="39" s="1"/>
  <c r="V664" i="62"/>
  <c r="V405" i="39" s="1"/>
  <c r="V663" i="62"/>
  <c r="V404" i="39" s="1"/>
  <c r="V662" i="62"/>
  <c r="V403" i="39" s="1"/>
  <c r="V661" i="62"/>
  <c r="V402" i="39" s="1"/>
  <c r="V660" i="62"/>
  <c r="V401" i="39" s="1"/>
  <c r="V659" i="62"/>
  <c r="V400" i="39" s="1"/>
  <c r="V658" i="62"/>
  <c r="V399" i="39" s="1"/>
  <c r="V656" i="62"/>
  <c r="V657"/>
  <c r="V653"/>
  <c r="V654"/>
  <c r="V650"/>
  <c r="V651"/>
  <c r="V647"/>
  <c r="V648"/>
  <c r="V644"/>
  <c r="V645"/>
  <c r="V641"/>
  <c r="V642"/>
  <c r="V454"/>
  <c r="V274" i="39" s="1"/>
  <c r="V453" i="62"/>
  <c r="V273" i="39" s="1"/>
  <c r="V452" i="62"/>
  <c r="V272" i="39" s="1"/>
  <c r="V436" i="62"/>
  <c r="V437"/>
  <c r="V433"/>
  <c r="V434"/>
  <c r="V430"/>
  <c r="V431"/>
  <c r="V257" i="39" s="1"/>
  <c r="V427" i="62"/>
  <c r="V428"/>
  <c r="V232"/>
  <c r="V131" i="39" s="1"/>
  <c r="V231" i="62"/>
  <c r="V130" i="39" s="1"/>
  <c r="V230" i="62"/>
  <c r="V129" i="39" s="1"/>
  <c r="U491" i="62"/>
  <c r="U297" i="39" s="1"/>
  <c r="U490" i="62"/>
  <c r="U296" i="39" s="1"/>
  <c r="U489" i="62"/>
  <c r="U295" i="39" s="1"/>
  <c r="U488" i="62"/>
  <c r="U294" i="39" s="1"/>
  <c r="U487" i="62"/>
  <c r="U293" i="39" s="1"/>
  <c r="U486" i="62"/>
  <c r="U292" i="39" s="1"/>
  <c r="U485" i="62"/>
  <c r="U291" i="39" s="1"/>
  <c r="U484" i="62"/>
  <c r="U290" i="39" s="1"/>
  <c r="U262" i="62"/>
  <c r="U147" i="39" s="1"/>
  <c r="U32" i="62"/>
  <c r="U16" i="39" s="1"/>
  <c r="U31" i="62"/>
  <c r="U15" i="39" s="1"/>
  <c r="U30" i="62"/>
  <c r="U14" i="39" s="1"/>
  <c r="T491" i="62"/>
  <c r="T297" i="39" s="1"/>
  <c r="T490" i="62"/>
  <c r="T296" i="39" s="1"/>
  <c r="T489" i="62"/>
  <c r="T295" i="39" s="1"/>
  <c r="T488" i="62"/>
  <c r="T294" i="39" s="1"/>
  <c r="T487" i="62"/>
  <c r="T293" i="39" s="1"/>
  <c r="T486" i="62"/>
  <c r="T292" i="39" s="1"/>
  <c r="T485" i="62"/>
  <c r="T291" i="39" s="1"/>
  <c r="T484" i="62"/>
  <c r="T290" i="39" s="1"/>
  <c r="T262" i="62"/>
  <c r="T147" i="39" s="1"/>
  <c r="T32" i="62"/>
  <c r="T16" i="39" s="1"/>
  <c r="T31" i="62"/>
  <c r="T15" i="39" s="1"/>
  <c r="T30" i="62"/>
  <c r="T14" i="39" s="1"/>
  <c r="S491" i="62"/>
  <c r="S297" i="39" s="1"/>
  <c r="S490" i="62"/>
  <c r="S296" i="39" s="1"/>
  <c r="S489" i="62"/>
  <c r="S295" i="39" s="1"/>
  <c r="S488" i="62"/>
  <c r="S294" i="39" s="1"/>
  <c r="S487" i="62"/>
  <c r="S293" i="39" s="1"/>
  <c r="S486" i="62"/>
  <c r="S292" i="39" s="1"/>
  <c r="S485" i="62"/>
  <c r="S291" i="39" s="1"/>
  <c r="S484" i="62"/>
  <c r="S290" i="39" s="1"/>
  <c r="S262" i="62"/>
  <c r="S147" i="39" s="1"/>
  <c r="S32" i="62"/>
  <c r="S16" i="39" s="1"/>
  <c r="S31" i="62"/>
  <c r="S15" i="39" s="1"/>
  <c r="S30" i="62"/>
  <c r="S14" i="39" s="1"/>
  <c r="R491" i="62"/>
  <c r="R297" i="39" s="1"/>
  <c r="R490" i="62"/>
  <c r="R296" i="39" s="1"/>
  <c r="R489" i="62"/>
  <c r="R295" i="39" s="1"/>
  <c r="R488" i="62"/>
  <c r="R294" i="39" s="1"/>
  <c r="R487" i="62"/>
  <c r="R293" i="39" s="1"/>
  <c r="R486" i="62"/>
  <c r="R292" i="39" s="1"/>
  <c r="R485" i="62"/>
  <c r="R291" i="39" s="1"/>
  <c r="R484" i="62"/>
  <c r="R290" i="39" s="1"/>
  <c r="R262" i="62"/>
  <c r="R147" i="39" s="1"/>
  <c r="R32" i="62"/>
  <c r="R16" i="39" s="1"/>
  <c r="R31" i="62"/>
  <c r="R15" i="39" s="1"/>
  <c r="R30" i="62"/>
  <c r="R14" i="39" s="1"/>
  <c r="Q491" i="62"/>
  <c r="Q297" i="39" s="1"/>
  <c r="Q490" i="62"/>
  <c r="Q296" i="39" s="1"/>
  <c r="Q489" i="62"/>
  <c r="Q295" i="39" s="1"/>
  <c r="Q488" i="62"/>
  <c r="Q294" i="39" s="1"/>
  <c r="Q487" i="62"/>
  <c r="Q293" i="39" s="1"/>
  <c r="Q486" i="62"/>
  <c r="Q292" i="39" s="1"/>
  <c r="Q485" i="62"/>
  <c r="Q291" i="39" s="1"/>
  <c r="Q484" i="62"/>
  <c r="Q290" i="39" s="1"/>
  <c r="Q262" i="62"/>
  <c r="Q147" i="39" s="1"/>
  <c r="Q32" i="62"/>
  <c r="Q16" i="39" s="1"/>
  <c r="Q31" i="62"/>
  <c r="Q15" i="39" s="1"/>
  <c r="Q30" i="62"/>
  <c r="Q14" i="39" s="1"/>
  <c r="P491" i="62"/>
  <c r="P297" i="39" s="1"/>
  <c r="P490" i="62"/>
  <c r="P296" i="39" s="1"/>
  <c r="P489" i="62"/>
  <c r="P295" i="39" s="1"/>
  <c r="P488" i="62"/>
  <c r="P294" i="39" s="1"/>
  <c r="P487" i="62"/>
  <c r="P293" i="39" s="1"/>
  <c r="P486" i="62"/>
  <c r="P292" i="39" s="1"/>
  <c r="P485" i="62"/>
  <c r="P291" i="39" s="1"/>
  <c r="P484" i="62"/>
  <c r="P290" i="39" s="1"/>
  <c r="P262" i="62"/>
  <c r="P147" i="39" s="1"/>
  <c r="P32" i="62"/>
  <c r="P16" i="39" s="1"/>
  <c r="P31" i="62"/>
  <c r="P15" i="39" s="1"/>
  <c r="P30" i="62"/>
  <c r="P14" i="39" s="1"/>
  <c r="O491" i="62"/>
  <c r="O297" i="39" s="1"/>
  <c r="O490" i="62"/>
  <c r="O296" i="39" s="1"/>
  <c r="O489" i="62"/>
  <c r="O295" i="39" s="1"/>
  <c r="O488" i="62"/>
  <c r="O294" i="39" s="1"/>
  <c r="O487" i="62"/>
  <c r="O293" i="39" s="1"/>
  <c r="O486" i="62"/>
  <c r="O292" i="39" s="1"/>
  <c r="O485" i="62"/>
  <c r="O291" i="39" s="1"/>
  <c r="O484" i="62"/>
  <c r="O290" i="39" s="1"/>
  <c r="O262" i="62"/>
  <c r="O147" i="39" s="1"/>
  <c r="O32" i="62"/>
  <c r="O16" i="39" s="1"/>
  <c r="O31" i="62"/>
  <c r="O15" i="39" s="1"/>
  <c r="O30" i="62"/>
  <c r="O14" i="39" s="1"/>
  <c r="N491" i="62"/>
  <c r="N297" i="39" s="1"/>
  <c r="N490" i="62"/>
  <c r="N296" i="39" s="1"/>
  <c r="N489" i="62"/>
  <c r="N295" i="39" s="1"/>
  <c r="N488" i="62"/>
  <c r="N294" i="39" s="1"/>
  <c r="N487" i="62"/>
  <c r="N293" i="39" s="1"/>
  <c r="N486" i="62"/>
  <c r="N292" i="39" s="1"/>
  <c r="N485" i="62"/>
  <c r="N291" i="39" s="1"/>
  <c r="N484" i="62"/>
  <c r="N290" i="39" s="1"/>
  <c r="N262" i="62"/>
  <c r="N147" i="39" s="1"/>
  <c r="N32" i="62"/>
  <c r="N16" i="39" s="1"/>
  <c r="N31" i="62"/>
  <c r="N15" i="39" s="1"/>
  <c r="N30" i="62"/>
  <c r="N14" i="39" s="1"/>
  <c r="M491" i="62"/>
  <c r="M297" i="39" s="1"/>
  <c r="M490" i="62"/>
  <c r="M296" i="39" s="1"/>
  <c r="M489" i="62"/>
  <c r="M295" i="39" s="1"/>
  <c r="M488" i="62"/>
  <c r="M294" i="39" s="1"/>
  <c r="M487" i="62"/>
  <c r="M293" i="39" s="1"/>
  <c r="M486" i="62"/>
  <c r="M292" i="39" s="1"/>
  <c r="M485" i="62"/>
  <c r="M291" i="39" s="1"/>
  <c r="M484" i="62"/>
  <c r="M290" i="39" s="1"/>
  <c r="M262" i="62"/>
  <c r="M147" i="39" s="1"/>
  <c r="M32" i="62"/>
  <c r="M16" i="39" s="1"/>
  <c r="M31" i="62"/>
  <c r="M15" i="39" s="1"/>
  <c r="M30" i="62"/>
  <c r="M14" i="39" s="1"/>
  <c r="L491" i="62"/>
  <c r="L297" i="39" s="1"/>
  <c r="L490" i="62"/>
  <c r="L296" i="39" s="1"/>
  <c r="L489" i="62"/>
  <c r="L295" i="39" s="1"/>
  <c r="L488" i="62"/>
  <c r="L294" i="39" s="1"/>
  <c r="L487" i="62"/>
  <c r="L293" i="39" s="1"/>
  <c r="L486" i="62"/>
  <c r="L292" i="39" s="1"/>
  <c r="L485" i="62"/>
  <c r="L291" i="39" s="1"/>
  <c r="L484" i="62"/>
  <c r="L290" i="39" s="1"/>
  <c r="L262" i="62"/>
  <c r="L147" i="39" s="1"/>
  <c r="L32" i="62"/>
  <c r="L16" i="39" s="1"/>
  <c r="L31" i="62"/>
  <c r="L15" i="39" s="1"/>
  <c r="L30" i="62"/>
  <c r="L14" i="39" s="1"/>
  <c r="O27" i="62"/>
  <c r="O11" i="39" s="1"/>
  <c r="N27" i="62"/>
  <c r="N11" i="39" s="1"/>
  <c r="U27" i="62"/>
  <c r="U11" i="39" s="1"/>
  <c r="T27" i="62"/>
  <c r="T11" i="39" s="1"/>
  <c r="S27" i="62"/>
  <c r="S11" i="39" s="1"/>
  <c r="R27" i="62"/>
  <c r="R11" i="39" s="1"/>
  <c r="Q27" i="62"/>
  <c r="Q11" i="39" s="1"/>
  <c r="P27" i="62"/>
  <c r="P11" i="39" s="1"/>
  <c r="P26" i="62"/>
  <c r="P10" i="39" s="1"/>
  <c r="O26" i="62"/>
  <c r="O10" i="39" s="1"/>
  <c r="U26" i="62"/>
  <c r="U10" i="39" s="1"/>
  <c r="T26" i="62"/>
  <c r="T10" i="39" s="1"/>
  <c r="S26" i="62"/>
  <c r="S10" i="39" s="1"/>
  <c r="R26" i="62"/>
  <c r="R10" i="39" s="1"/>
  <c r="Q26" i="62"/>
  <c r="Q10" i="39" s="1"/>
  <c r="Q25" i="62"/>
  <c r="Q9" i="39" s="1"/>
  <c r="P25" i="62"/>
  <c r="P9" i="39" s="1"/>
  <c r="U25" i="62"/>
  <c r="U9" i="39" s="1"/>
  <c r="T25" i="62"/>
  <c r="T9" i="39" s="1"/>
  <c r="S25" i="62"/>
  <c r="S9" i="39" s="1"/>
  <c r="R25" i="62"/>
  <c r="R9" i="39" s="1"/>
  <c r="O25" i="62"/>
  <c r="O9" i="39" s="1"/>
  <c r="N26" i="62"/>
  <c r="N10" i="39" s="1"/>
  <c r="N25" i="62"/>
  <c r="N9" i="39" s="1"/>
  <c r="M27" i="62"/>
  <c r="M11" i="39" s="1"/>
  <c r="M26" i="62"/>
  <c r="M10" i="39" s="1"/>
  <c r="M25" i="62"/>
  <c r="M9" i="39" s="1"/>
  <c r="L27" i="62"/>
  <c r="L11" i="39" s="1"/>
  <c r="L26" i="62"/>
  <c r="L10" i="39" s="1"/>
  <c r="L25" i="62"/>
  <c r="L9" i="39" s="1"/>
  <c r="U3" i="62"/>
  <c r="U4"/>
  <c r="U6"/>
  <c r="U7"/>
  <c r="T3"/>
  <c r="T4"/>
  <c r="T6"/>
  <c r="T7"/>
  <c r="S3"/>
  <c r="S4"/>
  <c r="S6"/>
  <c r="S7"/>
  <c r="R3"/>
  <c r="H146" i="57"/>
  <c r="R4" i="62"/>
  <c r="R6"/>
  <c r="R7"/>
  <c r="Q3"/>
  <c r="Q4"/>
  <c r="Q6"/>
  <c r="Q7"/>
  <c r="P3"/>
  <c r="P4"/>
  <c r="P6"/>
  <c r="P7"/>
  <c r="O3"/>
  <c r="O4"/>
  <c r="O6"/>
  <c r="O7"/>
  <c r="N3"/>
  <c r="N4"/>
  <c r="N6"/>
  <c r="N7"/>
  <c r="M3"/>
  <c r="M4"/>
  <c r="M6"/>
  <c r="M7"/>
  <c r="L3"/>
  <c r="L4"/>
  <c r="L6"/>
  <c r="L7"/>
  <c r="L9"/>
  <c r="L10"/>
  <c r="M9"/>
  <c r="M10"/>
  <c r="N9"/>
  <c r="N10"/>
  <c r="I54" i="20"/>
  <c r="O14" i="22"/>
  <c r="G328" i="20" s="1"/>
  <c r="O9" i="62"/>
  <c r="O10"/>
  <c r="O12" s="1"/>
  <c r="P9"/>
  <c r="P10"/>
  <c r="S9"/>
  <c r="S10"/>
  <c r="S12" s="1"/>
  <c r="T9"/>
  <c r="T10"/>
  <c r="T12" s="1"/>
  <c r="U9"/>
  <c r="U10"/>
  <c r="U12" s="1"/>
  <c r="Q9"/>
  <c r="Q10"/>
  <c r="R9"/>
  <c r="R10"/>
  <c r="R12" s="1"/>
  <c r="R14" s="1"/>
  <c r="V229"/>
  <c r="V128" i="39" s="1"/>
  <c r="W229" i="62"/>
  <c r="W128" i="39" s="1"/>
  <c r="W228" i="62"/>
  <c r="W127" i="39" s="1"/>
  <c r="V228" i="62"/>
  <c r="V127" i="39" s="1"/>
  <c r="W224" i="62"/>
  <c r="W123" i="39" s="1"/>
  <c r="V224" i="62"/>
  <c r="V123" i="39" s="1"/>
  <c r="W209" i="62"/>
  <c r="W210"/>
  <c r="V209"/>
  <c r="V210"/>
  <c r="W206"/>
  <c r="W207"/>
  <c r="V206"/>
  <c r="V207"/>
  <c r="W203"/>
  <c r="W204"/>
  <c r="V203"/>
  <c r="V204"/>
  <c r="W233"/>
  <c r="W132" i="39" s="1"/>
  <c r="V233" i="62"/>
  <c r="V132" i="39" s="1"/>
  <c r="V222" i="62"/>
  <c r="V223"/>
  <c r="W222"/>
  <c r="W223"/>
  <c r="L39"/>
  <c r="L23" i="39" s="1"/>
  <c r="M39" i="62"/>
  <c r="M23" i="39" s="1"/>
  <c r="N39" i="62"/>
  <c r="N23" i="39" s="1"/>
  <c r="O39" i="62"/>
  <c r="O23" i="39" s="1"/>
  <c r="P39" i="62"/>
  <c r="P23" i="39" s="1"/>
  <c r="Q39" i="62"/>
  <c r="Q23" i="39" s="1"/>
  <c r="R39" i="62"/>
  <c r="R23" i="39" s="1"/>
  <c r="S39" i="62"/>
  <c r="S23" i="39" s="1"/>
  <c r="T39" i="62"/>
  <c r="T23" i="39" s="1"/>
  <c r="V39" i="62"/>
  <c r="V23" i="39" s="1"/>
  <c r="W39" i="62"/>
  <c r="W23" i="39" s="1"/>
  <c r="W219" i="62"/>
  <c r="W220"/>
  <c r="V219"/>
  <c r="V220"/>
  <c r="W216"/>
  <c r="W217"/>
  <c r="V216"/>
  <c r="V217"/>
  <c r="L34"/>
  <c r="L18" i="39" s="1"/>
  <c r="L35" i="62"/>
  <c r="L19" i="39" s="1"/>
  <c r="L36" i="62"/>
  <c r="L20" i="39" s="1"/>
  <c r="L37" i="62"/>
  <c r="L21" i="39" s="1"/>
  <c r="L40" i="62"/>
  <c r="L24" i="39" s="1"/>
  <c r="M34" i="62"/>
  <c r="M18" i="39" s="1"/>
  <c r="M35" i="62"/>
  <c r="M19" i="39" s="1"/>
  <c r="M36" i="62"/>
  <c r="M20" i="39" s="1"/>
  <c r="M37" i="62"/>
  <c r="M21" i="39" s="1"/>
  <c r="M40" i="62"/>
  <c r="M24" i="39" s="1"/>
  <c r="N34" i="62"/>
  <c r="N18" i="39" s="1"/>
  <c r="N35" i="62"/>
  <c r="N19" i="39" s="1"/>
  <c r="N36" i="62"/>
  <c r="N20" i="39" s="1"/>
  <c r="N37" i="62"/>
  <c r="N21" i="39" s="1"/>
  <c r="N40" i="62"/>
  <c r="N24" i="39" s="1"/>
  <c r="O34" i="62"/>
  <c r="O18" i="39" s="1"/>
  <c r="O35" i="62"/>
  <c r="O19" i="39" s="1"/>
  <c r="O36" i="62"/>
  <c r="O20" i="39" s="1"/>
  <c r="O37" i="62"/>
  <c r="O21" i="39" s="1"/>
  <c r="O40" i="62"/>
  <c r="O24" i="39" s="1"/>
  <c r="P34" i="62"/>
  <c r="P18" i="39" s="1"/>
  <c r="P35" i="62"/>
  <c r="P19" i="39" s="1"/>
  <c r="P36" i="62"/>
  <c r="P20" i="39" s="1"/>
  <c r="P37" i="62"/>
  <c r="P21" i="39" s="1"/>
  <c r="P40" i="62"/>
  <c r="P24" i="39" s="1"/>
  <c r="Q34" i="62"/>
  <c r="Q18" i="39" s="1"/>
  <c r="Q35" i="62"/>
  <c r="Q19" i="39" s="1"/>
  <c r="Q36" i="62"/>
  <c r="Q20" i="39" s="1"/>
  <c r="Q37" i="62"/>
  <c r="Q21" i="39" s="1"/>
  <c r="Q40" i="62"/>
  <c r="Q24" i="39" s="1"/>
  <c r="R34" i="62"/>
  <c r="R18" i="39" s="1"/>
  <c r="R35" i="62"/>
  <c r="R19" i="39" s="1"/>
  <c r="R36" i="62"/>
  <c r="R20" i="39" s="1"/>
  <c r="R37" i="62"/>
  <c r="R21" i="39" s="1"/>
  <c r="R40" i="62"/>
  <c r="R24" i="39" s="1"/>
  <c r="S34" i="62"/>
  <c r="S18" i="39" s="1"/>
  <c r="S35" i="62"/>
  <c r="S19" i="39" s="1"/>
  <c r="S36" i="62"/>
  <c r="S20" i="39" s="1"/>
  <c r="S37" i="62"/>
  <c r="S21" i="39" s="1"/>
  <c r="S40" i="62"/>
  <c r="S24" i="39" s="1"/>
  <c r="T34" i="62"/>
  <c r="T18" i="39" s="1"/>
  <c r="T35" i="62"/>
  <c r="T19" i="39" s="1"/>
  <c r="T36" i="62"/>
  <c r="T20" i="39" s="1"/>
  <c r="T37" i="62"/>
  <c r="T21" i="39" s="1"/>
  <c r="T40" i="62"/>
  <c r="T24" i="39" s="1"/>
  <c r="U34" i="62"/>
  <c r="U18" i="39" s="1"/>
  <c r="U35" i="62"/>
  <c r="U19" i="39" s="1"/>
  <c r="U36" i="62"/>
  <c r="U20" i="39" s="1"/>
  <c r="U37" i="62"/>
  <c r="U21" i="39" s="1"/>
  <c r="V40" i="62"/>
  <c r="V24" i="39" s="1"/>
  <c r="W40" i="62"/>
  <c r="W24" i="39" s="1"/>
  <c r="W237" i="62"/>
  <c r="W136" i="39" s="1"/>
  <c r="V237" i="62"/>
  <c r="V136" i="39" s="1"/>
  <c r="W236" i="62"/>
  <c r="W135" i="39" s="1"/>
  <c r="V236" i="62"/>
  <c r="V135" i="39" s="1"/>
  <c r="W235" i="62"/>
  <c r="W134" i="39" s="1"/>
  <c r="V235" i="62"/>
  <c r="V134" i="39" s="1"/>
  <c r="W234" i="62"/>
  <c r="W133" i="39" s="1"/>
  <c r="V234" i="62"/>
  <c r="V133" i="39" s="1"/>
  <c r="D98" i="89"/>
  <c r="D99"/>
  <c r="D100"/>
  <c r="D101"/>
  <c r="D102"/>
  <c r="D103"/>
  <c r="D104"/>
  <c r="D105"/>
  <c r="D106"/>
  <c r="D107"/>
  <c r="Z440" i="62"/>
  <c r="Z439"/>
  <c r="Z437"/>
  <c r="Z436"/>
  <c r="Z434"/>
  <c r="Z404"/>
  <c r="Z403"/>
  <c r="Z401"/>
  <c r="Z400"/>
  <c r="Z398"/>
  <c r="Z368"/>
  <c r="Z367"/>
  <c r="Z365"/>
  <c r="Z364"/>
  <c r="Z362"/>
  <c r="Z332"/>
  <c r="Z331"/>
  <c r="Z329"/>
  <c r="Z328"/>
  <c r="Z326"/>
  <c r="Z296"/>
  <c r="Z295"/>
  <c r="Z293"/>
  <c r="Z292"/>
  <c r="Z290"/>
  <c r="Z260"/>
  <c r="Z259"/>
  <c r="Z257"/>
  <c r="Z256"/>
  <c r="Z254"/>
  <c r="C2"/>
  <c r="C344" s="1"/>
  <c r="K416"/>
  <c r="K417"/>
  <c r="K418"/>
  <c r="K419"/>
  <c r="K420"/>
  <c r="K421"/>
  <c r="K414"/>
  <c r="K415"/>
  <c r="K674"/>
  <c r="K673"/>
  <c r="K672"/>
  <c r="K671"/>
  <c r="K670"/>
  <c r="K669"/>
  <c r="K668"/>
  <c r="K667"/>
  <c r="K666"/>
  <c r="K665"/>
  <c r="K664"/>
  <c r="K663"/>
  <c r="K662"/>
  <c r="K661"/>
  <c r="K660"/>
  <c r="K659"/>
  <c r="K658"/>
  <c r="K655"/>
  <c r="K652"/>
  <c r="K649"/>
  <c r="K646"/>
  <c r="K643"/>
  <c r="K640"/>
  <c r="K638"/>
  <c r="K637"/>
  <c r="K636"/>
  <c r="K635"/>
  <c r="K634"/>
  <c r="K633"/>
  <c r="K632"/>
  <c r="K631"/>
  <c r="K630"/>
  <c r="K629"/>
  <c r="K628"/>
  <c r="K627"/>
  <c r="K626"/>
  <c r="K625"/>
  <c r="K624"/>
  <c r="K623"/>
  <c r="K622"/>
  <c r="K619"/>
  <c r="K616"/>
  <c r="K613"/>
  <c r="K610"/>
  <c r="K607"/>
  <c r="K604"/>
  <c r="K602"/>
  <c r="K601"/>
  <c r="K600"/>
  <c r="K599"/>
  <c r="K598"/>
  <c r="K597"/>
  <c r="K596"/>
  <c r="K595"/>
  <c r="K594"/>
  <c r="K593"/>
  <c r="K592"/>
  <c r="K591"/>
  <c r="K590"/>
  <c r="K589"/>
  <c r="K588"/>
  <c r="K587"/>
  <c r="K586"/>
  <c r="K583"/>
  <c r="K580"/>
  <c r="K577"/>
  <c r="K574"/>
  <c r="K571"/>
  <c r="K568"/>
  <c r="K566"/>
  <c r="K565"/>
  <c r="K564"/>
  <c r="K563"/>
  <c r="K562"/>
  <c r="K561"/>
  <c r="K560"/>
  <c r="K559"/>
  <c r="K558"/>
  <c r="K557"/>
  <c r="K556"/>
  <c r="K555"/>
  <c r="K554"/>
  <c r="K553"/>
  <c r="K552"/>
  <c r="K551"/>
  <c r="K550"/>
  <c r="K547"/>
  <c r="K544"/>
  <c r="K541"/>
  <c r="K538"/>
  <c r="K535"/>
  <c r="K532"/>
  <c r="K530"/>
  <c r="K529"/>
  <c r="K528"/>
  <c r="K527"/>
  <c r="K526"/>
  <c r="K525"/>
  <c r="K524"/>
  <c r="K523"/>
  <c r="K522"/>
  <c r="K521"/>
  <c r="K520"/>
  <c r="K519"/>
  <c r="K518"/>
  <c r="K517"/>
  <c r="K516"/>
  <c r="K515"/>
  <c r="K514"/>
  <c r="K511"/>
  <c r="K508"/>
  <c r="K505"/>
  <c r="K502"/>
  <c r="K499"/>
  <c r="K496"/>
  <c r="K494"/>
  <c r="K493"/>
  <c r="K492"/>
  <c r="K491"/>
  <c r="K490"/>
  <c r="K489"/>
  <c r="K488"/>
  <c r="K487"/>
  <c r="K486"/>
  <c r="K485"/>
  <c r="K484"/>
  <c r="K483"/>
  <c r="K482"/>
  <c r="K481"/>
  <c r="K480"/>
  <c r="K479"/>
  <c r="K478"/>
  <c r="K475"/>
  <c r="K472"/>
  <c r="K469"/>
  <c r="K466"/>
  <c r="K463"/>
  <c r="K460"/>
  <c r="K457"/>
  <c r="K456"/>
  <c r="K455"/>
  <c r="K454"/>
  <c r="K453"/>
  <c r="K452"/>
  <c r="K451"/>
  <c r="K450"/>
  <c r="K449"/>
  <c r="K448"/>
  <c r="K447"/>
  <c r="K446"/>
  <c r="K445"/>
  <c r="K444"/>
  <c r="K443"/>
  <c r="K442"/>
  <c r="K441"/>
  <c r="K438"/>
  <c r="K435"/>
  <c r="K432"/>
  <c r="K429"/>
  <c r="K426"/>
  <c r="K423"/>
  <c r="K413"/>
  <c r="K412"/>
  <c r="K411"/>
  <c r="K410"/>
  <c r="K409"/>
  <c r="K408"/>
  <c r="K407"/>
  <c r="K406"/>
  <c r="K405"/>
  <c r="K402"/>
  <c r="K399"/>
  <c r="K396"/>
  <c r="K393"/>
  <c r="K390"/>
  <c r="K387"/>
  <c r="K385"/>
  <c r="K384"/>
  <c r="K383"/>
  <c r="K382"/>
  <c r="K381"/>
  <c r="K380"/>
  <c r="K379"/>
  <c r="K378"/>
  <c r="K377"/>
  <c r="K376"/>
  <c r="K375"/>
  <c r="K374"/>
  <c r="K373"/>
  <c r="K372"/>
  <c r="K371"/>
  <c r="K370"/>
  <c r="K369"/>
  <c r="K366"/>
  <c r="K363"/>
  <c r="K360"/>
  <c r="K357"/>
  <c r="K354"/>
  <c r="K351"/>
  <c r="K349"/>
  <c r="K348"/>
  <c r="K347"/>
  <c r="K346"/>
  <c r="K345"/>
  <c r="K344"/>
  <c r="K343"/>
  <c r="K342"/>
  <c r="K341"/>
  <c r="K340"/>
  <c r="K339"/>
  <c r="K338"/>
  <c r="K337"/>
  <c r="K336"/>
  <c r="K335"/>
  <c r="K334"/>
  <c r="K333"/>
  <c r="K330"/>
  <c r="K327"/>
  <c r="K324"/>
  <c r="K321"/>
  <c r="K318"/>
  <c r="K315"/>
  <c r="K313"/>
  <c r="K312"/>
  <c r="K311"/>
  <c r="K310"/>
  <c r="K309"/>
  <c r="K308"/>
  <c r="K307"/>
  <c r="K306"/>
  <c r="K305"/>
  <c r="K304"/>
  <c r="K303"/>
  <c r="K302"/>
  <c r="K301"/>
  <c r="K300"/>
  <c r="K299"/>
  <c r="K298"/>
  <c r="K297"/>
  <c r="K294"/>
  <c r="K291"/>
  <c r="K288"/>
  <c r="K285"/>
  <c r="K282"/>
  <c r="K279"/>
  <c r="K277"/>
  <c r="K276"/>
  <c r="K275"/>
  <c r="K274"/>
  <c r="K273"/>
  <c r="K272"/>
  <c r="K271"/>
  <c r="K270"/>
  <c r="K269"/>
  <c r="K268"/>
  <c r="K267"/>
  <c r="K266"/>
  <c r="K265"/>
  <c r="K264"/>
  <c r="K263"/>
  <c r="K262"/>
  <c r="K261"/>
  <c r="K258"/>
  <c r="K255"/>
  <c r="K252"/>
  <c r="K249"/>
  <c r="K246"/>
  <c r="K243"/>
  <c r="K240"/>
  <c r="K239"/>
  <c r="K238"/>
  <c r="K237"/>
  <c r="K236"/>
  <c r="K235"/>
  <c r="K234"/>
  <c r="K233"/>
  <c r="K232"/>
  <c r="K231"/>
  <c r="K230"/>
  <c r="K229"/>
  <c r="K228"/>
  <c r="K227"/>
  <c r="K226"/>
  <c r="K225"/>
  <c r="K224"/>
  <c r="K221"/>
  <c r="K218"/>
  <c r="K215"/>
  <c r="K208"/>
  <c r="K205"/>
  <c r="K202"/>
  <c r="K200"/>
  <c r="K199"/>
  <c r="K198"/>
  <c r="K197"/>
  <c r="K196"/>
  <c r="K195"/>
  <c r="K194"/>
  <c r="K193"/>
  <c r="K192"/>
  <c r="K191"/>
  <c r="K190"/>
  <c r="K189"/>
  <c r="K188"/>
  <c r="K187"/>
  <c r="K186"/>
  <c r="K185"/>
  <c r="K184"/>
  <c r="K181"/>
  <c r="K178"/>
  <c r="K175"/>
  <c r="K168"/>
  <c r="K165"/>
  <c r="K162"/>
  <c r="K160"/>
  <c r="K159"/>
  <c r="K158"/>
  <c r="K157"/>
  <c r="K156"/>
  <c r="K155"/>
  <c r="K154"/>
  <c r="K153"/>
  <c r="K152"/>
  <c r="K151"/>
  <c r="K150"/>
  <c r="K149"/>
  <c r="K148"/>
  <c r="K147"/>
  <c r="K146"/>
  <c r="K145"/>
  <c r="K144"/>
  <c r="K141"/>
  <c r="K138"/>
  <c r="K135"/>
  <c r="K128"/>
  <c r="K125"/>
  <c r="K122"/>
  <c r="K120"/>
  <c r="K119"/>
  <c r="K118"/>
  <c r="K117"/>
  <c r="K116"/>
  <c r="K115"/>
  <c r="K114"/>
  <c r="K113"/>
  <c r="K112"/>
  <c r="K111"/>
  <c r="K110"/>
  <c r="K109"/>
  <c r="K108"/>
  <c r="K107"/>
  <c r="K106"/>
  <c r="K105"/>
  <c r="K104"/>
  <c r="K101"/>
  <c r="K98"/>
  <c r="K95"/>
  <c r="K88"/>
  <c r="K85"/>
  <c r="K82"/>
  <c r="K80"/>
  <c r="K79"/>
  <c r="K78"/>
  <c r="K77"/>
  <c r="K76"/>
  <c r="K75"/>
  <c r="K74"/>
  <c r="K73"/>
  <c r="K72"/>
  <c r="K71"/>
  <c r="K70"/>
  <c r="K69"/>
  <c r="K68"/>
  <c r="K67"/>
  <c r="K66"/>
  <c r="K65"/>
  <c r="K64"/>
  <c r="K61"/>
  <c r="K58"/>
  <c r="K55"/>
  <c r="K48"/>
  <c r="K45"/>
  <c r="K42"/>
  <c r="K40"/>
  <c r="K39"/>
  <c r="K38"/>
  <c r="K37"/>
  <c r="K36"/>
  <c r="K35"/>
  <c r="K34"/>
  <c r="K33"/>
  <c r="K32"/>
  <c r="K31"/>
  <c r="K30"/>
  <c r="K29"/>
  <c r="K28"/>
  <c r="K27"/>
  <c r="K26"/>
  <c r="K25"/>
  <c r="K24"/>
  <c r="K21"/>
  <c r="K18"/>
  <c r="K15"/>
  <c r="K8"/>
  <c r="K5"/>
  <c r="K2"/>
  <c r="D121" i="89"/>
  <c r="D120"/>
  <c r="D119"/>
  <c r="D118"/>
  <c r="D117"/>
  <c r="D116"/>
  <c r="D115"/>
  <c r="D114"/>
  <c r="D113"/>
  <c r="D112"/>
  <c r="D111"/>
  <c r="D110"/>
  <c r="D82"/>
  <c r="D81"/>
  <c r="D80"/>
  <c r="D79"/>
  <c r="D78"/>
  <c r="D77"/>
  <c r="D76"/>
  <c r="D75"/>
  <c r="D74"/>
  <c r="D73"/>
  <c r="D72"/>
  <c r="D71"/>
  <c r="D42"/>
  <c r="D41"/>
  <c r="D40"/>
  <c r="D39"/>
  <c r="D38"/>
  <c r="D37"/>
  <c r="D36"/>
  <c r="D35"/>
  <c r="D34"/>
  <c r="D33"/>
  <c r="D32"/>
  <c r="D31"/>
  <c r="D6" i="82"/>
  <c r="E22"/>
  <c r="F22"/>
  <c r="G22"/>
  <c r="H22"/>
  <c r="I22"/>
  <c r="J22"/>
  <c r="K22"/>
  <c r="L22"/>
  <c r="M22"/>
  <c r="N22"/>
  <c r="O22"/>
  <c r="B1"/>
  <c r="F71" i="28"/>
  <c r="K89" i="31"/>
  <c r="L89" s="1"/>
  <c r="M89"/>
  <c r="U89"/>
  <c r="O89"/>
  <c r="P89" s="1"/>
  <c r="Q89"/>
  <c r="R89" s="1"/>
  <c r="C43" i="61"/>
  <c r="C16"/>
  <c r="C44"/>
  <c r="P63" i="31"/>
  <c r="Q63"/>
  <c r="R63" s="1"/>
  <c r="F68" i="28"/>
  <c r="B99" i="93"/>
  <c r="F90" i="28"/>
  <c r="F65"/>
  <c r="T80" i="31"/>
  <c r="U80"/>
  <c r="V80" s="1"/>
  <c r="W80"/>
  <c r="X80" s="1"/>
  <c r="V43"/>
  <c r="W43" s="1"/>
  <c r="X43" s="1"/>
  <c r="U64"/>
  <c r="V65"/>
  <c r="W65"/>
  <c r="X65" s="1"/>
  <c r="U70"/>
  <c r="U69" s="1"/>
  <c r="J238" i="20" s="1"/>
  <c r="B101" i="93"/>
  <c r="F92" i="28" s="1"/>
  <c r="F70"/>
  <c r="D72" i="25"/>
  <c r="W10"/>
  <c r="O44" i="54" s="1"/>
  <c r="G44" s="1"/>
  <c r="I74" i="31" s="1"/>
  <c r="T74" s="1"/>
  <c r="D81" i="25"/>
  <c r="H39" i="54"/>
  <c r="H179" i="20"/>
  <c r="G23" i="66" s="1"/>
  <c r="P97" i="48"/>
  <c r="X43" i="28"/>
  <c r="C66" i="39"/>
  <c r="X46" i="28"/>
  <c r="R43"/>
  <c r="AC9" i="89"/>
  <c r="AD9" s="1"/>
  <c r="AE9" s="1"/>
  <c r="AF9" s="1"/>
  <c r="AG9" s="1"/>
  <c r="AH9" s="1"/>
  <c r="AI9" s="1"/>
  <c r="AJ9" s="1"/>
  <c r="AK9" s="1"/>
  <c r="AB49"/>
  <c r="AC49" s="1"/>
  <c r="AD49" s="1"/>
  <c r="AE49" s="1"/>
  <c r="AF49" s="1"/>
  <c r="AG49" s="1"/>
  <c r="AH49" s="1"/>
  <c r="AI49" s="1"/>
  <c r="AJ49" s="1"/>
  <c r="AK49" s="1"/>
  <c r="X42" i="28"/>
  <c r="R70"/>
  <c r="G90" i="18"/>
  <c r="I12"/>
  <c r="Q88" i="89" s="1"/>
  <c r="R88" s="1"/>
  <c r="W67" i="28"/>
  <c r="Z88"/>
  <c r="W46"/>
  <c r="Y45"/>
  <c r="X67"/>
  <c r="Q80" i="18"/>
  <c r="G194" i="57"/>
  <c r="C52" i="39"/>
  <c r="W42" i="28"/>
  <c r="Y42"/>
  <c r="R42"/>
  <c r="Z66"/>
  <c r="Z43"/>
  <c r="Z110" s="1"/>
  <c r="R14"/>
  <c r="W45"/>
  <c r="AW86" i="48"/>
  <c r="X92" i="28"/>
  <c r="R88"/>
  <c r="I8" i="18"/>
  <c r="I252" i="20" s="1"/>
  <c r="AR83" i="48"/>
  <c r="P113" i="28"/>
  <c r="R19"/>
  <c r="Z69"/>
  <c r="X69"/>
  <c r="R45"/>
  <c r="J90" i="31"/>
  <c r="K90" s="1"/>
  <c r="L90" s="1"/>
  <c r="M90" s="1"/>
  <c r="T90"/>
  <c r="I240" i="20" s="1"/>
  <c r="R48" i="28"/>
  <c r="R46"/>
  <c r="P205" i="48"/>
  <c r="AR205" s="1"/>
  <c r="Z44" i="28"/>
  <c r="Z68"/>
  <c r="AR90" i="48"/>
  <c r="R90" i="28"/>
  <c r="C31" i="62"/>
  <c r="C119"/>
  <c r="C42"/>
  <c r="C82"/>
  <c r="C239"/>
  <c r="C28"/>
  <c r="N112" i="28"/>
  <c r="I13" i="18"/>
  <c r="B40" i="83"/>
  <c r="Y89" i="28"/>
  <c r="G111"/>
  <c r="R66"/>
  <c r="R71"/>
  <c r="X66"/>
  <c r="G110"/>
  <c r="N110"/>
  <c r="G109"/>
  <c r="X68"/>
  <c r="X93"/>
  <c r="X19"/>
  <c r="G113"/>
  <c r="Y43"/>
  <c r="Y46"/>
  <c r="G89" i="18"/>
  <c r="Z19" i="28"/>
  <c r="G14" i="18"/>
  <c r="D4" i="76"/>
  <c r="AR88" i="48"/>
  <c r="M111" i="28"/>
  <c r="B2" i="39"/>
  <c r="X91" i="28"/>
  <c r="M112"/>
  <c r="G77" i="18"/>
  <c r="X44" i="28"/>
  <c r="W66"/>
  <c r="Y68"/>
  <c r="R92"/>
  <c r="X89"/>
  <c r="Z67"/>
  <c r="X70"/>
  <c r="W70"/>
  <c r="Z46"/>
  <c r="C229" i="62"/>
  <c r="N113" i="28"/>
  <c r="C597" i="62"/>
  <c r="C382"/>
  <c r="C273"/>
  <c r="C122"/>
  <c r="C65"/>
  <c r="C560"/>
  <c r="C29"/>
  <c r="C118"/>
  <c r="C153"/>
  <c r="X45" i="28"/>
  <c r="X14"/>
  <c r="Y14"/>
  <c r="Z14"/>
  <c r="K203" i="48"/>
  <c r="L203" s="1"/>
  <c r="M203" s="1"/>
  <c r="N203" s="1"/>
  <c r="N111" i="28"/>
  <c r="M16" i="61"/>
  <c r="M17" s="1"/>
  <c r="M45" s="1"/>
  <c r="P65" i="31"/>
  <c r="F66" i="28"/>
  <c r="D92" i="25"/>
  <c r="Z70" i="28"/>
  <c r="M30" i="61"/>
  <c r="G15" i="81"/>
  <c r="J30" i="32"/>
  <c r="J32"/>
  <c r="B88" i="48"/>
  <c r="B91"/>
  <c r="O62" i="31"/>
  <c r="P62" s="1"/>
  <c r="Q62" s="1"/>
  <c r="K83"/>
  <c r="L83" s="1"/>
  <c r="M83" s="1"/>
  <c r="R54"/>
  <c r="B35" i="83"/>
  <c r="J137" i="32"/>
  <c r="J139" s="1"/>
  <c r="AA139" s="1"/>
  <c r="H44" i="94"/>
  <c r="U10" i="31"/>
  <c r="I44" i="94" s="1"/>
  <c r="S42" i="28"/>
  <c r="S46"/>
  <c r="AE86" i="48"/>
  <c r="AG86"/>
  <c r="AI86"/>
  <c r="J172"/>
  <c r="J171"/>
  <c r="J170"/>
  <c r="K171"/>
  <c r="K172"/>
  <c r="K170"/>
  <c r="L172"/>
  <c r="L170"/>
  <c r="L171"/>
  <c r="M171"/>
  <c r="N171"/>
  <c r="N170"/>
  <c r="M170"/>
  <c r="M172"/>
  <c r="N172"/>
  <c r="P139" i="32"/>
  <c r="R139"/>
  <c r="P30"/>
  <c r="P141" s="1"/>
  <c r="R141" s="1"/>
  <c r="P28"/>
  <c r="C10" i="39"/>
  <c r="C96"/>
  <c r="C53"/>
  <c r="C60"/>
  <c r="C39"/>
  <c r="C138"/>
  <c r="C36"/>
  <c r="C668" i="62"/>
  <c r="C69"/>
  <c r="P29" i="32"/>
  <c r="P31"/>
  <c r="AF31" s="1"/>
  <c r="P32"/>
  <c r="AF32" s="1"/>
  <c r="P27"/>
  <c r="D71" i="83"/>
  <c r="H7"/>
  <c r="B71" s="1"/>
  <c r="R24" i="32"/>
  <c r="R32"/>
  <c r="R40"/>
  <c r="R48"/>
  <c r="R56"/>
  <c r="R64"/>
  <c r="R72"/>
  <c r="R80"/>
  <c r="R88"/>
  <c r="R96"/>
  <c r="R104"/>
  <c r="R112"/>
  <c r="R120"/>
  <c r="R128"/>
  <c r="R138"/>
  <c r="R25"/>
  <c r="R33"/>
  <c r="R41"/>
  <c r="R49"/>
  <c r="R57"/>
  <c r="R65"/>
  <c r="R73"/>
  <c r="R81"/>
  <c r="R89"/>
  <c r="R97"/>
  <c r="R105"/>
  <c r="R113"/>
  <c r="R121"/>
  <c r="R129"/>
  <c r="B60" i="66"/>
  <c r="D60" s="1"/>
  <c r="G138" i="57"/>
  <c r="G196"/>
  <c r="G193"/>
  <c r="G195"/>
  <c r="AE31" i="32"/>
  <c r="X90" i="28"/>
  <c r="W93"/>
  <c r="W69"/>
  <c r="Z45"/>
  <c r="H11" i="66"/>
  <c r="H10"/>
  <c r="M249" i="20"/>
  <c r="M278" s="1"/>
  <c r="G92" i="18"/>
  <c r="W138" i="32"/>
  <c r="W17" i="28"/>
  <c r="R17"/>
  <c r="W14"/>
  <c r="G9" i="89"/>
  <c r="H9" s="1"/>
  <c r="I9" s="1"/>
  <c r="J9" s="1"/>
  <c r="K9" s="1"/>
  <c r="L9" s="1"/>
  <c r="M9" s="1"/>
  <c r="N9" s="1"/>
  <c r="O9" s="1"/>
  <c r="AE27" i="32"/>
  <c r="AE30"/>
  <c r="AE32"/>
  <c r="J71" i="28"/>
  <c r="T71" s="1"/>
  <c r="S71"/>
  <c r="G84" i="18"/>
  <c r="F40" i="78"/>
  <c r="B38" i="83"/>
  <c r="B243" i="62"/>
  <c r="B380" s="1"/>
  <c r="AF11" i="32"/>
  <c r="V11"/>
  <c r="J10" i="18"/>
  <c r="K10"/>
  <c r="L10" s="1"/>
  <c r="M10" s="1"/>
  <c r="W10" i="32"/>
  <c r="W87" i="28"/>
  <c r="R65"/>
  <c r="R109" s="1"/>
  <c r="X65"/>
  <c r="Y87"/>
  <c r="P95"/>
  <c r="Y65"/>
  <c r="W15"/>
  <c r="X16"/>
  <c r="X15"/>
  <c r="Y16"/>
  <c r="Z16"/>
  <c r="Z15"/>
  <c r="AE29" i="32"/>
  <c r="S14" i="28"/>
  <c r="J14"/>
  <c r="W393" i="39"/>
  <c r="U278"/>
  <c r="O40" i="78"/>
  <c r="T42" i="31"/>
  <c r="E29" i="78"/>
  <c r="E32" s="1"/>
  <c r="P40"/>
  <c r="S28" i="31"/>
  <c r="S34"/>
  <c r="S86" s="1"/>
  <c r="R135" i="32"/>
  <c r="R18"/>
  <c r="R26"/>
  <c r="R34"/>
  <c r="R42"/>
  <c r="R50"/>
  <c r="R58"/>
  <c r="R66"/>
  <c r="R74"/>
  <c r="R82"/>
  <c r="R90"/>
  <c r="R98"/>
  <c r="R106"/>
  <c r="R114"/>
  <c r="R122"/>
  <c r="R130"/>
  <c r="R19"/>
  <c r="R27"/>
  <c r="R35"/>
  <c r="R43"/>
  <c r="R51"/>
  <c r="R59"/>
  <c r="R67"/>
  <c r="R75"/>
  <c r="R83"/>
  <c r="R91"/>
  <c r="R99"/>
  <c r="R107"/>
  <c r="R115"/>
  <c r="R123"/>
  <c r="R131"/>
  <c r="P6" i="22"/>
  <c r="AD21" i="31"/>
  <c r="AF8" i="32"/>
  <c r="AG20" s="1"/>
  <c r="M278" i="39"/>
  <c r="B460" i="62"/>
  <c r="O134" i="32"/>
  <c r="U134"/>
  <c r="V134"/>
  <c r="H146" i="20"/>
  <c r="P146" i="48" s="1"/>
  <c r="H156" i="20"/>
  <c r="Q156" s="1"/>
  <c r="H142"/>
  <c r="H158"/>
  <c r="H155"/>
  <c r="H140"/>
  <c r="H141"/>
  <c r="H192"/>
  <c r="P190" i="48" s="1"/>
  <c r="O109" i="28"/>
  <c r="S15"/>
  <c r="R15"/>
  <c r="Z87"/>
  <c r="H13" i="66"/>
  <c r="I13" s="1"/>
  <c r="F27" i="101"/>
  <c r="W43" i="28"/>
  <c r="R140" i="39"/>
  <c r="B2" i="62"/>
  <c r="W19" i="32"/>
  <c r="W20"/>
  <c r="U71" i="62"/>
  <c r="U38" i="39" s="1"/>
  <c r="X79" i="20"/>
  <c r="U79"/>
  <c r="W79"/>
  <c r="Y79"/>
  <c r="S79"/>
  <c r="T71" i="62"/>
  <c r="T38" i="39" s="1"/>
  <c r="H22" i="26"/>
  <c r="O71" i="62"/>
  <c r="O38" i="39" s="1"/>
  <c r="V79" i="20"/>
  <c r="S71" i="62"/>
  <c r="S38" i="39" s="1"/>
  <c r="M71" i="62"/>
  <c r="M38" i="39" s="1"/>
  <c r="R79" i="20"/>
  <c r="Q71" i="62"/>
  <c r="Q38" i="39" s="1"/>
  <c r="AC79" i="20"/>
  <c r="R71" i="62"/>
  <c r="R38" i="39" s="1"/>
  <c r="Z79" i="20"/>
  <c r="Q79" i="48"/>
  <c r="AA79" i="20"/>
  <c r="V31" i="62"/>
  <c r="V15" i="39" s="1"/>
  <c r="O90" i="22"/>
  <c r="N71" i="62"/>
  <c r="N38" i="39" s="1"/>
  <c r="L71" i="62"/>
  <c r="L38" i="39" s="1"/>
  <c r="W31" i="62"/>
  <c r="W15" i="39" s="1"/>
  <c r="T79" i="20"/>
  <c r="P71" i="62"/>
  <c r="P38" i="39" s="1"/>
  <c r="AB79" i="20"/>
  <c r="H10" i="94"/>
  <c r="AB19" i="32"/>
  <c r="H53" i="20"/>
  <c r="H45"/>
  <c r="T33" i="31"/>
  <c r="G22" i="28" s="1"/>
  <c r="J169" i="48"/>
  <c r="K169"/>
  <c r="L169"/>
  <c r="M169"/>
  <c r="N169"/>
  <c r="R43" i="31"/>
  <c r="M40"/>
  <c r="Q40"/>
  <c r="R40"/>
  <c r="T15" i="28"/>
  <c r="Z65"/>
  <c r="B56" i="39"/>
  <c r="C39" i="62"/>
  <c r="C598"/>
  <c r="C151"/>
  <c r="C107"/>
  <c r="C527"/>
  <c r="C307"/>
  <c r="C380"/>
  <c r="C158"/>
  <c r="C599"/>
  <c r="C227"/>
  <c r="C125"/>
  <c r="C215"/>
  <c r="C74"/>
  <c r="C310"/>
  <c r="C226"/>
  <c r="C138"/>
  <c r="C27"/>
  <c r="C184"/>
  <c r="C488"/>
  <c r="C670"/>
  <c r="C73"/>
  <c r="C40"/>
  <c r="C152"/>
  <c r="C79"/>
  <c r="C451"/>
  <c r="C38"/>
  <c r="C669"/>
  <c r="C113"/>
  <c r="C68"/>
  <c r="C452"/>
  <c r="C524"/>
  <c r="C112"/>
  <c r="C162"/>
  <c r="C147"/>
  <c r="C187"/>
  <c r="C85"/>
  <c r="C634"/>
  <c r="C454"/>
  <c r="C24"/>
  <c r="C45"/>
  <c r="C37"/>
  <c r="C70"/>
  <c r="C491"/>
  <c r="C346"/>
  <c r="C72"/>
  <c r="C232"/>
  <c r="C146"/>
  <c r="C345"/>
  <c r="C67"/>
  <c r="C36"/>
  <c r="C218"/>
  <c r="C32"/>
  <c r="C5"/>
  <c r="C98"/>
  <c r="C224"/>
  <c r="C185"/>
  <c r="C106"/>
  <c r="C228"/>
  <c r="C193"/>
  <c r="C490"/>
  <c r="C145"/>
  <c r="C34"/>
  <c r="C165"/>
  <c r="C562"/>
  <c r="C78"/>
  <c r="C271"/>
  <c r="C178"/>
  <c r="C150"/>
  <c r="C71"/>
  <c r="C309"/>
  <c r="C110"/>
  <c r="C561"/>
  <c r="C148"/>
  <c r="C108"/>
  <c r="C205"/>
  <c r="C80"/>
  <c r="C596"/>
  <c r="C191"/>
  <c r="C230"/>
  <c r="C95"/>
  <c r="C460"/>
  <c r="C626" s="1"/>
  <c r="C105"/>
  <c r="C77"/>
  <c r="C18"/>
  <c r="C58"/>
  <c r="C671"/>
  <c r="C26"/>
  <c r="C525"/>
  <c r="C111"/>
  <c r="C526"/>
  <c r="C15"/>
  <c r="Q49" i="89"/>
  <c r="R49" s="1"/>
  <c r="S49" s="1"/>
  <c r="T49" s="1"/>
  <c r="U49" s="1"/>
  <c r="V49" s="1"/>
  <c r="W49" s="1"/>
  <c r="X49" s="1"/>
  <c r="Y49" s="1"/>
  <c r="Z49" s="1"/>
  <c r="T9"/>
  <c r="U9" s="1"/>
  <c r="V9" s="1"/>
  <c r="W9" s="1"/>
  <c r="X9" s="1"/>
  <c r="Y9" s="1"/>
  <c r="Z9" s="1"/>
  <c r="AL46" i="48"/>
  <c r="C159" i="62"/>
  <c r="C55"/>
  <c r="C199"/>
  <c r="C243"/>
  <c r="C340" s="1"/>
  <c r="C192"/>
  <c r="C30"/>
  <c r="C272"/>
  <c r="C233"/>
  <c r="C633"/>
  <c r="C632"/>
  <c r="C149"/>
  <c r="C190"/>
  <c r="C33"/>
  <c r="C308"/>
  <c r="C225"/>
  <c r="C453"/>
  <c r="C379"/>
  <c r="C76"/>
  <c r="N95" i="28"/>
  <c r="C144" i="62"/>
  <c r="C186"/>
  <c r="C202"/>
  <c r="C188"/>
  <c r="C381"/>
  <c r="C563"/>
  <c r="C189"/>
  <c r="C104"/>
  <c r="C635"/>
  <c r="C66"/>
  <c r="C64"/>
  <c r="C198"/>
  <c r="C343"/>
  <c r="C135"/>
  <c r="C109"/>
  <c r="C274"/>
  <c r="C35"/>
  <c r="C231"/>
  <c r="C175"/>
  <c r="C25"/>
  <c r="C238"/>
  <c r="C75"/>
  <c r="C489"/>
  <c r="H14" i="66"/>
  <c r="U15" i="28"/>
  <c r="S65"/>
  <c r="H144" i="57"/>
  <c r="B515" i="62"/>
  <c r="O73" i="28"/>
  <c r="N73"/>
  <c r="I14" i="18"/>
  <c r="J12"/>
  <c r="K12"/>
  <c r="V129" i="32"/>
  <c r="AB88" i="89"/>
  <c r="AC88" s="1"/>
  <c r="J13" i="18"/>
  <c r="K13" s="1"/>
  <c r="F88" i="89"/>
  <c r="G88" s="1"/>
  <c r="J8" i="18"/>
  <c r="J252" i="20" s="1"/>
  <c r="R203" i="48" s="1"/>
  <c r="C36" i="98"/>
  <c r="C24" s="1"/>
  <c r="Q203" i="48"/>
  <c r="X203" s="1"/>
  <c r="H11" i="94"/>
  <c r="S43" i="28"/>
  <c r="O135" i="32"/>
  <c r="P135" s="1"/>
  <c r="AA138"/>
  <c r="AB138"/>
  <c r="P141" i="39"/>
  <c r="T141"/>
  <c r="R141"/>
  <c r="K13" i="78"/>
  <c r="K23" s="1"/>
  <c r="K29"/>
  <c r="K32" s="1"/>
  <c r="J29"/>
  <c r="J32" s="1"/>
  <c r="J19" i="57"/>
  <c r="B383" i="62"/>
  <c r="S278" i="39"/>
  <c r="R279"/>
  <c r="N279"/>
  <c r="M280"/>
  <c r="L140"/>
  <c r="H73" i="28"/>
  <c r="O95"/>
  <c r="M109"/>
  <c r="M95"/>
  <c r="V393" i="39"/>
  <c r="B302" i="62"/>
  <c r="Z135" i="32"/>
  <c r="AD135"/>
  <c r="T142" i="39"/>
  <c r="I11" i="102"/>
  <c r="I13"/>
  <c r="I15"/>
  <c r="I17"/>
  <c r="I19"/>
  <c r="I21"/>
  <c r="I23"/>
  <c r="I25"/>
  <c r="I27"/>
  <c r="I29"/>
  <c r="I31"/>
  <c r="I33"/>
  <c r="I35"/>
  <c r="I37"/>
  <c r="I39"/>
  <c r="I41"/>
  <c r="I43"/>
  <c r="I45"/>
  <c r="I47"/>
  <c r="R87" i="28"/>
  <c r="B629" i="62"/>
  <c r="AR203" i="48"/>
  <c r="T43" i="28"/>
  <c r="P134" i="32"/>
  <c r="AN203" i="48"/>
  <c r="AO203" s="1"/>
  <c r="S19" i="28"/>
  <c r="S17"/>
  <c r="J17"/>
  <c r="K17"/>
  <c r="J88"/>
  <c r="K88" s="1"/>
  <c r="S88"/>
  <c r="S88" i="89"/>
  <c r="T88" s="1"/>
  <c r="L15" i="28"/>
  <c r="V15" s="1"/>
  <c r="B38" i="62"/>
  <c r="B24"/>
  <c r="W65" i="28"/>
  <c r="F29" i="78"/>
  <c r="F32" s="1"/>
  <c r="S29"/>
  <c r="S32" s="1"/>
  <c r="R29"/>
  <c r="R32" s="1"/>
  <c r="V395" i="39"/>
  <c r="U88" i="28"/>
  <c r="T88"/>
  <c r="C399" i="62"/>
  <c r="C478"/>
  <c r="B71"/>
  <c r="C305"/>
  <c r="C518"/>
  <c r="C252"/>
  <c r="J135" i="32"/>
  <c r="B189" i="62"/>
  <c r="B221"/>
  <c r="B159"/>
  <c r="T14" i="28"/>
  <c r="K14"/>
  <c r="Y15"/>
  <c r="H109"/>
  <c r="H95"/>
  <c r="AB95" i="89"/>
  <c r="W134" i="28"/>
  <c r="W16"/>
  <c r="L14"/>
  <c r="B120" i="62"/>
  <c r="B112"/>
  <c r="N109" i="28"/>
  <c r="X133" s="1"/>
  <c r="X87"/>
  <c r="L43"/>
  <c r="V43"/>
  <c r="P109"/>
  <c r="P73"/>
  <c r="R134"/>
  <c r="B61" i="39"/>
  <c r="B45"/>
  <c r="B63"/>
  <c r="B106"/>
  <c r="C564" i="62"/>
  <c r="AF30" i="32"/>
  <c r="W30"/>
  <c r="AA32"/>
  <c r="AB32"/>
  <c r="W32"/>
  <c r="AF27"/>
  <c r="AA27"/>
  <c r="AB27"/>
  <c r="W27"/>
  <c r="AA29"/>
  <c r="AB29"/>
  <c r="W29"/>
  <c r="AF29"/>
  <c r="AF141" s="1"/>
  <c r="I109" i="28"/>
  <c r="S87"/>
  <c r="V14"/>
  <c r="U43"/>
  <c r="S16"/>
  <c r="U14"/>
  <c r="T16"/>
  <c r="T87"/>
  <c r="V34" i="32"/>
  <c r="T42" i="28"/>
  <c r="U42"/>
  <c r="L42"/>
  <c r="S134"/>
  <c r="S18"/>
  <c r="I21"/>
  <c r="S45"/>
  <c r="S92"/>
  <c r="J92"/>
  <c r="T92" s="1"/>
  <c r="H14" i="94"/>
  <c r="P13" i="78"/>
  <c r="P23" s="1"/>
  <c r="U87" i="28"/>
  <c r="L87"/>
  <c r="V87" s="1"/>
  <c r="V42"/>
  <c r="C441" i="62"/>
  <c r="C446"/>
  <c r="G28" i="76"/>
  <c r="P156" i="48"/>
  <c r="AA30" i="32"/>
  <c r="AB30"/>
  <c r="J141"/>
  <c r="AA141" s="1"/>
  <c r="H247" i="20" s="1"/>
  <c r="H258" s="1"/>
  <c r="I258" s="1"/>
  <c r="B11" i="39"/>
  <c r="B7"/>
  <c r="B110"/>
  <c r="B117"/>
  <c r="B88"/>
  <c r="B39"/>
  <c r="B21"/>
  <c r="B54"/>
  <c r="B119"/>
  <c r="B76"/>
  <c r="B118"/>
  <c r="G33" i="94"/>
  <c r="H13"/>
  <c r="I13" s="1"/>
  <c r="B665" i="62"/>
  <c r="B480"/>
  <c r="B382"/>
  <c r="B275"/>
  <c r="B268"/>
  <c r="X110" i="28"/>
  <c r="B74" i="39"/>
  <c r="B23"/>
  <c r="B12"/>
  <c r="B94"/>
  <c r="S60" i="31"/>
  <c r="I76" i="20"/>
  <c r="N67" i="62" s="1"/>
  <c r="N34" i="39" s="1"/>
  <c r="B129"/>
  <c r="B24"/>
  <c r="B92"/>
  <c r="B97"/>
  <c r="T17" i="28"/>
  <c r="Q140" i="20"/>
  <c r="J46" i="48"/>
  <c r="I46" i="20"/>
  <c r="V89" i="31"/>
  <c r="W89"/>
  <c r="X89" s="1"/>
  <c r="U94"/>
  <c r="U93"/>
  <c r="U88"/>
  <c r="V88" s="1"/>
  <c r="V64"/>
  <c r="W64"/>
  <c r="E40" i="78"/>
  <c r="H40"/>
  <c r="L40"/>
  <c r="Q40"/>
  <c r="G40"/>
  <c r="K40"/>
  <c r="U67" i="31"/>
  <c r="V67"/>
  <c r="N88"/>
  <c r="O88" s="1"/>
  <c r="P88" s="1"/>
  <c r="Q88" s="1"/>
  <c r="R88" s="1"/>
  <c r="J40" i="78"/>
  <c r="N40"/>
  <c r="S40"/>
  <c r="I40"/>
  <c r="M40"/>
  <c r="R40"/>
  <c r="W88" i="28"/>
  <c r="W92"/>
  <c r="W89"/>
  <c r="Y71"/>
  <c r="W48"/>
  <c r="Z42"/>
  <c r="U51" i="44"/>
  <c r="U18" i="28"/>
  <c r="T18"/>
  <c r="D17" i="78"/>
  <c r="G3"/>
  <c r="S3"/>
  <c r="O3"/>
  <c r="U16" i="28"/>
  <c r="C363" i="62"/>
  <c r="C416"/>
  <c r="C299"/>
  <c r="C288"/>
  <c r="C420"/>
  <c r="B147"/>
  <c r="B34"/>
  <c r="B188"/>
  <c r="B8"/>
  <c r="B108"/>
  <c r="B29"/>
  <c r="B109"/>
  <c r="B151"/>
  <c r="B175"/>
  <c r="G13" i="76"/>
  <c r="P140" i="48"/>
  <c r="B601" i="62"/>
  <c r="B565"/>
  <c r="B527"/>
  <c r="I66" i="28"/>
  <c r="I110" s="1"/>
  <c r="H110"/>
  <c r="I17" i="18"/>
  <c r="Q13" i="78"/>
  <c r="Q23" s="1"/>
  <c r="S13"/>
  <c r="S23" s="1"/>
  <c r="N13"/>
  <c r="N23" s="1"/>
  <c r="V256" i="39"/>
  <c r="U280"/>
  <c r="O278"/>
  <c r="M113" i="28"/>
  <c r="U12" i="32"/>
  <c r="W63" i="31"/>
  <c r="K11" i="18"/>
  <c r="L11" s="1"/>
  <c r="AL20" i="48"/>
  <c r="I20" i="20"/>
  <c r="J20"/>
  <c r="R20" i="48" s="1"/>
  <c r="J20"/>
  <c r="AE20"/>
  <c r="G40" i="54"/>
  <c r="G46" s="1"/>
  <c r="G41"/>
  <c r="G47" s="1"/>
  <c r="S90" i="28"/>
  <c r="J90"/>
  <c r="T90" s="1"/>
  <c r="Q54" i="48"/>
  <c r="J54"/>
  <c r="AL54"/>
  <c r="AE54"/>
  <c r="AF28" i="32"/>
  <c r="W28"/>
  <c r="V141"/>
  <c r="AA28"/>
  <c r="AA31"/>
  <c r="AB31"/>
  <c r="W31"/>
  <c r="X111" i="28"/>
  <c r="U90" i="31"/>
  <c r="C17" i="61"/>
  <c r="C45"/>
  <c r="L80" i="31"/>
  <c r="J88"/>
  <c r="K88"/>
  <c r="B64" i="93"/>
  <c r="P83" i="31"/>
  <c r="L29" i="78"/>
  <c r="L32" s="1"/>
  <c r="Y88" i="28"/>
  <c r="Y90"/>
  <c r="B261" i="62"/>
  <c r="V83" i="31"/>
  <c r="W83" s="1"/>
  <c r="X83" s="1"/>
  <c r="B441" i="62"/>
  <c r="W43" i="61"/>
  <c r="K62" i="31"/>
  <c r="L62"/>
  <c r="B98" i="93"/>
  <c r="F89" i="28"/>
  <c r="W68"/>
  <c r="W90"/>
  <c r="W29" i="61"/>
  <c r="K64" i="31"/>
  <c r="L64" s="1"/>
  <c r="M64" s="1"/>
  <c r="G32" i="94"/>
  <c r="H12"/>
  <c r="B559" i="62"/>
  <c r="B589"/>
  <c r="C535"/>
  <c r="G31" i="94"/>
  <c r="B447" i="62"/>
  <c r="B390"/>
  <c r="B443"/>
  <c r="B291"/>
  <c r="Y44" i="28"/>
  <c r="F64" i="18"/>
  <c r="C449" i="62"/>
  <c r="C264"/>
  <c r="C337"/>
  <c r="C421"/>
  <c r="C315"/>
  <c r="C455"/>
  <c r="C551"/>
  <c r="C487"/>
  <c r="B344"/>
  <c r="B321"/>
  <c r="B373"/>
  <c r="B285"/>
  <c r="B258"/>
  <c r="B366"/>
  <c r="B252"/>
  <c r="B334"/>
  <c r="B399"/>
  <c r="B339"/>
  <c r="B105" i="39"/>
  <c r="B278"/>
  <c r="B140"/>
  <c r="W44" i="28"/>
  <c r="Q74" i="18"/>
  <c r="G91"/>
  <c r="G93" s="1"/>
  <c r="G94" s="1"/>
  <c r="Y18" i="28"/>
  <c r="R18"/>
  <c r="W18"/>
  <c r="Y19"/>
  <c r="W19"/>
  <c r="W21" s="1"/>
  <c r="I67"/>
  <c r="J67" s="1"/>
  <c r="R67"/>
  <c r="I68"/>
  <c r="R68"/>
  <c r="H112"/>
  <c r="H113"/>
  <c r="M110"/>
  <c r="M73"/>
  <c r="Y66"/>
  <c r="Y67"/>
  <c r="O111"/>
  <c r="R89"/>
  <c r="Z91"/>
  <c r="Y91"/>
  <c r="W91"/>
  <c r="W113" s="1"/>
  <c r="Y92"/>
  <c r="Z92"/>
  <c r="G115"/>
  <c r="R93"/>
  <c r="Y93"/>
  <c r="C130" i="39"/>
  <c r="C125"/>
  <c r="C109"/>
  <c r="C6"/>
  <c r="C107"/>
  <c r="C119"/>
  <c r="C132"/>
  <c r="C105"/>
  <c r="C140"/>
  <c r="C210" s="1"/>
  <c r="C81"/>
  <c r="C88"/>
  <c r="C126"/>
  <c r="C43"/>
  <c r="C28"/>
  <c r="C19"/>
  <c r="C59"/>
  <c r="C9"/>
  <c r="C102"/>
  <c r="C113"/>
  <c r="C76"/>
  <c r="C99"/>
  <c r="C50"/>
  <c r="C77"/>
  <c r="C121"/>
  <c r="C32"/>
  <c r="C25"/>
  <c r="C97"/>
  <c r="C129"/>
  <c r="C65"/>
  <c r="C87"/>
  <c r="C47"/>
  <c r="C18"/>
  <c r="C27"/>
  <c r="M115" i="28"/>
  <c r="O115"/>
  <c r="C35" i="39"/>
  <c r="C84"/>
  <c r="C29"/>
  <c r="C71"/>
  <c r="C100"/>
  <c r="C34"/>
  <c r="C5"/>
  <c r="C11"/>
  <c r="C40"/>
  <c r="C120"/>
  <c r="C16"/>
  <c r="C38"/>
  <c r="C67"/>
  <c r="C8"/>
  <c r="C278"/>
  <c r="C137"/>
  <c r="C69"/>
  <c r="C110"/>
  <c r="C61"/>
  <c r="C89"/>
  <c r="C12"/>
  <c r="C3"/>
  <c r="C55"/>
  <c r="C42"/>
  <c r="C15"/>
  <c r="C57"/>
  <c r="C122"/>
  <c r="C127"/>
  <c r="C68"/>
  <c r="C23"/>
  <c r="C64"/>
  <c r="C124"/>
  <c r="C112"/>
  <c r="C17"/>
  <c r="C91"/>
  <c r="C13"/>
  <c r="C51"/>
  <c r="C135"/>
  <c r="C101"/>
  <c r="C37"/>
  <c r="C62"/>
  <c r="C31"/>
  <c r="C74"/>
  <c r="C98"/>
  <c r="C79"/>
  <c r="C20"/>
  <c r="C70"/>
  <c r="C7"/>
  <c r="C46"/>
  <c r="C56"/>
  <c r="C139"/>
  <c r="C95"/>
  <c r="C116"/>
  <c r="C80"/>
  <c r="C75"/>
  <c r="C44"/>
  <c r="C108"/>
  <c r="C115"/>
  <c r="C14"/>
  <c r="C85"/>
  <c r="C117"/>
  <c r="C94"/>
  <c r="C30"/>
  <c r="C33"/>
  <c r="C73"/>
  <c r="C21"/>
  <c r="C111"/>
  <c r="C114"/>
  <c r="C49"/>
  <c r="C123"/>
  <c r="M60" i="66"/>
  <c r="H12"/>
  <c r="D41"/>
  <c r="A25" i="86" s="1"/>
  <c r="R20" i="32"/>
  <c r="R28"/>
  <c r="R36"/>
  <c r="R44"/>
  <c r="R52"/>
  <c r="R60"/>
  <c r="R68"/>
  <c r="R76"/>
  <c r="R84"/>
  <c r="R92"/>
  <c r="R100"/>
  <c r="R108"/>
  <c r="R116"/>
  <c r="R124"/>
  <c r="R132"/>
  <c r="R21"/>
  <c r="R29"/>
  <c r="R37"/>
  <c r="R45"/>
  <c r="R53"/>
  <c r="R61"/>
  <c r="R69"/>
  <c r="R77"/>
  <c r="R85"/>
  <c r="R93"/>
  <c r="R101"/>
  <c r="R109"/>
  <c r="R117"/>
  <c r="R125"/>
  <c r="R133"/>
  <c r="R137"/>
  <c r="R22"/>
  <c r="R30"/>
  <c r="R38"/>
  <c r="R46"/>
  <c r="R54"/>
  <c r="R62"/>
  <c r="R70"/>
  <c r="R78"/>
  <c r="R86"/>
  <c r="R94"/>
  <c r="R102"/>
  <c r="R110"/>
  <c r="R118"/>
  <c r="R126"/>
  <c r="R134"/>
  <c r="R23"/>
  <c r="R31"/>
  <c r="R39"/>
  <c r="R47"/>
  <c r="R55"/>
  <c r="R63"/>
  <c r="R71"/>
  <c r="R79"/>
  <c r="R87"/>
  <c r="R95"/>
  <c r="R103"/>
  <c r="R111"/>
  <c r="R119"/>
  <c r="R127"/>
  <c r="G159" i="57"/>
  <c r="R44" i="28"/>
  <c r="R47"/>
  <c r="R114" s="1"/>
  <c r="Z47"/>
  <c r="X48"/>
  <c r="G78" i="18"/>
  <c r="X64" i="31"/>
  <c r="J239" i="20"/>
  <c r="W134" i="32"/>
  <c r="W67" i="31"/>
  <c r="X67"/>
  <c r="L12" i="18"/>
  <c r="U88" i="89"/>
  <c r="V88" s="1"/>
  <c r="M31" i="61"/>
  <c r="H40" i="54"/>
  <c r="H41"/>
  <c r="M84" i="31"/>
  <c r="W91"/>
  <c r="X91"/>
  <c r="V90"/>
  <c r="X63"/>
  <c r="V78"/>
  <c r="W78"/>
  <c r="X78"/>
  <c r="O45" i="54"/>
  <c r="H45" s="1"/>
  <c r="V94" i="31"/>
  <c r="W94"/>
  <c r="X94"/>
  <c r="M80"/>
  <c r="L88"/>
  <c r="M88" s="1"/>
  <c r="W44" i="61"/>
  <c r="W30"/>
  <c r="W17"/>
  <c r="W31" s="1"/>
  <c r="I40" i="54"/>
  <c r="I41"/>
  <c r="G45"/>
  <c r="Q83" i="31"/>
  <c r="R83"/>
  <c r="M44" i="61"/>
  <c r="V70" i="31"/>
  <c r="W70" s="1"/>
  <c r="P90"/>
  <c r="O64"/>
  <c r="R80" i="18"/>
  <c r="R28" i="20" s="1"/>
  <c r="F95" i="89"/>
  <c r="Q91" i="18"/>
  <c r="K65" i="28"/>
  <c r="J109"/>
  <c r="L65"/>
  <c r="L109" s="1"/>
  <c r="T65"/>
  <c r="AE28" i="32"/>
  <c r="AG28"/>
  <c r="AF20" i="48"/>
  <c r="AM20"/>
  <c r="W50"/>
  <c r="W88"/>
  <c r="T14" i="81"/>
  <c r="O13" i="22"/>
  <c r="B44" i="83" s="1"/>
  <c r="C292" i="39"/>
  <c r="C368"/>
  <c r="C303"/>
  <c r="C387"/>
  <c r="C333"/>
  <c r="C364"/>
  <c r="C320"/>
  <c r="C280"/>
  <c r="C401"/>
  <c r="C291"/>
  <c r="C340"/>
  <c r="C381"/>
  <c r="C360"/>
  <c r="C283"/>
  <c r="C293"/>
  <c r="C413"/>
  <c r="C334"/>
  <c r="C395"/>
  <c r="C412"/>
  <c r="C370"/>
  <c r="C294"/>
  <c r="C375"/>
  <c r="C357"/>
  <c r="C286"/>
  <c r="C363"/>
  <c r="C315"/>
  <c r="C351"/>
  <c r="C361"/>
  <c r="C354"/>
  <c r="C407"/>
  <c r="C314"/>
  <c r="C403"/>
  <c r="C405"/>
  <c r="C358"/>
  <c r="C377"/>
  <c r="C326"/>
  <c r="C386"/>
  <c r="C297"/>
  <c r="C285"/>
  <c r="C338"/>
  <c r="C384"/>
  <c r="C328"/>
  <c r="C356"/>
  <c r="C288"/>
  <c r="C324"/>
  <c r="C337"/>
  <c r="C282"/>
  <c r="C309"/>
  <c r="C296"/>
  <c r="C376"/>
  <c r="C279"/>
  <c r="C379"/>
  <c r="C323"/>
  <c r="C313"/>
  <c r="C317"/>
  <c r="C298"/>
  <c r="C348"/>
  <c r="C392"/>
  <c r="C322"/>
  <c r="C400"/>
  <c r="C372"/>
  <c r="C399"/>
  <c r="C371"/>
  <c r="C311"/>
  <c r="C299"/>
  <c r="C289"/>
  <c r="C310"/>
  <c r="C388"/>
  <c r="C335"/>
  <c r="C329"/>
  <c r="C287"/>
  <c r="C345"/>
  <c r="C302"/>
  <c r="C406"/>
  <c r="C393"/>
  <c r="C316"/>
  <c r="C308"/>
  <c r="C394"/>
  <c r="C353"/>
  <c r="C352"/>
  <c r="C414"/>
  <c r="C305"/>
  <c r="C341"/>
  <c r="C339"/>
  <c r="C389"/>
  <c r="C290"/>
  <c r="C366"/>
  <c r="C350"/>
  <c r="C304"/>
  <c r="C312"/>
  <c r="C397"/>
  <c r="C301"/>
  <c r="C321"/>
  <c r="C284"/>
  <c r="C336"/>
  <c r="C382"/>
  <c r="C307"/>
  <c r="C415"/>
  <c r="C300"/>
  <c r="C346"/>
  <c r="C342"/>
  <c r="C319"/>
  <c r="C331"/>
  <c r="S67" i="28"/>
  <c r="B374" i="39"/>
  <c r="B321"/>
  <c r="B331"/>
  <c r="B285"/>
  <c r="B383"/>
  <c r="B388"/>
  <c r="B385"/>
  <c r="B414"/>
  <c r="B295"/>
  <c r="B404"/>
  <c r="B379"/>
  <c r="B378"/>
  <c r="B334"/>
  <c r="B289"/>
  <c r="B282"/>
  <c r="B292"/>
  <c r="B377"/>
  <c r="B368"/>
  <c r="B393"/>
  <c r="B316"/>
  <c r="B345"/>
  <c r="B403"/>
  <c r="B348"/>
  <c r="B339"/>
  <c r="B330"/>
  <c r="S44" i="28"/>
  <c r="C274" i="39"/>
  <c r="C187"/>
  <c r="C148"/>
  <c r="C172"/>
  <c r="C208"/>
  <c r="C264"/>
  <c r="C150"/>
  <c r="C168"/>
  <c r="C250"/>
  <c r="C188"/>
  <c r="C146"/>
  <c r="C206"/>
  <c r="C179"/>
  <c r="C249"/>
  <c r="C170"/>
  <c r="C271"/>
  <c r="C190"/>
  <c r="C255"/>
  <c r="C268"/>
  <c r="C226"/>
  <c r="C173"/>
  <c r="C227"/>
  <c r="C253"/>
  <c r="C209"/>
  <c r="C196"/>
  <c r="C222"/>
  <c r="C143"/>
  <c r="C225"/>
  <c r="C273"/>
  <c r="C176"/>
  <c r="C239"/>
  <c r="C228"/>
  <c r="C165"/>
  <c r="C163"/>
  <c r="Y110" i="28"/>
  <c r="J68"/>
  <c r="B188" i="39"/>
  <c r="B205"/>
  <c r="I77" i="31"/>
  <c r="I45" i="54"/>
  <c r="J45" s="1"/>
  <c r="K45" s="1"/>
  <c r="W45" i="61"/>
  <c r="W90" i="31"/>
  <c r="V69"/>
  <c r="K238" i="20" s="1"/>
  <c r="W88" i="89"/>
  <c r="X88" s="1"/>
  <c r="M12" i="18"/>
  <c r="Y88" i="89"/>
  <c r="Z88" s="1"/>
  <c r="V93" i="31"/>
  <c r="S80" i="18"/>
  <c r="Q111" i="89" s="1"/>
  <c r="V65" i="28"/>
  <c r="U65"/>
  <c r="K109"/>
  <c r="T67"/>
  <c r="T44"/>
  <c r="K67"/>
  <c r="U67" s="1"/>
  <c r="W93" i="31"/>
  <c r="J77"/>
  <c r="K77" s="1"/>
  <c r="L77" s="1"/>
  <c r="M77" s="1"/>
  <c r="U44" i="28"/>
  <c r="X93" i="31"/>
  <c r="F92" i="18"/>
  <c r="G84" i="22"/>
  <c r="I20" i="103"/>
  <c r="L20"/>
  <c r="H20"/>
  <c r="G20"/>
  <c r="N20"/>
  <c r="O5"/>
  <c r="R5" s="1"/>
  <c r="F20"/>
  <c r="O20" s="1"/>
  <c r="R20" s="1"/>
  <c r="D25" s="1"/>
  <c r="D26" s="1"/>
  <c r="F26" s="1"/>
  <c r="G26" s="1"/>
  <c r="P20"/>
  <c r="E25" s="1"/>
  <c r="E26" s="1"/>
  <c r="Q20"/>
  <c r="P19"/>
  <c r="Q19" s="1"/>
  <c r="R19" s="1"/>
  <c r="P11"/>
  <c r="Q11"/>
  <c r="R11" s="1"/>
  <c r="P17"/>
  <c r="Q17"/>
  <c r="R17"/>
  <c r="P9"/>
  <c r="Q9"/>
  <c r="R9"/>
  <c r="P15"/>
  <c r="Q15" s="1"/>
  <c r="R15" s="1"/>
  <c r="P7"/>
  <c r="Q7"/>
  <c r="R7" s="1"/>
  <c r="P13"/>
  <c r="Q13"/>
  <c r="R13"/>
  <c r="Q5"/>
  <c r="D20"/>
  <c r="P6"/>
  <c r="Q6"/>
  <c r="R6" s="1"/>
  <c r="P8"/>
  <c r="Q8"/>
  <c r="R8"/>
  <c r="P10"/>
  <c r="Q10"/>
  <c r="R10"/>
  <c r="P12"/>
  <c r="Q12" s="1"/>
  <c r="R12" s="1"/>
  <c r="P14"/>
  <c r="Q14"/>
  <c r="R14" s="1"/>
  <c r="P16"/>
  <c r="Q16"/>
  <c r="R16"/>
  <c r="P18"/>
  <c r="Q18"/>
  <c r="R18"/>
  <c r="E93" i="20"/>
  <c r="W80" i="48"/>
  <c r="W58"/>
  <c r="W98"/>
  <c r="W56"/>
  <c r="AA86"/>
  <c r="W204"/>
  <c r="Y86"/>
  <c r="W90"/>
  <c r="H200" i="20"/>
  <c r="L17" i="28"/>
  <c r="V17" s="1"/>
  <c r="U17"/>
  <c r="K12" i="48"/>
  <c r="AF12"/>
  <c r="AM12"/>
  <c r="J12" i="20"/>
  <c r="R12" i="48" s="1"/>
  <c r="Q46"/>
  <c r="Q20"/>
  <c r="AE12"/>
  <c r="I12" i="20"/>
  <c r="J12" i="48"/>
  <c r="AL12"/>
  <c r="G329" i="20"/>
  <c r="Q12" i="48"/>
  <c r="G58" i="66"/>
  <c r="G74" i="81"/>
  <c r="B3" i="83"/>
  <c r="G6" i="48"/>
  <c r="G6" i="20"/>
  <c r="R67" i="62"/>
  <c r="R34" i="39" s="1"/>
  <c r="J66" i="28"/>
  <c r="S66"/>
  <c r="B114" i="39"/>
  <c r="W109" i="28"/>
  <c r="B494" i="62"/>
  <c r="B525"/>
  <c r="B633"/>
  <c r="B662"/>
  <c r="B561"/>
  <c r="B479"/>
  <c r="B564"/>
  <c r="B666"/>
  <c r="B669"/>
  <c r="B668"/>
  <c r="B496"/>
  <c r="B580"/>
  <c r="B558"/>
  <c r="B671"/>
  <c r="B508"/>
  <c r="B9" i="39"/>
  <c r="B121"/>
  <c r="B37"/>
  <c r="B80"/>
  <c r="B123"/>
  <c r="B81"/>
  <c r="B125"/>
  <c r="B52"/>
  <c r="B40"/>
  <c r="B43"/>
  <c r="B50"/>
  <c r="B102"/>
  <c r="B126"/>
  <c r="B82"/>
  <c r="B354" i="62"/>
  <c r="B445"/>
  <c r="B265"/>
  <c r="B255"/>
  <c r="B421"/>
  <c r="B635"/>
  <c r="B478"/>
  <c r="B466"/>
  <c r="B599"/>
  <c r="B522"/>
  <c r="B544"/>
  <c r="B524"/>
  <c r="B526"/>
  <c r="B112" i="39"/>
  <c r="B135"/>
  <c r="B30"/>
  <c r="B55"/>
  <c r="B138"/>
  <c r="B132"/>
  <c r="B103"/>
  <c r="B65"/>
  <c r="B42"/>
  <c r="AG24" i="32"/>
  <c r="B33" i="39"/>
  <c r="B72"/>
  <c r="B73"/>
  <c r="B128"/>
  <c r="B86"/>
  <c r="C666" i="62"/>
  <c r="C556"/>
  <c r="B90" i="39"/>
  <c r="B91"/>
  <c r="B49"/>
  <c r="B89"/>
  <c r="C544" i="62"/>
  <c r="C555"/>
  <c r="C515"/>
  <c r="C479"/>
  <c r="C662"/>
  <c r="C660"/>
  <c r="C667"/>
  <c r="C592"/>
  <c r="L88" i="28"/>
  <c r="AP203" i="48"/>
  <c r="B631" i="62"/>
  <c r="G27" i="76"/>
  <c r="B630" i="62"/>
  <c r="B486"/>
  <c r="B594"/>
  <c r="B342"/>
  <c r="B622"/>
  <c r="B643"/>
  <c r="B628"/>
  <c r="B674"/>
  <c r="B505"/>
  <c r="B627"/>
  <c r="C532"/>
  <c r="P155" i="48"/>
  <c r="B673" i="62"/>
  <c r="B555"/>
  <c r="B586"/>
  <c r="B566"/>
  <c r="B637"/>
  <c r="B634"/>
  <c r="B485"/>
  <c r="B552"/>
  <c r="B528"/>
  <c r="B562"/>
  <c r="B550"/>
  <c r="B616"/>
  <c r="B481"/>
  <c r="B649"/>
  <c r="B553"/>
  <c r="B658"/>
  <c r="B592"/>
  <c r="B502"/>
  <c r="B15" i="39"/>
  <c r="B16"/>
  <c r="B4"/>
  <c r="B108"/>
  <c r="B71"/>
  <c r="B133"/>
  <c r="B104"/>
  <c r="B83"/>
  <c r="B139"/>
  <c r="B136"/>
  <c r="B34"/>
  <c r="B36"/>
  <c r="B19"/>
  <c r="B381" i="62"/>
  <c r="B429"/>
  <c r="B420"/>
  <c r="B267"/>
  <c r="B298"/>
  <c r="B577"/>
  <c r="B655"/>
  <c r="B625"/>
  <c r="B670"/>
  <c r="B646"/>
  <c r="B574"/>
  <c r="B660"/>
  <c r="B547"/>
  <c r="B8" i="39"/>
  <c r="B130"/>
  <c r="B85"/>
  <c r="B25"/>
  <c r="B79"/>
  <c r="B84"/>
  <c r="B32"/>
  <c r="B3"/>
  <c r="B59"/>
  <c r="B120"/>
  <c r="B53"/>
  <c r="B62"/>
  <c r="B99"/>
  <c r="B116"/>
  <c r="B122"/>
  <c r="B17"/>
  <c r="AG27" i="32"/>
  <c r="AG30"/>
  <c r="C481" i="62"/>
  <c r="B60" i="39"/>
  <c r="B75"/>
  <c r="B28"/>
  <c r="B26"/>
  <c r="B113"/>
  <c r="C558" i="62"/>
  <c r="C529"/>
  <c r="C485"/>
  <c r="C661"/>
  <c r="C593"/>
  <c r="C492"/>
  <c r="C541"/>
  <c r="C517"/>
  <c r="C607"/>
  <c r="C637"/>
  <c r="B472"/>
  <c r="B490"/>
  <c r="B134" i="39"/>
  <c r="B652" i="62"/>
  <c r="B347"/>
  <c r="B454"/>
  <c r="B672"/>
  <c r="B532"/>
  <c r="B598"/>
  <c r="B484"/>
  <c r="B521"/>
  <c r="B517"/>
  <c r="B115" i="39"/>
  <c r="B511" i="62"/>
  <c r="B463"/>
  <c r="B493"/>
  <c r="B583"/>
  <c r="B607"/>
  <c r="B593"/>
  <c r="B487"/>
  <c r="B551"/>
  <c r="B596"/>
  <c r="B623"/>
  <c r="B557"/>
  <c r="B519"/>
  <c r="B514"/>
  <c r="B488"/>
  <c r="B518"/>
  <c r="B588"/>
  <c r="B38" i="39"/>
  <c r="B131"/>
  <c r="B57"/>
  <c r="B95"/>
  <c r="B29"/>
  <c r="B41"/>
  <c r="B127"/>
  <c r="B13"/>
  <c r="B93"/>
  <c r="B47"/>
  <c r="B44"/>
  <c r="B78"/>
  <c r="B529" i="62"/>
  <c r="B482"/>
  <c r="B556"/>
  <c r="B538"/>
  <c r="B661"/>
  <c r="B483"/>
  <c r="B489"/>
  <c r="B560"/>
  <c r="B77" i="39"/>
  <c r="B51"/>
  <c r="B27"/>
  <c r="B31"/>
  <c r="B46"/>
  <c r="B67"/>
  <c r="B111"/>
  <c r="B107"/>
  <c r="B96"/>
  <c r="B22"/>
  <c r="B69"/>
  <c r="B18"/>
  <c r="B87"/>
  <c r="B5"/>
  <c r="B100"/>
  <c r="B137"/>
  <c r="P142" i="48"/>
  <c r="B14" i="39"/>
  <c r="B35"/>
  <c r="B98"/>
  <c r="B70"/>
  <c r="B6"/>
  <c r="B602" i="62"/>
  <c r="B624"/>
  <c r="B499"/>
  <c r="B591"/>
  <c r="B613"/>
  <c r="B597"/>
  <c r="B535"/>
  <c r="B68" i="39"/>
  <c r="J19" i="28"/>
  <c r="T19" s="1"/>
  <c r="T21" s="1"/>
  <c r="J45"/>
  <c r="H21"/>
  <c r="L18"/>
  <c r="V18" s="1"/>
  <c r="L44"/>
  <c r="S110"/>
  <c r="V88"/>
  <c r="K66"/>
  <c r="L66" s="1"/>
  <c r="L110" s="1"/>
  <c r="T66"/>
  <c r="J110"/>
  <c r="H147" i="57"/>
  <c r="F31" i="25" l="1"/>
  <c r="G80" s="1"/>
  <c r="S48" i="28"/>
  <c r="J48"/>
  <c r="J249" i="20"/>
  <c r="J278" s="1"/>
  <c r="L12" i="62"/>
  <c r="L14" s="1"/>
  <c r="P140" i="39"/>
  <c r="L249" i="20"/>
  <c r="L278" s="1"/>
  <c r="O13" i="78"/>
  <c r="O23" s="1"/>
  <c r="H13"/>
  <c r="H23" s="1"/>
  <c r="L13"/>
  <c r="L23" s="1"/>
  <c r="I13"/>
  <c r="I23" s="1"/>
  <c r="J258" i="20"/>
  <c r="I263"/>
  <c r="AA137" i="32"/>
  <c r="H246" i="20" s="1"/>
  <c r="P32" i="26"/>
  <c r="AG29" i="32"/>
  <c r="AG25"/>
  <c r="AG26"/>
  <c r="AG138" s="1"/>
  <c r="AG137"/>
  <c r="AG18"/>
  <c r="AG19"/>
  <c r="AG23"/>
  <c r="F51" i="25"/>
  <c r="G90" s="1"/>
  <c r="F11"/>
  <c r="G71" s="1"/>
  <c r="R95" i="89"/>
  <c r="S70" i="28"/>
  <c r="J70"/>
  <c r="AL29" i="48"/>
  <c r="I29" i="20"/>
  <c r="Q29" i="48" s="1"/>
  <c r="AL37"/>
  <c r="J37"/>
  <c r="AE29"/>
  <c r="I37" i="20"/>
  <c r="Q37" i="48" s="1"/>
  <c r="J29"/>
  <c r="K46" i="28"/>
  <c r="T46"/>
  <c r="T134"/>
  <c r="W256" i="39"/>
  <c r="I19" i="57"/>
  <c r="K249" i="20"/>
  <c r="K278" s="1"/>
  <c r="M114" i="28"/>
  <c r="W111"/>
  <c r="C304" i="62"/>
  <c r="W110" i="28"/>
  <c r="AG31" i="32"/>
  <c r="Q95" i="89"/>
  <c r="D16" i="78"/>
  <c r="D20"/>
  <c r="G32"/>
  <c r="M29"/>
  <c r="M32" s="1"/>
  <c r="H29"/>
  <c r="H32" s="1"/>
  <c r="Y48" i="28"/>
  <c r="Z48"/>
  <c r="O29" i="78"/>
  <c r="O32" s="1"/>
  <c r="AG32" i="32"/>
  <c r="R11" i="62"/>
  <c r="R13" s="1"/>
  <c r="U11"/>
  <c r="U13" s="1"/>
  <c r="S11"/>
  <c r="S13" s="1"/>
  <c r="O11"/>
  <c r="O13" s="1"/>
  <c r="L11"/>
  <c r="L13" s="1"/>
  <c r="P29" i="78"/>
  <c r="P32" s="1"/>
  <c r="N29"/>
  <c r="N32" s="1"/>
  <c r="O110" i="28"/>
  <c r="O112"/>
  <c r="Z89"/>
  <c r="P114"/>
  <c r="Z93"/>
  <c r="I249" i="20"/>
  <c r="Y95" i="28"/>
  <c r="AG139" i="32"/>
  <c r="V260" i="39"/>
  <c r="V258"/>
  <c r="W117"/>
  <c r="W118"/>
  <c r="W119"/>
  <c r="N4"/>
  <c r="M2"/>
  <c r="N2"/>
  <c r="O2"/>
  <c r="S82" i="18"/>
  <c r="R111" i="89" s="1"/>
  <c r="R36" i="20"/>
  <c r="R39" s="1"/>
  <c r="P2" i="39"/>
  <c r="U3"/>
  <c r="Q92" i="18"/>
  <c r="Q93" s="1"/>
  <c r="H38" i="81"/>
  <c r="H48" s="1"/>
  <c r="K68" i="44"/>
  <c r="L80"/>
  <c r="J81"/>
  <c r="J82" s="1"/>
  <c r="I90"/>
  <c r="H103"/>
  <c r="H104" s="1"/>
  <c r="L102"/>
  <c r="GL6" i="58"/>
  <c r="ED6"/>
  <c r="Z6"/>
  <c r="N6"/>
  <c r="GM4"/>
  <c r="GM5"/>
  <c r="GX5"/>
  <c r="GX4"/>
  <c r="GW6"/>
  <c r="W120" i="39"/>
  <c r="W121"/>
  <c r="S3"/>
  <c r="T3"/>
  <c r="V397"/>
  <c r="L141"/>
  <c r="V394"/>
  <c r="V396"/>
  <c r="V398"/>
  <c r="W396"/>
  <c r="M142"/>
  <c r="U141"/>
  <c r="V255"/>
  <c r="L278"/>
  <c r="R13" i="78"/>
  <c r="R23" s="1"/>
  <c r="Q192" i="20"/>
  <c r="M13" i="78"/>
  <c r="M23" s="1"/>
  <c r="M35" s="1"/>
  <c r="M36" s="1"/>
  <c r="M38" s="1"/>
  <c r="G13"/>
  <c r="G23" s="1"/>
  <c r="G35" s="1"/>
  <c r="G36" s="1"/>
  <c r="G38" s="1"/>
  <c r="I29"/>
  <c r="I32" s="1"/>
  <c r="I35" s="1"/>
  <c r="I36" s="1"/>
  <c r="I38" s="1"/>
  <c r="F32" i="25"/>
  <c r="F57" i="61"/>
  <c r="W13" s="1"/>
  <c r="W27" s="1"/>
  <c r="G158" i="57"/>
  <c r="W394" i="39"/>
  <c r="W398"/>
  <c r="U142"/>
  <c r="Q142"/>
  <c r="S141"/>
  <c r="O141"/>
  <c r="U140"/>
  <c r="O140"/>
  <c r="S279"/>
  <c r="R278"/>
  <c r="P280"/>
  <c r="M279"/>
  <c r="R110" i="89"/>
  <c r="K92" i="18"/>
  <c r="F84" i="22"/>
  <c r="F55" i="61"/>
  <c r="G178" i="57"/>
  <c r="R76" i="18"/>
  <c r="G110" i="89" s="1"/>
  <c r="G96" s="1"/>
  <c r="V4" i="62" s="1"/>
  <c r="F65" i="18"/>
  <c r="F66" s="1"/>
  <c r="I92"/>
  <c r="S142" i="39"/>
  <c r="O142"/>
  <c r="Q141"/>
  <c r="M141"/>
  <c r="S140"/>
  <c r="Q140"/>
  <c r="M140"/>
  <c r="W260"/>
  <c r="R280"/>
  <c r="Q279"/>
  <c r="P278"/>
  <c r="N278"/>
  <c r="L280"/>
  <c r="H84" i="22"/>
  <c r="J92" i="18"/>
  <c r="G161" i="57"/>
  <c r="V6"/>
  <c r="R190" i="20"/>
  <c r="V119" i="39"/>
  <c r="V122"/>
  <c r="V117"/>
  <c r="V118"/>
  <c r="Q4"/>
  <c r="P4"/>
  <c r="L3"/>
  <c r="O3"/>
  <c r="P3"/>
  <c r="Q3"/>
  <c r="R3"/>
  <c r="U2"/>
  <c r="F35" i="101"/>
  <c r="F37" s="1"/>
  <c r="M22" s="1"/>
  <c r="T4" i="39"/>
  <c r="V120"/>
  <c r="V121"/>
  <c r="S2"/>
  <c r="T2"/>
  <c r="R4"/>
  <c r="T48" i="28"/>
  <c r="K48"/>
  <c r="S68"/>
  <c r="S112" s="1"/>
  <c r="I112"/>
  <c r="B296" i="39"/>
  <c r="B392"/>
  <c r="B306"/>
  <c r="B323"/>
  <c r="B286"/>
  <c r="B298"/>
  <c r="B353"/>
  <c r="B352"/>
  <c r="B400"/>
  <c r="B381"/>
  <c r="B372"/>
  <c r="B283"/>
  <c r="B351"/>
  <c r="B370"/>
  <c r="B342"/>
  <c r="B397"/>
  <c r="B302"/>
  <c r="B391"/>
  <c r="B287"/>
  <c r="B308"/>
  <c r="B313"/>
  <c r="B294"/>
  <c r="B332"/>
  <c r="B405"/>
  <c r="B415"/>
  <c r="B354"/>
  <c r="B318"/>
  <c r="B390"/>
  <c r="B327"/>
  <c r="B344"/>
  <c r="B365"/>
  <c r="B413"/>
  <c r="B369"/>
  <c r="B371"/>
  <c r="B291"/>
  <c r="B386"/>
  <c r="B307"/>
  <c r="B329"/>
  <c r="B382"/>
  <c r="B290"/>
  <c r="B349"/>
  <c r="B310"/>
  <c r="B281"/>
  <c r="B347"/>
  <c r="B407"/>
  <c r="B363"/>
  <c r="B288"/>
  <c r="B284"/>
  <c r="B280"/>
  <c r="B324"/>
  <c r="B408"/>
  <c r="B337"/>
  <c r="B384"/>
  <c r="B317"/>
  <c r="B314"/>
  <c r="B299"/>
  <c r="B311"/>
  <c r="B341"/>
  <c r="B359"/>
  <c r="B322"/>
  <c r="B315"/>
  <c r="B376"/>
  <c r="B326"/>
  <c r="B300"/>
  <c r="B364"/>
  <c r="B362"/>
  <c r="B325"/>
  <c r="B361"/>
  <c r="B375"/>
  <c r="B355"/>
  <c r="B402"/>
  <c r="B340"/>
  <c r="B387"/>
  <c r="B297"/>
  <c r="B333"/>
  <c r="B406"/>
  <c r="B412"/>
  <c r="B367"/>
  <c r="B335"/>
  <c r="B350"/>
  <c r="B279"/>
  <c r="B338"/>
  <c r="B357"/>
  <c r="B328"/>
  <c r="B336"/>
  <c r="B358"/>
  <c r="C327" i="62"/>
  <c r="C378"/>
  <c r="C450"/>
  <c r="C275"/>
  <c r="C342"/>
  <c r="C298"/>
  <c r="C255"/>
  <c r="C291"/>
  <c r="C267"/>
  <c r="C279"/>
  <c r="C410"/>
  <c r="C373"/>
  <c r="C435"/>
  <c r="C268"/>
  <c r="C370"/>
  <c r="C276"/>
  <c r="C335"/>
  <c r="C348"/>
  <c r="C269"/>
  <c r="C263"/>
  <c r="C411"/>
  <c r="C432"/>
  <c r="C448"/>
  <c r="C415"/>
  <c r="C442"/>
  <c r="C405"/>
  <c r="C312"/>
  <c r="C306"/>
  <c r="C261"/>
  <c r="C414"/>
  <c r="C338"/>
  <c r="C418"/>
  <c r="C318"/>
  <c r="C417"/>
  <c r="C265"/>
  <c r="C375"/>
  <c r="C412"/>
  <c r="C301"/>
  <c r="C270"/>
  <c r="C447"/>
  <c r="C408"/>
  <c r="C324"/>
  <c r="C407"/>
  <c r="C334"/>
  <c r="C390"/>
  <c r="C303"/>
  <c r="C341"/>
  <c r="C339"/>
  <c r="G74" i="28"/>
  <c r="G51"/>
  <c r="P158" i="48"/>
  <c r="I158" i="20"/>
  <c r="D28" i="78"/>
  <c r="D15"/>
  <c r="D21"/>
  <c r="I146" i="48"/>
  <c r="AK146"/>
  <c r="T68" i="28"/>
  <c r="K68"/>
  <c r="U68" s="1"/>
  <c r="B213" i="39"/>
  <c r="B147"/>
  <c r="B250"/>
  <c r="B232"/>
  <c r="B224"/>
  <c r="B274"/>
  <c r="B151"/>
  <c r="B251"/>
  <c r="B166"/>
  <c r="R76" i="20"/>
  <c r="Z76"/>
  <c r="S76"/>
  <c r="Y76"/>
  <c r="AB76"/>
  <c r="AA76"/>
  <c r="AC76"/>
  <c r="V27" i="62"/>
  <c r="V11" i="39" s="1"/>
  <c r="T76" i="20"/>
  <c r="AF10" i="32"/>
  <c r="W12"/>
  <c r="X32" s="1"/>
  <c r="X76" i="20"/>
  <c r="D18" i="78"/>
  <c r="B252" i="39"/>
  <c r="B257"/>
  <c r="B309"/>
  <c r="B380"/>
  <c r="B389"/>
  <c r="B356"/>
  <c r="B303"/>
  <c r="B319"/>
  <c r="B346"/>
  <c r="B401"/>
  <c r="B373"/>
  <c r="B360"/>
  <c r="B396"/>
  <c r="B409"/>
  <c r="B293"/>
  <c r="C282" i="62"/>
  <c r="C374"/>
  <c r="C354"/>
  <c r="C300"/>
  <c r="C445"/>
  <c r="C377"/>
  <c r="C302"/>
  <c r="C333"/>
  <c r="C266"/>
  <c r="C493"/>
  <c r="C482"/>
  <c r="G133" i="57"/>
  <c r="AE21" i="31"/>
  <c r="V8" i="32" s="1"/>
  <c r="W8" s="1"/>
  <c r="W141" s="1"/>
  <c r="AD20" i="31"/>
  <c r="AE20" s="1"/>
  <c r="J8" i="32" s="1"/>
  <c r="K8" s="1"/>
  <c r="G136" i="57"/>
  <c r="G134"/>
  <c r="G131"/>
  <c r="G135"/>
  <c r="G132"/>
  <c r="G137"/>
  <c r="C658" i="62"/>
  <c r="C568"/>
  <c r="C554"/>
  <c r="C630"/>
  <c r="C627"/>
  <c r="C520"/>
  <c r="C589"/>
  <c r="C484"/>
  <c r="C522"/>
  <c r="C528"/>
  <c r="C523"/>
  <c r="C595"/>
  <c r="C613"/>
  <c r="C516"/>
  <c r="C565"/>
  <c r="C486"/>
  <c r="C594"/>
  <c r="C631"/>
  <c r="C483"/>
  <c r="C499"/>
  <c r="C496"/>
  <c r="C590"/>
  <c r="C643"/>
  <c r="C604"/>
  <c r="C623"/>
  <c r="C591"/>
  <c r="C505"/>
  <c r="C559"/>
  <c r="C628"/>
  <c r="C480"/>
  <c r="C521"/>
  <c r="C580"/>
  <c r="C586"/>
  <c r="C463"/>
  <c r="C553"/>
  <c r="C600"/>
  <c r="C625"/>
  <c r="C659"/>
  <c r="I142" i="20"/>
  <c r="J142" s="1"/>
  <c r="Q142"/>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U33" i="31"/>
  <c r="V33" s="1"/>
  <c r="W33" s="1"/>
  <c r="X33" s="1"/>
  <c r="S67" i="62"/>
  <c r="S34" i="39" s="1"/>
  <c r="O67" i="62"/>
  <c r="O34" i="39" s="1"/>
  <c r="B263"/>
  <c r="B202"/>
  <c r="B304"/>
  <c r="B411"/>
  <c r="B320"/>
  <c r="B301"/>
  <c r="B305"/>
  <c r="B343"/>
  <c r="B410"/>
  <c r="B366"/>
  <c r="B399"/>
  <c r="B395"/>
  <c r="B394"/>
  <c r="B398"/>
  <c r="B312"/>
  <c r="C409" i="62"/>
  <c r="C383"/>
  <c r="C387"/>
  <c r="C413"/>
  <c r="C396"/>
  <c r="Q158" i="20"/>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C336" i="62"/>
  <c r="C297"/>
  <c r="C262"/>
  <c r="X47" i="28"/>
  <c r="X50" s="1"/>
  <c r="W47"/>
  <c r="W114" s="1"/>
  <c r="G114"/>
  <c r="Y47"/>
  <c r="Y50" s="1"/>
  <c r="B663" i="62"/>
  <c r="B600"/>
  <c r="B595"/>
  <c r="B491"/>
  <c r="B664"/>
  <c r="B469"/>
  <c r="Z18" i="28"/>
  <c r="X18"/>
  <c r="R69"/>
  <c r="I69"/>
  <c r="W71"/>
  <c r="W115" s="1"/>
  <c r="Z71"/>
  <c r="X71"/>
  <c r="O113"/>
  <c r="Y69"/>
  <c r="Y113" s="1"/>
  <c r="O114"/>
  <c r="Y70"/>
  <c r="I91"/>
  <c r="R91"/>
  <c r="R95" s="1"/>
  <c r="I93"/>
  <c r="H115"/>
  <c r="Z90"/>
  <c r="Z112" s="1"/>
  <c r="P112"/>
  <c r="L82" i="18"/>
  <c r="F56" i="61"/>
  <c r="M13" s="1"/>
  <c r="M41" s="1"/>
  <c r="P5" i="22"/>
  <c r="I9" i="18"/>
  <c r="J9" s="1"/>
  <c r="K9" s="1"/>
  <c r="L9" s="1"/>
  <c r="M9" s="1"/>
  <c r="L16" i="28"/>
  <c r="V16" s="1"/>
  <c r="R16"/>
  <c r="I56" i="44"/>
  <c r="AE46" i="48"/>
  <c r="K3" i="78"/>
  <c r="H35"/>
  <c r="H36" s="1"/>
  <c r="H38" s="1"/>
  <c r="H159" i="20"/>
  <c r="R35" i="78"/>
  <c r="R36" s="1"/>
  <c r="R38" s="1"/>
  <c r="N35"/>
  <c r="N36" s="1"/>
  <c r="N38" s="1"/>
  <c r="I95" i="28"/>
  <c r="N77" i="31"/>
  <c r="O77" s="1"/>
  <c r="P77" s="1"/>
  <c r="Q77" s="1"/>
  <c r="R77" s="1"/>
  <c r="T77"/>
  <c r="U77" s="1"/>
  <c r="V77" s="1"/>
  <c r="W77" s="1"/>
  <c r="C404" i="39"/>
  <c r="C367"/>
  <c r="C355"/>
  <c r="C409"/>
  <c r="C344"/>
  <c r="C380"/>
  <c r="C373"/>
  <c r="C306"/>
  <c r="C410"/>
  <c r="C330"/>
  <c r="C362"/>
  <c r="C411"/>
  <c r="C347"/>
  <c r="C383"/>
  <c r="C365"/>
  <c r="C385"/>
  <c r="C402"/>
  <c r="C281"/>
  <c r="C359"/>
  <c r="C408"/>
  <c r="C378"/>
  <c r="C390"/>
  <c r="C295"/>
  <c r="C391"/>
  <c r="C396"/>
  <c r="C349"/>
  <c r="C343"/>
  <c r="C318"/>
  <c r="C327"/>
  <c r="C398"/>
  <c r="C325"/>
  <c r="C369"/>
  <c r="C332"/>
  <c r="C374"/>
  <c r="B77" i="62"/>
  <c r="B149"/>
  <c r="B234"/>
  <c r="B141"/>
  <c r="B190"/>
  <c r="B168"/>
  <c r="B26"/>
  <c r="B25"/>
  <c r="H114" i="28"/>
  <c r="I47"/>
  <c r="I51" i="44"/>
  <c r="AE37" i="48"/>
  <c r="J112" i="28"/>
  <c r="D27" i="78"/>
  <c r="S21" i="28"/>
  <c r="Y112"/>
  <c r="O50"/>
  <c r="T109"/>
  <c r="P50"/>
  <c r="M21"/>
  <c r="V259" i="39"/>
  <c r="U279"/>
  <c r="T280"/>
  <c r="T278"/>
  <c r="D24" i="82"/>
  <c r="Q29" i="78"/>
  <c r="Q32" s="1"/>
  <c r="Q35" s="1"/>
  <c r="Q36" s="1"/>
  <c r="Q38" s="1"/>
  <c r="P110" i="28"/>
  <c r="P111"/>
  <c r="K9" i="32"/>
  <c r="M4" i="39"/>
  <c r="M3"/>
  <c r="N3"/>
  <c r="S4" i="78"/>
  <c r="E13"/>
  <c r="E23" s="1"/>
  <c r="E35" s="1"/>
  <c r="E36" s="1"/>
  <c r="E38" s="1"/>
  <c r="L35"/>
  <c r="L36" s="1"/>
  <c r="L38" s="1"/>
  <c r="G4"/>
  <c r="K35"/>
  <c r="K36" s="1"/>
  <c r="K38" s="1"/>
  <c r="K5"/>
  <c r="F91" i="18"/>
  <c r="R74"/>
  <c r="R11" i="20" s="1"/>
  <c r="R14" s="1"/>
  <c r="AD15" i="31"/>
  <c r="J17" i="44"/>
  <c r="K28"/>
  <c r="L28" s="1"/>
  <c r="J35"/>
  <c r="K35" s="1"/>
  <c r="L35" s="1"/>
  <c r="K124"/>
  <c r="AG12" i="48"/>
  <c r="K12" i="20"/>
  <c r="S12" i="48" s="1"/>
  <c r="AN12"/>
  <c r="K46" i="44"/>
  <c r="J58"/>
  <c r="K58" s="1"/>
  <c r="L58" s="1"/>
  <c r="AM54" i="48"/>
  <c r="AN20"/>
  <c r="K48" i="44"/>
  <c r="L48" s="1"/>
  <c r="AG20" i="48"/>
  <c r="K20" i="20"/>
  <c r="S20" i="48" s="1"/>
  <c r="L12" i="20"/>
  <c r="T12" i="48" s="1"/>
  <c r="R31" i="20"/>
  <c r="W397" i="39"/>
  <c r="W258"/>
  <c r="Q2"/>
  <c r="Q142" i="48"/>
  <c r="P64" i="31"/>
  <c r="R88" i="18"/>
  <c r="S42" i="31"/>
  <c r="V10" i="32"/>
  <c r="V12" s="1"/>
  <c r="Q155" i="20"/>
  <c r="B604" i="62"/>
  <c r="U42" i="31"/>
  <c r="T22" i="28"/>
  <c r="T23" s="1"/>
  <c r="T128"/>
  <c r="X70" i="31"/>
  <c r="W69"/>
  <c r="AN54" i="48"/>
  <c r="K54" i="20"/>
  <c r="S54" i="48" s="1"/>
  <c r="L54"/>
  <c r="AG54"/>
  <c r="U6" i="20"/>
  <c r="T51"/>
  <c r="T17"/>
  <c r="T34"/>
  <c r="W88" i="31"/>
  <c r="K239" i="20"/>
  <c r="AT203" i="48"/>
  <c r="Y203"/>
  <c r="AD173" i="20"/>
  <c r="AE173" s="1"/>
  <c r="AF173" s="1"/>
  <c r="AG173" s="1"/>
  <c r="AH173" s="1"/>
  <c r="AI173" s="1"/>
  <c r="AJ173" s="1"/>
  <c r="AK173" s="1"/>
  <c r="AL173" s="1"/>
  <c r="AM173" s="1"/>
  <c r="AN173" s="1"/>
  <c r="AO173" s="1"/>
  <c r="I173"/>
  <c r="Q171" i="48" s="1"/>
  <c r="T110" i="28"/>
  <c r="J21"/>
  <c r="K19"/>
  <c r="K45"/>
  <c r="L45" s="1"/>
  <c r="AF88" i="89"/>
  <c r="AG88" s="1"/>
  <c r="AJ88"/>
  <c r="AK88" s="1"/>
  <c r="L13" i="18"/>
  <c r="AD174" i="20"/>
  <c r="AE174" s="1"/>
  <c r="AF174" s="1"/>
  <c r="AG174" s="1"/>
  <c r="AH174" s="1"/>
  <c r="AI174" s="1"/>
  <c r="AJ174" s="1"/>
  <c r="AK174" s="1"/>
  <c r="AL174" s="1"/>
  <c r="AM174" s="1"/>
  <c r="AN174" s="1"/>
  <c r="AO174" s="1"/>
  <c r="I174"/>
  <c r="Q172" i="48" s="1"/>
  <c r="T45" i="28"/>
  <c r="AO20" i="48"/>
  <c r="AH20"/>
  <c r="M20"/>
  <c r="L20" i="20"/>
  <c r="T20" i="48" s="1"/>
  <c r="W139" i="32"/>
  <c r="W23"/>
  <c r="W104"/>
  <c r="W18"/>
  <c r="AD172" i="20"/>
  <c r="AE172" s="1"/>
  <c r="AF172" s="1"/>
  <c r="AG172" s="1"/>
  <c r="AH172" s="1"/>
  <c r="AI172" s="1"/>
  <c r="AJ172" s="1"/>
  <c r="AK172" s="1"/>
  <c r="AL172" s="1"/>
  <c r="AM172" s="1"/>
  <c r="AN172" s="1"/>
  <c r="AO172" s="1"/>
  <c r="I172"/>
  <c r="Q170" i="48" s="1"/>
  <c r="C136" i="39"/>
  <c r="C131"/>
  <c r="C41"/>
  <c r="C118"/>
  <c r="C83"/>
  <c r="C103"/>
  <c r="C86"/>
  <c r="C22"/>
  <c r="C134"/>
  <c r="C92"/>
  <c r="C128"/>
  <c r="C63"/>
  <c r="C106"/>
  <c r="C26"/>
  <c r="C78"/>
  <c r="C58"/>
  <c r="C54"/>
  <c r="C90"/>
  <c r="C82"/>
  <c r="S28" i="20"/>
  <c r="S31" s="1"/>
  <c r="X77" i="31"/>
  <c r="X90"/>
  <c r="C217" i="39"/>
  <c r="C231"/>
  <c r="C215"/>
  <c r="C158"/>
  <c r="C229"/>
  <c r="C174"/>
  <c r="C197"/>
  <c r="C149"/>
  <c r="C211"/>
  <c r="C203"/>
  <c r="C257"/>
  <c r="C236"/>
  <c r="C178"/>
  <c r="C269"/>
  <c r="C233"/>
  <c r="C152"/>
  <c r="C230"/>
  <c r="C254"/>
  <c r="C221"/>
  <c r="C189"/>
  <c r="C214"/>
  <c r="C169"/>
  <c r="C151"/>
  <c r="C156"/>
  <c r="C205"/>
  <c r="C160"/>
  <c r="C184"/>
  <c r="C153"/>
  <c r="C263"/>
  <c r="C164"/>
  <c r="C275"/>
  <c r="C147"/>
  <c r="C251"/>
  <c r="C195"/>
  <c r="I113" i="28"/>
  <c r="S89"/>
  <c r="AF54" i="48"/>
  <c r="K54"/>
  <c r="Q90" i="31"/>
  <c r="R90" s="1"/>
  <c r="Z114" i="28"/>
  <c r="B402" i="62"/>
  <c r="B457"/>
  <c r="B318"/>
  <c r="B449"/>
  <c r="B335"/>
  <c r="B396"/>
  <c r="B385"/>
  <c r="B341"/>
  <c r="B418"/>
  <c r="B313"/>
  <c r="B349"/>
  <c r="B409"/>
  <c r="B446"/>
  <c r="B387"/>
  <c r="B306"/>
  <c r="H88" i="89"/>
  <c r="I88" s="1"/>
  <c r="B128" i="62"/>
  <c r="B184"/>
  <c r="B229"/>
  <c r="B197"/>
  <c r="B32"/>
  <c r="B153"/>
  <c r="B36"/>
  <c r="B68"/>
  <c r="B205"/>
  <c r="B145"/>
  <c r="B40"/>
  <c r="B37"/>
  <c r="B27"/>
  <c r="B80"/>
  <c r="G25" i="81"/>
  <c r="B327" i="62"/>
  <c r="B246"/>
  <c r="B426"/>
  <c r="U135" i="32"/>
  <c r="V135" s="1"/>
  <c r="AF135" s="1"/>
  <c r="B158" i="62"/>
  <c r="B69"/>
  <c r="B15"/>
  <c r="B125"/>
  <c r="B79"/>
  <c r="B191"/>
  <c r="B18"/>
  <c r="B135"/>
  <c r="B66"/>
  <c r="B104"/>
  <c r="B107"/>
  <c r="B155"/>
  <c r="B336"/>
  <c r="V10" i="31"/>
  <c r="J79" i="20"/>
  <c r="R62" i="31"/>
  <c r="F69" i="28"/>
  <c r="B100" i="93"/>
  <c r="F91" i="28" s="1"/>
  <c r="V109"/>
  <c r="P35" i="78"/>
  <c r="P36" s="1"/>
  <c r="P38" s="1"/>
  <c r="F63" i="22"/>
  <c r="R80" i="31"/>
  <c r="B450" i="62"/>
  <c r="B360"/>
  <c r="B411"/>
  <c r="B442"/>
  <c r="B384"/>
  <c r="B393"/>
  <c r="D9" i="78"/>
  <c r="D29"/>
  <c r="D12"/>
  <c r="D10"/>
  <c r="O14" i="62"/>
  <c r="U14"/>
  <c r="AH12" i="48"/>
  <c r="L12"/>
  <c r="X86"/>
  <c r="H93" i="20"/>
  <c r="Z86" i="48"/>
  <c r="Q93" i="20"/>
  <c r="W89" i="48"/>
  <c r="B25" i="103"/>
  <c r="F25" s="1"/>
  <c r="T67" i="62"/>
  <c r="T34" i="39" s="1"/>
  <c r="L67" i="28"/>
  <c r="V67" s="1"/>
  <c r="L20" i="48"/>
  <c r="U109" i="28"/>
  <c r="Q110" i="89"/>
  <c r="X25" i="32"/>
  <c r="X34"/>
  <c r="X138"/>
  <c r="B243" i="39"/>
  <c r="B174"/>
  <c r="B265"/>
  <c r="B217"/>
  <c r="B230"/>
  <c r="B264"/>
  <c r="B223"/>
  <c r="B187"/>
  <c r="C235"/>
  <c r="C145"/>
  <c r="C186"/>
  <c r="C237"/>
  <c r="C182"/>
  <c r="C272"/>
  <c r="C144"/>
  <c r="C265"/>
  <c r="C201"/>
  <c r="C252"/>
  <c r="C243"/>
  <c r="C142"/>
  <c r="C180"/>
  <c r="C241"/>
  <c r="C162"/>
  <c r="C202"/>
  <c r="C198"/>
  <c r="C232"/>
  <c r="C256"/>
  <c r="C161"/>
  <c r="C177"/>
  <c r="C191"/>
  <c r="C207"/>
  <c r="C224"/>
  <c r="C261"/>
  <c r="C216"/>
  <c r="C157"/>
  <c r="C267"/>
  <c r="C234"/>
  <c r="C220"/>
  <c r="C245"/>
  <c r="C270"/>
  <c r="C167"/>
  <c r="S69" i="28"/>
  <c r="S73" s="1"/>
  <c r="W86" i="48"/>
  <c r="W83"/>
  <c r="K20"/>
  <c r="J54" i="20"/>
  <c r="R54" i="48" s="1"/>
  <c r="G19" i="57"/>
  <c r="I42" i="31" s="1"/>
  <c r="J76" i="48" s="1"/>
  <c r="U517" i="62" s="1"/>
  <c r="U310" i="39" s="1"/>
  <c r="B372" i="62"/>
  <c r="B423"/>
  <c r="B311"/>
  <c r="B312"/>
  <c r="B379"/>
  <c r="B417"/>
  <c r="B308"/>
  <c r="B453"/>
  <c r="B351"/>
  <c r="B370"/>
  <c r="C552"/>
  <c r="C577"/>
  <c r="B346"/>
  <c r="B273"/>
  <c r="B435"/>
  <c r="B324"/>
  <c r="C601"/>
  <c r="W95" i="28"/>
  <c r="B345" i="62"/>
  <c r="B274"/>
  <c r="AD88" i="89"/>
  <c r="AE88" s="1"/>
  <c r="B444" i="62"/>
  <c r="B590"/>
  <c r="B523"/>
  <c r="G18" i="76"/>
  <c r="B152" i="62"/>
  <c r="B30"/>
  <c r="B199"/>
  <c r="B113"/>
  <c r="B64"/>
  <c r="B186"/>
  <c r="B82"/>
  <c r="B150"/>
  <c r="B101"/>
  <c r="B196"/>
  <c r="B33"/>
  <c r="B122"/>
  <c r="C360"/>
  <c r="C371"/>
  <c r="C444"/>
  <c r="C426"/>
  <c r="C246"/>
  <c r="C406"/>
  <c r="C351"/>
  <c r="C419"/>
  <c r="C456"/>
  <c r="C311"/>
  <c r="H76" i="20"/>
  <c r="P76" i="48" s="1"/>
  <c r="P177"/>
  <c r="AR177" s="1"/>
  <c r="B451" i="62"/>
  <c r="B309"/>
  <c r="B377"/>
  <c r="B659"/>
  <c r="B638"/>
  <c r="C347"/>
  <c r="C384"/>
  <c r="C372"/>
  <c r="B193"/>
  <c r="B75"/>
  <c r="B215"/>
  <c r="C443"/>
  <c r="B227"/>
  <c r="B65"/>
  <c r="B226"/>
  <c r="B85"/>
  <c r="C587"/>
  <c r="C652"/>
  <c r="C472"/>
  <c r="C423"/>
  <c r="B146"/>
  <c r="C571"/>
  <c r="C469"/>
  <c r="C550"/>
  <c r="C376"/>
  <c r="C624"/>
  <c r="C616"/>
  <c r="C672"/>
  <c r="C369"/>
  <c r="O35" i="78"/>
  <c r="O36" s="1"/>
  <c r="O38" s="1"/>
  <c r="F23"/>
  <c r="F35" s="1"/>
  <c r="B67" i="62"/>
  <c r="B235"/>
  <c r="B144"/>
  <c r="B640"/>
  <c r="B568"/>
  <c r="AS203" i="48"/>
  <c r="B632" i="62"/>
  <c r="C673"/>
  <c r="C665"/>
  <c r="B117"/>
  <c r="B376"/>
  <c r="K71" i="28"/>
  <c r="U71" s="1"/>
  <c r="C104" i="39"/>
  <c r="C24"/>
  <c r="C72"/>
  <c r="C45"/>
  <c r="U96" i="31"/>
  <c r="Q65"/>
  <c r="R65" s="1"/>
  <c r="N117" i="28"/>
  <c r="Z115"/>
  <c r="X112"/>
  <c r="B63" i="93"/>
  <c r="H257" i="20"/>
  <c r="P75" i="31"/>
  <c r="Q75" s="1"/>
  <c r="R75" s="1"/>
  <c r="U75"/>
  <c r="V75" s="1"/>
  <c r="W75" s="1"/>
  <c r="X75" s="1"/>
  <c r="I237" i="20"/>
  <c r="U62" i="31"/>
  <c r="B374" i="62"/>
  <c r="B301"/>
  <c r="B297"/>
  <c r="B452"/>
  <c r="B310"/>
  <c r="B375"/>
  <c r="B300"/>
  <c r="D11" i="78"/>
  <c r="D19"/>
  <c r="S14" i="62"/>
  <c r="T14"/>
  <c r="X141" i="32"/>
  <c r="X31"/>
  <c r="B7" i="36"/>
  <c r="W79" i="48"/>
  <c r="AB86"/>
  <c r="T15" i="81"/>
  <c r="W203" i="48"/>
  <c r="W205" s="1"/>
  <c r="F93" i="18"/>
  <c r="T80"/>
  <c r="X21" i="32"/>
  <c r="X139"/>
  <c r="X28"/>
  <c r="X20"/>
  <c r="B211" i="39"/>
  <c r="B267"/>
  <c r="B225"/>
  <c r="B269"/>
  <c r="B240"/>
  <c r="B154"/>
  <c r="B239"/>
  <c r="C185"/>
  <c r="C212"/>
  <c r="C246"/>
  <c r="C276"/>
  <c r="C247"/>
  <c r="C204"/>
  <c r="C223"/>
  <c r="C175"/>
  <c r="C248"/>
  <c r="C155"/>
  <c r="C193"/>
  <c r="C258"/>
  <c r="C141"/>
  <c r="C242"/>
  <c r="C192"/>
  <c r="C159"/>
  <c r="C181"/>
  <c r="C259"/>
  <c r="C219"/>
  <c r="C277"/>
  <c r="C266"/>
  <c r="C183"/>
  <c r="C262"/>
  <c r="C244"/>
  <c r="C218"/>
  <c r="C166"/>
  <c r="C240"/>
  <c r="C154"/>
  <c r="C200"/>
  <c r="C171"/>
  <c r="C199"/>
  <c r="C213"/>
  <c r="J89" i="28"/>
  <c r="W82" i="48"/>
  <c r="W48"/>
  <c r="R73" i="28"/>
  <c r="H270" i="20"/>
  <c r="I270" s="1"/>
  <c r="Z113" i="28"/>
  <c r="Y111"/>
  <c r="B371" i="62"/>
  <c r="B432"/>
  <c r="B348"/>
  <c r="B406"/>
  <c r="B266"/>
  <c r="B307"/>
  <c r="B407"/>
  <c r="B299"/>
  <c r="B412"/>
  <c r="B363"/>
  <c r="C649"/>
  <c r="C588"/>
  <c r="C514"/>
  <c r="B357"/>
  <c r="B271"/>
  <c r="B410"/>
  <c r="B414"/>
  <c r="C519"/>
  <c r="B282"/>
  <c r="B279"/>
  <c r="B448"/>
  <c r="J14" i="18"/>
  <c r="S35" i="78"/>
  <c r="S36" s="1"/>
  <c r="S38" s="1"/>
  <c r="R133" i="28"/>
  <c r="R135" s="1"/>
  <c r="B516" i="62"/>
  <c r="B610"/>
  <c r="B619"/>
  <c r="Q146" i="20"/>
  <c r="B195" i="62"/>
  <c r="B119"/>
  <c r="B230"/>
  <c r="B198"/>
  <c r="B95"/>
  <c r="B154"/>
  <c r="B73"/>
  <c r="B110"/>
  <c r="B185"/>
  <c r="B114"/>
  <c r="B115"/>
  <c r="B165"/>
  <c r="B116"/>
  <c r="B408"/>
  <c r="B288"/>
  <c r="B338"/>
  <c r="B492"/>
  <c r="K8" i="18"/>
  <c r="J35" i="78"/>
  <c r="J36" s="1"/>
  <c r="J38" s="1"/>
  <c r="B238" i="62"/>
  <c r="B157"/>
  <c r="B58"/>
  <c r="B178"/>
  <c r="B240"/>
  <c r="B224"/>
  <c r="B200"/>
  <c r="C640"/>
  <c r="C557"/>
  <c r="C622"/>
  <c r="B192"/>
  <c r="C664"/>
  <c r="C663"/>
  <c r="C508"/>
  <c r="B148"/>
  <c r="C636"/>
  <c r="C629"/>
  <c r="B520"/>
  <c r="B237"/>
  <c r="B232"/>
  <c r="B228"/>
  <c r="C4" i="39"/>
  <c r="C133"/>
  <c r="C93"/>
  <c r="C48"/>
  <c r="R112" i="28"/>
  <c r="Z111"/>
  <c r="X113"/>
  <c r="D82" i="25"/>
  <c r="M11" i="62"/>
  <c r="M13" s="1"/>
  <c r="R2" i="39"/>
  <c r="M7" i="98"/>
  <c r="M24" s="1"/>
  <c r="E3" i="78"/>
  <c r="V5" i="57"/>
  <c r="G6" i="78"/>
  <c r="G5"/>
  <c r="L124" i="44"/>
  <c r="L114"/>
  <c r="O4" i="78"/>
  <c r="O6"/>
  <c r="O5"/>
  <c r="R86" i="18"/>
  <c r="R91" s="1"/>
  <c r="K6" i="78"/>
  <c r="K4"/>
  <c r="S5"/>
  <c r="S6"/>
  <c r="N50" i="28"/>
  <c r="H50"/>
  <c r="M50"/>
  <c r="I74" i="18"/>
  <c r="L4" i="39"/>
  <c r="W122"/>
  <c r="L2"/>
  <c r="U4"/>
  <c r="S4"/>
  <c r="O4"/>
  <c r="U48" i="28"/>
  <c r="V45"/>
  <c r="V66"/>
  <c r="U66"/>
  <c r="K110"/>
  <c r="U45"/>
  <c r="L48"/>
  <c r="V44"/>
  <c r="K20" i="32"/>
  <c r="Q8"/>
  <c r="K28"/>
  <c r="K25"/>
  <c r="K139"/>
  <c r="K26"/>
  <c r="K138"/>
  <c r="K21"/>
  <c r="K135"/>
  <c r="W41" i="61"/>
  <c r="W12"/>
  <c r="Z109" i="28"/>
  <c r="Z50"/>
  <c r="S128"/>
  <c r="S22"/>
  <c r="B196" i="39"/>
  <c r="B259"/>
  <c r="B177"/>
  <c r="B184"/>
  <c r="X73" i="28"/>
  <c r="X114"/>
  <c r="F36" i="78"/>
  <c r="K90" i="28"/>
  <c r="L90" s="1"/>
  <c r="W27" i="62"/>
  <c r="W11" i="39" s="1"/>
  <c r="Q67" i="62"/>
  <c r="Q34" i="39" s="1"/>
  <c r="U67" i="62"/>
  <c r="U34" i="39" s="1"/>
  <c r="M67" i="62"/>
  <c r="M34" i="39" s="1"/>
  <c r="L67" i="62"/>
  <c r="L34" i="39" s="1"/>
  <c r="Q76" i="48"/>
  <c r="P67" i="62"/>
  <c r="P34" i="39" s="1"/>
  <c r="U76" i="20"/>
  <c r="W76"/>
  <c r="V76"/>
  <c r="N74" i="31"/>
  <c r="O74" s="1"/>
  <c r="P74" s="1"/>
  <c r="Q74" s="1"/>
  <c r="R74" s="1"/>
  <c r="J74"/>
  <c r="K74" s="1"/>
  <c r="L74" s="1"/>
  <c r="M74" s="1"/>
  <c r="W22" i="28"/>
  <c r="W23" s="1"/>
  <c r="W128"/>
  <c r="D34" i="78"/>
  <c r="D32"/>
  <c r="D31"/>
  <c r="X95" i="28"/>
  <c r="X109"/>
  <c r="Q141" i="20"/>
  <c r="P141" i="48"/>
  <c r="G14" i="76"/>
  <c r="Z133" i="28"/>
  <c r="Z95"/>
  <c r="R115"/>
  <c r="W112"/>
  <c r="R50"/>
  <c r="R111"/>
  <c r="B219" i="39"/>
  <c r="B179"/>
  <c r="B222"/>
  <c r="B169"/>
  <c r="B158"/>
  <c r="B176"/>
  <c r="B190"/>
  <c r="B220"/>
  <c r="B198"/>
  <c r="B248"/>
  <c r="B152"/>
  <c r="B268"/>
  <c r="B253"/>
  <c r="B208"/>
  <c r="B241"/>
  <c r="B226"/>
  <c r="B191"/>
  <c r="B143"/>
  <c r="B144"/>
  <c r="B156"/>
  <c r="B201"/>
  <c r="B277"/>
  <c r="B193"/>
  <c r="B146"/>
  <c r="B266"/>
  <c r="B212"/>
  <c r="B157"/>
  <c r="B165"/>
  <c r="B159"/>
  <c r="B141"/>
  <c r="B164"/>
  <c r="B203"/>
  <c r="B162"/>
  <c r="B155"/>
  <c r="B197"/>
  <c r="B148"/>
  <c r="B175"/>
  <c r="B227"/>
  <c r="B246"/>
  <c r="B273"/>
  <c r="B275"/>
  <c r="B150"/>
  <c r="B221"/>
  <c r="B261"/>
  <c r="B256"/>
  <c r="B228"/>
  <c r="B238"/>
  <c r="B192"/>
  <c r="B153"/>
  <c r="B249"/>
  <c r="B235"/>
  <c r="B229"/>
  <c r="B194"/>
  <c r="B244"/>
  <c r="B183"/>
  <c r="B200"/>
  <c r="B215"/>
  <c r="B272"/>
  <c r="B173"/>
  <c r="B207"/>
  <c r="B233"/>
  <c r="B237"/>
  <c r="B171"/>
  <c r="B234"/>
  <c r="B218"/>
  <c r="B260"/>
  <c r="B182"/>
  <c r="B149"/>
  <c r="B231"/>
  <c r="B255"/>
  <c r="B172"/>
  <c r="B254"/>
  <c r="B145"/>
  <c r="B276"/>
  <c r="B199"/>
  <c r="B204"/>
  <c r="B242"/>
  <c r="B186"/>
  <c r="B167"/>
  <c r="B168"/>
  <c r="B214"/>
  <c r="B195"/>
  <c r="B163"/>
  <c r="B161"/>
  <c r="B258"/>
  <c r="B160"/>
  <c r="B245"/>
  <c r="B247"/>
  <c r="B189"/>
  <c r="B170"/>
  <c r="B216"/>
  <c r="B181"/>
  <c r="B178"/>
  <c r="B271"/>
  <c r="B236"/>
  <c r="B206"/>
  <c r="B209"/>
  <c r="B142"/>
  <c r="B210"/>
  <c r="B270"/>
  <c r="B262"/>
  <c r="B180"/>
  <c r="B185"/>
  <c r="G96" i="28"/>
  <c r="W133"/>
  <c r="W135" s="1"/>
  <c r="M117"/>
  <c r="AR97" i="48"/>
  <c r="W97"/>
  <c r="W177" s="1"/>
  <c r="U39" i="31"/>
  <c r="D23" i="78"/>
  <c r="K92" i="28"/>
  <c r="L92" s="1"/>
  <c r="V92" s="1"/>
  <c r="B105" i="62"/>
  <c r="B28"/>
  <c r="B231"/>
  <c r="B162"/>
  <c r="B208"/>
  <c r="B5"/>
  <c r="B48"/>
  <c r="B98"/>
  <c r="B156"/>
  <c r="B181"/>
  <c r="B76"/>
  <c r="B202"/>
  <c r="B160"/>
  <c r="B138"/>
  <c r="B106"/>
  <c r="B118"/>
  <c r="B39"/>
  <c r="B236"/>
  <c r="B218"/>
  <c r="B78"/>
  <c r="B21"/>
  <c r="B45"/>
  <c r="B31"/>
  <c r="B35"/>
  <c r="B55"/>
  <c r="B72"/>
  <c r="B187"/>
  <c r="B70"/>
  <c r="B111"/>
  <c r="B42"/>
  <c r="B239"/>
  <c r="B74"/>
  <c r="B194"/>
  <c r="B225"/>
  <c r="B88"/>
  <c r="B233"/>
  <c r="X115" i="28"/>
  <c r="S109"/>
  <c r="Z73"/>
  <c r="D26" i="78"/>
  <c r="H44" i="54"/>
  <c r="I44" s="1"/>
  <c r="J44" s="1"/>
  <c r="K44" s="1"/>
  <c r="B587" i="62"/>
  <c r="B626"/>
  <c r="B475"/>
  <c r="B554"/>
  <c r="B571"/>
  <c r="B667"/>
  <c r="B563"/>
  <c r="B541"/>
  <c r="B636"/>
  <c r="AG21" i="32"/>
  <c r="AG141"/>
  <c r="B101" i="39"/>
  <c r="B66"/>
  <c r="B64"/>
  <c r="B58"/>
  <c r="B109"/>
  <c r="B48"/>
  <c r="B124"/>
  <c r="B20"/>
  <c r="B10"/>
  <c r="O117" i="28"/>
  <c r="Y133"/>
  <c r="I111"/>
  <c r="R21"/>
  <c r="W50"/>
  <c r="R110"/>
  <c r="R113"/>
  <c r="Q11" i="62"/>
  <c r="Q13" s="1"/>
  <c r="P11"/>
  <c r="P13" s="1"/>
  <c r="C260" i="39"/>
  <c r="C238"/>
  <c r="C194"/>
  <c r="T11" i="62"/>
  <c r="T13" s="1"/>
  <c r="Y109" i="28"/>
  <c r="B413" i="62"/>
  <c r="B378"/>
  <c r="B337"/>
  <c r="B456"/>
  <c r="B272"/>
  <c r="B303"/>
  <c r="B343"/>
  <c r="B415"/>
  <c r="B277"/>
  <c r="B315"/>
  <c r="B369"/>
  <c r="B333"/>
  <c r="B294"/>
  <c r="B270"/>
  <c r="B249"/>
  <c r="B276"/>
  <c r="B405"/>
  <c r="B263"/>
  <c r="B269"/>
  <c r="B340"/>
  <c r="B330"/>
  <c r="B304"/>
  <c r="B416"/>
  <c r="B438"/>
  <c r="B262"/>
  <c r="B419"/>
  <c r="Y115" i="28"/>
  <c r="N11" i="62"/>
  <c r="N13" s="1"/>
  <c r="Q12"/>
  <c r="Q14" s="1"/>
  <c r="P12"/>
  <c r="P14" s="1"/>
  <c r="N12"/>
  <c r="N14" s="1"/>
  <c r="W395" i="39"/>
  <c r="N140"/>
  <c r="M12" i="62"/>
  <c r="M14" s="1"/>
  <c r="I80" i="18"/>
  <c r="I86"/>
  <c r="B305" i="62"/>
  <c r="B264"/>
  <c r="B455"/>
  <c r="B61"/>
  <c r="D35" i="78" l="1"/>
  <c r="K258" i="20"/>
  <c r="J263"/>
  <c r="AB8" i="32"/>
  <c r="AB20" s="1"/>
  <c r="W24"/>
  <c r="W137"/>
  <c r="W25"/>
  <c r="W34"/>
  <c r="W129"/>
  <c r="R96" i="89"/>
  <c r="V7" i="62" s="1"/>
  <c r="D13" i="78"/>
  <c r="P117" i="28"/>
  <c r="L46"/>
  <c r="V46" s="1"/>
  <c r="U46"/>
  <c r="K70"/>
  <c r="T70"/>
  <c r="S517" i="62"/>
  <c r="S310" i="39" s="1"/>
  <c r="X29" i="32"/>
  <c r="X30"/>
  <c r="X129"/>
  <c r="F95" i="18"/>
  <c r="Q76" i="20"/>
  <c r="P517" i="62"/>
  <c r="P310" i="39" s="1"/>
  <c r="H117" i="28"/>
  <c r="T82" i="18"/>
  <c r="U82" s="1"/>
  <c r="S36" i="20"/>
  <c r="S39" s="1"/>
  <c r="G33" i="25" s="1"/>
  <c r="F33"/>
  <c r="L68" i="44"/>
  <c r="K81"/>
  <c r="K82" s="1"/>
  <c r="I103"/>
  <c r="I104" s="1"/>
  <c r="J90"/>
  <c r="L81"/>
  <c r="L82" s="1"/>
  <c r="GV6" i="58"/>
  <c r="GW5"/>
  <c r="GW4"/>
  <c r="ED4"/>
  <c r="Z4"/>
  <c r="N4"/>
  <c r="GL5"/>
  <c r="GL4"/>
  <c r="GK6"/>
  <c r="M6"/>
  <c r="Y6"/>
  <c r="EC6"/>
  <c r="ED5"/>
  <c r="Z5"/>
  <c r="N5"/>
  <c r="M27" i="61"/>
  <c r="S76" i="18"/>
  <c r="G111" i="89" s="1"/>
  <c r="G97" s="1"/>
  <c r="W4" i="62" s="1"/>
  <c r="C13" i="61"/>
  <c r="C27"/>
  <c r="C26" s="1"/>
  <c r="C25" s="1"/>
  <c r="N42" i="31"/>
  <c r="AL76" i="48" s="1"/>
  <c r="R517" i="62"/>
  <c r="R310" i="39" s="1"/>
  <c r="O517" i="62"/>
  <c r="O310" i="39" s="1"/>
  <c r="L517" i="62"/>
  <c r="L310" i="39" s="1"/>
  <c r="M12" i="61"/>
  <c r="M40" s="1"/>
  <c r="X51" i="28"/>
  <c r="X52" s="1"/>
  <c r="Y51"/>
  <c r="Y52" s="1"/>
  <c r="V481" i="62"/>
  <c r="V287" i="39" s="1"/>
  <c r="S74" i="18"/>
  <c r="F111" i="89" s="1"/>
  <c r="R19" i="20"/>
  <c r="R22" s="1"/>
  <c r="R64" s="1"/>
  <c r="M18" i="101"/>
  <c r="M16"/>
  <c r="M12"/>
  <c r="M13"/>
  <c r="G32" i="25"/>
  <c r="M20" i="101"/>
  <c r="F36"/>
  <c r="M14" s="1"/>
  <c r="M11"/>
  <c r="P159" i="48"/>
  <c r="G30" i="76"/>
  <c r="Q158" i="48"/>
  <c r="J158" i="20"/>
  <c r="J56" i="44"/>
  <c r="AM46" i="48"/>
  <c r="J46" i="20"/>
  <c r="R46" i="48" s="1"/>
  <c r="K46"/>
  <c r="AF46"/>
  <c r="M82" i="18"/>
  <c r="I84" i="22"/>
  <c r="L92" i="18"/>
  <c r="I115" i="28"/>
  <c r="S93"/>
  <c r="S115" s="1"/>
  <c r="J93"/>
  <c r="X18" i="32"/>
  <c r="X24"/>
  <c r="X22"/>
  <c r="X19"/>
  <c r="X26"/>
  <c r="X137"/>
  <c r="X27"/>
  <c r="X104"/>
  <c r="X134"/>
  <c r="AF12"/>
  <c r="X23"/>
  <c r="K112" i="28"/>
  <c r="M517" i="62"/>
  <c r="M310" i="39" s="1"/>
  <c r="Q517" i="62"/>
  <c r="Q310" i="39" s="1"/>
  <c r="T517" i="62"/>
  <c r="T310" i="39" s="1"/>
  <c r="K141" i="32"/>
  <c r="K31"/>
  <c r="K27"/>
  <c r="K18"/>
  <c r="K23"/>
  <c r="K24"/>
  <c r="Q159" i="20"/>
  <c r="L68" i="28"/>
  <c r="V68" s="1"/>
  <c r="AK156" i="48"/>
  <c r="I156"/>
  <c r="I114" i="28"/>
  <c r="J47"/>
  <c r="S47"/>
  <c r="I50"/>
  <c r="W146" i="48"/>
  <c r="AR146"/>
  <c r="AK145"/>
  <c r="AK147" s="1"/>
  <c r="I145"/>
  <c r="I147" s="1"/>
  <c r="W73" i="28"/>
  <c r="Y73"/>
  <c r="Y117" s="1"/>
  <c r="Y129" s="1"/>
  <c r="J42" i="31"/>
  <c r="N517" i="62"/>
  <c r="N310" i="39" s="1"/>
  <c r="W481" i="62"/>
  <c r="W287" i="39" s="1"/>
  <c r="K19" i="32"/>
  <c r="K22"/>
  <c r="K29"/>
  <c r="K32"/>
  <c r="K137"/>
  <c r="K30"/>
  <c r="L28"/>
  <c r="L137"/>
  <c r="L25"/>
  <c r="L23"/>
  <c r="L31"/>
  <c r="L135"/>
  <c r="L18"/>
  <c r="L141"/>
  <c r="L27"/>
  <c r="L19"/>
  <c r="H33"/>
  <c r="H41"/>
  <c r="H49"/>
  <c r="H57"/>
  <c r="H65"/>
  <c r="H73"/>
  <c r="H81"/>
  <c r="H89"/>
  <c r="H97"/>
  <c r="H105"/>
  <c r="H113"/>
  <c r="H121"/>
  <c r="H129"/>
  <c r="H34"/>
  <c r="H42"/>
  <c r="H50"/>
  <c r="H58"/>
  <c r="H66"/>
  <c r="H74"/>
  <c r="H82"/>
  <c r="H90"/>
  <c r="H98"/>
  <c r="H106"/>
  <c r="H114"/>
  <c r="H122"/>
  <c r="H130"/>
  <c r="I38"/>
  <c r="I46"/>
  <c r="I54"/>
  <c r="I62"/>
  <c r="I70"/>
  <c r="I78"/>
  <c r="I86"/>
  <c r="I94"/>
  <c r="I102"/>
  <c r="I110"/>
  <c r="I118"/>
  <c r="I126"/>
  <c r="H134"/>
  <c r="H40"/>
  <c r="H48"/>
  <c r="H56"/>
  <c r="H64"/>
  <c r="H72"/>
  <c r="H80"/>
  <c r="H88"/>
  <c r="H96"/>
  <c r="H104"/>
  <c r="H112"/>
  <c r="H120"/>
  <c r="H128"/>
  <c r="L29"/>
  <c r="L30"/>
  <c r="L26"/>
  <c r="L21"/>
  <c r="I40"/>
  <c r="I48"/>
  <c r="I56"/>
  <c r="I64"/>
  <c r="O64" s="1"/>
  <c r="P64" s="1"/>
  <c r="I72"/>
  <c r="I80"/>
  <c r="I88"/>
  <c r="I96"/>
  <c r="I104"/>
  <c r="O104" s="1"/>
  <c r="P104" s="1"/>
  <c r="I112"/>
  <c r="I128"/>
  <c r="I33"/>
  <c r="I41"/>
  <c r="I49"/>
  <c r="I57"/>
  <c r="I65"/>
  <c r="I73"/>
  <c r="I81"/>
  <c r="I89"/>
  <c r="I97"/>
  <c r="I105"/>
  <c r="I113"/>
  <c r="I121"/>
  <c r="I129"/>
  <c r="H35"/>
  <c r="H43"/>
  <c r="H51"/>
  <c r="H59"/>
  <c r="H67"/>
  <c r="H75"/>
  <c r="H83"/>
  <c r="H91"/>
  <c r="H99"/>
  <c r="H107"/>
  <c r="H115"/>
  <c r="H123"/>
  <c r="H131"/>
  <c r="I39"/>
  <c r="I47"/>
  <c r="I55"/>
  <c r="I63"/>
  <c r="I71"/>
  <c r="I79"/>
  <c r="I87"/>
  <c r="I95"/>
  <c r="I103"/>
  <c r="I111"/>
  <c r="I119"/>
  <c r="I127"/>
  <c r="L138"/>
  <c r="H45"/>
  <c r="H61"/>
  <c r="H77"/>
  <c r="H93"/>
  <c r="H109"/>
  <c r="H125"/>
  <c r="H38"/>
  <c r="H54"/>
  <c r="H86"/>
  <c r="H102"/>
  <c r="I50"/>
  <c r="I66"/>
  <c r="I82"/>
  <c r="I98"/>
  <c r="I114"/>
  <c r="I130"/>
  <c r="H44"/>
  <c r="H60"/>
  <c r="H76"/>
  <c r="H92"/>
  <c r="H108"/>
  <c r="H124"/>
  <c r="I60"/>
  <c r="I76"/>
  <c r="I92"/>
  <c r="I124"/>
  <c r="I37"/>
  <c r="I53"/>
  <c r="I69"/>
  <c r="I85"/>
  <c r="I117"/>
  <c r="I133"/>
  <c r="H47"/>
  <c r="H63"/>
  <c r="H79"/>
  <c r="H95"/>
  <c r="H127"/>
  <c r="I43"/>
  <c r="I59"/>
  <c r="I75"/>
  <c r="I91"/>
  <c r="I107"/>
  <c r="I123"/>
  <c r="L22"/>
  <c r="H37"/>
  <c r="H53"/>
  <c r="H85"/>
  <c r="H101"/>
  <c r="H133"/>
  <c r="H46"/>
  <c r="H62"/>
  <c r="H94"/>
  <c r="H110"/>
  <c r="I42"/>
  <c r="I58"/>
  <c r="I90"/>
  <c r="I106"/>
  <c r="H36"/>
  <c r="H52"/>
  <c r="H84"/>
  <c r="H100"/>
  <c r="H132"/>
  <c r="L32"/>
  <c r="Q9"/>
  <c r="AF9" s="1"/>
  <c r="AG8" s="1"/>
  <c r="L24"/>
  <c r="I44"/>
  <c r="I108"/>
  <c r="I101"/>
  <c r="H111"/>
  <c r="H69"/>
  <c r="H117"/>
  <c r="H78"/>
  <c r="H126"/>
  <c r="I74"/>
  <c r="I122"/>
  <c r="H68"/>
  <c r="H116"/>
  <c r="L20"/>
  <c r="L139"/>
  <c r="I36"/>
  <c r="I52"/>
  <c r="I68"/>
  <c r="I84"/>
  <c r="I100"/>
  <c r="I116"/>
  <c r="I132"/>
  <c r="I45"/>
  <c r="I61"/>
  <c r="I77"/>
  <c r="I93"/>
  <c r="I109"/>
  <c r="I125"/>
  <c r="H39"/>
  <c r="H55"/>
  <c r="H71"/>
  <c r="H87"/>
  <c r="H103"/>
  <c r="H119"/>
  <c r="I35"/>
  <c r="I51"/>
  <c r="I67"/>
  <c r="I83"/>
  <c r="I99"/>
  <c r="I115"/>
  <c r="J51" i="44"/>
  <c r="K29" i="48"/>
  <c r="J29" i="20"/>
  <c r="R29" i="48" s="1"/>
  <c r="AM37"/>
  <c r="K37"/>
  <c r="AM29"/>
  <c r="AF37"/>
  <c r="AF29"/>
  <c r="J37" i="20"/>
  <c r="R37" i="48" s="1"/>
  <c r="J91" i="28"/>
  <c r="S91"/>
  <c r="S95" s="1"/>
  <c r="J69"/>
  <c r="I73"/>
  <c r="Y114"/>
  <c r="F12" i="25"/>
  <c r="F110" i="89"/>
  <c r="F96" s="1"/>
  <c r="V3" i="62" s="1"/>
  <c r="V2" i="39" s="1"/>
  <c r="AE15" i="31"/>
  <c r="K17" i="44"/>
  <c r="L46"/>
  <c r="M12" i="48"/>
  <c r="AO12"/>
  <c r="M35" i="98"/>
  <c r="J76" i="20"/>
  <c r="V42" i="31"/>
  <c r="R142" i="48"/>
  <c r="K142" i="20"/>
  <c r="R53"/>
  <c r="R56" s="1"/>
  <c r="AC110" i="89"/>
  <c r="AC96" s="1"/>
  <c r="S88" i="18"/>
  <c r="R92"/>
  <c r="R93" s="1"/>
  <c r="AE135" i="32"/>
  <c r="AG135"/>
  <c r="AP172" i="20"/>
  <c r="AQ172" s="1"/>
  <c r="AR172" s="1"/>
  <c r="AS172" s="1"/>
  <c r="AT172" s="1"/>
  <c r="AU172" s="1"/>
  <c r="AV172" s="1"/>
  <c r="AW172" s="1"/>
  <c r="AX172" s="1"/>
  <c r="AY172" s="1"/>
  <c r="AZ172" s="1"/>
  <c r="BA172" s="1"/>
  <c r="J172"/>
  <c r="R170" i="48" s="1"/>
  <c r="T112" i="28"/>
  <c r="AP174" i="20"/>
  <c r="AQ174" s="1"/>
  <c r="AR174" s="1"/>
  <c r="AS174" s="1"/>
  <c r="AT174" s="1"/>
  <c r="AU174" s="1"/>
  <c r="AV174" s="1"/>
  <c r="AW174" s="1"/>
  <c r="AX174" s="1"/>
  <c r="AY174" s="1"/>
  <c r="AZ174" s="1"/>
  <c r="BA174" s="1"/>
  <c r="J174"/>
  <c r="R172" i="48" s="1"/>
  <c r="X88" i="31"/>
  <c r="M239" i="20" s="1"/>
  <c r="BG258" i="48" s="1"/>
  <c r="L239" i="20"/>
  <c r="AO54" i="48"/>
  <c r="M54"/>
  <c r="L54" i="20"/>
  <c r="T54" i="48" s="1"/>
  <c r="AH54"/>
  <c r="Z74" i="20"/>
  <c r="Y74"/>
  <c r="X74"/>
  <c r="M11" i="61"/>
  <c r="L5" i="78"/>
  <c r="L6"/>
  <c r="L4"/>
  <c r="L3"/>
  <c r="J74" i="18"/>
  <c r="I78"/>
  <c r="D64" i="61"/>
  <c r="L54" i="28"/>
  <c r="L26" s="1"/>
  <c r="I77" i="18"/>
  <c r="V54" i="28"/>
  <c r="V26" s="1"/>
  <c r="Q4" i="78"/>
  <c r="Q5"/>
  <c r="Q6"/>
  <c r="Q3"/>
  <c r="I149" i="48"/>
  <c r="AK149"/>
  <c r="V62" i="31"/>
  <c r="J237" i="20"/>
  <c r="H285"/>
  <c r="I285" s="1"/>
  <c r="G13" i="81"/>
  <c r="G31" s="1"/>
  <c r="H149" i="20"/>
  <c r="G12" i="66"/>
  <c r="Z12" i="94"/>
  <c r="H207" i="20"/>
  <c r="G12" i="94"/>
  <c r="K79" i="20"/>
  <c r="J44" i="94"/>
  <c r="W10" i="31"/>
  <c r="U19" i="28"/>
  <c r="U21" s="1"/>
  <c r="L19"/>
  <c r="U134"/>
  <c r="K21"/>
  <c r="U34" i="20"/>
  <c r="U17"/>
  <c r="U42"/>
  <c r="U59"/>
  <c r="V6"/>
  <c r="U51"/>
  <c r="U25"/>
  <c r="X69" i="31"/>
  <c r="M238" i="20" s="1"/>
  <c r="BG257" i="48" s="1"/>
  <c r="L238" i="20"/>
  <c r="S111" i="28"/>
  <c r="AA135" i="32"/>
  <c r="AK141" i="48"/>
  <c r="AR141" s="1"/>
  <c r="I141"/>
  <c r="N4" i="78"/>
  <c r="N5"/>
  <c r="N6"/>
  <c r="N3"/>
  <c r="F4"/>
  <c r="F6"/>
  <c r="F5"/>
  <c r="F3"/>
  <c r="I5"/>
  <c r="I4"/>
  <c r="I6"/>
  <c r="I3"/>
  <c r="K252" i="20"/>
  <c r="S203" i="48" s="1"/>
  <c r="K14" i="18"/>
  <c r="L8"/>
  <c r="J88" i="89"/>
  <c r="K88" s="1"/>
  <c r="I275" i="20"/>
  <c r="J270"/>
  <c r="K89" i="28"/>
  <c r="L89" s="1"/>
  <c r="T89"/>
  <c r="J111"/>
  <c r="Q112" i="89"/>
  <c r="U80" i="18"/>
  <c r="T28" i="20"/>
  <c r="T31" s="1"/>
  <c r="L78" i="62"/>
  <c r="L45" i="39" s="1"/>
  <c r="T118" i="62"/>
  <c r="T68" i="39" s="1"/>
  <c r="W38" i="62"/>
  <c r="W22" i="39" s="1"/>
  <c r="Q238" i="62"/>
  <c r="Q137" i="39" s="1"/>
  <c r="R38" i="62"/>
  <c r="R22" i="39" s="1"/>
  <c r="W238" i="62"/>
  <c r="W137" i="39" s="1"/>
  <c r="P38" i="62"/>
  <c r="P22" i="39" s="1"/>
  <c r="O158" i="62"/>
  <c r="O91" i="39" s="1"/>
  <c r="U78" i="62"/>
  <c r="U45" i="39" s="1"/>
  <c r="V118" i="62"/>
  <c r="V68" i="39" s="1"/>
  <c r="N238" i="62"/>
  <c r="N137" i="39" s="1"/>
  <c r="N158" i="62"/>
  <c r="N91" i="39" s="1"/>
  <c r="L238" i="62"/>
  <c r="L137" i="39" s="1"/>
  <c r="M198" i="62"/>
  <c r="M114" i="39" s="1"/>
  <c r="L158" i="62"/>
  <c r="L91" i="39" s="1"/>
  <c r="L38" i="62"/>
  <c r="L22" i="39" s="1"/>
  <c r="M158" i="62"/>
  <c r="M91" i="39" s="1"/>
  <c r="M118" i="62"/>
  <c r="M68" i="39" s="1"/>
  <c r="W118" i="62"/>
  <c r="W68" i="39" s="1"/>
  <c r="L118" i="62"/>
  <c r="L68" i="39" s="1"/>
  <c r="U158" i="62"/>
  <c r="U91" i="39" s="1"/>
  <c r="T198" i="62"/>
  <c r="T114" i="39" s="1"/>
  <c r="N198" i="62"/>
  <c r="N114" i="39" s="1"/>
  <c r="P158" i="62"/>
  <c r="P91" i="39" s="1"/>
  <c r="N78" i="62"/>
  <c r="N45" i="39" s="1"/>
  <c r="T78" i="62"/>
  <c r="T45" i="39" s="1"/>
  <c r="O78" i="62"/>
  <c r="O45" i="39" s="1"/>
  <c r="N118" i="62"/>
  <c r="N68" i="39" s="1"/>
  <c r="L198" i="62"/>
  <c r="L114" i="39" s="1"/>
  <c r="P198" i="62"/>
  <c r="P114" i="39" s="1"/>
  <c r="U38" i="62"/>
  <c r="U22" i="39" s="1"/>
  <c r="S38" i="62"/>
  <c r="S22" i="39" s="1"/>
  <c r="P78" i="62"/>
  <c r="P45" i="39" s="1"/>
  <c r="V198" i="62"/>
  <c r="V114" i="39" s="1"/>
  <c r="S158" i="62"/>
  <c r="S91" i="39" s="1"/>
  <c r="R238" i="62"/>
  <c r="R137" i="39" s="1"/>
  <c r="R118" i="62"/>
  <c r="R68" i="39" s="1"/>
  <c r="V78" i="62"/>
  <c r="V45" i="39" s="1"/>
  <c r="W158" i="62"/>
  <c r="W91" i="39" s="1"/>
  <c r="S118" i="62"/>
  <c r="S68" i="39" s="1"/>
  <c r="O198" i="62"/>
  <c r="O114" i="39" s="1"/>
  <c r="U118" i="62"/>
  <c r="U68" i="39" s="1"/>
  <c r="M78" i="62"/>
  <c r="M45" i="39" s="1"/>
  <c r="T38" i="62"/>
  <c r="T22" i="39" s="1"/>
  <c r="M38" i="62"/>
  <c r="M22" i="39" s="1"/>
  <c r="Q78" i="62"/>
  <c r="Q45" i="39" s="1"/>
  <c r="S238" i="62"/>
  <c r="S137" i="39" s="1"/>
  <c r="Q158" i="62"/>
  <c r="Q91" i="39" s="1"/>
  <c r="V238" i="62"/>
  <c r="V137" i="39" s="1"/>
  <c r="R158" i="62"/>
  <c r="R91" i="39" s="1"/>
  <c r="N38" i="62"/>
  <c r="N22" i="39" s="1"/>
  <c r="W198" i="62"/>
  <c r="W114" i="39" s="1"/>
  <c r="W78" i="62"/>
  <c r="W45" i="39" s="1"/>
  <c r="R198" i="62"/>
  <c r="R114" i="39" s="1"/>
  <c r="V38" i="62"/>
  <c r="V22" i="39" s="1"/>
  <c r="Q38" i="62"/>
  <c r="Q22" i="39" s="1"/>
  <c r="U198" i="62"/>
  <c r="U114" i="39" s="1"/>
  <c r="R78" i="62"/>
  <c r="R45" i="39" s="1"/>
  <c r="P118" i="62"/>
  <c r="P68" i="39" s="1"/>
  <c r="T158" i="62"/>
  <c r="T91" i="39" s="1"/>
  <c r="Q118" i="62"/>
  <c r="Q68" i="39" s="1"/>
  <c r="O238" i="62"/>
  <c r="O137" i="39" s="1"/>
  <c r="Q198" i="62"/>
  <c r="Q114" i="39" s="1"/>
  <c r="S78" i="62"/>
  <c r="S45" i="39" s="1"/>
  <c r="P238" i="62"/>
  <c r="P137" i="39" s="1"/>
  <c r="O118" i="62"/>
  <c r="O68" i="39" s="1"/>
  <c r="O38" i="62"/>
  <c r="O22" i="39" s="1"/>
  <c r="V158" i="62"/>
  <c r="V91" i="39" s="1"/>
  <c r="T238" i="62"/>
  <c r="T137" i="39" s="1"/>
  <c r="M238" i="62"/>
  <c r="M137" i="39" s="1"/>
  <c r="S198" i="62"/>
  <c r="S114" i="39" s="1"/>
  <c r="U238" i="62"/>
  <c r="U137" i="39" s="1"/>
  <c r="V96" i="31"/>
  <c r="W96" s="1"/>
  <c r="X96" s="1"/>
  <c r="U95"/>
  <c r="G23" i="26"/>
  <c r="P93" i="48"/>
  <c r="AK142"/>
  <c r="I142"/>
  <c r="J142" s="1"/>
  <c r="K142" s="1"/>
  <c r="L142" s="1"/>
  <c r="M142" s="1"/>
  <c r="N142" s="1"/>
  <c r="W71" i="62"/>
  <c r="W38" i="39" s="1"/>
  <c r="AG79" i="20"/>
  <c r="I22" i="26"/>
  <c r="AM79" i="20"/>
  <c r="AN79"/>
  <c r="P90" i="22"/>
  <c r="Q111" i="62"/>
  <c r="Q61" i="39" s="1"/>
  <c r="P111" i="62"/>
  <c r="P61" i="39" s="1"/>
  <c r="AO79" i="20"/>
  <c r="AJ79"/>
  <c r="O111" i="62"/>
  <c r="O61" i="39" s="1"/>
  <c r="V71" i="62"/>
  <c r="V38" i="39" s="1"/>
  <c r="S111" i="62"/>
  <c r="S61" i="39" s="1"/>
  <c r="AD79" i="20"/>
  <c r="AK79"/>
  <c r="R111" i="62"/>
  <c r="R61" i="39" s="1"/>
  <c r="AH79" i="20"/>
  <c r="R79" i="48"/>
  <c r="AL79" i="20"/>
  <c r="T111" i="62"/>
  <c r="T61" i="39" s="1"/>
  <c r="AE79" i="20"/>
  <c r="AI79"/>
  <c r="N111" i="62"/>
  <c r="N61" i="39" s="1"/>
  <c r="AF79" i="20"/>
  <c r="U111" i="62"/>
  <c r="U61" i="39" s="1"/>
  <c r="L111" i="62"/>
  <c r="L61" i="39" s="1"/>
  <c r="M111" i="62"/>
  <c r="M61" i="39" s="1"/>
  <c r="J173" i="20"/>
  <c r="R171" i="48" s="1"/>
  <c r="AP173" i="20"/>
  <c r="AQ173" s="1"/>
  <c r="AR173" s="1"/>
  <c r="AS173" s="1"/>
  <c r="AT173" s="1"/>
  <c r="AU173" s="1"/>
  <c r="AV173" s="1"/>
  <c r="AW173" s="1"/>
  <c r="AX173" s="1"/>
  <c r="AY173" s="1"/>
  <c r="AZ173" s="1"/>
  <c r="BA173" s="1"/>
  <c r="L71" i="28"/>
  <c r="V71" s="1"/>
  <c r="J4" i="78"/>
  <c r="J5"/>
  <c r="J6"/>
  <c r="J3"/>
  <c r="I257" i="20"/>
  <c r="H269"/>
  <c r="I269" s="1"/>
  <c r="S74" i="28"/>
  <c r="S75" s="1"/>
  <c r="I139" i="48"/>
  <c r="AK139"/>
  <c r="R6" i="78"/>
  <c r="R5"/>
  <c r="R3"/>
  <c r="R4"/>
  <c r="H5"/>
  <c r="H6"/>
  <c r="H4"/>
  <c r="H3"/>
  <c r="P6"/>
  <c r="P3"/>
  <c r="P5"/>
  <c r="P4"/>
  <c r="R45" i="20"/>
  <c r="S86" i="18"/>
  <c r="F52" i="25"/>
  <c r="AB110" i="89"/>
  <c r="M6" i="78"/>
  <c r="M5"/>
  <c r="M4"/>
  <c r="M3"/>
  <c r="I140" i="48"/>
  <c r="AK140"/>
  <c r="AR140" s="1"/>
  <c r="W135" i="32"/>
  <c r="X135"/>
  <c r="M20" i="20"/>
  <c r="U20" i="48" s="1"/>
  <c r="AI20"/>
  <c r="AP20"/>
  <c r="N20"/>
  <c r="AH88" i="89"/>
  <c r="AI88" s="1"/>
  <c r="M13" i="18"/>
  <c r="R74" i="28"/>
  <c r="R75" s="1"/>
  <c r="S113"/>
  <c r="U74" i="31"/>
  <c r="V74" s="1"/>
  <c r="W74" s="1"/>
  <c r="X74" s="1"/>
  <c r="Q64"/>
  <c r="R64" s="1"/>
  <c r="T70" i="20"/>
  <c r="F6" i="82" s="1"/>
  <c r="J86" i="18"/>
  <c r="I89"/>
  <c r="V99" i="28"/>
  <c r="V28" s="1"/>
  <c r="I90" i="18"/>
  <c r="D66" i="61"/>
  <c r="L99" i="28"/>
  <c r="L28" s="1"/>
  <c r="R96"/>
  <c r="R97" s="1"/>
  <c r="R128"/>
  <c r="R22"/>
  <c r="R23" s="1"/>
  <c r="Z117"/>
  <c r="Z129" s="1"/>
  <c r="Z74"/>
  <c r="Z75" s="1"/>
  <c r="W76" i="48"/>
  <c r="AR76"/>
  <c r="K42" i="31"/>
  <c r="K76" i="48"/>
  <c r="X117" i="28"/>
  <c r="X129" s="1"/>
  <c r="X74"/>
  <c r="S23"/>
  <c r="W26" i="61"/>
  <c r="W40"/>
  <c r="W11"/>
  <c r="U110" i="28"/>
  <c r="V110"/>
  <c r="W117"/>
  <c r="W129" s="1"/>
  <c r="W74"/>
  <c r="Y74"/>
  <c r="Y75" s="1"/>
  <c r="W51"/>
  <c r="W52" s="1"/>
  <c r="I155" i="48"/>
  <c r="AK155"/>
  <c r="I158"/>
  <c r="J158" s="1"/>
  <c r="AK158"/>
  <c r="O42" i="31"/>
  <c r="J80" i="18"/>
  <c r="I91"/>
  <c r="I93" s="1"/>
  <c r="F83" i="22"/>
  <c r="L77" i="28"/>
  <c r="L27" s="1"/>
  <c r="V77"/>
  <c r="I84" i="18"/>
  <c r="I83"/>
  <c r="D65" i="61"/>
  <c r="I117" i="28"/>
  <c r="W96"/>
  <c r="W97" s="1"/>
  <c r="Y96"/>
  <c r="Y97" s="1"/>
  <c r="X96"/>
  <c r="X97" s="1"/>
  <c r="V90"/>
  <c r="Z51"/>
  <c r="Z52" s="1"/>
  <c r="U92"/>
  <c r="R51"/>
  <c r="Z96"/>
  <c r="Z97" s="1"/>
  <c r="AJ74" i="20"/>
  <c r="AF74"/>
  <c r="AN74"/>
  <c r="AG74"/>
  <c r="AI74"/>
  <c r="AO74"/>
  <c r="AH74"/>
  <c r="AM74"/>
  <c r="AK74"/>
  <c r="AD74"/>
  <c r="AE74"/>
  <c r="AL74"/>
  <c r="U90" i="28"/>
  <c r="F38" i="78"/>
  <c r="D38" s="1"/>
  <c r="D36"/>
  <c r="U74" i="20"/>
  <c r="W74"/>
  <c r="V74"/>
  <c r="AB139" i="32"/>
  <c r="AB23"/>
  <c r="AB18"/>
  <c r="AB135"/>
  <c r="AB25"/>
  <c r="AB137"/>
  <c r="AB24"/>
  <c r="AB28"/>
  <c r="AB141"/>
  <c r="V48" i="28"/>
  <c r="R117"/>
  <c r="R129" s="1"/>
  <c r="K263" i="20" l="1"/>
  <c r="L258"/>
  <c r="R97" i="89"/>
  <c r="W7" i="62" s="1"/>
  <c r="Q96" i="89"/>
  <c r="V6" i="62" s="1"/>
  <c r="V3" i="39" s="1"/>
  <c r="U70" i="28"/>
  <c r="L70"/>
  <c r="V70" s="1"/>
  <c r="S133"/>
  <c r="S135" s="1"/>
  <c r="R112" i="89"/>
  <c r="G12" i="25"/>
  <c r="T76" i="18"/>
  <c r="G112" i="89" s="1"/>
  <c r="G98" s="1"/>
  <c r="L44" i="62" s="1"/>
  <c r="S19" i="20"/>
  <c r="S22" s="1"/>
  <c r="F34" i="25"/>
  <c r="T36" i="20"/>
  <c r="T39" s="1"/>
  <c r="G34" i="25" s="1"/>
  <c r="H77" i="28"/>
  <c r="H27" s="1"/>
  <c r="K90" i="44"/>
  <c r="J103"/>
  <c r="J104" s="1"/>
  <c r="M17" i="101"/>
  <c r="GJ6" i="58"/>
  <c r="GK5"/>
  <c r="GK4"/>
  <c r="L6"/>
  <c r="X6"/>
  <c r="EB6"/>
  <c r="GU6"/>
  <c r="GV4"/>
  <c r="GV5"/>
  <c r="M26" i="61"/>
  <c r="S11" i="20"/>
  <c r="S14" s="1"/>
  <c r="T74" i="18"/>
  <c r="F13" i="25"/>
  <c r="Y5" i="58"/>
  <c r="EC5"/>
  <c r="M5"/>
  <c r="EC4"/>
  <c r="M4"/>
  <c r="Y4"/>
  <c r="C12" i="61"/>
  <c r="C41"/>
  <c r="R118" i="28"/>
  <c r="R130" s="1"/>
  <c r="R131" s="1"/>
  <c r="M21" i="101"/>
  <c r="S96" i="28"/>
  <c r="S97" s="1"/>
  <c r="T91"/>
  <c r="K91"/>
  <c r="AD87" i="32"/>
  <c r="Z87"/>
  <c r="O125"/>
  <c r="P125" s="1"/>
  <c r="J125"/>
  <c r="O61"/>
  <c r="J61"/>
  <c r="O36"/>
  <c r="J36"/>
  <c r="Z126"/>
  <c r="AD126"/>
  <c r="O44"/>
  <c r="P44" s="1"/>
  <c r="J44"/>
  <c r="AD132"/>
  <c r="Z132"/>
  <c r="Z36"/>
  <c r="AD36"/>
  <c r="O42"/>
  <c r="P42" s="1"/>
  <c r="J42"/>
  <c r="Z46"/>
  <c r="AD46"/>
  <c r="Z53"/>
  <c r="AD53"/>
  <c r="O107"/>
  <c r="P107" s="1"/>
  <c r="J107"/>
  <c r="O43"/>
  <c r="P43" s="1"/>
  <c r="J43"/>
  <c r="AD63"/>
  <c r="Z63"/>
  <c r="O85"/>
  <c r="J85"/>
  <c r="O124"/>
  <c r="J124"/>
  <c r="AD108"/>
  <c r="Z108"/>
  <c r="Z44"/>
  <c r="AD44"/>
  <c r="O82"/>
  <c r="J82"/>
  <c r="Z118"/>
  <c r="AD118"/>
  <c r="Z54"/>
  <c r="AD54"/>
  <c r="Z93"/>
  <c r="AD93"/>
  <c r="O103"/>
  <c r="J103"/>
  <c r="J71"/>
  <c r="O71"/>
  <c r="P71" s="1"/>
  <c r="J39"/>
  <c r="O39"/>
  <c r="P39" s="1"/>
  <c r="Z107"/>
  <c r="AD107"/>
  <c r="Z75"/>
  <c r="AD75"/>
  <c r="AD43"/>
  <c r="Z43"/>
  <c r="O113"/>
  <c r="J113"/>
  <c r="O81"/>
  <c r="P81" s="1"/>
  <c r="J81"/>
  <c r="J49"/>
  <c r="O49"/>
  <c r="P49" s="1"/>
  <c r="O120"/>
  <c r="J120"/>
  <c r="O88"/>
  <c r="J88"/>
  <c r="J56"/>
  <c r="O56"/>
  <c r="J104"/>
  <c r="Z104"/>
  <c r="AD104"/>
  <c r="Z72"/>
  <c r="AD72"/>
  <c r="Z40"/>
  <c r="AD40"/>
  <c r="O110"/>
  <c r="P110" s="1"/>
  <c r="J110"/>
  <c r="O78"/>
  <c r="P78" s="1"/>
  <c r="J78"/>
  <c r="O46"/>
  <c r="P46" s="1"/>
  <c r="J46"/>
  <c r="Z114"/>
  <c r="AD114"/>
  <c r="Z82"/>
  <c r="AD82"/>
  <c r="AD50"/>
  <c r="Z50"/>
  <c r="AD121"/>
  <c r="Z121"/>
  <c r="AD89"/>
  <c r="Z89"/>
  <c r="AD57"/>
  <c r="AE57" s="1"/>
  <c r="Z57"/>
  <c r="J114" i="28"/>
  <c r="T47"/>
  <c r="K47"/>
  <c r="J50"/>
  <c r="K56" i="44"/>
  <c r="L46" i="48"/>
  <c r="AN46"/>
  <c r="K46" i="20"/>
  <c r="S46" i="48" s="1"/>
  <c r="AG46"/>
  <c r="O131" i="32"/>
  <c r="J131"/>
  <c r="J67"/>
  <c r="O67"/>
  <c r="P67" s="1"/>
  <c r="AD103"/>
  <c r="Z103"/>
  <c r="Z39"/>
  <c r="AD39"/>
  <c r="AE39" s="1"/>
  <c r="J77"/>
  <c r="O77"/>
  <c r="P77" s="1"/>
  <c r="O116"/>
  <c r="J116"/>
  <c r="O52"/>
  <c r="P52" s="1"/>
  <c r="J52"/>
  <c r="J74"/>
  <c r="O74"/>
  <c r="AD69"/>
  <c r="Z69"/>
  <c r="O108"/>
  <c r="J108"/>
  <c r="Z52"/>
  <c r="AD52"/>
  <c r="O58"/>
  <c r="P58" s="1"/>
  <c r="J58"/>
  <c r="Z62"/>
  <c r="AD62"/>
  <c r="Z85"/>
  <c r="AD85"/>
  <c r="AE85" s="1"/>
  <c r="O123"/>
  <c r="P123" s="1"/>
  <c r="J123"/>
  <c r="O59"/>
  <c r="P59" s="1"/>
  <c r="J59"/>
  <c r="AD79"/>
  <c r="Z79"/>
  <c r="J117"/>
  <c r="O117"/>
  <c r="J37"/>
  <c r="O37"/>
  <c r="O60"/>
  <c r="J60"/>
  <c r="AD124"/>
  <c r="Z124"/>
  <c r="Z60"/>
  <c r="AD60"/>
  <c r="J98"/>
  <c r="O98"/>
  <c r="P98" s="1"/>
  <c r="O34"/>
  <c r="P34" s="1"/>
  <c r="J34"/>
  <c r="AD70"/>
  <c r="Z70"/>
  <c r="Z109"/>
  <c r="AD109"/>
  <c r="AE109" s="1"/>
  <c r="Z45"/>
  <c r="AD45"/>
  <c r="J111"/>
  <c r="O111"/>
  <c r="O79"/>
  <c r="J79"/>
  <c r="O47"/>
  <c r="P47" s="1"/>
  <c r="J47"/>
  <c r="AD115"/>
  <c r="AE115" s="1"/>
  <c r="Z115"/>
  <c r="AD83"/>
  <c r="AE83" s="1"/>
  <c r="Z83"/>
  <c r="AD51"/>
  <c r="AE51" s="1"/>
  <c r="Z51"/>
  <c r="J121"/>
  <c r="O121"/>
  <c r="O89"/>
  <c r="J89"/>
  <c r="O57"/>
  <c r="P57" s="1"/>
  <c r="J57"/>
  <c r="O128"/>
  <c r="J128"/>
  <c r="O96"/>
  <c r="P96" s="1"/>
  <c r="J96"/>
  <c r="AD112"/>
  <c r="Z112"/>
  <c r="AD80"/>
  <c r="Z80"/>
  <c r="Z48"/>
  <c r="AD48"/>
  <c r="O118"/>
  <c r="J118"/>
  <c r="O86"/>
  <c r="J86"/>
  <c r="O54"/>
  <c r="P54" s="1"/>
  <c r="J54"/>
  <c r="Z122"/>
  <c r="AD122"/>
  <c r="AD90"/>
  <c r="Z90"/>
  <c r="Z58"/>
  <c r="AD58"/>
  <c r="AE58" s="1"/>
  <c r="AD129"/>
  <c r="Z129"/>
  <c r="Z97"/>
  <c r="AD97"/>
  <c r="AE97" s="1"/>
  <c r="Z65"/>
  <c r="AD65"/>
  <c r="AE65" s="1"/>
  <c r="Z33"/>
  <c r="AD33"/>
  <c r="S50" i="28"/>
  <c r="S114"/>
  <c r="AR156" i="48"/>
  <c r="W156"/>
  <c r="J84" i="22"/>
  <c r="M92" i="18"/>
  <c r="J51" i="32"/>
  <c r="O51"/>
  <c r="P51" s="1"/>
  <c r="Z116"/>
  <c r="AD116"/>
  <c r="T69" i="28"/>
  <c r="J73"/>
  <c r="K69"/>
  <c r="L69" s="1"/>
  <c r="J113"/>
  <c r="J83" i="32"/>
  <c r="O83"/>
  <c r="AD119"/>
  <c r="Z119"/>
  <c r="AD55"/>
  <c r="Z55"/>
  <c r="J93"/>
  <c r="O93"/>
  <c r="O132"/>
  <c r="J132"/>
  <c r="J68"/>
  <c r="O68"/>
  <c r="P68" s="1"/>
  <c r="O122"/>
  <c r="J122"/>
  <c r="AD117"/>
  <c r="Z117"/>
  <c r="O101"/>
  <c r="P101" s="1"/>
  <c r="J101"/>
  <c r="AD84"/>
  <c r="Z84"/>
  <c r="J90"/>
  <c r="O90"/>
  <c r="AD94"/>
  <c r="Z94"/>
  <c r="Z101"/>
  <c r="AD101"/>
  <c r="AE101" s="1"/>
  <c r="J75"/>
  <c r="O75"/>
  <c r="Z95"/>
  <c r="AD95"/>
  <c r="AE95" s="1"/>
  <c r="O133"/>
  <c r="J133"/>
  <c r="O53"/>
  <c r="P53" s="1"/>
  <c r="J53"/>
  <c r="O76"/>
  <c r="J76"/>
  <c r="AD76"/>
  <c r="Z76"/>
  <c r="J114"/>
  <c r="O114"/>
  <c r="O50"/>
  <c r="P50" s="1"/>
  <c r="J50"/>
  <c r="AD86"/>
  <c r="Z86"/>
  <c r="AD125"/>
  <c r="AE125" s="1"/>
  <c r="Z125"/>
  <c r="AD61"/>
  <c r="Z61"/>
  <c r="J119"/>
  <c r="O119"/>
  <c r="J87"/>
  <c r="O87"/>
  <c r="O55"/>
  <c r="P55" s="1"/>
  <c r="J55"/>
  <c r="AD123"/>
  <c r="Z123"/>
  <c r="AD91"/>
  <c r="AE91" s="1"/>
  <c r="Z91"/>
  <c r="AD59"/>
  <c r="AE59" s="1"/>
  <c r="Z59"/>
  <c r="O129"/>
  <c r="P129" s="1"/>
  <c r="J129"/>
  <c r="J97"/>
  <c r="O97"/>
  <c r="P97" s="1"/>
  <c r="O65"/>
  <c r="P65" s="1"/>
  <c r="J65"/>
  <c r="J33"/>
  <c r="O33"/>
  <c r="O72"/>
  <c r="P72" s="1"/>
  <c r="J72"/>
  <c r="O40"/>
  <c r="J40"/>
  <c r="AD120"/>
  <c r="Z120"/>
  <c r="AD88"/>
  <c r="Z88"/>
  <c r="Z56"/>
  <c r="AD56"/>
  <c r="O126"/>
  <c r="J126"/>
  <c r="O94"/>
  <c r="J94"/>
  <c r="O62"/>
  <c r="J62"/>
  <c r="AD130"/>
  <c r="AE130" s="1"/>
  <c r="Z130"/>
  <c r="AD98"/>
  <c r="AE98" s="1"/>
  <c r="Z98"/>
  <c r="Z66"/>
  <c r="AD66"/>
  <c r="AD34"/>
  <c r="Z34"/>
  <c r="AD105"/>
  <c r="Z105"/>
  <c r="AD73"/>
  <c r="Z73"/>
  <c r="Z41"/>
  <c r="AD41"/>
  <c r="K93" i="28"/>
  <c r="L93" s="1"/>
  <c r="J115"/>
  <c r="T93"/>
  <c r="T115" s="1"/>
  <c r="L47"/>
  <c r="L112"/>
  <c r="J95"/>
  <c r="J115" i="32"/>
  <c r="O115"/>
  <c r="P115" s="1"/>
  <c r="O100"/>
  <c r="J100"/>
  <c r="AN37" i="48"/>
  <c r="AG29"/>
  <c r="K29" i="20"/>
  <c r="S29" i="48" s="1"/>
  <c r="L29"/>
  <c r="K37" i="20"/>
  <c r="S37" i="48" s="1"/>
  <c r="AN29"/>
  <c r="AG37"/>
  <c r="K51" i="44"/>
  <c r="L37" i="48"/>
  <c r="J99" i="32"/>
  <c r="O99"/>
  <c r="P99" s="1"/>
  <c r="O35"/>
  <c r="J35"/>
  <c r="AD71"/>
  <c r="AE71" s="1"/>
  <c r="Z71"/>
  <c r="O109"/>
  <c r="P109" s="1"/>
  <c r="J109"/>
  <c r="J45"/>
  <c r="O45"/>
  <c r="P45" s="1"/>
  <c r="O84"/>
  <c r="J84"/>
  <c r="Z68"/>
  <c r="AD68"/>
  <c r="Z78"/>
  <c r="AD78"/>
  <c r="AE78" s="1"/>
  <c r="AD111"/>
  <c r="Z111"/>
  <c r="Z100"/>
  <c r="AD100"/>
  <c r="O106"/>
  <c r="J106"/>
  <c r="AD110"/>
  <c r="AE110" s="1"/>
  <c r="Z110"/>
  <c r="Z133"/>
  <c r="AD133"/>
  <c r="Z37"/>
  <c r="AD37"/>
  <c r="O91"/>
  <c r="P91" s="1"/>
  <c r="J91"/>
  <c r="AD127"/>
  <c r="Z127"/>
  <c r="AD47"/>
  <c r="Z47"/>
  <c r="O69"/>
  <c r="P69" s="1"/>
  <c r="J69"/>
  <c r="O92"/>
  <c r="P92" s="1"/>
  <c r="J92"/>
  <c r="Z92"/>
  <c r="AD92"/>
  <c r="AE92" s="1"/>
  <c r="J130"/>
  <c r="O130"/>
  <c r="P130" s="1"/>
  <c r="O66"/>
  <c r="P66" s="1"/>
  <c r="J66"/>
  <c r="AD102"/>
  <c r="Z102"/>
  <c r="Z38"/>
  <c r="AD38"/>
  <c r="Z77"/>
  <c r="AD77"/>
  <c r="O127"/>
  <c r="J127"/>
  <c r="O95"/>
  <c r="P95" s="1"/>
  <c r="J95"/>
  <c r="O63"/>
  <c r="J63"/>
  <c r="Z131"/>
  <c r="AD131"/>
  <c r="AD99"/>
  <c r="AE99" s="1"/>
  <c r="Z99"/>
  <c r="Z67"/>
  <c r="AD67"/>
  <c r="AE67" s="1"/>
  <c r="Z35"/>
  <c r="AD35"/>
  <c r="J105"/>
  <c r="O105"/>
  <c r="O73"/>
  <c r="P73" s="1"/>
  <c r="J73"/>
  <c r="O41"/>
  <c r="J41"/>
  <c r="J112"/>
  <c r="O112"/>
  <c r="O80"/>
  <c r="J80"/>
  <c r="O48"/>
  <c r="P48" s="1"/>
  <c r="J48"/>
  <c r="AD128"/>
  <c r="Z128"/>
  <c r="Z96"/>
  <c r="AD96"/>
  <c r="AE96" s="1"/>
  <c r="J64"/>
  <c r="Z64"/>
  <c r="AD64"/>
  <c r="AE64" s="1"/>
  <c r="AD134"/>
  <c r="Z134"/>
  <c r="J134"/>
  <c r="J102"/>
  <c r="O102"/>
  <c r="O70"/>
  <c r="P70" s="1"/>
  <c r="J70"/>
  <c r="O38"/>
  <c r="J38"/>
  <c r="Z106"/>
  <c r="AD106"/>
  <c r="Z74"/>
  <c r="AD74"/>
  <c r="Z42"/>
  <c r="AD42"/>
  <c r="Z113"/>
  <c r="AD113"/>
  <c r="Z81"/>
  <c r="AD81"/>
  <c r="AE81" s="1"/>
  <c r="AD49"/>
  <c r="AE49" s="1"/>
  <c r="Z49"/>
  <c r="R158" i="48"/>
  <c r="K158" i="20"/>
  <c r="U6" i="57"/>
  <c r="U5"/>
  <c r="F97" i="89"/>
  <c r="W3" i="62" s="1"/>
  <c r="W2" i="39" s="1"/>
  <c r="AF15" i="31"/>
  <c r="L17" i="44"/>
  <c r="AI12" i="48"/>
  <c r="AP12"/>
  <c r="N12"/>
  <c r="M12" i="20"/>
  <c r="U12" i="48" s="1"/>
  <c r="U74" i="18"/>
  <c r="T11" i="20"/>
  <c r="T14" s="1"/>
  <c r="F112" i="89"/>
  <c r="L142" i="20"/>
  <c r="S142" i="48"/>
  <c r="O107" i="62"/>
  <c r="O57" i="39" s="1"/>
  <c r="AL76" i="20"/>
  <c r="V67" i="62"/>
  <c r="V34" i="39" s="1"/>
  <c r="AM76" i="20"/>
  <c r="P107" i="62"/>
  <c r="P57" i="39" s="1"/>
  <c r="AD76" i="20"/>
  <c r="S107" i="62"/>
  <c r="S57" i="39" s="1"/>
  <c r="Q107" i="62"/>
  <c r="Q57" i="39" s="1"/>
  <c r="AH76" i="20"/>
  <c r="U107" i="62"/>
  <c r="U57" i="39" s="1"/>
  <c r="AE76" i="20"/>
  <c r="R107" i="62"/>
  <c r="R57" i="39" s="1"/>
  <c r="L107" i="62"/>
  <c r="L57" i="39" s="1"/>
  <c r="AK76" i="20"/>
  <c r="N107" i="62"/>
  <c r="N57" i="39" s="1"/>
  <c r="T107" i="62"/>
  <c r="T57" i="39" s="1"/>
  <c r="W67" i="62"/>
  <c r="W34" i="39" s="1"/>
  <c r="AN76" i="20"/>
  <c r="AG76"/>
  <c r="M107" i="62"/>
  <c r="M57" i="39" s="1"/>
  <c r="AJ76" i="20"/>
  <c r="AO76"/>
  <c r="R76" i="48"/>
  <c r="AI76" i="20"/>
  <c r="AF76"/>
  <c r="V10" i="62"/>
  <c r="V12" s="1"/>
  <c r="V14" s="1"/>
  <c r="K76" i="20"/>
  <c r="W42" i="31"/>
  <c r="AC111" i="89"/>
  <c r="AC97" s="1"/>
  <c r="W10" i="62" s="1"/>
  <c r="W12" s="1"/>
  <c r="W14" s="1"/>
  <c r="S92" i="18"/>
  <c r="S53" i="20"/>
  <c r="S56" s="1"/>
  <c r="T88" i="18"/>
  <c r="K173" i="20"/>
  <c r="S171" i="48" s="1"/>
  <c r="BB173" i="20"/>
  <c r="BC173" s="1"/>
  <c r="BD173" s="1"/>
  <c r="BE173" s="1"/>
  <c r="BF173" s="1"/>
  <c r="BG173" s="1"/>
  <c r="BH173" s="1"/>
  <c r="BI173" s="1"/>
  <c r="BJ173" s="1"/>
  <c r="BK173" s="1"/>
  <c r="BL173" s="1"/>
  <c r="BM173" s="1"/>
  <c r="V134" i="28"/>
  <c r="L21"/>
  <c r="V19"/>
  <c r="V21" s="1"/>
  <c r="M39" i="61"/>
  <c r="M25"/>
  <c r="V89" i="28"/>
  <c r="V111" s="1"/>
  <c r="L111"/>
  <c r="R90" i="20"/>
  <c r="R48"/>
  <c r="J257"/>
  <c r="I262"/>
  <c r="W93" i="48"/>
  <c r="AR93"/>
  <c r="U28" i="20"/>
  <c r="U31" s="1"/>
  <c r="V80" i="18"/>
  <c r="Q113" i="89"/>
  <c r="F35" i="25"/>
  <c r="U89" i="28"/>
  <c r="U111" s="1"/>
  <c r="K111"/>
  <c r="L252" i="20"/>
  <c r="T203" i="48" s="1"/>
  <c r="M8" i="18"/>
  <c r="L88" i="89"/>
  <c r="M88" s="1"/>
  <c r="L14" i="18"/>
  <c r="F31" i="101"/>
  <c r="I12" i="94"/>
  <c r="G36" s="1"/>
  <c r="N36" s="1"/>
  <c r="P149" i="48"/>
  <c r="G21" i="76"/>
  <c r="Q149" i="20"/>
  <c r="K237"/>
  <c r="W62" i="31"/>
  <c r="K74" i="18"/>
  <c r="W54" i="28"/>
  <c r="W26" s="1"/>
  <c r="E64" i="61"/>
  <c r="J77" i="18"/>
  <c r="J78"/>
  <c r="M54" i="28"/>
  <c r="M26" s="1"/>
  <c r="AI54" i="48"/>
  <c r="M54" i="20"/>
  <c r="AP54" i="48"/>
  <c r="N54"/>
  <c r="R113" i="89"/>
  <c r="U36" i="20"/>
  <c r="U39" s="1"/>
  <c r="V82" i="18"/>
  <c r="U70" i="20"/>
  <c r="G6" i="82" s="1"/>
  <c r="W141" i="48"/>
  <c r="W180" s="1"/>
  <c r="W140"/>
  <c r="W179" s="1"/>
  <c r="T86" i="18"/>
  <c r="S91"/>
  <c r="AB111" i="89"/>
  <c r="S45" i="20"/>
  <c r="F53" i="25"/>
  <c r="I190" i="48"/>
  <c r="I192" s="1"/>
  <c r="J190" s="1"/>
  <c r="I143"/>
  <c r="I151" s="1"/>
  <c r="I274" i="20"/>
  <c r="J269"/>
  <c r="AR142" i="48"/>
  <c r="W142"/>
  <c r="W181" s="1"/>
  <c r="AL142"/>
  <c r="T111" i="28"/>
  <c r="AU79" i="20"/>
  <c r="S151" i="62"/>
  <c r="S84" i="39" s="1"/>
  <c r="AQ79" i="20"/>
  <c r="M151" i="62"/>
  <c r="M84" i="39" s="1"/>
  <c r="AY79" i="20"/>
  <c r="P151" i="62"/>
  <c r="P84" i="39" s="1"/>
  <c r="S79" i="48"/>
  <c r="AT79" i="20"/>
  <c r="AV79"/>
  <c r="AR79"/>
  <c r="L151" i="62"/>
  <c r="L84" i="39" s="1"/>
  <c r="U151" i="62"/>
  <c r="U84" i="39" s="1"/>
  <c r="T151" i="62"/>
  <c r="T84" i="39" s="1"/>
  <c r="AZ79" i="20"/>
  <c r="AP79"/>
  <c r="V111" i="62"/>
  <c r="V61" i="39" s="1"/>
  <c r="J22" i="26"/>
  <c r="Q90" i="22"/>
  <c r="AW79" i="20"/>
  <c r="BA79"/>
  <c r="O151" i="62"/>
  <c r="O84" i="39" s="1"/>
  <c r="Q151" i="62"/>
  <c r="Q84" i="39" s="1"/>
  <c r="R151" i="62"/>
  <c r="R84" i="39" s="1"/>
  <c r="W111" i="62"/>
  <c r="W61" i="39" s="1"/>
  <c r="N151" i="62"/>
  <c r="N84" i="39" s="1"/>
  <c r="AS79" i="20"/>
  <c r="AX79"/>
  <c r="I12" i="66"/>
  <c r="G29"/>
  <c r="N29" s="1"/>
  <c r="L25" i="28"/>
  <c r="AB96" i="89"/>
  <c r="J275" i="20"/>
  <c r="K270"/>
  <c r="K44" i="94"/>
  <c r="L79" i="20"/>
  <c r="X10" i="31"/>
  <c r="AK190" i="48"/>
  <c r="AK143"/>
  <c r="AK151" s="1"/>
  <c r="V95" i="31"/>
  <c r="J240" i="20"/>
  <c r="J117" i="28"/>
  <c r="Z203" i="48"/>
  <c r="AU203"/>
  <c r="V17" i="20"/>
  <c r="V51"/>
  <c r="V25"/>
  <c r="W6"/>
  <c r="V59"/>
  <c r="V34"/>
  <c r="V42"/>
  <c r="U22" i="28"/>
  <c r="U23" s="1"/>
  <c r="U128"/>
  <c r="I293" i="20"/>
  <c r="I294" s="1"/>
  <c r="I305" s="1"/>
  <c r="J285"/>
  <c r="I288"/>
  <c r="I289" s="1"/>
  <c r="BB174"/>
  <c r="BC174" s="1"/>
  <c r="BD174" s="1"/>
  <c r="BE174" s="1"/>
  <c r="BF174" s="1"/>
  <c r="BG174" s="1"/>
  <c r="BH174" s="1"/>
  <c r="BI174" s="1"/>
  <c r="BJ174" s="1"/>
  <c r="BK174" s="1"/>
  <c r="BL174" s="1"/>
  <c r="BM174" s="1"/>
  <c r="K174"/>
  <c r="S172" i="48" s="1"/>
  <c r="BB172" i="20"/>
  <c r="BC172" s="1"/>
  <c r="BD172" s="1"/>
  <c r="BE172" s="1"/>
  <c r="BF172" s="1"/>
  <c r="BG172" s="1"/>
  <c r="BH172" s="1"/>
  <c r="BI172" s="1"/>
  <c r="BJ172" s="1"/>
  <c r="BK172" s="1"/>
  <c r="BL172" s="1"/>
  <c r="BM172" s="1"/>
  <c r="K172"/>
  <c r="S170" i="48" s="1"/>
  <c r="J74" i="20"/>
  <c r="F85" i="22"/>
  <c r="I94" i="18"/>
  <c r="W264" i="62"/>
  <c r="W149" i="39" s="1"/>
  <c r="P300" i="62"/>
  <c r="P172" i="39" s="1"/>
  <c r="M300" i="62"/>
  <c r="M172" i="39" s="1"/>
  <c r="Q300" i="62"/>
  <c r="Q172" i="39" s="1"/>
  <c r="L300" i="62"/>
  <c r="L172" i="39" s="1"/>
  <c r="S300" i="62"/>
  <c r="S172" i="39" s="1"/>
  <c r="O300" i="62"/>
  <c r="O172" i="39" s="1"/>
  <c r="AE76" i="48"/>
  <c r="T300" i="62"/>
  <c r="T172" i="39" s="1"/>
  <c r="R300" i="62"/>
  <c r="R172" i="39" s="1"/>
  <c r="U300" i="62"/>
  <c r="U172" i="39" s="1"/>
  <c r="V264" i="62"/>
  <c r="V149" i="39" s="1"/>
  <c r="N300" i="62"/>
  <c r="N172" i="39" s="1"/>
  <c r="W39" i="61"/>
  <c r="W25"/>
  <c r="L553" i="62"/>
  <c r="L333" i="39" s="1"/>
  <c r="S553" i="62"/>
  <c r="S333" i="39" s="1"/>
  <c r="U553" i="62"/>
  <c r="U333" i="39" s="1"/>
  <c r="W517" i="62"/>
  <c r="W310" i="39" s="1"/>
  <c r="Q553" i="62"/>
  <c r="Q333" i="39" s="1"/>
  <c r="V517" i="62"/>
  <c r="V310" i="39" s="1"/>
  <c r="P553" i="62"/>
  <c r="P333" i="39" s="1"/>
  <c r="M553" i="62"/>
  <c r="M333" i="39" s="1"/>
  <c r="T553" i="62"/>
  <c r="T333" i="39" s="1"/>
  <c r="R553" i="62"/>
  <c r="R333" i="39" s="1"/>
  <c r="N553" i="62"/>
  <c r="N333" i="39" s="1"/>
  <c r="O553" i="62"/>
  <c r="O333" i="39" s="1"/>
  <c r="BP73" i="20"/>
  <c r="BQ73"/>
  <c r="BW73"/>
  <c r="BX73"/>
  <c r="BV73"/>
  <c r="BU73"/>
  <c r="BS73"/>
  <c r="BR73"/>
  <c r="BN73"/>
  <c r="BY73"/>
  <c r="BT73"/>
  <c r="BO73"/>
  <c r="Y118" i="28"/>
  <c r="U112"/>
  <c r="R73" i="20"/>
  <c r="T73"/>
  <c r="S73"/>
  <c r="K158" i="48"/>
  <c r="BI73" i="20"/>
  <c r="BL73"/>
  <c r="BJ73"/>
  <c r="BE73"/>
  <c r="BC73"/>
  <c r="BM73"/>
  <c r="BG73"/>
  <c r="BB73"/>
  <c r="BK73"/>
  <c r="BF73"/>
  <c r="BD73"/>
  <c r="BH73"/>
  <c r="AJ73"/>
  <c r="AI73"/>
  <c r="AH73"/>
  <c r="AM73"/>
  <c r="AG73"/>
  <c r="AK73"/>
  <c r="AE73"/>
  <c r="AD73"/>
  <c r="AN73"/>
  <c r="AF73"/>
  <c r="AO73"/>
  <c r="AL73"/>
  <c r="AY73"/>
  <c r="AP73"/>
  <c r="AV73"/>
  <c r="AR73"/>
  <c r="AQ73"/>
  <c r="AS73"/>
  <c r="AW73"/>
  <c r="AX73"/>
  <c r="AU73"/>
  <c r="BA73"/>
  <c r="AT73"/>
  <c r="AZ73"/>
  <c r="K86" i="18"/>
  <c r="J90"/>
  <c r="M99" i="28"/>
  <c r="M28" s="1"/>
  <c r="W99"/>
  <c r="W28" s="1"/>
  <c r="J89" i="18"/>
  <c r="E66" i="61"/>
  <c r="I159" i="48"/>
  <c r="X76"/>
  <c r="Z118" i="28"/>
  <c r="W158" i="48"/>
  <c r="AL158"/>
  <c r="AE158" s="1"/>
  <c r="AR158"/>
  <c r="W155"/>
  <c r="AK159"/>
  <c r="AR155"/>
  <c r="T74" i="20"/>
  <c r="S74"/>
  <c r="R74"/>
  <c r="Y119" i="28"/>
  <c r="W118"/>
  <c r="W130" s="1"/>
  <c r="W131" s="1"/>
  <c r="X118"/>
  <c r="AS76" i="48"/>
  <c r="Z119" i="28"/>
  <c r="L105" i="62"/>
  <c r="L55" i="39" s="1"/>
  <c r="W65" i="62"/>
  <c r="W32" i="39" s="1"/>
  <c r="R105" i="62"/>
  <c r="R55" i="39" s="1"/>
  <c r="N105" i="62"/>
  <c r="N55" i="39" s="1"/>
  <c r="U105" i="62"/>
  <c r="U55" i="39" s="1"/>
  <c r="V65" i="62"/>
  <c r="V32" i="39" s="1"/>
  <c r="P105" i="62"/>
  <c r="P55" i="39" s="1"/>
  <c r="O105" i="62"/>
  <c r="O55" i="39" s="1"/>
  <c r="R74" i="48"/>
  <c r="T105" i="62"/>
  <c r="T55" i="39" s="1"/>
  <c r="Q105" i="62"/>
  <c r="Q55" i="39" s="1"/>
  <c r="S105" i="62"/>
  <c r="S55" i="39" s="1"/>
  <c r="M105" i="62"/>
  <c r="M55" i="39" s="1"/>
  <c r="I161" i="48"/>
  <c r="AK161"/>
  <c r="V27" i="28"/>
  <c r="V25" s="1"/>
  <c r="V121"/>
  <c r="K80" i="18"/>
  <c r="W77" i="28"/>
  <c r="J84" i="18"/>
  <c r="J83"/>
  <c r="M77" i="28"/>
  <c r="M27" s="1"/>
  <c r="E65" i="61"/>
  <c r="J91" i="18"/>
  <c r="J93" s="1"/>
  <c r="G83" i="22"/>
  <c r="P42" i="31"/>
  <c r="AM76" i="48"/>
  <c r="L42" i="31"/>
  <c r="L76" i="48"/>
  <c r="R52" i="28"/>
  <c r="R119" s="1"/>
  <c r="W75"/>
  <c r="W119" s="1"/>
  <c r="V112"/>
  <c r="X75"/>
  <c r="X119" s="1"/>
  <c r="AF109" i="32" l="1"/>
  <c r="AG109" s="1"/>
  <c r="AF55"/>
  <c r="AF81"/>
  <c r="AG81" s="1"/>
  <c r="L263" i="20"/>
  <c r="M258"/>
  <c r="M263" s="1"/>
  <c r="R98" i="89"/>
  <c r="L47" i="62" s="1"/>
  <c r="Q97" i="89"/>
  <c r="W6" i="62" s="1"/>
  <c r="W3" i="39" s="1"/>
  <c r="T133" i="28"/>
  <c r="T135" s="1"/>
  <c r="AF49" i="32"/>
  <c r="AG49" s="1"/>
  <c r="T95" i="28"/>
  <c r="S64" i="20"/>
  <c r="U76" i="18"/>
  <c r="G113" i="89" s="1"/>
  <c r="G99" s="1"/>
  <c r="M44" i="62" s="1"/>
  <c r="H54" i="28"/>
  <c r="H26" s="1"/>
  <c r="T19" i="20"/>
  <c r="T22" s="1"/>
  <c r="G14" i="25" s="1"/>
  <c r="F14"/>
  <c r="G13"/>
  <c r="L90" i="44"/>
  <c r="K103"/>
  <c r="K104" s="1"/>
  <c r="GJ5" i="58"/>
  <c r="GJ4"/>
  <c r="GI6"/>
  <c r="W6"/>
  <c r="K6"/>
  <c r="EA6"/>
  <c r="X5"/>
  <c r="EB5"/>
  <c r="L5"/>
  <c r="GT6"/>
  <c r="GU4"/>
  <c r="GU5"/>
  <c r="L4"/>
  <c r="X4"/>
  <c r="EB4"/>
  <c r="C11" i="61"/>
  <c r="C39" s="1"/>
  <c r="C40"/>
  <c r="AF45" i="32"/>
  <c r="AG45" s="1"/>
  <c r="V69" i="28"/>
  <c r="V73" s="1"/>
  <c r="L73"/>
  <c r="L80" i="32"/>
  <c r="K80"/>
  <c r="U105"/>
  <c r="V105" s="1"/>
  <c r="P105"/>
  <c r="L91"/>
  <c r="AA91"/>
  <c r="AB91" s="1"/>
  <c r="K91"/>
  <c r="U100"/>
  <c r="V100" s="1"/>
  <c r="AA100" s="1"/>
  <c r="AB100" s="1"/>
  <c r="P100"/>
  <c r="L40"/>
  <c r="K40"/>
  <c r="K76"/>
  <c r="L76"/>
  <c r="K37"/>
  <c r="L37"/>
  <c r="AA77"/>
  <c r="AB77" s="1"/>
  <c r="L77"/>
  <c r="K77"/>
  <c r="T114" i="28"/>
  <c r="T50"/>
  <c r="T51" s="1"/>
  <c r="T52" s="1"/>
  <c r="U36" i="32"/>
  <c r="V36" s="1"/>
  <c r="AA36" s="1"/>
  <c r="AB36" s="1"/>
  <c r="P36"/>
  <c r="P38"/>
  <c r="U38"/>
  <c r="V38" s="1"/>
  <c r="L102"/>
  <c r="K102"/>
  <c r="L112"/>
  <c r="K112"/>
  <c r="U63"/>
  <c r="V63" s="1"/>
  <c r="AA63" s="1"/>
  <c r="AB63" s="1"/>
  <c r="P63"/>
  <c r="U127"/>
  <c r="V127" s="1"/>
  <c r="AA127" s="1"/>
  <c r="AB127" s="1"/>
  <c r="P127"/>
  <c r="P84"/>
  <c r="AF84" s="1"/>
  <c r="U84"/>
  <c r="V84" s="1"/>
  <c r="U35"/>
  <c r="V35" s="1"/>
  <c r="P35"/>
  <c r="M29" i="48"/>
  <c r="AO37"/>
  <c r="L29" i="20"/>
  <c r="T29" i="48" s="1"/>
  <c r="AO29"/>
  <c r="L37" i="20"/>
  <c r="T37" i="48" s="1"/>
  <c r="L51" i="44"/>
  <c r="M37" i="48"/>
  <c r="AH37"/>
  <c r="AH29"/>
  <c r="K100" i="32"/>
  <c r="L100"/>
  <c r="V93" i="28"/>
  <c r="V115" s="1"/>
  <c r="L115"/>
  <c r="U94" i="32"/>
  <c r="V94" s="1"/>
  <c r="P94"/>
  <c r="AE55"/>
  <c r="AG55"/>
  <c r="L119"/>
  <c r="K119"/>
  <c r="L90"/>
  <c r="K90"/>
  <c r="P122"/>
  <c r="U122"/>
  <c r="V122" s="1"/>
  <c r="U132"/>
  <c r="V132" s="1"/>
  <c r="P132"/>
  <c r="L83"/>
  <c r="K83"/>
  <c r="T113" i="28"/>
  <c r="T73"/>
  <c r="T74" s="1"/>
  <c r="T75" s="1"/>
  <c r="K51" i="32"/>
  <c r="AA51"/>
  <c r="AB51" s="1"/>
  <c r="AF51"/>
  <c r="AG51" s="1"/>
  <c r="L51"/>
  <c r="L86"/>
  <c r="K86"/>
  <c r="L128"/>
  <c r="K128"/>
  <c r="K89"/>
  <c r="L89"/>
  <c r="L79"/>
  <c r="K79"/>
  <c r="P37"/>
  <c r="U37"/>
  <c r="V37" s="1"/>
  <c r="AA37" s="1"/>
  <c r="AB37" s="1"/>
  <c r="K123"/>
  <c r="AF123"/>
  <c r="AG123" s="1"/>
  <c r="L123"/>
  <c r="AA123"/>
  <c r="AB123" s="1"/>
  <c r="L52"/>
  <c r="K52"/>
  <c r="AF52"/>
  <c r="AA52"/>
  <c r="AB52" s="1"/>
  <c r="L131"/>
  <c r="K131"/>
  <c r="U47" i="28"/>
  <c r="K50"/>
  <c r="K114"/>
  <c r="P56" i="32"/>
  <c r="U56"/>
  <c r="V56" s="1"/>
  <c r="K120"/>
  <c r="L120"/>
  <c r="AA81"/>
  <c r="AB81" s="1"/>
  <c r="L81"/>
  <c r="K81"/>
  <c r="L124"/>
  <c r="K124"/>
  <c r="L107"/>
  <c r="AA107"/>
  <c r="AB107" s="1"/>
  <c r="AF107"/>
  <c r="AG107" s="1"/>
  <c r="K107"/>
  <c r="AA44"/>
  <c r="AB44" s="1"/>
  <c r="L44"/>
  <c r="AF44"/>
  <c r="AG44" s="1"/>
  <c r="K44"/>
  <c r="K36"/>
  <c r="L36"/>
  <c r="AA125"/>
  <c r="AB125" s="1"/>
  <c r="AF125"/>
  <c r="AG125" s="1"/>
  <c r="L125"/>
  <c r="K125"/>
  <c r="L91" i="28"/>
  <c r="L113" s="1"/>
  <c r="U91"/>
  <c r="K95"/>
  <c r="AE68" i="32"/>
  <c r="AF77"/>
  <c r="AG77" s="1"/>
  <c r="AE107"/>
  <c r="K70"/>
  <c r="AA70"/>
  <c r="AB70" s="1"/>
  <c r="AF70"/>
  <c r="AG70" s="1"/>
  <c r="L70"/>
  <c r="L41"/>
  <c r="K41"/>
  <c r="AA95"/>
  <c r="AB95" s="1"/>
  <c r="L95"/>
  <c r="AF95"/>
  <c r="AG95" s="1"/>
  <c r="K95"/>
  <c r="K92"/>
  <c r="AA92"/>
  <c r="AB92" s="1"/>
  <c r="L92"/>
  <c r="AF92"/>
  <c r="AG92" s="1"/>
  <c r="L106"/>
  <c r="K106"/>
  <c r="L62"/>
  <c r="K62"/>
  <c r="P33"/>
  <c r="U33"/>
  <c r="V33" s="1"/>
  <c r="P87"/>
  <c r="U87"/>
  <c r="V87" s="1"/>
  <c r="P114"/>
  <c r="U114"/>
  <c r="V114" s="1"/>
  <c r="AA98"/>
  <c r="AB98" s="1"/>
  <c r="K98"/>
  <c r="AF98"/>
  <c r="AG98" s="1"/>
  <c r="L98"/>
  <c r="P131"/>
  <c r="U131"/>
  <c r="V131" s="1"/>
  <c r="AA131" s="1"/>
  <c r="AB131" s="1"/>
  <c r="K56"/>
  <c r="L56"/>
  <c r="V120"/>
  <c r="AA120" s="1"/>
  <c r="AB120" s="1"/>
  <c r="P120"/>
  <c r="AF71"/>
  <c r="AG71" s="1"/>
  <c r="AA71"/>
  <c r="AB71" s="1"/>
  <c r="L71"/>
  <c r="K71"/>
  <c r="P124"/>
  <c r="U124"/>
  <c r="V124" s="1"/>
  <c r="AA124" s="1"/>
  <c r="AB124" s="1"/>
  <c r="K38"/>
  <c r="L38"/>
  <c r="AA38"/>
  <c r="AB38" s="1"/>
  <c r="P102"/>
  <c r="U102"/>
  <c r="V102" s="1"/>
  <c r="AF48"/>
  <c r="AG48" s="1"/>
  <c r="AA48"/>
  <c r="AB48" s="1"/>
  <c r="L48"/>
  <c r="K48"/>
  <c r="U112"/>
  <c r="V112" s="1"/>
  <c r="P112"/>
  <c r="AF73"/>
  <c r="AG73" s="1"/>
  <c r="AA73"/>
  <c r="AB73" s="1"/>
  <c r="L73"/>
  <c r="K73"/>
  <c r="L63"/>
  <c r="AF63"/>
  <c r="AG63" s="1"/>
  <c r="K63"/>
  <c r="L127"/>
  <c r="K127"/>
  <c r="L66"/>
  <c r="AA66"/>
  <c r="AB66" s="1"/>
  <c r="AF66"/>
  <c r="AG66" s="1"/>
  <c r="K66"/>
  <c r="AA69"/>
  <c r="AB69" s="1"/>
  <c r="AF69"/>
  <c r="AG69" s="1"/>
  <c r="K69"/>
  <c r="L69"/>
  <c r="AA84"/>
  <c r="AB84" s="1"/>
  <c r="L84"/>
  <c r="K84"/>
  <c r="AA109"/>
  <c r="AB109" s="1"/>
  <c r="K109"/>
  <c r="L109"/>
  <c r="AA35"/>
  <c r="AB35" s="1"/>
  <c r="K35"/>
  <c r="L35"/>
  <c r="AF115"/>
  <c r="AG115" s="1"/>
  <c r="AA115"/>
  <c r="AB115" s="1"/>
  <c r="K115"/>
  <c r="L115"/>
  <c r="K94"/>
  <c r="L94"/>
  <c r="AA94"/>
  <c r="AB94" s="1"/>
  <c r="AF72"/>
  <c r="AG72" s="1"/>
  <c r="L72"/>
  <c r="AA72"/>
  <c r="AB72" s="1"/>
  <c r="K72"/>
  <c r="AA65"/>
  <c r="AB65" s="1"/>
  <c r="L65"/>
  <c r="AF65"/>
  <c r="AG65" s="1"/>
  <c r="K65"/>
  <c r="L129"/>
  <c r="AA129"/>
  <c r="AB129" s="1"/>
  <c r="AF129"/>
  <c r="AG129" s="1"/>
  <c r="K129"/>
  <c r="AA55"/>
  <c r="AB55" s="1"/>
  <c r="K55"/>
  <c r="L55"/>
  <c r="U119"/>
  <c r="V119" s="1"/>
  <c r="P119"/>
  <c r="AF50"/>
  <c r="K50"/>
  <c r="L50"/>
  <c r="AA50"/>
  <c r="AB50" s="1"/>
  <c r="AF53"/>
  <c r="AG53" s="1"/>
  <c r="AA53"/>
  <c r="AB53" s="1"/>
  <c r="L53"/>
  <c r="K53"/>
  <c r="U90"/>
  <c r="V90" s="1"/>
  <c r="P90"/>
  <c r="L101"/>
  <c r="AF101"/>
  <c r="AG101" s="1"/>
  <c r="AA101"/>
  <c r="AB101" s="1"/>
  <c r="K101"/>
  <c r="K122"/>
  <c r="L122"/>
  <c r="AA132"/>
  <c r="AB132" s="1"/>
  <c r="L132"/>
  <c r="K132"/>
  <c r="AF132"/>
  <c r="U83"/>
  <c r="V83" s="1"/>
  <c r="P83"/>
  <c r="S51" i="28"/>
  <c r="S117"/>
  <c r="S129" s="1"/>
  <c r="P118" i="32"/>
  <c r="U118"/>
  <c r="V118" s="1"/>
  <c r="AA118" s="1"/>
  <c r="AB118" s="1"/>
  <c r="L121"/>
  <c r="K121"/>
  <c r="L111"/>
  <c r="K111"/>
  <c r="P60"/>
  <c r="U60"/>
  <c r="V60" s="1"/>
  <c r="AF60" s="1"/>
  <c r="AG60" s="1"/>
  <c r="L117"/>
  <c r="K117"/>
  <c r="P108"/>
  <c r="U108"/>
  <c r="V108" s="1"/>
  <c r="K74"/>
  <c r="L74"/>
  <c r="U116"/>
  <c r="V116" s="1"/>
  <c r="P116"/>
  <c r="AF116" s="1"/>
  <c r="AG116" s="1"/>
  <c r="AA67"/>
  <c r="AB67" s="1"/>
  <c r="AF67"/>
  <c r="AG67" s="1"/>
  <c r="K67"/>
  <c r="L67"/>
  <c r="AA46"/>
  <c r="AB46" s="1"/>
  <c r="L46"/>
  <c r="K46"/>
  <c r="AF46"/>
  <c r="AG46" s="1"/>
  <c r="AF110"/>
  <c r="AG110" s="1"/>
  <c r="AA110"/>
  <c r="AB110" s="1"/>
  <c r="L110"/>
  <c r="K110"/>
  <c r="L104"/>
  <c r="AA104"/>
  <c r="AB104" s="1"/>
  <c r="AF104"/>
  <c r="AG104" s="1"/>
  <c r="K104"/>
  <c r="U88"/>
  <c r="V88" s="1"/>
  <c r="P88"/>
  <c r="AF88" s="1"/>
  <c r="AG88" s="1"/>
  <c r="AA49"/>
  <c r="AB49" s="1"/>
  <c r="K49"/>
  <c r="L49"/>
  <c r="U113"/>
  <c r="V113" s="1"/>
  <c r="AA113" s="1"/>
  <c r="AB113" s="1"/>
  <c r="P113"/>
  <c r="AA39"/>
  <c r="AB39" s="1"/>
  <c r="AF39"/>
  <c r="AG39" s="1"/>
  <c r="L39"/>
  <c r="K39"/>
  <c r="U103"/>
  <c r="V103" s="1"/>
  <c r="P103"/>
  <c r="P82"/>
  <c r="U82"/>
  <c r="V82" s="1"/>
  <c r="U85"/>
  <c r="V85" s="1"/>
  <c r="P85"/>
  <c r="U61"/>
  <c r="V61" s="1"/>
  <c r="P61"/>
  <c r="AF43"/>
  <c r="AG43" s="1"/>
  <c r="L158" i="20"/>
  <c r="S158" i="48"/>
  <c r="K134" i="32"/>
  <c r="AA134"/>
  <c r="AB134" s="1"/>
  <c r="AF134"/>
  <c r="AG134" s="1"/>
  <c r="L134"/>
  <c r="K126"/>
  <c r="L126"/>
  <c r="L133"/>
  <c r="K133"/>
  <c r="U75"/>
  <c r="V75" s="1"/>
  <c r="AA75" s="1"/>
  <c r="AB75" s="1"/>
  <c r="P75"/>
  <c r="U93"/>
  <c r="V93" s="1"/>
  <c r="P93"/>
  <c r="U86"/>
  <c r="V86" s="1"/>
  <c r="AA86" s="1"/>
  <c r="AB86" s="1"/>
  <c r="P86"/>
  <c r="P128"/>
  <c r="U128"/>
  <c r="V128" s="1"/>
  <c r="AA128" s="1"/>
  <c r="AB128" s="1"/>
  <c r="U89"/>
  <c r="V89" s="1"/>
  <c r="AA89" s="1"/>
  <c r="AB89" s="1"/>
  <c r="P89"/>
  <c r="P79"/>
  <c r="U79"/>
  <c r="V79" s="1"/>
  <c r="AA78"/>
  <c r="AB78" s="1"/>
  <c r="AF78"/>
  <c r="AG78" s="1"/>
  <c r="L78"/>
  <c r="K78"/>
  <c r="AA64"/>
  <c r="AB64" s="1"/>
  <c r="L64"/>
  <c r="K64"/>
  <c r="AF64"/>
  <c r="AG64" s="1"/>
  <c r="P80"/>
  <c r="U80"/>
  <c r="V80" s="1"/>
  <c r="P41"/>
  <c r="U41"/>
  <c r="V41" s="1"/>
  <c r="K105"/>
  <c r="AA105"/>
  <c r="AB105" s="1"/>
  <c r="L105"/>
  <c r="K130"/>
  <c r="AF130"/>
  <c r="AG130" s="1"/>
  <c r="AA130"/>
  <c r="AB130" s="1"/>
  <c r="L130"/>
  <c r="U106"/>
  <c r="V106" s="1"/>
  <c r="AA106" s="1"/>
  <c r="AB106" s="1"/>
  <c r="P106"/>
  <c r="AF106" s="1"/>
  <c r="AA45"/>
  <c r="AB45" s="1"/>
  <c r="K45"/>
  <c r="L45"/>
  <c r="AA99"/>
  <c r="AB99" s="1"/>
  <c r="AF99"/>
  <c r="AG99" s="1"/>
  <c r="K99"/>
  <c r="L99"/>
  <c r="V47" i="28"/>
  <c r="L50"/>
  <c r="L114"/>
  <c r="U93"/>
  <c r="U115" s="1"/>
  <c r="K115"/>
  <c r="P62" i="32"/>
  <c r="U62"/>
  <c r="V62" s="1"/>
  <c r="AA62" s="1"/>
  <c r="AB62" s="1"/>
  <c r="U126"/>
  <c r="V126" s="1"/>
  <c r="AA126" s="1"/>
  <c r="AB126" s="1"/>
  <c r="P126"/>
  <c r="P40"/>
  <c r="U40"/>
  <c r="V40" s="1"/>
  <c r="L33"/>
  <c r="K33"/>
  <c r="J142"/>
  <c r="AF97"/>
  <c r="AG97" s="1"/>
  <c r="AA97"/>
  <c r="AB97" s="1"/>
  <c r="L97"/>
  <c r="K97"/>
  <c r="AA87"/>
  <c r="AB87" s="1"/>
  <c r="L87"/>
  <c r="K87"/>
  <c r="AF87"/>
  <c r="L114"/>
  <c r="K114"/>
  <c r="U76"/>
  <c r="V76" s="1"/>
  <c r="AA76" s="1"/>
  <c r="AB76" s="1"/>
  <c r="P76"/>
  <c r="P133"/>
  <c r="U133"/>
  <c r="V133" s="1"/>
  <c r="L75"/>
  <c r="K75"/>
  <c r="K68"/>
  <c r="AF68"/>
  <c r="AG68" s="1"/>
  <c r="L68"/>
  <c r="AA68"/>
  <c r="AB68" s="1"/>
  <c r="L93"/>
  <c r="K93"/>
  <c r="K113" i="28"/>
  <c r="U69"/>
  <c r="K73"/>
  <c r="L54" i="32"/>
  <c r="K54"/>
  <c r="AA54"/>
  <c r="AB54" s="1"/>
  <c r="AF54"/>
  <c r="K118"/>
  <c r="L118"/>
  <c r="L96"/>
  <c r="AA96"/>
  <c r="AB96" s="1"/>
  <c r="K96"/>
  <c r="AF96"/>
  <c r="AG96" s="1"/>
  <c r="AA57"/>
  <c r="AB57" s="1"/>
  <c r="AF57"/>
  <c r="AG57" s="1"/>
  <c r="K57"/>
  <c r="L57"/>
  <c r="P121"/>
  <c r="U121"/>
  <c r="V121" s="1"/>
  <c r="AA47"/>
  <c r="AB47" s="1"/>
  <c r="K47"/>
  <c r="AF47"/>
  <c r="AG47" s="1"/>
  <c r="L47"/>
  <c r="U111"/>
  <c r="V111" s="1"/>
  <c r="AA111" s="1"/>
  <c r="AB111" s="1"/>
  <c r="P111"/>
  <c r="L34"/>
  <c r="AA34"/>
  <c r="AB34" s="1"/>
  <c r="AF34"/>
  <c r="AG34" s="1"/>
  <c r="K34"/>
  <c r="K60"/>
  <c r="L60"/>
  <c r="U117"/>
  <c r="V117" s="1"/>
  <c r="P117"/>
  <c r="AF59"/>
  <c r="AG59" s="1"/>
  <c r="AA59"/>
  <c r="AB59" s="1"/>
  <c r="L59"/>
  <c r="K59"/>
  <c r="K58"/>
  <c r="AA58"/>
  <c r="AB58" s="1"/>
  <c r="AF58"/>
  <c r="AG58" s="1"/>
  <c r="L58"/>
  <c r="L108"/>
  <c r="K108"/>
  <c r="U74"/>
  <c r="V74" s="1"/>
  <c r="P74"/>
  <c r="L116"/>
  <c r="K116"/>
  <c r="AA116"/>
  <c r="AB116" s="1"/>
  <c r="L46" i="20"/>
  <c r="T46" i="48" s="1"/>
  <c r="M46"/>
  <c r="AH46"/>
  <c r="L56" i="44"/>
  <c r="AO46" i="48"/>
  <c r="K88" i="32"/>
  <c r="L88"/>
  <c r="L113"/>
  <c r="K113"/>
  <c r="AF113"/>
  <c r="AG113" s="1"/>
  <c r="K103"/>
  <c r="L103"/>
  <c r="AA82"/>
  <c r="AB82" s="1"/>
  <c r="AF82"/>
  <c r="AG82" s="1"/>
  <c r="L82"/>
  <c r="K82"/>
  <c r="L85"/>
  <c r="K85"/>
  <c r="AA43"/>
  <c r="AB43" s="1"/>
  <c r="L43"/>
  <c r="K43"/>
  <c r="K42"/>
  <c r="AA42"/>
  <c r="AB42" s="1"/>
  <c r="AF42"/>
  <c r="AG42" s="1"/>
  <c r="L42"/>
  <c r="L61"/>
  <c r="K61"/>
  <c r="AF61"/>
  <c r="AG61" s="1"/>
  <c r="AE69"/>
  <c r="AE43"/>
  <c r="AF91"/>
  <c r="AG91" s="1"/>
  <c r="AE73"/>
  <c r="AE53"/>
  <c r="F98" i="89"/>
  <c r="L43" i="62" s="1"/>
  <c r="L25" i="39" s="1"/>
  <c r="T6" i="57"/>
  <c r="T5"/>
  <c r="AG15" i="31"/>
  <c r="V74" i="18"/>
  <c r="F113" i="89"/>
  <c r="U11" i="20"/>
  <c r="U14" s="1"/>
  <c r="M142"/>
  <c r="U142" i="48" s="1"/>
  <c r="T142"/>
  <c r="AP76" i="20"/>
  <c r="AX76"/>
  <c r="S76" i="48"/>
  <c r="AW76" i="20"/>
  <c r="BA76"/>
  <c r="M147" i="62"/>
  <c r="M80" i="39" s="1"/>
  <c r="N147" i="62"/>
  <c r="N80" i="39" s="1"/>
  <c r="AZ76" i="20"/>
  <c r="O147" i="62"/>
  <c r="O80" i="39" s="1"/>
  <c r="W107" i="62"/>
  <c r="W57" i="39" s="1"/>
  <c r="R147" i="62"/>
  <c r="R80" i="39" s="1"/>
  <c r="AT76" i="20"/>
  <c r="AS76"/>
  <c r="AQ76"/>
  <c r="U147" i="62"/>
  <c r="U80" i="39" s="1"/>
  <c r="S147" i="62"/>
  <c r="S80" i="39" s="1"/>
  <c r="AY76" i="20"/>
  <c r="AV76"/>
  <c r="V107" i="62"/>
  <c r="V57" i="39" s="1"/>
  <c r="Q147" i="62"/>
  <c r="Q80" i="39" s="1"/>
  <c r="T147" i="62"/>
  <c r="T80" i="39" s="1"/>
  <c r="AU76" i="20"/>
  <c r="AR76"/>
  <c r="L147" i="62"/>
  <c r="L80" i="39" s="1"/>
  <c r="P147" i="62"/>
  <c r="P80" i="39" s="1"/>
  <c r="S93" i="18"/>
  <c r="T53" i="20"/>
  <c r="T56" s="1"/>
  <c r="T92" i="18"/>
  <c r="AC112" i="89"/>
  <c r="AC98" s="1"/>
  <c r="U88" i="18"/>
  <c r="X42" i="31"/>
  <c r="M76" i="20" s="1"/>
  <c r="L76"/>
  <c r="R47" i="94"/>
  <c r="S47" s="1"/>
  <c r="M79" i="20"/>
  <c r="J22" i="101"/>
  <c r="L22" s="1"/>
  <c r="J21"/>
  <c r="L21" s="1"/>
  <c r="J20"/>
  <c r="L20" s="1"/>
  <c r="BN174" i="20"/>
  <c r="BO174" s="1"/>
  <c r="BP174" s="1"/>
  <c r="BQ174" s="1"/>
  <c r="BR174" s="1"/>
  <c r="BS174" s="1"/>
  <c r="BT174" s="1"/>
  <c r="BU174" s="1"/>
  <c r="BV174" s="1"/>
  <c r="BW174" s="1"/>
  <c r="BX174" s="1"/>
  <c r="BY174" s="1"/>
  <c r="M174" s="1"/>
  <c r="U172" i="48" s="1"/>
  <c r="L174" i="20"/>
  <c r="T172" i="48" s="1"/>
  <c r="J288" i="20"/>
  <c r="J289" s="1"/>
  <c r="K285"/>
  <c r="J293"/>
  <c r="J294" s="1"/>
  <c r="J305" s="1"/>
  <c r="K275"/>
  <c r="L270"/>
  <c r="V128" i="28"/>
  <c r="V22"/>
  <c r="V23" s="1"/>
  <c r="T39" i="31"/>
  <c r="W80" i="18"/>
  <c r="F36" i="25"/>
  <c r="V28" i="20"/>
  <c r="V31" s="1"/>
  <c r="Q114" i="89"/>
  <c r="I98" i="20"/>
  <c r="Q98" i="48"/>
  <c r="W34" i="20"/>
  <c r="W25"/>
  <c r="X6"/>
  <c r="W51"/>
  <c r="W42"/>
  <c r="W59"/>
  <c r="W17"/>
  <c r="X142" i="48"/>
  <c r="AM142"/>
  <c r="AE142"/>
  <c r="AS142"/>
  <c r="S90" i="20"/>
  <c r="S48"/>
  <c r="V212" i="62"/>
  <c r="V214" s="1"/>
  <c r="U54" i="48"/>
  <c r="W212" i="62"/>
  <c r="W214" s="1"/>
  <c r="L237" i="20"/>
  <c r="X62" i="31"/>
  <c r="M237" i="20" s="1"/>
  <c r="BG256" i="48" s="1"/>
  <c r="AR149"/>
  <c r="W149"/>
  <c r="AV203"/>
  <c r="AA203"/>
  <c r="G52" i="25"/>
  <c r="R65" i="20"/>
  <c r="R120" s="1"/>
  <c r="R66"/>
  <c r="R108" s="1"/>
  <c r="BN173"/>
  <c r="BO173" s="1"/>
  <c r="BP173" s="1"/>
  <c r="BQ173" s="1"/>
  <c r="BR173" s="1"/>
  <c r="BS173" s="1"/>
  <c r="BT173" s="1"/>
  <c r="BU173" s="1"/>
  <c r="BV173" s="1"/>
  <c r="BW173" s="1"/>
  <c r="BX173" s="1"/>
  <c r="BY173" s="1"/>
  <c r="M173" s="1"/>
  <c r="U171" i="48" s="1"/>
  <c r="L173" i="20"/>
  <c r="T171" i="48" s="1"/>
  <c r="BN172" i="20"/>
  <c r="BO172" s="1"/>
  <c r="BP172" s="1"/>
  <c r="BQ172" s="1"/>
  <c r="BR172" s="1"/>
  <c r="BS172" s="1"/>
  <c r="BT172" s="1"/>
  <c r="BU172" s="1"/>
  <c r="BV172" s="1"/>
  <c r="BW172" s="1"/>
  <c r="BX172" s="1"/>
  <c r="BY172" s="1"/>
  <c r="M172" s="1"/>
  <c r="U170" i="48" s="1"/>
  <c r="L172" i="20"/>
  <c r="T170" i="48" s="1"/>
  <c r="AA74" i="20"/>
  <c r="AC74"/>
  <c r="AB74"/>
  <c r="W95" i="31"/>
  <c r="K240" i="20"/>
  <c r="AR190" i="48"/>
  <c r="AK192"/>
  <c r="AL190" s="1"/>
  <c r="AE190" s="1"/>
  <c r="BC79" i="20"/>
  <c r="P191" i="62"/>
  <c r="P107" i="39" s="1"/>
  <c r="S191" i="62"/>
  <c r="S107" i="39" s="1"/>
  <c r="V151" i="62"/>
  <c r="V84" i="39" s="1"/>
  <c r="M191" i="62"/>
  <c r="M107" i="39" s="1"/>
  <c r="BD79" i="20"/>
  <c r="Q191" i="62"/>
  <c r="Q107" i="39" s="1"/>
  <c r="BL79" i="20"/>
  <c r="L191" i="62"/>
  <c r="L107" i="39" s="1"/>
  <c r="BJ79" i="20"/>
  <c r="T191" i="62"/>
  <c r="T107" i="39" s="1"/>
  <c r="BF79" i="20"/>
  <c r="BM79"/>
  <c r="BE79"/>
  <c r="T79" i="48"/>
  <c r="K22" i="26"/>
  <c r="BG79" i="20"/>
  <c r="O191" i="62"/>
  <c r="O107" i="39" s="1"/>
  <c r="R191" i="62"/>
  <c r="R107" i="39" s="1"/>
  <c r="BK79" i="20"/>
  <c r="W151" i="62"/>
  <c r="W84" i="39" s="1"/>
  <c r="U191" i="62"/>
  <c r="U107" i="39" s="1"/>
  <c r="BI79" i="20"/>
  <c r="BB79"/>
  <c r="BH79"/>
  <c r="R90" i="22"/>
  <c r="N191" i="62"/>
  <c r="N107" i="39" s="1"/>
  <c r="V9" i="62"/>
  <c r="AB97" i="89"/>
  <c r="T96" i="28"/>
  <c r="T97" s="1"/>
  <c r="K269" i="20"/>
  <c r="J274"/>
  <c r="U86" i="18"/>
  <c r="T45" i="20"/>
  <c r="AB112" i="89"/>
  <c r="H99" i="28"/>
  <c r="H28" s="1"/>
  <c r="F54" i="25"/>
  <c r="T91" i="18"/>
  <c r="W82"/>
  <c r="V36" i="20"/>
  <c r="V39" s="1"/>
  <c r="R114" i="89"/>
  <c r="L74" i="18"/>
  <c r="X54" i="28"/>
  <c r="X26" s="1"/>
  <c r="K78" i="18"/>
  <c r="K77"/>
  <c r="F64" i="61"/>
  <c r="N54" i="28"/>
  <c r="N26" s="1"/>
  <c r="M252" i="20"/>
  <c r="U203" i="48" s="1"/>
  <c r="N88" i="89"/>
  <c r="O88" s="1"/>
  <c r="M14" i="18"/>
  <c r="J262" i="20"/>
  <c r="K257"/>
  <c r="M25" i="28"/>
  <c r="V70" i="20"/>
  <c r="H6" i="82" s="1"/>
  <c r="G35" i="25"/>
  <c r="W159" i="48"/>
  <c r="S336" i="62"/>
  <c r="S195" i="39" s="1"/>
  <c r="T336" i="62"/>
  <c r="T195" i="39" s="1"/>
  <c r="U336" i="62"/>
  <c r="U195" i="39" s="1"/>
  <c r="O336" i="62"/>
  <c r="O195" i="39" s="1"/>
  <c r="Q336" i="62"/>
  <c r="Q195" i="39" s="1"/>
  <c r="W300" i="62"/>
  <c r="W172" i="39" s="1"/>
  <c r="Y76" i="48"/>
  <c r="N336" i="62"/>
  <c r="N195" i="39" s="1"/>
  <c r="L336" i="62"/>
  <c r="L195" i="39" s="1"/>
  <c r="V300" i="62"/>
  <c r="V172" i="39" s="1"/>
  <c r="P336" i="62"/>
  <c r="P195" i="39" s="1"/>
  <c r="R336" i="62"/>
  <c r="R195" i="39" s="1"/>
  <c r="M336" i="62"/>
  <c r="M195" i="39" s="1"/>
  <c r="AT76" i="48"/>
  <c r="W27" i="28"/>
  <c r="W25" s="1"/>
  <c r="W121"/>
  <c r="AM158" i="48"/>
  <c r="AF158" s="1"/>
  <c r="AS158"/>
  <c r="X158"/>
  <c r="J94" i="18"/>
  <c r="G85" i="22"/>
  <c r="AR159" i="48"/>
  <c r="AK163"/>
  <c r="AK164" s="1"/>
  <c r="L73" i="20"/>
  <c r="L158" i="48"/>
  <c r="AF76"/>
  <c r="M42" i="31"/>
  <c r="N76" i="48" s="1"/>
  <c r="M76"/>
  <c r="L86" i="18"/>
  <c r="K89"/>
  <c r="X99" i="28"/>
  <c r="X28" s="1"/>
  <c r="F66" i="61"/>
  <c r="K90" i="18"/>
  <c r="N99" i="28"/>
  <c r="N28" s="1"/>
  <c r="K73" i="20"/>
  <c r="AE75"/>
  <c r="AE77" s="1"/>
  <c r="AE156" s="1"/>
  <c r="AN75"/>
  <c r="AN77" s="1"/>
  <c r="AN156" s="1"/>
  <c r="AF75"/>
  <c r="AF77" s="1"/>
  <c r="AF156" s="1"/>
  <c r="J73"/>
  <c r="AD75"/>
  <c r="AM75"/>
  <c r="AM77" s="1"/>
  <c r="AM156" s="1"/>
  <c r="AG75"/>
  <c r="AG77" s="1"/>
  <c r="AG156" s="1"/>
  <c r="AJ75"/>
  <c r="AJ77" s="1"/>
  <c r="AJ156" s="1"/>
  <c r="AL75"/>
  <c r="AL77" s="1"/>
  <c r="AL156" s="1"/>
  <c r="AO75"/>
  <c r="AO77" s="1"/>
  <c r="AO156" s="1"/>
  <c r="J156" s="1"/>
  <c r="AI75"/>
  <c r="AI77" s="1"/>
  <c r="AI156" s="1"/>
  <c r="AK75"/>
  <c r="AK77" s="1"/>
  <c r="AK156" s="1"/>
  <c r="AH75"/>
  <c r="AH77" s="1"/>
  <c r="AH156" s="1"/>
  <c r="M73"/>
  <c r="R75"/>
  <c r="R77" s="1"/>
  <c r="T75"/>
  <c r="S75"/>
  <c r="V553" i="62"/>
  <c r="V333" i="39" s="1"/>
  <c r="U589" i="62"/>
  <c r="U356" i="39" s="1"/>
  <c r="P589" i="62"/>
  <c r="P356" i="39" s="1"/>
  <c r="O589" i="62"/>
  <c r="O356" i="39" s="1"/>
  <c r="S589" i="62"/>
  <c r="S356" i="39" s="1"/>
  <c r="Q589" i="62"/>
  <c r="Q356" i="39" s="1"/>
  <c r="N589" i="62"/>
  <c r="N356" i="39" s="1"/>
  <c r="W553" i="62"/>
  <c r="W333" i="39" s="1"/>
  <c r="T589" i="62"/>
  <c r="T356" i="39" s="1"/>
  <c r="R589" i="62"/>
  <c r="R356" i="39" s="1"/>
  <c r="L589" i="62"/>
  <c r="L356" i="39" s="1"/>
  <c r="M589" i="62"/>
  <c r="M356" i="39" s="1"/>
  <c r="Q42" i="31"/>
  <c r="AN76" i="48"/>
  <c r="AG76" s="1"/>
  <c r="L80" i="18"/>
  <c r="H83" i="22"/>
  <c r="N77" i="28"/>
  <c r="N27" s="1"/>
  <c r="X77"/>
  <c r="F65" i="61"/>
  <c r="K91" i="18"/>
  <c r="K93" s="1"/>
  <c r="K83"/>
  <c r="K84"/>
  <c r="I163" i="48"/>
  <c r="I164" s="1"/>
  <c r="AF41" i="32" l="1"/>
  <c r="AF79"/>
  <c r="AF128"/>
  <c r="AF122"/>
  <c r="AF38"/>
  <c r="AG38" s="1"/>
  <c r="AF120"/>
  <c r="AE120" s="1"/>
  <c r="AF126"/>
  <c r="R99" i="89"/>
  <c r="R100" s="1"/>
  <c r="Q98"/>
  <c r="L46" i="62" s="1"/>
  <c r="L26" i="39" s="1"/>
  <c r="H25" i="28"/>
  <c r="F15" i="25"/>
  <c r="AE61" i="32"/>
  <c r="AF40"/>
  <c r="AF62"/>
  <c r="AF80"/>
  <c r="AE80" s="1"/>
  <c r="AF89"/>
  <c r="AF86"/>
  <c r="AF75"/>
  <c r="AF118"/>
  <c r="AE118" s="1"/>
  <c r="AF105"/>
  <c r="AG105" s="1"/>
  <c r="U95" i="28"/>
  <c r="AA60" i="32"/>
  <c r="AB60" s="1"/>
  <c r="AF121"/>
  <c r="AE121" s="1"/>
  <c r="AF133"/>
  <c r="AF124"/>
  <c r="AF114"/>
  <c r="AE114" s="1"/>
  <c r="AE44"/>
  <c r="AF36"/>
  <c r="I74" i="20"/>
  <c r="AE113" i="32"/>
  <c r="T64" i="20"/>
  <c r="U19"/>
  <c r="U22" s="1"/>
  <c r="G15" i="25" s="1"/>
  <c r="V76" i="18"/>
  <c r="F16" i="25" s="1"/>
  <c r="R107" i="20"/>
  <c r="L103" i="44"/>
  <c r="L104" s="1"/>
  <c r="GT5" i="58"/>
  <c r="GT4"/>
  <c r="GS6"/>
  <c r="EA5"/>
  <c r="W5"/>
  <c r="K5"/>
  <c r="GH6"/>
  <c r="GI5"/>
  <c r="GI4"/>
  <c r="DZ6"/>
  <c r="V6"/>
  <c r="J6"/>
  <c r="EA4"/>
  <c r="W4"/>
  <c r="K4"/>
  <c r="F99" i="89"/>
  <c r="M43" i="62" s="1"/>
  <c r="M25" i="39" s="1"/>
  <c r="AG75" i="32"/>
  <c r="AE75"/>
  <c r="AF117"/>
  <c r="AE117" s="1"/>
  <c r="AF76"/>
  <c r="AG76" s="1"/>
  <c r="AE38"/>
  <c r="AF103"/>
  <c r="AF35"/>
  <c r="AE35" s="1"/>
  <c r="AE129"/>
  <c r="AF83"/>
  <c r="AG83" s="1"/>
  <c r="AA122"/>
  <c r="AB122" s="1"/>
  <c r="AF131"/>
  <c r="AE131" s="1"/>
  <c r="AG114"/>
  <c r="AF85"/>
  <c r="AG85" s="1"/>
  <c r="AF112"/>
  <c r="AF127"/>
  <c r="AG127" s="1"/>
  <c r="AF100"/>
  <c r="AE100" s="1"/>
  <c r="AE45"/>
  <c r="AE123"/>
  <c r="AE60"/>
  <c r="AE104"/>
  <c r="AE47"/>
  <c r="AE70"/>
  <c r="T93" i="18"/>
  <c r="AG126" i="32"/>
  <c r="AE126"/>
  <c r="AG89"/>
  <c r="AE89"/>
  <c r="AG86"/>
  <c r="AE86"/>
  <c r="AG103"/>
  <c r="AE103"/>
  <c r="AG118"/>
  <c r="AG112"/>
  <c r="AE112"/>
  <c r="AG35"/>
  <c r="AG100"/>
  <c r="AG117"/>
  <c r="AE76"/>
  <c r="AG40"/>
  <c r="AE40"/>
  <c r="AG62"/>
  <c r="AE62"/>
  <c r="AE41"/>
  <c r="AG41"/>
  <c r="AG79"/>
  <c r="AE79"/>
  <c r="AG128"/>
  <c r="AE128"/>
  <c r="AG120"/>
  <c r="L117" i="28"/>
  <c r="V133"/>
  <c r="V135" s="1"/>
  <c r="AG36" i="32"/>
  <c r="AE36"/>
  <c r="AG133"/>
  <c r="AE133"/>
  <c r="AG124"/>
  <c r="AE124"/>
  <c r="W121"/>
  <c r="X121"/>
  <c r="K117" i="28"/>
  <c r="U133"/>
  <c r="U135" s="1"/>
  <c r="M158" i="20"/>
  <c r="U158" i="48" s="1"/>
  <c r="T158"/>
  <c r="X85" i="32"/>
  <c r="W85"/>
  <c r="W102"/>
  <c r="X102"/>
  <c r="AA102"/>
  <c r="AB102" s="1"/>
  <c r="V91" i="28"/>
  <c r="V95" s="1"/>
  <c r="V96" s="1"/>
  <c r="V97" s="1"/>
  <c r="L95"/>
  <c r="AA74" i="32"/>
  <c r="AB74" s="1"/>
  <c r="X74"/>
  <c r="W74"/>
  <c r="U113" i="28"/>
  <c r="U73"/>
  <c r="X62" i="32"/>
  <c r="W62"/>
  <c r="AA114"/>
  <c r="AB114" s="1"/>
  <c r="W114"/>
  <c r="X114"/>
  <c r="X122"/>
  <c r="W122"/>
  <c r="M46" i="20"/>
  <c r="AI46" i="48"/>
  <c r="AP46"/>
  <c r="N46"/>
  <c r="AG54" i="32"/>
  <c r="AE54"/>
  <c r="AE87"/>
  <c r="AG87"/>
  <c r="J143"/>
  <c r="K142"/>
  <c r="L142"/>
  <c r="X126"/>
  <c r="W126"/>
  <c r="X106"/>
  <c r="W106"/>
  <c r="X89"/>
  <c r="W89"/>
  <c r="X86"/>
  <c r="W86"/>
  <c r="W75"/>
  <c r="X75"/>
  <c r="AA61"/>
  <c r="AB61" s="1"/>
  <c r="W61"/>
  <c r="X61"/>
  <c r="W113"/>
  <c r="X113"/>
  <c r="X60"/>
  <c r="W60"/>
  <c r="S52" i="28"/>
  <c r="S119" s="1"/>
  <c r="S118"/>
  <c r="S130" s="1"/>
  <c r="AF90" i="32"/>
  <c r="W90"/>
  <c r="X90"/>
  <c r="AA90"/>
  <c r="AB90" s="1"/>
  <c r="AG50"/>
  <c r="AE50"/>
  <c r="W124"/>
  <c r="X124"/>
  <c r="AG52"/>
  <c r="AE52"/>
  <c r="X132"/>
  <c r="W132"/>
  <c r="N37" i="48"/>
  <c r="N29"/>
  <c r="M29" i="20"/>
  <c r="U29" i="48" s="1"/>
  <c r="AI37"/>
  <c r="AI29"/>
  <c r="M37" i="20"/>
  <c r="U37" i="48" s="1"/>
  <c r="AP37"/>
  <c r="AP29"/>
  <c r="X84" i="32"/>
  <c r="W84"/>
  <c r="W38"/>
  <c r="X38"/>
  <c r="AA121"/>
  <c r="AB121" s="1"/>
  <c r="P142"/>
  <c r="AA85"/>
  <c r="AB85" s="1"/>
  <c r="AF93"/>
  <c r="T119" i="28"/>
  <c r="V113"/>
  <c r="AE34" i="32"/>
  <c r="AE77"/>
  <c r="AF74"/>
  <c r="AF111"/>
  <c r="AE72"/>
  <c r="AE66"/>
  <c r="AE134"/>
  <c r="AE46"/>
  <c r="AE48"/>
  <c r="AE63"/>
  <c r="X133"/>
  <c r="W133"/>
  <c r="X93"/>
  <c r="W93"/>
  <c r="W103"/>
  <c r="X103"/>
  <c r="X108"/>
  <c r="W108"/>
  <c r="W83"/>
  <c r="X83"/>
  <c r="AG122"/>
  <c r="AE122"/>
  <c r="X119"/>
  <c r="AA119"/>
  <c r="AB119" s="1"/>
  <c r="W119"/>
  <c r="AE84"/>
  <c r="AG84"/>
  <c r="AG106"/>
  <c r="AE106"/>
  <c r="AA56"/>
  <c r="AB56" s="1"/>
  <c r="X56"/>
  <c r="W56"/>
  <c r="U50" i="28"/>
  <c r="U51" s="1"/>
  <c r="U52" s="1"/>
  <c r="U114"/>
  <c r="W94" i="32"/>
  <c r="X94"/>
  <c r="W100"/>
  <c r="X100"/>
  <c r="W111"/>
  <c r="X111"/>
  <c r="X76"/>
  <c r="W76"/>
  <c r="W40"/>
  <c r="X40"/>
  <c r="X41"/>
  <c r="W41"/>
  <c r="W79"/>
  <c r="X79"/>
  <c r="W128"/>
  <c r="X128"/>
  <c r="W88"/>
  <c r="X88"/>
  <c r="W118"/>
  <c r="X118"/>
  <c r="X112"/>
  <c r="W112"/>
  <c r="W33"/>
  <c r="X33"/>
  <c r="V142"/>
  <c r="W63"/>
  <c r="X63"/>
  <c r="AG80"/>
  <c r="W117"/>
  <c r="X117"/>
  <c r="V114" i="28"/>
  <c r="V50"/>
  <c r="V51" s="1"/>
  <c r="V52" s="1"/>
  <c r="W80" i="32"/>
  <c r="X80"/>
  <c r="X82"/>
  <c r="W82"/>
  <c r="W116"/>
  <c r="X116"/>
  <c r="W73" i="20"/>
  <c r="U73"/>
  <c r="V73"/>
  <c r="AG132" i="32"/>
  <c r="AE132"/>
  <c r="W120"/>
  <c r="X120"/>
  <c r="X131"/>
  <c r="W131"/>
  <c r="W87"/>
  <c r="X87"/>
  <c r="W37"/>
  <c r="X37"/>
  <c r="W35"/>
  <c r="X35"/>
  <c r="W127"/>
  <c r="X127"/>
  <c r="X36"/>
  <c r="W36"/>
  <c r="W105"/>
  <c r="X105"/>
  <c r="AE105"/>
  <c r="AA83"/>
  <c r="AB83" s="1"/>
  <c r="AA103"/>
  <c r="AB103" s="1"/>
  <c r="AA108"/>
  <c r="AB108" s="1"/>
  <c r="AA93"/>
  <c r="AB93" s="1"/>
  <c r="AF33"/>
  <c r="AA133"/>
  <c r="AB133" s="1"/>
  <c r="AE82"/>
  <c r="AF119"/>
  <c r="AF94"/>
  <c r="AF56"/>
  <c r="AA112"/>
  <c r="AB112" s="1"/>
  <c r="AA40"/>
  <c r="AB40" s="1"/>
  <c r="T118" i="28"/>
  <c r="T130" s="1"/>
  <c r="Y75" i="20" s="1"/>
  <c r="T117" i="28"/>
  <c r="T129" s="1"/>
  <c r="AE88" i="32"/>
  <c r="AE116"/>
  <c r="AA88"/>
  <c r="AB88" s="1"/>
  <c r="AF108"/>
  <c r="AA33"/>
  <c r="AB33" s="1"/>
  <c r="AA117"/>
  <c r="AB117" s="1"/>
  <c r="AF102"/>
  <c r="AA41"/>
  <c r="AB41" s="1"/>
  <c r="AE127"/>
  <c r="AE42"/>
  <c r="AA79"/>
  <c r="AB79" s="1"/>
  <c r="AF37"/>
  <c r="AA80"/>
  <c r="AB80" s="1"/>
  <c r="S6" i="57"/>
  <c r="S5"/>
  <c r="AH15" i="31"/>
  <c r="W74" i="18"/>
  <c r="F114" i="89"/>
  <c r="V11" i="20"/>
  <c r="V14" s="1"/>
  <c r="U92" i="18"/>
  <c r="AC113" i="89"/>
  <c r="AC99" s="1"/>
  <c r="M50" i="62" s="1"/>
  <c r="M52" s="1"/>
  <c r="M54" s="1"/>
  <c r="U53" i="20"/>
  <c r="U56" s="1"/>
  <c r="V88" i="18"/>
  <c r="N227" i="62"/>
  <c r="N126" i="39" s="1"/>
  <c r="T227" i="62"/>
  <c r="T126" i="39" s="1"/>
  <c r="P227" i="62"/>
  <c r="P126" i="39" s="1"/>
  <c r="M227" i="62"/>
  <c r="M126" i="39" s="1"/>
  <c r="U227" i="62"/>
  <c r="U126" i="39" s="1"/>
  <c r="U76" i="48"/>
  <c r="BO76" i="20"/>
  <c r="W187" i="62"/>
  <c r="W103" i="39" s="1"/>
  <c r="S227" i="62"/>
  <c r="S126" i="39" s="1"/>
  <c r="O227" i="62"/>
  <c r="O126" i="39" s="1"/>
  <c r="R227" i="62"/>
  <c r="R126" i="39" s="1"/>
  <c r="BU76" i="20"/>
  <c r="BX76"/>
  <c r="BV76"/>
  <c r="BP76"/>
  <c r="BT76"/>
  <c r="BS76"/>
  <c r="V187" i="62"/>
  <c r="V103" i="39" s="1"/>
  <c r="Q227" i="62"/>
  <c r="Q126" i="39" s="1"/>
  <c r="BN76" i="20"/>
  <c r="BQ76"/>
  <c r="L227" i="62"/>
  <c r="L126" i="39" s="1"/>
  <c r="BY76" i="20"/>
  <c r="BW76"/>
  <c r="BR76"/>
  <c r="BI76"/>
  <c r="BK76"/>
  <c r="Q187" i="62"/>
  <c r="Q103" i="39" s="1"/>
  <c r="BL76" i="20"/>
  <c r="BD76"/>
  <c r="T187" i="62"/>
  <c r="T103" i="39" s="1"/>
  <c r="BM76" i="20"/>
  <c r="BB76"/>
  <c r="BF76"/>
  <c r="P187" i="62"/>
  <c r="P103" i="39" s="1"/>
  <c r="BJ76" i="20"/>
  <c r="L187" i="62"/>
  <c r="L103" i="39" s="1"/>
  <c r="S187" i="62"/>
  <c r="S103" i="39" s="1"/>
  <c r="BE76" i="20"/>
  <c r="V147" i="62"/>
  <c r="V80" i="39" s="1"/>
  <c r="R187" i="62"/>
  <c r="R103" i="39" s="1"/>
  <c r="N187" i="62"/>
  <c r="N103" i="39" s="1"/>
  <c r="T76" i="48"/>
  <c r="W147" i="62"/>
  <c r="W80" i="39" s="1"/>
  <c r="M187" i="62"/>
  <c r="M103" i="39" s="1"/>
  <c r="BH76" i="20"/>
  <c r="O187" i="62"/>
  <c r="O103" i="39" s="1"/>
  <c r="BG76" i="20"/>
  <c r="BC76"/>
  <c r="U187" i="62"/>
  <c r="U103" i="39" s="1"/>
  <c r="L50" i="62"/>
  <c r="L52" s="1"/>
  <c r="L54" s="1"/>
  <c r="V86" i="18"/>
  <c r="AB113" i="89"/>
  <c r="U45" i="20"/>
  <c r="U91" i="18"/>
  <c r="F55" i="25"/>
  <c r="Q115" i="89"/>
  <c r="I77" i="28"/>
  <c r="I27" s="1"/>
  <c r="F37" i="25"/>
  <c r="X80" i="18"/>
  <c r="W28" i="20"/>
  <c r="W31" s="1"/>
  <c r="M74" i="18"/>
  <c r="L78"/>
  <c r="Y54" i="28"/>
  <c r="Y26" s="1"/>
  <c r="L77" i="18"/>
  <c r="O54" i="28"/>
  <c r="O26" s="1"/>
  <c r="G64" i="61"/>
  <c r="T48" i="20"/>
  <c r="T90"/>
  <c r="Z73"/>
  <c r="X73"/>
  <c r="Y73"/>
  <c r="AB98" i="89"/>
  <c r="W9" i="62"/>
  <c r="X42" i="20"/>
  <c r="X25"/>
  <c r="X17"/>
  <c r="X59"/>
  <c r="Y6"/>
  <c r="X34"/>
  <c r="X51"/>
  <c r="R98"/>
  <c r="R131" s="1"/>
  <c r="W98"/>
  <c r="I11" i="82" s="1"/>
  <c r="Z98" i="20"/>
  <c r="L11" i="82" s="1"/>
  <c r="AB98" i="20"/>
  <c r="N11" i="82" s="1"/>
  <c r="AA98" i="20"/>
  <c r="M11" i="82" s="1"/>
  <c r="S98" i="20"/>
  <c r="E11" i="82" s="1"/>
  <c r="U98" i="20"/>
  <c r="G11" i="82" s="1"/>
  <c r="T98" i="20"/>
  <c r="F11" i="82" s="1"/>
  <c r="I149" i="20"/>
  <c r="X98"/>
  <c r="J11" i="82" s="1"/>
  <c r="H32" i="26"/>
  <c r="AC98" i="20"/>
  <c r="O11" i="82" s="1"/>
  <c r="Y98" i="20"/>
  <c r="K11" i="82" s="1"/>
  <c r="V98" i="20"/>
  <c r="H11" i="82" s="1"/>
  <c r="V74" i="28"/>
  <c r="V117"/>
  <c r="V129" s="1"/>
  <c r="M270" i="20"/>
  <c r="M275" s="1"/>
  <c r="L275"/>
  <c r="R98" i="48"/>
  <c r="J98" i="20"/>
  <c r="W70"/>
  <c r="I6" i="82" s="1"/>
  <c r="V11" i="62"/>
  <c r="V13" s="1"/>
  <c r="V4" i="39"/>
  <c r="X95" i="31"/>
  <c r="M240" i="20" s="1"/>
  <c r="BG259" i="48" s="1"/>
  <c r="L240" i="20"/>
  <c r="X75"/>
  <c r="L257"/>
  <c r="K262"/>
  <c r="AB203" i="48"/>
  <c r="AW203"/>
  <c r="X82" i="18"/>
  <c r="W36" i="20"/>
  <c r="W39" s="1"/>
  <c r="R115" i="89"/>
  <c r="L269" i="20"/>
  <c r="K274"/>
  <c r="U117" i="28"/>
  <c r="U129" s="1"/>
  <c r="U96"/>
  <c r="S39" i="31"/>
  <c r="U40"/>
  <c r="K288" i="20"/>
  <c r="K289" s="1"/>
  <c r="L285"/>
  <c r="K293"/>
  <c r="K294" s="1"/>
  <c r="S48" i="94"/>
  <c r="T47"/>
  <c r="G36" i="25"/>
  <c r="F44" i="101"/>
  <c r="G44" s="1"/>
  <c r="R110" i="20"/>
  <c r="R113"/>
  <c r="S66"/>
  <c r="S109" s="1"/>
  <c r="S65"/>
  <c r="S120" s="1"/>
  <c r="G53" i="25"/>
  <c r="AN142" i="48"/>
  <c r="AF142"/>
  <c r="Y142"/>
  <c r="AT142"/>
  <c r="L22" i="26"/>
  <c r="V191" i="62"/>
  <c r="V107" i="39" s="1"/>
  <c r="U231" i="62"/>
  <c r="U130" i="39" s="1"/>
  <c r="S231" i="62"/>
  <c r="S130" i="39" s="1"/>
  <c r="BU79" i="20"/>
  <c r="W191" i="62"/>
  <c r="W107" i="39" s="1"/>
  <c r="O231" i="62"/>
  <c r="O130" i="39" s="1"/>
  <c r="BQ79" i="20"/>
  <c r="L231" i="62"/>
  <c r="L130" i="39" s="1"/>
  <c r="U79" i="48"/>
  <c r="N231" i="62"/>
  <c r="N130" i="39" s="1"/>
  <c r="BW79" i="20"/>
  <c r="M231" i="62"/>
  <c r="M130" i="39" s="1"/>
  <c r="BR79" i="20"/>
  <c r="BO79"/>
  <c r="S90" i="22"/>
  <c r="BT79" i="20"/>
  <c r="T231" i="62"/>
  <c r="T130" i="39" s="1"/>
  <c r="BS79" i="20"/>
  <c r="BV79"/>
  <c r="BX79"/>
  <c r="BY79"/>
  <c r="P231" i="62"/>
  <c r="P130" i="39" s="1"/>
  <c r="R231" i="62"/>
  <c r="R130" i="39" s="1"/>
  <c r="BN79" i="20"/>
  <c r="BP79"/>
  <c r="Q231" i="62"/>
  <c r="Q130" i="39" s="1"/>
  <c r="R156" i="48"/>
  <c r="I28" i="76"/>
  <c r="K94" i="18"/>
  <c r="H85" i="22"/>
  <c r="S73" i="48"/>
  <c r="J75" i="20"/>
  <c r="J77" s="1"/>
  <c r="R156"/>
  <c r="R111"/>
  <c r="R42" i="31"/>
  <c r="AP76" i="48" s="1"/>
  <c r="AI76" s="1"/>
  <c r="AO76"/>
  <c r="AH76" s="1"/>
  <c r="V625" i="62"/>
  <c r="V379" i="39" s="1"/>
  <c r="N661" i="62"/>
  <c r="N402" i="39" s="1"/>
  <c r="O661" i="62"/>
  <c r="O402" i="39" s="1"/>
  <c r="W625" i="62"/>
  <c r="W379" i="39" s="1"/>
  <c r="L661" i="62"/>
  <c r="L402" i="39" s="1"/>
  <c r="S661" i="62"/>
  <c r="S402" i="39" s="1"/>
  <c r="M661" i="62"/>
  <c r="M402" i="39" s="1"/>
  <c r="R661" i="62"/>
  <c r="R402" i="39" s="1"/>
  <c r="P661" i="62"/>
  <c r="P402" i="39" s="1"/>
  <c r="Q661" i="62"/>
  <c r="Q402" i="39" s="1"/>
  <c r="T661" i="62"/>
  <c r="T402" i="39" s="1"/>
  <c r="U661" i="62"/>
  <c r="U402" i="39" s="1"/>
  <c r="AT158" i="48"/>
  <c r="AN158"/>
  <c r="AG158" s="1"/>
  <c r="Y158"/>
  <c r="N25" i="28"/>
  <c r="N17" s="1"/>
  <c r="R109" i="20"/>
  <c r="X27" i="28"/>
  <c r="X25" s="1"/>
  <c r="X121"/>
  <c r="W336" i="62"/>
  <c r="W195" i="39" s="1"/>
  <c r="N372" i="62"/>
  <c r="N218" i="39" s="1"/>
  <c r="R372" i="62"/>
  <c r="R218" i="39" s="1"/>
  <c r="P372" i="62"/>
  <c r="P218" i="39" s="1"/>
  <c r="S372" i="62"/>
  <c r="S218" i="39" s="1"/>
  <c r="U372" i="62"/>
  <c r="U218" i="39" s="1"/>
  <c r="O372" i="62"/>
  <c r="O218" i="39" s="1"/>
  <c r="V336" i="62"/>
  <c r="V195" i="39" s="1"/>
  <c r="Q372" i="62"/>
  <c r="Q218" i="39" s="1"/>
  <c r="M372" i="62"/>
  <c r="M218" i="39" s="1"/>
  <c r="T372" i="62"/>
  <c r="T218" i="39" s="1"/>
  <c r="L372" i="62"/>
  <c r="L218" i="39" s="1"/>
  <c r="AU76" i="48"/>
  <c r="Z76"/>
  <c r="M86" i="18"/>
  <c r="O99" i="28"/>
  <c r="O28" s="1"/>
  <c r="L89" i="18"/>
  <c r="Y99" i="28"/>
  <c r="Y28" s="1"/>
  <c r="L90" i="18"/>
  <c r="G66" i="61"/>
  <c r="P625" i="62"/>
  <c r="P379" i="39" s="1"/>
  <c r="W589" i="62"/>
  <c r="W356" i="39" s="1"/>
  <c r="T625" i="62"/>
  <c r="T379" i="39" s="1"/>
  <c r="Q625" i="62"/>
  <c r="Q379" i="39" s="1"/>
  <c r="S625" i="62"/>
  <c r="S379" i="39" s="1"/>
  <c r="O625" i="62"/>
  <c r="O379" i="39" s="1"/>
  <c r="R625" i="62"/>
  <c r="R379" i="39" s="1"/>
  <c r="U625" i="62"/>
  <c r="U379" i="39" s="1"/>
  <c r="M625" i="62"/>
  <c r="M379" i="39" s="1"/>
  <c r="L625" i="62"/>
  <c r="L379" i="39" s="1"/>
  <c r="N625" i="62"/>
  <c r="N379" i="39" s="1"/>
  <c r="V589" i="62"/>
  <c r="V356" i="39" s="1"/>
  <c r="M158" i="48"/>
  <c r="T77" i="20"/>
  <c r="M80" i="18"/>
  <c r="O77" i="28"/>
  <c r="O27" s="1"/>
  <c r="L84" i="18"/>
  <c r="G65" i="61"/>
  <c r="L91" i="18"/>
  <c r="L93" s="1"/>
  <c r="L83"/>
  <c r="Y77" i="28"/>
  <c r="I83" i="22"/>
  <c r="U73" i="48"/>
  <c r="R73"/>
  <c r="T73"/>
  <c r="N65" i="62"/>
  <c r="N32" i="39" s="1"/>
  <c r="M65" i="62"/>
  <c r="M32" i="39" s="1"/>
  <c r="P65" i="62"/>
  <c r="P32" i="39" s="1"/>
  <c r="S65" i="62"/>
  <c r="S32" i="39" s="1"/>
  <c r="T65" i="62"/>
  <c r="T32" i="39" s="1"/>
  <c r="R65" i="62"/>
  <c r="R32" i="39" s="1"/>
  <c r="Q65" i="62"/>
  <c r="Q32" i="39" s="1"/>
  <c r="V25" i="62"/>
  <c r="V9" i="39" s="1"/>
  <c r="O65" i="62"/>
  <c r="O32" i="39" s="1"/>
  <c r="W25" i="62"/>
  <c r="W9" i="39" s="1"/>
  <c r="U65" i="62"/>
  <c r="U32" i="39" s="1"/>
  <c r="L65" i="62"/>
  <c r="L32" i="39" s="1"/>
  <c r="Q74" i="20"/>
  <c r="H74" s="1"/>
  <c r="Q74" i="48"/>
  <c r="AD77" i="20"/>
  <c r="AD156" s="1"/>
  <c r="S77"/>
  <c r="M47" i="62" l="1"/>
  <c r="Q99" i="89"/>
  <c r="M46" i="62" s="1"/>
  <c r="U64" i="20"/>
  <c r="X17" i="28"/>
  <c r="X21" s="1"/>
  <c r="X134"/>
  <c r="X135" s="1"/>
  <c r="N21"/>
  <c r="AG131" i="32"/>
  <c r="AG121"/>
  <c r="V19" i="20"/>
  <c r="V22" s="1"/>
  <c r="V64" s="1"/>
  <c r="G114" i="89"/>
  <c r="G100" s="1"/>
  <c r="N44" i="62" s="1"/>
  <c r="W76" i="18"/>
  <c r="I54" i="28" s="1"/>
  <c r="I26" s="1"/>
  <c r="R101" i="89"/>
  <c r="O47" i="62" s="1"/>
  <c r="N47"/>
  <c r="DZ4" i="58"/>
  <c r="V4"/>
  <c r="J4"/>
  <c r="GH5"/>
  <c r="GH4"/>
  <c r="GG6"/>
  <c r="U6"/>
  <c r="I6"/>
  <c r="DY6"/>
  <c r="GR6"/>
  <c r="GS5"/>
  <c r="GS4"/>
  <c r="V5"/>
  <c r="J5"/>
  <c r="DZ5"/>
  <c r="AG111" i="32"/>
  <c r="AE111"/>
  <c r="AG37"/>
  <c r="AE37"/>
  <c r="AE108"/>
  <c r="AG108"/>
  <c r="AG94"/>
  <c r="AE94"/>
  <c r="AG33"/>
  <c r="AE33"/>
  <c r="AF142"/>
  <c r="K143"/>
  <c r="L143"/>
  <c r="U46" i="48"/>
  <c r="W211" i="62"/>
  <c r="W213" s="1"/>
  <c r="V211"/>
  <c r="V213" s="1"/>
  <c r="U74" i="28"/>
  <c r="U75" s="1"/>
  <c r="BZ79" i="20"/>
  <c r="Z75"/>
  <c r="Z77" s="1"/>
  <c r="Z156" s="1"/>
  <c r="AG119" i="32"/>
  <c r="AE119"/>
  <c r="P143"/>
  <c r="R143" s="1"/>
  <c r="R142"/>
  <c r="AG56"/>
  <c r="AE56"/>
  <c r="AG93"/>
  <c r="AE93"/>
  <c r="S131" i="28"/>
  <c r="U75" i="20"/>
  <c r="W75"/>
  <c r="W77" s="1"/>
  <c r="W156" s="1"/>
  <c r="V75"/>
  <c r="T131" i="28"/>
  <c r="AG102" i="32"/>
  <c r="AE102"/>
  <c r="AA142"/>
  <c r="V143"/>
  <c r="W142"/>
  <c r="X142"/>
  <c r="AE74"/>
  <c r="AG74"/>
  <c r="AG90"/>
  <c r="AE90"/>
  <c r="V77" i="20"/>
  <c r="V156" s="1"/>
  <c r="U77"/>
  <c r="U156" s="1"/>
  <c r="U93" i="18"/>
  <c r="R6" i="57"/>
  <c r="R5"/>
  <c r="AI15" i="31"/>
  <c r="W11" i="20"/>
  <c r="W14" s="1"/>
  <c r="X74" i="18"/>
  <c r="F115" i="89"/>
  <c r="BZ76" i="20"/>
  <c r="V53"/>
  <c r="V56" s="1"/>
  <c r="W88" i="18"/>
  <c r="V92"/>
  <c r="AC114" i="89"/>
  <c r="AC100" s="1"/>
  <c r="N50" i="62" s="1"/>
  <c r="N52" s="1"/>
  <c r="N54" s="1"/>
  <c r="Y42" i="20"/>
  <c r="Y25"/>
  <c r="Z6"/>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Y59"/>
  <c r="T48" i="94"/>
  <c r="U47"/>
  <c r="K98" i="20"/>
  <c r="S98" i="48"/>
  <c r="R116" i="89"/>
  <c r="X36" i="20"/>
  <c r="X39" s="1"/>
  <c r="Y82" i="18"/>
  <c r="L262" i="20"/>
  <c r="M257"/>
  <c r="M262" s="1"/>
  <c r="W11" i="62"/>
  <c r="W13" s="1"/>
  <c r="W4" i="39"/>
  <c r="F38" i="25"/>
  <c r="X28" i="20"/>
  <c r="X31" s="1"/>
  <c r="Q116" i="89"/>
  <c r="Y80" i="18"/>
  <c r="W86"/>
  <c r="V45" i="20"/>
  <c r="AB114" i="89"/>
  <c r="F56" i="25"/>
  <c r="V91" i="18"/>
  <c r="Z54" i="28"/>
  <c r="Z26" s="1"/>
  <c r="P54"/>
  <c r="P26" s="1"/>
  <c r="H64" i="61"/>
  <c r="E55"/>
  <c r="B5" s="1"/>
  <c r="M78" i="18"/>
  <c r="M77"/>
  <c r="R4" i="22"/>
  <c r="Z41" i="44" s="1"/>
  <c r="AA41" s="1"/>
  <c r="AU142" i="48"/>
  <c r="Z142"/>
  <c r="AG142"/>
  <c r="AO142"/>
  <c r="M285" i="20"/>
  <c r="L288"/>
  <c r="L289" s="1"/>
  <c r="L293"/>
  <c r="L294" s="1"/>
  <c r="L305" s="1"/>
  <c r="AC73"/>
  <c r="AB73"/>
  <c r="AA73"/>
  <c r="V75" i="28"/>
  <c r="V119" s="1"/>
  <c r="V118"/>
  <c r="T66" i="20"/>
  <c r="T111" s="1"/>
  <c r="T65"/>
  <c r="T120" s="1"/>
  <c r="G54" i="25"/>
  <c r="X70" i="20"/>
  <c r="J6" i="82" s="1"/>
  <c r="X77" i="20"/>
  <c r="X156" s="1"/>
  <c r="G37" i="25"/>
  <c r="L274" i="20"/>
  <c r="M269"/>
  <c r="M274" s="1"/>
  <c r="L49" i="62"/>
  <c r="AB99" i="89"/>
  <c r="S113" i="20"/>
  <c r="S110"/>
  <c r="S131"/>
  <c r="S108"/>
  <c r="S107"/>
  <c r="Z219" i="48"/>
  <c r="K305" i="20"/>
  <c r="AI98"/>
  <c r="AE98"/>
  <c r="I32" i="26"/>
  <c r="AL98" i="20"/>
  <c r="AF98"/>
  <c r="AH98"/>
  <c r="AG98"/>
  <c r="AM98"/>
  <c r="AD98"/>
  <c r="AN98"/>
  <c r="AK98"/>
  <c r="AJ98"/>
  <c r="AO98"/>
  <c r="J149"/>
  <c r="Q149" i="48"/>
  <c r="H21" i="76"/>
  <c r="D11" i="82"/>
  <c r="R149" i="20"/>
  <c r="S149" s="1"/>
  <c r="T149" s="1"/>
  <c r="U149" s="1"/>
  <c r="V149" s="1"/>
  <c r="W149" s="1"/>
  <c r="X149" s="1"/>
  <c r="Y149" s="1"/>
  <c r="Z149" s="1"/>
  <c r="AA149" s="1"/>
  <c r="AB149" s="1"/>
  <c r="AC149" s="1"/>
  <c r="U48"/>
  <c r="U90"/>
  <c r="U97" i="28"/>
  <c r="Y77" i="20"/>
  <c r="Y156" s="1"/>
  <c r="P74" i="48"/>
  <c r="Y27" i="28"/>
  <c r="Y25" s="1"/>
  <c r="Y121"/>
  <c r="Q408" i="62"/>
  <c r="Q241" i="39" s="1"/>
  <c r="S408" i="62"/>
  <c r="S241" i="39" s="1"/>
  <c r="V372" i="62"/>
  <c r="V218" i="39" s="1"/>
  <c r="M408" i="62"/>
  <c r="M241" i="39" s="1"/>
  <c r="U408" i="62"/>
  <c r="U241" i="39" s="1"/>
  <c r="L408" i="62"/>
  <c r="L241" i="39" s="1"/>
  <c r="P408" i="62"/>
  <c r="P241" i="39" s="1"/>
  <c r="R408" i="62"/>
  <c r="R241" i="39" s="1"/>
  <c r="O408" i="62"/>
  <c r="O241" i="39" s="1"/>
  <c r="T408" i="62"/>
  <c r="T241" i="39" s="1"/>
  <c r="W372" i="62"/>
  <c r="W218" i="39" s="1"/>
  <c r="N408" i="62"/>
  <c r="N241" i="39" s="1"/>
  <c r="AV76" i="48"/>
  <c r="AA76"/>
  <c r="U106" i="62"/>
  <c r="U56" i="39" s="1"/>
  <c r="M106" i="62"/>
  <c r="M56" i="39" s="1"/>
  <c r="O106" i="62"/>
  <c r="O56" i="39" s="1"/>
  <c r="V66" i="62"/>
  <c r="V33" i="39" s="1"/>
  <c r="L106" i="62"/>
  <c r="L56" i="39" s="1"/>
  <c r="N106" i="62"/>
  <c r="N56" i="39" s="1"/>
  <c r="Q106" i="62"/>
  <c r="Q56" i="39" s="1"/>
  <c r="S106" i="62"/>
  <c r="S56" i="39" s="1"/>
  <c r="T106" i="62"/>
  <c r="T56" i="39" s="1"/>
  <c r="W66" i="62"/>
  <c r="W33" i="39" s="1"/>
  <c r="R106" i="62"/>
  <c r="R56" i="39" s="1"/>
  <c r="P106" i="62"/>
  <c r="P56" i="39" s="1"/>
  <c r="R75" i="48"/>
  <c r="S156" i="20"/>
  <c r="S111"/>
  <c r="Z158" i="48"/>
  <c r="AU158"/>
  <c r="AO158"/>
  <c r="AH158" s="1"/>
  <c r="Y356" i="39"/>
  <c r="H65" i="61"/>
  <c r="M83" i="18"/>
  <c r="M84"/>
  <c r="E56" i="61"/>
  <c r="L5" s="1"/>
  <c r="P77" i="28"/>
  <c r="P27" s="1"/>
  <c r="Z77"/>
  <c r="J83" i="22"/>
  <c r="M91" i="18"/>
  <c r="M93" s="1"/>
  <c r="L94"/>
  <c r="I85" i="22"/>
  <c r="I19" i="26"/>
  <c r="R77" i="48"/>
  <c r="P87" i="22"/>
  <c r="T156" i="20"/>
  <c r="N158" i="48"/>
  <c r="E57" i="61"/>
  <c r="V5" s="1"/>
  <c r="Z99" i="28"/>
  <c r="Z28" s="1"/>
  <c r="M90" i="18"/>
  <c r="M89"/>
  <c r="P99" i="28"/>
  <c r="P28" s="1"/>
  <c r="H66" i="61"/>
  <c r="Q444" i="62"/>
  <c r="Q264" i="39" s="1"/>
  <c r="W408" i="62"/>
  <c r="W241" i="39" s="1"/>
  <c r="V408" i="62"/>
  <c r="V241" i="39" s="1"/>
  <c r="L444" i="62"/>
  <c r="L264" i="39" s="1"/>
  <c r="N444" i="62"/>
  <c r="N264" i="39" s="1"/>
  <c r="T444" i="62"/>
  <c r="T264" i="39" s="1"/>
  <c r="O444" i="62"/>
  <c r="O264" i="39" s="1"/>
  <c r="M444" i="62"/>
  <c r="M264" i="39" s="1"/>
  <c r="S444" i="62"/>
  <c r="S264" i="39" s="1"/>
  <c r="P444" i="62"/>
  <c r="P264" i="39" s="1"/>
  <c r="U444" i="62"/>
  <c r="U264" i="39" s="1"/>
  <c r="R444" i="62"/>
  <c r="R264" i="39" s="1"/>
  <c r="AB76" i="48"/>
  <c r="AW76"/>
  <c r="O25" i="28"/>
  <c r="O17" s="1"/>
  <c r="M26" i="39" l="1"/>
  <c r="Q100" i="89"/>
  <c r="N46" i="62" s="1"/>
  <c r="N26" i="39" s="1"/>
  <c r="R102" i="89"/>
  <c r="P47" i="62" s="1"/>
  <c r="W19" i="20"/>
  <c r="W22" s="1"/>
  <c r="W64" s="1"/>
  <c r="G16" i="25"/>
  <c r="G115" i="89"/>
  <c r="G101" s="1"/>
  <c r="O44" i="62" s="1"/>
  <c r="X128" i="28"/>
  <c r="X22"/>
  <c r="X130" s="1"/>
  <c r="X131" s="1"/>
  <c r="V39" i="31"/>
  <c r="Y134" i="28"/>
  <c r="Y135" s="1"/>
  <c r="Y17"/>
  <c r="Y21" s="1"/>
  <c r="O21"/>
  <c r="F100" i="89"/>
  <c r="N43" i="62" s="1"/>
  <c r="N25" i="39" s="1"/>
  <c r="F17" i="25"/>
  <c r="X76" i="18"/>
  <c r="F18" i="25" s="1"/>
  <c r="U4" i="58"/>
  <c r="I4"/>
  <c r="DY4"/>
  <c r="GR5"/>
  <c r="GR4"/>
  <c r="GQ6"/>
  <c r="GF6"/>
  <c r="GG5"/>
  <c r="GG4"/>
  <c r="DX6"/>
  <c r="H6"/>
  <c r="T6"/>
  <c r="V93" i="18"/>
  <c r="DY5" i="58"/>
  <c r="I5"/>
  <c r="U5"/>
  <c r="G38" i="25"/>
  <c r="U118" i="28"/>
  <c r="U130" s="1"/>
  <c r="U119"/>
  <c r="AD149" i="20"/>
  <c r="AE149" s="1"/>
  <c r="AF149" s="1"/>
  <c r="AG149" s="1"/>
  <c r="AH149" s="1"/>
  <c r="AI149" s="1"/>
  <c r="AJ149" s="1"/>
  <c r="AK149" s="1"/>
  <c r="AL149" s="1"/>
  <c r="AM149" s="1"/>
  <c r="AN149" s="1"/>
  <c r="AO149" s="1"/>
  <c r="H248"/>
  <c r="AB142" i="32"/>
  <c r="AA143"/>
  <c r="AB143" s="1"/>
  <c r="W143"/>
  <c r="X143"/>
  <c r="AF143"/>
  <c r="AG143" s="1"/>
  <c r="AG142"/>
  <c r="Q6" i="57"/>
  <c r="Q5"/>
  <c r="AJ15" i="31"/>
  <c r="Y74" i="18"/>
  <c r="F116" i="89"/>
  <c r="X11" i="20"/>
  <c r="X14" s="1"/>
  <c r="AC115" i="89"/>
  <c r="AC101" s="1"/>
  <c r="O50" i="62" s="1"/>
  <c r="O52" s="1"/>
  <c r="O54" s="1"/>
  <c r="X88" i="18"/>
  <c r="W92"/>
  <c r="W53" i="20"/>
  <c r="W56" s="1"/>
  <c r="T107"/>
  <c r="T108"/>
  <c r="T113"/>
  <c r="T109"/>
  <c r="T110"/>
  <c r="T131"/>
  <c r="W45"/>
  <c r="AB115" i="89"/>
  <c r="X86" i="18"/>
  <c r="W91"/>
  <c r="I99" i="28"/>
  <c r="I28" s="1"/>
  <c r="I25" s="1"/>
  <c r="F57" i="25"/>
  <c r="I73" i="20"/>
  <c r="V48"/>
  <c r="V90"/>
  <c r="V47" i="94"/>
  <c r="U48"/>
  <c r="I21" i="76"/>
  <c r="K149" i="20"/>
  <c r="R149" i="48"/>
  <c r="L51" i="62"/>
  <c r="L53" s="1"/>
  <c r="L27" i="39"/>
  <c r="AP142" i="48"/>
  <c r="AH142"/>
  <c r="AA142"/>
  <c r="AV142"/>
  <c r="Z80" i="18"/>
  <c r="Y28" i="20"/>
  <c r="Y31" s="1"/>
  <c r="F39" i="25"/>
  <c r="Q117" i="89"/>
  <c r="Y36" i="20"/>
  <c r="R117" i="89"/>
  <c r="Z82" i="18"/>
  <c r="J32" i="26"/>
  <c r="AW98" i="20"/>
  <c r="AP98"/>
  <c r="AV98"/>
  <c r="AU98"/>
  <c r="BA98"/>
  <c r="AT98"/>
  <c r="AR98"/>
  <c r="AZ98"/>
  <c r="AX98"/>
  <c r="AS98"/>
  <c r="AY98"/>
  <c r="AQ98"/>
  <c r="T98" i="48"/>
  <c r="L98" i="20"/>
  <c r="U66"/>
  <c r="U65"/>
  <c r="U120" s="1"/>
  <c r="G55" i="25"/>
  <c r="M49" i="62"/>
  <c r="AB100" i="89"/>
  <c r="V130" i="28"/>
  <c r="G118"/>
  <c r="M293" i="20"/>
  <c r="M294" s="1"/>
  <c r="M305" s="1"/>
  <c r="M288"/>
  <c r="M289" s="1"/>
  <c r="P25" i="28"/>
  <c r="P17" s="1"/>
  <c r="J85" i="22"/>
  <c r="M94" i="18"/>
  <c r="AR74" i="48"/>
  <c r="W74"/>
  <c r="AP158"/>
  <c r="AI158" s="1"/>
  <c r="AV158"/>
  <c r="AA158"/>
  <c r="Z27" i="28"/>
  <c r="Z25" s="1"/>
  <c r="Z121"/>
  <c r="Q101" i="89" l="1"/>
  <c r="Q102" s="1"/>
  <c r="P46" i="62" s="1"/>
  <c r="P26" i="39" s="1"/>
  <c r="G17" i="25"/>
  <c r="R103" i="89"/>
  <c r="Q47" i="62" s="1"/>
  <c r="Z17" i="28"/>
  <c r="Z21" s="1"/>
  <c r="Z134"/>
  <c r="Z135" s="1"/>
  <c r="P21"/>
  <c r="AW74" i="20"/>
  <c r="AP74"/>
  <c r="BA74"/>
  <c r="AR74"/>
  <c r="AY74"/>
  <c r="AZ74"/>
  <c r="AS74"/>
  <c r="AQ74"/>
  <c r="AT74"/>
  <c r="AV74"/>
  <c r="AU74"/>
  <c r="AX74"/>
  <c r="W39" i="31"/>
  <c r="W40" s="1"/>
  <c r="Y22" i="28"/>
  <c r="Y130" s="1"/>
  <c r="Y131" s="1"/>
  <c r="Y23"/>
  <c r="Y128"/>
  <c r="V40" i="31"/>
  <c r="X23" i="28"/>
  <c r="F101" i="89"/>
  <c r="O43" i="62" s="1"/>
  <c r="O25" i="39" s="1"/>
  <c r="Y76" i="18"/>
  <c r="G116" i="89"/>
  <c r="G102" s="1"/>
  <c r="X19" i="20"/>
  <c r="X22" s="1"/>
  <c r="G18" i="25" s="1"/>
  <c r="H4" i="58"/>
  <c r="T4"/>
  <c r="DX4"/>
  <c r="GF4"/>
  <c r="GE6"/>
  <c r="DW6"/>
  <c r="GF5"/>
  <c r="S6"/>
  <c r="G6"/>
  <c r="GP6"/>
  <c r="GQ5"/>
  <c r="GQ4"/>
  <c r="H5"/>
  <c r="T5"/>
  <c r="DX5"/>
  <c r="AC75" i="20"/>
  <c r="AC77" s="1"/>
  <c r="AC156" s="1"/>
  <c r="I156" s="1"/>
  <c r="H28" i="76" s="1"/>
  <c r="AB75" i="20"/>
  <c r="AB77" s="1"/>
  <c r="AB156" s="1"/>
  <c r="U131" i="28"/>
  <c r="AA75" i="20"/>
  <c r="H259"/>
  <c r="H271" s="1"/>
  <c r="H249"/>
  <c r="AP149"/>
  <c r="AQ149" s="1"/>
  <c r="AR149" s="1"/>
  <c r="AS149" s="1"/>
  <c r="AT149" s="1"/>
  <c r="AU149" s="1"/>
  <c r="AV149" s="1"/>
  <c r="AW149" s="1"/>
  <c r="AX149" s="1"/>
  <c r="AY149" s="1"/>
  <c r="AZ149" s="1"/>
  <c r="BA149" s="1"/>
  <c r="W93" i="18"/>
  <c r="P6" i="57"/>
  <c r="P5"/>
  <c r="AK15" i="31"/>
  <c r="Y11" i="20"/>
  <c r="Y14" s="1"/>
  <c r="Z74" i="18"/>
  <c r="F117" i="89"/>
  <c r="X53" i="20"/>
  <c r="X56" s="1"/>
  <c r="Y88" i="18"/>
  <c r="X92"/>
  <c r="AC116" i="89"/>
  <c r="AC102" s="1"/>
  <c r="P50" i="62" s="1"/>
  <c r="P52" s="1"/>
  <c r="P54" s="1"/>
  <c r="U111" i="20"/>
  <c r="U113"/>
  <c r="U109"/>
  <c r="U110"/>
  <c r="U108"/>
  <c r="U131"/>
  <c r="U107"/>
  <c r="Y39"/>
  <c r="G39" i="25" s="1"/>
  <c r="W47" i="94"/>
  <c r="W48" s="1"/>
  <c r="V48"/>
  <c r="Q73" i="20"/>
  <c r="Q73" i="48"/>
  <c r="Y86" i="18"/>
  <c r="AB116" i="89"/>
  <c r="X45" i="20"/>
  <c r="X91" i="18"/>
  <c r="F58" i="25"/>
  <c r="Q118" i="89"/>
  <c r="AA80" i="18"/>
  <c r="Z28" i="20"/>
  <c r="Z31" s="1"/>
  <c r="J77" i="28"/>
  <c r="J27" s="1"/>
  <c r="F40" i="25"/>
  <c r="AB142" i="48"/>
  <c r="AI142"/>
  <c r="AW142"/>
  <c r="M51" i="62"/>
  <c r="M53" s="1"/>
  <c r="M27" i="39"/>
  <c r="G56" i="25"/>
  <c r="V65" i="20"/>
  <c r="V120" s="1"/>
  <c r="V66"/>
  <c r="V131" i="28"/>
  <c r="BI98" i="20"/>
  <c r="BL98"/>
  <c r="BG98"/>
  <c r="BJ98"/>
  <c r="BB98"/>
  <c r="K32" i="26"/>
  <c r="BD98" i="20"/>
  <c r="BM98"/>
  <c r="BF98"/>
  <c r="BE98"/>
  <c r="BK98"/>
  <c r="BH98"/>
  <c r="BC98"/>
  <c r="J21" i="76"/>
  <c r="L149" i="20"/>
  <c r="S149" i="48"/>
  <c r="M98" i="20"/>
  <c r="U98" i="48"/>
  <c r="N49" i="62"/>
  <c r="AB101" i="89"/>
  <c r="Z36" i="20"/>
  <c r="Z39" s="1"/>
  <c r="AA82" i="18"/>
  <c r="R118" i="89"/>
  <c r="W48" i="20"/>
  <c r="W90"/>
  <c r="AB158" i="48"/>
  <c r="AW158"/>
  <c r="L44" i="94" l="1"/>
  <c r="N44" s="1"/>
  <c r="X64" i="20"/>
  <c r="R104" i="89"/>
  <c r="R47" i="62" s="1"/>
  <c r="O46"/>
  <c r="O26" i="39" s="1"/>
  <c r="Q103" i="89"/>
  <c r="Q46" i="62" s="1"/>
  <c r="Q26" i="39" s="1"/>
  <c r="F102" i="89"/>
  <c r="P43" i="62" s="1"/>
  <c r="P44"/>
  <c r="K74" i="20"/>
  <c r="AV75"/>
  <c r="AV77" s="1"/>
  <c r="AV156" s="1"/>
  <c r="AP75"/>
  <c r="AX75"/>
  <c r="AX77" s="1"/>
  <c r="AX156" s="1"/>
  <c r="AT75"/>
  <c r="AW75"/>
  <c r="AW77" s="1"/>
  <c r="AW156" s="1"/>
  <c r="AY75"/>
  <c r="AS75"/>
  <c r="AS77" s="1"/>
  <c r="AS156" s="1"/>
  <c r="AR75"/>
  <c r="AR77" s="1"/>
  <c r="AR156" s="1"/>
  <c r="BA75"/>
  <c r="BA77" s="1"/>
  <c r="BA156" s="1"/>
  <c r="K156" s="1"/>
  <c r="AU75"/>
  <c r="AU77" s="1"/>
  <c r="AU156" s="1"/>
  <c r="AZ75"/>
  <c r="AQ75"/>
  <c r="AQ77" s="1"/>
  <c r="AQ156" s="1"/>
  <c r="AP77"/>
  <c r="AP156" s="1"/>
  <c r="Z128" i="28"/>
  <c r="X39" i="31"/>
  <c r="X40" s="1"/>
  <c r="Z22" i="28"/>
  <c r="AZ77" i="20"/>
  <c r="AZ156" s="1"/>
  <c r="BG74"/>
  <c r="BB74"/>
  <c r="BE74"/>
  <c r="BL74"/>
  <c r="BH74"/>
  <c r="BI74"/>
  <c r="BF74"/>
  <c r="BC74"/>
  <c r="BM74"/>
  <c r="BJ74"/>
  <c r="BK74"/>
  <c r="BD74"/>
  <c r="AT77"/>
  <c r="AT156" s="1"/>
  <c r="AY77"/>
  <c r="AY156" s="1"/>
  <c r="G117" i="89"/>
  <c r="G103" s="1"/>
  <c r="Q44" i="62" s="1"/>
  <c r="Y19" i="20"/>
  <c r="Y22" s="1"/>
  <c r="Y64" s="1"/>
  <c r="Z76" i="18"/>
  <c r="F19" i="25"/>
  <c r="Q156" i="48"/>
  <c r="GD6" i="58"/>
  <c r="DV6"/>
  <c r="F6"/>
  <c r="GE5"/>
  <c r="R6"/>
  <c r="GE4"/>
  <c r="G5"/>
  <c r="DW5"/>
  <c r="S5"/>
  <c r="GP5"/>
  <c r="GP4"/>
  <c r="GO6"/>
  <c r="DW4"/>
  <c r="G4"/>
  <c r="S4"/>
  <c r="AA77" i="20"/>
  <c r="AA156" s="1"/>
  <c r="I75"/>
  <c r="BB149"/>
  <c r="BC149" s="1"/>
  <c r="BD149" s="1"/>
  <c r="BE149" s="1"/>
  <c r="BF149" s="1"/>
  <c r="BG149" s="1"/>
  <c r="BH149" s="1"/>
  <c r="BI149" s="1"/>
  <c r="BJ149" s="1"/>
  <c r="BK149" s="1"/>
  <c r="BL149" s="1"/>
  <c r="BM149" s="1"/>
  <c r="K317"/>
  <c r="M317"/>
  <c r="J317"/>
  <c r="I317"/>
  <c r="L317"/>
  <c r="G11" i="81"/>
  <c r="G34" s="1"/>
  <c r="I7" i="22"/>
  <c r="G10" i="94"/>
  <c r="Z10"/>
  <c r="I278" i="20"/>
  <c r="H145"/>
  <c r="H186"/>
  <c r="G10" i="66"/>
  <c r="O6" i="57"/>
  <c r="O5"/>
  <c r="AL15" i="31"/>
  <c r="X93" i="18"/>
  <c r="AA74"/>
  <c r="Z11" i="20"/>
  <c r="F118" i="89"/>
  <c r="AC117"/>
  <c r="AC103" s="1"/>
  <c r="Q50" i="62" s="1"/>
  <c r="Q52" s="1"/>
  <c r="Q54" s="1"/>
  <c r="Z88" i="18"/>
  <c r="Y53" i="20"/>
  <c r="Y56" s="1"/>
  <c r="Y92" i="18"/>
  <c r="K21" i="76"/>
  <c r="T149" i="48"/>
  <c r="M149" i="20"/>
  <c r="V113"/>
  <c r="V108"/>
  <c r="V110"/>
  <c r="V109"/>
  <c r="V107"/>
  <c r="V111"/>
  <c r="V131"/>
  <c r="AB117" i="89"/>
  <c r="Y45" i="20"/>
  <c r="Z86" i="18"/>
  <c r="F59" i="25"/>
  <c r="Y91" i="18"/>
  <c r="H73" i="20"/>
  <c r="BY98"/>
  <c r="BP98"/>
  <c r="BN98"/>
  <c r="BV98"/>
  <c r="BQ98"/>
  <c r="BW98"/>
  <c r="BU98"/>
  <c r="BT98"/>
  <c r="BX98"/>
  <c r="BO98"/>
  <c r="L32" i="26"/>
  <c r="BS98" i="20"/>
  <c r="BR98"/>
  <c r="N51" i="62"/>
  <c r="N53" s="1"/>
  <c r="N27" i="39"/>
  <c r="F41" i="25"/>
  <c r="Q119" i="89"/>
  <c r="AA28" i="20"/>
  <c r="AB80" i="18"/>
  <c r="X48" i="20"/>
  <c r="X90"/>
  <c r="W65"/>
  <c r="W120" s="1"/>
  <c r="G57" i="25"/>
  <c r="W66" i="20"/>
  <c r="AA36"/>
  <c r="AB82" i="18"/>
  <c r="R119" i="89"/>
  <c r="O49" i="62"/>
  <c r="AB102" i="89"/>
  <c r="G40" i="25"/>
  <c r="R105" i="89" l="1"/>
  <c r="S47" i="62" s="1"/>
  <c r="Q104" i="89"/>
  <c r="R46" i="62" s="1"/>
  <c r="R26" i="39" s="1"/>
  <c r="F103" i="89"/>
  <c r="Q43" i="62" s="1"/>
  <c r="Q25" i="39" s="1"/>
  <c r="P25"/>
  <c r="J28" i="76"/>
  <c r="S156" i="48"/>
  <c r="Z23" i="28"/>
  <c r="Z130"/>
  <c r="R145" i="62"/>
  <c r="R78" i="39" s="1"/>
  <c r="V105" i="62"/>
  <c r="V55" i="39" s="1"/>
  <c r="Q145" i="62"/>
  <c r="Q78" i="39" s="1"/>
  <c r="O145" i="62"/>
  <c r="O78" i="39" s="1"/>
  <c r="S145" i="62"/>
  <c r="S78" i="39" s="1"/>
  <c r="N145" i="62"/>
  <c r="N78" i="39" s="1"/>
  <c r="L145" i="62"/>
  <c r="L78" i="39" s="1"/>
  <c r="T145" i="62"/>
  <c r="T78" i="39" s="1"/>
  <c r="S74" i="48"/>
  <c r="P145" i="62"/>
  <c r="P78" i="39" s="1"/>
  <c r="M145" i="62"/>
  <c r="M78" i="39" s="1"/>
  <c r="W105" i="62"/>
  <c r="W55" i="39" s="1"/>
  <c r="U145" i="62"/>
  <c r="U78" i="39" s="1"/>
  <c r="BG77" i="20"/>
  <c r="BG156" s="1"/>
  <c r="L74"/>
  <c r="BB75"/>
  <c r="BI75"/>
  <c r="BH75"/>
  <c r="BH77" s="1"/>
  <c r="BH156" s="1"/>
  <c r="BD75"/>
  <c r="BL75"/>
  <c r="BG75"/>
  <c r="BE75"/>
  <c r="BE77" s="1"/>
  <c r="BE156" s="1"/>
  <c r="BK75"/>
  <c r="BF75"/>
  <c r="BF77" s="1"/>
  <c r="BF156" s="1"/>
  <c r="BC75"/>
  <c r="BJ75"/>
  <c r="BJ77" s="1"/>
  <c r="BJ156" s="1"/>
  <c r="BM75"/>
  <c r="BM77" s="1"/>
  <c r="BM156" s="1"/>
  <c r="L156" s="1"/>
  <c r="BB77"/>
  <c r="BB156" s="1"/>
  <c r="BI77"/>
  <c r="BI156" s="1"/>
  <c r="BX74"/>
  <c r="BU74"/>
  <c r="BS74"/>
  <c r="BR74"/>
  <c r="BW74"/>
  <c r="BV74"/>
  <c r="BO74"/>
  <c r="BN74"/>
  <c r="BY74"/>
  <c r="BP74"/>
  <c r="BT74"/>
  <c r="BQ74"/>
  <c r="BK77"/>
  <c r="BK156" s="1"/>
  <c r="K75"/>
  <c r="BD77"/>
  <c r="BD156" s="1"/>
  <c r="BC77"/>
  <c r="BC156" s="1"/>
  <c r="BL77"/>
  <c r="BL156" s="1"/>
  <c r="G19" i="25"/>
  <c r="G118" i="89"/>
  <c r="G104" s="1"/>
  <c r="R44" i="62" s="1"/>
  <c r="AA76" i="18"/>
  <c r="Z19" i="20"/>
  <c r="Z22" s="1"/>
  <c r="F20" i="25"/>
  <c r="J54" i="28"/>
  <c r="J26" s="1"/>
  <c r="GD5" i="58"/>
  <c r="GD4"/>
  <c r="GC6"/>
  <c r="E6"/>
  <c r="DU6"/>
  <c r="Q6"/>
  <c r="DV4"/>
  <c r="R4"/>
  <c r="F4"/>
  <c r="GO5"/>
  <c r="GO4"/>
  <c r="DV5"/>
  <c r="R5"/>
  <c r="F5"/>
  <c r="Q75" i="20"/>
  <c r="R66" i="62"/>
  <c r="R33" i="39" s="1"/>
  <c r="V26" i="62"/>
  <c r="V10" i="39" s="1"/>
  <c r="U66" i="62"/>
  <c r="U33" i="39" s="1"/>
  <c r="I77" i="20"/>
  <c r="Q66" i="62"/>
  <c r="Q33" i="39" s="1"/>
  <c r="L66" i="62"/>
  <c r="L33" i="39" s="1"/>
  <c r="N66" i="62"/>
  <c r="N33" i="39" s="1"/>
  <c r="S66" i="62"/>
  <c r="S33" i="39" s="1"/>
  <c r="P66" i="62"/>
  <c r="P33" i="39" s="1"/>
  <c r="T66" i="62"/>
  <c r="T33" i="39" s="1"/>
  <c r="Q75" i="48"/>
  <c r="W26" i="62"/>
  <c r="W10" i="39" s="1"/>
  <c r="O66" i="62"/>
  <c r="O33" i="39" s="1"/>
  <c r="M66" i="62"/>
  <c r="M33" i="39" s="1"/>
  <c r="BN149" i="20"/>
  <c r="BO149" s="1"/>
  <c r="BP149" s="1"/>
  <c r="BQ149" s="1"/>
  <c r="BR149" s="1"/>
  <c r="BS149" s="1"/>
  <c r="BT149" s="1"/>
  <c r="BU149" s="1"/>
  <c r="BV149" s="1"/>
  <c r="BW149" s="1"/>
  <c r="BX149" s="1"/>
  <c r="BY149" s="1"/>
  <c r="BZ149" s="1"/>
  <c r="I10" i="66"/>
  <c r="G32"/>
  <c r="BZ98" i="20"/>
  <c r="P145" i="48"/>
  <c r="G17" i="76"/>
  <c r="Q145" i="20"/>
  <c r="H147"/>
  <c r="Q186"/>
  <c r="P184" i="48"/>
  <c r="AR184" s="1"/>
  <c r="P200"/>
  <c r="AR200" s="1"/>
  <c r="W200"/>
  <c r="W184" s="1"/>
  <c r="C32" i="98"/>
  <c r="C33" s="1"/>
  <c r="I10" i="94"/>
  <c r="G39" s="1"/>
  <c r="F30" i="101"/>
  <c r="Y93" i="18"/>
  <c r="N6" i="57"/>
  <c r="N5"/>
  <c r="Z14" i="20"/>
  <c r="AA11"/>
  <c r="AA14" s="1"/>
  <c r="F119" i="89"/>
  <c r="AB74" i="18"/>
  <c r="Z53" i="20"/>
  <c r="Z56" s="1"/>
  <c r="Z92" i="18"/>
  <c r="AC118" i="89"/>
  <c r="AC104" s="1"/>
  <c r="R50" i="62" s="1"/>
  <c r="R52" s="1"/>
  <c r="R54" s="1"/>
  <c r="AA88" i="18"/>
  <c r="AC82"/>
  <c r="R120" i="89"/>
  <c r="AB36" i="20"/>
  <c r="AB39" s="1"/>
  <c r="G58" i="25"/>
  <c r="X66" i="20"/>
  <c r="X65"/>
  <c r="X120" s="1"/>
  <c r="Y48"/>
  <c r="Y90"/>
  <c r="O51" i="62"/>
  <c r="O53" s="1"/>
  <c r="O27" i="39"/>
  <c r="W113" i="20"/>
  <c r="W110"/>
  <c r="W131"/>
  <c r="W111"/>
  <c r="W109"/>
  <c r="W108"/>
  <c r="W107"/>
  <c r="AA31"/>
  <c r="P73" i="48"/>
  <c r="BZ73" i="20"/>
  <c r="AB118" i="89"/>
  <c r="Z45" i="20"/>
  <c r="AA86" i="18"/>
  <c r="F60" i="25"/>
  <c r="J99" i="28"/>
  <c r="J28" s="1"/>
  <c r="J25" s="1"/>
  <c r="Z91" i="18"/>
  <c r="U149" i="48"/>
  <c r="L21" i="76"/>
  <c r="P49" i="62"/>
  <c r="AB103" i="89"/>
  <c r="AA39" i="20"/>
  <c r="Q120" i="89"/>
  <c r="AC80" i="18"/>
  <c r="AB28" i="20"/>
  <c r="AB31" s="1"/>
  <c r="F42" i="25"/>
  <c r="Q105" i="89" l="1"/>
  <c r="S46" i="62" s="1"/>
  <c r="S26" i="39" s="1"/>
  <c r="R106" i="89"/>
  <c r="T47" i="62" s="1"/>
  <c r="F104" i="89"/>
  <c r="R43" i="62" s="1"/>
  <c r="R25" i="39" s="1"/>
  <c r="K28" i="76"/>
  <c r="T156" i="48"/>
  <c r="W106" i="62"/>
  <c r="W56" i="39" s="1"/>
  <c r="Q146" i="62"/>
  <c r="Q79" i="39" s="1"/>
  <c r="O146" i="62"/>
  <c r="O79" i="39" s="1"/>
  <c r="M146" i="62"/>
  <c r="M79" i="39" s="1"/>
  <c r="R146" i="62"/>
  <c r="R79" i="39" s="1"/>
  <c r="U146" i="62"/>
  <c r="U79" i="39" s="1"/>
  <c r="P146" i="62"/>
  <c r="P79" i="39" s="1"/>
  <c r="L146" i="62"/>
  <c r="L79" i="39" s="1"/>
  <c r="N146" i="62"/>
  <c r="N79" i="39" s="1"/>
  <c r="V106" i="62"/>
  <c r="V56" i="39" s="1"/>
  <c r="T146" i="62"/>
  <c r="T79" i="39" s="1"/>
  <c r="S146" i="62"/>
  <c r="S79" i="39" s="1"/>
  <c r="S75" i="48"/>
  <c r="M74" i="20"/>
  <c r="BS75"/>
  <c r="BS77" s="1"/>
  <c r="BS156" s="1"/>
  <c r="BR75"/>
  <c r="BN75"/>
  <c r="BN77" s="1"/>
  <c r="BN156" s="1"/>
  <c r="BW75"/>
  <c r="BX75"/>
  <c r="BV75"/>
  <c r="BY75"/>
  <c r="BU75"/>
  <c r="BO75"/>
  <c r="BO77" s="1"/>
  <c r="BO156" s="1"/>
  <c r="BP75"/>
  <c r="BT75"/>
  <c r="BT77" s="1"/>
  <c r="BT156" s="1"/>
  <c r="BQ75"/>
  <c r="BQ77" s="1"/>
  <c r="BQ156" s="1"/>
  <c r="BR77"/>
  <c r="BR156" s="1"/>
  <c r="K77"/>
  <c r="V145" i="62"/>
  <c r="V78" i="39" s="1"/>
  <c r="Q185" i="62"/>
  <c r="Q101" i="39" s="1"/>
  <c r="U185" i="62"/>
  <c r="U101" i="39" s="1"/>
  <c r="W145" i="62"/>
  <c r="W78" i="39" s="1"/>
  <c r="O185" i="62"/>
  <c r="O101" i="39" s="1"/>
  <c r="M185" i="62"/>
  <c r="M101" i="39" s="1"/>
  <c r="S185" i="62"/>
  <c r="S101" i="39" s="1"/>
  <c r="N185" i="62"/>
  <c r="N101" i="39" s="1"/>
  <c r="T185" i="62"/>
  <c r="T101" i="39" s="1"/>
  <c r="T74" i="48"/>
  <c r="R185" i="62"/>
  <c r="R101" i="39" s="1"/>
  <c r="L185" i="62"/>
  <c r="L101" i="39" s="1"/>
  <c r="P185" i="62"/>
  <c r="P101" i="39" s="1"/>
  <c r="BY77" i="20"/>
  <c r="BY156" s="1"/>
  <c r="M156" s="1"/>
  <c r="BW77"/>
  <c r="BW156" s="1"/>
  <c r="BX77"/>
  <c r="BX156" s="1"/>
  <c r="BZ74"/>
  <c r="Z131" i="28"/>
  <c r="G130"/>
  <c r="BP77" i="20"/>
  <c r="BP156" s="1"/>
  <c r="BV77"/>
  <c r="BV156" s="1"/>
  <c r="BU77"/>
  <c r="BU156" s="1"/>
  <c r="L75"/>
  <c r="L77" s="1"/>
  <c r="G119" i="89"/>
  <c r="G105" s="1"/>
  <c r="S44" i="62" s="1"/>
  <c r="F21" i="25"/>
  <c r="AB76" i="18"/>
  <c r="F22" i="25" s="1"/>
  <c r="AA19" i="20"/>
  <c r="AA22" s="1"/>
  <c r="G21" i="25" s="1"/>
  <c r="Q5" i="58"/>
  <c r="E5"/>
  <c r="DU5"/>
  <c r="E4"/>
  <c r="DU4"/>
  <c r="Q4"/>
  <c r="GC5"/>
  <c r="GC4"/>
  <c r="P6"/>
  <c r="DT6"/>
  <c r="D6"/>
  <c r="Q77" i="48"/>
  <c r="O87" i="22"/>
  <c r="H19" i="26"/>
  <c r="H75" i="20"/>
  <c r="Q77"/>
  <c r="H77" s="1"/>
  <c r="C12" i="98"/>
  <c r="C19" s="1"/>
  <c r="C11"/>
  <c r="C18" s="1"/>
  <c r="C23"/>
  <c r="C26" s="1"/>
  <c r="W145" i="48"/>
  <c r="W147" s="1"/>
  <c r="AR145"/>
  <c r="J11" i="101"/>
  <c r="L11" s="1"/>
  <c r="J14"/>
  <c r="L14" s="1"/>
  <c r="J13"/>
  <c r="L13" s="1"/>
  <c r="J12"/>
  <c r="L12" s="1"/>
  <c r="G19" i="76"/>
  <c r="Q147" i="20"/>
  <c r="P147" i="48"/>
  <c r="AR147" s="1"/>
  <c r="M6" i="57"/>
  <c r="M5"/>
  <c r="Z93" i="18"/>
  <c r="AC74"/>
  <c r="F120" i="89"/>
  <c r="AB11" i="20"/>
  <c r="G20" i="25"/>
  <c r="Z64" i="20"/>
  <c r="G42" i="25"/>
  <c r="AB88" i="18"/>
  <c r="AA53" i="20"/>
  <c r="AA56" s="1"/>
  <c r="AA92" i="18"/>
  <c r="AC119" i="89"/>
  <c r="AC105" s="1"/>
  <c r="S50" i="62" s="1"/>
  <c r="S52" s="1"/>
  <c r="S54" s="1"/>
  <c r="F43" i="25"/>
  <c r="AC28" i="20"/>
  <c r="AD80" i="18"/>
  <c r="K77" i="28"/>
  <c r="K27" s="1"/>
  <c r="Q121" i="89"/>
  <c r="Q122" s="1"/>
  <c r="Q49" i="62"/>
  <c r="AB104" i="89"/>
  <c r="X110" i="20"/>
  <c r="X131"/>
  <c r="X108"/>
  <c r="X113"/>
  <c r="X109"/>
  <c r="X111"/>
  <c r="X107"/>
  <c r="R121" i="89"/>
  <c r="R122" s="1"/>
  <c r="AC36" i="20"/>
  <c r="AD82" i="18"/>
  <c r="Z48" i="20"/>
  <c r="Z90"/>
  <c r="Y66"/>
  <c r="Y65"/>
  <c r="Y120" s="1"/>
  <c r="G59" i="25"/>
  <c r="P27" i="39"/>
  <c r="P51" i="62"/>
  <c r="P53" s="1"/>
  <c r="AA45" i="20"/>
  <c r="AB119" i="89"/>
  <c r="AB86" i="18"/>
  <c r="AA91"/>
  <c r="F61" i="25"/>
  <c r="W73" i="48"/>
  <c r="AR73"/>
  <c r="G41" i="25"/>
  <c r="Q106" i="89" l="1"/>
  <c r="AA64" i="20"/>
  <c r="K19" i="26"/>
  <c r="T77" i="48"/>
  <c r="R87" i="22"/>
  <c r="L28" i="76"/>
  <c r="BZ156" i="20"/>
  <c r="U156" i="48"/>
  <c r="M75" i="20"/>
  <c r="M186" i="62"/>
  <c r="M102" i="39" s="1"/>
  <c r="L186" i="62"/>
  <c r="L102" i="39" s="1"/>
  <c r="T75" i="48"/>
  <c r="N186" i="62"/>
  <c r="N102" i="39" s="1"/>
  <c r="O186" i="62"/>
  <c r="O102" i="39" s="1"/>
  <c r="U186" i="62"/>
  <c r="U102" i="39" s="1"/>
  <c r="S186" i="62"/>
  <c r="S102" i="39" s="1"/>
  <c r="Q186" i="62"/>
  <c r="Q102" i="39" s="1"/>
  <c r="T186" i="62"/>
  <c r="T102" i="39" s="1"/>
  <c r="P186" i="62"/>
  <c r="P102" i="39" s="1"/>
  <c r="V146" i="62"/>
  <c r="V79" i="39" s="1"/>
  <c r="R186" i="62"/>
  <c r="R102" i="39" s="1"/>
  <c r="W146" i="62"/>
  <c r="W79" i="39" s="1"/>
  <c r="J19" i="26"/>
  <c r="S77" i="48"/>
  <c r="Q87" i="22"/>
  <c r="O225" i="62"/>
  <c r="O124" i="39" s="1"/>
  <c r="T225" i="62"/>
  <c r="T124" i="39" s="1"/>
  <c r="L225" i="62"/>
  <c r="L124" i="39" s="1"/>
  <c r="S225" i="62"/>
  <c r="S124" i="39" s="1"/>
  <c r="U225" i="62"/>
  <c r="U124" i="39" s="1"/>
  <c r="Q225" i="62"/>
  <c r="Q124" i="39" s="1"/>
  <c r="R225" i="62"/>
  <c r="R124" i="39" s="1"/>
  <c r="V185" i="62"/>
  <c r="V101" i="39" s="1"/>
  <c r="P225" i="62"/>
  <c r="P124" i="39" s="1"/>
  <c r="M225" i="62"/>
  <c r="M124" i="39" s="1"/>
  <c r="W185" i="62"/>
  <c r="W101" i="39" s="1"/>
  <c r="U74" i="48"/>
  <c r="N225" i="62"/>
  <c r="N124" i="39" s="1"/>
  <c r="F105" i="89"/>
  <c r="S43" i="62" s="1"/>
  <c r="S25" i="39" s="1"/>
  <c r="AB19" i="20"/>
  <c r="AB22" s="1"/>
  <c r="G120" i="89"/>
  <c r="G106" s="1"/>
  <c r="AC76" i="18"/>
  <c r="AA93"/>
  <c r="GW288" i="58"/>
  <c r="GS288"/>
  <c r="GO288"/>
  <c r="GW287"/>
  <c r="GS287"/>
  <c r="GO287"/>
  <c r="GW286"/>
  <c r="GS286"/>
  <c r="GO286"/>
  <c r="GW285"/>
  <c r="GS285"/>
  <c r="GO285"/>
  <c r="GW283"/>
  <c r="GS283"/>
  <c r="GO283"/>
  <c r="GW282"/>
  <c r="GS282"/>
  <c r="GO282"/>
  <c r="GW281"/>
  <c r="GS281"/>
  <c r="GO281"/>
  <c r="GW280"/>
  <c r="GS280"/>
  <c r="GO280"/>
  <c r="GX274"/>
  <c r="GT274"/>
  <c r="GP274"/>
  <c r="GX273"/>
  <c r="GT273"/>
  <c r="GP273"/>
  <c r="GX272"/>
  <c r="GT272"/>
  <c r="GP272"/>
  <c r="GX271"/>
  <c r="GT271"/>
  <c r="GP271"/>
  <c r="GX270"/>
  <c r="GT270"/>
  <c r="GP270"/>
  <c r="GX269"/>
  <c r="GT269"/>
  <c r="GP269"/>
  <c r="GX268"/>
  <c r="GT268"/>
  <c r="GP268"/>
  <c r="GX267"/>
  <c r="GT267"/>
  <c r="GP267"/>
  <c r="GX266"/>
  <c r="GT266"/>
  <c r="GP266"/>
  <c r="GX265"/>
  <c r="GT265"/>
  <c r="GP265"/>
  <c r="GX264"/>
  <c r="GT264"/>
  <c r="GP264"/>
  <c r="GX263"/>
  <c r="GT263"/>
  <c r="GP263"/>
  <c r="GX262"/>
  <c r="GT262"/>
  <c r="GP262"/>
  <c r="GX261"/>
  <c r="GT261"/>
  <c r="GP261"/>
  <c r="GX260"/>
  <c r="GT260"/>
  <c r="GP260"/>
  <c r="GX259"/>
  <c r="GT259"/>
  <c r="GP259"/>
  <c r="GX258"/>
  <c r="GT258"/>
  <c r="GP258"/>
  <c r="GX257"/>
  <c r="GT257"/>
  <c r="GP257"/>
  <c r="GX256"/>
  <c r="GT256"/>
  <c r="GP256"/>
  <c r="GX255"/>
  <c r="GT255"/>
  <c r="GP255"/>
  <c r="GX254"/>
  <c r="GT254"/>
  <c r="GP254"/>
  <c r="GX253"/>
  <c r="GT253"/>
  <c r="GP253"/>
  <c r="GX252"/>
  <c r="GT252"/>
  <c r="GP252"/>
  <c r="GX251"/>
  <c r="GT251"/>
  <c r="GP251"/>
  <c r="GX250"/>
  <c r="GT250"/>
  <c r="GP250"/>
  <c r="GX249"/>
  <c r="GT249"/>
  <c r="GP249"/>
  <c r="GX248"/>
  <c r="GT248"/>
  <c r="GP248"/>
  <c r="GX247"/>
  <c r="GT247"/>
  <c r="GP247"/>
  <c r="GX246"/>
  <c r="GT246"/>
  <c r="GP246"/>
  <c r="GX245"/>
  <c r="GT245"/>
  <c r="GP245"/>
  <c r="GX244"/>
  <c r="GT244"/>
  <c r="GP244"/>
  <c r="GX243"/>
  <c r="GT243"/>
  <c r="GP243"/>
  <c r="GX242"/>
  <c r="GT242"/>
  <c r="GP242"/>
  <c r="GX241"/>
  <c r="GT241"/>
  <c r="GP241"/>
  <c r="GX240"/>
  <c r="GT240"/>
  <c r="GP240"/>
  <c r="GY288"/>
  <c r="GU288"/>
  <c r="GQ288"/>
  <c r="GY287"/>
  <c r="GU287"/>
  <c r="GQ287"/>
  <c r="GY286"/>
  <c r="GU286"/>
  <c r="GQ286"/>
  <c r="GY285"/>
  <c r="GU285"/>
  <c r="GQ285"/>
  <c r="GY283"/>
  <c r="GU283"/>
  <c r="GQ283"/>
  <c r="GY282"/>
  <c r="GU282"/>
  <c r="GQ282"/>
  <c r="GY281"/>
  <c r="GU281"/>
  <c r="GQ281"/>
  <c r="GY280"/>
  <c r="GU280"/>
  <c r="GQ280"/>
  <c r="GZ274"/>
  <c r="GV274"/>
  <c r="GR274"/>
  <c r="GZ273"/>
  <c r="GV273"/>
  <c r="GR273"/>
  <c r="GZ272"/>
  <c r="GV272"/>
  <c r="GR272"/>
  <c r="GZ271"/>
  <c r="GV271"/>
  <c r="GR271"/>
  <c r="GZ270"/>
  <c r="GV270"/>
  <c r="GR270"/>
  <c r="GZ269"/>
  <c r="GV269"/>
  <c r="GR269"/>
  <c r="GZ268"/>
  <c r="GV268"/>
  <c r="GR268"/>
  <c r="GZ267"/>
  <c r="GV267"/>
  <c r="GR267"/>
  <c r="GZ266"/>
  <c r="GV266"/>
  <c r="GR266"/>
  <c r="GZ265"/>
  <c r="GV265"/>
  <c r="GR265"/>
  <c r="GZ264"/>
  <c r="GV264"/>
  <c r="GR264"/>
  <c r="GZ263"/>
  <c r="GV263"/>
  <c r="GR263"/>
  <c r="GZ262"/>
  <c r="GV262"/>
  <c r="GR262"/>
  <c r="GZ261"/>
  <c r="GV261"/>
  <c r="GR261"/>
  <c r="GZ260"/>
  <c r="GV260"/>
  <c r="GR260"/>
  <c r="GZ259"/>
  <c r="GV259"/>
  <c r="GR259"/>
  <c r="GZ258"/>
  <c r="GV258"/>
  <c r="GR258"/>
  <c r="GZ257"/>
  <c r="GV257"/>
  <c r="GR257"/>
  <c r="GZ256"/>
  <c r="GV256"/>
  <c r="GR256"/>
  <c r="GZ255"/>
  <c r="GV255"/>
  <c r="GR255"/>
  <c r="GZ254"/>
  <c r="GV254"/>
  <c r="GR254"/>
  <c r="GZ253"/>
  <c r="GV253"/>
  <c r="GR253"/>
  <c r="GZ252"/>
  <c r="GV252"/>
  <c r="GR252"/>
  <c r="GZ251"/>
  <c r="GV251"/>
  <c r="GR251"/>
  <c r="GZ250"/>
  <c r="GV250"/>
  <c r="GR250"/>
  <c r="GZ249"/>
  <c r="GV249"/>
  <c r="GR249"/>
  <c r="GZ248"/>
  <c r="GV248"/>
  <c r="GR248"/>
  <c r="GZ247"/>
  <c r="GV247"/>
  <c r="GR247"/>
  <c r="GZ246"/>
  <c r="GV246"/>
  <c r="GR246"/>
  <c r="GZ245"/>
  <c r="GV245"/>
  <c r="GR245"/>
  <c r="GZ244"/>
  <c r="GV244"/>
  <c r="GR244"/>
  <c r="GZ243"/>
  <c r="GV243"/>
  <c r="GR243"/>
  <c r="GZ242"/>
  <c r="GV242"/>
  <c r="GR242"/>
  <c r="GZ241"/>
  <c r="GV241"/>
  <c r="GR241"/>
  <c r="GZ288"/>
  <c r="GV288"/>
  <c r="GR288"/>
  <c r="GZ287"/>
  <c r="GV287"/>
  <c r="GR287"/>
  <c r="GZ286"/>
  <c r="GV286"/>
  <c r="GR286"/>
  <c r="GZ285"/>
  <c r="GV285"/>
  <c r="GR285"/>
  <c r="GZ283"/>
  <c r="GV283"/>
  <c r="GR283"/>
  <c r="GZ282"/>
  <c r="GV282"/>
  <c r="GR282"/>
  <c r="GZ281"/>
  <c r="GV281"/>
  <c r="GR281"/>
  <c r="GZ280"/>
  <c r="GV280"/>
  <c r="GR280"/>
  <c r="GW274"/>
  <c r="GS274"/>
  <c r="GO274"/>
  <c r="GW273"/>
  <c r="GS273"/>
  <c r="GO273"/>
  <c r="GW272"/>
  <c r="GS272"/>
  <c r="GO272"/>
  <c r="GW271"/>
  <c r="GS271"/>
  <c r="GO271"/>
  <c r="GW270"/>
  <c r="GS270"/>
  <c r="GO270"/>
  <c r="GW269"/>
  <c r="GS269"/>
  <c r="GO269"/>
  <c r="GW268"/>
  <c r="GS268"/>
  <c r="GO268"/>
  <c r="GW267"/>
  <c r="GS267"/>
  <c r="GO267"/>
  <c r="GW266"/>
  <c r="GS266"/>
  <c r="GO266"/>
  <c r="GW265"/>
  <c r="GS265"/>
  <c r="GO265"/>
  <c r="GW264"/>
  <c r="GS264"/>
  <c r="GO264"/>
  <c r="GW263"/>
  <c r="GS263"/>
  <c r="GO263"/>
  <c r="GW262"/>
  <c r="GS262"/>
  <c r="GO262"/>
  <c r="GW261"/>
  <c r="GS261"/>
  <c r="GO261"/>
  <c r="GW260"/>
  <c r="GS260"/>
  <c r="GO260"/>
  <c r="GW259"/>
  <c r="GS259"/>
  <c r="GO259"/>
  <c r="GW258"/>
  <c r="GS258"/>
  <c r="GO258"/>
  <c r="GW257"/>
  <c r="GS257"/>
  <c r="GO257"/>
  <c r="GW256"/>
  <c r="GS256"/>
  <c r="GO256"/>
  <c r="GW255"/>
  <c r="GS255"/>
  <c r="GO255"/>
  <c r="GW254"/>
  <c r="GS254"/>
  <c r="GO254"/>
  <c r="GW253"/>
  <c r="GS253"/>
  <c r="GO253"/>
  <c r="GW252"/>
  <c r="GS252"/>
  <c r="GO252"/>
  <c r="GW251"/>
  <c r="GS251"/>
  <c r="GO251"/>
  <c r="GW250"/>
  <c r="GS250"/>
  <c r="GO250"/>
  <c r="GW249"/>
  <c r="GS249"/>
  <c r="GO249"/>
  <c r="GW248"/>
  <c r="GS248"/>
  <c r="GO248"/>
  <c r="GW247"/>
  <c r="GS247"/>
  <c r="GO247"/>
  <c r="GW246"/>
  <c r="GS246"/>
  <c r="GO246"/>
  <c r="GW245"/>
  <c r="GS245"/>
  <c r="GO245"/>
  <c r="GW244"/>
  <c r="GS244"/>
  <c r="GO244"/>
  <c r="GW243"/>
  <c r="GS243"/>
  <c r="GO243"/>
  <c r="GW242"/>
  <c r="GS242"/>
  <c r="GO242"/>
  <c r="GW241"/>
  <c r="GS241"/>
  <c r="GO241"/>
  <c r="GW240"/>
  <c r="GS240"/>
  <c r="GT287"/>
  <c r="GT285"/>
  <c r="GT282"/>
  <c r="GT280"/>
  <c r="GQ274"/>
  <c r="GY273"/>
  <c r="GQ272"/>
  <c r="GY271"/>
  <c r="GQ270"/>
  <c r="GY269"/>
  <c r="GQ268"/>
  <c r="GY267"/>
  <c r="GQ266"/>
  <c r="GY265"/>
  <c r="GQ264"/>
  <c r="GY263"/>
  <c r="GQ262"/>
  <c r="GY261"/>
  <c r="GQ260"/>
  <c r="GY259"/>
  <c r="GQ258"/>
  <c r="GY257"/>
  <c r="GQ256"/>
  <c r="GY255"/>
  <c r="GQ254"/>
  <c r="GY253"/>
  <c r="GQ252"/>
  <c r="GY251"/>
  <c r="GQ250"/>
  <c r="GY249"/>
  <c r="GQ248"/>
  <c r="GY247"/>
  <c r="GQ246"/>
  <c r="GY245"/>
  <c r="GQ244"/>
  <c r="GY243"/>
  <c r="GQ242"/>
  <c r="GY241"/>
  <c r="GV240"/>
  <c r="GO240"/>
  <c r="GZ239"/>
  <c r="GV239"/>
  <c r="GR239"/>
  <c r="GZ238"/>
  <c r="GV238"/>
  <c r="GR238"/>
  <c r="GZ237"/>
  <c r="GV237"/>
  <c r="GR237"/>
  <c r="GZ236"/>
  <c r="GV236"/>
  <c r="GR236"/>
  <c r="GZ235"/>
  <c r="GV235"/>
  <c r="GR235"/>
  <c r="GZ234"/>
  <c r="GV234"/>
  <c r="GR234"/>
  <c r="GZ233"/>
  <c r="GV233"/>
  <c r="GR233"/>
  <c r="GZ230"/>
  <c r="GV230"/>
  <c r="GR230"/>
  <c r="GZ229"/>
  <c r="GV229"/>
  <c r="GR229"/>
  <c r="GZ228"/>
  <c r="GV228"/>
  <c r="GR228"/>
  <c r="GZ227"/>
  <c r="GV227"/>
  <c r="GR227"/>
  <c r="GZ226"/>
  <c r="GV226"/>
  <c r="GR226"/>
  <c r="GZ225"/>
  <c r="GV225"/>
  <c r="GR225"/>
  <c r="GZ224"/>
  <c r="GV224"/>
  <c r="GR224"/>
  <c r="GZ223"/>
  <c r="GV223"/>
  <c r="GR223"/>
  <c r="GZ222"/>
  <c r="GV222"/>
  <c r="GR222"/>
  <c r="GZ221"/>
  <c r="GV221"/>
  <c r="GR221"/>
  <c r="GP288"/>
  <c r="GX287"/>
  <c r="GP286"/>
  <c r="GX285"/>
  <c r="GP283"/>
  <c r="GX282"/>
  <c r="GP281"/>
  <c r="GX280"/>
  <c r="GU274"/>
  <c r="GU272"/>
  <c r="GU270"/>
  <c r="GU268"/>
  <c r="GU266"/>
  <c r="GU264"/>
  <c r="GU262"/>
  <c r="GU260"/>
  <c r="GU258"/>
  <c r="GU256"/>
  <c r="GU254"/>
  <c r="GU252"/>
  <c r="GU250"/>
  <c r="GU248"/>
  <c r="GU246"/>
  <c r="GU244"/>
  <c r="GU242"/>
  <c r="GY240"/>
  <c r="GQ240"/>
  <c r="GW239"/>
  <c r="GS239"/>
  <c r="GO239"/>
  <c r="GW238"/>
  <c r="GS238"/>
  <c r="GO238"/>
  <c r="GW237"/>
  <c r="GS237"/>
  <c r="GO237"/>
  <c r="GW236"/>
  <c r="GS236"/>
  <c r="GO236"/>
  <c r="GW235"/>
  <c r="GS235"/>
  <c r="GO235"/>
  <c r="GW234"/>
  <c r="GS234"/>
  <c r="GO234"/>
  <c r="GW233"/>
  <c r="GS233"/>
  <c r="GO233"/>
  <c r="GW230"/>
  <c r="GS230"/>
  <c r="GO230"/>
  <c r="GW229"/>
  <c r="GS229"/>
  <c r="GO229"/>
  <c r="GW228"/>
  <c r="GS228"/>
  <c r="GO228"/>
  <c r="GW227"/>
  <c r="GS227"/>
  <c r="GO227"/>
  <c r="GW226"/>
  <c r="GS226"/>
  <c r="GO226"/>
  <c r="GW225"/>
  <c r="GS225"/>
  <c r="GO225"/>
  <c r="GW224"/>
  <c r="GS224"/>
  <c r="GO224"/>
  <c r="GW223"/>
  <c r="GS223"/>
  <c r="GO223"/>
  <c r="GW222"/>
  <c r="GS222"/>
  <c r="GO222"/>
  <c r="GW221"/>
  <c r="GS221"/>
  <c r="GO221"/>
  <c r="GW220"/>
  <c r="GS220"/>
  <c r="GO220"/>
  <c r="GW219"/>
  <c r="GS219"/>
  <c r="GO219"/>
  <c r="GW218"/>
  <c r="GS218"/>
  <c r="GO218"/>
  <c r="GW217"/>
  <c r="GS217"/>
  <c r="GO217"/>
  <c r="GW216"/>
  <c r="GS216"/>
  <c r="GO216"/>
  <c r="GW215"/>
  <c r="GS215"/>
  <c r="GO215"/>
  <c r="GW214"/>
  <c r="GS214"/>
  <c r="GO214"/>
  <c r="GW213"/>
  <c r="GS213"/>
  <c r="GO213"/>
  <c r="GW212"/>
  <c r="GS212"/>
  <c r="GO212"/>
  <c r="GW211"/>
  <c r="GS211"/>
  <c r="GO211"/>
  <c r="GW210"/>
  <c r="GS210"/>
  <c r="GO210"/>
  <c r="GW209"/>
  <c r="GS209"/>
  <c r="GO209"/>
  <c r="GW208"/>
  <c r="GS208"/>
  <c r="GT288"/>
  <c r="GT286"/>
  <c r="GT283"/>
  <c r="GT281"/>
  <c r="GY274"/>
  <c r="GQ273"/>
  <c r="GY272"/>
  <c r="GQ271"/>
  <c r="GY270"/>
  <c r="GQ269"/>
  <c r="GY268"/>
  <c r="GQ267"/>
  <c r="GY266"/>
  <c r="GQ265"/>
  <c r="GY264"/>
  <c r="GQ263"/>
  <c r="GY262"/>
  <c r="GQ261"/>
  <c r="GY260"/>
  <c r="GQ259"/>
  <c r="GY258"/>
  <c r="GQ257"/>
  <c r="GY256"/>
  <c r="GQ255"/>
  <c r="GY254"/>
  <c r="GQ253"/>
  <c r="GY252"/>
  <c r="GQ251"/>
  <c r="GY250"/>
  <c r="GQ249"/>
  <c r="GY248"/>
  <c r="GQ247"/>
  <c r="GY246"/>
  <c r="GQ245"/>
  <c r="GY244"/>
  <c r="GQ243"/>
  <c r="GY242"/>
  <c r="GQ241"/>
  <c r="GZ240"/>
  <c r="GR240"/>
  <c r="GX239"/>
  <c r="GT239"/>
  <c r="GP239"/>
  <c r="GX238"/>
  <c r="GT238"/>
  <c r="GP238"/>
  <c r="GX237"/>
  <c r="GT237"/>
  <c r="GP237"/>
  <c r="GX236"/>
  <c r="GT236"/>
  <c r="GP236"/>
  <c r="GX235"/>
  <c r="GT235"/>
  <c r="GP235"/>
  <c r="GX234"/>
  <c r="GT234"/>
  <c r="GP234"/>
  <c r="GX233"/>
  <c r="GT233"/>
  <c r="GP233"/>
  <c r="GX230"/>
  <c r="GT230"/>
  <c r="GP230"/>
  <c r="GX229"/>
  <c r="GT229"/>
  <c r="GP229"/>
  <c r="GX228"/>
  <c r="GT228"/>
  <c r="GP228"/>
  <c r="GX227"/>
  <c r="GT227"/>
  <c r="GP227"/>
  <c r="GX226"/>
  <c r="GT226"/>
  <c r="GP226"/>
  <c r="GX225"/>
  <c r="GT225"/>
  <c r="GP225"/>
  <c r="GX224"/>
  <c r="GT224"/>
  <c r="GP224"/>
  <c r="GX223"/>
  <c r="GT223"/>
  <c r="GP223"/>
  <c r="GX222"/>
  <c r="GT222"/>
  <c r="GP222"/>
  <c r="GX288"/>
  <c r="GP287"/>
  <c r="GX286"/>
  <c r="GP285"/>
  <c r="GX283"/>
  <c r="GP282"/>
  <c r="GX281"/>
  <c r="GP280"/>
  <c r="GU273"/>
  <c r="GU271"/>
  <c r="GU269"/>
  <c r="GU267"/>
  <c r="GU265"/>
  <c r="GU263"/>
  <c r="GU261"/>
  <c r="GU259"/>
  <c r="GU257"/>
  <c r="GU255"/>
  <c r="GU253"/>
  <c r="GU251"/>
  <c r="GU249"/>
  <c r="GU247"/>
  <c r="GU245"/>
  <c r="GU243"/>
  <c r="GU241"/>
  <c r="GU240"/>
  <c r="GY239"/>
  <c r="GU239"/>
  <c r="GQ239"/>
  <c r="GY238"/>
  <c r="GU238"/>
  <c r="GQ238"/>
  <c r="GY237"/>
  <c r="GU237"/>
  <c r="GQ237"/>
  <c r="GY236"/>
  <c r="GU236"/>
  <c r="GQ236"/>
  <c r="GY235"/>
  <c r="GU235"/>
  <c r="GQ235"/>
  <c r="GY234"/>
  <c r="GU234"/>
  <c r="GQ234"/>
  <c r="GY233"/>
  <c r="GU233"/>
  <c r="GQ233"/>
  <c r="GY230"/>
  <c r="GU230"/>
  <c r="GQ230"/>
  <c r="GY229"/>
  <c r="GU229"/>
  <c r="GQ229"/>
  <c r="GQ228"/>
  <c r="GY227"/>
  <c r="GQ226"/>
  <c r="GY225"/>
  <c r="GQ224"/>
  <c r="GY223"/>
  <c r="GQ222"/>
  <c r="GY221"/>
  <c r="GQ221"/>
  <c r="GV220"/>
  <c r="GQ220"/>
  <c r="GY219"/>
  <c r="GT219"/>
  <c r="GV218"/>
  <c r="GQ218"/>
  <c r="GY217"/>
  <c r="GT217"/>
  <c r="GV216"/>
  <c r="GQ216"/>
  <c r="GY215"/>
  <c r="GT215"/>
  <c r="GV214"/>
  <c r="GQ214"/>
  <c r="GY213"/>
  <c r="GT213"/>
  <c r="GV212"/>
  <c r="GQ212"/>
  <c r="GY211"/>
  <c r="GT211"/>
  <c r="GV210"/>
  <c r="GQ210"/>
  <c r="GY209"/>
  <c r="GT209"/>
  <c r="GV208"/>
  <c r="GQ208"/>
  <c r="GY207"/>
  <c r="GU207"/>
  <c r="GQ207"/>
  <c r="GY206"/>
  <c r="GU206"/>
  <c r="GQ206"/>
  <c r="GY205"/>
  <c r="GU205"/>
  <c r="GQ205"/>
  <c r="GY204"/>
  <c r="GU204"/>
  <c r="GQ204"/>
  <c r="GY203"/>
  <c r="GU203"/>
  <c r="GQ203"/>
  <c r="GY202"/>
  <c r="GU202"/>
  <c r="GQ202"/>
  <c r="GY201"/>
  <c r="GU201"/>
  <c r="GQ201"/>
  <c r="GY200"/>
  <c r="GU200"/>
  <c r="GQ200"/>
  <c r="GY199"/>
  <c r="GU199"/>
  <c r="GQ199"/>
  <c r="GY198"/>
  <c r="GU198"/>
  <c r="GQ198"/>
  <c r="GY197"/>
  <c r="GU197"/>
  <c r="GQ197"/>
  <c r="GY196"/>
  <c r="GU196"/>
  <c r="GQ196"/>
  <c r="GY195"/>
  <c r="GU195"/>
  <c r="GQ195"/>
  <c r="GY194"/>
  <c r="GU194"/>
  <c r="GQ194"/>
  <c r="GY193"/>
  <c r="GU193"/>
  <c r="GQ193"/>
  <c r="GY192"/>
  <c r="GU192"/>
  <c r="GQ192"/>
  <c r="GY191"/>
  <c r="GU191"/>
  <c r="GQ191"/>
  <c r="GY190"/>
  <c r="GU190"/>
  <c r="GQ190"/>
  <c r="GY189"/>
  <c r="GU189"/>
  <c r="GQ189"/>
  <c r="GY188"/>
  <c r="GU188"/>
  <c r="GQ188"/>
  <c r="GY187"/>
  <c r="GU187"/>
  <c r="GQ187"/>
  <c r="GY186"/>
  <c r="GU186"/>
  <c r="GQ186"/>
  <c r="GY185"/>
  <c r="GU185"/>
  <c r="GQ185"/>
  <c r="GY184"/>
  <c r="GU184"/>
  <c r="GQ184"/>
  <c r="GY183"/>
  <c r="GU183"/>
  <c r="GQ183"/>
  <c r="GY182"/>
  <c r="GU182"/>
  <c r="GQ182"/>
  <c r="GY181"/>
  <c r="GU181"/>
  <c r="GQ181"/>
  <c r="GY180"/>
  <c r="GU180"/>
  <c r="GQ180"/>
  <c r="GY179"/>
  <c r="GU179"/>
  <c r="GQ179"/>
  <c r="GY178"/>
  <c r="GU178"/>
  <c r="GQ178"/>
  <c r="GY177"/>
  <c r="GU177"/>
  <c r="GU228"/>
  <c r="GU226"/>
  <c r="GU224"/>
  <c r="GU222"/>
  <c r="GT221"/>
  <c r="GX220"/>
  <c r="GR220"/>
  <c r="GZ219"/>
  <c r="GU219"/>
  <c r="GP219"/>
  <c r="GX218"/>
  <c r="GR218"/>
  <c r="GZ217"/>
  <c r="GU217"/>
  <c r="GP217"/>
  <c r="GX216"/>
  <c r="GR216"/>
  <c r="GZ215"/>
  <c r="GU215"/>
  <c r="GP215"/>
  <c r="GX214"/>
  <c r="GR214"/>
  <c r="GZ213"/>
  <c r="GU213"/>
  <c r="GP213"/>
  <c r="GX212"/>
  <c r="GR212"/>
  <c r="GZ211"/>
  <c r="GU211"/>
  <c r="GP211"/>
  <c r="GX210"/>
  <c r="GR210"/>
  <c r="GZ209"/>
  <c r="GU209"/>
  <c r="GP209"/>
  <c r="GX208"/>
  <c r="GR208"/>
  <c r="GZ207"/>
  <c r="GV207"/>
  <c r="GR207"/>
  <c r="GZ206"/>
  <c r="GV206"/>
  <c r="GR206"/>
  <c r="GZ205"/>
  <c r="GV205"/>
  <c r="GR205"/>
  <c r="GZ204"/>
  <c r="GV204"/>
  <c r="GR204"/>
  <c r="GZ203"/>
  <c r="GV203"/>
  <c r="GR203"/>
  <c r="GZ202"/>
  <c r="GV202"/>
  <c r="GR202"/>
  <c r="GZ201"/>
  <c r="GV201"/>
  <c r="GR201"/>
  <c r="GZ200"/>
  <c r="GV200"/>
  <c r="GR200"/>
  <c r="GZ199"/>
  <c r="GV199"/>
  <c r="GR199"/>
  <c r="GZ198"/>
  <c r="GV198"/>
  <c r="GR198"/>
  <c r="GZ197"/>
  <c r="GV197"/>
  <c r="GR197"/>
  <c r="GZ196"/>
  <c r="GV196"/>
  <c r="GR196"/>
  <c r="GZ195"/>
  <c r="GV195"/>
  <c r="GR195"/>
  <c r="GZ194"/>
  <c r="GV194"/>
  <c r="GR194"/>
  <c r="GZ193"/>
  <c r="GV193"/>
  <c r="GR193"/>
  <c r="GZ192"/>
  <c r="GV192"/>
  <c r="GR192"/>
  <c r="GZ191"/>
  <c r="GV191"/>
  <c r="GR191"/>
  <c r="GZ190"/>
  <c r="GV190"/>
  <c r="GR190"/>
  <c r="GZ189"/>
  <c r="GV189"/>
  <c r="GR189"/>
  <c r="GZ188"/>
  <c r="GV188"/>
  <c r="GR188"/>
  <c r="GZ187"/>
  <c r="GV187"/>
  <c r="GR187"/>
  <c r="GZ186"/>
  <c r="GV186"/>
  <c r="GR186"/>
  <c r="GZ185"/>
  <c r="GV185"/>
  <c r="GR185"/>
  <c r="GZ184"/>
  <c r="GV184"/>
  <c r="GR184"/>
  <c r="GZ183"/>
  <c r="GV183"/>
  <c r="GR183"/>
  <c r="GZ182"/>
  <c r="GV182"/>
  <c r="GR182"/>
  <c r="GZ181"/>
  <c r="GV181"/>
  <c r="GR181"/>
  <c r="GZ180"/>
  <c r="GV180"/>
  <c r="GR180"/>
  <c r="GZ179"/>
  <c r="GV179"/>
  <c r="GR179"/>
  <c r="GY228"/>
  <c r="GQ227"/>
  <c r="GY226"/>
  <c r="GQ225"/>
  <c r="GY224"/>
  <c r="GQ223"/>
  <c r="GY222"/>
  <c r="GU221"/>
  <c r="GY220"/>
  <c r="GT220"/>
  <c r="GV219"/>
  <c r="GQ219"/>
  <c r="GY218"/>
  <c r="GT218"/>
  <c r="GV217"/>
  <c r="GQ217"/>
  <c r="GY216"/>
  <c r="GT216"/>
  <c r="GV215"/>
  <c r="GQ215"/>
  <c r="GY214"/>
  <c r="GT214"/>
  <c r="GV213"/>
  <c r="GQ213"/>
  <c r="GY212"/>
  <c r="GT212"/>
  <c r="GV211"/>
  <c r="GQ211"/>
  <c r="GY210"/>
  <c r="GT210"/>
  <c r="GV209"/>
  <c r="GQ209"/>
  <c r="GY208"/>
  <c r="GT208"/>
  <c r="GO208"/>
  <c r="GW207"/>
  <c r="GS207"/>
  <c r="GO207"/>
  <c r="GW206"/>
  <c r="GS206"/>
  <c r="GO206"/>
  <c r="GW205"/>
  <c r="GS205"/>
  <c r="GO205"/>
  <c r="GW204"/>
  <c r="GS204"/>
  <c r="GO204"/>
  <c r="GW203"/>
  <c r="GS203"/>
  <c r="GO203"/>
  <c r="GW202"/>
  <c r="GS202"/>
  <c r="GO202"/>
  <c r="GW201"/>
  <c r="GS201"/>
  <c r="GO201"/>
  <c r="GW200"/>
  <c r="GS200"/>
  <c r="GO200"/>
  <c r="GW199"/>
  <c r="GS199"/>
  <c r="GO199"/>
  <c r="GW198"/>
  <c r="GS198"/>
  <c r="GO198"/>
  <c r="GW197"/>
  <c r="GS197"/>
  <c r="GO197"/>
  <c r="GW196"/>
  <c r="GS196"/>
  <c r="GO196"/>
  <c r="GW195"/>
  <c r="GS195"/>
  <c r="GO195"/>
  <c r="GW194"/>
  <c r="GS194"/>
  <c r="GO194"/>
  <c r="GW193"/>
  <c r="GS193"/>
  <c r="GO193"/>
  <c r="GW192"/>
  <c r="GS192"/>
  <c r="GO192"/>
  <c r="GW191"/>
  <c r="GS191"/>
  <c r="GO191"/>
  <c r="GW190"/>
  <c r="GS190"/>
  <c r="GO190"/>
  <c r="GW189"/>
  <c r="GS189"/>
  <c r="GO189"/>
  <c r="GW188"/>
  <c r="GS188"/>
  <c r="GO188"/>
  <c r="GW187"/>
  <c r="GS187"/>
  <c r="GO187"/>
  <c r="GW186"/>
  <c r="GS186"/>
  <c r="GO186"/>
  <c r="GW185"/>
  <c r="GS185"/>
  <c r="GO185"/>
  <c r="GW184"/>
  <c r="GS184"/>
  <c r="GO184"/>
  <c r="GW183"/>
  <c r="GS183"/>
  <c r="GO183"/>
  <c r="GW182"/>
  <c r="GS182"/>
  <c r="GO182"/>
  <c r="GW181"/>
  <c r="GS181"/>
  <c r="GO181"/>
  <c r="GW180"/>
  <c r="GS180"/>
  <c r="GO180"/>
  <c r="GW179"/>
  <c r="GS179"/>
  <c r="GO179"/>
  <c r="GU227"/>
  <c r="GU225"/>
  <c r="GU223"/>
  <c r="GX221"/>
  <c r="GP221"/>
  <c r="GZ220"/>
  <c r="GU220"/>
  <c r="GP220"/>
  <c r="GX219"/>
  <c r="GR219"/>
  <c r="GZ218"/>
  <c r="GU218"/>
  <c r="GP218"/>
  <c r="GX217"/>
  <c r="GR217"/>
  <c r="GZ216"/>
  <c r="GU216"/>
  <c r="GP216"/>
  <c r="GX215"/>
  <c r="GR215"/>
  <c r="GZ214"/>
  <c r="GU214"/>
  <c r="GP214"/>
  <c r="GX213"/>
  <c r="GR213"/>
  <c r="GZ212"/>
  <c r="GU212"/>
  <c r="GP212"/>
  <c r="GX211"/>
  <c r="GR211"/>
  <c r="GZ210"/>
  <c r="GU210"/>
  <c r="GP210"/>
  <c r="GX209"/>
  <c r="GR209"/>
  <c r="GZ208"/>
  <c r="GU208"/>
  <c r="GP208"/>
  <c r="GX207"/>
  <c r="GT207"/>
  <c r="GP207"/>
  <c r="GX206"/>
  <c r="GT206"/>
  <c r="GP206"/>
  <c r="GX205"/>
  <c r="GT205"/>
  <c r="GP205"/>
  <c r="GX204"/>
  <c r="GT204"/>
  <c r="GP204"/>
  <c r="GX203"/>
  <c r="GT203"/>
  <c r="GP203"/>
  <c r="GX202"/>
  <c r="GT202"/>
  <c r="GP202"/>
  <c r="GX201"/>
  <c r="GT201"/>
  <c r="GP201"/>
  <c r="GX200"/>
  <c r="GT200"/>
  <c r="GP200"/>
  <c r="GX199"/>
  <c r="GT199"/>
  <c r="GP199"/>
  <c r="GX198"/>
  <c r="GT198"/>
  <c r="GP198"/>
  <c r="GX197"/>
  <c r="GT197"/>
  <c r="GP197"/>
  <c r="GX196"/>
  <c r="GT196"/>
  <c r="GP196"/>
  <c r="GX195"/>
  <c r="GT195"/>
  <c r="GP195"/>
  <c r="GX194"/>
  <c r="GT194"/>
  <c r="GP194"/>
  <c r="GX193"/>
  <c r="GT193"/>
  <c r="GP193"/>
  <c r="GX192"/>
  <c r="GT192"/>
  <c r="GP192"/>
  <c r="GX191"/>
  <c r="GT191"/>
  <c r="GP191"/>
  <c r="GX190"/>
  <c r="GT190"/>
  <c r="GP190"/>
  <c r="GX189"/>
  <c r="GT189"/>
  <c r="GP189"/>
  <c r="GX188"/>
  <c r="GT188"/>
  <c r="GP188"/>
  <c r="GX187"/>
  <c r="GT187"/>
  <c r="GP187"/>
  <c r="GX186"/>
  <c r="GT186"/>
  <c r="GP186"/>
  <c r="GX185"/>
  <c r="GT185"/>
  <c r="GP185"/>
  <c r="GX184"/>
  <c r="GT184"/>
  <c r="GP184"/>
  <c r="GX183"/>
  <c r="GT183"/>
  <c r="GP183"/>
  <c r="GX182"/>
  <c r="GT182"/>
  <c r="GP182"/>
  <c r="GX181"/>
  <c r="GT181"/>
  <c r="GP181"/>
  <c r="GX180"/>
  <c r="GT180"/>
  <c r="GP180"/>
  <c r="GX179"/>
  <c r="GT179"/>
  <c r="GP179"/>
  <c r="GX178"/>
  <c r="GT178"/>
  <c r="GP178"/>
  <c r="GX177"/>
  <c r="GT177"/>
  <c r="GP177"/>
  <c r="GZ178"/>
  <c r="GR178"/>
  <c r="GZ177"/>
  <c r="GR177"/>
  <c r="GY176"/>
  <c r="GU176"/>
  <c r="GQ176"/>
  <c r="GY175"/>
  <c r="GU175"/>
  <c r="GQ175"/>
  <c r="GY174"/>
  <c r="GU174"/>
  <c r="GQ174"/>
  <c r="GY173"/>
  <c r="GU173"/>
  <c r="GQ173"/>
  <c r="GY172"/>
  <c r="GU172"/>
  <c r="GQ172"/>
  <c r="GY171"/>
  <c r="GU171"/>
  <c r="GQ171"/>
  <c r="GY170"/>
  <c r="GU170"/>
  <c r="GQ170"/>
  <c r="GY169"/>
  <c r="GU169"/>
  <c r="GQ169"/>
  <c r="GY168"/>
  <c r="GU168"/>
  <c r="GQ168"/>
  <c r="GY167"/>
  <c r="GU167"/>
  <c r="GQ167"/>
  <c r="GY166"/>
  <c r="GU166"/>
  <c r="GQ166"/>
  <c r="GY165"/>
  <c r="GU165"/>
  <c r="GQ165"/>
  <c r="GY164"/>
  <c r="GU164"/>
  <c r="GQ164"/>
  <c r="GY163"/>
  <c r="GU163"/>
  <c r="GQ163"/>
  <c r="GY162"/>
  <c r="GU162"/>
  <c r="GQ162"/>
  <c r="GY161"/>
  <c r="GU161"/>
  <c r="GQ161"/>
  <c r="GY160"/>
  <c r="GU160"/>
  <c r="GQ160"/>
  <c r="GY159"/>
  <c r="GU159"/>
  <c r="GQ159"/>
  <c r="GY158"/>
  <c r="GU158"/>
  <c r="GQ158"/>
  <c r="GY157"/>
  <c r="GU157"/>
  <c r="GQ157"/>
  <c r="GY156"/>
  <c r="GU156"/>
  <c r="GQ156"/>
  <c r="GY155"/>
  <c r="GU155"/>
  <c r="GQ155"/>
  <c r="GY153"/>
  <c r="GU153"/>
  <c r="GQ153"/>
  <c r="GY152"/>
  <c r="GU152"/>
  <c r="GQ152"/>
  <c r="GY151"/>
  <c r="GU151"/>
  <c r="GQ151"/>
  <c r="GY150"/>
  <c r="GU150"/>
  <c r="GQ150"/>
  <c r="GY149"/>
  <c r="GU149"/>
  <c r="GQ149"/>
  <c r="GY148"/>
  <c r="GU148"/>
  <c r="GQ148"/>
  <c r="GY147"/>
  <c r="GU147"/>
  <c r="GQ147"/>
  <c r="GY146"/>
  <c r="GU146"/>
  <c r="GQ146"/>
  <c r="GY145"/>
  <c r="GU145"/>
  <c r="GQ145"/>
  <c r="GY144"/>
  <c r="GU144"/>
  <c r="GQ144"/>
  <c r="GY143"/>
  <c r="GU143"/>
  <c r="GQ143"/>
  <c r="GZ141"/>
  <c r="GV141"/>
  <c r="GR141"/>
  <c r="GZ140"/>
  <c r="GV140"/>
  <c r="GR140"/>
  <c r="GW138"/>
  <c r="GS138"/>
  <c r="GO138"/>
  <c r="GW137"/>
  <c r="GS137"/>
  <c r="GO137"/>
  <c r="GW136"/>
  <c r="GS136"/>
  <c r="GO136"/>
  <c r="GW135"/>
  <c r="GS135"/>
  <c r="GO135"/>
  <c r="GW134"/>
  <c r="GS134"/>
  <c r="GO134"/>
  <c r="GS178"/>
  <c r="GS177"/>
  <c r="GZ176"/>
  <c r="GV176"/>
  <c r="GR176"/>
  <c r="GZ175"/>
  <c r="GV175"/>
  <c r="GR175"/>
  <c r="GZ174"/>
  <c r="GV174"/>
  <c r="GR174"/>
  <c r="GZ173"/>
  <c r="GV173"/>
  <c r="GR173"/>
  <c r="GZ172"/>
  <c r="GV172"/>
  <c r="GR172"/>
  <c r="GZ171"/>
  <c r="GV171"/>
  <c r="GR171"/>
  <c r="GZ170"/>
  <c r="GV170"/>
  <c r="GR170"/>
  <c r="GZ169"/>
  <c r="GV169"/>
  <c r="GR169"/>
  <c r="GZ168"/>
  <c r="GV168"/>
  <c r="GR168"/>
  <c r="GZ167"/>
  <c r="GV167"/>
  <c r="GR167"/>
  <c r="GZ166"/>
  <c r="GV166"/>
  <c r="GR166"/>
  <c r="GZ165"/>
  <c r="GV165"/>
  <c r="GR165"/>
  <c r="GZ164"/>
  <c r="GV164"/>
  <c r="GR164"/>
  <c r="GZ163"/>
  <c r="GV163"/>
  <c r="GR163"/>
  <c r="GZ162"/>
  <c r="GV162"/>
  <c r="GR162"/>
  <c r="GZ161"/>
  <c r="GV161"/>
  <c r="GR161"/>
  <c r="GZ160"/>
  <c r="GV160"/>
  <c r="GR160"/>
  <c r="GZ159"/>
  <c r="GV159"/>
  <c r="GR159"/>
  <c r="GZ158"/>
  <c r="GV158"/>
  <c r="GR158"/>
  <c r="GZ157"/>
  <c r="GV157"/>
  <c r="GR157"/>
  <c r="GZ156"/>
  <c r="GV156"/>
  <c r="GR156"/>
  <c r="GZ155"/>
  <c r="GV155"/>
  <c r="GR155"/>
  <c r="GZ153"/>
  <c r="GV153"/>
  <c r="GR153"/>
  <c r="GZ152"/>
  <c r="GV152"/>
  <c r="GR152"/>
  <c r="GZ151"/>
  <c r="GV151"/>
  <c r="GR151"/>
  <c r="GZ150"/>
  <c r="GV150"/>
  <c r="GR150"/>
  <c r="GZ149"/>
  <c r="GV149"/>
  <c r="GR149"/>
  <c r="GZ148"/>
  <c r="GV148"/>
  <c r="GR148"/>
  <c r="GZ147"/>
  <c r="GV147"/>
  <c r="GR147"/>
  <c r="GZ146"/>
  <c r="GV146"/>
  <c r="GR146"/>
  <c r="GZ145"/>
  <c r="GV145"/>
  <c r="GR145"/>
  <c r="GZ144"/>
  <c r="GV144"/>
  <c r="GR144"/>
  <c r="GZ143"/>
  <c r="GV143"/>
  <c r="GR143"/>
  <c r="GW141"/>
  <c r="GS141"/>
  <c r="GO141"/>
  <c r="GW140"/>
  <c r="GS140"/>
  <c r="GO140"/>
  <c r="GX138"/>
  <c r="GT138"/>
  <c r="GP138"/>
  <c r="GX137"/>
  <c r="GT137"/>
  <c r="GP137"/>
  <c r="GX136"/>
  <c r="GT136"/>
  <c r="GP136"/>
  <c r="GX135"/>
  <c r="GT135"/>
  <c r="GP135"/>
  <c r="GX134"/>
  <c r="GT134"/>
  <c r="GP134"/>
  <c r="GX133"/>
  <c r="GT133"/>
  <c r="GV178"/>
  <c r="GV177"/>
  <c r="GO177"/>
  <c r="GW176"/>
  <c r="GS176"/>
  <c r="GO176"/>
  <c r="GW175"/>
  <c r="GS175"/>
  <c r="GO175"/>
  <c r="GW174"/>
  <c r="GS174"/>
  <c r="GO174"/>
  <c r="GW173"/>
  <c r="GS173"/>
  <c r="GO173"/>
  <c r="GW172"/>
  <c r="GS172"/>
  <c r="GO172"/>
  <c r="GW171"/>
  <c r="GS171"/>
  <c r="GO171"/>
  <c r="GW170"/>
  <c r="GS170"/>
  <c r="GO170"/>
  <c r="GW169"/>
  <c r="GS169"/>
  <c r="GO169"/>
  <c r="GW168"/>
  <c r="GS168"/>
  <c r="GO168"/>
  <c r="GW167"/>
  <c r="GS167"/>
  <c r="GO167"/>
  <c r="GW166"/>
  <c r="GS166"/>
  <c r="GO166"/>
  <c r="GW165"/>
  <c r="GS165"/>
  <c r="GO165"/>
  <c r="GW164"/>
  <c r="GS164"/>
  <c r="GO164"/>
  <c r="GW163"/>
  <c r="GS163"/>
  <c r="GO163"/>
  <c r="GW162"/>
  <c r="GS162"/>
  <c r="GO162"/>
  <c r="GW161"/>
  <c r="GS161"/>
  <c r="GO161"/>
  <c r="GW160"/>
  <c r="GS160"/>
  <c r="GO160"/>
  <c r="GW159"/>
  <c r="GS159"/>
  <c r="GO159"/>
  <c r="GW158"/>
  <c r="GS158"/>
  <c r="GO158"/>
  <c r="GW157"/>
  <c r="GS157"/>
  <c r="GO157"/>
  <c r="GW156"/>
  <c r="GS156"/>
  <c r="GO156"/>
  <c r="GW155"/>
  <c r="GS155"/>
  <c r="GO155"/>
  <c r="GW153"/>
  <c r="GS153"/>
  <c r="GO153"/>
  <c r="GW152"/>
  <c r="GS152"/>
  <c r="GO152"/>
  <c r="GW151"/>
  <c r="GS151"/>
  <c r="GO151"/>
  <c r="GW150"/>
  <c r="GS150"/>
  <c r="GO150"/>
  <c r="GW149"/>
  <c r="GS149"/>
  <c r="GO149"/>
  <c r="GW148"/>
  <c r="GS148"/>
  <c r="GO148"/>
  <c r="GW147"/>
  <c r="GS147"/>
  <c r="GO147"/>
  <c r="GW146"/>
  <c r="GS146"/>
  <c r="GO146"/>
  <c r="GW145"/>
  <c r="GS145"/>
  <c r="GO145"/>
  <c r="GW144"/>
  <c r="GS144"/>
  <c r="GO144"/>
  <c r="GW143"/>
  <c r="GS143"/>
  <c r="GO143"/>
  <c r="GX141"/>
  <c r="GT141"/>
  <c r="GP141"/>
  <c r="GX140"/>
  <c r="GT140"/>
  <c r="GP140"/>
  <c r="GY138"/>
  <c r="GU138"/>
  <c r="GQ138"/>
  <c r="GY137"/>
  <c r="GU137"/>
  <c r="GQ137"/>
  <c r="GY136"/>
  <c r="GU136"/>
  <c r="GQ136"/>
  <c r="GY135"/>
  <c r="GU135"/>
  <c r="GQ135"/>
  <c r="GY134"/>
  <c r="GW178"/>
  <c r="GO178"/>
  <c r="GW177"/>
  <c r="GQ177"/>
  <c r="GX176"/>
  <c r="GT176"/>
  <c r="GP176"/>
  <c r="GX175"/>
  <c r="GT175"/>
  <c r="GP175"/>
  <c r="GX174"/>
  <c r="GT174"/>
  <c r="GP174"/>
  <c r="GX173"/>
  <c r="GT173"/>
  <c r="GP173"/>
  <c r="GX172"/>
  <c r="GT172"/>
  <c r="GP172"/>
  <c r="GX171"/>
  <c r="GT171"/>
  <c r="GP171"/>
  <c r="GX170"/>
  <c r="GT170"/>
  <c r="GP170"/>
  <c r="GX169"/>
  <c r="GT169"/>
  <c r="GP169"/>
  <c r="GX168"/>
  <c r="GT168"/>
  <c r="GP168"/>
  <c r="GX167"/>
  <c r="GT167"/>
  <c r="GP167"/>
  <c r="GX166"/>
  <c r="GT166"/>
  <c r="GP166"/>
  <c r="GX165"/>
  <c r="GT165"/>
  <c r="GP165"/>
  <c r="GX164"/>
  <c r="GT164"/>
  <c r="GP164"/>
  <c r="GX163"/>
  <c r="GT163"/>
  <c r="GP163"/>
  <c r="GX162"/>
  <c r="GT162"/>
  <c r="GP162"/>
  <c r="GX161"/>
  <c r="GT161"/>
  <c r="GP161"/>
  <c r="GX160"/>
  <c r="GT160"/>
  <c r="GP160"/>
  <c r="GX159"/>
  <c r="GT159"/>
  <c r="GP159"/>
  <c r="GX158"/>
  <c r="GT158"/>
  <c r="GP158"/>
  <c r="GX157"/>
  <c r="GT157"/>
  <c r="GP157"/>
  <c r="GX156"/>
  <c r="GT156"/>
  <c r="GP156"/>
  <c r="GX155"/>
  <c r="GT155"/>
  <c r="GP155"/>
  <c r="GX153"/>
  <c r="GT153"/>
  <c r="GP153"/>
  <c r="GX152"/>
  <c r="GT152"/>
  <c r="GP152"/>
  <c r="GX151"/>
  <c r="GT151"/>
  <c r="GP151"/>
  <c r="GX150"/>
  <c r="GT150"/>
  <c r="GP150"/>
  <c r="GX149"/>
  <c r="GT149"/>
  <c r="GP149"/>
  <c r="GX148"/>
  <c r="GT148"/>
  <c r="GP148"/>
  <c r="GX147"/>
  <c r="GT147"/>
  <c r="GP147"/>
  <c r="GX146"/>
  <c r="GT146"/>
  <c r="GP146"/>
  <c r="GX145"/>
  <c r="GT145"/>
  <c r="GP145"/>
  <c r="GX144"/>
  <c r="GT144"/>
  <c r="GP144"/>
  <c r="GX143"/>
  <c r="GT143"/>
  <c r="GP143"/>
  <c r="GY141"/>
  <c r="GU141"/>
  <c r="GQ141"/>
  <c r="GY140"/>
  <c r="GU140"/>
  <c r="GQ140"/>
  <c r="GZ138"/>
  <c r="GV138"/>
  <c r="GR138"/>
  <c r="GZ137"/>
  <c r="GV137"/>
  <c r="GR137"/>
  <c r="GZ136"/>
  <c r="GV136"/>
  <c r="GR136"/>
  <c r="GZ135"/>
  <c r="GV135"/>
  <c r="GR135"/>
  <c r="GZ134"/>
  <c r="GV134"/>
  <c r="GR134"/>
  <c r="GZ133"/>
  <c r="GV133"/>
  <c r="GU134"/>
  <c r="GS133"/>
  <c r="GO133"/>
  <c r="GW132"/>
  <c r="GS132"/>
  <c r="GO132"/>
  <c r="GW131"/>
  <c r="GS131"/>
  <c r="GO131"/>
  <c r="GW130"/>
  <c r="GS130"/>
  <c r="GO130"/>
  <c r="GW129"/>
  <c r="GS129"/>
  <c r="GO129"/>
  <c r="GW128"/>
  <c r="GS128"/>
  <c r="GO128"/>
  <c r="GW127"/>
  <c r="GS127"/>
  <c r="GO127"/>
  <c r="GW126"/>
  <c r="GS126"/>
  <c r="GO126"/>
  <c r="GW125"/>
  <c r="GS125"/>
  <c r="GO125"/>
  <c r="GX123"/>
  <c r="GT123"/>
  <c r="GP123"/>
  <c r="GX122"/>
  <c r="GT122"/>
  <c r="GP122"/>
  <c r="GX121"/>
  <c r="GT121"/>
  <c r="GT124" s="1"/>
  <c r="GP121"/>
  <c r="GP124" s="1"/>
  <c r="GX120"/>
  <c r="GT120"/>
  <c r="GP120"/>
  <c r="GX119"/>
  <c r="GX142" s="1"/>
  <c r="GT119"/>
  <c r="GT142" s="1"/>
  <c r="GP119"/>
  <c r="GP142" s="1"/>
  <c r="GX118"/>
  <c r="GT118"/>
  <c r="GP118"/>
  <c r="GX117"/>
  <c r="GT117"/>
  <c r="GP117"/>
  <c r="GX116"/>
  <c r="GT116"/>
  <c r="GP116"/>
  <c r="GX115"/>
  <c r="GT115"/>
  <c r="GP115"/>
  <c r="GX114"/>
  <c r="GT114"/>
  <c r="GP114"/>
  <c r="GX113"/>
  <c r="GT113"/>
  <c r="GP113"/>
  <c r="GX112"/>
  <c r="GT112"/>
  <c r="GP112"/>
  <c r="GX111"/>
  <c r="GT111"/>
  <c r="GP111"/>
  <c r="GX110"/>
  <c r="GT110"/>
  <c r="GP110"/>
  <c r="GX109"/>
  <c r="GT109"/>
  <c r="GP109"/>
  <c r="GX108"/>
  <c r="GT108"/>
  <c r="GP108"/>
  <c r="GX107"/>
  <c r="GT107"/>
  <c r="GP107"/>
  <c r="GX106"/>
  <c r="GT106"/>
  <c r="GP106"/>
  <c r="GX105"/>
  <c r="GT105"/>
  <c r="GP105"/>
  <c r="GX104"/>
  <c r="GT104"/>
  <c r="GP104"/>
  <c r="GX103"/>
  <c r="GT103"/>
  <c r="GP103"/>
  <c r="GX102"/>
  <c r="GT102"/>
  <c r="GP102"/>
  <c r="GX101"/>
  <c r="GT101"/>
  <c r="GP101"/>
  <c r="GX100"/>
  <c r="GT100"/>
  <c r="GP100"/>
  <c r="GX99"/>
  <c r="GT99"/>
  <c r="GP99"/>
  <c r="GX98"/>
  <c r="GT98"/>
  <c r="GP98"/>
  <c r="GX97"/>
  <c r="GT97"/>
  <c r="GP97"/>
  <c r="GX96"/>
  <c r="GT96"/>
  <c r="GP96"/>
  <c r="GX95"/>
  <c r="GT95"/>
  <c r="GP95"/>
  <c r="GX94"/>
  <c r="GT94"/>
  <c r="GP94"/>
  <c r="GY92"/>
  <c r="GU92"/>
  <c r="GQ92"/>
  <c r="GY91"/>
  <c r="GU91"/>
  <c r="GQ91"/>
  <c r="GY90"/>
  <c r="GU90"/>
  <c r="GQ90"/>
  <c r="GY89"/>
  <c r="GU89"/>
  <c r="GQ89"/>
  <c r="GY88"/>
  <c r="GU88"/>
  <c r="GQ88"/>
  <c r="GY87"/>
  <c r="GU87"/>
  <c r="GQ87"/>
  <c r="GQ93" s="1"/>
  <c r="GY86"/>
  <c r="GU86"/>
  <c r="GQ86"/>
  <c r="GY85"/>
  <c r="GU85"/>
  <c r="GQ85"/>
  <c r="GY84"/>
  <c r="GU84"/>
  <c r="GQ84"/>
  <c r="GY83"/>
  <c r="GU83"/>
  <c r="GQ83"/>
  <c r="GY82"/>
  <c r="GU82"/>
  <c r="GQ82"/>
  <c r="GY81"/>
  <c r="GU81"/>
  <c r="GQ81"/>
  <c r="GY80"/>
  <c r="GU80"/>
  <c r="GQ80"/>
  <c r="GY79"/>
  <c r="GU79"/>
  <c r="GQ79"/>
  <c r="GY78"/>
  <c r="GU78"/>
  <c r="GQ78"/>
  <c r="GY77"/>
  <c r="GU77"/>
  <c r="GQ77"/>
  <c r="GY76"/>
  <c r="GU76"/>
  <c r="GQ76"/>
  <c r="GY75"/>
  <c r="GU75"/>
  <c r="GQ75"/>
  <c r="GY74"/>
  <c r="GU74"/>
  <c r="GQ74"/>
  <c r="GY73"/>
  <c r="GU73"/>
  <c r="GQ73"/>
  <c r="GY72"/>
  <c r="GU72"/>
  <c r="GQ72"/>
  <c r="GY71"/>
  <c r="GU71"/>
  <c r="GQ71"/>
  <c r="GY70"/>
  <c r="GU70"/>
  <c r="GQ70"/>
  <c r="GY69"/>
  <c r="GU69"/>
  <c r="GQ69"/>
  <c r="GY68"/>
  <c r="GU68"/>
  <c r="GQ68"/>
  <c r="GY67"/>
  <c r="GU67"/>
  <c r="GQ67"/>
  <c r="GY66"/>
  <c r="GU66"/>
  <c r="GQ66"/>
  <c r="GY65"/>
  <c r="GU65"/>
  <c r="GQ65"/>
  <c r="GY64"/>
  <c r="GU64"/>
  <c r="GQ64"/>
  <c r="GY63"/>
  <c r="GU63"/>
  <c r="GQ63"/>
  <c r="GY62"/>
  <c r="GU62"/>
  <c r="GQ62"/>
  <c r="GZ60"/>
  <c r="GV60"/>
  <c r="GR60"/>
  <c r="GZ59"/>
  <c r="GV59"/>
  <c r="GR59"/>
  <c r="GZ58"/>
  <c r="GV58"/>
  <c r="GR58"/>
  <c r="GZ57"/>
  <c r="GV57"/>
  <c r="GR57"/>
  <c r="GZ56"/>
  <c r="GV56"/>
  <c r="GR56"/>
  <c r="GZ55"/>
  <c r="GV55"/>
  <c r="GR55"/>
  <c r="GZ54"/>
  <c r="GV54"/>
  <c r="GR54"/>
  <c r="GZ53"/>
  <c r="GV53"/>
  <c r="GR53"/>
  <c r="GZ52"/>
  <c r="GV52"/>
  <c r="GR52"/>
  <c r="GZ51"/>
  <c r="GV51"/>
  <c r="GR51"/>
  <c r="GZ50"/>
  <c r="GV50"/>
  <c r="GR50"/>
  <c r="GZ49"/>
  <c r="GV49"/>
  <c r="GR49"/>
  <c r="GZ48"/>
  <c r="GU133"/>
  <c r="GP133"/>
  <c r="GX132"/>
  <c r="GT132"/>
  <c r="GP132"/>
  <c r="GX131"/>
  <c r="GT131"/>
  <c r="GP131"/>
  <c r="GX130"/>
  <c r="GT130"/>
  <c r="GP130"/>
  <c r="GX129"/>
  <c r="GT129"/>
  <c r="GP129"/>
  <c r="GX128"/>
  <c r="GT128"/>
  <c r="GP128"/>
  <c r="GX127"/>
  <c r="GT127"/>
  <c r="GP127"/>
  <c r="GX126"/>
  <c r="GT126"/>
  <c r="GP126"/>
  <c r="GX125"/>
  <c r="GT125"/>
  <c r="GP125"/>
  <c r="GY123"/>
  <c r="GU123"/>
  <c r="GQ123"/>
  <c r="GY122"/>
  <c r="GU122"/>
  <c r="GQ122"/>
  <c r="GY121"/>
  <c r="GY124" s="1"/>
  <c r="GU121"/>
  <c r="GQ121"/>
  <c r="GY120"/>
  <c r="GU120"/>
  <c r="GQ120"/>
  <c r="GY119"/>
  <c r="GY142" s="1"/>
  <c r="GU119"/>
  <c r="GU142" s="1"/>
  <c r="GQ119"/>
  <c r="GQ142" s="1"/>
  <c r="GY118"/>
  <c r="GU118"/>
  <c r="GQ118"/>
  <c r="GY117"/>
  <c r="GU117"/>
  <c r="GQ117"/>
  <c r="GY116"/>
  <c r="GU116"/>
  <c r="GQ116"/>
  <c r="GY115"/>
  <c r="GU115"/>
  <c r="GQ115"/>
  <c r="GY114"/>
  <c r="GU114"/>
  <c r="GQ114"/>
  <c r="GY113"/>
  <c r="GU113"/>
  <c r="GQ113"/>
  <c r="GY112"/>
  <c r="GU112"/>
  <c r="GQ112"/>
  <c r="GY111"/>
  <c r="GU111"/>
  <c r="GQ111"/>
  <c r="GY110"/>
  <c r="GU110"/>
  <c r="GQ110"/>
  <c r="GY109"/>
  <c r="GU109"/>
  <c r="GQ109"/>
  <c r="GY108"/>
  <c r="GU108"/>
  <c r="GQ108"/>
  <c r="GY107"/>
  <c r="GU107"/>
  <c r="GQ107"/>
  <c r="GY106"/>
  <c r="GU106"/>
  <c r="GQ106"/>
  <c r="GY105"/>
  <c r="GU105"/>
  <c r="GQ105"/>
  <c r="GY104"/>
  <c r="GU104"/>
  <c r="GQ104"/>
  <c r="GY103"/>
  <c r="GU103"/>
  <c r="GQ103"/>
  <c r="GY102"/>
  <c r="GU102"/>
  <c r="GQ102"/>
  <c r="GY101"/>
  <c r="GU101"/>
  <c r="GQ101"/>
  <c r="GY100"/>
  <c r="GU100"/>
  <c r="GQ100"/>
  <c r="GY99"/>
  <c r="GU99"/>
  <c r="GQ99"/>
  <c r="GY98"/>
  <c r="GU98"/>
  <c r="GQ98"/>
  <c r="GY97"/>
  <c r="GU97"/>
  <c r="GQ97"/>
  <c r="GY96"/>
  <c r="GU96"/>
  <c r="GQ96"/>
  <c r="GY95"/>
  <c r="GU95"/>
  <c r="GQ95"/>
  <c r="GY94"/>
  <c r="GU94"/>
  <c r="GQ94"/>
  <c r="GZ92"/>
  <c r="GV92"/>
  <c r="GR92"/>
  <c r="GZ91"/>
  <c r="GV91"/>
  <c r="GR91"/>
  <c r="GZ90"/>
  <c r="GV90"/>
  <c r="GR90"/>
  <c r="GZ89"/>
  <c r="GV89"/>
  <c r="GR89"/>
  <c r="GZ88"/>
  <c r="GV88"/>
  <c r="GR88"/>
  <c r="GZ87"/>
  <c r="GZ93" s="1"/>
  <c r="GV87"/>
  <c r="GV93" s="1"/>
  <c r="GR87"/>
  <c r="GZ86"/>
  <c r="GV86"/>
  <c r="GR86"/>
  <c r="GZ85"/>
  <c r="GV85"/>
  <c r="GR85"/>
  <c r="GZ84"/>
  <c r="GV84"/>
  <c r="GR84"/>
  <c r="GZ83"/>
  <c r="GV83"/>
  <c r="GR83"/>
  <c r="GZ82"/>
  <c r="GV82"/>
  <c r="GR82"/>
  <c r="GZ81"/>
  <c r="GV81"/>
  <c r="GR81"/>
  <c r="GZ80"/>
  <c r="GV80"/>
  <c r="GR80"/>
  <c r="GZ79"/>
  <c r="GV79"/>
  <c r="GR79"/>
  <c r="GZ78"/>
  <c r="GV78"/>
  <c r="GR78"/>
  <c r="GZ77"/>
  <c r="GV77"/>
  <c r="GR77"/>
  <c r="GZ76"/>
  <c r="GV76"/>
  <c r="GR76"/>
  <c r="GZ75"/>
  <c r="GV75"/>
  <c r="GR75"/>
  <c r="GZ74"/>
  <c r="GV74"/>
  <c r="GR74"/>
  <c r="GZ73"/>
  <c r="GV73"/>
  <c r="GR73"/>
  <c r="GZ72"/>
  <c r="GV72"/>
  <c r="GR72"/>
  <c r="GZ71"/>
  <c r="GV71"/>
  <c r="GR71"/>
  <c r="GZ70"/>
  <c r="GV70"/>
  <c r="GR70"/>
  <c r="GZ69"/>
  <c r="GV69"/>
  <c r="GR69"/>
  <c r="GZ68"/>
  <c r="GV68"/>
  <c r="GR68"/>
  <c r="GZ67"/>
  <c r="GV67"/>
  <c r="GR67"/>
  <c r="GZ66"/>
  <c r="GV66"/>
  <c r="GR66"/>
  <c r="GZ65"/>
  <c r="GV65"/>
  <c r="GR65"/>
  <c r="GZ64"/>
  <c r="GV64"/>
  <c r="GR64"/>
  <c r="GZ63"/>
  <c r="GV63"/>
  <c r="GR63"/>
  <c r="GZ62"/>
  <c r="GV62"/>
  <c r="GR62"/>
  <c r="GW60"/>
  <c r="GS60"/>
  <c r="GO60"/>
  <c r="GW59"/>
  <c r="GS59"/>
  <c r="GO59"/>
  <c r="GW58"/>
  <c r="GS58"/>
  <c r="GO58"/>
  <c r="GW57"/>
  <c r="GS57"/>
  <c r="GO57"/>
  <c r="GW56"/>
  <c r="GS56"/>
  <c r="GO56"/>
  <c r="GW55"/>
  <c r="GS55"/>
  <c r="GO55"/>
  <c r="GW54"/>
  <c r="GS54"/>
  <c r="GO54"/>
  <c r="GW53"/>
  <c r="GS53"/>
  <c r="GO53"/>
  <c r="GW52"/>
  <c r="GS52"/>
  <c r="GO52"/>
  <c r="GW51"/>
  <c r="GS51"/>
  <c r="GO51"/>
  <c r="GW50"/>
  <c r="GS50"/>
  <c r="GO50"/>
  <c r="GW49"/>
  <c r="GS49"/>
  <c r="GO49"/>
  <c r="GW48"/>
  <c r="GW133"/>
  <c r="GQ133"/>
  <c r="GY132"/>
  <c r="GU132"/>
  <c r="GQ132"/>
  <c r="GY131"/>
  <c r="GU131"/>
  <c r="GQ131"/>
  <c r="GY130"/>
  <c r="GU130"/>
  <c r="GQ130"/>
  <c r="GY129"/>
  <c r="GU129"/>
  <c r="GQ129"/>
  <c r="GY128"/>
  <c r="GU128"/>
  <c r="GQ128"/>
  <c r="GY127"/>
  <c r="GU127"/>
  <c r="GQ127"/>
  <c r="GY126"/>
  <c r="GU126"/>
  <c r="GQ126"/>
  <c r="GY125"/>
  <c r="GU125"/>
  <c r="GQ125"/>
  <c r="GZ123"/>
  <c r="GV123"/>
  <c r="GR123"/>
  <c r="GZ122"/>
  <c r="GV122"/>
  <c r="GR122"/>
  <c r="GZ121"/>
  <c r="GV121"/>
  <c r="GV124" s="1"/>
  <c r="GR121"/>
  <c r="GR124" s="1"/>
  <c r="GZ120"/>
  <c r="GV120"/>
  <c r="GR120"/>
  <c r="GZ119"/>
  <c r="GZ142" s="1"/>
  <c r="GV119"/>
  <c r="GV142" s="1"/>
  <c r="GR119"/>
  <c r="GZ118"/>
  <c r="GV118"/>
  <c r="GR118"/>
  <c r="GZ117"/>
  <c r="GV117"/>
  <c r="GR117"/>
  <c r="GZ116"/>
  <c r="GV116"/>
  <c r="GR116"/>
  <c r="GZ115"/>
  <c r="GV115"/>
  <c r="GR115"/>
  <c r="GZ114"/>
  <c r="GV114"/>
  <c r="GR114"/>
  <c r="GZ113"/>
  <c r="GV113"/>
  <c r="GR113"/>
  <c r="GZ112"/>
  <c r="GV112"/>
  <c r="GR112"/>
  <c r="GZ111"/>
  <c r="GV111"/>
  <c r="GR111"/>
  <c r="GZ110"/>
  <c r="GV110"/>
  <c r="GR110"/>
  <c r="GZ109"/>
  <c r="GV109"/>
  <c r="GR109"/>
  <c r="GZ108"/>
  <c r="GV108"/>
  <c r="GR108"/>
  <c r="GZ107"/>
  <c r="GV107"/>
  <c r="GR107"/>
  <c r="GZ106"/>
  <c r="GV106"/>
  <c r="GR106"/>
  <c r="GZ105"/>
  <c r="GV105"/>
  <c r="GR105"/>
  <c r="GZ104"/>
  <c r="GV104"/>
  <c r="GR104"/>
  <c r="GZ103"/>
  <c r="GV103"/>
  <c r="GR103"/>
  <c r="GZ102"/>
  <c r="GV102"/>
  <c r="GR102"/>
  <c r="GZ101"/>
  <c r="GV101"/>
  <c r="GR101"/>
  <c r="GZ100"/>
  <c r="GV100"/>
  <c r="GR100"/>
  <c r="GZ99"/>
  <c r="GV99"/>
  <c r="GR99"/>
  <c r="GZ98"/>
  <c r="GV98"/>
  <c r="GR98"/>
  <c r="GZ97"/>
  <c r="GV97"/>
  <c r="GR97"/>
  <c r="GZ96"/>
  <c r="GV96"/>
  <c r="GR96"/>
  <c r="GZ95"/>
  <c r="GV95"/>
  <c r="GR95"/>
  <c r="GZ94"/>
  <c r="GV94"/>
  <c r="GR94"/>
  <c r="GW92"/>
  <c r="GS92"/>
  <c r="GO92"/>
  <c r="GW91"/>
  <c r="GS91"/>
  <c r="GO91"/>
  <c r="GW90"/>
  <c r="GS90"/>
  <c r="GO90"/>
  <c r="GW89"/>
  <c r="GS89"/>
  <c r="GO89"/>
  <c r="GW88"/>
  <c r="GS88"/>
  <c r="GO88"/>
  <c r="GW87"/>
  <c r="GS87"/>
  <c r="GO87"/>
  <c r="GO93" s="1"/>
  <c r="GW86"/>
  <c r="GS86"/>
  <c r="GO86"/>
  <c r="GW85"/>
  <c r="GS85"/>
  <c r="GO85"/>
  <c r="GW84"/>
  <c r="GS84"/>
  <c r="GO84"/>
  <c r="GW83"/>
  <c r="GS83"/>
  <c r="GO83"/>
  <c r="GW82"/>
  <c r="GS82"/>
  <c r="GO82"/>
  <c r="GW81"/>
  <c r="GS81"/>
  <c r="GO81"/>
  <c r="GW80"/>
  <c r="GS80"/>
  <c r="GO80"/>
  <c r="GW79"/>
  <c r="GS79"/>
  <c r="GO79"/>
  <c r="GW78"/>
  <c r="GS78"/>
  <c r="GO78"/>
  <c r="GW77"/>
  <c r="GS77"/>
  <c r="GO77"/>
  <c r="GW76"/>
  <c r="GS76"/>
  <c r="GO76"/>
  <c r="GW75"/>
  <c r="GS75"/>
  <c r="GO75"/>
  <c r="GW74"/>
  <c r="GS74"/>
  <c r="GO74"/>
  <c r="GW73"/>
  <c r="GS73"/>
  <c r="GO73"/>
  <c r="GW72"/>
  <c r="GS72"/>
  <c r="GO72"/>
  <c r="GW71"/>
  <c r="GS71"/>
  <c r="GO71"/>
  <c r="GW70"/>
  <c r="GS70"/>
  <c r="GO70"/>
  <c r="GW69"/>
  <c r="GS69"/>
  <c r="GO69"/>
  <c r="GW68"/>
  <c r="GS68"/>
  <c r="GO68"/>
  <c r="GW67"/>
  <c r="GS67"/>
  <c r="GO67"/>
  <c r="GW66"/>
  <c r="GS66"/>
  <c r="GO66"/>
  <c r="GW65"/>
  <c r="GS65"/>
  <c r="GO65"/>
  <c r="GW64"/>
  <c r="GS64"/>
  <c r="GO64"/>
  <c r="GW63"/>
  <c r="GS63"/>
  <c r="GO63"/>
  <c r="GW62"/>
  <c r="GS62"/>
  <c r="GO62"/>
  <c r="GX60"/>
  <c r="GT60"/>
  <c r="GP60"/>
  <c r="GX59"/>
  <c r="GT59"/>
  <c r="GP59"/>
  <c r="GX58"/>
  <c r="GT58"/>
  <c r="GP58"/>
  <c r="GX57"/>
  <c r="GT57"/>
  <c r="GP57"/>
  <c r="GX56"/>
  <c r="GT56"/>
  <c r="GP56"/>
  <c r="GX55"/>
  <c r="GT55"/>
  <c r="GP55"/>
  <c r="GX54"/>
  <c r="GT54"/>
  <c r="GP54"/>
  <c r="GX53"/>
  <c r="GT53"/>
  <c r="GP53"/>
  <c r="GX52"/>
  <c r="GT52"/>
  <c r="GP52"/>
  <c r="GX51"/>
  <c r="GT51"/>
  <c r="GP51"/>
  <c r="GX50"/>
  <c r="GT50"/>
  <c r="GP50"/>
  <c r="GX49"/>
  <c r="GT49"/>
  <c r="GP49"/>
  <c r="GX48"/>
  <c r="GT48"/>
  <c r="GQ134"/>
  <c r="GY133"/>
  <c r="GR133"/>
  <c r="GZ132"/>
  <c r="GV132"/>
  <c r="GR132"/>
  <c r="GZ131"/>
  <c r="GV131"/>
  <c r="GR131"/>
  <c r="GZ130"/>
  <c r="GV130"/>
  <c r="GR130"/>
  <c r="GZ129"/>
  <c r="GV129"/>
  <c r="GR129"/>
  <c r="GZ128"/>
  <c r="GV128"/>
  <c r="GR128"/>
  <c r="GZ127"/>
  <c r="GV127"/>
  <c r="GR127"/>
  <c r="GZ126"/>
  <c r="GV126"/>
  <c r="GR126"/>
  <c r="GZ125"/>
  <c r="GV125"/>
  <c r="GR125"/>
  <c r="GW123"/>
  <c r="GS123"/>
  <c r="GO123"/>
  <c r="GW122"/>
  <c r="GS122"/>
  <c r="GO122"/>
  <c r="GW121"/>
  <c r="GS121"/>
  <c r="GS124" s="1"/>
  <c r="GO121"/>
  <c r="GW120"/>
  <c r="GS120"/>
  <c r="GO120"/>
  <c r="GW119"/>
  <c r="GS119"/>
  <c r="GS142" s="1"/>
  <c r="GO119"/>
  <c r="GO142" s="1"/>
  <c r="GW118"/>
  <c r="GS118"/>
  <c r="GO118"/>
  <c r="GW117"/>
  <c r="GS117"/>
  <c r="GO117"/>
  <c r="GW116"/>
  <c r="GS116"/>
  <c r="GO116"/>
  <c r="GW115"/>
  <c r="GS115"/>
  <c r="GO115"/>
  <c r="GW114"/>
  <c r="GS114"/>
  <c r="GO114"/>
  <c r="GW113"/>
  <c r="GS113"/>
  <c r="GO113"/>
  <c r="GW112"/>
  <c r="GS112"/>
  <c r="GO112"/>
  <c r="GW111"/>
  <c r="GS111"/>
  <c r="GO111"/>
  <c r="GW110"/>
  <c r="GS110"/>
  <c r="GO110"/>
  <c r="GW109"/>
  <c r="GS109"/>
  <c r="GO109"/>
  <c r="GW108"/>
  <c r="GS108"/>
  <c r="GO108"/>
  <c r="GW107"/>
  <c r="GS107"/>
  <c r="GO107"/>
  <c r="GW106"/>
  <c r="GS106"/>
  <c r="GO106"/>
  <c r="GW105"/>
  <c r="GS105"/>
  <c r="GO105"/>
  <c r="GW104"/>
  <c r="GS104"/>
  <c r="GO104"/>
  <c r="GW103"/>
  <c r="GS103"/>
  <c r="GO103"/>
  <c r="GW102"/>
  <c r="GS102"/>
  <c r="GO102"/>
  <c r="GW101"/>
  <c r="GS101"/>
  <c r="GO101"/>
  <c r="GW100"/>
  <c r="GS100"/>
  <c r="GO100"/>
  <c r="GW99"/>
  <c r="GS99"/>
  <c r="GO99"/>
  <c r="GW98"/>
  <c r="GS98"/>
  <c r="GO98"/>
  <c r="GW97"/>
  <c r="GS97"/>
  <c r="GO97"/>
  <c r="GW96"/>
  <c r="GS96"/>
  <c r="GO96"/>
  <c r="GW95"/>
  <c r="GS95"/>
  <c r="GO95"/>
  <c r="GW94"/>
  <c r="GS94"/>
  <c r="GO94"/>
  <c r="GX92"/>
  <c r="GT92"/>
  <c r="GP92"/>
  <c r="GX91"/>
  <c r="GT91"/>
  <c r="GP91"/>
  <c r="GX90"/>
  <c r="GT90"/>
  <c r="GP90"/>
  <c r="GX89"/>
  <c r="GT89"/>
  <c r="GP89"/>
  <c r="GX88"/>
  <c r="GT88"/>
  <c r="GP88"/>
  <c r="GX87"/>
  <c r="GT87"/>
  <c r="GP87"/>
  <c r="GP93" s="1"/>
  <c r="GX86"/>
  <c r="GT86"/>
  <c r="GP86"/>
  <c r="GX85"/>
  <c r="GT85"/>
  <c r="GP85"/>
  <c r="GX84"/>
  <c r="GT84"/>
  <c r="GP84"/>
  <c r="GX83"/>
  <c r="GT83"/>
  <c r="GP83"/>
  <c r="GX82"/>
  <c r="GT82"/>
  <c r="GP82"/>
  <c r="GX81"/>
  <c r="GT81"/>
  <c r="GP81"/>
  <c r="GX80"/>
  <c r="GT80"/>
  <c r="GP80"/>
  <c r="GX79"/>
  <c r="GT79"/>
  <c r="GP79"/>
  <c r="GX78"/>
  <c r="GT78"/>
  <c r="GP78"/>
  <c r="GX77"/>
  <c r="GT77"/>
  <c r="GP77"/>
  <c r="GX76"/>
  <c r="GT76"/>
  <c r="GP76"/>
  <c r="GX75"/>
  <c r="GT75"/>
  <c r="GP75"/>
  <c r="GX74"/>
  <c r="GT74"/>
  <c r="GP74"/>
  <c r="GX73"/>
  <c r="GT73"/>
  <c r="GP73"/>
  <c r="GX72"/>
  <c r="GT72"/>
  <c r="GP72"/>
  <c r="GX71"/>
  <c r="GT71"/>
  <c r="GP71"/>
  <c r="GX70"/>
  <c r="GT70"/>
  <c r="GP70"/>
  <c r="GX69"/>
  <c r="GT69"/>
  <c r="GP69"/>
  <c r="GX68"/>
  <c r="GT68"/>
  <c r="GP68"/>
  <c r="GX67"/>
  <c r="GT67"/>
  <c r="GP67"/>
  <c r="GX66"/>
  <c r="GT66"/>
  <c r="GP66"/>
  <c r="GX65"/>
  <c r="GT65"/>
  <c r="GP65"/>
  <c r="GX64"/>
  <c r="GT64"/>
  <c r="GP64"/>
  <c r="GX63"/>
  <c r="GT63"/>
  <c r="GP63"/>
  <c r="GX62"/>
  <c r="GT62"/>
  <c r="GP62"/>
  <c r="GY60"/>
  <c r="GU60"/>
  <c r="GQ60"/>
  <c r="GY59"/>
  <c r="GU59"/>
  <c r="GQ59"/>
  <c r="GY58"/>
  <c r="GU58"/>
  <c r="GQ58"/>
  <c r="GY57"/>
  <c r="GU57"/>
  <c r="GQ57"/>
  <c r="GY56"/>
  <c r="GU56"/>
  <c r="GQ56"/>
  <c r="GY55"/>
  <c r="GU55"/>
  <c r="GQ55"/>
  <c r="GY54"/>
  <c r="GU54"/>
  <c r="GQ54"/>
  <c r="GY53"/>
  <c r="GU53"/>
  <c r="GQ53"/>
  <c r="GY52"/>
  <c r="GU52"/>
  <c r="GQ52"/>
  <c r="GY51"/>
  <c r="GU51"/>
  <c r="GQ51"/>
  <c r="GY50"/>
  <c r="GU50"/>
  <c r="GQ50"/>
  <c r="GY49"/>
  <c r="GU49"/>
  <c r="GQ49"/>
  <c r="GY48"/>
  <c r="GU48"/>
  <c r="GS48"/>
  <c r="GO48"/>
  <c r="GW47"/>
  <c r="GS47"/>
  <c r="GO47"/>
  <c r="GW46"/>
  <c r="GS46"/>
  <c r="GO46"/>
  <c r="GW45"/>
  <c r="GS45"/>
  <c r="GO45"/>
  <c r="GW44"/>
  <c r="GS44"/>
  <c r="GO44"/>
  <c r="GW43"/>
  <c r="GS43"/>
  <c r="GO43"/>
  <c r="GW42"/>
  <c r="GS42"/>
  <c r="GO42"/>
  <c r="GW41"/>
  <c r="GS41"/>
  <c r="GO41"/>
  <c r="GW40"/>
  <c r="GS40"/>
  <c r="GO40"/>
  <c r="GW39"/>
  <c r="GS39"/>
  <c r="GO39"/>
  <c r="GW38"/>
  <c r="GS38"/>
  <c r="GO38"/>
  <c r="GW37"/>
  <c r="GS37"/>
  <c r="GO37"/>
  <c r="GW36"/>
  <c r="GS36"/>
  <c r="GO36"/>
  <c r="GX34"/>
  <c r="GT34"/>
  <c r="GP34"/>
  <c r="GW30"/>
  <c r="GS30"/>
  <c r="GO30"/>
  <c r="GW29"/>
  <c r="GS29"/>
  <c r="GO29"/>
  <c r="GX27"/>
  <c r="GT27"/>
  <c r="GP27"/>
  <c r="GX26"/>
  <c r="GT26"/>
  <c r="GP26"/>
  <c r="GX25"/>
  <c r="GT25"/>
  <c r="GP25"/>
  <c r="GX24"/>
  <c r="GT24"/>
  <c r="GP24"/>
  <c r="GY22"/>
  <c r="GU22"/>
  <c r="GQ22"/>
  <c r="GZ20"/>
  <c r="GV20"/>
  <c r="GR20"/>
  <c r="GW17"/>
  <c r="GS17"/>
  <c r="GO17"/>
  <c r="GW16"/>
  <c r="GS16"/>
  <c r="GO16"/>
  <c r="GW15"/>
  <c r="GS15"/>
  <c r="GO15"/>
  <c r="GW14"/>
  <c r="GS14"/>
  <c r="GO14"/>
  <c r="GW13"/>
  <c r="GS13"/>
  <c r="GO13"/>
  <c r="GW12"/>
  <c r="GS12"/>
  <c r="GO12"/>
  <c r="GW11"/>
  <c r="GS11"/>
  <c r="GO11"/>
  <c r="GW10"/>
  <c r="GS10"/>
  <c r="GO10"/>
  <c r="GW9"/>
  <c r="GS9"/>
  <c r="GO9"/>
  <c r="GW8"/>
  <c r="GS8"/>
  <c r="GO8"/>
  <c r="GV48"/>
  <c r="GP48"/>
  <c r="GX47"/>
  <c r="GT47"/>
  <c r="GP47"/>
  <c r="GX46"/>
  <c r="GT46"/>
  <c r="GP46"/>
  <c r="GX45"/>
  <c r="GT45"/>
  <c r="GP45"/>
  <c r="GX44"/>
  <c r="GT44"/>
  <c r="GP44"/>
  <c r="GX43"/>
  <c r="GT43"/>
  <c r="GP43"/>
  <c r="GX42"/>
  <c r="GT42"/>
  <c r="GP42"/>
  <c r="GX41"/>
  <c r="GT41"/>
  <c r="GP41"/>
  <c r="GX40"/>
  <c r="GT40"/>
  <c r="GP40"/>
  <c r="GX39"/>
  <c r="GT39"/>
  <c r="GP39"/>
  <c r="GX38"/>
  <c r="GT38"/>
  <c r="GP38"/>
  <c r="GX37"/>
  <c r="GT37"/>
  <c r="GP37"/>
  <c r="GX36"/>
  <c r="GT36"/>
  <c r="GP36"/>
  <c r="GY34"/>
  <c r="GU34"/>
  <c r="GQ34"/>
  <c r="GX30"/>
  <c r="GT30"/>
  <c r="GP30"/>
  <c r="GX29"/>
  <c r="GT29"/>
  <c r="GP29"/>
  <c r="GY27"/>
  <c r="GU27"/>
  <c r="GQ27"/>
  <c r="GY26"/>
  <c r="GU26"/>
  <c r="GQ26"/>
  <c r="GY25"/>
  <c r="GU25"/>
  <c r="GQ25"/>
  <c r="GY24"/>
  <c r="GU24"/>
  <c r="GQ24"/>
  <c r="GZ22"/>
  <c r="GV22"/>
  <c r="GR22"/>
  <c r="GW20"/>
  <c r="GS20"/>
  <c r="GO20"/>
  <c r="GX17"/>
  <c r="GT17"/>
  <c r="GP17"/>
  <c r="GX16"/>
  <c r="GT16"/>
  <c r="GP16"/>
  <c r="GX15"/>
  <c r="GT15"/>
  <c r="GP15"/>
  <c r="GX14"/>
  <c r="GT14"/>
  <c r="GP14"/>
  <c r="GX13"/>
  <c r="GT13"/>
  <c r="GP13"/>
  <c r="GX12"/>
  <c r="GT12"/>
  <c r="GP12"/>
  <c r="GX11"/>
  <c r="GT11"/>
  <c r="GP11"/>
  <c r="GX10"/>
  <c r="GT10"/>
  <c r="GP10"/>
  <c r="GX9"/>
  <c r="GT9"/>
  <c r="GP9"/>
  <c r="GX8"/>
  <c r="GT8"/>
  <c r="GP8"/>
  <c r="GQ48"/>
  <c r="GY47"/>
  <c r="GU47"/>
  <c r="GQ47"/>
  <c r="GY46"/>
  <c r="GU46"/>
  <c r="GQ46"/>
  <c r="GY45"/>
  <c r="GU45"/>
  <c r="GQ45"/>
  <c r="GY44"/>
  <c r="GU44"/>
  <c r="GQ44"/>
  <c r="GY43"/>
  <c r="GU43"/>
  <c r="GQ43"/>
  <c r="GY42"/>
  <c r="GU42"/>
  <c r="GQ42"/>
  <c r="GY41"/>
  <c r="GU41"/>
  <c r="GQ41"/>
  <c r="GY40"/>
  <c r="GU40"/>
  <c r="GQ40"/>
  <c r="GY39"/>
  <c r="GU39"/>
  <c r="GQ39"/>
  <c r="GY38"/>
  <c r="GU38"/>
  <c r="GQ38"/>
  <c r="GY37"/>
  <c r="GU37"/>
  <c r="GQ37"/>
  <c r="GY36"/>
  <c r="GU36"/>
  <c r="GQ36"/>
  <c r="GZ34"/>
  <c r="GV34"/>
  <c r="GR34"/>
  <c r="GY30"/>
  <c r="GU30"/>
  <c r="GQ30"/>
  <c r="GY29"/>
  <c r="GU29"/>
  <c r="GQ29"/>
  <c r="GZ27"/>
  <c r="GV27"/>
  <c r="GR27"/>
  <c r="GZ26"/>
  <c r="GV26"/>
  <c r="GR26"/>
  <c r="GZ25"/>
  <c r="GV25"/>
  <c r="GR25"/>
  <c r="GZ24"/>
  <c r="GV24"/>
  <c r="GR24"/>
  <c r="GW22"/>
  <c r="GS22"/>
  <c r="GO22"/>
  <c r="GX20"/>
  <c r="GT20"/>
  <c r="GP20"/>
  <c r="GY17"/>
  <c r="GU17"/>
  <c r="GQ17"/>
  <c r="GY16"/>
  <c r="GU16"/>
  <c r="GQ16"/>
  <c r="GY15"/>
  <c r="GU15"/>
  <c r="GQ15"/>
  <c r="GY14"/>
  <c r="GU14"/>
  <c r="GQ14"/>
  <c r="GY13"/>
  <c r="GU13"/>
  <c r="GQ13"/>
  <c r="GY12"/>
  <c r="GU12"/>
  <c r="GQ12"/>
  <c r="GY11"/>
  <c r="GU11"/>
  <c r="GQ11"/>
  <c r="GY10"/>
  <c r="GU10"/>
  <c r="GQ10"/>
  <c r="GY9"/>
  <c r="GU9"/>
  <c r="GQ9"/>
  <c r="GY8"/>
  <c r="GU8"/>
  <c r="GQ8"/>
  <c r="GR48"/>
  <c r="GZ47"/>
  <c r="GV47"/>
  <c r="GR47"/>
  <c r="GZ46"/>
  <c r="GV46"/>
  <c r="GR46"/>
  <c r="GZ45"/>
  <c r="GV45"/>
  <c r="GR45"/>
  <c r="GZ44"/>
  <c r="GV44"/>
  <c r="GR44"/>
  <c r="GZ43"/>
  <c r="GV43"/>
  <c r="GR43"/>
  <c r="GZ42"/>
  <c r="GV42"/>
  <c r="GR42"/>
  <c r="GZ41"/>
  <c r="GV41"/>
  <c r="GR41"/>
  <c r="GZ40"/>
  <c r="GV40"/>
  <c r="GR40"/>
  <c r="GZ39"/>
  <c r="GV39"/>
  <c r="GR39"/>
  <c r="GZ38"/>
  <c r="GV38"/>
  <c r="GR38"/>
  <c r="GZ37"/>
  <c r="GV37"/>
  <c r="GR37"/>
  <c r="GZ36"/>
  <c r="GV36"/>
  <c r="GR36"/>
  <c r="GW34"/>
  <c r="GS34"/>
  <c r="GO34"/>
  <c r="GZ30"/>
  <c r="GV30"/>
  <c r="GR30"/>
  <c r="GZ29"/>
  <c r="GV29"/>
  <c r="GR29"/>
  <c r="GW27"/>
  <c r="GS27"/>
  <c r="GO27"/>
  <c r="GW26"/>
  <c r="GS26"/>
  <c r="GO26"/>
  <c r="GW25"/>
  <c r="GS25"/>
  <c r="GO25"/>
  <c r="GW24"/>
  <c r="GS24"/>
  <c r="GO24"/>
  <c r="GX22"/>
  <c r="GT22"/>
  <c r="GP22"/>
  <c r="GY20"/>
  <c r="GU20"/>
  <c r="GQ20"/>
  <c r="GZ17"/>
  <c r="GV17"/>
  <c r="GR17"/>
  <c r="GZ16"/>
  <c r="GV16"/>
  <c r="GR16"/>
  <c r="GZ15"/>
  <c r="GV15"/>
  <c r="GR15"/>
  <c r="GZ14"/>
  <c r="GV14"/>
  <c r="GR14"/>
  <c r="GZ13"/>
  <c r="GV13"/>
  <c r="GR13"/>
  <c r="GZ12"/>
  <c r="GV12"/>
  <c r="GR12"/>
  <c r="GZ11"/>
  <c r="GV11"/>
  <c r="GR11"/>
  <c r="GZ10"/>
  <c r="GV10"/>
  <c r="GR10"/>
  <c r="GZ9"/>
  <c r="GV9"/>
  <c r="GR9"/>
  <c r="GZ8"/>
  <c r="GV8"/>
  <c r="GR8"/>
  <c r="GK288"/>
  <c r="GG288"/>
  <c r="GC288"/>
  <c r="GK287"/>
  <c r="GG287"/>
  <c r="GC287"/>
  <c r="GK286"/>
  <c r="GG286"/>
  <c r="GC286"/>
  <c r="GK285"/>
  <c r="GG285"/>
  <c r="GC285"/>
  <c r="GK283"/>
  <c r="GG283"/>
  <c r="GC283"/>
  <c r="GK282"/>
  <c r="GG282"/>
  <c r="GC282"/>
  <c r="GK281"/>
  <c r="GG281"/>
  <c r="GC281"/>
  <c r="GK280"/>
  <c r="GG280"/>
  <c r="GC280"/>
  <c r="GL274"/>
  <c r="GH274"/>
  <c r="GD274"/>
  <c r="GL273"/>
  <c r="GH273"/>
  <c r="GD273"/>
  <c r="GL272"/>
  <c r="GH272"/>
  <c r="GD272"/>
  <c r="GL271"/>
  <c r="GH271"/>
  <c r="GD271"/>
  <c r="GL270"/>
  <c r="GH270"/>
  <c r="GD270"/>
  <c r="GL269"/>
  <c r="GH269"/>
  <c r="GD269"/>
  <c r="GL268"/>
  <c r="GH268"/>
  <c r="GD268"/>
  <c r="GL267"/>
  <c r="GH267"/>
  <c r="GD267"/>
  <c r="GL266"/>
  <c r="GH266"/>
  <c r="GD266"/>
  <c r="GL265"/>
  <c r="GH265"/>
  <c r="GD265"/>
  <c r="GL264"/>
  <c r="GH264"/>
  <c r="GD264"/>
  <c r="GL263"/>
  <c r="GH263"/>
  <c r="GD263"/>
  <c r="GL262"/>
  <c r="GH262"/>
  <c r="GD262"/>
  <c r="GL261"/>
  <c r="GH261"/>
  <c r="GD261"/>
  <c r="GL260"/>
  <c r="GH260"/>
  <c r="GD260"/>
  <c r="GL259"/>
  <c r="GH259"/>
  <c r="GD259"/>
  <c r="GL258"/>
  <c r="GH258"/>
  <c r="GD258"/>
  <c r="GL257"/>
  <c r="GH257"/>
  <c r="GD257"/>
  <c r="GL256"/>
  <c r="GH256"/>
  <c r="GD256"/>
  <c r="GL255"/>
  <c r="GH255"/>
  <c r="GD255"/>
  <c r="GL254"/>
  <c r="GH254"/>
  <c r="GD254"/>
  <c r="GL253"/>
  <c r="GH253"/>
  <c r="GD253"/>
  <c r="GL252"/>
  <c r="GH252"/>
  <c r="GD252"/>
  <c r="GL251"/>
  <c r="GH251"/>
  <c r="GD251"/>
  <c r="GL250"/>
  <c r="GH250"/>
  <c r="GD250"/>
  <c r="GL249"/>
  <c r="GH249"/>
  <c r="GD249"/>
  <c r="GL248"/>
  <c r="GH248"/>
  <c r="GD248"/>
  <c r="GL247"/>
  <c r="GH247"/>
  <c r="GD247"/>
  <c r="GL246"/>
  <c r="GH246"/>
  <c r="GD246"/>
  <c r="GL245"/>
  <c r="GH245"/>
  <c r="GD245"/>
  <c r="GL244"/>
  <c r="GH244"/>
  <c r="GD244"/>
  <c r="GL243"/>
  <c r="GH243"/>
  <c r="GD243"/>
  <c r="GL242"/>
  <c r="GH242"/>
  <c r="GD242"/>
  <c r="GL241"/>
  <c r="GH241"/>
  <c r="GD241"/>
  <c r="GL240"/>
  <c r="GM288"/>
  <c r="GI288"/>
  <c r="GE288"/>
  <c r="GM287"/>
  <c r="GI287"/>
  <c r="GE287"/>
  <c r="GM286"/>
  <c r="GI286"/>
  <c r="GE286"/>
  <c r="GM285"/>
  <c r="GI285"/>
  <c r="GE285"/>
  <c r="GM283"/>
  <c r="GI283"/>
  <c r="GE283"/>
  <c r="GM282"/>
  <c r="GI282"/>
  <c r="GE282"/>
  <c r="GM281"/>
  <c r="GI281"/>
  <c r="GE281"/>
  <c r="GM280"/>
  <c r="GI280"/>
  <c r="GE280"/>
  <c r="GN274"/>
  <c r="GJ274"/>
  <c r="GF274"/>
  <c r="GN273"/>
  <c r="GJ273"/>
  <c r="GF273"/>
  <c r="GN272"/>
  <c r="GJ272"/>
  <c r="GF272"/>
  <c r="GN271"/>
  <c r="GJ271"/>
  <c r="GF271"/>
  <c r="GN270"/>
  <c r="GJ270"/>
  <c r="GF270"/>
  <c r="GN269"/>
  <c r="GJ269"/>
  <c r="GF269"/>
  <c r="GN268"/>
  <c r="GJ268"/>
  <c r="GF268"/>
  <c r="GN267"/>
  <c r="GJ267"/>
  <c r="GF267"/>
  <c r="GN266"/>
  <c r="GJ266"/>
  <c r="GF266"/>
  <c r="GN265"/>
  <c r="GJ265"/>
  <c r="GF265"/>
  <c r="GN264"/>
  <c r="GJ264"/>
  <c r="GF264"/>
  <c r="GN263"/>
  <c r="GJ263"/>
  <c r="GF263"/>
  <c r="GN262"/>
  <c r="GJ262"/>
  <c r="GF262"/>
  <c r="GN261"/>
  <c r="GJ261"/>
  <c r="GF261"/>
  <c r="GN260"/>
  <c r="GJ260"/>
  <c r="GF260"/>
  <c r="GN259"/>
  <c r="GJ259"/>
  <c r="GF259"/>
  <c r="GN258"/>
  <c r="GJ258"/>
  <c r="GF258"/>
  <c r="GN257"/>
  <c r="GJ257"/>
  <c r="GF257"/>
  <c r="GN256"/>
  <c r="GJ256"/>
  <c r="GF256"/>
  <c r="GN255"/>
  <c r="GJ255"/>
  <c r="GF255"/>
  <c r="GN254"/>
  <c r="GJ254"/>
  <c r="GF254"/>
  <c r="GN253"/>
  <c r="GJ253"/>
  <c r="GF253"/>
  <c r="GN252"/>
  <c r="GJ252"/>
  <c r="GF252"/>
  <c r="GN251"/>
  <c r="GJ251"/>
  <c r="GF251"/>
  <c r="GN250"/>
  <c r="GJ250"/>
  <c r="GF250"/>
  <c r="GN249"/>
  <c r="GJ249"/>
  <c r="GF249"/>
  <c r="GN248"/>
  <c r="GJ248"/>
  <c r="GF248"/>
  <c r="GN247"/>
  <c r="GJ247"/>
  <c r="GF247"/>
  <c r="GN246"/>
  <c r="GJ246"/>
  <c r="GF246"/>
  <c r="GN245"/>
  <c r="GJ245"/>
  <c r="GF245"/>
  <c r="GN244"/>
  <c r="GJ244"/>
  <c r="GF244"/>
  <c r="GN243"/>
  <c r="GJ243"/>
  <c r="GF243"/>
  <c r="GN242"/>
  <c r="GJ242"/>
  <c r="GF242"/>
  <c r="GN241"/>
  <c r="GJ241"/>
  <c r="GF241"/>
  <c r="GN288"/>
  <c r="GJ288"/>
  <c r="GF288"/>
  <c r="GN287"/>
  <c r="GJ287"/>
  <c r="GF287"/>
  <c r="GN286"/>
  <c r="GJ286"/>
  <c r="GF286"/>
  <c r="GN285"/>
  <c r="GJ285"/>
  <c r="GF285"/>
  <c r="GN283"/>
  <c r="GJ283"/>
  <c r="GF283"/>
  <c r="GN282"/>
  <c r="GJ282"/>
  <c r="GF282"/>
  <c r="GN281"/>
  <c r="GJ281"/>
  <c r="GF281"/>
  <c r="GN280"/>
  <c r="GJ280"/>
  <c r="GF280"/>
  <c r="GK274"/>
  <c r="GG274"/>
  <c r="GC274"/>
  <c r="GK273"/>
  <c r="GG273"/>
  <c r="GC273"/>
  <c r="GK272"/>
  <c r="GG272"/>
  <c r="GC272"/>
  <c r="GK271"/>
  <c r="GG271"/>
  <c r="GC271"/>
  <c r="GK270"/>
  <c r="GG270"/>
  <c r="GC270"/>
  <c r="GK269"/>
  <c r="GG269"/>
  <c r="GC269"/>
  <c r="GK268"/>
  <c r="GG268"/>
  <c r="GC268"/>
  <c r="GK267"/>
  <c r="GG267"/>
  <c r="GC267"/>
  <c r="GK266"/>
  <c r="GG266"/>
  <c r="GC266"/>
  <c r="GK265"/>
  <c r="GG265"/>
  <c r="GC265"/>
  <c r="GK264"/>
  <c r="GG264"/>
  <c r="GC264"/>
  <c r="GK263"/>
  <c r="GG263"/>
  <c r="GC263"/>
  <c r="GK262"/>
  <c r="GG262"/>
  <c r="GC262"/>
  <c r="GK261"/>
  <c r="GG261"/>
  <c r="GC261"/>
  <c r="GK260"/>
  <c r="GG260"/>
  <c r="GC260"/>
  <c r="GK259"/>
  <c r="GG259"/>
  <c r="GC259"/>
  <c r="GK258"/>
  <c r="GG258"/>
  <c r="GC258"/>
  <c r="GK257"/>
  <c r="GG257"/>
  <c r="GC257"/>
  <c r="GK256"/>
  <c r="GG256"/>
  <c r="GC256"/>
  <c r="GK255"/>
  <c r="GG255"/>
  <c r="GC255"/>
  <c r="GK254"/>
  <c r="GG254"/>
  <c r="GC254"/>
  <c r="GK253"/>
  <c r="GG253"/>
  <c r="GC253"/>
  <c r="GK252"/>
  <c r="GG252"/>
  <c r="GC252"/>
  <c r="GK251"/>
  <c r="GG251"/>
  <c r="GC251"/>
  <c r="GK250"/>
  <c r="GG250"/>
  <c r="GC250"/>
  <c r="GK249"/>
  <c r="GG249"/>
  <c r="GC249"/>
  <c r="GK248"/>
  <c r="GG248"/>
  <c r="GC248"/>
  <c r="GK247"/>
  <c r="GG247"/>
  <c r="GC247"/>
  <c r="GK246"/>
  <c r="GG246"/>
  <c r="GC246"/>
  <c r="GK245"/>
  <c r="GG245"/>
  <c r="GC245"/>
  <c r="GK244"/>
  <c r="GG244"/>
  <c r="GC244"/>
  <c r="GK243"/>
  <c r="GG243"/>
  <c r="GC243"/>
  <c r="GK242"/>
  <c r="GG242"/>
  <c r="GC242"/>
  <c r="GK241"/>
  <c r="GG241"/>
  <c r="GC241"/>
  <c r="GL288"/>
  <c r="GD287"/>
  <c r="GL286"/>
  <c r="GD285"/>
  <c r="GL283"/>
  <c r="GD282"/>
  <c r="GL281"/>
  <c r="GD280"/>
  <c r="GI273"/>
  <c r="GI271"/>
  <c r="GI269"/>
  <c r="GI267"/>
  <c r="GI265"/>
  <c r="GI263"/>
  <c r="GI261"/>
  <c r="GI259"/>
  <c r="GI257"/>
  <c r="GI255"/>
  <c r="GI253"/>
  <c r="GI251"/>
  <c r="GI249"/>
  <c r="GI247"/>
  <c r="GI245"/>
  <c r="GI243"/>
  <c r="GI241"/>
  <c r="GJ240"/>
  <c r="GF240"/>
  <c r="GN239"/>
  <c r="GJ239"/>
  <c r="GF239"/>
  <c r="GN238"/>
  <c r="GJ238"/>
  <c r="GF238"/>
  <c r="GN237"/>
  <c r="GJ237"/>
  <c r="GF237"/>
  <c r="GN236"/>
  <c r="GJ236"/>
  <c r="GF236"/>
  <c r="GN235"/>
  <c r="GJ235"/>
  <c r="GF235"/>
  <c r="GN234"/>
  <c r="GJ234"/>
  <c r="GF234"/>
  <c r="GN233"/>
  <c r="GJ233"/>
  <c r="GF233"/>
  <c r="GN230"/>
  <c r="GJ230"/>
  <c r="GF230"/>
  <c r="GN229"/>
  <c r="GJ229"/>
  <c r="GF229"/>
  <c r="GN228"/>
  <c r="GJ228"/>
  <c r="GF228"/>
  <c r="GN227"/>
  <c r="GJ227"/>
  <c r="GF227"/>
  <c r="GN226"/>
  <c r="GJ226"/>
  <c r="GF226"/>
  <c r="GN225"/>
  <c r="GJ225"/>
  <c r="GF225"/>
  <c r="GN224"/>
  <c r="GJ224"/>
  <c r="GF224"/>
  <c r="GN223"/>
  <c r="GJ223"/>
  <c r="GF223"/>
  <c r="GN222"/>
  <c r="GJ222"/>
  <c r="GF222"/>
  <c r="GN221"/>
  <c r="GJ221"/>
  <c r="GH287"/>
  <c r="GH285"/>
  <c r="GH282"/>
  <c r="GH280"/>
  <c r="GE274"/>
  <c r="GM273"/>
  <c r="GE272"/>
  <c r="GM271"/>
  <c r="GE270"/>
  <c r="GM269"/>
  <c r="GE268"/>
  <c r="GM267"/>
  <c r="GE266"/>
  <c r="GM265"/>
  <c r="GE264"/>
  <c r="GM263"/>
  <c r="GE262"/>
  <c r="GM261"/>
  <c r="GE260"/>
  <c r="GM259"/>
  <c r="GE258"/>
  <c r="GM257"/>
  <c r="GE256"/>
  <c r="GM255"/>
  <c r="GE254"/>
  <c r="GM253"/>
  <c r="GE252"/>
  <c r="GM251"/>
  <c r="GE250"/>
  <c r="GM249"/>
  <c r="GE248"/>
  <c r="GM247"/>
  <c r="GE246"/>
  <c r="GM245"/>
  <c r="GE244"/>
  <c r="GM243"/>
  <c r="GE242"/>
  <c r="GM241"/>
  <c r="GK240"/>
  <c r="GG240"/>
  <c r="GC240"/>
  <c r="GK239"/>
  <c r="GG239"/>
  <c r="GC239"/>
  <c r="GK238"/>
  <c r="GG238"/>
  <c r="GC238"/>
  <c r="GK237"/>
  <c r="GG237"/>
  <c r="GC237"/>
  <c r="GK236"/>
  <c r="GG236"/>
  <c r="GC236"/>
  <c r="GK235"/>
  <c r="GG235"/>
  <c r="GC235"/>
  <c r="GK234"/>
  <c r="GG234"/>
  <c r="GC234"/>
  <c r="GK233"/>
  <c r="GG233"/>
  <c r="GC233"/>
  <c r="GK230"/>
  <c r="GG230"/>
  <c r="GC230"/>
  <c r="GK229"/>
  <c r="GG229"/>
  <c r="GC229"/>
  <c r="GK228"/>
  <c r="GG228"/>
  <c r="GC228"/>
  <c r="GK227"/>
  <c r="GG227"/>
  <c r="GC227"/>
  <c r="GK226"/>
  <c r="GG226"/>
  <c r="GC226"/>
  <c r="GK225"/>
  <c r="GG225"/>
  <c r="GC225"/>
  <c r="GK224"/>
  <c r="GG224"/>
  <c r="GC224"/>
  <c r="GK223"/>
  <c r="GG223"/>
  <c r="GC223"/>
  <c r="GK222"/>
  <c r="GG222"/>
  <c r="GC222"/>
  <c r="GK221"/>
  <c r="GG221"/>
  <c r="GC221"/>
  <c r="GK220"/>
  <c r="GG220"/>
  <c r="GC220"/>
  <c r="GK219"/>
  <c r="GG219"/>
  <c r="GC219"/>
  <c r="GK218"/>
  <c r="GG218"/>
  <c r="GC218"/>
  <c r="GK217"/>
  <c r="GG217"/>
  <c r="GC217"/>
  <c r="GK216"/>
  <c r="GG216"/>
  <c r="GC216"/>
  <c r="GK215"/>
  <c r="GG215"/>
  <c r="GC215"/>
  <c r="GK214"/>
  <c r="GG214"/>
  <c r="GC214"/>
  <c r="GK213"/>
  <c r="GG213"/>
  <c r="GC213"/>
  <c r="GK212"/>
  <c r="GG212"/>
  <c r="GC212"/>
  <c r="GK211"/>
  <c r="GG211"/>
  <c r="GC211"/>
  <c r="GK210"/>
  <c r="GG210"/>
  <c r="GC210"/>
  <c r="GK209"/>
  <c r="GG209"/>
  <c r="GC209"/>
  <c r="GD288"/>
  <c r="GL287"/>
  <c r="GD286"/>
  <c r="GL285"/>
  <c r="GD283"/>
  <c r="GL282"/>
  <c r="GD281"/>
  <c r="GL280"/>
  <c r="GI274"/>
  <c r="GI272"/>
  <c r="GI270"/>
  <c r="GI268"/>
  <c r="GI266"/>
  <c r="GI264"/>
  <c r="GI262"/>
  <c r="GI260"/>
  <c r="GI258"/>
  <c r="GI256"/>
  <c r="GI254"/>
  <c r="GI252"/>
  <c r="GI250"/>
  <c r="GI248"/>
  <c r="GI246"/>
  <c r="GI244"/>
  <c r="GI242"/>
  <c r="GM240"/>
  <c r="GH240"/>
  <c r="GD240"/>
  <c r="GL239"/>
  <c r="GH239"/>
  <c r="GD239"/>
  <c r="GL238"/>
  <c r="GH238"/>
  <c r="GD238"/>
  <c r="GL237"/>
  <c r="GH237"/>
  <c r="GD237"/>
  <c r="GL236"/>
  <c r="GH236"/>
  <c r="GD236"/>
  <c r="GL235"/>
  <c r="GH235"/>
  <c r="GD235"/>
  <c r="GL234"/>
  <c r="GH234"/>
  <c r="GD234"/>
  <c r="GL233"/>
  <c r="GH233"/>
  <c r="GD233"/>
  <c r="GL230"/>
  <c r="GH230"/>
  <c r="GD230"/>
  <c r="GL229"/>
  <c r="GH229"/>
  <c r="GD229"/>
  <c r="GL228"/>
  <c r="GH228"/>
  <c r="GD228"/>
  <c r="GL227"/>
  <c r="GH227"/>
  <c r="GD227"/>
  <c r="GL226"/>
  <c r="GH226"/>
  <c r="GD226"/>
  <c r="GL225"/>
  <c r="GH225"/>
  <c r="GD225"/>
  <c r="GL224"/>
  <c r="GH224"/>
  <c r="GD224"/>
  <c r="GL223"/>
  <c r="GH223"/>
  <c r="GD223"/>
  <c r="GL222"/>
  <c r="GH222"/>
  <c r="GD222"/>
  <c r="GH288"/>
  <c r="GH286"/>
  <c r="GH283"/>
  <c r="GH281"/>
  <c r="GM274"/>
  <c r="GE273"/>
  <c r="GM272"/>
  <c r="GE271"/>
  <c r="GM270"/>
  <c r="GE269"/>
  <c r="GM268"/>
  <c r="GE267"/>
  <c r="GM266"/>
  <c r="GE265"/>
  <c r="GM264"/>
  <c r="GE263"/>
  <c r="GM262"/>
  <c r="GE261"/>
  <c r="GM260"/>
  <c r="GE259"/>
  <c r="GM258"/>
  <c r="GE257"/>
  <c r="GM256"/>
  <c r="GE255"/>
  <c r="GM254"/>
  <c r="GE253"/>
  <c r="GM252"/>
  <c r="GE251"/>
  <c r="GM250"/>
  <c r="GE249"/>
  <c r="GM248"/>
  <c r="GE247"/>
  <c r="GM246"/>
  <c r="GE245"/>
  <c r="GM244"/>
  <c r="GE243"/>
  <c r="GM242"/>
  <c r="GE241"/>
  <c r="GN240"/>
  <c r="GI240"/>
  <c r="GE240"/>
  <c r="GM239"/>
  <c r="GI239"/>
  <c r="GE239"/>
  <c r="GM238"/>
  <c r="GI238"/>
  <c r="GE238"/>
  <c r="GM237"/>
  <c r="GI237"/>
  <c r="GE237"/>
  <c r="GM236"/>
  <c r="GI236"/>
  <c r="GE236"/>
  <c r="GM235"/>
  <c r="GI235"/>
  <c r="GE235"/>
  <c r="GM234"/>
  <c r="GI234"/>
  <c r="GE234"/>
  <c r="GM233"/>
  <c r="GI233"/>
  <c r="GE233"/>
  <c r="GM230"/>
  <c r="GI230"/>
  <c r="GE230"/>
  <c r="GM229"/>
  <c r="GI229"/>
  <c r="GE229"/>
  <c r="GI227"/>
  <c r="GI225"/>
  <c r="GI223"/>
  <c r="GI221"/>
  <c r="GD221"/>
  <c r="GL220"/>
  <c r="GF220"/>
  <c r="GN219"/>
  <c r="GI219"/>
  <c r="GD219"/>
  <c r="GL218"/>
  <c r="GF218"/>
  <c r="GN217"/>
  <c r="GI217"/>
  <c r="GD217"/>
  <c r="GL216"/>
  <c r="GF216"/>
  <c r="GN215"/>
  <c r="GI215"/>
  <c r="GD215"/>
  <c r="GL214"/>
  <c r="GF214"/>
  <c r="GN213"/>
  <c r="GI213"/>
  <c r="GD213"/>
  <c r="GL212"/>
  <c r="GF212"/>
  <c r="GN211"/>
  <c r="GI211"/>
  <c r="GD211"/>
  <c r="GL210"/>
  <c r="GF210"/>
  <c r="GN209"/>
  <c r="GI209"/>
  <c r="GD209"/>
  <c r="GM208"/>
  <c r="GI208"/>
  <c r="GE208"/>
  <c r="GM207"/>
  <c r="GI207"/>
  <c r="GE207"/>
  <c r="GM206"/>
  <c r="GI206"/>
  <c r="GE206"/>
  <c r="GM205"/>
  <c r="GI205"/>
  <c r="GE205"/>
  <c r="GM204"/>
  <c r="GI204"/>
  <c r="GE204"/>
  <c r="GM203"/>
  <c r="GI203"/>
  <c r="GE203"/>
  <c r="GM202"/>
  <c r="GI202"/>
  <c r="GE202"/>
  <c r="GM201"/>
  <c r="GI201"/>
  <c r="GE201"/>
  <c r="GM200"/>
  <c r="GI200"/>
  <c r="GE200"/>
  <c r="GM199"/>
  <c r="GI199"/>
  <c r="GE199"/>
  <c r="GM198"/>
  <c r="GI198"/>
  <c r="GE198"/>
  <c r="GM197"/>
  <c r="GI197"/>
  <c r="GE197"/>
  <c r="GM196"/>
  <c r="GI196"/>
  <c r="GE196"/>
  <c r="GM195"/>
  <c r="GI195"/>
  <c r="GE195"/>
  <c r="GM194"/>
  <c r="GI194"/>
  <c r="GE194"/>
  <c r="GM193"/>
  <c r="GI193"/>
  <c r="GE193"/>
  <c r="GM192"/>
  <c r="GI192"/>
  <c r="GE192"/>
  <c r="GM191"/>
  <c r="GI191"/>
  <c r="GE191"/>
  <c r="GM190"/>
  <c r="GI190"/>
  <c r="GE190"/>
  <c r="GM189"/>
  <c r="GI189"/>
  <c r="GE189"/>
  <c r="GM188"/>
  <c r="GI188"/>
  <c r="GE188"/>
  <c r="GM187"/>
  <c r="GI187"/>
  <c r="GE187"/>
  <c r="GM186"/>
  <c r="GI186"/>
  <c r="GE186"/>
  <c r="GM185"/>
  <c r="GI185"/>
  <c r="GE185"/>
  <c r="GM184"/>
  <c r="GI184"/>
  <c r="GE184"/>
  <c r="GM183"/>
  <c r="GI183"/>
  <c r="GE183"/>
  <c r="GM182"/>
  <c r="GI182"/>
  <c r="GE182"/>
  <c r="GM181"/>
  <c r="GI181"/>
  <c r="GE181"/>
  <c r="GM180"/>
  <c r="GI180"/>
  <c r="GE180"/>
  <c r="GM179"/>
  <c r="GI179"/>
  <c r="GE179"/>
  <c r="GM178"/>
  <c r="GI178"/>
  <c r="GE178"/>
  <c r="GE228"/>
  <c r="GM227"/>
  <c r="GE226"/>
  <c r="GM225"/>
  <c r="GE224"/>
  <c r="GM223"/>
  <c r="GE222"/>
  <c r="GL221"/>
  <c r="GE221"/>
  <c r="GM220"/>
  <c r="GH220"/>
  <c r="GJ219"/>
  <c r="GE219"/>
  <c r="GM218"/>
  <c r="GH218"/>
  <c r="GJ217"/>
  <c r="GE217"/>
  <c r="GM216"/>
  <c r="GH216"/>
  <c r="GJ215"/>
  <c r="GE215"/>
  <c r="GM214"/>
  <c r="GH214"/>
  <c r="GJ213"/>
  <c r="GE213"/>
  <c r="GM212"/>
  <c r="GH212"/>
  <c r="GJ211"/>
  <c r="GE211"/>
  <c r="GM210"/>
  <c r="GH210"/>
  <c r="GJ209"/>
  <c r="GE209"/>
  <c r="GN208"/>
  <c r="GJ208"/>
  <c r="GF208"/>
  <c r="GN207"/>
  <c r="GJ207"/>
  <c r="GF207"/>
  <c r="GN206"/>
  <c r="GJ206"/>
  <c r="GF206"/>
  <c r="GN205"/>
  <c r="GJ205"/>
  <c r="GF205"/>
  <c r="GN204"/>
  <c r="GJ204"/>
  <c r="GF204"/>
  <c r="GN203"/>
  <c r="GJ203"/>
  <c r="GF203"/>
  <c r="GN202"/>
  <c r="GJ202"/>
  <c r="GF202"/>
  <c r="GN201"/>
  <c r="GJ201"/>
  <c r="GF201"/>
  <c r="GN200"/>
  <c r="GJ200"/>
  <c r="GF200"/>
  <c r="GN199"/>
  <c r="GJ199"/>
  <c r="GF199"/>
  <c r="GN198"/>
  <c r="GJ198"/>
  <c r="GF198"/>
  <c r="GN197"/>
  <c r="GJ197"/>
  <c r="GF197"/>
  <c r="GN196"/>
  <c r="GJ196"/>
  <c r="GF196"/>
  <c r="GN195"/>
  <c r="GJ195"/>
  <c r="GF195"/>
  <c r="GN194"/>
  <c r="GJ194"/>
  <c r="GF194"/>
  <c r="GN193"/>
  <c r="GJ193"/>
  <c r="GF193"/>
  <c r="GN192"/>
  <c r="GJ192"/>
  <c r="GF192"/>
  <c r="GN191"/>
  <c r="GJ191"/>
  <c r="GF191"/>
  <c r="GN190"/>
  <c r="GJ190"/>
  <c r="GF190"/>
  <c r="GN189"/>
  <c r="GJ189"/>
  <c r="GF189"/>
  <c r="GN188"/>
  <c r="GJ188"/>
  <c r="GF188"/>
  <c r="GN187"/>
  <c r="GJ187"/>
  <c r="GF187"/>
  <c r="GN186"/>
  <c r="GJ186"/>
  <c r="GF186"/>
  <c r="GN185"/>
  <c r="GJ185"/>
  <c r="GF185"/>
  <c r="GN184"/>
  <c r="GJ184"/>
  <c r="GF184"/>
  <c r="GN183"/>
  <c r="GJ183"/>
  <c r="GF183"/>
  <c r="GN182"/>
  <c r="GJ182"/>
  <c r="GF182"/>
  <c r="GN181"/>
  <c r="GJ181"/>
  <c r="GF181"/>
  <c r="GN180"/>
  <c r="GJ180"/>
  <c r="GF180"/>
  <c r="GN179"/>
  <c r="GJ179"/>
  <c r="GF179"/>
  <c r="GI228"/>
  <c r="GI226"/>
  <c r="GI224"/>
  <c r="GI222"/>
  <c r="GM221"/>
  <c r="GF221"/>
  <c r="GN220"/>
  <c r="GI220"/>
  <c r="GD220"/>
  <c r="GL219"/>
  <c r="GF219"/>
  <c r="GN218"/>
  <c r="GI218"/>
  <c r="GD218"/>
  <c r="GL217"/>
  <c r="GF217"/>
  <c r="GN216"/>
  <c r="GI216"/>
  <c r="GD216"/>
  <c r="GL215"/>
  <c r="GF215"/>
  <c r="GN214"/>
  <c r="GI214"/>
  <c r="GD214"/>
  <c r="GL213"/>
  <c r="GF213"/>
  <c r="GN212"/>
  <c r="GI212"/>
  <c r="GD212"/>
  <c r="GL211"/>
  <c r="GF211"/>
  <c r="GN210"/>
  <c r="GI210"/>
  <c r="GD210"/>
  <c r="GL209"/>
  <c r="GF209"/>
  <c r="GK208"/>
  <c r="GG208"/>
  <c r="GC208"/>
  <c r="GK207"/>
  <c r="GG207"/>
  <c r="GC207"/>
  <c r="GK206"/>
  <c r="GG206"/>
  <c r="GC206"/>
  <c r="GK205"/>
  <c r="GG205"/>
  <c r="GC205"/>
  <c r="GK204"/>
  <c r="GG204"/>
  <c r="GC204"/>
  <c r="GK203"/>
  <c r="GG203"/>
  <c r="GC203"/>
  <c r="GK202"/>
  <c r="GG202"/>
  <c r="GC202"/>
  <c r="GK201"/>
  <c r="GG201"/>
  <c r="GC201"/>
  <c r="GK200"/>
  <c r="GG200"/>
  <c r="GC200"/>
  <c r="GK199"/>
  <c r="GG199"/>
  <c r="GC199"/>
  <c r="GK198"/>
  <c r="GG198"/>
  <c r="GC198"/>
  <c r="GK197"/>
  <c r="GG197"/>
  <c r="GC197"/>
  <c r="GK196"/>
  <c r="GG196"/>
  <c r="GC196"/>
  <c r="GK195"/>
  <c r="GG195"/>
  <c r="GC195"/>
  <c r="GK194"/>
  <c r="GG194"/>
  <c r="GC194"/>
  <c r="GK193"/>
  <c r="GG193"/>
  <c r="GC193"/>
  <c r="GK192"/>
  <c r="GG192"/>
  <c r="GC192"/>
  <c r="GK191"/>
  <c r="GG191"/>
  <c r="GC191"/>
  <c r="GK190"/>
  <c r="GG190"/>
  <c r="GC190"/>
  <c r="GK189"/>
  <c r="GG189"/>
  <c r="GC189"/>
  <c r="GK188"/>
  <c r="GG188"/>
  <c r="GC188"/>
  <c r="GK187"/>
  <c r="GG187"/>
  <c r="GC187"/>
  <c r="GK186"/>
  <c r="GG186"/>
  <c r="GC186"/>
  <c r="GK185"/>
  <c r="GG185"/>
  <c r="GC185"/>
  <c r="GK184"/>
  <c r="GG184"/>
  <c r="GC184"/>
  <c r="GK183"/>
  <c r="GG183"/>
  <c r="GC183"/>
  <c r="GK182"/>
  <c r="GG182"/>
  <c r="GC182"/>
  <c r="GK181"/>
  <c r="GG181"/>
  <c r="GC181"/>
  <c r="GK180"/>
  <c r="GG180"/>
  <c r="GC180"/>
  <c r="GK179"/>
  <c r="GM228"/>
  <c r="GE227"/>
  <c r="GM226"/>
  <c r="GE225"/>
  <c r="GM224"/>
  <c r="GE223"/>
  <c r="GM222"/>
  <c r="GH221"/>
  <c r="GJ220"/>
  <c r="GE220"/>
  <c r="GM219"/>
  <c r="GH219"/>
  <c r="GJ218"/>
  <c r="GE218"/>
  <c r="GM217"/>
  <c r="GH217"/>
  <c r="GJ216"/>
  <c r="GE216"/>
  <c r="GM215"/>
  <c r="GH215"/>
  <c r="GJ214"/>
  <c r="GE214"/>
  <c r="GM213"/>
  <c r="GH213"/>
  <c r="GJ212"/>
  <c r="GE212"/>
  <c r="GM211"/>
  <c r="GH211"/>
  <c r="GJ210"/>
  <c r="GE210"/>
  <c r="GM209"/>
  <c r="GH209"/>
  <c r="GL208"/>
  <c r="GH208"/>
  <c r="GD208"/>
  <c r="GL207"/>
  <c r="GH207"/>
  <c r="GD207"/>
  <c r="GL206"/>
  <c r="GH206"/>
  <c r="GD206"/>
  <c r="GL205"/>
  <c r="GH205"/>
  <c r="GD205"/>
  <c r="GL204"/>
  <c r="GH204"/>
  <c r="GD204"/>
  <c r="GL203"/>
  <c r="GH203"/>
  <c r="GD203"/>
  <c r="GL202"/>
  <c r="GH202"/>
  <c r="GD202"/>
  <c r="GL201"/>
  <c r="GH201"/>
  <c r="GD201"/>
  <c r="GL200"/>
  <c r="GH200"/>
  <c r="GD200"/>
  <c r="GL199"/>
  <c r="GH199"/>
  <c r="GD199"/>
  <c r="GL198"/>
  <c r="GH198"/>
  <c r="GD198"/>
  <c r="GL197"/>
  <c r="GH197"/>
  <c r="GD197"/>
  <c r="GL196"/>
  <c r="GH196"/>
  <c r="GD196"/>
  <c r="GL195"/>
  <c r="GH195"/>
  <c r="GD195"/>
  <c r="GL194"/>
  <c r="GH194"/>
  <c r="GD194"/>
  <c r="GL193"/>
  <c r="GH193"/>
  <c r="GD193"/>
  <c r="GL192"/>
  <c r="GH192"/>
  <c r="GD192"/>
  <c r="GL191"/>
  <c r="GH191"/>
  <c r="GD191"/>
  <c r="GL190"/>
  <c r="GH190"/>
  <c r="GD190"/>
  <c r="GL189"/>
  <c r="GH189"/>
  <c r="GD189"/>
  <c r="GL188"/>
  <c r="GH188"/>
  <c r="GD188"/>
  <c r="GL187"/>
  <c r="GH187"/>
  <c r="GD187"/>
  <c r="GL186"/>
  <c r="GH186"/>
  <c r="GD186"/>
  <c r="GL185"/>
  <c r="GH185"/>
  <c r="GD185"/>
  <c r="GL184"/>
  <c r="GH184"/>
  <c r="GD184"/>
  <c r="GL183"/>
  <c r="GH183"/>
  <c r="GD183"/>
  <c r="GL182"/>
  <c r="GH182"/>
  <c r="GD182"/>
  <c r="GL181"/>
  <c r="GH181"/>
  <c r="GD181"/>
  <c r="GL180"/>
  <c r="GH180"/>
  <c r="GD180"/>
  <c r="GL179"/>
  <c r="GH179"/>
  <c r="GD179"/>
  <c r="GL178"/>
  <c r="GH178"/>
  <c r="GD178"/>
  <c r="GJ178"/>
  <c r="GM177"/>
  <c r="GI177"/>
  <c r="GE177"/>
  <c r="GM176"/>
  <c r="GI176"/>
  <c r="GE176"/>
  <c r="GM175"/>
  <c r="GI175"/>
  <c r="GE175"/>
  <c r="GM174"/>
  <c r="GI174"/>
  <c r="GE174"/>
  <c r="GM173"/>
  <c r="GI173"/>
  <c r="GE173"/>
  <c r="GM172"/>
  <c r="GI172"/>
  <c r="GE172"/>
  <c r="GM171"/>
  <c r="GI171"/>
  <c r="GE171"/>
  <c r="GM170"/>
  <c r="GI170"/>
  <c r="GE170"/>
  <c r="GM169"/>
  <c r="GI169"/>
  <c r="GE169"/>
  <c r="GM168"/>
  <c r="GI168"/>
  <c r="GE168"/>
  <c r="GM167"/>
  <c r="GI167"/>
  <c r="GE167"/>
  <c r="GM166"/>
  <c r="GI166"/>
  <c r="GE166"/>
  <c r="GM165"/>
  <c r="GI165"/>
  <c r="GE165"/>
  <c r="GM164"/>
  <c r="GI164"/>
  <c r="GE164"/>
  <c r="GM163"/>
  <c r="GI163"/>
  <c r="GE163"/>
  <c r="GM162"/>
  <c r="GI162"/>
  <c r="GE162"/>
  <c r="GM161"/>
  <c r="GI161"/>
  <c r="GE161"/>
  <c r="GM160"/>
  <c r="GI160"/>
  <c r="GE160"/>
  <c r="GM159"/>
  <c r="GI159"/>
  <c r="GE159"/>
  <c r="GM158"/>
  <c r="GI158"/>
  <c r="GE158"/>
  <c r="GM157"/>
  <c r="GI157"/>
  <c r="GE157"/>
  <c r="GM156"/>
  <c r="GI156"/>
  <c r="GE156"/>
  <c r="GM155"/>
  <c r="GI155"/>
  <c r="GE155"/>
  <c r="GM153"/>
  <c r="GI153"/>
  <c r="GE153"/>
  <c r="GM152"/>
  <c r="GI152"/>
  <c r="GE152"/>
  <c r="GM151"/>
  <c r="GI151"/>
  <c r="GE151"/>
  <c r="GM150"/>
  <c r="GI150"/>
  <c r="GE150"/>
  <c r="GM149"/>
  <c r="GI149"/>
  <c r="GE149"/>
  <c r="GM148"/>
  <c r="GI148"/>
  <c r="GE148"/>
  <c r="GM147"/>
  <c r="GI147"/>
  <c r="GE147"/>
  <c r="GM146"/>
  <c r="GI146"/>
  <c r="GE146"/>
  <c r="GM145"/>
  <c r="GI145"/>
  <c r="GE145"/>
  <c r="GM144"/>
  <c r="GI144"/>
  <c r="GE144"/>
  <c r="GM143"/>
  <c r="GI143"/>
  <c r="GE143"/>
  <c r="GN141"/>
  <c r="GJ141"/>
  <c r="GF141"/>
  <c r="GN140"/>
  <c r="GJ140"/>
  <c r="GF140"/>
  <c r="GK138"/>
  <c r="GG138"/>
  <c r="GC138"/>
  <c r="GK137"/>
  <c r="GG137"/>
  <c r="GC137"/>
  <c r="GK136"/>
  <c r="GG136"/>
  <c r="GC136"/>
  <c r="GK135"/>
  <c r="GG135"/>
  <c r="GC135"/>
  <c r="GK134"/>
  <c r="GG134"/>
  <c r="GC134"/>
  <c r="GC179"/>
  <c r="GK178"/>
  <c r="GC178"/>
  <c r="GN177"/>
  <c r="GJ177"/>
  <c r="GF177"/>
  <c r="GN176"/>
  <c r="GJ176"/>
  <c r="GF176"/>
  <c r="GN175"/>
  <c r="GJ175"/>
  <c r="GF175"/>
  <c r="GN174"/>
  <c r="GJ174"/>
  <c r="GF174"/>
  <c r="GN173"/>
  <c r="GJ173"/>
  <c r="GF173"/>
  <c r="GN172"/>
  <c r="GJ172"/>
  <c r="GF172"/>
  <c r="GN171"/>
  <c r="GJ171"/>
  <c r="GF171"/>
  <c r="GN170"/>
  <c r="GJ170"/>
  <c r="GF170"/>
  <c r="GN169"/>
  <c r="GJ169"/>
  <c r="GF169"/>
  <c r="GN168"/>
  <c r="GJ168"/>
  <c r="GF168"/>
  <c r="GN167"/>
  <c r="GJ167"/>
  <c r="GF167"/>
  <c r="GN166"/>
  <c r="GJ166"/>
  <c r="GF166"/>
  <c r="GN165"/>
  <c r="GJ165"/>
  <c r="GF165"/>
  <c r="GN164"/>
  <c r="GJ164"/>
  <c r="GF164"/>
  <c r="GN163"/>
  <c r="GJ163"/>
  <c r="GF163"/>
  <c r="GN162"/>
  <c r="GJ162"/>
  <c r="GF162"/>
  <c r="GN161"/>
  <c r="GJ161"/>
  <c r="GF161"/>
  <c r="GN160"/>
  <c r="GJ160"/>
  <c r="GF160"/>
  <c r="GN159"/>
  <c r="GJ159"/>
  <c r="GF159"/>
  <c r="GN158"/>
  <c r="GJ158"/>
  <c r="GF158"/>
  <c r="GN157"/>
  <c r="GJ157"/>
  <c r="GF157"/>
  <c r="GN156"/>
  <c r="GJ156"/>
  <c r="GF156"/>
  <c r="GN155"/>
  <c r="GJ155"/>
  <c r="GF155"/>
  <c r="GN153"/>
  <c r="GJ153"/>
  <c r="GF153"/>
  <c r="GN152"/>
  <c r="GJ152"/>
  <c r="GF152"/>
  <c r="GN151"/>
  <c r="GJ151"/>
  <c r="GF151"/>
  <c r="GN150"/>
  <c r="GJ150"/>
  <c r="GF150"/>
  <c r="GN149"/>
  <c r="GJ149"/>
  <c r="GF149"/>
  <c r="GN148"/>
  <c r="GJ148"/>
  <c r="GF148"/>
  <c r="GN147"/>
  <c r="GJ147"/>
  <c r="GF147"/>
  <c r="GN146"/>
  <c r="GJ146"/>
  <c r="GF146"/>
  <c r="GN145"/>
  <c r="GJ145"/>
  <c r="GF145"/>
  <c r="GN144"/>
  <c r="GJ144"/>
  <c r="GF144"/>
  <c r="GN143"/>
  <c r="GJ143"/>
  <c r="GF143"/>
  <c r="GK141"/>
  <c r="GG141"/>
  <c r="GC141"/>
  <c r="GK140"/>
  <c r="GG140"/>
  <c r="GC140"/>
  <c r="GL138"/>
  <c r="GH138"/>
  <c r="GD138"/>
  <c r="GL137"/>
  <c r="GH137"/>
  <c r="GD137"/>
  <c r="GL136"/>
  <c r="GH136"/>
  <c r="GD136"/>
  <c r="GL135"/>
  <c r="GH135"/>
  <c r="GD135"/>
  <c r="GL134"/>
  <c r="GH134"/>
  <c r="GD134"/>
  <c r="GG179"/>
  <c r="GN178"/>
  <c r="GF178"/>
  <c r="GK177"/>
  <c r="GG177"/>
  <c r="GC177"/>
  <c r="GK176"/>
  <c r="GG176"/>
  <c r="GC176"/>
  <c r="GK175"/>
  <c r="GG175"/>
  <c r="GC175"/>
  <c r="GK174"/>
  <c r="GG174"/>
  <c r="GC174"/>
  <c r="GK173"/>
  <c r="GG173"/>
  <c r="GC173"/>
  <c r="GK172"/>
  <c r="GG172"/>
  <c r="GC172"/>
  <c r="GK171"/>
  <c r="GG171"/>
  <c r="GC171"/>
  <c r="GK170"/>
  <c r="GG170"/>
  <c r="GC170"/>
  <c r="GK169"/>
  <c r="GG169"/>
  <c r="GC169"/>
  <c r="GK168"/>
  <c r="GG168"/>
  <c r="GC168"/>
  <c r="GK167"/>
  <c r="GG167"/>
  <c r="GC167"/>
  <c r="GK166"/>
  <c r="GG166"/>
  <c r="GC166"/>
  <c r="GK165"/>
  <c r="GG165"/>
  <c r="GC165"/>
  <c r="GK164"/>
  <c r="GG164"/>
  <c r="GC164"/>
  <c r="GK163"/>
  <c r="GG163"/>
  <c r="GC163"/>
  <c r="GK162"/>
  <c r="GG162"/>
  <c r="GC162"/>
  <c r="GK161"/>
  <c r="GG161"/>
  <c r="GC161"/>
  <c r="GK160"/>
  <c r="GG160"/>
  <c r="GC160"/>
  <c r="GK159"/>
  <c r="GG159"/>
  <c r="GC159"/>
  <c r="GK158"/>
  <c r="GG158"/>
  <c r="GC158"/>
  <c r="GK157"/>
  <c r="GG157"/>
  <c r="GC157"/>
  <c r="GK156"/>
  <c r="GG156"/>
  <c r="GC156"/>
  <c r="GK155"/>
  <c r="GG155"/>
  <c r="GC155"/>
  <c r="GK153"/>
  <c r="GG153"/>
  <c r="GC153"/>
  <c r="GK152"/>
  <c r="GG152"/>
  <c r="GC152"/>
  <c r="GK151"/>
  <c r="GG151"/>
  <c r="GC151"/>
  <c r="GK150"/>
  <c r="GG150"/>
  <c r="GC150"/>
  <c r="GK149"/>
  <c r="GG149"/>
  <c r="GC149"/>
  <c r="GK148"/>
  <c r="GG148"/>
  <c r="GC148"/>
  <c r="GK147"/>
  <c r="GG147"/>
  <c r="GC147"/>
  <c r="GK146"/>
  <c r="GG146"/>
  <c r="GC146"/>
  <c r="GK145"/>
  <c r="GG145"/>
  <c r="GC145"/>
  <c r="GK144"/>
  <c r="GG144"/>
  <c r="GC144"/>
  <c r="GK143"/>
  <c r="GG143"/>
  <c r="GC143"/>
  <c r="GL141"/>
  <c r="GH141"/>
  <c r="GD141"/>
  <c r="GL140"/>
  <c r="GH140"/>
  <c r="GD140"/>
  <c r="GM138"/>
  <c r="GI138"/>
  <c r="GE138"/>
  <c r="GM137"/>
  <c r="GI137"/>
  <c r="GE137"/>
  <c r="GM136"/>
  <c r="GI136"/>
  <c r="GE136"/>
  <c r="GM135"/>
  <c r="GI135"/>
  <c r="GE135"/>
  <c r="GG178"/>
  <c r="GL177"/>
  <c r="GH177"/>
  <c r="GD177"/>
  <c r="GL176"/>
  <c r="GH176"/>
  <c r="GD176"/>
  <c r="GL175"/>
  <c r="GH175"/>
  <c r="GD175"/>
  <c r="GL174"/>
  <c r="GH174"/>
  <c r="GD174"/>
  <c r="GL173"/>
  <c r="GH173"/>
  <c r="GD173"/>
  <c r="GL172"/>
  <c r="GH172"/>
  <c r="GD172"/>
  <c r="GL171"/>
  <c r="GH171"/>
  <c r="GD171"/>
  <c r="GL170"/>
  <c r="GH170"/>
  <c r="GD170"/>
  <c r="GL169"/>
  <c r="GH169"/>
  <c r="GD169"/>
  <c r="GL168"/>
  <c r="GH168"/>
  <c r="GD168"/>
  <c r="GL167"/>
  <c r="GH167"/>
  <c r="GD167"/>
  <c r="GL166"/>
  <c r="GH166"/>
  <c r="GD166"/>
  <c r="GL165"/>
  <c r="GH165"/>
  <c r="GD165"/>
  <c r="GL164"/>
  <c r="GH164"/>
  <c r="GD164"/>
  <c r="GL163"/>
  <c r="GH163"/>
  <c r="GD163"/>
  <c r="GL162"/>
  <c r="GH162"/>
  <c r="GD162"/>
  <c r="GL161"/>
  <c r="GH161"/>
  <c r="GD161"/>
  <c r="GL160"/>
  <c r="GH160"/>
  <c r="GD160"/>
  <c r="GL159"/>
  <c r="GH159"/>
  <c r="GD159"/>
  <c r="GL158"/>
  <c r="GH158"/>
  <c r="GD158"/>
  <c r="GL157"/>
  <c r="GH157"/>
  <c r="GD157"/>
  <c r="GL156"/>
  <c r="GH156"/>
  <c r="GD156"/>
  <c r="GL155"/>
  <c r="GH155"/>
  <c r="GD155"/>
  <c r="GL153"/>
  <c r="GH153"/>
  <c r="GD153"/>
  <c r="GL152"/>
  <c r="GH152"/>
  <c r="GD152"/>
  <c r="GL151"/>
  <c r="GH151"/>
  <c r="GD151"/>
  <c r="GL150"/>
  <c r="GH150"/>
  <c r="GD150"/>
  <c r="GL149"/>
  <c r="GH149"/>
  <c r="GD149"/>
  <c r="GL148"/>
  <c r="GH148"/>
  <c r="GD148"/>
  <c r="GL147"/>
  <c r="GH147"/>
  <c r="GD147"/>
  <c r="GL146"/>
  <c r="GH146"/>
  <c r="GD146"/>
  <c r="GL145"/>
  <c r="GH145"/>
  <c r="GD145"/>
  <c r="GL144"/>
  <c r="GH144"/>
  <c r="GD144"/>
  <c r="GL143"/>
  <c r="GH143"/>
  <c r="GD143"/>
  <c r="GM141"/>
  <c r="GI141"/>
  <c r="GE141"/>
  <c r="GM140"/>
  <c r="GI140"/>
  <c r="GE140"/>
  <c r="GN138"/>
  <c r="GJ138"/>
  <c r="GF138"/>
  <c r="GN137"/>
  <c r="GJ137"/>
  <c r="GF137"/>
  <c r="GN136"/>
  <c r="GJ136"/>
  <c r="GF136"/>
  <c r="GN135"/>
  <c r="GJ135"/>
  <c r="GF135"/>
  <c r="GN134"/>
  <c r="GJ134"/>
  <c r="GF134"/>
  <c r="GE134"/>
  <c r="GK133"/>
  <c r="GG133"/>
  <c r="GC133"/>
  <c r="GK132"/>
  <c r="GG132"/>
  <c r="GC132"/>
  <c r="GK131"/>
  <c r="GG131"/>
  <c r="GC131"/>
  <c r="GK130"/>
  <c r="GG130"/>
  <c r="GC130"/>
  <c r="GK129"/>
  <c r="GG129"/>
  <c r="GC129"/>
  <c r="GK128"/>
  <c r="GG128"/>
  <c r="GC128"/>
  <c r="GK127"/>
  <c r="GG127"/>
  <c r="GC127"/>
  <c r="GK126"/>
  <c r="GG126"/>
  <c r="GC126"/>
  <c r="GK125"/>
  <c r="GG125"/>
  <c r="GC125"/>
  <c r="GL123"/>
  <c r="GH123"/>
  <c r="GD123"/>
  <c r="GL122"/>
  <c r="GH122"/>
  <c r="GD122"/>
  <c r="GL121"/>
  <c r="GH121"/>
  <c r="GH124" s="1"/>
  <c r="GD121"/>
  <c r="GL120"/>
  <c r="GH120"/>
  <c r="GD120"/>
  <c r="GL119"/>
  <c r="GL142" s="1"/>
  <c r="GH119"/>
  <c r="GD119"/>
  <c r="GD142" s="1"/>
  <c r="GL118"/>
  <c r="GH118"/>
  <c r="GD118"/>
  <c r="GL117"/>
  <c r="GH117"/>
  <c r="GD117"/>
  <c r="GL116"/>
  <c r="GH116"/>
  <c r="GD116"/>
  <c r="GL115"/>
  <c r="GH115"/>
  <c r="GD115"/>
  <c r="GL114"/>
  <c r="GH114"/>
  <c r="GD114"/>
  <c r="GL113"/>
  <c r="GH113"/>
  <c r="GD113"/>
  <c r="GL112"/>
  <c r="GH112"/>
  <c r="GD112"/>
  <c r="GL111"/>
  <c r="GH111"/>
  <c r="GD111"/>
  <c r="GL110"/>
  <c r="GH110"/>
  <c r="GD110"/>
  <c r="GL109"/>
  <c r="GH109"/>
  <c r="GD109"/>
  <c r="GL108"/>
  <c r="GH108"/>
  <c r="GD108"/>
  <c r="GL107"/>
  <c r="GH107"/>
  <c r="GD107"/>
  <c r="GL106"/>
  <c r="GH106"/>
  <c r="GD106"/>
  <c r="GL105"/>
  <c r="GH105"/>
  <c r="GD105"/>
  <c r="GL104"/>
  <c r="GH104"/>
  <c r="GD104"/>
  <c r="GL103"/>
  <c r="GH103"/>
  <c r="GD103"/>
  <c r="GL102"/>
  <c r="GH102"/>
  <c r="GD102"/>
  <c r="GL101"/>
  <c r="GH101"/>
  <c r="GD101"/>
  <c r="GL100"/>
  <c r="GH100"/>
  <c r="GD100"/>
  <c r="GL99"/>
  <c r="GH99"/>
  <c r="GD99"/>
  <c r="GL98"/>
  <c r="GH98"/>
  <c r="GD98"/>
  <c r="GL97"/>
  <c r="GH97"/>
  <c r="GD97"/>
  <c r="GL96"/>
  <c r="GH96"/>
  <c r="GD96"/>
  <c r="GL95"/>
  <c r="GH95"/>
  <c r="GD95"/>
  <c r="GL94"/>
  <c r="GH94"/>
  <c r="GD94"/>
  <c r="GM92"/>
  <c r="GI92"/>
  <c r="GE92"/>
  <c r="GM91"/>
  <c r="GI91"/>
  <c r="GE91"/>
  <c r="GM90"/>
  <c r="GI90"/>
  <c r="GE90"/>
  <c r="GM89"/>
  <c r="GI89"/>
  <c r="GE89"/>
  <c r="GM88"/>
  <c r="GI88"/>
  <c r="GE88"/>
  <c r="GM87"/>
  <c r="GI87"/>
  <c r="GE87"/>
  <c r="GM86"/>
  <c r="GI86"/>
  <c r="GE86"/>
  <c r="GM85"/>
  <c r="GI85"/>
  <c r="GE85"/>
  <c r="GM84"/>
  <c r="GI84"/>
  <c r="GE84"/>
  <c r="GM83"/>
  <c r="GI83"/>
  <c r="GE83"/>
  <c r="GM82"/>
  <c r="GI82"/>
  <c r="GE82"/>
  <c r="GM81"/>
  <c r="GI81"/>
  <c r="GE81"/>
  <c r="GM80"/>
  <c r="GI80"/>
  <c r="GE80"/>
  <c r="GM79"/>
  <c r="GI79"/>
  <c r="GE79"/>
  <c r="GM78"/>
  <c r="GI78"/>
  <c r="GE78"/>
  <c r="GM77"/>
  <c r="GI77"/>
  <c r="GE77"/>
  <c r="GM76"/>
  <c r="GI76"/>
  <c r="GE76"/>
  <c r="GM75"/>
  <c r="GI75"/>
  <c r="GE75"/>
  <c r="GM74"/>
  <c r="GI74"/>
  <c r="GE74"/>
  <c r="GM73"/>
  <c r="GI73"/>
  <c r="GE73"/>
  <c r="GM72"/>
  <c r="GI72"/>
  <c r="GE72"/>
  <c r="GM71"/>
  <c r="GI71"/>
  <c r="GE71"/>
  <c r="GM70"/>
  <c r="GI70"/>
  <c r="GE70"/>
  <c r="GM69"/>
  <c r="GI69"/>
  <c r="GE69"/>
  <c r="GM68"/>
  <c r="GI68"/>
  <c r="GE68"/>
  <c r="GM67"/>
  <c r="GI67"/>
  <c r="GE67"/>
  <c r="GM66"/>
  <c r="GI66"/>
  <c r="GE66"/>
  <c r="GM65"/>
  <c r="GI65"/>
  <c r="GE65"/>
  <c r="GM64"/>
  <c r="GI64"/>
  <c r="GE64"/>
  <c r="GM63"/>
  <c r="GI63"/>
  <c r="GE63"/>
  <c r="GM62"/>
  <c r="GI62"/>
  <c r="GE62"/>
  <c r="GN60"/>
  <c r="GJ60"/>
  <c r="GF60"/>
  <c r="GN59"/>
  <c r="GJ59"/>
  <c r="GF59"/>
  <c r="GN58"/>
  <c r="GJ58"/>
  <c r="GF58"/>
  <c r="GN57"/>
  <c r="GJ57"/>
  <c r="GF57"/>
  <c r="GN56"/>
  <c r="GJ56"/>
  <c r="GF56"/>
  <c r="GN55"/>
  <c r="GJ55"/>
  <c r="GF55"/>
  <c r="GN54"/>
  <c r="GJ54"/>
  <c r="GF54"/>
  <c r="GN53"/>
  <c r="GJ53"/>
  <c r="GF53"/>
  <c r="GN52"/>
  <c r="GJ52"/>
  <c r="GF52"/>
  <c r="GN51"/>
  <c r="GJ51"/>
  <c r="GF51"/>
  <c r="GN50"/>
  <c r="GJ50"/>
  <c r="GF50"/>
  <c r="GN49"/>
  <c r="GJ49"/>
  <c r="GF49"/>
  <c r="GI134"/>
  <c r="GL133"/>
  <c r="GH133"/>
  <c r="GD133"/>
  <c r="GL132"/>
  <c r="GH132"/>
  <c r="GD132"/>
  <c r="GL131"/>
  <c r="GH131"/>
  <c r="GD131"/>
  <c r="GL130"/>
  <c r="GH130"/>
  <c r="GD130"/>
  <c r="GL129"/>
  <c r="GH129"/>
  <c r="GD129"/>
  <c r="GL128"/>
  <c r="GH128"/>
  <c r="GD128"/>
  <c r="GL127"/>
  <c r="GH127"/>
  <c r="GD127"/>
  <c r="GL126"/>
  <c r="GH126"/>
  <c r="GD126"/>
  <c r="GL125"/>
  <c r="GH125"/>
  <c r="GD125"/>
  <c r="GM123"/>
  <c r="GI123"/>
  <c r="GE123"/>
  <c r="GM122"/>
  <c r="GI122"/>
  <c r="GE122"/>
  <c r="GM121"/>
  <c r="GI121"/>
  <c r="GE121"/>
  <c r="GE124" s="1"/>
  <c r="GM120"/>
  <c r="GI120"/>
  <c r="GE120"/>
  <c r="GM119"/>
  <c r="GM142" s="1"/>
  <c r="GI119"/>
  <c r="GI142" s="1"/>
  <c r="GE119"/>
  <c r="GE142" s="1"/>
  <c r="GM118"/>
  <c r="GI118"/>
  <c r="GE118"/>
  <c r="GM117"/>
  <c r="GI117"/>
  <c r="GE117"/>
  <c r="GM116"/>
  <c r="GI116"/>
  <c r="GE116"/>
  <c r="GM115"/>
  <c r="GI115"/>
  <c r="GE115"/>
  <c r="GM114"/>
  <c r="GI114"/>
  <c r="GE114"/>
  <c r="GM113"/>
  <c r="GI113"/>
  <c r="GE113"/>
  <c r="GM112"/>
  <c r="GI112"/>
  <c r="GE112"/>
  <c r="GM111"/>
  <c r="GI111"/>
  <c r="GE111"/>
  <c r="GM110"/>
  <c r="GI110"/>
  <c r="GE110"/>
  <c r="GM109"/>
  <c r="GI109"/>
  <c r="GE109"/>
  <c r="GM108"/>
  <c r="GI108"/>
  <c r="GE108"/>
  <c r="GM107"/>
  <c r="GI107"/>
  <c r="GE107"/>
  <c r="GM106"/>
  <c r="GI106"/>
  <c r="GE106"/>
  <c r="GM105"/>
  <c r="GI105"/>
  <c r="GE105"/>
  <c r="GM104"/>
  <c r="GI104"/>
  <c r="GE104"/>
  <c r="GM103"/>
  <c r="GI103"/>
  <c r="GE103"/>
  <c r="GM102"/>
  <c r="GI102"/>
  <c r="GE102"/>
  <c r="GM101"/>
  <c r="GI101"/>
  <c r="GE101"/>
  <c r="GM100"/>
  <c r="GI100"/>
  <c r="GE100"/>
  <c r="GM99"/>
  <c r="GI99"/>
  <c r="GE99"/>
  <c r="GM98"/>
  <c r="GI98"/>
  <c r="GE98"/>
  <c r="GM97"/>
  <c r="GI97"/>
  <c r="GE97"/>
  <c r="GM96"/>
  <c r="GI96"/>
  <c r="GE96"/>
  <c r="GM95"/>
  <c r="GI95"/>
  <c r="GE95"/>
  <c r="GM94"/>
  <c r="GI94"/>
  <c r="GE94"/>
  <c r="GN92"/>
  <c r="GJ92"/>
  <c r="GF92"/>
  <c r="GN91"/>
  <c r="GJ91"/>
  <c r="GF91"/>
  <c r="GN90"/>
  <c r="GJ90"/>
  <c r="GF90"/>
  <c r="GN89"/>
  <c r="GJ89"/>
  <c r="GF89"/>
  <c r="GN88"/>
  <c r="GJ88"/>
  <c r="GF88"/>
  <c r="GN87"/>
  <c r="GJ87"/>
  <c r="GF87"/>
  <c r="GN86"/>
  <c r="GJ86"/>
  <c r="GF86"/>
  <c r="GN85"/>
  <c r="GJ85"/>
  <c r="GF85"/>
  <c r="GN84"/>
  <c r="GJ84"/>
  <c r="GF84"/>
  <c r="GN83"/>
  <c r="GJ83"/>
  <c r="GF83"/>
  <c r="GN82"/>
  <c r="GJ82"/>
  <c r="GF82"/>
  <c r="GN81"/>
  <c r="GJ81"/>
  <c r="GF81"/>
  <c r="GN80"/>
  <c r="GJ80"/>
  <c r="GF80"/>
  <c r="GN79"/>
  <c r="GJ79"/>
  <c r="GF79"/>
  <c r="GN78"/>
  <c r="GJ78"/>
  <c r="GF78"/>
  <c r="GN77"/>
  <c r="GJ77"/>
  <c r="GF77"/>
  <c r="GN76"/>
  <c r="GJ76"/>
  <c r="GF76"/>
  <c r="GN75"/>
  <c r="GJ75"/>
  <c r="GF75"/>
  <c r="GN74"/>
  <c r="GJ74"/>
  <c r="GF74"/>
  <c r="GN73"/>
  <c r="GJ73"/>
  <c r="GF73"/>
  <c r="GN72"/>
  <c r="GJ72"/>
  <c r="GF72"/>
  <c r="GN71"/>
  <c r="GJ71"/>
  <c r="GF71"/>
  <c r="GN70"/>
  <c r="GJ70"/>
  <c r="GF70"/>
  <c r="GN69"/>
  <c r="GJ69"/>
  <c r="GF69"/>
  <c r="GN68"/>
  <c r="GJ68"/>
  <c r="GF68"/>
  <c r="GN67"/>
  <c r="GJ67"/>
  <c r="GF67"/>
  <c r="GN66"/>
  <c r="GJ66"/>
  <c r="GF66"/>
  <c r="GN65"/>
  <c r="GJ65"/>
  <c r="GF65"/>
  <c r="GN64"/>
  <c r="GJ64"/>
  <c r="GF64"/>
  <c r="GN63"/>
  <c r="GJ63"/>
  <c r="GF63"/>
  <c r="GN62"/>
  <c r="GJ62"/>
  <c r="GF62"/>
  <c r="GK60"/>
  <c r="GG60"/>
  <c r="GC60"/>
  <c r="GK59"/>
  <c r="GG59"/>
  <c r="GC59"/>
  <c r="GK58"/>
  <c r="GG58"/>
  <c r="GC58"/>
  <c r="GK57"/>
  <c r="GG57"/>
  <c r="GC57"/>
  <c r="GK56"/>
  <c r="GG56"/>
  <c r="GC56"/>
  <c r="GK55"/>
  <c r="GG55"/>
  <c r="GC55"/>
  <c r="GK54"/>
  <c r="GG54"/>
  <c r="GC54"/>
  <c r="GK53"/>
  <c r="GG53"/>
  <c r="GC53"/>
  <c r="GK52"/>
  <c r="GG52"/>
  <c r="GC52"/>
  <c r="GK51"/>
  <c r="GG51"/>
  <c r="GC51"/>
  <c r="GK50"/>
  <c r="GG50"/>
  <c r="GC50"/>
  <c r="GK49"/>
  <c r="GG49"/>
  <c r="GC49"/>
  <c r="GM134"/>
  <c r="GM133"/>
  <c r="GI133"/>
  <c r="GE133"/>
  <c r="GM132"/>
  <c r="GI132"/>
  <c r="GE132"/>
  <c r="GM131"/>
  <c r="GI131"/>
  <c r="GE131"/>
  <c r="GM130"/>
  <c r="GI130"/>
  <c r="GE130"/>
  <c r="GM129"/>
  <c r="GI129"/>
  <c r="GE129"/>
  <c r="GM128"/>
  <c r="GI128"/>
  <c r="GE128"/>
  <c r="GM127"/>
  <c r="GI127"/>
  <c r="GE127"/>
  <c r="GM126"/>
  <c r="GI126"/>
  <c r="GE126"/>
  <c r="GM125"/>
  <c r="GI125"/>
  <c r="GE125"/>
  <c r="GN123"/>
  <c r="GJ123"/>
  <c r="GF123"/>
  <c r="GN122"/>
  <c r="GJ122"/>
  <c r="GF122"/>
  <c r="GN121"/>
  <c r="GJ121"/>
  <c r="GF121"/>
  <c r="GN120"/>
  <c r="GJ120"/>
  <c r="GF120"/>
  <c r="GN119"/>
  <c r="GN142" s="1"/>
  <c r="GJ119"/>
  <c r="GJ142" s="1"/>
  <c r="GF119"/>
  <c r="GF142" s="1"/>
  <c r="GN118"/>
  <c r="GJ118"/>
  <c r="GF118"/>
  <c r="GN117"/>
  <c r="GJ117"/>
  <c r="GF117"/>
  <c r="GN116"/>
  <c r="GJ116"/>
  <c r="GF116"/>
  <c r="GN115"/>
  <c r="GJ115"/>
  <c r="GF115"/>
  <c r="GN114"/>
  <c r="GJ114"/>
  <c r="GF114"/>
  <c r="GN113"/>
  <c r="GJ113"/>
  <c r="GF113"/>
  <c r="GN112"/>
  <c r="GJ112"/>
  <c r="GF112"/>
  <c r="GN111"/>
  <c r="GJ111"/>
  <c r="GF111"/>
  <c r="GN110"/>
  <c r="GJ110"/>
  <c r="GF110"/>
  <c r="GN109"/>
  <c r="GJ109"/>
  <c r="GF109"/>
  <c r="GN108"/>
  <c r="GJ108"/>
  <c r="GF108"/>
  <c r="GN107"/>
  <c r="GJ107"/>
  <c r="GF107"/>
  <c r="GN106"/>
  <c r="GJ106"/>
  <c r="GF106"/>
  <c r="GN105"/>
  <c r="GJ105"/>
  <c r="GF105"/>
  <c r="GN104"/>
  <c r="GJ104"/>
  <c r="GF104"/>
  <c r="GN103"/>
  <c r="GJ103"/>
  <c r="GF103"/>
  <c r="GN102"/>
  <c r="GJ102"/>
  <c r="GF102"/>
  <c r="GN101"/>
  <c r="GJ101"/>
  <c r="GF101"/>
  <c r="GN100"/>
  <c r="GJ100"/>
  <c r="GF100"/>
  <c r="GN99"/>
  <c r="GJ99"/>
  <c r="GF99"/>
  <c r="GN98"/>
  <c r="GJ98"/>
  <c r="GF98"/>
  <c r="GN97"/>
  <c r="GJ97"/>
  <c r="GF97"/>
  <c r="GN96"/>
  <c r="GJ96"/>
  <c r="GF96"/>
  <c r="GN95"/>
  <c r="GJ95"/>
  <c r="GF95"/>
  <c r="GN94"/>
  <c r="GJ94"/>
  <c r="GF94"/>
  <c r="GK92"/>
  <c r="GG92"/>
  <c r="GC92"/>
  <c r="GK91"/>
  <c r="GG91"/>
  <c r="GC91"/>
  <c r="GK90"/>
  <c r="GG90"/>
  <c r="GC90"/>
  <c r="GK89"/>
  <c r="GG89"/>
  <c r="GC89"/>
  <c r="GK88"/>
  <c r="GG88"/>
  <c r="GC88"/>
  <c r="GK87"/>
  <c r="GG87"/>
  <c r="GC87"/>
  <c r="GK86"/>
  <c r="GG86"/>
  <c r="GC86"/>
  <c r="GK85"/>
  <c r="GG85"/>
  <c r="GC85"/>
  <c r="GK84"/>
  <c r="GG84"/>
  <c r="GC84"/>
  <c r="GK83"/>
  <c r="GG83"/>
  <c r="GC83"/>
  <c r="GK82"/>
  <c r="GG82"/>
  <c r="GC82"/>
  <c r="GK81"/>
  <c r="GG81"/>
  <c r="GC81"/>
  <c r="GK80"/>
  <c r="GG80"/>
  <c r="GC80"/>
  <c r="GK79"/>
  <c r="GG79"/>
  <c r="GC79"/>
  <c r="GK78"/>
  <c r="GG78"/>
  <c r="GC78"/>
  <c r="GK77"/>
  <c r="GG77"/>
  <c r="GC77"/>
  <c r="GK76"/>
  <c r="GG76"/>
  <c r="GC76"/>
  <c r="GK75"/>
  <c r="GG75"/>
  <c r="GC75"/>
  <c r="GK74"/>
  <c r="GG74"/>
  <c r="GC74"/>
  <c r="GK73"/>
  <c r="GG73"/>
  <c r="GC73"/>
  <c r="GK72"/>
  <c r="GG72"/>
  <c r="GC72"/>
  <c r="GK71"/>
  <c r="GG71"/>
  <c r="GC71"/>
  <c r="GK70"/>
  <c r="GG70"/>
  <c r="GC70"/>
  <c r="GK69"/>
  <c r="GG69"/>
  <c r="GC69"/>
  <c r="GK68"/>
  <c r="GG68"/>
  <c r="GC68"/>
  <c r="GK67"/>
  <c r="GG67"/>
  <c r="GC67"/>
  <c r="GK66"/>
  <c r="GG66"/>
  <c r="GC66"/>
  <c r="GK65"/>
  <c r="GG65"/>
  <c r="GC65"/>
  <c r="GK64"/>
  <c r="GG64"/>
  <c r="GC64"/>
  <c r="GK63"/>
  <c r="GG63"/>
  <c r="GC63"/>
  <c r="GK62"/>
  <c r="GG62"/>
  <c r="GC62"/>
  <c r="GL60"/>
  <c r="GH60"/>
  <c r="GD60"/>
  <c r="GL59"/>
  <c r="GH59"/>
  <c r="GD59"/>
  <c r="GL58"/>
  <c r="GH58"/>
  <c r="GD58"/>
  <c r="GL57"/>
  <c r="GH57"/>
  <c r="GD57"/>
  <c r="GL56"/>
  <c r="GH56"/>
  <c r="GD56"/>
  <c r="GL55"/>
  <c r="GH55"/>
  <c r="GD55"/>
  <c r="GL54"/>
  <c r="GH54"/>
  <c r="GD54"/>
  <c r="GL53"/>
  <c r="GH53"/>
  <c r="GD53"/>
  <c r="GL52"/>
  <c r="GH52"/>
  <c r="GD52"/>
  <c r="GL51"/>
  <c r="GH51"/>
  <c r="GD51"/>
  <c r="GL50"/>
  <c r="GH50"/>
  <c r="GD50"/>
  <c r="GL49"/>
  <c r="GH49"/>
  <c r="GD49"/>
  <c r="GN133"/>
  <c r="GJ133"/>
  <c r="GF133"/>
  <c r="GN132"/>
  <c r="GJ132"/>
  <c r="GF132"/>
  <c r="GN131"/>
  <c r="GJ131"/>
  <c r="GF131"/>
  <c r="GN130"/>
  <c r="GJ130"/>
  <c r="GF130"/>
  <c r="GN129"/>
  <c r="GJ129"/>
  <c r="GF129"/>
  <c r="GN128"/>
  <c r="GJ128"/>
  <c r="GF128"/>
  <c r="GN127"/>
  <c r="GJ127"/>
  <c r="GF127"/>
  <c r="GN126"/>
  <c r="GJ126"/>
  <c r="GF126"/>
  <c r="GN125"/>
  <c r="GJ125"/>
  <c r="GF125"/>
  <c r="GK123"/>
  <c r="GG123"/>
  <c r="GC123"/>
  <c r="GK122"/>
  <c r="GG122"/>
  <c r="GC122"/>
  <c r="GK121"/>
  <c r="GG121"/>
  <c r="GG124" s="1"/>
  <c r="GC121"/>
  <c r="GK120"/>
  <c r="GG120"/>
  <c r="GC120"/>
  <c r="GK119"/>
  <c r="GK142" s="1"/>
  <c r="GG119"/>
  <c r="GG142" s="1"/>
  <c r="GC119"/>
  <c r="GC142" s="1"/>
  <c r="GK118"/>
  <c r="GG118"/>
  <c r="GC118"/>
  <c r="GK117"/>
  <c r="GG117"/>
  <c r="GC117"/>
  <c r="GK116"/>
  <c r="GG116"/>
  <c r="GC116"/>
  <c r="GK115"/>
  <c r="GG115"/>
  <c r="GC115"/>
  <c r="GK114"/>
  <c r="GG114"/>
  <c r="GC114"/>
  <c r="GK113"/>
  <c r="GG113"/>
  <c r="GC113"/>
  <c r="GK112"/>
  <c r="GG112"/>
  <c r="GC112"/>
  <c r="GK111"/>
  <c r="GG111"/>
  <c r="GC111"/>
  <c r="GK110"/>
  <c r="GG110"/>
  <c r="GC110"/>
  <c r="GK109"/>
  <c r="GG109"/>
  <c r="GC109"/>
  <c r="GK108"/>
  <c r="GG108"/>
  <c r="GC108"/>
  <c r="GK107"/>
  <c r="GG107"/>
  <c r="GC107"/>
  <c r="GK106"/>
  <c r="GG106"/>
  <c r="GC106"/>
  <c r="GK105"/>
  <c r="GG105"/>
  <c r="GC105"/>
  <c r="GK104"/>
  <c r="GG104"/>
  <c r="GC104"/>
  <c r="GK103"/>
  <c r="GG103"/>
  <c r="GC103"/>
  <c r="GK102"/>
  <c r="GG102"/>
  <c r="GC102"/>
  <c r="GK101"/>
  <c r="GG101"/>
  <c r="GC101"/>
  <c r="GK100"/>
  <c r="GG100"/>
  <c r="GC100"/>
  <c r="GK99"/>
  <c r="GG99"/>
  <c r="GC99"/>
  <c r="GK98"/>
  <c r="GG98"/>
  <c r="GC98"/>
  <c r="GK97"/>
  <c r="GG97"/>
  <c r="GC97"/>
  <c r="GK96"/>
  <c r="GG96"/>
  <c r="GC96"/>
  <c r="GK95"/>
  <c r="GG95"/>
  <c r="GC95"/>
  <c r="GK94"/>
  <c r="GG94"/>
  <c r="GC94"/>
  <c r="GL92"/>
  <c r="GH92"/>
  <c r="GD92"/>
  <c r="GL91"/>
  <c r="GH91"/>
  <c r="GD91"/>
  <c r="GL90"/>
  <c r="GH90"/>
  <c r="GD90"/>
  <c r="GL89"/>
  <c r="GH89"/>
  <c r="GD89"/>
  <c r="GL88"/>
  <c r="GH88"/>
  <c r="GD88"/>
  <c r="GL87"/>
  <c r="GH87"/>
  <c r="GD87"/>
  <c r="GL86"/>
  <c r="GH86"/>
  <c r="GD86"/>
  <c r="GL85"/>
  <c r="GH85"/>
  <c r="GD85"/>
  <c r="GL84"/>
  <c r="GH84"/>
  <c r="GD84"/>
  <c r="GL83"/>
  <c r="GH83"/>
  <c r="GD83"/>
  <c r="GL82"/>
  <c r="GH82"/>
  <c r="GD82"/>
  <c r="GL81"/>
  <c r="GH81"/>
  <c r="GD81"/>
  <c r="GL80"/>
  <c r="GH80"/>
  <c r="GD80"/>
  <c r="GL79"/>
  <c r="GH79"/>
  <c r="GD79"/>
  <c r="GL78"/>
  <c r="GH78"/>
  <c r="GD78"/>
  <c r="GL77"/>
  <c r="GH77"/>
  <c r="GD77"/>
  <c r="GL76"/>
  <c r="GH76"/>
  <c r="GD76"/>
  <c r="GL75"/>
  <c r="GH75"/>
  <c r="GD75"/>
  <c r="GL74"/>
  <c r="GH74"/>
  <c r="GD74"/>
  <c r="GL73"/>
  <c r="GH73"/>
  <c r="GD73"/>
  <c r="GL72"/>
  <c r="GH72"/>
  <c r="GD72"/>
  <c r="GL71"/>
  <c r="GH71"/>
  <c r="GD71"/>
  <c r="GL70"/>
  <c r="GH70"/>
  <c r="GD70"/>
  <c r="GL69"/>
  <c r="GH69"/>
  <c r="GD69"/>
  <c r="GL68"/>
  <c r="GH68"/>
  <c r="GD68"/>
  <c r="GL67"/>
  <c r="GH67"/>
  <c r="GD67"/>
  <c r="GL66"/>
  <c r="GH66"/>
  <c r="GD66"/>
  <c r="GL65"/>
  <c r="GH65"/>
  <c r="GD65"/>
  <c r="GL64"/>
  <c r="GH64"/>
  <c r="GD64"/>
  <c r="GL63"/>
  <c r="GH63"/>
  <c r="GD63"/>
  <c r="GL62"/>
  <c r="GH62"/>
  <c r="GD62"/>
  <c r="GM60"/>
  <c r="GI60"/>
  <c r="GE60"/>
  <c r="GM59"/>
  <c r="GI59"/>
  <c r="GE59"/>
  <c r="GM58"/>
  <c r="GI58"/>
  <c r="GE58"/>
  <c r="GM57"/>
  <c r="GI57"/>
  <c r="GE57"/>
  <c r="GM56"/>
  <c r="GI56"/>
  <c r="GE56"/>
  <c r="GM55"/>
  <c r="GI55"/>
  <c r="GE55"/>
  <c r="GM54"/>
  <c r="GI54"/>
  <c r="GE54"/>
  <c r="GM53"/>
  <c r="GI53"/>
  <c r="GE53"/>
  <c r="GM52"/>
  <c r="GI52"/>
  <c r="GE52"/>
  <c r="GM51"/>
  <c r="GI51"/>
  <c r="GE51"/>
  <c r="GM50"/>
  <c r="GI50"/>
  <c r="GE50"/>
  <c r="GM49"/>
  <c r="GI49"/>
  <c r="GE49"/>
  <c r="GK48"/>
  <c r="GG48"/>
  <c r="GC48"/>
  <c r="GK47"/>
  <c r="GG47"/>
  <c r="GC47"/>
  <c r="GK46"/>
  <c r="GG46"/>
  <c r="GC46"/>
  <c r="GK45"/>
  <c r="GG45"/>
  <c r="GC45"/>
  <c r="GK44"/>
  <c r="GG44"/>
  <c r="GC44"/>
  <c r="GK43"/>
  <c r="GG43"/>
  <c r="GC43"/>
  <c r="GK42"/>
  <c r="GG42"/>
  <c r="GC42"/>
  <c r="GK41"/>
  <c r="GG41"/>
  <c r="GC41"/>
  <c r="GK40"/>
  <c r="GG40"/>
  <c r="GC40"/>
  <c r="GK39"/>
  <c r="GG39"/>
  <c r="GC39"/>
  <c r="GK38"/>
  <c r="GG38"/>
  <c r="GC38"/>
  <c r="GK37"/>
  <c r="GG37"/>
  <c r="GC37"/>
  <c r="GK36"/>
  <c r="GG36"/>
  <c r="GC36"/>
  <c r="GL34"/>
  <c r="GH34"/>
  <c r="GD34"/>
  <c r="GK31"/>
  <c r="GG31"/>
  <c r="GC31"/>
  <c r="GK30"/>
  <c r="GG30"/>
  <c r="GC30"/>
  <c r="GK29"/>
  <c r="GG29"/>
  <c r="GC29"/>
  <c r="GL27"/>
  <c r="GH27"/>
  <c r="GD27"/>
  <c r="GL26"/>
  <c r="GH26"/>
  <c r="GD26"/>
  <c r="GL25"/>
  <c r="GH25"/>
  <c r="GD25"/>
  <c r="GL24"/>
  <c r="GH24"/>
  <c r="GD24"/>
  <c r="GM22"/>
  <c r="GI22"/>
  <c r="GE22"/>
  <c r="GN20"/>
  <c r="GJ20"/>
  <c r="GF20"/>
  <c r="GK17"/>
  <c r="GG17"/>
  <c r="GC17"/>
  <c r="GK16"/>
  <c r="GG16"/>
  <c r="GC16"/>
  <c r="GK15"/>
  <c r="GG15"/>
  <c r="GC15"/>
  <c r="GK14"/>
  <c r="GG14"/>
  <c r="GC14"/>
  <c r="GK13"/>
  <c r="GG13"/>
  <c r="GC13"/>
  <c r="GK12"/>
  <c r="GG12"/>
  <c r="GC12"/>
  <c r="GK11"/>
  <c r="GG11"/>
  <c r="GC11"/>
  <c r="GK10"/>
  <c r="GG10"/>
  <c r="GC10"/>
  <c r="GK9"/>
  <c r="GG9"/>
  <c r="GC9"/>
  <c r="GK8"/>
  <c r="GG8"/>
  <c r="GC8"/>
  <c r="GL48"/>
  <c r="GH48"/>
  <c r="GD48"/>
  <c r="GL47"/>
  <c r="GH47"/>
  <c r="GD47"/>
  <c r="GL46"/>
  <c r="GH46"/>
  <c r="GD46"/>
  <c r="GL45"/>
  <c r="GH45"/>
  <c r="GD45"/>
  <c r="GL44"/>
  <c r="GH44"/>
  <c r="GD44"/>
  <c r="GL43"/>
  <c r="GH43"/>
  <c r="GD43"/>
  <c r="GL42"/>
  <c r="GH42"/>
  <c r="GD42"/>
  <c r="GL41"/>
  <c r="GH41"/>
  <c r="GD41"/>
  <c r="GL40"/>
  <c r="GH40"/>
  <c r="GD40"/>
  <c r="GL39"/>
  <c r="GH39"/>
  <c r="GD39"/>
  <c r="GL38"/>
  <c r="GH38"/>
  <c r="GD38"/>
  <c r="GL37"/>
  <c r="GH37"/>
  <c r="GD37"/>
  <c r="GL36"/>
  <c r="GH36"/>
  <c r="GD36"/>
  <c r="GM34"/>
  <c r="GI34"/>
  <c r="GE34"/>
  <c r="GL31"/>
  <c r="GH31"/>
  <c r="GD31"/>
  <c r="GL30"/>
  <c r="GH30"/>
  <c r="GD30"/>
  <c r="GL29"/>
  <c r="GH29"/>
  <c r="GD29"/>
  <c r="GM27"/>
  <c r="GI27"/>
  <c r="GE27"/>
  <c r="GM26"/>
  <c r="GI26"/>
  <c r="GE26"/>
  <c r="GM25"/>
  <c r="GI25"/>
  <c r="GE25"/>
  <c r="GM24"/>
  <c r="GI24"/>
  <c r="GE24"/>
  <c r="GN22"/>
  <c r="GJ22"/>
  <c r="GF22"/>
  <c r="GK20"/>
  <c r="GG20"/>
  <c r="GC20"/>
  <c r="GL17"/>
  <c r="GH17"/>
  <c r="GD17"/>
  <c r="GL16"/>
  <c r="GH16"/>
  <c r="GD16"/>
  <c r="GL15"/>
  <c r="GH15"/>
  <c r="GD15"/>
  <c r="GL14"/>
  <c r="GH14"/>
  <c r="GD14"/>
  <c r="GL13"/>
  <c r="GH13"/>
  <c r="GD13"/>
  <c r="GL12"/>
  <c r="GH12"/>
  <c r="GD12"/>
  <c r="GL11"/>
  <c r="GH11"/>
  <c r="GD11"/>
  <c r="GL10"/>
  <c r="GH10"/>
  <c r="GD10"/>
  <c r="GL9"/>
  <c r="GH9"/>
  <c r="GD9"/>
  <c r="GL8"/>
  <c r="GL35" s="1"/>
  <c r="GM48"/>
  <c r="GI48"/>
  <c r="GE48"/>
  <c r="GM47"/>
  <c r="GI47"/>
  <c r="GE47"/>
  <c r="GM46"/>
  <c r="GI46"/>
  <c r="GE46"/>
  <c r="GM45"/>
  <c r="GI45"/>
  <c r="GE45"/>
  <c r="GM44"/>
  <c r="GI44"/>
  <c r="GE44"/>
  <c r="GM43"/>
  <c r="GI43"/>
  <c r="GE43"/>
  <c r="GM42"/>
  <c r="GI42"/>
  <c r="GE42"/>
  <c r="GM41"/>
  <c r="GI41"/>
  <c r="GE41"/>
  <c r="GM40"/>
  <c r="GI40"/>
  <c r="GE40"/>
  <c r="GM39"/>
  <c r="GI39"/>
  <c r="GE39"/>
  <c r="GM38"/>
  <c r="GI38"/>
  <c r="GE38"/>
  <c r="GM37"/>
  <c r="GI37"/>
  <c r="GE37"/>
  <c r="GM36"/>
  <c r="GI36"/>
  <c r="GE36"/>
  <c r="GN34"/>
  <c r="GJ34"/>
  <c r="GF34"/>
  <c r="GM31"/>
  <c r="GI31"/>
  <c r="GE31"/>
  <c r="GM30"/>
  <c r="GI30"/>
  <c r="GE30"/>
  <c r="GM29"/>
  <c r="GI29"/>
  <c r="GE29"/>
  <c r="GN27"/>
  <c r="GJ27"/>
  <c r="GF27"/>
  <c r="GN26"/>
  <c r="GJ26"/>
  <c r="GF26"/>
  <c r="GN25"/>
  <c r="GJ25"/>
  <c r="GF25"/>
  <c r="GN24"/>
  <c r="GJ24"/>
  <c r="GF24"/>
  <c r="GK22"/>
  <c r="GG22"/>
  <c r="GC22"/>
  <c r="GL20"/>
  <c r="GH20"/>
  <c r="GD20"/>
  <c r="GM17"/>
  <c r="GI17"/>
  <c r="GE17"/>
  <c r="GM16"/>
  <c r="GI16"/>
  <c r="GE16"/>
  <c r="GM15"/>
  <c r="GI15"/>
  <c r="GE15"/>
  <c r="GM14"/>
  <c r="GI14"/>
  <c r="GE14"/>
  <c r="GM13"/>
  <c r="GI13"/>
  <c r="GE13"/>
  <c r="GM12"/>
  <c r="GI12"/>
  <c r="GE12"/>
  <c r="GM11"/>
  <c r="GI11"/>
  <c r="GE11"/>
  <c r="GM10"/>
  <c r="GI10"/>
  <c r="GE10"/>
  <c r="GM9"/>
  <c r="GI9"/>
  <c r="GE9"/>
  <c r="GM8"/>
  <c r="GM35" s="1"/>
  <c r="GI8"/>
  <c r="GE8"/>
  <c r="GN48"/>
  <c r="GJ48"/>
  <c r="GF48"/>
  <c r="GN47"/>
  <c r="GJ47"/>
  <c r="GF47"/>
  <c r="GN46"/>
  <c r="GJ46"/>
  <c r="GF46"/>
  <c r="GN45"/>
  <c r="GJ45"/>
  <c r="GF45"/>
  <c r="GN44"/>
  <c r="GJ44"/>
  <c r="GF44"/>
  <c r="GN43"/>
  <c r="GJ43"/>
  <c r="GF43"/>
  <c r="GN42"/>
  <c r="GJ42"/>
  <c r="GF42"/>
  <c r="GN41"/>
  <c r="GJ41"/>
  <c r="GF41"/>
  <c r="GN40"/>
  <c r="GJ40"/>
  <c r="GF40"/>
  <c r="GN39"/>
  <c r="GJ39"/>
  <c r="GF39"/>
  <c r="GN38"/>
  <c r="GJ38"/>
  <c r="GF38"/>
  <c r="GN37"/>
  <c r="GJ37"/>
  <c r="GF37"/>
  <c r="GN36"/>
  <c r="GJ36"/>
  <c r="GF36"/>
  <c r="GK34"/>
  <c r="GG34"/>
  <c r="GC34"/>
  <c r="GN31"/>
  <c r="GJ31"/>
  <c r="GF31"/>
  <c r="GN30"/>
  <c r="GJ30"/>
  <c r="GF30"/>
  <c r="GN29"/>
  <c r="GJ29"/>
  <c r="GF29"/>
  <c r="GK27"/>
  <c r="GG27"/>
  <c r="GC27"/>
  <c r="GK26"/>
  <c r="GG26"/>
  <c r="GC26"/>
  <c r="GK25"/>
  <c r="GG25"/>
  <c r="GC25"/>
  <c r="GK24"/>
  <c r="GG24"/>
  <c r="GC24"/>
  <c r="GL22"/>
  <c r="GH22"/>
  <c r="GD22"/>
  <c r="GM20"/>
  <c r="GI20"/>
  <c r="GE20"/>
  <c r="GN17"/>
  <c r="GJ17"/>
  <c r="GF17"/>
  <c r="GN16"/>
  <c r="GJ16"/>
  <c r="GF16"/>
  <c r="GN15"/>
  <c r="GJ15"/>
  <c r="GF15"/>
  <c r="GN14"/>
  <c r="GJ14"/>
  <c r="GF14"/>
  <c r="GN13"/>
  <c r="GJ13"/>
  <c r="GF13"/>
  <c r="GN12"/>
  <c r="GJ12"/>
  <c r="GF12"/>
  <c r="GN11"/>
  <c r="GJ11"/>
  <c r="GF11"/>
  <c r="GN10"/>
  <c r="GJ10"/>
  <c r="GF10"/>
  <c r="GN9"/>
  <c r="GJ9"/>
  <c r="GF9"/>
  <c r="GN8"/>
  <c r="GN35" s="1"/>
  <c r="GJ8"/>
  <c r="GJ35" s="1"/>
  <c r="GF8"/>
  <c r="GF35" s="1"/>
  <c r="GH8"/>
  <c r="GD8"/>
  <c r="GD35" s="1"/>
  <c r="D5"/>
  <c r="P5"/>
  <c r="DT5"/>
  <c r="DT4"/>
  <c r="D4"/>
  <c r="P4"/>
  <c r="G19" i="26"/>
  <c r="P77" i="48"/>
  <c r="R107" i="89"/>
  <c r="BZ75" i="20"/>
  <c r="P75" i="48"/>
  <c r="F42" i="101"/>
  <c r="G42" s="1"/>
  <c r="L6" i="57"/>
  <c r="L5"/>
  <c r="AC11" i="20"/>
  <c r="AC14" s="1"/>
  <c r="AD74" i="18"/>
  <c r="F121" i="89"/>
  <c r="F122" s="1"/>
  <c r="AB14" i="20"/>
  <c r="I11"/>
  <c r="Q11" i="48" s="1"/>
  <c r="AC120" i="89"/>
  <c r="AC106" s="1"/>
  <c r="T50" i="62" s="1"/>
  <c r="T52" s="1"/>
  <c r="T54" s="1"/>
  <c r="AB53" i="20"/>
  <c r="AB56" s="1"/>
  <c r="AB92" i="18"/>
  <c r="AC88"/>
  <c r="AA48" i="20"/>
  <c r="AA90"/>
  <c r="AD36"/>
  <c r="AD39" s="1"/>
  <c r="AE82" i="18"/>
  <c r="T110" i="89"/>
  <c r="J80" i="25"/>
  <c r="G83"/>
  <c r="Y113" i="20"/>
  <c r="Y107"/>
  <c r="Y108"/>
  <c r="Y110"/>
  <c r="Y131"/>
  <c r="Y111"/>
  <c r="Y109"/>
  <c r="G60" i="25"/>
  <c r="Z66" i="20"/>
  <c r="Z65"/>
  <c r="Z120" s="1"/>
  <c r="AC31"/>
  <c r="I28"/>
  <c r="Q28" i="48" s="1"/>
  <c r="AC86" i="18"/>
  <c r="AB120" i="89"/>
  <c r="AB45" i="20"/>
  <c r="AB91" i="18"/>
  <c r="F62" i="25"/>
  <c r="Q51" i="62"/>
  <c r="Q53" s="1"/>
  <c r="Q27" i="39"/>
  <c r="I32" i="25"/>
  <c r="S110" i="89"/>
  <c r="AE80" i="18"/>
  <c r="AD28" i="20"/>
  <c r="AD31" s="1"/>
  <c r="AC39"/>
  <c r="I39" s="1"/>
  <c r="Q39" i="48" s="1"/>
  <c r="I36" i="20"/>
  <c r="Q36" i="48" s="1"/>
  <c r="R49" i="62"/>
  <c r="AB105" i="89"/>
  <c r="T46" i="62"/>
  <c r="T26" i="39" s="1"/>
  <c r="GE18" i="58" l="1"/>
  <c r="GV18"/>
  <c r="GT18"/>
  <c r="GW18"/>
  <c r="Q107" i="89"/>
  <c r="U46" i="62" s="1"/>
  <c r="U47"/>
  <c r="GK124" i="58"/>
  <c r="GF124"/>
  <c r="GI124"/>
  <c r="GL124"/>
  <c r="GT93"/>
  <c r="GW124"/>
  <c r="GS93"/>
  <c r="GZ124"/>
  <c r="GQ124"/>
  <c r="GU93"/>
  <c r="GX124"/>
  <c r="GJ18"/>
  <c r="GG28"/>
  <c r="GM18"/>
  <c r="GN28"/>
  <c r="GH18"/>
  <c r="GI28"/>
  <c r="GK35"/>
  <c r="GK18"/>
  <c r="GL28"/>
  <c r="GD93"/>
  <c r="GK93"/>
  <c r="GE93"/>
  <c r="GI139"/>
  <c r="GU18"/>
  <c r="GV28"/>
  <c r="GO18"/>
  <c r="GP28"/>
  <c r="GP31" s="1"/>
  <c r="GP32" s="1"/>
  <c r="GP33" s="1"/>
  <c r="GQ139"/>
  <c r="M77" i="20"/>
  <c r="N226" i="62"/>
  <c r="N125" i="39" s="1"/>
  <c r="W186" i="62"/>
  <c r="W102" i="39" s="1"/>
  <c r="L226" i="62"/>
  <c r="L125" i="39" s="1"/>
  <c r="P226" i="62"/>
  <c r="P125" i="39" s="1"/>
  <c r="V186" i="62"/>
  <c r="V102" i="39" s="1"/>
  <c r="U75" i="48"/>
  <c r="T226" i="62"/>
  <c r="T125" i="39" s="1"/>
  <c r="R226" i="62"/>
  <c r="R125" i="39" s="1"/>
  <c r="M226" i="62"/>
  <c r="M125" i="39" s="1"/>
  <c r="S226" i="62"/>
  <c r="S125" i="39" s="1"/>
  <c r="U226" i="62"/>
  <c r="U125" i="39" s="1"/>
  <c r="Q226" i="62"/>
  <c r="Q125" i="39" s="1"/>
  <c r="O226" i="62"/>
  <c r="O125" i="39" s="1"/>
  <c r="GC18" i="58"/>
  <c r="T44" i="62"/>
  <c r="F106" i="89"/>
  <c r="AD76" i="18"/>
  <c r="I12" i="25" s="1"/>
  <c r="AC19" i="20"/>
  <c r="K54" i="28"/>
  <c r="K26" s="1"/>
  <c r="G121" i="89"/>
  <c r="G122" s="1"/>
  <c r="F23" i="25"/>
  <c r="GH232" i="58"/>
  <c r="GH231"/>
  <c r="GH61"/>
  <c r="GH32"/>
  <c r="GH21"/>
  <c r="GH33"/>
  <c r="GH23"/>
  <c r="GK232"/>
  <c r="GK231"/>
  <c r="GK61"/>
  <c r="GK32"/>
  <c r="GK21"/>
  <c r="GK33"/>
  <c r="GK23"/>
  <c r="GR21"/>
  <c r="GR23"/>
  <c r="GR35"/>
  <c r="GY23"/>
  <c r="GY35"/>
  <c r="GY21"/>
  <c r="GP35"/>
  <c r="GP21"/>
  <c r="GP23"/>
  <c r="GS21"/>
  <c r="GS23"/>
  <c r="GS35"/>
  <c r="GS232"/>
  <c r="GS231"/>
  <c r="GS61"/>
  <c r="R108" i="89"/>
  <c r="R90" s="1"/>
  <c r="GN18" i="58"/>
  <c r="GK28"/>
  <c r="GL18"/>
  <c r="GM28"/>
  <c r="GH93"/>
  <c r="GF93"/>
  <c r="GI93"/>
  <c r="GM139"/>
  <c r="GH139"/>
  <c r="GJ139"/>
  <c r="GR18"/>
  <c r="GO28"/>
  <c r="GO31" s="1"/>
  <c r="GO32" s="1"/>
  <c r="GO33" s="1"/>
  <c r="GY18"/>
  <c r="GZ28"/>
  <c r="GP18"/>
  <c r="GQ28"/>
  <c r="GS18"/>
  <c r="GT28"/>
  <c r="GT31" s="1"/>
  <c r="GT32" s="1"/>
  <c r="GT33" s="1"/>
  <c r="GR142"/>
  <c r="GU139"/>
  <c r="GW139"/>
  <c r="GR139"/>
  <c r="GM232"/>
  <c r="GM231"/>
  <c r="GM61"/>
  <c r="GM33"/>
  <c r="GM23"/>
  <c r="GM32"/>
  <c r="GM21"/>
  <c r="GG232"/>
  <c r="GG231"/>
  <c r="GG61"/>
  <c r="GG32"/>
  <c r="GG21"/>
  <c r="GG33"/>
  <c r="GG23"/>
  <c r="GN232"/>
  <c r="GN231"/>
  <c r="GN61"/>
  <c r="GN32"/>
  <c r="GN21"/>
  <c r="GN33"/>
  <c r="GN23"/>
  <c r="GU23"/>
  <c r="GU35"/>
  <c r="GU21"/>
  <c r="GO21"/>
  <c r="GO23"/>
  <c r="GO35"/>
  <c r="GY232"/>
  <c r="GY231"/>
  <c r="GY61"/>
  <c r="GX232"/>
  <c r="GX231"/>
  <c r="GX61"/>
  <c r="GO232"/>
  <c r="GO231"/>
  <c r="GO61"/>
  <c r="GZ232"/>
  <c r="GZ231"/>
  <c r="GZ61"/>
  <c r="GD139"/>
  <c r="GK139"/>
  <c r="GF139"/>
  <c r="GX139"/>
  <c r="GS139"/>
  <c r="GD232"/>
  <c r="GD231"/>
  <c r="GD61"/>
  <c r="GD32"/>
  <c r="GD21"/>
  <c r="GD33"/>
  <c r="GD23"/>
  <c r="GI232"/>
  <c r="GI231"/>
  <c r="GI61"/>
  <c r="GI33"/>
  <c r="GI23"/>
  <c r="GI32"/>
  <c r="GI21"/>
  <c r="GC232"/>
  <c r="GC231"/>
  <c r="GC61"/>
  <c r="GC32"/>
  <c r="GC21"/>
  <c r="GC33"/>
  <c r="GC23"/>
  <c r="GJ232"/>
  <c r="GJ231"/>
  <c r="GJ61"/>
  <c r="GJ32"/>
  <c r="GJ21"/>
  <c r="GJ33"/>
  <c r="GJ23"/>
  <c r="GZ21"/>
  <c r="GZ23"/>
  <c r="GZ35"/>
  <c r="GQ23"/>
  <c r="GQ35"/>
  <c r="GQ21"/>
  <c r="GX35"/>
  <c r="GX21"/>
  <c r="GX23"/>
  <c r="GU232"/>
  <c r="GU231"/>
  <c r="GU61"/>
  <c r="GT232"/>
  <c r="GT231"/>
  <c r="GT61"/>
  <c r="GV232"/>
  <c r="GV231"/>
  <c r="GV61"/>
  <c r="AB93" i="18"/>
  <c r="T96" i="89"/>
  <c r="GF18" i="58"/>
  <c r="GC28"/>
  <c r="GI35"/>
  <c r="GI18"/>
  <c r="GJ28"/>
  <c r="GD18"/>
  <c r="GE28"/>
  <c r="GG35"/>
  <c r="GG18"/>
  <c r="GH28"/>
  <c r="GC124"/>
  <c r="GG93"/>
  <c r="GN124"/>
  <c r="GN93"/>
  <c r="GD124"/>
  <c r="GE139"/>
  <c r="GG139"/>
  <c r="GZ18"/>
  <c r="GW28"/>
  <c r="GW31" s="1"/>
  <c r="GW32" s="1"/>
  <c r="GW33" s="1"/>
  <c r="GZ31"/>
  <c r="GZ32" s="1"/>
  <c r="GZ33" s="1"/>
  <c r="GQ18"/>
  <c r="GR28"/>
  <c r="GR31" s="1"/>
  <c r="GR32" s="1"/>
  <c r="GR33" s="1"/>
  <c r="GQ31"/>
  <c r="GQ32" s="1"/>
  <c r="GQ33" s="1"/>
  <c r="GX18"/>
  <c r="GY28"/>
  <c r="GY31" s="1"/>
  <c r="GY32" s="1"/>
  <c r="GY33" s="1"/>
  <c r="GW142"/>
  <c r="GO124"/>
  <c r="GT139"/>
  <c r="GO139"/>
  <c r="GZ139"/>
  <c r="GE232"/>
  <c r="GE231"/>
  <c r="GE61"/>
  <c r="GE33"/>
  <c r="GE23"/>
  <c r="GE32"/>
  <c r="GE21"/>
  <c r="GL232"/>
  <c r="GL231"/>
  <c r="GL61"/>
  <c r="GL32"/>
  <c r="GL21"/>
  <c r="GL33"/>
  <c r="GL23"/>
  <c r="GF232"/>
  <c r="GF231"/>
  <c r="GF61"/>
  <c r="GF32"/>
  <c r="GF21"/>
  <c r="GF33"/>
  <c r="GF23"/>
  <c r="GV21"/>
  <c r="GV23"/>
  <c r="GV35"/>
  <c r="GT35"/>
  <c r="GT21"/>
  <c r="GT23"/>
  <c r="GW21"/>
  <c r="GW23"/>
  <c r="GW35"/>
  <c r="GQ232"/>
  <c r="GQ231"/>
  <c r="GQ61"/>
  <c r="GP232"/>
  <c r="GP231"/>
  <c r="GP61"/>
  <c r="GW232"/>
  <c r="GW231"/>
  <c r="GW61"/>
  <c r="GR232"/>
  <c r="GR231"/>
  <c r="GR61"/>
  <c r="GH35"/>
  <c r="GE35"/>
  <c r="GF28"/>
  <c r="GC35"/>
  <c r="GD28"/>
  <c r="GL93"/>
  <c r="GC93"/>
  <c r="GJ124"/>
  <c r="GJ93"/>
  <c r="GM124"/>
  <c r="GM93"/>
  <c r="GH142"/>
  <c r="GL139"/>
  <c r="GC139"/>
  <c r="GN139"/>
  <c r="GS28"/>
  <c r="GS31" s="1"/>
  <c r="GS32" s="1"/>
  <c r="GS33" s="1"/>
  <c r="GV31"/>
  <c r="GV32" s="1"/>
  <c r="GV33" s="1"/>
  <c r="GU28"/>
  <c r="GU31" s="1"/>
  <c r="GU32" s="1"/>
  <c r="GU33" s="1"/>
  <c r="GX28"/>
  <c r="GX31" s="1"/>
  <c r="GX32" s="1"/>
  <c r="GX33" s="1"/>
  <c r="GX93"/>
  <c r="GW93"/>
  <c r="GR93"/>
  <c r="GU124"/>
  <c r="GY93"/>
  <c r="GY139"/>
  <c r="GP139"/>
  <c r="GV139"/>
  <c r="AR75" i="48"/>
  <c r="W75"/>
  <c r="W77"/>
  <c r="AR77"/>
  <c r="K5" i="57"/>
  <c r="W51"/>
  <c r="T136"/>
  <c r="P136"/>
  <c r="L136"/>
  <c r="T134"/>
  <c r="P134"/>
  <c r="L134"/>
  <c r="T133"/>
  <c r="P133"/>
  <c r="L133"/>
  <c r="T132"/>
  <c r="P132"/>
  <c r="L132"/>
  <c r="U163"/>
  <c r="Q163"/>
  <c r="M163"/>
  <c r="V170"/>
  <c r="R170"/>
  <c r="N170"/>
  <c r="V169"/>
  <c r="R169"/>
  <c r="N169"/>
  <c r="S179"/>
  <c r="O179"/>
  <c r="S131"/>
  <c r="O131"/>
  <c r="K131"/>
  <c r="U136"/>
  <c r="Q136"/>
  <c r="M136"/>
  <c r="U134"/>
  <c r="Q134"/>
  <c r="M134"/>
  <c r="U133"/>
  <c r="Q133"/>
  <c r="M133"/>
  <c r="U132"/>
  <c r="Q132"/>
  <c r="M132"/>
  <c r="V163"/>
  <c r="R163"/>
  <c r="N163"/>
  <c r="S170"/>
  <c r="O170"/>
  <c r="K170"/>
  <c r="S169"/>
  <c r="O169"/>
  <c r="K169"/>
  <c r="T179"/>
  <c r="P179"/>
  <c r="L179"/>
  <c r="T131"/>
  <c r="P131"/>
  <c r="L131"/>
  <c r="V136"/>
  <c r="R136"/>
  <c r="N136"/>
  <c r="V134"/>
  <c r="R134"/>
  <c r="N134"/>
  <c r="V133"/>
  <c r="R133"/>
  <c r="N133"/>
  <c r="V132"/>
  <c r="R132"/>
  <c r="N132"/>
  <c r="S163"/>
  <c r="O163"/>
  <c r="K163"/>
  <c r="T170"/>
  <c r="P170"/>
  <c r="L170"/>
  <c r="T169"/>
  <c r="P169"/>
  <c r="L169"/>
  <c r="U179"/>
  <c r="Q179"/>
  <c r="M179"/>
  <c r="U131"/>
  <c r="Q131"/>
  <c r="M131"/>
  <c r="S136"/>
  <c r="O136"/>
  <c r="K136"/>
  <c r="S134"/>
  <c r="O134"/>
  <c r="K134"/>
  <c r="S133"/>
  <c r="O133"/>
  <c r="K133"/>
  <c r="S132"/>
  <c r="O132"/>
  <c r="K132"/>
  <c r="T163"/>
  <c r="P163"/>
  <c r="L163"/>
  <c r="U170"/>
  <c r="Q170"/>
  <c r="M170"/>
  <c r="U169"/>
  <c r="Q169"/>
  <c r="M169"/>
  <c r="R179"/>
  <c r="N179"/>
  <c r="V131"/>
  <c r="R131"/>
  <c r="N131"/>
  <c r="S61"/>
  <c r="O61"/>
  <c r="K61"/>
  <c r="S52"/>
  <c r="O52"/>
  <c r="K52"/>
  <c r="T61"/>
  <c r="T59" s="1"/>
  <c r="P61"/>
  <c r="L61"/>
  <c r="T52"/>
  <c r="T50" s="1"/>
  <c r="P52"/>
  <c r="L52"/>
  <c r="U61"/>
  <c r="Q61"/>
  <c r="Q59" s="1"/>
  <c r="M61"/>
  <c r="U52"/>
  <c r="Q52"/>
  <c r="Q50" s="1"/>
  <c r="M52"/>
  <c r="V61"/>
  <c r="R61"/>
  <c r="N61"/>
  <c r="N59" s="1"/>
  <c r="V52"/>
  <c r="R52"/>
  <c r="N52"/>
  <c r="N50" s="1"/>
  <c r="S90"/>
  <c r="O90"/>
  <c r="K90"/>
  <c r="S97"/>
  <c r="O97"/>
  <c r="K97"/>
  <c r="S91"/>
  <c r="O91"/>
  <c r="K91"/>
  <c r="S98"/>
  <c r="O98"/>
  <c r="K98"/>
  <c r="S89"/>
  <c r="O89"/>
  <c r="K89"/>
  <c r="S96"/>
  <c r="O96"/>
  <c r="K96"/>
  <c r="K87"/>
  <c r="S88"/>
  <c r="O88"/>
  <c r="K88"/>
  <c r="S95"/>
  <c r="O95"/>
  <c r="K95"/>
  <c r="S86"/>
  <c r="O86"/>
  <c r="K86"/>
  <c r="S93"/>
  <c r="O93"/>
  <c r="K93"/>
  <c r="T74"/>
  <c r="P74"/>
  <c r="L74"/>
  <c r="T81"/>
  <c r="P81"/>
  <c r="L81"/>
  <c r="T75"/>
  <c r="P75"/>
  <c r="L75"/>
  <c r="T82"/>
  <c r="P82"/>
  <c r="L82"/>
  <c r="T73"/>
  <c r="P73"/>
  <c r="L73"/>
  <c r="T80"/>
  <c r="P80"/>
  <c r="L80"/>
  <c r="T90"/>
  <c r="P90"/>
  <c r="L90"/>
  <c r="T97"/>
  <c r="P97"/>
  <c r="L97"/>
  <c r="T91"/>
  <c r="P91"/>
  <c r="L91"/>
  <c r="T98"/>
  <c r="P98"/>
  <c r="L98"/>
  <c r="T89"/>
  <c r="P89"/>
  <c r="L89"/>
  <c r="T96"/>
  <c r="P96"/>
  <c r="L96"/>
  <c r="T94"/>
  <c r="T88"/>
  <c r="P88"/>
  <c r="L88"/>
  <c r="T95"/>
  <c r="P95"/>
  <c r="L95"/>
  <c r="T86"/>
  <c r="P86"/>
  <c r="L86"/>
  <c r="T93"/>
  <c r="P93"/>
  <c r="L93"/>
  <c r="U74"/>
  <c r="Q74"/>
  <c r="M74"/>
  <c r="U81"/>
  <c r="Q81"/>
  <c r="M81"/>
  <c r="U75"/>
  <c r="Q75"/>
  <c r="M75"/>
  <c r="U82"/>
  <c r="Q82"/>
  <c r="M82"/>
  <c r="U73"/>
  <c r="Q73"/>
  <c r="M73"/>
  <c r="U80"/>
  <c r="Q80"/>
  <c r="M80"/>
  <c r="U90"/>
  <c r="Q90"/>
  <c r="M90"/>
  <c r="U97"/>
  <c r="Q97"/>
  <c r="M97"/>
  <c r="U91"/>
  <c r="Q91"/>
  <c r="M91"/>
  <c r="U98"/>
  <c r="Q98"/>
  <c r="M98"/>
  <c r="U89"/>
  <c r="Q89"/>
  <c r="M89"/>
  <c r="U96"/>
  <c r="Q96"/>
  <c r="M96"/>
  <c r="M87"/>
  <c r="U94"/>
  <c r="U88"/>
  <c r="Q88"/>
  <c r="M88"/>
  <c r="U95"/>
  <c r="Q95"/>
  <c r="M95"/>
  <c r="U86"/>
  <c r="Q86"/>
  <c r="M86"/>
  <c r="U93"/>
  <c r="Q93"/>
  <c r="M93"/>
  <c r="V74"/>
  <c r="R74"/>
  <c r="N74"/>
  <c r="V81"/>
  <c r="R81"/>
  <c r="N81"/>
  <c r="V75"/>
  <c r="R75"/>
  <c r="N75"/>
  <c r="V82"/>
  <c r="R82"/>
  <c r="N82"/>
  <c r="V73"/>
  <c r="R73"/>
  <c r="N73"/>
  <c r="V80"/>
  <c r="R80"/>
  <c r="N80"/>
  <c r="V90"/>
  <c r="R90"/>
  <c r="N90"/>
  <c r="V97"/>
  <c r="R97"/>
  <c r="N97"/>
  <c r="V91"/>
  <c r="R91"/>
  <c r="N91"/>
  <c r="V98"/>
  <c r="R98"/>
  <c r="N98"/>
  <c r="V89"/>
  <c r="R89"/>
  <c r="N89"/>
  <c r="V96"/>
  <c r="R96"/>
  <c r="N96"/>
  <c r="V87"/>
  <c r="V94"/>
  <c r="R94"/>
  <c r="V88"/>
  <c r="R88"/>
  <c r="N88"/>
  <c r="V95"/>
  <c r="R95"/>
  <c r="N95"/>
  <c r="V86"/>
  <c r="R86"/>
  <c r="N86"/>
  <c r="V93"/>
  <c r="R93"/>
  <c r="N93"/>
  <c r="S74"/>
  <c r="O74"/>
  <c r="K74"/>
  <c r="S81"/>
  <c r="O81"/>
  <c r="K81"/>
  <c r="S75"/>
  <c r="O75"/>
  <c r="K75"/>
  <c r="S82"/>
  <c r="O82"/>
  <c r="K82"/>
  <c r="S73"/>
  <c r="O73"/>
  <c r="K73"/>
  <c r="S80"/>
  <c r="O80"/>
  <c r="K80"/>
  <c r="T78"/>
  <c r="P78"/>
  <c r="T72"/>
  <c r="P72"/>
  <c r="L72"/>
  <c r="T79"/>
  <c r="P79"/>
  <c r="L79"/>
  <c r="T70"/>
  <c r="P70"/>
  <c r="L70"/>
  <c r="T77"/>
  <c r="P77"/>
  <c r="L77"/>
  <c r="U45"/>
  <c r="Q45"/>
  <c r="M45"/>
  <c r="U65"/>
  <c r="Q65"/>
  <c r="M65"/>
  <c r="U56"/>
  <c r="Q56"/>
  <c r="M56"/>
  <c r="U106"/>
  <c r="Q106"/>
  <c r="M106"/>
  <c r="U105"/>
  <c r="Q105"/>
  <c r="M105"/>
  <c r="U104"/>
  <c r="Q104"/>
  <c r="M104"/>
  <c r="U103"/>
  <c r="Q103"/>
  <c r="M103"/>
  <c r="U102"/>
  <c r="Q102"/>
  <c r="M102"/>
  <c r="U112"/>
  <c r="Q112"/>
  <c r="M112"/>
  <c r="U111"/>
  <c r="Q111"/>
  <c r="M111"/>
  <c r="U110"/>
  <c r="Q110"/>
  <c r="M110"/>
  <c r="U109"/>
  <c r="Q109"/>
  <c r="M109"/>
  <c r="U108"/>
  <c r="Q108"/>
  <c r="M108"/>
  <c r="U172"/>
  <c r="Q172"/>
  <c r="M172"/>
  <c r="U167"/>
  <c r="Q167"/>
  <c r="M167"/>
  <c r="U166"/>
  <c r="Q166"/>
  <c r="M166"/>
  <c r="V36"/>
  <c r="R36"/>
  <c r="N36"/>
  <c r="U29"/>
  <c r="Q29"/>
  <c r="M29"/>
  <c r="U31"/>
  <c r="Q31"/>
  <c r="M31"/>
  <c r="U17"/>
  <c r="Q17"/>
  <c r="M17"/>
  <c r="U13"/>
  <c r="Q13"/>
  <c r="M13"/>
  <c r="U12"/>
  <c r="Q12"/>
  <c r="M12"/>
  <c r="U11"/>
  <c r="Q11"/>
  <c r="M11"/>
  <c r="U9"/>
  <c r="Q9"/>
  <c r="M9"/>
  <c r="U71"/>
  <c r="Q78"/>
  <c r="M78"/>
  <c r="U72"/>
  <c r="Q72"/>
  <c r="M72"/>
  <c r="U79"/>
  <c r="Q79"/>
  <c r="M79"/>
  <c r="U70"/>
  <c r="Q70"/>
  <c r="M70"/>
  <c r="U77"/>
  <c r="Q77"/>
  <c r="M77"/>
  <c r="V45"/>
  <c r="R45"/>
  <c r="N45"/>
  <c r="V65"/>
  <c r="R65"/>
  <c r="N65"/>
  <c r="V56"/>
  <c r="R56"/>
  <c r="N56"/>
  <c r="V106"/>
  <c r="R106"/>
  <c r="N106"/>
  <c r="V105"/>
  <c r="R105"/>
  <c r="N105"/>
  <c r="V104"/>
  <c r="R104"/>
  <c r="N104"/>
  <c r="V103"/>
  <c r="R103"/>
  <c r="N103"/>
  <c r="V102"/>
  <c r="R102"/>
  <c r="N102"/>
  <c r="V112"/>
  <c r="R112"/>
  <c r="N112"/>
  <c r="V111"/>
  <c r="R111"/>
  <c r="N111"/>
  <c r="V110"/>
  <c r="R110"/>
  <c r="N110"/>
  <c r="V109"/>
  <c r="R109"/>
  <c r="N109"/>
  <c r="V108"/>
  <c r="R108"/>
  <c r="N108"/>
  <c r="V172"/>
  <c r="R172"/>
  <c r="N172"/>
  <c r="V167"/>
  <c r="R167"/>
  <c r="N167"/>
  <c r="V166"/>
  <c r="R166"/>
  <c r="N166"/>
  <c r="S36"/>
  <c r="O36"/>
  <c r="K36"/>
  <c r="V29"/>
  <c r="R29"/>
  <c r="N29"/>
  <c r="V31"/>
  <c r="R31"/>
  <c r="N31"/>
  <c r="V17"/>
  <c r="R17"/>
  <c r="N17"/>
  <c r="V13"/>
  <c r="R13"/>
  <c r="N13"/>
  <c r="V12"/>
  <c r="R12"/>
  <c r="N12"/>
  <c r="V11"/>
  <c r="R11"/>
  <c r="N11"/>
  <c r="V9"/>
  <c r="R9"/>
  <c r="N9"/>
  <c r="N78"/>
  <c r="V72"/>
  <c r="R72"/>
  <c r="N72"/>
  <c r="V79"/>
  <c r="R79"/>
  <c r="N79"/>
  <c r="V70"/>
  <c r="R70"/>
  <c r="N70"/>
  <c r="V77"/>
  <c r="R77"/>
  <c r="N77"/>
  <c r="S45"/>
  <c r="O45"/>
  <c r="K45"/>
  <c r="S65"/>
  <c r="O65"/>
  <c r="K65"/>
  <c r="S56"/>
  <c r="O56"/>
  <c r="K56"/>
  <c r="S106"/>
  <c r="O106"/>
  <c r="K106"/>
  <c r="S105"/>
  <c r="O105"/>
  <c r="K105"/>
  <c r="S104"/>
  <c r="O104"/>
  <c r="K104"/>
  <c r="S103"/>
  <c r="O103"/>
  <c r="K103"/>
  <c r="S102"/>
  <c r="O102"/>
  <c r="K102"/>
  <c r="S112"/>
  <c r="O112"/>
  <c r="K112"/>
  <c r="S111"/>
  <c r="O111"/>
  <c r="K111"/>
  <c r="S110"/>
  <c r="O110"/>
  <c r="K110"/>
  <c r="S109"/>
  <c r="O109"/>
  <c r="K109"/>
  <c r="S108"/>
  <c r="O108"/>
  <c r="K108"/>
  <c r="S172"/>
  <c r="O172"/>
  <c r="K172"/>
  <c r="S167"/>
  <c r="O167"/>
  <c r="K167"/>
  <c r="S166"/>
  <c r="O166"/>
  <c r="K166"/>
  <c r="T36"/>
  <c r="P36"/>
  <c r="L36"/>
  <c r="S29"/>
  <c r="O29"/>
  <c r="K29"/>
  <c r="S31"/>
  <c r="O31"/>
  <c r="K31"/>
  <c r="S17"/>
  <c r="O17"/>
  <c r="K17"/>
  <c r="S13"/>
  <c r="O13"/>
  <c r="K13"/>
  <c r="S12"/>
  <c r="O12"/>
  <c r="K12"/>
  <c r="S11"/>
  <c r="O11"/>
  <c r="K11"/>
  <c r="S9"/>
  <c r="O9"/>
  <c r="K9"/>
  <c r="S78"/>
  <c r="S72"/>
  <c r="O72"/>
  <c r="K72"/>
  <c r="S79"/>
  <c r="O79"/>
  <c r="K79"/>
  <c r="S70"/>
  <c r="O70"/>
  <c r="K70"/>
  <c r="S77"/>
  <c r="O77"/>
  <c r="K77"/>
  <c r="T45"/>
  <c r="P45"/>
  <c r="L45"/>
  <c r="T65"/>
  <c r="P65"/>
  <c r="L65"/>
  <c r="T56"/>
  <c r="P56"/>
  <c r="L56"/>
  <c r="T106"/>
  <c r="P106"/>
  <c r="L106"/>
  <c r="T105"/>
  <c r="P105"/>
  <c r="L105"/>
  <c r="T104"/>
  <c r="P104"/>
  <c r="L104"/>
  <c r="T103"/>
  <c r="P103"/>
  <c r="L103"/>
  <c r="T102"/>
  <c r="P102"/>
  <c r="L102"/>
  <c r="T112"/>
  <c r="P112"/>
  <c r="L112"/>
  <c r="T111"/>
  <c r="P111"/>
  <c r="L111"/>
  <c r="T110"/>
  <c r="P110"/>
  <c r="L110"/>
  <c r="T109"/>
  <c r="P109"/>
  <c r="L109"/>
  <c r="T108"/>
  <c r="P108"/>
  <c r="L108"/>
  <c r="T172"/>
  <c r="P172"/>
  <c r="L172"/>
  <c r="T167"/>
  <c r="P167"/>
  <c r="L167"/>
  <c r="T166"/>
  <c r="P166"/>
  <c r="L166"/>
  <c r="U36"/>
  <c r="Q36"/>
  <c r="M36"/>
  <c r="T29"/>
  <c r="P29"/>
  <c r="L29"/>
  <c r="T31"/>
  <c r="P31"/>
  <c r="L31"/>
  <c r="T17"/>
  <c r="P17"/>
  <c r="L17"/>
  <c r="T13"/>
  <c r="P13"/>
  <c r="L13"/>
  <c r="T12"/>
  <c r="P12"/>
  <c r="L12"/>
  <c r="T11"/>
  <c r="P11"/>
  <c r="L11"/>
  <c r="T9"/>
  <c r="P9"/>
  <c r="L9"/>
  <c r="K6"/>
  <c r="J32" i="25"/>
  <c r="AE74" i="18"/>
  <c r="H110" i="89"/>
  <c r="AD11" i="20"/>
  <c r="AD14" s="1"/>
  <c r="I14"/>
  <c r="Q14" i="48" s="1"/>
  <c r="AB64" i="20"/>
  <c r="G22" i="25"/>
  <c r="AD88" i="18"/>
  <c r="AC53" i="20"/>
  <c r="AC92" i="18"/>
  <c r="AC121" i="89"/>
  <c r="AE28" i="20"/>
  <c r="AE31" s="1"/>
  <c r="I33" i="25"/>
  <c r="S111" i="89"/>
  <c r="AF80" i="18"/>
  <c r="G43" i="25"/>
  <c r="G44" s="1"/>
  <c r="I31" i="20"/>
  <c r="T43" i="62"/>
  <c r="R51"/>
  <c r="R53" s="1"/>
  <c r="R27" i="39"/>
  <c r="AB121" i="89"/>
  <c r="AB122" s="1"/>
  <c r="AC45" i="20"/>
  <c r="AD86" i="18"/>
  <c r="F63" i="25"/>
  <c r="G93" s="1"/>
  <c r="AC91" i="18"/>
  <c r="K99" i="28"/>
  <c r="K28" s="1"/>
  <c r="S49" i="62"/>
  <c r="AB106" i="89"/>
  <c r="T49" i="62" s="1"/>
  <c r="Z113" i="20"/>
  <c r="Z131"/>
  <c r="Z109"/>
  <c r="Z107"/>
  <c r="Z108"/>
  <c r="Z110"/>
  <c r="Z111"/>
  <c r="G82" i="25"/>
  <c r="G81"/>
  <c r="AB48" i="20"/>
  <c r="AB90"/>
  <c r="AF82" i="18"/>
  <c r="T111" i="89"/>
  <c r="AE36" i="20"/>
  <c r="AE39" s="1"/>
  <c r="G61" i="25"/>
  <c r="AA66" i="20"/>
  <c r="AA65"/>
  <c r="AA120" s="1"/>
  <c r="Q108" i="89" l="1"/>
  <c r="Q90" s="1"/>
  <c r="Q91" s="1"/>
  <c r="S96"/>
  <c r="V46" i="62" s="1"/>
  <c r="J31" i="57"/>
  <c r="J110"/>
  <c r="G110" s="1"/>
  <c r="J56"/>
  <c r="U77" i="48"/>
  <c r="L19" i="26"/>
  <c r="S87" i="22"/>
  <c r="BZ77" i="20"/>
  <c r="J103" i="57"/>
  <c r="G103" s="1"/>
  <c r="J167"/>
  <c r="G167" s="1"/>
  <c r="T25" i="39"/>
  <c r="K25" i="28"/>
  <c r="V47" i="62"/>
  <c r="T97" i="89"/>
  <c r="AC22" i="20"/>
  <c r="I19"/>
  <c r="Q19" i="48" s="1"/>
  <c r="G107" i="89"/>
  <c r="J71" i="25"/>
  <c r="G73"/>
  <c r="G72" s="1"/>
  <c r="G74" s="1"/>
  <c r="I110" i="89"/>
  <c r="AD19" i="20"/>
  <c r="AD22" s="1"/>
  <c r="AD64" s="1"/>
  <c r="AE76" i="18"/>
  <c r="I13" i="25" s="1"/>
  <c r="AC93" i="18"/>
  <c r="J9" i="57"/>
  <c r="G9" s="1"/>
  <c r="I10" i="31" s="1"/>
  <c r="J11" i="57"/>
  <c r="G11" s="1"/>
  <c r="L18"/>
  <c r="J29"/>
  <c r="G29" s="1"/>
  <c r="J172"/>
  <c r="G172" s="1"/>
  <c r="J111"/>
  <c r="G111" s="1"/>
  <c r="I102"/>
  <c r="J104"/>
  <c r="G104" s="1"/>
  <c r="T57"/>
  <c r="L66"/>
  <c r="I45"/>
  <c r="O18"/>
  <c r="P28"/>
  <c r="O66"/>
  <c r="N71"/>
  <c r="V18"/>
  <c r="S28"/>
  <c r="N57"/>
  <c r="V66"/>
  <c r="Q71"/>
  <c r="Q57"/>
  <c r="T71"/>
  <c r="J71" s="1"/>
  <c r="G71" s="1"/>
  <c r="P94"/>
  <c r="T87"/>
  <c r="S94"/>
  <c r="R53"/>
  <c r="R62"/>
  <c r="U53"/>
  <c r="M50"/>
  <c r="M51" s="1"/>
  <c r="U62"/>
  <c r="M59"/>
  <c r="P50"/>
  <c r="P59"/>
  <c r="S50"/>
  <c r="S51" s="1"/>
  <c r="S59"/>
  <c r="T159"/>
  <c r="J170"/>
  <c r="G170" s="1"/>
  <c r="O71"/>
  <c r="V71"/>
  <c r="L71"/>
  <c r="J45"/>
  <c r="G45" s="1"/>
  <c r="J12"/>
  <c r="G12" s="1"/>
  <c r="I16" i="31" s="1"/>
  <c r="T16" s="1"/>
  <c r="J17" i="57"/>
  <c r="G17" s="1"/>
  <c r="I39" i="31" s="1"/>
  <c r="J108" i="57"/>
  <c r="G108" s="1"/>
  <c r="J112"/>
  <c r="G112" s="1"/>
  <c r="J105"/>
  <c r="G105" s="1"/>
  <c r="J65"/>
  <c r="S71"/>
  <c r="K18"/>
  <c r="R18"/>
  <c r="M71"/>
  <c r="U18"/>
  <c r="P71"/>
  <c r="N53"/>
  <c r="N62"/>
  <c r="Q53"/>
  <c r="Q62"/>
  <c r="P159"/>
  <c r="J163"/>
  <c r="G163" s="1"/>
  <c r="J216" i="48" s="1"/>
  <c r="AL216" s="1"/>
  <c r="J109" i="57"/>
  <c r="G109" s="1"/>
  <c r="J102"/>
  <c r="G102" s="1"/>
  <c r="J106"/>
  <c r="G106" s="1"/>
  <c r="L159"/>
  <c r="J13"/>
  <c r="G13" s="1"/>
  <c r="I17" i="31" s="1"/>
  <c r="T17" s="1"/>
  <c r="J166" i="57"/>
  <c r="G166" s="1"/>
  <c r="I17"/>
  <c r="P18"/>
  <c r="Q28"/>
  <c r="P66"/>
  <c r="K71"/>
  <c r="K57"/>
  <c r="S66"/>
  <c r="R71"/>
  <c r="R57"/>
  <c r="U57"/>
  <c r="M66"/>
  <c r="I82"/>
  <c r="J94"/>
  <c r="G94" s="1"/>
  <c r="K25"/>
  <c r="N25"/>
  <c r="Q25"/>
  <c r="V53"/>
  <c r="N51"/>
  <c r="V62"/>
  <c r="N60"/>
  <c r="Q51"/>
  <c r="Q60"/>
  <c r="L53"/>
  <c r="L62"/>
  <c r="O53"/>
  <c r="O62"/>
  <c r="L23"/>
  <c r="L24"/>
  <c r="L30"/>
  <c r="L32"/>
  <c r="L27"/>
  <c r="L39"/>
  <c r="L26"/>
  <c r="S118"/>
  <c r="S40"/>
  <c r="S119"/>
  <c r="S120"/>
  <c r="S117"/>
  <c r="O23"/>
  <c r="O24"/>
  <c r="O32"/>
  <c r="O27"/>
  <c r="O30"/>
  <c r="O39"/>
  <c r="O26"/>
  <c r="V34"/>
  <c r="V138"/>
  <c r="V16"/>
  <c r="V23"/>
  <c r="V24"/>
  <c r="V30"/>
  <c r="V32"/>
  <c r="V27"/>
  <c r="V26"/>
  <c r="V39"/>
  <c r="N54"/>
  <c r="N55" s="1"/>
  <c r="N41"/>
  <c r="M117"/>
  <c r="M118"/>
  <c r="M119"/>
  <c r="M40"/>
  <c r="M120"/>
  <c r="Q54"/>
  <c r="Q55" s="1"/>
  <c r="Q41"/>
  <c r="O44"/>
  <c r="S63"/>
  <c r="S64" s="1"/>
  <c r="S46"/>
  <c r="V44"/>
  <c r="Q44"/>
  <c r="U63"/>
  <c r="U64" s="1"/>
  <c r="U46"/>
  <c r="T44"/>
  <c r="K53"/>
  <c r="I52"/>
  <c r="K62"/>
  <c r="I61"/>
  <c r="R185"/>
  <c r="R184"/>
  <c r="R177"/>
  <c r="V179"/>
  <c r="J179" s="1"/>
  <c r="G179" s="1"/>
  <c r="F34" i="18" s="1"/>
  <c r="G34" s="1"/>
  <c r="Q35" s="1"/>
  <c r="K188" i="57"/>
  <c r="K189"/>
  <c r="U161"/>
  <c r="U139"/>
  <c r="U135"/>
  <c r="M185"/>
  <c r="M177"/>
  <c r="M184"/>
  <c r="V158"/>
  <c r="V157"/>
  <c r="V195"/>
  <c r="V193"/>
  <c r="V194"/>
  <c r="V178"/>
  <c r="V196"/>
  <c r="P185"/>
  <c r="P177"/>
  <c r="P184"/>
  <c r="M189"/>
  <c r="M188"/>
  <c r="M186" s="1"/>
  <c r="M187" s="1"/>
  <c r="S161"/>
  <c r="S139"/>
  <c r="S135"/>
  <c r="K185"/>
  <c r="K177"/>
  <c r="I185"/>
  <c r="K184"/>
  <c r="T196"/>
  <c r="T178"/>
  <c r="T158"/>
  <c r="T194"/>
  <c r="T157"/>
  <c r="T193"/>
  <c r="T195"/>
  <c r="M28"/>
  <c r="I12"/>
  <c r="I36"/>
  <c r="I108"/>
  <c r="I112"/>
  <c r="I105"/>
  <c r="I65"/>
  <c r="I66" s="1"/>
  <c r="J70"/>
  <c r="G70" s="1"/>
  <c r="I72"/>
  <c r="N125"/>
  <c r="V127"/>
  <c r="M124"/>
  <c r="Q125"/>
  <c r="M126"/>
  <c r="J86"/>
  <c r="G86" s="1"/>
  <c r="J89"/>
  <c r="G89" s="1"/>
  <c r="I91"/>
  <c r="J90"/>
  <c r="G90" s="1"/>
  <c r="L125"/>
  <c r="T127"/>
  <c r="J80"/>
  <c r="G80" s="1"/>
  <c r="J81"/>
  <c r="G81" s="1"/>
  <c r="I95"/>
  <c r="K124"/>
  <c r="O125"/>
  <c r="K126"/>
  <c r="M25"/>
  <c r="T25"/>
  <c r="M60"/>
  <c r="P51"/>
  <c r="P60"/>
  <c r="S60"/>
  <c r="O159"/>
  <c r="V159"/>
  <c r="Q159"/>
  <c r="P34"/>
  <c r="P16"/>
  <c r="P138"/>
  <c r="P117"/>
  <c r="P119"/>
  <c r="P120"/>
  <c r="P118"/>
  <c r="P40"/>
  <c r="T54"/>
  <c r="T41"/>
  <c r="O34"/>
  <c r="O138"/>
  <c r="O16"/>
  <c r="J39" i="31"/>
  <c r="J74" i="48"/>
  <c r="N39" i="31"/>
  <c r="J66" i="57"/>
  <c r="G66" s="1"/>
  <c r="G140" i="44" s="1"/>
  <c r="G65" i="57"/>
  <c r="F140" i="44" s="1"/>
  <c r="L118" i="57"/>
  <c r="L120"/>
  <c r="L40"/>
  <c r="L119"/>
  <c r="L117"/>
  <c r="P54"/>
  <c r="P55" s="1"/>
  <c r="P41"/>
  <c r="K34"/>
  <c r="K138"/>
  <c r="K16"/>
  <c r="O119"/>
  <c r="O117"/>
  <c r="O118"/>
  <c r="O40"/>
  <c r="O120"/>
  <c r="K23"/>
  <c r="K24"/>
  <c r="K32"/>
  <c r="K27"/>
  <c r="K30"/>
  <c r="K26"/>
  <c r="K39"/>
  <c r="S54"/>
  <c r="S55" s="1"/>
  <c r="S41"/>
  <c r="R34"/>
  <c r="R138"/>
  <c r="R16"/>
  <c r="V40"/>
  <c r="V117"/>
  <c r="V120"/>
  <c r="V118"/>
  <c r="V119"/>
  <c r="R23"/>
  <c r="R24"/>
  <c r="R30"/>
  <c r="R32"/>
  <c r="R27"/>
  <c r="R26"/>
  <c r="R39"/>
  <c r="U34"/>
  <c r="U16"/>
  <c r="U138"/>
  <c r="U23"/>
  <c r="U24"/>
  <c r="U30"/>
  <c r="U32"/>
  <c r="U27"/>
  <c r="U39"/>
  <c r="U26"/>
  <c r="M54"/>
  <c r="M55" s="1"/>
  <c r="M41"/>
  <c r="K44"/>
  <c r="O63"/>
  <c r="O64" s="1"/>
  <c r="O46"/>
  <c r="R44"/>
  <c r="V63"/>
  <c r="V64" s="1"/>
  <c r="V46"/>
  <c r="M44"/>
  <c r="Q63"/>
  <c r="Q64" s="1"/>
  <c r="Q46"/>
  <c r="P44"/>
  <c r="T63"/>
  <c r="T46"/>
  <c r="T53"/>
  <c r="J52"/>
  <c r="G52" s="1"/>
  <c r="G116" i="44" s="1"/>
  <c r="T62" i="57"/>
  <c r="J61"/>
  <c r="G61" s="1"/>
  <c r="G126" i="44" s="1"/>
  <c r="V161" i="57"/>
  <c r="V135"/>
  <c r="V139"/>
  <c r="N185"/>
  <c r="N177"/>
  <c r="N184"/>
  <c r="S196"/>
  <c r="S194"/>
  <c r="S157"/>
  <c r="S178"/>
  <c r="S158"/>
  <c r="S195"/>
  <c r="S193"/>
  <c r="Q161"/>
  <c r="Q135"/>
  <c r="Q139"/>
  <c r="V189"/>
  <c r="V188"/>
  <c r="V186" s="1"/>
  <c r="V187" s="1"/>
  <c r="R178"/>
  <c r="R193"/>
  <c r="R194"/>
  <c r="R195"/>
  <c r="R196"/>
  <c r="R158"/>
  <c r="R157"/>
  <c r="T161"/>
  <c r="T135"/>
  <c r="T139"/>
  <c r="L185"/>
  <c r="L177"/>
  <c r="L184"/>
  <c r="U158"/>
  <c r="U196"/>
  <c r="U157"/>
  <c r="U178"/>
  <c r="U195"/>
  <c r="U193"/>
  <c r="U194"/>
  <c r="O161"/>
  <c r="O139"/>
  <c r="O135"/>
  <c r="K186"/>
  <c r="K187" s="1"/>
  <c r="K179"/>
  <c r="T189"/>
  <c r="T188"/>
  <c r="P157"/>
  <c r="P194"/>
  <c r="P196"/>
  <c r="P178"/>
  <c r="P195"/>
  <c r="P193"/>
  <c r="P158"/>
  <c r="I31"/>
  <c r="G31" s="1"/>
  <c r="I167"/>
  <c r="I103"/>
  <c r="P57"/>
  <c r="O78"/>
  <c r="L28"/>
  <c r="I166"/>
  <c r="I109"/>
  <c r="I106"/>
  <c r="S57"/>
  <c r="K66"/>
  <c r="V78"/>
  <c r="O28"/>
  <c r="R66"/>
  <c r="V28"/>
  <c r="M57"/>
  <c r="U66"/>
  <c r="I77"/>
  <c r="J79"/>
  <c r="G79" s="1"/>
  <c r="L78"/>
  <c r="I81"/>
  <c r="N94"/>
  <c r="R87"/>
  <c r="V124"/>
  <c r="V126"/>
  <c r="R127"/>
  <c r="Q94"/>
  <c r="U87"/>
  <c r="J87" s="1"/>
  <c r="G87" s="1"/>
  <c r="M125"/>
  <c r="U127"/>
  <c r="I93"/>
  <c r="J95"/>
  <c r="G95" s="1"/>
  <c r="L94"/>
  <c r="P87"/>
  <c r="J98"/>
  <c r="G98" s="1"/>
  <c r="I97"/>
  <c r="T124"/>
  <c r="T126"/>
  <c r="P127"/>
  <c r="J73"/>
  <c r="G73" s="1"/>
  <c r="I75"/>
  <c r="J74"/>
  <c r="G74" s="1"/>
  <c r="I88"/>
  <c r="O94"/>
  <c r="S87"/>
  <c r="K125"/>
  <c r="S127"/>
  <c r="S25"/>
  <c r="V25"/>
  <c r="P25"/>
  <c r="V50"/>
  <c r="V51" s="1"/>
  <c r="V59"/>
  <c r="V60" s="1"/>
  <c r="L50"/>
  <c r="L51" s="1"/>
  <c r="L59"/>
  <c r="L60" s="1"/>
  <c r="O50"/>
  <c r="O51" s="1"/>
  <c r="O59"/>
  <c r="O60" s="1"/>
  <c r="K159"/>
  <c r="R159"/>
  <c r="M159"/>
  <c r="L34"/>
  <c r="L138"/>
  <c r="L16"/>
  <c r="T34"/>
  <c r="T16"/>
  <c r="T138"/>
  <c r="T23"/>
  <c r="T24"/>
  <c r="J24" s="1"/>
  <c r="G24" s="1"/>
  <c r="T30"/>
  <c r="T32"/>
  <c r="T27"/>
  <c r="J27" s="1"/>
  <c r="G27" s="1"/>
  <c r="I50" i="31" s="1"/>
  <c r="N50" s="1"/>
  <c r="T39" i="57"/>
  <c r="J39" s="1"/>
  <c r="G39" s="1"/>
  <c r="F20" i="18" s="1"/>
  <c r="T26" i="57"/>
  <c r="L54"/>
  <c r="L55" s="1"/>
  <c r="L41"/>
  <c r="K119"/>
  <c r="K120"/>
  <c r="K118"/>
  <c r="K40"/>
  <c r="K117"/>
  <c r="O54"/>
  <c r="O55" s="1"/>
  <c r="O41"/>
  <c r="N34"/>
  <c r="N138"/>
  <c r="N16"/>
  <c r="R117"/>
  <c r="R119"/>
  <c r="R40"/>
  <c r="R120"/>
  <c r="R118"/>
  <c r="N23"/>
  <c r="N24"/>
  <c r="N30"/>
  <c r="N32"/>
  <c r="N27"/>
  <c r="N26"/>
  <c r="N39"/>
  <c r="V54"/>
  <c r="V55" s="1"/>
  <c r="V41"/>
  <c r="Q34"/>
  <c r="Q138"/>
  <c r="Q16"/>
  <c r="U117"/>
  <c r="U118"/>
  <c r="U40"/>
  <c r="U119"/>
  <c r="U120"/>
  <c r="Q23"/>
  <c r="Q24"/>
  <c r="Q30"/>
  <c r="Q32"/>
  <c r="Q27"/>
  <c r="Q26"/>
  <c r="Q39"/>
  <c r="K63"/>
  <c r="K46"/>
  <c r="N44"/>
  <c r="R63"/>
  <c r="R64" s="1"/>
  <c r="R46"/>
  <c r="M63"/>
  <c r="M64" s="1"/>
  <c r="M46"/>
  <c r="L44"/>
  <c r="P63"/>
  <c r="P64" s="1"/>
  <c r="P46"/>
  <c r="R161"/>
  <c r="R139"/>
  <c r="R135"/>
  <c r="S188"/>
  <c r="S186" s="1"/>
  <c r="S187" s="1"/>
  <c r="S189"/>
  <c r="O195"/>
  <c r="O158"/>
  <c r="O194"/>
  <c r="O193"/>
  <c r="O157"/>
  <c r="O178"/>
  <c r="O196"/>
  <c r="M161"/>
  <c r="M139"/>
  <c r="M135"/>
  <c r="U185"/>
  <c r="U184"/>
  <c r="U177"/>
  <c r="R189"/>
  <c r="R188"/>
  <c r="R186" s="1"/>
  <c r="R187" s="1"/>
  <c r="N157"/>
  <c r="N195"/>
  <c r="N193"/>
  <c r="N158"/>
  <c r="N194"/>
  <c r="N196"/>
  <c r="N178"/>
  <c r="P161"/>
  <c r="P135"/>
  <c r="P139"/>
  <c r="U189"/>
  <c r="U188"/>
  <c r="U186" s="1"/>
  <c r="U187" s="1"/>
  <c r="Q157"/>
  <c r="Q178"/>
  <c r="Q196"/>
  <c r="Q158"/>
  <c r="Q193"/>
  <c r="Q194"/>
  <c r="Q195"/>
  <c r="K161"/>
  <c r="K135"/>
  <c r="K139"/>
  <c r="S185"/>
  <c r="S177"/>
  <c r="S184"/>
  <c r="P188"/>
  <c r="P186" s="1"/>
  <c r="P187" s="1"/>
  <c r="P189"/>
  <c r="L158"/>
  <c r="L178"/>
  <c r="L193"/>
  <c r="L157"/>
  <c r="L195"/>
  <c r="L196"/>
  <c r="L194"/>
  <c r="I13"/>
  <c r="I11"/>
  <c r="T18"/>
  <c r="U28"/>
  <c r="I104"/>
  <c r="L57"/>
  <c r="T66"/>
  <c r="K78"/>
  <c r="I9"/>
  <c r="J36"/>
  <c r="G36" s="1"/>
  <c r="J212" i="48" s="1"/>
  <c r="I110" i="57"/>
  <c r="I56"/>
  <c r="I57" s="1"/>
  <c r="O57"/>
  <c r="R78"/>
  <c r="N18"/>
  <c r="K28"/>
  <c r="V57"/>
  <c r="N66"/>
  <c r="U78"/>
  <c r="Q18"/>
  <c r="R28"/>
  <c r="Q66"/>
  <c r="I70"/>
  <c r="J72"/>
  <c r="G72" s="1"/>
  <c r="I73"/>
  <c r="I74"/>
  <c r="N87"/>
  <c r="R124"/>
  <c r="V125"/>
  <c r="R126"/>
  <c r="N127"/>
  <c r="M94"/>
  <c r="Q87"/>
  <c r="U124"/>
  <c r="U126"/>
  <c r="Q127"/>
  <c r="I86"/>
  <c r="J88"/>
  <c r="G88" s="1"/>
  <c r="L87"/>
  <c r="I89"/>
  <c r="J91"/>
  <c r="G91" s="1"/>
  <c r="P124"/>
  <c r="T125"/>
  <c r="P126"/>
  <c r="L127"/>
  <c r="I80"/>
  <c r="J82"/>
  <c r="G82" s="1"/>
  <c r="K94"/>
  <c r="O87"/>
  <c r="I96"/>
  <c r="S124"/>
  <c r="S126"/>
  <c r="O127"/>
  <c r="O25"/>
  <c r="R25"/>
  <c r="U25"/>
  <c r="L25"/>
  <c r="R50"/>
  <c r="R51" s="1"/>
  <c r="R59"/>
  <c r="R60" s="1"/>
  <c r="M53"/>
  <c r="U50"/>
  <c r="U51" s="1"/>
  <c r="M62"/>
  <c r="U59"/>
  <c r="U60" s="1"/>
  <c r="P53"/>
  <c r="P62"/>
  <c r="S53"/>
  <c r="K50"/>
  <c r="S62"/>
  <c r="K59"/>
  <c r="I163"/>
  <c r="I169"/>
  <c r="N159"/>
  <c r="J79" i="48"/>
  <c r="J10" i="31"/>
  <c r="N10"/>
  <c r="G56" i="57"/>
  <c r="F135" i="44" s="1"/>
  <c r="J57" i="57"/>
  <c r="G57" s="1"/>
  <c r="G135" i="44" s="1"/>
  <c r="T120" i="57"/>
  <c r="T117"/>
  <c r="T40"/>
  <c r="J40" s="1"/>
  <c r="G40" s="1"/>
  <c r="T119"/>
  <c r="J119" s="1"/>
  <c r="G119" s="1"/>
  <c r="T118"/>
  <c r="P23"/>
  <c r="P24"/>
  <c r="P30"/>
  <c r="P32"/>
  <c r="P27"/>
  <c r="P39"/>
  <c r="P26"/>
  <c r="S34"/>
  <c r="S16"/>
  <c r="S138"/>
  <c r="S23"/>
  <c r="S24"/>
  <c r="S32"/>
  <c r="S27"/>
  <c r="S30"/>
  <c r="S39"/>
  <c r="S26"/>
  <c r="K54"/>
  <c r="K41"/>
  <c r="N40"/>
  <c r="N117"/>
  <c r="N120"/>
  <c r="N118"/>
  <c r="N119"/>
  <c r="R54"/>
  <c r="R55" s="1"/>
  <c r="R41"/>
  <c r="M34"/>
  <c r="M16"/>
  <c r="M138"/>
  <c r="Q120"/>
  <c r="Q119"/>
  <c r="Q118"/>
  <c r="Q117"/>
  <c r="Q40"/>
  <c r="M23"/>
  <c r="M24"/>
  <c r="M30"/>
  <c r="M32"/>
  <c r="M27"/>
  <c r="M26"/>
  <c r="M39"/>
  <c r="U54"/>
  <c r="U55" s="1"/>
  <c r="U41"/>
  <c r="S44"/>
  <c r="N63"/>
  <c r="N64" s="1"/>
  <c r="N46"/>
  <c r="U44"/>
  <c r="L63"/>
  <c r="L64" s="1"/>
  <c r="L46"/>
  <c r="T51"/>
  <c r="J50"/>
  <c r="G50" s="1"/>
  <c r="F14" i="44" s="1"/>
  <c r="T60" i="57"/>
  <c r="J60" s="1"/>
  <c r="G60" s="1"/>
  <c r="H123" i="44" s="1"/>
  <c r="I123" s="1"/>
  <c r="J123" s="1"/>
  <c r="J59" i="57"/>
  <c r="G59" s="1"/>
  <c r="F23" i="44" s="1"/>
  <c r="N161" i="57"/>
  <c r="N135"/>
  <c r="N139"/>
  <c r="V185"/>
  <c r="V177"/>
  <c r="V184"/>
  <c r="O188"/>
  <c r="O186" s="1"/>
  <c r="O187" s="1"/>
  <c r="O189"/>
  <c r="K195"/>
  <c r="K158"/>
  <c r="K196"/>
  <c r="K194"/>
  <c r="K193"/>
  <c r="K157"/>
  <c r="K178"/>
  <c r="Q185"/>
  <c r="Q184"/>
  <c r="Q177"/>
  <c r="N188"/>
  <c r="N186" s="1"/>
  <c r="N187" s="1"/>
  <c r="N189"/>
  <c r="L161"/>
  <c r="L139"/>
  <c r="L135"/>
  <c r="T185"/>
  <c r="T184"/>
  <c r="T177"/>
  <c r="Q188"/>
  <c r="Q186" s="1"/>
  <c r="Q187" s="1"/>
  <c r="Q189"/>
  <c r="M178"/>
  <c r="M158"/>
  <c r="M194"/>
  <c r="M193"/>
  <c r="M195"/>
  <c r="M196"/>
  <c r="M157"/>
  <c r="O185"/>
  <c r="O184"/>
  <c r="O177"/>
  <c r="L188"/>
  <c r="L186" s="1"/>
  <c r="L187" s="1"/>
  <c r="L189"/>
  <c r="W26"/>
  <c r="W24" s="1"/>
  <c r="W25"/>
  <c r="W31"/>
  <c r="W32"/>
  <c r="S18"/>
  <c r="T28"/>
  <c r="I29"/>
  <c r="I172"/>
  <c r="I111"/>
  <c r="M18"/>
  <c r="N28"/>
  <c r="J77"/>
  <c r="G77" s="1"/>
  <c r="I79"/>
  <c r="J78"/>
  <c r="G78" s="1"/>
  <c r="N124"/>
  <c r="R125"/>
  <c r="N126"/>
  <c r="Q124"/>
  <c r="U125"/>
  <c r="Q126"/>
  <c r="M127"/>
  <c r="J93"/>
  <c r="G93" s="1"/>
  <c r="J96"/>
  <c r="G96" s="1"/>
  <c r="I98"/>
  <c r="J97"/>
  <c r="G97" s="1"/>
  <c r="L124"/>
  <c r="P125"/>
  <c r="L126"/>
  <c r="J75"/>
  <c r="G75" s="1"/>
  <c r="I90"/>
  <c r="O124"/>
  <c r="S125"/>
  <c r="O126"/>
  <c r="K127"/>
  <c r="J169"/>
  <c r="G169" s="1"/>
  <c r="S159"/>
  <c r="I170"/>
  <c r="U159"/>
  <c r="AF74" i="18"/>
  <c r="AE11" i="20"/>
  <c r="AE14" s="1"/>
  <c r="H111" i="89"/>
  <c r="AE110"/>
  <c r="AE88" i="18"/>
  <c r="AD92"/>
  <c r="AD53" i="20"/>
  <c r="AD56" s="1"/>
  <c r="I53"/>
  <c r="Q53" i="48" s="1"/>
  <c r="AC56" i="20"/>
  <c r="I56" s="1"/>
  <c r="Q56" i="48" s="1"/>
  <c r="AC122" i="89"/>
  <c r="AC107"/>
  <c r="AA107" i="20"/>
  <c r="AA108"/>
  <c r="AA109"/>
  <c r="AA131"/>
  <c r="AA110"/>
  <c r="AA113"/>
  <c r="AA111"/>
  <c r="T112" i="89"/>
  <c r="AG82" i="18"/>
  <c r="AF36" i="20"/>
  <c r="AF39" s="1"/>
  <c r="T27" i="39"/>
  <c r="T51" i="62"/>
  <c r="T53" s="1"/>
  <c r="J33" i="25"/>
  <c r="AC48" i="20"/>
  <c r="I45"/>
  <c r="AC90"/>
  <c r="I90" s="1"/>
  <c r="G84" i="25"/>
  <c r="AE86" i="18"/>
  <c r="AD110" i="89"/>
  <c r="AD45" i="20"/>
  <c r="I52" i="25"/>
  <c r="AD91" i="18"/>
  <c r="V78" i="28"/>
  <c r="V79" s="1"/>
  <c r="Q31" i="48"/>
  <c r="H12" i="26"/>
  <c r="F88" i="22"/>
  <c r="AB65" i="20"/>
  <c r="AB120" s="1"/>
  <c r="G62" i="25"/>
  <c r="AB66" i="20"/>
  <c r="S27" i="39"/>
  <c r="S51" i="62"/>
  <c r="S53" s="1"/>
  <c r="G92" i="25"/>
  <c r="G91"/>
  <c r="J90"/>
  <c r="S112" i="89"/>
  <c r="AF28" i="20"/>
  <c r="AF31" s="1"/>
  <c r="AG80" i="18"/>
  <c r="I34" i="25"/>
  <c r="G127" i="44"/>
  <c r="G128" s="1"/>
  <c r="G20" i="18"/>
  <c r="AK53" i="48"/>
  <c r="U26" i="39"/>
  <c r="S97" i="89" l="1"/>
  <c r="W46" i="62" s="1"/>
  <c r="T98" i="89"/>
  <c r="AD93" i="18"/>
  <c r="J12" i="25"/>
  <c r="J62" i="57"/>
  <c r="G62" s="1"/>
  <c r="W13" i="44" s="1"/>
  <c r="W14" s="1"/>
  <c r="G93" s="1"/>
  <c r="J30" i="57"/>
  <c r="G30" s="1"/>
  <c r="J46"/>
  <c r="G46" s="1"/>
  <c r="F28" i="18" s="1"/>
  <c r="G28" s="1"/>
  <c r="N16" i="31"/>
  <c r="V26" i="39"/>
  <c r="W47" i="62"/>
  <c r="AC64" i="20"/>
  <c r="G23" i="25"/>
  <c r="G24" s="1"/>
  <c r="I22" i="20"/>
  <c r="I111" i="89"/>
  <c r="AF76" i="18"/>
  <c r="AE19" i="20"/>
  <c r="AE22" s="1"/>
  <c r="J13" i="25" s="1"/>
  <c r="I96" i="89"/>
  <c r="F107"/>
  <c r="G108"/>
  <c r="G90" s="1"/>
  <c r="U44" i="62"/>
  <c r="G14" i="57"/>
  <c r="I22" i="31" s="1"/>
  <c r="I35" i="18"/>
  <c r="J35" s="1"/>
  <c r="K35" s="1"/>
  <c r="L35" s="1"/>
  <c r="M35" s="1"/>
  <c r="G117" i="44"/>
  <c r="G118" s="1"/>
  <c r="J51" i="57"/>
  <c r="G51" s="1"/>
  <c r="H113" i="44" s="1"/>
  <c r="I113" s="1"/>
  <c r="J113" s="1"/>
  <c r="V121" i="57"/>
  <c r="G60" i="18"/>
  <c r="Q61" s="1"/>
  <c r="I18" i="57"/>
  <c r="I179"/>
  <c r="T50" i="31"/>
  <c r="J16" i="57"/>
  <c r="G16" s="1"/>
  <c r="I36" i="31" s="1"/>
  <c r="J53" i="57"/>
  <c r="G53" s="1"/>
  <c r="W8" i="44" s="1"/>
  <c r="W9" s="1"/>
  <c r="G71" s="1"/>
  <c r="I15" i="31"/>
  <c r="J50"/>
  <c r="K50" s="1"/>
  <c r="L50" s="1"/>
  <c r="M50" s="1"/>
  <c r="J118" i="57"/>
  <c r="G118" s="1"/>
  <c r="J120"/>
  <c r="G120" s="1"/>
  <c r="N17" i="31"/>
  <c r="J34" i="57"/>
  <c r="G34" s="1"/>
  <c r="I71"/>
  <c r="I127"/>
  <c r="J28"/>
  <c r="G28" s="1"/>
  <c r="J177"/>
  <c r="G177" s="1"/>
  <c r="F32" i="18" s="1"/>
  <c r="J18" i="57"/>
  <c r="G18" s="1"/>
  <c r="I33" i="31" s="1"/>
  <c r="J32" i="57"/>
  <c r="J23"/>
  <c r="G23" s="1"/>
  <c r="J26"/>
  <c r="G26" s="1"/>
  <c r="L128"/>
  <c r="N128"/>
  <c r="I53"/>
  <c r="J184"/>
  <c r="G184" s="1"/>
  <c r="F32" i="44" s="1"/>
  <c r="I62" i="57"/>
  <c r="Q128"/>
  <c r="J117"/>
  <c r="T121"/>
  <c r="O10" i="31"/>
  <c r="AL79" i="48"/>
  <c r="T128" i="57"/>
  <c r="J125"/>
  <c r="G125" s="1"/>
  <c r="J93" i="48"/>
  <c r="AL212"/>
  <c r="AL93" s="1"/>
  <c r="S515" i="62"/>
  <c r="S308" i="39" s="1"/>
  <c r="P515" i="62"/>
  <c r="P308" i="39" s="1"/>
  <c r="L515" i="62"/>
  <c r="L308" i="39" s="1"/>
  <c r="N515" i="62"/>
  <c r="N308" i="39" s="1"/>
  <c r="M515" i="62"/>
  <c r="M308" i="39" s="1"/>
  <c r="R515" i="62"/>
  <c r="R308" i="39" s="1"/>
  <c r="U515" i="62"/>
  <c r="U308" i="39" s="1"/>
  <c r="Q515" i="62"/>
  <c r="Q308" i="39" s="1"/>
  <c r="T515" i="62"/>
  <c r="T308" i="39" s="1"/>
  <c r="O515" i="62"/>
  <c r="O308" i="39" s="1"/>
  <c r="V479" i="62"/>
  <c r="V285" i="39" s="1"/>
  <c r="W479" i="62"/>
  <c r="W285" i="39" s="1"/>
  <c r="T55" i="57"/>
  <c r="J54"/>
  <c r="J22" i="31"/>
  <c r="J78" i="48"/>
  <c r="Q121" i="57"/>
  <c r="N121"/>
  <c r="I87"/>
  <c r="R121"/>
  <c r="I118"/>
  <c r="I47" i="31"/>
  <c r="I125" i="57"/>
  <c r="I30"/>
  <c r="I24"/>
  <c r="L121"/>
  <c r="J127"/>
  <c r="G127" s="1"/>
  <c r="K55"/>
  <c r="I54"/>
  <c r="I55" s="1"/>
  <c r="K51"/>
  <c r="I50"/>
  <c r="I51"/>
  <c r="K64"/>
  <c r="I63"/>
  <c r="I64" s="1"/>
  <c r="AL74" i="48"/>
  <c r="O39" i="31"/>
  <c r="K128" i="57"/>
  <c r="I124"/>
  <c r="I18" i="31"/>
  <c r="N15"/>
  <c r="N18" s="1"/>
  <c r="N22" s="1"/>
  <c r="H135" i="44"/>
  <c r="U128" i="57"/>
  <c r="J124"/>
  <c r="I32"/>
  <c r="G32" s="1"/>
  <c r="I57" i="31" s="1"/>
  <c r="I16" i="57"/>
  <c r="J41"/>
  <c r="G41" s="1"/>
  <c r="F22" i="18" s="1"/>
  <c r="I177" i="57"/>
  <c r="I188"/>
  <c r="I189" s="1"/>
  <c r="W62"/>
  <c r="J44"/>
  <c r="G44" s="1"/>
  <c r="F26" i="18" s="1"/>
  <c r="O521" i="62"/>
  <c r="O314" i="39" s="1"/>
  <c r="S521" i="62"/>
  <c r="S314" i="39" s="1"/>
  <c r="T521" i="62"/>
  <c r="T314" i="39" s="1"/>
  <c r="W485" i="62"/>
  <c r="W291" i="39" s="1"/>
  <c r="N521" i="62"/>
  <c r="N314" i="39" s="1"/>
  <c r="M521" i="62"/>
  <c r="M314" i="39" s="1"/>
  <c r="V485" i="62"/>
  <c r="V291" i="39" s="1"/>
  <c r="P521" i="62"/>
  <c r="P314" i="39" s="1"/>
  <c r="L521" i="62"/>
  <c r="L314" i="39" s="1"/>
  <c r="R521" i="62"/>
  <c r="R314" i="39" s="1"/>
  <c r="U521" i="62"/>
  <c r="U314" i="39" s="1"/>
  <c r="Q521" i="62"/>
  <c r="Q314" i="39" s="1"/>
  <c r="K121" i="57"/>
  <c r="I117"/>
  <c r="AC16" i="31"/>
  <c r="T18"/>
  <c r="I41" i="57"/>
  <c r="R128"/>
  <c r="I28"/>
  <c r="I53" i="31" s="1"/>
  <c r="I78" i="57"/>
  <c r="I46"/>
  <c r="I119"/>
  <c r="J126"/>
  <c r="G126" s="1"/>
  <c r="V128"/>
  <c r="I44"/>
  <c r="I26"/>
  <c r="I27"/>
  <c r="O128"/>
  <c r="M128"/>
  <c r="W53"/>
  <c r="I40"/>
  <c r="J185"/>
  <c r="G185" s="1"/>
  <c r="H32" i="44" s="1"/>
  <c r="K10" i="31"/>
  <c r="K79" i="48"/>
  <c r="K60" i="57"/>
  <c r="W60" s="1"/>
  <c r="I59"/>
  <c r="J188"/>
  <c r="T186"/>
  <c r="T64"/>
  <c r="J63"/>
  <c r="K74" i="48"/>
  <c r="K39" i="31"/>
  <c r="I25" i="57"/>
  <c r="S128"/>
  <c r="P128"/>
  <c r="I94"/>
  <c r="U121"/>
  <c r="I120"/>
  <c r="I39"/>
  <c r="I23"/>
  <c r="O121"/>
  <c r="I34"/>
  <c r="H140" i="44"/>
  <c r="P121" i="57"/>
  <c r="J25"/>
  <c r="G25" s="1"/>
  <c r="I126"/>
  <c r="I184"/>
  <c r="M121"/>
  <c r="S121"/>
  <c r="K123" i="44"/>
  <c r="K113"/>
  <c r="J34" i="25"/>
  <c r="AG74" i="18"/>
  <c r="AF11" i="20"/>
  <c r="AF14" s="1"/>
  <c r="H112" i="89"/>
  <c r="AF88" i="18"/>
  <c r="AE111" i="89"/>
  <c r="AE92" i="18"/>
  <c r="AE53" i="20"/>
  <c r="AE56" s="1"/>
  <c r="AB107" i="89"/>
  <c r="AC108"/>
  <c r="AC90" s="1"/>
  <c r="AE96"/>
  <c r="U50" i="62"/>
  <c r="U52" s="1"/>
  <c r="U54" s="1"/>
  <c r="S113" i="89"/>
  <c r="I35" i="25"/>
  <c r="AH80" i="18"/>
  <c r="AG28" i="20"/>
  <c r="AG31" s="1"/>
  <c r="R76" i="62"/>
  <c r="R43" i="39" s="1"/>
  <c r="O76" i="62"/>
  <c r="O43" i="39" s="1"/>
  <c r="N76" i="62"/>
  <c r="N43" i="39" s="1"/>
  <c r="Q90" i="48"/>
  <c r="S76" i="62"/>
  <c r="S43" i="39" s="1"/>
  <c r="V36" i="62"/>
  <c r="V20" i="39" s="1"/>
  <c r="T76" i="62"/>
  <c r="T43" i="39" s="1"/>
  <c r="Q76" i="62"/>
  <c r="Q43" i="39" s="1"/>
  <c r="U76" i="62"/>
  <c r="U43" i="39" s="1"/>
  <c r="M76" i="62"/>
  <c r="M43" i="39" s="1"/>
  <c r="W36" i="62"/>
  <c r="W20" i="39" s="1"/>
  <c r="L76" i="62"/>
  <c r="L43" i="39" s="1"/>
  <c r="P76" i="62"/>
  <c r="P43" i="39" s="1"/>
  <c r="AG36" i="20"/>
  <c r="AG39" s="1"/>
  <c r="AH82" i="18"/>
  <c r="T113" i="89"/>
  <c r="T99" s="1"/>
  <c r="AF86" i="18"/>
  <c r="AE45" i="20"/>
  <c r="AD111" i="89"/>
  <c r="I53" i="25"/>
  <c r="AE91" i="18"/>
  <c r="G94" i="25"/>
  <c r="AB108" i="20"/>
  <c r="AB113"/>
  <c r="AB111"/>
  <c r="AB107"/>
  <c r="AB109"/>
  <c r="AB110"/>
  <c r="AB131"/>
  <c r="I48"/>
  <c r="AC1"/>
  <c r="AC65"/>
  <c r="AC120" s="1"/>
  <c r="AC66"/>
  <c r="G63" i="25"/>
  <c r="G64" s="1"/>
  <c r="AD48" i="20"/>
  <c r="AD90"/>
  <c r="Q45" i="48"/>
  <c r="I91" i="20"/>
  <c r="I253"/>
  <c r="I89"/>
  <c r="I61" i="18"/>
  <c r="J61" s="1"/>
  <c r="K61" s="1"/>
  <c r="L61" s="1"/>
  <c r="M61" s="1"/>
  <c r="N266" i="62"/>
  <c r="N151" i="39" s="1"/>
  <c r="P266" i="62"/>
  <c r="P151" i="39" s="1"/>
  <c r="L266" i="62"/>
  <c r="L151" i="39" s="1"/>
  <c r="U266" i="62"/>
  <c r="U151" i="39" s="1"/>
  <c r="R266" i="62"/>
  <c r="R151" i="39" s="1"/>
  <c r="M266" i="62"/>
  <c r="M151" i="39" s="1"/>
  <c r="T266" i="62"/>
  <c r="T151" i="39" s="1"/>
  <c r="S266" i="62"/>
  <c r="S151" i="39" s="1"/>
  <c r="O266" i="62"/>
  <c r="O151" i="39" s="1"/>
  <c r="Q266" i="62"/>
  <c r="Q151" i="39" s="1"/>
  <c r="O50" i="31"/>
  <c r="R35" i="18"/>
  <c r="I53" i="48"/>
  <c r="W53" s="1"/>
  <c r="AC16" i="89"/>
  <c r="I118" i="20"/>
  <c r="U50" i="31"/>
  <c r="AR53" i="48"/>
  <c r="I21" i="18"/>
  <c r="G46"/>
  <c r="Q21"/>
  <c r="S98" i="89" l="1"/>
  <c r="L86" i="62" s="1"/>
  <c r="L87"/>
  <c r="AE64" i="20"/>
  <c r="G94" i="44"/>
  <c r="H94" s="1"/>
  <c r="G96"/>
  <c r="G108" s="1"/>
  <c r="G72"/>
  <c r="H72" s="1"/>
  <c r="G74"/>
  <c r="G86" s="1"/>
  <c r="G54" i="18"/>
  <c r="I29"/>
  <c r="J29" s="1"/>
  <c r="K29" s="1"/>
  <c r="L29" s="1"/>
  <c r="M29" s="1"/>
  <c r="Q29"/>
  <c r="W26" i="39"/>
  <c r="I112" i="89"/>
  <c r="AF19" i="20"/>
  <c r="AF22" s="1"/>
  <c r="AF64" s="1"/>
  <c r="AG76" i="18"/>
  <c r="I15" i="25" s="1"/>
  <c r="F108" i="89"/>
  <c r="F90" s="1"/>
  <c r="F91" s="1"/>
  <c r="H96"/>
  <c r="U43" i="62"/>
  <c r="U25" i="39" s="1"/>
  <c r="H11" i="26"/>
  <c r="F87" i="22"/>
  <c r="Q22" i="48"/>
  <c r="Q64" s="1"/>
  <c r="I64" i="20"/>
  <c r="I84" s="1"/>
  <c r="V55" i="28"/>
  <c r="V44" i="62"/>
  <c r="I97" i="89"/>
  <c r="I14" i="25"/>
  <c r="J36" i="31"/>
  <c r="K36" s="1"/>
  <c r="L36" s="1"/>
  <c r="M36" s="1"/>
  <c r="N36"/>
  <c r="O36" s="1"/>
  <c r="P36" s="1"/>
  <c r="Q36" s="1"/>
  <c r="R36" s="1"/>
  <c r="G32" i="18"/>
  <c r="G36"/>
  <c r="N33" i="31"/>
  <c r="O33" s="1"/>
  <c r="J33"/>
  <c r="K33" s="1"/>
  <c r="L33" s="1"/>
  <c r="I60" i="57"/>
  <c r="AE93" i="18"/>
  <c r="N57" i="31"/>
  <c r="O57" s="1"/>
  <c r="J57"/>
  <c r="K57" s="1"/>
  <c r="L57" s="1"/>
  <c r="M57" s="1"/>
  <c r="T57"/>
  <c r="J64" i="57"/>
  <c r="G64" s="1"/>
  <c r="G139" i="44" s="1"/>
  <c r="G63" i="57"/>
  <c r="S557" i="62"/>
  <c r="S337" i="39" s="1"/>
  <c r="R557" i="62"/>
  <c r="R337" i="39" s="1"/>
  <c r="V521" i="62"/>
  <c r="V314" i="39" s="1"/>
  <c r="Q557" i="62"/>
  <c r="Q337" i="39" s="1"/>
  <c r="M557" i="62"/>
  <c r="M337" i="39" s="1"/>
  <c r="L557" i="62"/>
  <c r="L337" i="39" s="1"/>
  <c r="N557" i="62"/>
  <c r="N337" i="39" s="1"/>
  <c r="W521" i="62"/>
  <c r="W314" i="39" s="1"/>
  <c r="O557" i="62"/>
  <c r="O337" i="39" s="1"/>
  <c r="T557" i="62"/>
  <c r="T337" i="39" s="1"/>
  <c r="U557" i="62"/>
  <c r="U337" i="39" s="1"/>
  <c r="P557" i="62"/>
  <c r="P337" i="39" s="1"/>
  <c r="N53" i="31"/>
  <c r="J53"/>
  <c r="J82" i="48"/>
  <c r="T53" i="31"/>
  <c r="AD16"/>
  <c r="AC17"/>
  <c r="AC18" s="1"/>
  <c r="G124" i="57"/>
  <c r="J128"/>
  <c r="G128" s="1"/>
  <c r="O22" i="31"/>
  <c r="AL78" i="48"/>
  <c r="P39" i="31"/>
  <c r="AM74" i="48"/>
  <c r="M520" i="62"/>
  <c r="M313" i="39" s="1"/>
  <c r="T520" i="62"/>
  <c r="T313" i="39" s="1"/>
  <c r="R520" i="62"/>
  <c r="R313" i="39" s="1"/>
  <c r="Q520" i="62"/>
  <c r="Q313" i="39" s="1"/>
  <c r="W484" i="62"/>
  <c r="W290" i="39" s="1"/>
  <c r="N520" i="62"/>
  <c r="N313" i="39" s="1"/>
  <c r="U520" i="62"/>
  <c r="U313" i="39" s="1"/>
  <c r="O520" i="62"/>
  <c r="O313" i="39" s="1"/>
  <c r="L520" i="62"/>
  <c r="L313" i="39" s="1"/>
  <c r="S520" i="62"/>
  <c r="S313" i="39" s="1"/>
  <c r="P520" i="62"/>
  <c r="P313" i="39" s="1"/>
  <c r="V484" i="62"/>
  <c r="V290" i="39" s="1"/>
  <c r="J121" i="57"/>
  <c r="G121" s="1"/>
  <c r="G117"/>
  <c r="P551" i="62"/>
  <c r="P331" i="39" s="1"/>
  <c r="M551" i="62"/>
  <c r="M331" i="39" s="1"/>
  <c r="R551" i="62"/>
  <c r="R331" i="39" s="1"/>
  <c r="U551" i="62"/>
  <c r="U331" i="39" s="1"/>
  <c r="W515" i="62"/>
  <c r="W308" i="39" s="1"/>
  <c r="N551" i="62"/>
  <c r="N331" i="39" s="1"/>
  <c r="Q551" i="62"/>
  <c r="Q331" i="39" s="1"/>
  <c r="L551" i="62"/>
  <c r="L331" i="39" s="1"/>
  <c r="T551" i="62"/>
  <c r="T331" i="39" s="1"/>
  <c r="O551" i="62"/>
  <c r="O331" i="39" s="1"/>
  <c r="S551" i="62"/>
  <c r="S331" i="39" s="1"/>
  <c r="V515" i="62"/>
  <c r="V308" i="39" s="1"/>
  <c r="J189" i="57"/>
  <c r="G189" s="1"/>
  <c r="G145" i="44" s="1"/>
  <c r="G188" i="57"/>
  <c r="F145" i="44" s="1"/>
  <c r="H54"/>
  <c r="AL49" i="48"/>
  <c r="S259" i="62"/>
  <c r="Q259"/>
  <c r="O259"/>
  <c r="R259"/>
  <c r="L259"/>
  <c r="T259"/>
  <c r="M259"/>
  <c r="U259"/>
  <c r="P259"/>
  <c r="N259"/>
  <c r="J49" i="48"/>
  <c r="M6" i="22"/>
  <c r="T22" i="31"/>
  <c r="I121" i="57"/>
  <c r="L39" i="31"/>
  <c r="L74" i="48"/>
  <c r="T187" i="57"/>
  <c r="I186"/>
  <c r="I187" s="1"/>
  <c r="J186"/>
  <c r="J47" i="31"/>
  <c r="K47" s="1"/>
  <c r="L47" s="1"/>
  <c r="M47" s="1"/>
  <c r="N47"/>
  <c r="T47"/>
  <c r="J55" i="57"/>
  <c r="G55" s="1"/>
  <c r="G134" i="44" s="1"/>
  <c r="G54" i="57"/>
  <c r="P10" i="31"/>
  <c r="AM79" i="48"/>
  <c r="I128" i="57"/>
  <c r="AE93" i="48"/>
  <c r="L10" i="31"/>
  <c r="L79" i="48"/>
  <c r="G30" i="18"/>
  <c r="G26"/>
  <c r="G22"/>
  <c r="G24"/>
  <c r="V262" i="62"/>
  <c r="V147" i="39" s="1"/>
  <c r="O298" i="62"/>
  <c r="O170" i="39" s="1"/>
  <c r="W262" i="62"/>
  <c r="W147" i="39" s="1"/>
  <c r="U298" i="62"/>
  <c r="U170" i="39" s="1"/>
  <c r="R298" i="62"/>
  <c r="R170" i="39" s="1"/>
  <c r="L298" i="62"/>
  <c r="L170" i="39" s="1"/>
  <c r="X74" i="48"/>
  <c r="T298" i="62"/>
  <c r="T170" i="39" s="1"/>
  <c r="Q298" i="62"/>
  <c r="Q170" i="39" s="1"/>
  <c r="N298" i="62"/>
  <c r="N170" i="39" s="1"/>
  <c r="AS74" i="48"/>
  <c r="S298" i="62"/>
  <c r="S170" i="39" s="1"/>
  <c r="P298" i="62"/>
  <c r="P170" i="39" s="1"/>
  <c r="M298" i="62"/>
  <c r="M170" i="39" s="1"/>
  <c r="K22" i="31"/>
  <c r="K78" i="48"/>
  <c r="W268" i="62"/>
  <c r="W153" i="39" s="1"/>
  <c r="M304" i="62"/>
  <c r="M176" i="39" s="1"/>
  <c r="T304" i="62"/>
  <c r="T176" i="39" s="1"/>
  <c r="Q304" i="62"/>
  <c r="Q176" i="39" s="1"/>
  <c r="U304" i="62"/>
  <c r="U176" i="39" s="1"/>
  <c r="R304" i="62"/>
  <c r="R176" i="39" s="1"/>
  <c r="X79" i="48"/>
  <c r="P304" i="62"/>
  <c r="P176" i="39" s="1"/>
  <c r="O304" i="62"/>
  <c r="O176" i="39" s="1"/>
  <c r="N304" i="62"/>
  <c r="N176" i="39" s="1"/>
  <c r="AE79" i="48"/>
  <c r="AS79"/>
  <c r="L304" i="62"/>
  <c r="L176" i="39" s="1"/>
  <c r="V268" i="62"/>
  <c r="V153" i="39" s="1"/>
  <c r="S304" i="62"/>
  <c r="S176" i="39" s="1"/>
  <c r="AE74" i="48"/>
  <c r="L113" i="44"/>
  <c r="L123"/>
  <c r="AH74" i="18"/>
  <c r="H113" i="89"/>
  <c r="AG11" i="20"/>
  <c r="AG14" s="1"/>
  <c r="AD96" i="89"/>
  <c r="U49" i="62"/>
  <c r="AB108" i="89"/>
  <c r="AB90" s="1"/>
  <c r="AB91" s="1"/>
  <c r="AE112"/>
  <c r="AF53" i="20"/>
  <c r="AF56" s="1"/>
  <c r="AF92" i="18"/>
  <c r="AG88"/>
  <c r="AE97" i="89"/>
  <c r="V50" i="62"/>
  <c r="V52" s="1"/>
  <c r="V54" s="1"/>
  <c r="Q48" i="48"/>
  <c r="Q65" s="1"/>
  <c r="V100" i="28"/>
  <c r="I66" i="20"/>
  <c r="I65"/>
  <c r="H13" i="26"/>
  <c r="F89" i="22"/>
  <c r="AE48" i="20"/>
  <c r="AE90"/>
  <c r="Q91" i="48"/>
  <c r="U91" i="20"/>
  <c r="U124" s="1"/>
  <c r="T91"/>
  <c r="T124" s="1"/>
  <c r="W37" i="62"/>
  <c r="W21" i="39" s="1"/>
  <c r="L77" i="62"/>
  <c r="L44" i="39" s="1"/>
  <c r="AA91" i="20"/>
  <c r="AA124" s="1"/>
  <c r="R77" i="62"/>
  <c r="R44" i="39" s="1"/>
  <c r="V37" i="62"/>
  <c r="V21" i="39" s="1"/>
  <c r="R91" i="20"/>
  <c r="R124" s="1"/>
  <c r="Y91"/>
  <c r="Y124" s="1"/>
  <c r="N77" i="62"/>
  <c r="N44" i="39" s="1"/>
  <c r="W91" i="20"/>
  <c r="W124" s="1"/>
  <c r="H91"/>
  <c r="U77" i="62"/>
  <c r="U44" i="39" s="1"/>
  <c r="Z91" i="20"/>
  <c r="Z124" s="1"/>
  <c r="V91"/>
  <c r="V124" s="1"/>
  <c r="X91"/>
  <c r="X124" s="1"/>
  <c r="S91"/>
  <c r="S124" s="1"/>
  <c r="S77" i="62"/>
  <c r="S44" i="39" s="1"/>
  <c r="AB91" i="20"/>
  <c r="AB124" s="1"/>
  <c r="AC91"/>
  <c r="AC124" s="1"/>
  <c r="M77" i="62"/>
  <c r="M44" i="39" s="1"/>
  <c r="P77" i="62"/>
  <c r="P44" i="39" s="1"/>
  <c r="O77" i="62"/>
  <c r="O44" i="39" s="1"/>
  <c r="T77" i="62"/>
  <c r="T44" i="39" s="1"/>
  <c r="Q77" i="62"/>
  <c r="Q44" i="39" s="1"/>
  <c r="AI80" i="18"/>
  <c r="S114" i="89"/>
  <c r="AH28" i="20"/>
  <c r="AH31" s="1"/>
  <c r="I36" i="25"/>
  <c r="M75" i="62"/>
  <c r="M42" i="39" s="1"/>
  <c r="AB89" i="20"/>
  <c r="AB123" s="1"/>
  <c r="W89"/>
  <c r="W123" s="1"/>
  <c r="R75" i="62"/>
  <c r="R42" i="39" s="1"/>
  <c r="O75" i="62"/>
  <c r="O42" i="39" s="1"/>
  <c r="L75" i="62"/>
  <c r="L42" i="39" s="1"/>
  <c r="V89" i="20"/>
  <c r="V123" s="1"/>
  <c r="U75" i="62"/>
  <c r="U42" i="39" s="1"/>
  <c r="V35" i="62"/>
  <c r="V19" i="39" s="1"/>
  <c r="Q89" i="48"/>
  <c r="Q75" i="62"/>
  <c r="Q42" i="39" s="1"/>
  <c r="U89" i="20"/>
  <c r="U123" s="1"/>
  <c r="AC89"/>
  <c r="AC123" s="1"/>
  <c r="T75" i="62"/>
  <c r="T42" i="39" s="1"/>
  <c r="P75" i="62"/>
  <c r="P42" i="39" s="1"/>
  <c r="W35" i="62"/>
  <c r="W19" i="39" s="1"/>
  <c r="S75" i="62"/>
  <c r="S42" i="39" s="1"/>
  <c r="T89" i="20"/>
  <c r="T123" s="1"/>
  <c r="R89"/>
  <c r="R123" s="1"/>
  <c r="X89"/>
  <c r="X123" s="1"/>
  <c r="S89"/>
  <c r="S123" s="1"/>
  <c r="Y89"/>
  <c r="Y123" s="1"/>
  <c r="N75" i="62"/>
  <c r="N42" i="39" s="1"/>
  <c r="AA89" i="20"/>
  <c r="AA123" s="1"/>
  <c r="Z89"/>
  <c r="Z123" s="1"/>
  <c r="J52" i="25"/>
  <c r="AD66" i="20"/>
  <c r="AD65"/>
  <c r="AD120" s="1"/>
  <c r="Q204" i="48"/>
  <c r="Q205" s="1"/>
  <c r="I254" i="20"/>
  <c r="AC113"/>
  <c r="AC110"/>
  <c r="AC111"/>
  <c r="AC107"/>
  <c r="AC131"/>
  <c r="AC108"/>
  <c r="AC109"/>
  <c r="AG86" i="18"/>
  <c r="AD112" i="89"/>
  <c r="AF45" i="20"/>
  <c r="AF91" i="18"/>
  <c r="I54" i="25"/>
  <c r="AI82" i="18"/>
  <c r="AH36" i="20"/>
  <c r="AH39" s="1"/>
  <c r="T114" i="89"/>
  <c r="T100" s="1"/>
  <c r="J35" i="25"/>
  <c r="F16" i="89"/>
  <c r="J21" i="18"/>
  <c r="S35"/>
  <c r="AC31" i="89"/>
  <c r="AC56"/>
  <c r="R61" i="18"/>
  <c r="I47"/>
  <c r="Q47"/>
  <c r="R29" i="62"/>
  <c r="R13" i="39" s="1"/>
  <c r="O29" i="62"/>
  <c r="O13" i="39" s="1"/>
  <c r="M29" i="62"/>
  <c r="M13" i="39" s="1"/>
  <c r="S29" i="62"/>
  <c r="S13" i="39" s="1"/>
  <c r="U29" i="62"/>
  <c r="U13" i="39" s="1"/>
  <c r="Q69" i="62"/>
  <c r="Q36" i="39" s="1"/>
  <c r="M69" i="62"/>
  <c r="M36" i="39" s="1"/>
  <c r="T69" i="62"/>
  <c r="T36" i="39" s="1"/>
  <c r="P69" i="62"/>
  <c r="P36" i="39" s="1"/>
  <c r="L69" i="62"/>
  <c r="L36" i="39" s="1"/>
  <c r="T29" i="62"/>
  <c r="T13" i="39" s="1"/>
  <c r="O69" i="62"/>
  <c r="O36" i="39" s="1"/>
  <c r="V29" i="62"/>
  <c r="V13" i="39" s="1"/>
  <c r="P29" i="62"/>
  <c r="P13" i="39" s="1"/>
  <c r="S69" i="62"/>
  <c r="S36" i="39" s="1"/>
  <c r="N69" i="62"/>
  <c r="N36" i="39" s="1"/>
  <c r="N29" i="62"/>
  <c r="N13" i="39" s="1"/>
  <c r="L29" i="62"/>
  <c r="L13" i="39" s="1"/>
  <c r="R69" i="62"/>
  <c r="R36" i="39" s="1"/>
  <c r="Q29" i="62"/>
  <c r="Q13" i="39" s="1"/>
  <c r="W29" i="62"/>
  <c r="W13" i="39" s="1"/>
  <c r="P50" i="31"/>
  <c r="M87" i="62"/>
  <c r="P33" i="31"/>
  <c r="V50"/>
  <c r="J118" i="20"/>
  <c r="P57" i="31"/>
  <c r="AC17" i="89"/>
  <c r="S99"/>
  <c r="H145" i="44" l="1"/>
  <c r="H14" i="26"/>
  <c r="H24" i="94" s="1"/>
  <c r="F90" i="22"/>
  <c r="L49" i="39"/>
  <c r="Q55" i="18"/>
  <c r="I55"/>
  <c r="J55" s="1"/>
  <c r="K55" s="1"/>
  <c r="L55" s="1"/>
  <c r="M55" s="1"/>
  <c r="I94" i="44"/>
  <c r="H93"/>
  <c r="H96" s="1"/>
  <c r="H108" s="1"/>
  <c r="R29" i="18"/>
  <c r="R16" i="89"/>
  <c r="I72" i="44"/>
  <c r="H71"/>
  <c r="H74" s="1"/>
  <c r="H86" s="1"/>
  <c r="V43" i="62"/>
  <c r="V25" i="39" s="1"/>
  <c r="H97" i="89"/>
  <c r="W44" i="62"/>
  <c r="I98" i="89"/>
  <c r="I226" i="20"/>
  <c r="I227"/>
  <c r="V56" i="28"/>
  <c r="V57"/>
  <c r="AG19" i="20"/>
  <c r="AG22" s="1"/>
  <c r="J15" i="25" s="1"/>
  <c r="AH76" i="18"/>
  <c r="I113" i="89"/>
  <c r="U69" i="62"/>
  <c r="U36" i="39" s="1"/>
  <c r="J14" i="25"/>
  <c r="Q33" i="18"/>
  <c r="I33"/>
  <c r="G58"/>
  <c r="G37"/>
  <c r="P556" i="62"/>
  <c r="P336" i="39" s="1"/>
  <c r="O556" i="62"/>
  <c r="O336" i="39" s="1"/>
  <c r="V520" i="62"/>
  <c r="V313" i="39" s="1"/>
  <c r="T556" i="62"/>
  <c r="T336" i="39" s="1"/>
  <c r="S556" i="62"/>
  <c r="S336" i="39" s="1"/>
  <c r="N556" i="62"/>
  <c r="N336" i="39" s="1"/>
  <c r="M556" i="62"/>
  <c r="M336" i="39" s="1"/>
  <c r="U556" i="62"/>
  <c r="U336" i="39" s="1"/>
  <c r="R556" i="62"/>
  <c r="R336" i="39" s="1"/>
  <c r="Q556" i="62"/>
  <c r="Q336" i="39" s="1"/>
  <c r="L556" i="62"/>
  <c r="L336" i="39" s="1"/>
  <c r="W520" i="62"/>
  <c r="W313" i="39" s="1"/>
  <c r="H130" i="44"/>
  <c r="H49" s="1"/>
  <c r="F134"/>
  <c r="W47"/>
  <c r="F17" s="1"/>
  <c r="U587" i="62"/>
  <c r="U354" i="39" s="1"/>
  <c r="O587" i="62"/>
  <c r="O354" i="39" s="1"/>
  <c r="T587" i="62"/>
  <c r="T354" i="39" s="1"/>
  <c r="S587" i="62"/>
  <c r="S354" i="39" s="1"/>
  <c r="V551" i="62"/>
  <c r="V331" i="39" s="1"/>
  <c r="N587" i="62"/>
  <c r="N354" i="39" s="1"/>
  <c r="R587" i="62"/>
  <c r="R354" i="39" s="1"/>
  <c r="L587" i="62"/>
  <c r="L354" i="39" s="1"/>
  <c r="Q587" i="62"/>
  <c r="Q354" i="39" s="1"/>
  <c r="M587" i="62"/>
  <c r="M354" i="39" s="1"/>
  <c r="W551" i="62"/>
  <c r="W331" i="39" s="1"/>
  <c r="P587" i="62"/>
  <c r="P354" i="39" s="1"/>
  <c r="W298" i="62"/>
  <c r="W170" i="39" s="1"/>
  <c r="P334" i="62"/>
  <c r="P193" i="39" s="1"/>
  <c r="U334" i="62"/>
  <c r="U193" i="39" s="1"/>
  <c r="L334" i="62"/>
  <c r="L193" i="39" s="1"/>
  <c r="O334" i="62"/>
  <c r="O193" i="39" s="1"/>
  <c r="V298" i="62"/>
  <c r="V170" i="39" s="1"/>
  <c r="Q334" i="62"/>
  <c r="Q193" i="39" s="1"/>
  <c r="M334" i="62"/>
  <c r="M193" i="39" s="1"/>
  <c r="AT74" i="48"/>
  <c r="AF74"/>
  <c r="S334" i="62"/>
  <c r="S193" i="39" s="1"/>
  <c r="R334" i="62"/>
  <c r="R193" i="39" s="1"/>
  <c r="N334" i="62"/>
  <c r="N193" i="39" s="1"/>
  <c r="Y74" i="48"/>
  <c r="T334" i="62"/>
  <c r="T193" i="39" s="1"/>
  <c r="U53" i="31"/>
  <c r="I82" i="20"/>
  <c r="I116" s="1"/>
  <c r="F139" i="44"/>
  <c r="W52"/>
  <c r="F26" s="1"/>
  <c r="M79" i="48"/>
  <c r="M10" i="31"/>
  <c r="N79" i="48" s="1"/>
  <c r="Q10" i="31"/>
  <c r="AN79" i="48"/>
  <c r="M265" i="62"/>
  <c r="M150" i="39" s="1"/>
  <c r="P265" i="62"/>
  <c r="P150" i="39" s="1"/>
  <c r="S265" i="62"/>
  <c r="S150" i="39" s="1"/>
  <c r="O47" i="31"/>
  <c r="P47" s="1"/>
  <c r="Q47" s="1"/>
  <c r="T265" i="62"/>
  <c r="T150" i="39" s="1"/>
  <c r="L265" i="62"/>
  <c r="L150" i="39" s="1"/>
  <c r="U265" i="62"/>
  <c r="U150" i="39" s="1"/>
  <c r="O265" i="62"/>
  <c r="O150" i="39" s="1"/>
  <c r="Q265" i="62"/>
  <c r="Q150" i="39" s="1"/>
  <c r="R265" i="62"/>
  <c r="R150" i="39" s="1"/>
  <c r="N265" i="62"/>
  <c r="N150" i="39" s="1"/>
  <c r="H14" i="44"/>
  <c r="H120"/>
  <c r="H44" s="1"/>
  <c r="P476" i="62"/>
  <c r="S476"/>
  <c r="R476"/>
  <c r="Q476"/>
  <c r="T476"/>
  <c r="L476"/>
  <c r="U476"/>
  <c r="O476"/>
  <c r="M476"/>
  <c r="N476"/>
  <c r="AE49" i="48"/>
  <c r="I49" i="20"/>
  <c r="AM78" i="48"/>
  <c r="P22" i="31"/>
  <c r="AE16"/>
  <c r="AD17"/>
  <c r="AD18" s="1"/>
  <c r="O53"/>
  <c r="AL82" i="48"/>
  <c r="I27" i="18"/>
  <c r="G31"/>
  <c r="Q27"/>
  <c r="G52"/>
  <c r="G38"/>
  <c r="R593" i="62"/>
  <c r="R360" i="39" s="1"/>
  <c r="W557" i="62"/>
  <c r="W337" i="39" s="1"/>
  <c r="U593" i="62"/>
  <c r="U360" i="39" s="1"/>
  <c r="M593" i="62"/>
  <c r="M360" i="39" s="1"/>
  <c r="O593" i="62"/>
  <c r="O360" i="39" s="1"/>
  <c r="P593" i="62"/>
  <c r="P360" i="39" s="1"/>
  <c r="Q593" i="62"/>
  <c r="Q360" i="39" s="1"/>
  <c r="L593" i="62"/>
  <c r="L360" i="39" s="1"/>
  <c r="S593" i="62"/>
  <c r="S360" i="39" s="1"/>
  <c r="N593" i="62"/>
  <c r="N360" i="39" s="1"/>
  <c r="T593" i="62"/>
  <c r="T360" i="39" s="1"/>
  <c r="AG79" i="48"/>
  <c r="V557" i="62"/>
  <c r="V337" i="39" s="1"/>
  <c r="AF79" i="48"/>
  <c r="V304" i="62"/>
  <c r="V176" i="39" s="1"/>
  <c r="R340" i="62"/>
  <c r="R199" i="39" s="1"/>
  <c r="L340" i="62"/>
  <c r="L199" i="39" s="1"/>
  <c r="U340" i="62"/>
  <c r="U199" i="39" s="1"/>
  <c r="M340" i="62"/>
  <c r="M199" i="39" s="1"/>
  <c r="W304" i="62"/>
  <c r="W176" i="39" s="1"/>
  <c r="Y79" i="48"/>
  <c r="T340" i="62"/>
  <c r="T199" i="39" s="1"/>
  <c r="O340" i="62"/>
  <c r="O199" i="39" s="1"/>
  <c r="P340" i="62"/>
  <c r="P199" i="39" s="1"/>
  <c r="N340" i="62"/>
  <c r="N199" i="39" s="1"/>
  <c r="Q340" i="62"/>
  <c r="Q199" i="39" s="1"/>
  <c r="AT79" i="48"/>
  <c r="S340" i="62"/>
  <c r="S199" i="39" s="1"/>
  <c r="U47" i="31"/>
  <c r="I114" i="20"/>
  <c r="AE78" i="48"/>
  <c r="R303" i="62"/>
  <c r="R175" i="39" s="1"/>
  <c r="Q303" i="62"/>
  <c r="Q175" i="39" s="1"/>
  <c r="W267" i="62"/>
  <c r="W152" i="39" s="1"/>
  <c r="U303" i="62"/>
  <c r="U175" i="39" s="1"/>
  <c r="P303" i="62"/>
  <c r="P175" i="39" s="1"/>
  <c r="O303" i="62"/>
  <c r="O175" i="39" s="1"/>
  <c r="V267" i="62"/>
  <c r="V152" i="39" s="1"/>
  <c r="T303" i="62"/>
  <c r="T175" i="39" s="1"/>
  <c r="S303" i="62"/>
  <c r="S175" i="39" s="1"/>
  <c r="N303" i="62"/>
  <c r="N175" i="39" s="1"/>
  <c r="M303" i="62"/>
  <c r="M175" i="39" s="1"/>
  <c r="L303" i="62"/>
  <c r="L175" i="39" s="1"/>
  <c r="K82" i="48"/>
  <c r="K53" i="31"/>
  <c r="I117" i="20"/>
  <c r="U57" i="31"/>
  <c r="L78" i="48"/>
  <c r="L22" i="31"/>
  <c r="G39" i="18"/>
  <c r="Q23"/>
  <c r="I23"/>
  <c r="G48"/>
  <c r="G25"/>
  <c r="J187" i="57"/>
  <c r="G187" s="1"/>
  <c r="G144" i="44" s="1"/>
  <c r="G186" i="57"/>
  <c r="M39" i="31"/>
  <c r="N74" i="48" s="1"/>
  <c r="M74"/>
  <c r="T26" i="31"/>
  <c r="I78" i="20"/>
  <c r="U22" i="31"/>
  <c r="S22"/>
  <c r="S26" s="1"/>
  <c r="H78" i="20" s="1"/>
  <c r="AN74" i="48"/>
  <c r="Q39" i="31"/>
  <c r="T522" i="62"/>
  <c r="T315" i="39" s="1"/>
  <c r="Q522" i="62"/>
  <c r="Q315" i="39" s="1"/>
  <c r="N522" i="62"/>
  <c r="N315" i="39" s="1"/>
  <c r="V486" i="62"/>
  <c r="V292" i="39" s="1"/>
  <c r="U522" i="62"/>
  <c r="U315" i="39" s="1"/>
  <c r="R522" i="62"/>
  <c r="R315" i="39" s="1"/>
  <c r="L522" i="62"/>
  <c r="L315" i="39" s="1"/>
  <c r="S522" i="62"/>
  <c r="S315" i="39" s="1"/>
  <c r="P522" i="62"/>
  <c r="P315" i="39" s="1"/>
  <c r="M522" i="62"/>
  <c r="M315" i="39" s="1"/>
  <c r="W486" i="62"/>
  <c r="W292" i="39" s="1"/>
  <c r="O522" i="62"/>
  <c r="O315" i="39" s="1"/>
  <c r="AF93" i="18"/>
  <c r="AI74"/>
  <c r="H114" i="89"/>
  <c r="AH11" i="20"/>
  <c r="AH14" s="1"/>
  <c r="AD97" i="89"/>
  <c r="W49" i="62" s="1"/>
  <c r="W51" s="1"/>
  <c r="W53" s="1"/>
  <c r="V49"/>
  <c r="U27" i="39"/>
  <c r="U51" i="62"/>
  <c r="U53" s="1"/>
  <c r="AG53" i="20"/>
  <c r="AG56" s="1"/>
  <c r="AE113" i="89"/>
  <c r="AH88" i="18"/>
  <c r="AG92"/>
  <c r="AE98" i="89"/>
  <c r="AD98" s="1"/>
  <c r="W50" i="62"/>
  <c r="W52" s="1"/>
  <c r="W54" s="1"/>
  <c r="AJ80" i="18"/>
  <c r="I37" i="25"/>
  <c r="AI28" i="20"/>
  <c r="AI31" s="1"/>
  <c r="S115" i="89"/>
  <c r="AF48" i="20"/>
  <c r="AF90"/>
  <c r="I107"/>
  <c r="I131"/>
  <c r="I124"/>
  <c r="O83" i="22"/>
  <c r="I111" i="20"/>
  <c r="I113"/>
  <c r="I108"/>
  <c r="I120"/>
  <c r="I109"/>
  <c r="V136" i="28"/>
  <c r="I110" i="20"/>
  <c r="Q66" i="48"/>
  <c r="I123" i="20"/>
  <c r="U40" i="62"/>
  <c r="U24" i="39" s="1"/>
  <c r="Q91" i="20"/>
  <c r="Q92" s="1"/>
  <c r="P91" i="48"/>
  <c r="H92" i="20"/>
  <c r="P92" i="48" s="1"/>
  <c r="J53" i="25"/>
  <c r="AE66" i="20"/>
  <c r="AE65"/>
  <c r="AE120" s="1"/>
  <c r="I228"/>
  <c r="I88"/>
  <c r="I122" s="1"/>
  <c r="I229"/>
  <c r="J36" i="25"/>
  <c r="AJ82" i="18"/>
  <c r="AI36" i="20"/>
  <c r="AI39" s="1"/>
  <c r="T115" i="89"/>
  <c r="T101" s="1"/>
  <c r="AD108" i="20"/>
  <c r="AD107"/>
  <c r="AD110"/>
  <c r="AD113"/>
  <c r="AD111"/>
  <c r="AD109"/>
  <c r="AD131"/>
  <c r="V122" i="28"/>
  <c r="V101"/>
  <c r="AH86" i="18"/>
  <c r="AG45" i="20"/>
  <c r="AD113" i="89"/>
  <c r="I55" i="25"/>
  <c r="AG91" i="18"/>
  <c r="I186" i="20"/>
  <c r="I271"/>
  <c r="J318"/>
  <c r="K318"/>
  <c r="I318"/>
  <c r="I325" s="1"/>
  <c r="I276" s="1"/>
  <c r="I279" s="1"/>
  <c r="I304" s="1"/>
  <c r="I259"/>
  <c r="I264" s="1"/>
  <c r="I266" s="1"/>
  <c r="I97" s="1"/>
  <c r="I130" s="1"/>
  <c r="L318"/>
  <c r="M318"/>
  <c r="Q124" i="48"/>
  <c r="Q123"/>
  <c r="Q120"/>
  <c r="Q33" i="31"/>
  <c r="AA84" i="20"/>
  <c r="AA118" s="1"/>
  <c r="AC84"/>
  <c r="AC118" s="1"/>
  <c r="T84"/>
  <c r="T118" s="1"/>
  <c r="R84"/>
  <c r="R118" s="1"/>
  <c r="U84"/>
  <c r="U118" s="1"/>
  <c r="V84"/>
  <c r="V118" s="1"/>
  <c r="Q84" i="48"/>
  <c r="X84" i="20"/>
  <c r="X118" s="1"/>
  <c r="S84"/>
  <c r="S118" s="1"/>
  <c r="Y84"/>
  <c r="Y118" s="1"/>
  <c r="H84"/>
  <c r="Z84"/>
  <c r="Z118" s="1"/>
  <c r="W84"/>
  <c r="W118" s="1"/>
  <c r="AB84"/>
  <c r="AB118" s="1"/>
  <c r="M86" i="62"/>
  <c r="M49" i="39" s="1"/>
  <c r="S100" i="89"/>
  <c r="M33" i="31"/>
  <c r="W50"/>
  <c r="K118" i="20"/>
  <c r="N87" i="62"/>
  <c r="Q50" i="31"/>
  <c r="K21" i="18"/>
  <c r="J47"/>
  <c r="AC71" i="89"/>
  <c r="S61" i="18"/>
  <c r="V468" i="62"/>
  <c r="Q57" i="31"/>
  <c r="F56" i="89"/>
  <c r="T35" i="18"/>
  <c r="AC32" i="89"/>
  <c r="AC18" s="1"/>
  <c r="AG64" i="20" l="1"/>
  <c r="H23" i="44"/>
  <c r="H21" i="94"/>
  <c r="S29" i="18"/>
  <c r="R31" i="89"/>
  <c r="R17" s="1"/>
  <c r="R55" i="18"/>
  <c r="R56" i="89"/>
  <c r="J72" i="44"/>
  <c r="I71"/>
  <c r="I74" s="1"/>
  <c r="I86" s="1"/>
  <c r="J94"/>
  <c r="I93"/>
  <c r="I96" s="1"/>
  <c r="I108" s="1"/>
  <c r="V69" i="62"/>
  <c r="V36" i="39" s="1"/>
  <c r="I99" i="89"/>
  <c r="L84" i="62"/>
  <c r="H98" i="89"/>
  <c r="W43" i="62"/>
  <c r="I114" i="89"/>
  <c r="AI76" i="18"/>
  <c r="I17" i="25" s="1"/>
  <c r="I16"/>
  <c r="AH19" i="20"/>
  <c r="AH22" s="1"/>
  <c r="AH64" s="1"/>
  <c r="U62" i="62"/>
  <c r="R33" i="18"/>
  <c r="AK45" i="48"/>
  <c r="AB16" i="89"/>
  <c r="I45" i="48"/>
  <c r="I36" i="18"/>
  <c r="I37"/>
  <c r="J33"/>
  <c r="Q59"/>
  <c r="G63"/>
  <c r="I59"/>
  <c r="G62"/>
  <c r="W27" i="39"/>
  <c r="R39" i="31"/>
  <c r="AP74" i="48" s="1"/>
  <c r="AO74"/>
  <c r="T78" i="20"/>
  <c r="T112" s="1"/>
  <c r="M70" i="62"/>
  <c r="M37" i="39" s="1"/>
  <c r="P70" i="62"/>
  <c r="P37" i="39" s="1"/>
  <c r="AA78" i="20"/>
  <c r="AA112" s="1"/>
  <c r="S70" i="62"/>
  <c r="S37" i="39" s="1"/>
  <c r="R70" i="62"/>
  <c r="R37" i="39" s="1"/>
  <c r="H21" i="26"/>
  <c r="U78" i="20"/>
  <c r="U112" s="1"/>
  <c r="Q70" i="62"/>
  <c r="Q37" i="39" s="1"/>
  <c r="T70" i="62"/>
  <c r="T37" i="39" s="1"/>
  <c r="Q78" i="48"/>
  <c r="Q112" s="1"/>
  <c r="W78" i="20"/>
  <c r="W112" s="1"/>
  <c r="Y78"/>
  <c r="Y112" s="1"/>
  <c r="X78"/>
  <c r="X112" s="1"/>
  <c r="U70" i="62"/>
  <c r="U37" i="39" s="1"/>
  <c r="R78" i="20"/>
  <c r="R112" s="1"/>
  <c r="S78"/>
  <c r="S112" s="1"/>
  <c r="AB78"/>
  <c r="AB112" s="1"/>
  <c r="W30" i="62"/>
  <c r="W14" i="39" s="1"/>
  <c r="V30" i="62"/>
  <c r="V14" i="39" s="1"/>
  <c r="O89" i="22"/>
  <c r="V78" i="20"/>
  <c r="V112" s="1"/>
  <c r="L70" i="62"/>
  <c r="L37" i="39" s="1"/>
  <c r="AC78" i="20"/>
  <c r="AC112" s="1"/>
  <c r="O70" i="62"/>
  <c r="O37" i="39" s="1"/>
  <c r="N70" i="62"/>
  <c r="N37" i="39" s="1"/>
  <c r="Z78" i="20"/>
  <c r="Z112" s="1"/>
  <c r="W57" i="44"/>
  <c r="F35" s="1"/>
  <c r="F144"/>
  <c r="P33" i="62"/>
  <c r="P17" i="39" s="1"/>
  <c r="Q73" i="62"/>
  <c r="Q40" i="39" s="1"/>
  <c r="L73" i="62"/>
  <c r="L40" i="39" s="1"/>
  <c r="N33" i="62"/>
  <c r="N17" i="39" s="1"/>
  <c r="W33" i="62"/>
  <c r="W17" i="39" s="1"/>
  <c r="I83" i="20"/>
  <c r="Q33" i="62"/>
  <c r="Q17" i="39" s="1"/>
  <c r="U73" i="62"/>
  <c r="U40" i="39" s="1"/>
  <c r="P73" i="62"/>
  <c r="P40" i="39" s="1"/>
  <c r="T33" i="62"/>
  <c r="T17" i="39" s="1"/>
  <c r="O73" i="62"/>
  <c r="O40" i="39" s="1"/>
  <c r="V33" i="62"/>
  <c r="V17" i="39" s="1"/>
  <c r="M33" i="62"/>
  <c r="M17" i="39" s="1"/>
  <c r="U33" i="62"/>
  <c r="U17" i="39" s="1"/>
  <c r="T73" i="62"/>
  <c r="T40" i="39" s="1"/>
  <c r="R33" i="62"/>
  <c r="R17" i="39" s="1"/>
  <c r="S73" i="62"/>
  <c r="S40" i="39" s="1"/>
  <c r="N73" i="62"/>
  <c r="N40" i="39" s="1"/>
  <c r="S33" i="62"/>
  <c r="S17" i="39" s="1"/>
  <c r="M73" i="62"/>
  <c r="M40" i="39" s="1"/>
  <c r="O33" i="62"/>
  <c r="O17" i="39" s="1"/>
  <c r="L33" i="62"/>
  <c r="L17" i="39" s="1"/>
  <c r="R73" i="62"/>
  <c r="R40" i="39" s="1"/>
  <c r="L68" i="62"/>
  <c r="L35" i="39" s="1"/>
  <c r="AC114" i="20"/>
  <c r="AC80" s="1"/>
  <c r="AC141" s="1"/>
  <c r="I141" s="1"/>
  <c r="U114"/>
  <c r="U80" s="1"/>
  <c r="U141" s="1"/>
  <c r="N28" i="62"/>
  <c r="N12" i="39" s="1"/>
  <c r="U68" i="62"/>
  <c r="U35" i="39" s="1"/>
  <c r="AB114" i="20"/>
  <c r="AB80" s="1"/>
  <c r="AB141" s="1"/>
  <c r="T28" i="62"/>
  <c r="T12" i="39" s="1"/>
  <c r="W114" i="20"/>
  <c r="W80" s="1"/>
  <c r="W141" s="1"/>
  <c r="R68" i="62"/>
  <c r="R35" i="39" s="1"/>
  <c r="M68" i="62"/>
  <c r="M35" i="39" s="1"/>
  <c r="U28" i="62"/>
  <c r="U12" i="39" s="1"/>
  <c r="Q28" i="62"/>
  <c r="Q12" i="39" s="1"/>
  <c r="V28" i="62"/>
  <c r="V12" i="39" s="1"/>
  <c r="M28" i="62"/>
  <c r="M12" i="39" s="1"/>
  <c r="O68" i="62"/>
  <c r="O35" i="39" s="1"/>
  <c r="S114" i="20"/>
  <c r="S80" s="1"/>
  <c r="S141" s="1"/>
  <c r="I80"/>
  <c r="N68" i="62"/>
  <c r="N35" i="39" s="1"/>
  <c r="Z114" i="20"/>
  <c r="Z80" s="1"/>
  <c r="Z141" s="1"/>
  <c r="R114"/>
  <c r="R80" s="1"/>
  <c r="R141" s="1"/>
  <c r="V114"/>
  <c r="V80" s="1"/>
  <c r="V141" s="1"/>
  <c r="S28" i="62"/>
  <c r="S12" i="39" s="1"/>
  <c r="S68" i="62"/>
  <c r="S35" i="39" s="1"/>
  <c r="T114" i="20"/>
  <c r="T80" s="1"/>
  <c r="T141" s="1"/>
  <c r="X114"/>
  <c r="X80" s="1"/>
  <c r="X141" s="1"/>
  <c r="L28" i="62"/>
  <c r="L12" i="39" s="1"/>
  <c r="P28" i="62"/>
  <c r="P12" i="39" s="1"/>
  <c r="P68" i="62"/>
  <c r="P35" i="39" s="1"/>
  <c r="W28" i="62"/>
  <c r="W12" i="39" s="1"/>
  <c r="O28" i="62"/>
  <c r="O12" i="39" s="1"/>
  <c r="R28" i="62"/>
  <c r="R12" i="39" s="1"/>
  <c r="Q68" i="62"/>
  <c r="Q35" i="39" s="1"/>
  <c r="AA114" i="20"/>
  <c r="AA80" s="1"/>
  <c r="AA141" s="1"/>
  <c r="T68" i="62"/>
  <c r="T35" i="39" s="1"/>
  <c r="Y114" i="20"/>
  <c r="Y80" s="1"/>
  <c r="Y141" s="1"/>
  <c r="Z182" s="1"/>
  <c r="L16" i="82" s="1"/>
  <c r="Q16" i="89"/>
  <c r="Q38" i="18"/>
  <c r="R27"/>
  <c r="AF16" i="31"/>
  <c r="AE17"/>
  <c r="AE18" s="1"/>
  <c r="T253" i="62"/>
  <c r="S253"/>
  <c r="P253"/>
  <c r="L253"/>
  <c r="N253"/>
  <c r="U253"/>
  <c r="M253"/>
  <c r="J15" i="48"/>
  <c r="O253" i="62"/>
  <c r="R253"/>
  <c r="Q253"/>
  <c r="AL15" i="48"/>
  <c r="S376" i="62"/>
  <c r="S222" i="39" s="1"/>
  <c r="O376" i="62"/>
  <c r="O222" i="39" s="1"/>
  <c r="T376" i="62"/>
  <c r="T222" i="39" s="1"/>
  <c r="N376" i="62"/>
  <c r="N222" i="39" s="1"/>
  <c r="W340" i="62"/>
  <c r="W199" i="39" s="1"/>
  <c r="R376" i="62"/>
  <c r="R222" i="39" s="1"/>
  <c r="V340" i="62"/>
  <c r="V199" i="39" s="1"/>
  <c r="U376" i="62"/>
  <c r="U222" i="39" s="1"/>
  <c r="Z79" i="48"/>
  <c r="L376" i="62"/>
  <c r="L222" i="39" s="1"/>
  <c r="P376" i="62"/>
  <c r="P222" i="39" s="1"/>
  <c r="Q376" i="62"/>
  <c r="Q222" i="39" s="1"/>
  <c r="M376" i="62"/>
  <c r="M222" i="39" s="1"/>
  <c r="AU79" i="48"/>
  <c r="H52" i="44"/>
  <c r="K52"/>
  <c r="H30"/>
  <c r="K30"/>
  <c r="J30"/>
  <c r="I52"/>
  <c r="J52"/>
  <c r="I30"/>
  <c r="L30"/>
  <c r="L52"/>
  <c r="J32" i="48"/>
  <c r="M256" i="62"/>
  <c r="N256"/>
  <c r="T256"/>
  <c r="P256"/>
  <c r="L256"/>
  <c r="S256"/>
  <c r="R256"/>
  <c r="O256"/>
  <c r="U256"/>
  <c r="Q256"/>
  <c r="AL32" i="48"/>
  <c r="I112" i="20"/>
  <c r="U26" i="31"/>
  <c r="J78" i="20"/>
  <c r="V22" i="31"/>
  <c r="L659" i="62"/>
  <c r="L400" i="39" s="1"/>
  <c r="O659" i="62"/>
  <c r="O400" i="39" s="1"/>
  <c r="M659" i="62"/>
  <c r="M400" i="39" s="1"/>
  <c r="R659" i="62"/>
  <c r="R400" i="39" s="1"/>
  <c r="W623" i="62"/>
  <c r="W377" i="39" s="1"/>
  <c r="N659" i="62"/>
  <c r="N400" i="39" s="1"/>
  <c r="Q659" i="62"/>
  <c r="Q400" i="39" s="1"/>
  <c r="T659" i="62"/>
  <c r="T400" i="39" s="1"/>
  <c r="U659" i="62"/>
  <c r="U400" i="39" s="1"/>
  <c r="S659" i="62"/>
  <c r="S400" i="39" s="1"/>
  <c r="V623" i="62"/>
  <c r="V377" i="39" s="1"/>
  <c r="P659" i="62"/>
  <c r="P400" i="39" s="1"/>
  <c r="G16" i="89"/>
  <c r="Q39" i="18"/>
  <c r="R23"/>
  <c r="V57" i="31"/>
  <c r="J117" i="20"/>
  <c r="G57" i="18"/>
  <c r="G64"/>
  <c r="Q53"/>
  <c r="G56"/>
  <c r="I53"/>
  <c r="L62" i="62"/>
  <c r="P62"/>
  <c r="T62"/>
  <c r="M62"/>
  <c r="N22"/>
  <c r="T22"/>
  <c r="O62"/>
  <c r="S62"/>
  <c r="O22"/>
  <c r="S22"/>
  <c r="P22"/>
  <c r="Q22"/>
  <c r="R22"/>
  <c r="N62"/>
  <c r="R62"/>
  <c r="L22"/>
  <c r="I50" i="20"/>
  <c r="Q50" i="48" s="1"/>
  <c r="V22" i="62"/>
  <c r="Q62"/>
  <c r="Q49" i="48"/>
  <c r="R49" i="20"/>
  <c r="U22" i="62"/>
  <c r="M22"/>
  <c r="W22"/>
  <c r="AE15" i="48"/>
  <c r="I15" i="20"/>
  <c r="O629" i="62"/>
  <c r="O383" i="39" s="1"/>
  <c r="R629" i="62"/>
  <c r="R383" i="39" s="1"/>
  <c r="L629" i="62"/>
  <c r="L383" i="39" s="1"/>
  <c r="W593" i="62"/>
  <c r="W360" i="39" s="1"/>
  <c r="N629" i="62"/>
  <c r="N383" i="39" s="1"/>
  <c r="U629" i="62"/>
  <c r="U383" i="39" s="1"/>
  <c r="V593" i="62"/>
  <c r="V360" i="39" s="1"/>
  <c r="Q629" i="62"/>
  <c r="Q383" i="39" s="1"/>
  <c r="T629" i="62"/>
  <c r="T383" i="39" s="1"/>
  <c r="S629" i="62"/>
  <c r="S383" i="39" s="1"/>
  <c r="M629" i="62"/>
  <c r="M383" i="39" s="1"/>
  <c r="P629" i="62"/>
  <c r="P383" i="39" s="1"/>
  <c r="V53" i="31"/>
  <c r="J82" i="20"/>
  <c r="I120" i="44"/>
  <c r="I44" s="1"/>
  <c r="I14"/>
  <c r="AE32" i="48"/>
  <c r="I32" i="20"/>
  <c r="Q78"/>
  <c r="P78" i="48"/>
  <c r="G21" i="26"/>
  <c r="M623" i="62"/>
  <c r="M377" i="39" s="1"/>
  <c r="P623" i="62"/>
  <c r="P377" i="39" s="1"/>
  <c r="S623" i="62"/>
  <c r="S377" i="39" s="1"/>
  <c r="L623" i="62"/>
  <c r="L377" i="39" s="1"/>
  <c r="O623" i="62"/>
  <c r="O377" i="39" s="1"/>
  <c r="R623" i="62"/>
  <c r="R377" i="39" s="1"/>
  <c r="U623" i="62"/>
  <c r="U377" i="39" s="1"/>
  <c r="W587" i="62"/>
  <c r="W354" i="39" s="1"/>
  <c r="N623" i="62"/>
  <c r="N377" i="39" s="1"/>
  <c r="Q623" i="62"/>
  <c r="Q377" i="39" s="1"/>
  <c r="T623" i="62"/>
  <c r="T377" i="39" s="1"/>
  <c r="V587" i="62"/>
  <c r="V354" i="39" s="1"/>
  <c r="I130" i="44"/>
  <c r="I49" s="1"/>
  <c r="I23"/>
  <c r="I24" s="1"/>
  <c r="J23" i="18"/>
  <c r="I39"/>
  <c r="I25"/>
  <c r="I24"/>
  <c r="V556" i="62"/>
  <c r="V336" i="39" s="1"/>
  <c r="T592" i="62"/>
  <c r="T359" i="39" s="1"/>
  <c r="Q592" i="62"/>
  <c r="Q359" i="39" s="1"/>
  <c r="N592" i="62"/>
  <c r="N359" i="39" s="1"/>
  <c r="W556" i="62"/>
  <c r="W336" i="39" s="1"/>
  <c r="U592" i="62"/>
  <c r="U359" i="39" s="1"/>
  <c r="R592" i="62"/>
  <c r="R359" i="39" s="1"/>
  <c r="O592" i="62"/>
  <c r="O359" i="39" s="1"/>
  <c r="L592" i="62"/>
  <c r="L359" i="39" s="1"/>
  <c r="S592" i="62"/>
  <c r="S359" i="39" s="1"/>
  <c r="P592" i="62"/>
  <c r="P359" i="39" s="1"/>
  <c r="M592" i="62"/>
  <c r="M359" i="39" s="1"/>
  <c r="W522" i="62"/>
  <c r="W315" i="39" s="1"/>
  <c r="N558" i="62"/>
  <c r="N338" i="39" s="1"/>
  <c r="V522" i="62"/>
  <c r="V315" i="39" s="1"/>
  <c r="L558" i="62"/>
  <c r="L338" i="39" s="1"/>
  <c r="T558" i="62"/>
  <c r="T338" i="39" s="1"/>
  <c r="R558" i="62"/>
  <c r="R338" i="39" s="1"/>
  <c r="O558" i="62"/>
  <c r="O338" i="39" s="1"/>
  <c r="U558" i="62"/>
  <c r="U338" i="39" s="1"/>
  <c r="S558" i="62"/>
  <c r="S338" i="39" s="1"/>
  <c r="Q558" i="62"/>
  <c r="Q338" i="39" s="1"/>
  <c r="M558" i="62"/>
  <c r="M338" i="39" s="1"/>
  <c r="P558" i="62"/>
  <c r="P338" i="39" s="1"/>
  <c r="I30" i="18"/>
  <c r="I38"/>
  <c r="I40" s="1"/>
  <c r="I41" s="1"/>
  <c r="J27"/>
  <c r="I31"/>
  <c r="AM82" i="48"/>
  <c r="AF82" s="1"/>
  <c r="P53" i="31"/>
  <c r="T339" i="62"/>
  <c r="T198" i="39" s="1"/>
  <c r="Q339" i="62"/>
  <c r="Q198" i="39" s="1"/>
  <c r="V303" i="62"/>
  <c r="V175" i="39" s="1"/>
  <c r="U339" i="62"/>
  <c r="U198" i="39" s="1"/>
  <c r="N339" i="62"/>
  <c r="N198" i="39" s="1"/>
  <c r="W303" i="62"/>
  <c r="W175" i="39" s="1"/>
  <c r="L339" i="62"/>
  <c r="L198" i="39" s="1"/>
  <c r="R339" i="62"/>
  <c r="R198" i="39" s="1"/>
  <c r="O339" i="62"/>
  <c r="O198" i="39" s="1"/>
  <c r="P339" i="62"/>
  <c r="P198" i="39" s="1"/>
  <c r="M339" i="62"/>
  <c r="M198" i="39" s="1"/>
  <c r="S339" i="62"/>
  <c r="S198" i="39" s="1"/>
  <c r="AF78" i="48"/>
  <c r="O665" i="62"/>
  <c r="O406" i="39" s="1"/>
  <c r="N665" i="62"/>
  <c r="N406" i="39" s="1"/>
  <c r="U665" i="62"/>
  <c r="U406" i="39" s="1"/>
  <c r="P665" i="62"/>
  <c r="P406" i="39" s="1"/>
  <c r="W629" i="62"/>
  <c r="W383" i="39" s="1"/>
  <c r="Q665" i="62"/>
  <c r="Q406" i="39" s="1"/>
  <c r="S665" i="62"/>
  <c r="S406" i="39" s="1"/>
  <c r="M665" i="62"/>
  <c r="M406" i="39" s="1"/>
  <c r="R665" i="62"/>
  <c r="R406" i="39" s="1"/>
  <c r="V629" i="62"/>
  <c r="V383" i="39" s="1"/>
  <c r="L665" i="62"/>
  <c r="L406" i="39" s="1"/>
  <c r="T665" i="62"/>
  <c r="T406" i="39" s="1"/>
  <c r="AB82" i="20"/>
  <c r="AB116" s="1"/>
  <c r="W32" i="62"/>
  <c r="W16" i="39" s="1"/>
  <c r="Q82" i="48"/>
  <c r="Y82" i="20"/>
  <c r="Y116" s="1"/>
  <c r="Q72" i="62"/>
  <c r="Q39" i="39" s="1"/>
  <c r="L72" i="62"/>
  <c r="L39" i="39" s="1"/>
  <c r="S72" i="62"/>
  <c r="S39" i="39" s="1"/>
  <c r="AA82" i="20"/>
  <c r="AA116" s="1"/>
  <c r="W82"/>
  <c r="W116" s="1"/>
  <c r="Z82"/>
  <c r="Z116" s="1"/>
  <c r="U72" i="62"/>
  <c r="U39" i="39" s="1"/>
  <c r="P72" i="62"/>
  <c r="P39" i="39" s="1"/>
  <c r="V32" i="62"/>
  <c r="V16" i="39" s="1"/>
  <c r="R72" i="62"/>
  <c r="R39" i="39" s="1"/>
  <c r="M72" i="62"/>
  <c r="M39" i="39" s="1"/>
  <c r="X82" i="20"/>
  <c r="X116" s="1"/>
  <c r="R82"/>
  <c r="R116" s="1"/>
  <c r="S82"/>
  <c r="S116" s="1"/>
  <c r="T72" i="62"/>
  <c r="T39" i="39" s="1"/>
  <c r="O72" i="62"/>
  <c r="O39" i="39" s="1"/>
  <c r="V82" i="20"/>
  <c r="V116" s="1"/>
  <c r="AC82"/>
  <c r="AC116" s="1"/>
  <c r="U82"/>
  <c r="U116" s="1"/>
  <c r="T82"/>
  <c r="T116" s="1"/>
  <c r="N72" i="62"/>
  <c r="N39" i="39" s="1"/>
  <c r="F136" i="44"/>
  <c r="H134"/>
  <c r="H136" s="1"/>
  <c r="G40" i="18"/>
  <c r="G41" s="1"/>
  <c r="T370" i="62"/>
  <c r="T216" i="39" s="1"/>
  <c r="Q370" i="62"/>
  <c r="Q216" i="39" s="1"/>
  <c r="L370" i="62"/>
  <c r="L216" i="39" s="1"/>
  <c r="W334" i="62"/>
  <c r="W193" i="39" s="1"/>
  <c r="N370" i="62"/>
  <c r="N216" i="39" s="1"/>
  <c r="P370" i="62"/>
  <c r="P216" i="39" s="1"/>
  <c r="AG74" i="48"/>
  <c r="U370" i="62"/>
  <c r="U216" i="39" s="1"/>
  <c r="M370" i="62"/>
  <c r="M216" i="39" s="1"/>
  <c r="V334" i="62"/>
  <c r="V193" i="39" s="1"/>
  <c r="Z74" i="48"/>
  <c r="R370" i="62"/>
  <c r="R216" i="39" s="1"/>
  <c r="O370" i="62"/>
  <c r="O216" i="39" s="1"/>
  <c r="S370" i="62"/>
  <c r="S216" i="39" s="1"/>
  <c r="AU74" i="48"/>
  <c r="I49" i="18"/>
  <c r="G65"/>
  <c r="Q49"/>
  <c r="G50"/>
  <c r="G51"/>
  <c r="M78" i="48"/>
  <c r="M22" i="31"/>
  <c r="N78" i="48" s="1"/>
  <c r="L53" i="31"/>
  <c r="L82" i="48"/>
  <c r="V47" i="31"/>
  <c r="J114" i="20"/>
  <c r="AE82" i="48"/>
  <c r="Q305" i="62"/>
  <c r="Q177" i="39" s="1"/>
  <c r="N305" i="62"/>
  <c r="N177" i="39" s="1"/>
  <c r="V269" i="62"/>
  <c r="V154" i="39" s="1"/>
  <c r="U305" i="62"/>
  <c r="U177" i="39" s="1"/>
  <c r="W269" i="62"/>
  <c r="W154" i="39" s="1"/>
  <c r="R305" i="62"/>
  <c r="R177" i="39" s="1"/>
  <c r="O305" i="62"/>
  <c r="O177" i="39" s="1"/>
  <c r="L305" i="62"/>
  <c r="L177" i="39" s="1"/>
  <c r="S305" i="62"/>
  <c r="S177" i="39" s="1"/>
  <c r="P305" i="62"/>
  <c r="P177" i="39" s="1"/>
  <c r="M305" i="62"/>
  <c r="M177" i="39" s="1"/>
  <c r="T305" i="62"/>
  <c r="T177" i="39" s="1"/>
  <c r="AN78" i="48"/>
  <c r="AG78" s="1"/>
  <c r="Q22" i="31"/>
  <c r="AO79" i="48"/>
  <c r="R10" i="31"/>
  <c r="AP79" i="48" s="1"/>
  <c r="F141" i="44"/>
  <c r="H139"/>
  <c r="H141" s="1"/>
  <c r="H47"/>
  <c r="H21"/>
  <c r="I47"/>
  <c r="I21"/>
  <c r="J21"/>
  <c r="J47"/>
  <c r="K47"/>
  <c r="K21"/>
  <c r="L47"/>
  <c r="L21"/>
  <c r="AG93" i="18"/>
  <c r="H115" i="89"/>
  <c r="AJ74" i="18"/>
  <c r="AI11" i="20"/>
  <c r="AI14" s="1"/>
  <c r="L89" i="62"/>
  <c r="L91" s="1"/>
  <c r="L93" s="1"/>
  <c r="L90"/>
  <c r="L92" s="1"/>
  <c r="L94" s="1"/>
  <c r="AE99" i="89"/>
  <c r="AD99" s="1"/>
  <c r="V51" i="62"/>
  <c r="V53" s="1"/>
  <c r="V27" i="39"/>
  <c r="I230" i="20"/>
  <c r="AH53"/>
  <c r="AH56" s="1"/>
  <c r="AI88" i="18"/>
  <c r="AH92"/>
  <c r="AE114" i="89"/>
  <c r="S97" i="20"/>
  <c r="Y97"/>
  <c r="AC97"/>
  <c r="X97"/>
  <c r="I146"/>
  <c r="H31" i="26"/>
  <c r="H30" s="1"/>
  <c r="Z97" i="20"/>
  <c r="W97"/>
  <c r="T97"/>
  <c r="V97"/>
  <c r="U97"/>
  <c r="R97"/>
  <c r="Q97" i="48"/>
  <c r="Q130" s="1"/>
  <c r="I179" i="20"/>
  <c r="AB97"/>
  <c r="AA97"/>
  <c r="V123" i="28"/>
  <c r="V124"/>
  <c r="T36" i="31" s="1"/>
  <c r="AE131" i="20"/>
  <c r="AE108"/>
  <c r="AE111"/>
  <c r="AE113"/>
  <c r="AE107"/>
  <c r="AE109"/>
  <c r="AE110"/>
  <c r="V32" i="28"/>
  <c r="V31"/>
  <c r="V30"/>
  <c r="S116" i="89"/>
  <c r="AJ28" i="20"/>
  <c r="AJ31" s="1"/>
  <c r="AK80" i="18"/>
  <c r="I38" i="25"/>
  <c r="X88" i="20"/>
  <c r="AA88"/>
  <c r="R74" i="62"/>
  <c r="R41" i="39" s="1"/>
  <c r="AC88" i="20"/>
  <c r="T74" i="62"/>
  <c r="T41" i="39" s="1"/>
  <c r="W88" i="20"/>
  <c r="O74" i="62"/>
  <c r="O41" i="39" s="1"/>
  <c r="W34" i="62"/>
  <c r="W18" i="39" s="1"/>
  <c r="S74" i="62"/>
  <c r="S41" i="39" s="1"/>
  <c r="AB88" i="20"/>
  <c r="V88"/>
  <c r="N74" i="62"/>
  <c r="N41" i="39" s="1"/>
  <c r="Y88" i="20"/>
  <c r="Q74" i="62"/>
  <c r="Q41" i="39" s="1"/>
  <c r="L74" i="62"/>
  <c r="L41" i="39" s="1"/>
  <c r="V34" i="62"/>
  <c r="V18" i="39" s="1"/>
  <c r="S88" i="20"/>
  <c r="M74" i="62"/>
  <c r="M41" i="39" s="1"/>
  <c r="P74" i="62"/>
  <c r="P41" i="39" s="1"/>
  <c r="Q88" i="48"/>
  <c r="Q122" s="1"/>
  <c r="U74" i="62"/>
  <c r="U41" i="39" s="1"/>
  <c r="Z88" i="20"/>
  <c r="T88"/>
  <c r="R88"/>
  <c r="U88"/>
  <c r="I92"/>
  <c r="W91" i="48"/>
  <c r="AR91"/>
  <c r="AI86" i="18"/>
  <c r="AH45" i="20"/>
  <c r="AD114" i="89"/>
  <c r="I56" i="25"/>
  <c r="AH91" i="18"/>
  <c r="AJ36" i="20"/>
  <c r="AJ39" s="1"/>
  <c r="T116" i="89"/>
  <c r="T102" s="1"/>
  <c r="AK82" i="18"/>
  <c r="W92" i="48"/>
  <c r="AR92"/>
  <c r="Q111"/>
  <c r="Q110"/>
  <c r="Q107"/>
  <c r="Q109"/>
  <c r="Q131"/>
  <c r="Q108"/>
  <c r="Q113"/>
  <c r="G56" i="77"/>
  <c r="J37" i="25"/>
  <c r="AB186" i="20"/>
  <c r="H32" i="66"/>
  <c r="I145" i="20"/>
  <c r="AA186"/>
  <c r="H39" i="94"/>
  <c r="T34" i="81"/>
  <c r="Q184" i="48"/>
  <c r="U186" i="20"/>
  <c r="Z186"/>
  <c r="X186"/>
  <c r="V186"/>
  <c r="R186"/>
  <c r="AC186"/>
  <c r="W186"/>
  <c r="T186"/>
  <c r="Y186"/>
  <c r="S186"/>
  <c r="AG48"/>
  <c r="AG90"/>
  <c r="U64" i="62"/>
  <c r="U31" i="39" s="1"/>
  <c r="N24" i="62"/>
  <c r="N8" i="39" s="1"/>
  <c r="Q24" i="62"/>
  <c r="Q8" i="39" s="1"/>
  <c r="P24" i="62"/>
  <c r="P8" i="39" s="1"/>
  <c r="L24" i="62"/>
  <c r="L8" i="39" s="1"/>
  <c r="M24" i="62"/>
  <c r="M8" i="39" s="1"/>
  <c r="S64" i="62"/>
  <c r="S31" i="39" s="1"/>
  <c r="P64" i="62"/>
  <c r="P31" i="39" s="1"/>
  <c r="U24" i="62"/>
  <c r="U8" i="39" s="1"/>
  <c r="R24" i="62"/>
  <c r="R8" i="39" s="1"/>
  <c r="O24" i="62"/>
  <c r="O8" i="39" s="1"/>
  <c r="T24" i="62"/>
  <c r="T8" i="39" s="1"/>
  <c r="S24" i="62"/>
  <c r="S8" i="39" s="1"/>
  <c r="T64" i="62"/>
  <c r="T31" i="39" s="1"/>
  <c r="R64" i="62"/>
  <c r="R31" i="39" s="1"/>
  <c r="O64" i="62"/>
  <c r="O31" i="39" s="1"/>
  <c r="Q64" i="62"/>
  <c r="Q31" i="39" s="1"/>
  <c r="M64" i="62"/>
  <c r="M31" i="39" s="1"/>
  <c r="N64" i="62"/>
  <c r="N31" i="39" s="1"/>
  <c r="V24" i="62"/>
  <c r="V8" i="39" s="1"/>
  <c r="W24" i="62"/>
  <c r="W8" i="39" s="1"/>
  <c r="L64" i="62"/>
  <c r="L31" i="39" s="1"/>
  <c r="AF65" i="20"/>
  <c r="AF120" s="1"/>
  <c r="AF66"/>
  <c r="J54" i="25"/>
  <c r="W468" i="62"/>
  <c r="R33" i="31"/>
  <c r="AC33" i="89"/>
  <c r="AC19" s="1"/>
  <c r="U35" i="18"/>
  <c r="V465" i="62"/>
  <c r="L21" i="18"/>
  <c r="Q84" i="20"/>
  <c r="Q85" s="1"/>
  <c r="H85"/>
  <c r="P84" i="48"/>
  <c r="U39" i="62"/>
  <c r="U23" i="39" s="1"/>
  <c r="Q118" i="48"/>
  <c r="R57" i="31"/>
  <c r="AC72" i="89"/>
  <c r="T61" i="18"/>
  <c r="K47"/>
  <c r="R47" i="31"/>
  <c r="O87" i="62"/>
  <c r="AC57" i="89"/>
  <c r="R50" i="31"/>
  <c r="X50"/>
  <c r="M118" i="20" s="1"/>
  <c r="L118"/>
  <c r="N86" i="62"/>
  <c r="S101" i="89"/>
  <c r="S182" i="20" l="1"/>
  <c r="I28" i="81" s="1"/>
  <c r="AC182" i="20"/>
  <c r="O16" i="82" s="1"/>
  <c r="S55" i="18"/>
  <c r="R71" i="89"/>
  <c r="R57" s="1"/>
  <c r="V248" i="62" s="1"/>
  <c r="V257" s="1"/>
  <c r="K72" i="44"/>
  <c r="J71"/>
  <c r="J74" s="1"/>
  <c r="J86" s="1"/>
  <c r="R32" i="89"/>
  <c r="R18" s="1"/>
  <c r="T29" i="18"/>
  <c r="Q94" i="20"/>
  <c r="Q96" s="1"/>
  <c r="Q99" s="1"/>
  <c r="Q178" s="1"/>
  <c r="Q184" s="1"/>
  <c r="Q168" s="1"/>
  <c r="P28" i="81"/>
  <c r="K94" i="44"/>
  <c r="J93"/>
  <c r="J96" s="1"/>
  <c r="J108" s="1"/>
  <c r="J16" i="25"/>
  <c r="I100" i="89"/>
  <c r="M84" i="62"/>
  <c r="AI19" i="20"/>
  <c r="AI22" s="1"/>
  <c r="J17" i="25" s="1"/>
  <c r="I115" i="89"/>
  <c r="AJ76" i="18"/>
  <c r="L83" i="62"/>
  <c r="L113" s="1"/>
  <c r="L63" i="39" s="1"/>
  <c r="H99" i="89"/>
  <c r="W25" i="39"/>
  <c r="W69" i="62"/>
  <c r="W36" i="39" s="1"/>
  <c r="AH93" i="18"/>
  <c r="T182" i="20"/>
  <c r="F16" i="82" s="1"/>
  <c r="S33" i="18"/>
  <c r="AB31" i="89"/>
  <c r="AB17" s="1"/>
  <c r="V467" i="62" s="1"/>
  <c r="V280" i="39" s="1"/>
  <c r="I63" i="18"/>
  <c r="J59"/>
  <c r="I62"/>
  <c r="W45" i="48"/>
  <c r="AR45"/>
  <c r="K33" i="18"/>
  <c r="J37"/>
  <c r="J36"/>
  <c r="R59"/>
  <c r="AB56" i="89"/>
  <c r="AB182" i="20"/>
  <c r="N16" i="82" s="1"/>
  <c r="W182" i="20"/>
  <c r="M28" i="81" s="1"/>
  <c r="R182" i="20"/>
  <c r="D16" i="82" s="1"/>
  <c r="L50" i="39"/>
  <c r="AA182" i="20"/>
  <c r="Q28" i="81" s="1"/>
  <c r="U182" i="20"/>
  <c r="K28" i="81" s="1"/>
  <c r="V182" i="20"/>
  <c r="H16" i="82" s="1"/>
  <c r="Y354" i="39"/>
  <c r="Y182" i="20"/>
  <c r="O28" i="81" s="1"/>
  <c r="G136" i="44"/>
  <c r="M23" i="48"/>
  <c r="AO23"/>
  <c r="AM23"/>
  <c r="K23"/>
  <c r="R22" i="31"/>
  <c r="AP78" i="48" s="1"/>
  <c r="AO78"/>
  <c r="W47" i="31"/>
  <c r="K114" i="20"/>
  <c r="V592" i="62"/>
  <c r="V359" i="39" s="1"/>
  <c r="O628" i="62"/>
  <c r="O382" i="39" s="1"/>
  <c r="T628" i="62"/>
  <c r="T382" i="39" s="1"/>
  <c r="W592" i="62"/>
  <c r="W359" i="39" s="1"/>
  <c r="P628" i="62"/>
  <c r="P382" i="39" s="1"/>
  <c r="U628" i="62"/>
  <c r="U382" i="39" s="1"/>
  <c r="R628" i="62"/>
  <c r="R382" i="39" s="1"/>
  <c r="L628" i="62"/>
  <c r="L382" i="39" s="1"/>
  <c r="Q628" i="62"/>
  <c r="Q382" i="39" s="1"/>
  <c r="N628" i="62"/>
  <c r="N382" i="39" s="1"/>
  <c r="S628" i="62"/>
  <c r="S382" i="39" s="1"/>
  <c r="M628" i="62"/>
  <c r="M382" i="39" s="1"/>
  <c r="Q32" i="48"/>
  <c r="T59" i="62"/>
  <c r="U19"/>
  <c r="S19"/>
  <c r="R19"/>
  <c r="N19"/>
  <c r="I33" i="20"/>
  <c r="Q33" i="48" s="1"/>
  <c r="L59" i="62"/>
  <c r="O59"/>
  <c r="O19"/>
  <c r="P19"/>
  <c r="N59"/>
  <c r="W19"/>
  <c r="S59"/>
  <c r="Q19"/>
  <c r="M59"/>
  <c r="P59"/>
  <c r="L19"/>
  <c r="V19"/>
  <c r="R32" i="20"/>
  <c r="Q59" i="62"/>
  <c r="R59"/>
  <c r="M19"/>
  <c r="T19"/>
  <c r="U59"/>
  <c r="AF15" i="48"/>
  <c r="J15" i="20"/>
  <c r="L16" i="62"/>
  <c r="P56"/>
  <c r="U16"/>
  <c r="W16"/>
  <c r="L56"/>
  <c r="R16"/>
  <c r="I16" i="20"/>
  <c r="S16" i="62"/>
  <c r="Q15" i="48"/>
  <c r="M16" i="62"/>
  <c r="N16"/>
  <c r="O56"/>
  <c r="R56"/>
  <c r="P16"/>
  <c r="R15" i="20"/>
  <c r="N56" i="62"/>
  <c r="O16"/>
  <c r="V16"/>
  <c r="M56"/>
  <c r="S56"/>
  <c r="Q56"/>
  <c r="T16"/>
  <c r="U56"/>
  <c r="T56"/>
  <c r="Q16"/>
  <c r="V73"/>
  <c r="V40" i="39" s="1"/>
  <c r="W73" i="62"/>
  <c r="W40" i="39" s="1"/>
  <c r="AO78" i="20"/>
  <c r="P110" i="62"/>
  <c r="P60" i="39" s="1"/>
  <c r="S110" i="62"/>
  <c r="S60" i="39" s="1"/>
  <c r="AL78" i="20"/>
  <c r="AH78"/>
  <c r="I21" i="26"/>
  <c r="M110" i="62"/>
  <c r="M60" i="39" s="1"/>
  <c r="T110" i="62"/>
  <c r="T60" i="39" s="1"/>
  <c r="AN78" i="20"/>
  <c r="AM78"/>
  <c r="AI78"/>
  <c r="V70" i="62"/>
  <c r="V37" i="39" s="1"/>
  <c r="Q110" i="62"/>
  <c r="Q60" i="39" s="1"/>
  <c r="R78" i="48"/>
  <c r="AK78" i="20"/>
  <c r="W70" i="62"/>
  <c r="W37" i="39" s="1"/>
  <c r="AJ78" i="20"/>
  <c r="N110" i="62"/>
  <c r="N60" i="39" s="1"/>
  <c r="U110" i="62"/>
  <c r="U60" i="39" s="1"/>
  <c r="AD78" i="20"/>
  <c r="AD112" s="1"/>
  <c r="P89" i="22"/>
  <c r="L110" i="62"/>
  <c r="L60" i="39" s="1"/>
  <c r="O110" i="62"/>
  <c r="O60" i="39" s="1"/>
  <c r="AG78" i="20"/>
  <c r="R110" i="62"/>
  <c r="R60" i="39" s="1"/>
  <c r="AF78" i="20"/>
  <c r="AE78"/>
  <c r="AE112" s="1"/>
  <c r="J120" i="44"/>
  <c r="J44" s="1"/>
  <c r="J45" s="1"/>
  <c r="J14"/>
  <c r="J15" s="1"/>
  <c r="K40" i="48"/>
  <c r="AM40"/>
  <c r="AO40"/>
  <c r="M40"/>
  <c r="AG16" i="31"/>
  <c r="AF17"/>
  <c r="AF18" s="1"/>
  <c r="AB83" i="20"/>
  <c r="AA83"/>
  <c r="R83"/>
  <c r="AC83"/>
  <c r="Q83" i="48"/>
  <c r="Q117" s="1"/>
  <c r="T83" i="20"/>
  <c r="S83"/>
  <c r="V83"/>
  <c r="U83"/>
  <c r="X83"/>
  <c r="I85"/>
  <c r="W83"/>
  <c r="Z83"/>
  <c r="Y83"/>
  <c r="T56" i="31"/>
  <c r="X78" i="48"/>
  <c r="AS78"/>
  <c r="AI74"/>
  <c r="P442" i="62"/>
  <c r="P262" i="39" s="1"/>
  <c r="V406" i="62"/>
  <c r="V239" i="39" s="1"/>
  <c r="S442" i="62"/>
  <c r="S262" i="39" s="1"/>
  <c r="AB74" i="48"/>
  <c r="W406" i="62"/>
  <c r="W239" i="39" s="1"/>
  <c r="U442" i="62"/>
  <c r="U262" i="39" s="1"/>
  <c r="Q442" i="62"/>
  <c r="Q262" i="39" s="1"/>
  <c r="AW74" i="48"/>
  <c r="L442" i="62"/>
  <c r="L262" i="39" s="1"/>
  <c r="T442" i="62"/>
  <c r="T262" i="39" s="1"/>
  <c r="O442" i="62"/>
  <c r="O262" i="39" s="1"/>
  <c r="M442" i="62"/>
  <c r="M262" i="39" s="1"/>
  <c r="N442" i="62"/>
  <c r="N262" i="39" s="1"/>
  <c r="R442" i="62"/>
  <c r="R262" i="39" s="1"/>
  <c r="Y360"/>
  <c r="M23" i="20"/>
  <c r="AI23" i="48"/>
  <c r="AN23"/>
  <c r="L23"/>
  <c r="F23" i="61"/>
  <c r="G9"/>
  <c r="G37"/>
  <c r="H37"/>
  <c r="F9"/>
  <c r="J37"/>
  <c r="I23" i="20"/>
  <c r="D23" i="61"/>
  <c r="D9"/>
  <c r="I23"/>
  <c r="E37"/>
  <c r="G23"/>
  <c r="F37"/>
  <c r="H23"/>
  <c r="E9"/>
  <c r="E23"/>
  <c r="J23"/>
  <c r="AE23" i="48"/>
  <c r="D37" i="61"/>
  <c r="J9"/>
  <c r="I37"/>
  <c r="H9"/>
  <c r="I9"/>
  <c r="AA79" i="48"/>
  <c r="O412" i="62"/>
  <c r="O245" i="39" s="1"/>
  <c r="L412" i="62"/>
  <c r="L245" i="39" s="1"/>
  <c r="M412" i="62"/>
  <c r="M245" i="39" s="1"/>
  <c r="AV79" i="48"/>
  <c r="P412" i="62"/>
  <c r="P245" i="39" s="1"/>
  <c r="R412" i="62"/>
  <c r="R245" i="39" s="1"/>
  <c r="T412" i="62"/>
  <c r="T245" i="39" s="1"/>
  <c r="W376" i="62"/>
  <c r="W222" i="39" s="1"/>
  <c r="N412" i="62"/>
  <c r="N245" i="39" s="1"/>
  <c r="U412" i="62"/>
  <c r="U245" i="39" s="1"/>
  <c r="V376" i="62"/>
  <c r="V222" i="39" s="1"/>
  <c r="Q412" i="62"/>
  <c r="Q245" i="39" s="1"/>
  <c r="S412" i="62"/>
  <c r="S245" i="39" s="1"/>
  <c r="AH114" i="20"/>
  <c r="AH80" s="1"/>
  <c r="AH141" s="1"/>
  <c r="AD114"/>
  <c r="AD80" s="1"/>
  <c r="AD141" s="1"/>
  <c r="AD182" s="1"/>
  <c r="AK114"/>
  <c r="AN114"/>
  <c r="AI114"/>
  <c r="AE114"/>
  <c r="AE80" s="1"/>
  <c r="AE141" s="1"/>
  <c r="AF114"/>
  <c r="AF80" s="1"/>
  <c r="AF141" s="1"/>
  <c r="AM114"/>
  <c r="AJ114"/>
  <c r="W68" i="62"/>
  <c r="W35" i="39" s="1"/>
  <c r="AO114" i="20"/>
  <c r="AL114"/>
  <c r="V68" i="62"/>
  <c r="V35" i="39" s="1"/>
  <c r="AG114" i="20"/>
  <c r="AG80" s="1"/>
  <c r="AG141" s="1"/>
  <c r="N664" i="62"/>
  <c r="N405" i="39" s="1"/>
  <c r="W628" i="62"/>
  <c r="W382" i="39" s="1"/>
  <c r="U664" i="62"/>
  <c r="U405" i="39" s="1"/>
  <c r="R664" i="62"/>
  <c r="R405" i="39" s="1"/>
  <c r="O664" i="62"/>
  <c r="O405" i="39" s="1"/>
  <c r="L664" i="62"/>
  <c r="L405" i="39" s="1"/>
  <c r="S664" i="62"/>
  <c r="S405" i="39" s="1"/>
  <c r="P664" i="62"/>
  <c r="P405" i="39" s="1"/>
  <c r="M664" i="62"/>
  <c r="M405" i="39" s="1"/>
  <c r="V628" i="62"/>
  <c r="V382" i="39" s="1"/>
  <c r="T664" i="62"/>
  <c r="T405" i="39" s="1"/>
  <c r="Q664" i="62"/>
  <c r="Q405" i="39" s="1"/>
  <c r="G56" i="89"/>
  <c r="Q65" i="18"/>
  <c r="R49"/>
  <c r="R341" i="62"/>
  <c r="R200" i="39" s="1"/>
  <c r="O341" i="62"/>
  <c r="O200" i="39" s="1"/>
  <c r="L341" i="62"/>
  <c r="L200" i="39" s="1"/>
  <c r="U341" i="62"/>
  <c r="U200" i="39" s="1"/>
  <c r="S341" i="62"/>
  <c r="S200" i="39" s="1"/>
  <c r="P341" i="62"/>
  <c r="P200" i="39" s="1"/>
  <c r="M341" i="62"/>
  <c r="M200" i="39" s="1"/>
  <c r="W305" i="62"/>
  <c r="W177" i="39" s="1"/>
  <c r="T341" i="62"/>
  <c r="T200" i="39" s="1"/>
  <c r="Q341" i="62"/>
  <c r="Q200" i="39" s="1"/>
  <c r="V305" i="62"/>
  <c r="V177" i="39" s="1"/>
  <c r="N341" i="62"/>
  <c r="N200" i="39" s="1"/>
  <c r="J32" i="20"/>
  <c r="N99" i="62" s="1"/>
  <c r="AF32" i="48"/>
  <c r="AM15"/>
  <c r="K15"/>
  <c r="J53" i="18"/>
  <c r="I56"/>
  <c r="I64"/>
  <c r="I57"/>
  <c r="V26" i="31"/>
  <c r="W22"/>
  <c r="K78" i="20"/>
  <c r="N40" i="48"/>
  <c r="AP40"/>
  <c r="L40"/>
  <c r="AN40"/>
  <c r="AE40"/>
  <c r="N37" i="61"/>
  <c r="Q37"/>
  <c r="P23"/>
  <c r="R37"/>
  <c r="P37"/>
  <c r="Q9"/>
  <c r="T23"/>
  <c r="O37"/>
  <c r="S9"/>
  <c r="S23"/>
  <c r="O23"/>
  <c r="I40" i="20"/>
  <c r="N23" i="61"/>
  <c r="N9"/>
  <c r="R9"/>
  <c r="S37"/>
  <c r="O9"/>
  <c r="P9"/>
  <c r="Q23"/>
  <c r="T37"/>
  <c r="R23"/>
  <c r="T9"/>
  <c r="H57" i="44"/>
  <c r="I57"/>
  <c r="K57"/>
  <c r="J57"/>
  <c r="L57"/>
  <c r="I39"/>
  <c r="K39"/>
  <c r="H39"/>
  <c r="L39"/>
  <c r="J39"/>
  <c r="AH74" i="48"/>
  <c r="L406" i="62"/>
  <c r="L239" i="39" s="1"/>
  <c r="M406" i="62"/>
  <c r="M239" i="39" s="1"/>
  <c r="P406" i="62"/>
  <c r="P239" i="39" s="1"/>
  <c r="AV74" i="48"/>
  <c r="V370" i="62"/>
  <c r="V216" i="39" s="1"/>
  <c r="U406" i="62"/>
  <c r="U239" i="39" s="1"/>
  <c r="R406" i="62"/>
  <c r="R239" i="39" s="1"/>
  <c r="W370" i="62"/>
  <c r="W216" i="39" s="1"/>
  <c r="N406" i="62"/>
  <c r="N239" i="39" s="1"/>
  <c r="T406" i="62"/>
  <c r="T239" i="39" s="1"/>
  <c r="Q406" i="62"/>
  <c r="Q239" i="39" s="1"/>
  <c r="O406" i="62"/>
  <c r="O239" i="39" s="1"/>
  <c r="S406" i="62"/>
  <c r="S239" i="39" s="1"/>
  <c r="AA74" i="48"/>
  <c r="X182" i="20"/>
  <c r="AP23" i="48"/>
  <c r="N23"/>
  <c r="AG23"/>
  <c r="K23" i="20"/>
  <c r="J23" i="48"/>
  <c r="R254" i="62"/>
  <c r="R143" i="39" s="1"/>
  <c r="AL23" i="48"/>
  <c r="O254" i="62"/>
  <c r="O143" i="39" s="1"/>
  <c r="N254" i="62"/>
  <c r="N143" i="39" s="1"/>
  <c r="S254" i="62"/>
  <c r="S143" i="39" s="1"/>
  <c r="T254" i="62"/>
  <c r="T143" i="39" s="1"/>
  <c r="M254" i="62"/>
  <c r="M143" i="39" s="1"/>
  <c r="L254" i="62"/>
  <c r="L143" i="39" s="1"/>
  <c r="Q254" i="62"/>
  <c r="Q143" i="39" s="1"/>
  <c r="P254" i="62"/>
  <c r="P143" i="39" s="1"/>
  <c r="U254" i="62"/>
  <c r="U143" i="39" s="1"/>
  <c r="AI79" i="48"/>
  <c r="V412" i="62"/>
  <c r="V245" i="39" s="1"/>
  <c r="P448" i="62"/>
  <c r="P268" i="39" s="1"/>
  <c r="U448" i="62"/>
  <c r="U268" i="39" s="1"/>
  <c r="Q448" i="62"/>
  <c r="Q268" i="39" s="1"/>
  <c r="T448" i="62"/>
  <c r="T268" i="39" s="1"/>
  <c r="L448" i="62"/>
  <c r="L268" i="39" s="1"/>
  <c r="AW79" i="48"/>
  <c r="AB79"/>
  <c r="R448" i="62"/>
  <c r="R268" i="39" s="1"/>
  <c r="S448" i="62"/>
  <c r="S268" i="39" s="1"/>
  <c r="O448" i="62"/>
  <c r="O268" i="39" s="1"/>
  <c r="M448" i="62"/>
  <c r="M268" i="39" s="1"/>
  <c r="N448" i="62"/>
  <c r="N268" i="39" s="1"/>
  <c r="W412" i="62"/>
  <c r="W245" i="39" s="1"/>
  <c r="M82" i="48"/>
  <c r="M53" i="31"/>
  <c r="N82" i="48" s="1"/>
  <c r="Q116"/>
  <c r="AS82"/>
  <c r="X82"/>
  <c r="Q53" i="31"/>
  <c r="AN82" i="48"/>
  <c r="K32"/>
  <c r="AM32"/>
  <c r="W53" i="31"/>
  <c r="K82" i="20"/>
  <c r="S49"/>
  <c r="R50"/>
  <c r="R21" i="18"/>
  <c r="G31" i="89"/>
  <c r="G17" s="1"/>
  <c r="R39" i="18"/>
  <c r="S23"/>
  <c r="T473" i="62"/>
  <c r="R473"/>
  <c r="N473"/>
  <c r="L473"/>
  <c r="M473"/>
  <c r="Q473"/>
  <c r="S473"/>
  <c r="O473"/>
  <c r="P473"/>
  <c r="U473"/>
  <c r="M40" i="20"/>
  <c r="AI40" i="48"/>
  <c r="J40" i="20"/>
  <c r="AF40" i="48"/>
  <c r="L40" i="20"/>
  <c r="AH40" i="48"/>
  <c r="P470" i="62"/>
  <c r="N470"/>
  <c r="U470"/>
  <c r="M470"/>
  <c r="Q470"/>
  <c r="R470"/>
  <c r="S470"/>
  <c r="T470"/>
  <c r="O470"/>
  <c r="L470"/>
  <c r="H20" i="26"/>
  <c r="Q80" i="48"/>
  <c r="Q114" s="1"/>
  <c r="O88" i="22"/>
  <c r="F146" i="44"/>
  <c r="H144"/>
  <c r="H146" s="1"/>
  <c r="AF112" i="20"/>
  <c r="G66" i="18"/>
  <c r="G67" s="1"/>
  <c r="I15" i="44"/>
  <c r="Q40" i="18"/>
  <c r="AH23" i="48"/>
  <c r="L23" i="20"/>
  <c r="J23"/>
  <c r="AF23" i="48"/>
  <c r="O375" i="62"/>
  <c r="O221" i="39" s="1"/>
  <c r="V339" i="62"/>
  <c r="V198" i="39" s="1"/>
  <c r="T375" i="62"/>
  <c r="T221" i="39" s="1"/>
  <c r="S375" i="62"/>
  <c r="S221" i="39" s="1"/>
  <c r="N375" i="62"/>
  <c r="N221" i="39" s="1"/>
  <c r="M375" i="62"/>
  <c r="M221" i="39" s="1"/>
  <c r="R375" i="62"/>
  <c r="R221" i="39" s="1"/>
  <c r="Q375" i="62"/>
  <c r="Q221" i="39" s="1"/>
  <c r="L375" i="62"/>
  <c r="L221" i="39" s="1"/>
  <c r="W339" i="62"/>
  <c r="W198" i="39" s="1"/>
  <c r="U375" i="62"/>
  <c r="U221" i="39" s="1"/>
  <c r="P375" i="62"/>
  <c r="P221" i="39" s="1"/>
  <c r="R594" i="62"/>
  <c r="R361" i="39" s="1"/>
  <c r="Q594" i="62"/>
  <c r="Q361" i="39" s="1"/>
  <c r="L594" i="62"/>
  <c r="L361" i="39" s="1"/>
  <c r="V558" i="62"/>
  <c r="V338" i="39" s="1"/>
  <c r="U594" i="62"/>
  <c r="U361" i="39" s="1"/>
  <c r="P594" i="62"/>
  <c r="P361" i="39" s="1"/>
  <c r="O594" i="62"/>
  <c r="O361" i="39" s="1"/>
  <c r="W558" i="62"/>
  <c r="W338" i="39" s="1"/>
  <c r="T594" i="62"/>
  <c r="T361" i="39" s="1"/>
  <c r="S594" i="62"/>
  <c r="S361" i="39" s="1"/>
  <c r="N594" i="62"/>
  <c r="N361" i="39" s="1"/>
  <c r="M594" i="62"/>
  <c r="M361" i="39" s="1"/>
  <c r="I65" i="18"/>
  <c r="J49"/>
  <c r="I51"/>
  <c r="I50"/>
  <c r="J38"/>
  <c r="J31"/>
  <c r="J30"/>
  <c r="K27"/>
  <c r="J39"/>
  <c r="K23"/>
  <c r="J25"/>
  <c r="J24"/>
  <c r="W78" i="48"/>
  <c r="AR78"/>
  <c r="AL82" i="20"/>
  <c r="Q112" i="62"/>
  <c r="Q62" i="39" s="1"/>
  <c r="AJ82" i="20"/>
  <c r="V72" i="62"/>
  <c r="V39" i="39" s="1"/>
  <c r="S112" i="62"/>
  <c r="S62" i="39" s="1"/>
  <c r="AE82" i="20"/>
  <c r="AE116" s="1"/>
  <c r="L112" i="62"/>
  <c r="L62" i="39" s="1"/>
  <c r="U112" i="62"/>
  <c r="U62" i="39" s="1"/>
  <c r="AM82" i="20"/>
  <c r="N112" i="62"/>
  <c r="N62" i="39" s="1"/>
  <c r="AK82" i="20"/>
  <c r="AH82"/>
  <c r="AH116" s="1"/>
  <c r="P112" i="62"/>
  <c r="P62" i="39" s="1"/>
  <c r="AF82" i="20"/>
  <c r="AF116" s="1"/>
  <c r="R82" i="48"/>
  <c r="R112" i="62"/>
  <c r="R62" i="39" s="1"/>
  <c r="AN82" i="20"/>
  <c r="W72" i="62"/>
  <c r="W39" i="39" s="1"/>
  <c r="T112" i="62"/>
  <c r="T62" i="39" s="1"/>
  <c r="AI82" i="20"/>
  <c r="M112" i="62"/>
  <c r="M62" i="39" s="1"/>
  <c r="AG82" i="20"/>
  <c r="AG116" s="1"/>
  <c r="AD82"/>
  <c r="AD116" s="1"/>
  <c r="O112" i="62"/>
  <c r="O62" i="39" s="1"/>
  <c r="AO82" i="20"/>
  <c r="Q56" i="89"/>
  <c r="R53" i="18"/>
  <c r="Q64"/>
  <c r="Q66" s="1"/>
  <c r="K117" i="20"/>
  <c r="W57" i="31"/>
  <c r="J130" i="44"/>
  <c r="J49" s="1"/>
  <c r="J23"/>
  <c r="AG40" i="48"/>
  <c r="K40" i="20"/>
  <c r="AL40" i="48"/>
  <c r="R257" i="62"/>
  <c r="R144" i="39" s="1"/>
  <c r="T257" i="62"/>
  <c r="T144" i="39" s="1"/>
  <c r="J40" i="48"/>
  <c r="V474" i="62" s="1"/>
  <c r="Q257"/>
  <c r="Q144" i="39" s="1"/>
  <c r="P257" i="62"/>
  <c r="P144" i="39" s="1"/>
  <c r="U257" i="62"/>
  <c r="U144" i="39" s="1"/>
  <c r="O257" i="62"/>
  <c r="O144" i="39" s="1"/>
  <c r="M257" i="62"/>
  <c r="M144" i="39" s="1"/>
  <c r="L257" i="62"/>
  <c r="L144" i="39" s="1"/>
  <c r="S257" i="62"/>
  <c r="S144" i="39" s="1"/>
  <c r="N257" i="62"/>
  <c r="N144" i="39" s="1"/>
  <c r="S27" i="18"/>
  <c r="Q31" i="89"/>
  <c r="Q17" s="1"/>
  <c r="V464" i="62" s="1"/>
  <c r="G141" i="44"/>
  <c r="I50"/>
  <c r="AH79" i="48"/>
  <c r="I45" i="44"/>
  <c r="H116" i="89"/>
  <c r="AK74" i="18"/>
  <c r="AJ11" i="20"/>
  <c r="AJ14" s="1"/>
  <c r="M89" i="62"/>
  <c r="AI92" i="18"/>
  <c r="AJ88"/>
  <c r="AI53" i="20"/>
  <c r="AI56" s="1"/>
  <c r="AE115" i="89"/>
  <c r="AE100"/>
  <c r="AD100" s="1"/>
  <c r="M90" i="62"/>
  <c r="M92" s="1"/>
  <c r="M94" s="1"/>
  <c r="I34" i="81"/>
  <c r="E20" i="82"/>
  <c r="S34" i="81"/>
  <c r="O20" i="82"/>
  <c r="L20"/>
  <c r="P34" i="81"/>
  <c r="N20" i="82"/>
  <c r="R34" i="81"/>
  <c r="AI45" i="20"/>
  <c r="AJ86" i="18"/>
  <c r="AD115" i="89"/>
  <c r="AI91" i="18"/>
  <c r="I57" i="25"/>
  <c r="Q92" i="48"/>
  <c r="Q125" s="1"/>
  <c r="I125" i="20"/>
  <c r="Z92"/>
  <c r="Z125" s="1"/>
  <c r="Z122"/>
  <c r="AB122"/>
  <c r="AB92"/>
  <c r="AB125" s="1"/>
  <c r="W92"/>
  <c r="W125" s="1"/>
  <c r="W122"/>
  <c r="AA92"/>
  <c r="AA125" s="1"/>
  <c r="AA122"/>
  <c r="S117" i="89"/>
  <c r="I39" i="25"/>
  <c r="AL80" i="18"/>
  <c r="AK28" i="20"/>
  <c r="AK31" s="1"/>
  <c r="T130"/>
  <c r="T179"/>
  <c r="J25" i="81" s="1"/>
  <c r="F10" i="82"/>
  <c r="F13" s="1"/>
  <c r="H18" i="76"/>
  <c r="Q146" i="48"/>
  <c r="S179" i="20"/>
  <c r="I25" i="81" s="1"/>
  <c r="S130" i="20"/>
  <c r="E10" i="82"/>
  <c r="E13" s="1"/>
  <c r="AG65" i="20"/>
  <c r="AG120" s="1"/>
  <c r="J55" i="25"/>
  <c r="AG66" i="20"/>
  <c r="I20" i="82"/>
  <c r="M34" i="81"/>
  <c r="J20" i="82"/>
  <c r="N34" i="81"/>
  <c r="AH48" i="20"/>
  <c r="AH90"/>
  <c r="T122"/>
  <c r="T92"/>
  <c r="T125" s="1"/>
  <c r="V122"/>
  <c r="V92"/>
  <c r="V125" s="1"/>
  <c r="Q177" i="48"/>
  <c r="H23" i="66"/>
  <c r="T25" i="81"/>
  <c r="H10" i="82"/>
  <c r="H13" s="1"/>
  <c r="V130" i="20"/>
  <c r="V179"/>
  <c r="L25" i="81" s="1"/>
  <c r="K10" i="82"/>
  <c r="K13" s="1"/>
  <c r="Y130" i="20"/>
  <c r="Y179"/>
  <c r="O25" i="81" s="1"/>
  <c r="AF108" i="20"/>
  <c r="AF111"/>
  <c r="AF107"/>
  <c r="AF110"/>
  <c r="AF109"/>
  <c r="AF131"/>
  <c r="AF113"/>
  <c r="F20" i="82"/>
  <c r="J34" i="81"/>
  <c r="H20" i="82"/>
  <c r="L34" i="81"/>
  <c r="H17" i="76"/>
  <c r="Q145" i="48"/>
  <c r="I147" i="20"/>
  <c r="R92"/>
  <c r="R125" s="1"/>
  <c r="R122"/>
  <c r="AC92"/>
  <c r="AC125" s="1"/>
  <c r="AC122"/>
  <c r="N10" i="82"/>
  <c r="N13" s="1"/>
  <c r="AB130" i="20"/>
  <c r="AB179"/>
  <c r="R25" i="81" s="1"/>
  <c r="U130" i="20"/>
  <c r="U179"/>
  <c r="K25" i="81" s="1"/>
  <c r="G10" i="82"/>
  <c r="G13" s="1"/>
  <c r="L10"/>
  <c r="L13" s="1"/>
  <c r="Z130" i="20"/>
  <c r="Z179"/>
  <c r="P25" i="81" s="1"/>
  <c r="O10" i="82"/>
  <c r="O13" s="1"/>
  <c r="AC179" i="20"/>
  <c r="S25" i="81" s="1"/>
  <c r="AC130" i="20"/>
  <c r="O34" i="81"/>
  <c r="K20" i="82"/>
  <c r="D20"/>
  <c r="H34" i="81"/>
  <c r="R145" i="20"/>
  <c r="G20" i="82"/>
  <c r="K34" i="81"/>
  <c r="Q34"/>
  <c r="M20" i="82"/>
  <c r="T117" i="89"/>
  <c r="T103" s="1"/>
  <c r="AK36" i="20"/>
  <c r="AL82" i="18"/>
  <c r="U92" i="20"/>
  <c r="U125" s="1"/>
  <c r="U122"/>
  <c r="S92"/>
  <c r="S125" s="1"/>
  <c r="S122"/>
  <c r="Y122"/>
  <c r="Y92"/>
  <c r="Y125" s="1"/>
  <c r="X92"/>
  <c r="X125" s="1"/>
  <c r="X122"/>
  <c r="M10" i="82"/>
  <c r="M13" s="1"/>
  <c r="AA130" i="20"/>
  <c r="AA179"/>
  <c r="Q25" i="81" s="1"/>
  <c r="D10" i="82"/>
  <c r="D13" s="1"/>
  <c r="R146" i="20"/>
  <c r="S146" s="1"/>
  <c r="T146" s="1"/>
  <c r="U146" s="1"/>
  <c r="V146" s="1"/>
  <c r="W146" s="1"/>
  <c r="X146" s="1"/>
  <c r="Y146" s="1"/>
  <c r="Z146" s="1"/>
  <c r="AA146" s="1"/>
  <c r="AB146" s="1"/>
  <c r="AC146" s="1"/>
  <c r="R130"/>
  <c r="R179"/>
  <c r="H25" i="81" s="1"/>
  <c r="W130" i="20"/>
  <c r="W179"/>
  <c r="M25" i="81" s="1"/>
  <c r="I10" i="82"/>
  <c r="I13" s="1"/>
  <c r="J10"/>
  <c r="J13" s="1"/>
  <c r="X179" i="20"/>
  <c r="N25" i="81" s="1"/>
  <c r="X130" i="20"/>
  <c r="J38" i="25"/>
  <c r="L504" i="62"/>
  <c r="O86"/>
  <c r="S102" i="89"/>
  <c r="Q141" i="48"/>
  <c r="H14" i="76"/>
  <c r="I182" i="20"/>
  <c r="V251" i="62"/>
  <c r="V260" s="1"/>
  <c r="AC58" i="89"/>
  <c r="AC73"/>
  <c r="U61" i="18"/>
  <c r="W84" i="48"/>
  <c r="AR84"/>
  <c r="M21" i="18"/>
  <c r="L47"/>
  <c r="V476" i="62"/>
  <c r="AC34" i="89"/>
  <c r="V35" i="18"/>
  <c r="N49" i="39"/>
  <c r="P87" i="62"/>
  <c r="P85" i="48"/>
  <c r="G25" i="26"/>
  <c r="H94" i="20"/>
  <c r="W465" i="62"/>
  <c r="S28" i="81" l="1"/>
  <c r="E16" i="82"/>
  <c r="W474" i="62"/>
  <c r="J28" i="81"/>
  <c r="R72" i="89"/>
  <c r="R58" s="1"/>
  <c r="W248" i="62" s="1"/>
  <c r="W257" s="1"/>
  <c r="T55" i="18"/>
  <c r="R33" i="89"/>
  <c r="R19" s="1"/>
  <c r="L501" i="62" s="1"/>
  <c r="L510" s="1"/>
  <c r="U29" i="18"/>
  <c r="L94" i="44"/>
  <c r="L93" s="1"/>
  <c r="L96" s="1"/>
  <c r="L108" s="1"/>
  <c r="K93"/>
  <c r="K96" s="1"/>
  <c r="K108" s="1"/>
  <c r="L72"/>
  <c r="L71" s="1"/>
  <c r="L74" s="1"/>
  <c r="L86" s="1"/>
  <c r="K71"/>
  <c r="K74" s="1"/>
  <c r="K86" s="1"/>
  <c r="AI64" i="20"/>
  <c r="AI116" s="1"/>
  <c r="L108" i="62"/>
  <c r="L58" i="39" s="1"/>
  <c r="AK76" i="18"/>
  <c r="AJ19" i="20"/>
  <c r="AJ22" s="1"/>
  <c r="J18" i="25" s="1"/>
  <c r="I18"/>
  <c r="I116" i="89"/>
  <c r="I101"/>
  <c r="N84" i="62"/>
  <c r="N97" s="1"/>
  <c r="L48" i="39"/>
  <c r="L109" i="62"/>
  <c r="L59" i="39" s="1"/>
  <c r="I19" i="25"/>
  <c r="M83" i="62"/>
  <c r="H100" i="89"/>
  <c r="I16" i="82"/>
  <c r="AG182" i="20"/>
  <c r="M16" i="82"/>
  <c r="K16"/>
  <c r="G16"/>
  <c r="H28" i="81"/>
  <c r="AI93" i="18"/>
  <c r="AB32" i="89"/>
  <c r="AB18" s="1"/>
  <c r="T33" i="18"/>
  <c r="S59"/>
  <c r="AB71" i="89"/>
  <c r="AB57" s="1"/>
  <c r="R28" i="81"/>
  <c r="K37" i="18"/>
  <c r="L33"/>
  <c r="K36"/>
  <c r="K59"/>
  <c r="J63"/>
  <c r="J62"/>
  <c r="G146" i="44"/>
  <c r="L28" i="81"/>
  <c r="M50" i="39"/>
  <c r="P100" i="62"/>
  <c r="AF182" i="20"/>
  <c r="AE182"/>
  <c r="M91" i="62"/>
  <c r="M93" s="1"/>
  <c r="AH182" i="20"/>
  <c r="V462" i="62"/>
  <c r="V471" s="1"/>
  <c r="K32" i="20"/>
  <c r="AG32" i="48"/>
  <c r="J50" i="44"/>
  <c r="Q71" i="89"/>
  <c r="S53" i="18"/>
  <c r="AT82" i="48"/>
  <c r="Y82"/>
  <c r="R40"/>
  <c r="L100" i="62"/>
  <c r="W60"/>
  <c r="V60"/>
  <c r="AD40" i="20"/>
  <c r="M100" i="62"/>
  <c r="N100"/>
  <c r="N52" i="39" s="1"/>
  <c r="S50" i="20"/>
  <c r="T49"/>
  <c r="Q630" i="62"/>
  <c r="Q384" i="39" s="1"/>
  <c r="T630" i="62"/>
  <c r="T384" i="39" s="1"/>
  <c r="V594" i="62"/>
  <c r="V361" i="39" s="1"/>
  <c r="M630" i="62"/>
  <c r="M384" i="39" s="1"/>
  <c r="P630" i="62"/>
  <c r="P384" i="39" s="1"/>
  <c r="S630" i="62"/>
  <c r="S384" i="39" s="1"/>
  <c r="L630" i="62"/>
  <c r="L384" i="39" s="1"/>
  <c r="O630" i="62"/>
  <c r="O384" i="39" s="1"/>
  <c r="R630" i="62"/>
  <c r="R384" i="39" s="1"/>
  <c r="U630" i="62"/>
  <c r="U384" i="39" s="1"/>
  <c r="W594" i="62"/>
  <c r="W361" i="39" s="1"/>
  <c r="N630" i="62"/>
  <c r="N384" i="39" s="1"/>
  <c r="AP23" i="20"/>
  <c r="AQ23" s="1"/>
  <c r="AR23" s="1"/>
  <c r="S23" i="48"/>
  <c r="J16" i="82"/>
  <c r="N28" i="81"/>
  <c r="N57" i="48"/>
  <c r="AP57"/>
  <c r="M57" i="20"/>
  <c r="AI57" i="48"/>
  <c r="Y37" i="61"/>
  <c r="Z23"/>
  <c r="AE57" i="48"/>
  <c r="AA23" i="61"/>
  <c r="Y23"/>
  <c r="Y9"/>
  <c r="AD37"/>
  <c r="AB23"/>
  <c r="X37"/>
  <c r="AB9"/>
  <c r="X23"/>
  <c r="AD23"/>
  <c r="AA37"/>
  <c r="X9"/>
  <c r="AB37"/>
  <c r="I57" i="20"/>
  <c r="AA9" i="61"/>
  <c r="AC23"/>
  <c r="AC9"/>
  <c r="AC37"/>
  <c r="AD9"/>
  <c r="Z9"/>
  <c r="Z37"/>
  <c r="AS78" i="20"/>
  <c r="N150" i="62"/>
  <c r="N83" i="39" s="1"/>
  <c r="Q150" i="62"/>
  <c r="Q83" i="39" s="1"/>
  <c r="AT78" i="20"/>
  <c r="P150" i="62"/>
  <c r="P83" i="39" s="1"/>
  <c r="AW78" i="20"/>
  <c r="AZ78"/>
  <c r="R150" i="62"/>
  <c r="R83" i="39" s="1"/>
  <c r="U150" i="62"/>
  <c r="U83" i="39" s="1"/>
  <c r="AQ78" i="20"/>
  <c r="T150" i="62"/>
  <c r="T83" i="39" s="1"/>
  <c r="Q89" i="22"/>
  <c r="W110" i="62"/>
  <c r="W60" i="39" s="1"/>
  <c r="AU78" i="20"/>
  <c r="AX78"/>
  <c r="AR78"/>
  <c r="J21" i="26"/>
  <c r="AP78" i="20"/>
  <c r="O150" i="62"/>
  <c r="O83" i="39" s="1"/>
  <c r="S78" i="48"/>
  <c r="AV78" i="20"/>
  <c r="V110" i="62"/>
  <c r="V60" i="39" s="1"/>
  <c r="M150" i="62"/>
  <c r="M83" i="39" s="1"/>
  <c r="BA78" i="20"/>
  <c r="L150" i="62"/>
  <c r="L83" i="39" s="1"/>
  <c r="S150" i="62"/>
  <c r="S83" i="39" s="1"/>
  <c r="AY78" i="20"/>
  <c r="G71" i="89"/>
  <c r="G57" s="1"/>
  <c r="R47" i="18"/>
  <c r="R65"/>
  <c r="S49"/>
  <c r="Q57" i="62"/>
  <c r="Q28" i="39" s="1"/>
  <c r="R23" i="20"/>
  <c r="L57" i="62"/>
  <c r="L28" i="39" s="1"/>
  <c r="U17" i="62"/>
  <c r="U5" i="39" s="1"/>
  <c r="O57" i="62"/>
  <c r="O28" i="39" s="1"/>
  <c r="O17" i="62"/>
  <c r="O5" i="39" s="1"/>
  <c r="M57" i="62"/>
  <c r="M28" i="39" s="1"/>
  <c r="W17" i="62"/>
  <c r="W5" i="39" s="1"/>
  <c r="L17" i="62"/>
  <c r="L5" i="39" s="1"/>
  <c r="M17" i="62"/>
  <c r="M5" i="39" s="1"/>
  <c r="P57" i="62"/>
  <c r="P28" i="39" s="1"/>
  <c r="S17" i="62"/>
  <c r="S5" i="39" s="1"/>
  <c r="S57" i="62"/>
  <c r="S28" i="39" s="1"/>
  <c r="Q17" i="62"/>
  <c r="Q5" i="39" s="1"/>
  <c r="P17" i="62"/>
  <c r="P5" i="39" s="1"/>
  <c r="U57" i="62"/>
  <c r="U28" i="39" s="1"/>
  <c r="V17" i="62"/>
  <c r="V5" i="39" s="1"/>
  <c r="T17" i="62"/>
  <c r="T5" i="39" s="1"/>
  <c r="I24" i="20"/>
  <c r="Q24" i="48" s="1"/>
  <c r="N17" i="62"/>
  <c r="N5" i="39" s="1"/>
  <c r="N57" i="62"/>
  <c r="N28" i="39" s="1"/>
  <c r="R57" i="62"/>
  <c r="R28" i="39" s="1"/>
  <c r="Q23" i="48"/>
  <c r="T57" i="62"/>
  <c r="T28" i="39" s="1"/>
  <c r="R17" i="62"/>
  <c r="R5" i="39" s="1"/>
  <c r="Y117" i="20"/>
  <c r="Y85"/>
  <c r="X85"/>
  <c r="X117"/>
  <c r="T85"/>
  <c r="T117"/>
  <c r="AA85"/>
  <c r="AA117"/>
  <c r="AN15" i="48"/>
  <c r="L15"/>
  <c r="AI78"/>
  <c r="U447" i="62"/>
  <c r="U267" i="39" s="1"/>
  <c r="N447" i="62"/>
  <c r="N267" i="39" s="1"/>
  <c r="W411" i="62"/>
  <c r="W244" i="39" s="1"/>
  <c r="L447" i="62"/>
  <c r="L267" i="39" s="1"/>
  <c r="R447" i="62"/>
  <c r="R267" i="39" s="1"/>
  <c r="O447" i="62"/>
  <c r="O267" i="39" s="1"/>
  <c r="P447" i="62"/>
  <c r="P267" i="39" s="1"/>
  <c r="M447" i="62"/>
  <c r="M267" i="39" s="1"/>
  <c r="S447" i="62"/>
  <c r="S267" i="39" s="1"/>
  <c r="T447" i="62"/>
  <c r="T267" i="39" s="1"/>
  <c r="Q447" i="62"/>
  <c r="Q267" i="39" s="1"/>
  <c r="V411" i="62"/>
  <c r="V244" i="39" s="1"/>
  <c r="J40" i="18"/>
  <c r="J41" s="1"/>
  <c r="I66"/>
  <c r="I67" s="1"/>
  <c r="Y359" i="39"/>
  <c r="Q474" i="62"/>
  <c r="Q282" i="39" s="1"/>
  <c r="M474" i="62"/>
  <c r="M282" i="39" s="1"/>
  <c r="N474" i="62"/>
  <c r="O474"/>
  <c r="O282" i="39" s="1"/>
  <c r="S474" i="62"/>
  <c r="S282" i="39" s="1"/>
  <c r="L474" i="62"/>
  <c r="L282" i="39" s="1"/>
  <c r="R474" i="62"/>
  <c r="R282" i="39" s="1"/>
  <c r="T474" i="62"/>
  <c r="T282" i="39" s="1"/>
  <c r="U474" i="62"/>
  <c r="U282" i="39" s="1"/>
  <c r="P474" i="62"/>
  <c r="P282" i="39" s="1"/>
  <c r="AP40" i="20"/>
  <c r="AQ40" s="1"/>
  <c r="AR40" s="1"/>
  <c r="S40" i="48"/>
  <c r="L32"/>
  <c r="AN32"/>
  <c r="L23" i="18"/>
  <c r="K39"/>
  <c r="K24"/>
  <c r="K25"/>
  <c r="J65"/>
  <c r="K49"/>
  <c r="J51"/>
  <c r="J50"/>
  <c r="T23" i="48"/>
  <c r="BB23" i="20"/>
  <c r="BC23" s="1"/>
  <c r="BD23" s="1"/>
  <c r="T23" i="18"/>
  <c r="S39"/>
  <c r="G32" i="89"/>
  <c r="G18" s="1"/>
  <c r="AO82" i="48"/>
  <c r="R53" i="31"/>
  <c r="AP82" i="48" s="1"/>
  <c r="AI82" s="1"/>
  <c r="R666" i="62"/>
  <c r="R407" i="39" s="1"/>
  <c r="Q666" i="62"/>
  <c r="Q407" i="39" s="1"/>
  <c r="L666" i="62"/>
  <c r="L407" i="39" s="1"/>
  <c r="V630" i="62"/>
  <c r="V384" i="39" s="1"/>
  <c r="U666" i="62"/>
  <c r="U407" i="39" s="1"/>
  <c r="P666" i="62"/>
  <c r="P407" i="39" s="1"/>
  <c r="O666" i="62"/>
  <c r="O407" i="39" s="1"/>
  <c r="W630" i="62"/>
  <c r="W384" i="39" s="1"/>
  <c r="T666" i="62"/>
  <c r="T407" i="39" s="1"/>
  <c r="S666" i="62"/>
  <c r="S407" i="39" s="1"/>
  <c r="N666" i="62"/>
  <c r="N407" i="39" s="1"/>
  <c r="M666" i="62"/>
  <c r="M407" i="39" s="1"/>
  <c r="P471" i="62"/>
  <c r="P281" i="39" s="1"/>
  <c r="S471" i="62"/>
  <c r="T471"/>
  <c r="T281" i="39" s="1"/>
  <c r="U471" i="62"/>
  <c r="U281" i="39" s="1"/>
  <c r="L471" i="62"/>
  <c r="L281" i="39" s="1"/>
  <c r="Q471" i="62"/>
  <c r="Q281" i="39" s="1"/>
  <c r="M471" i="62"/>
  <c r="M281" i="39" s="1"/>
  <c r="N471" i="62"/>
  <c r="N281" i="39" s="1"/>
  <c r="O471" i="62"/>
  <c r="O281" i="39" s="1"/>
  <c r="R471" i="62"/>
  <c r="L57" i="48"/>
  <c r="AN57"/>
  <c r="K57"/>
  <c r="AM57"/>
  <c r="J57" i="20"/>
  <c r="AF57" i="48"/>
  <c r="Q60" i="62"/>
  <c r="Q29" i="39" s="1"/>
  <c r="N20" i="62"/>
  <c r="N6" i="39" s="1"/>
  <c r="T20" i="62"/>
  <c r="T6" i="39" s="1"/>
  <c r="S20" i="62"/>
  <c r="S6" i="39" s="1"/>
  <c r="P60" i="62"/>
  <c r="P29" i="39" s="1"/>
  <c r="V20" i="62"/>
  <c r="V6" i="39" s="1"/>
  <c r="T60" i="62"/>
  <c r="T29" i="39" s="1"/>
  <c r="R20" i="62"/>
  <c r="R6" i="39" s="1"/>
  <c r="L60" i="62"/>
  <c r="L29" i="39" s="1"/>
  <c r="O60" i="62"/>
  <c r="O29" i="39" s="1"/>
  <c r="S60" i="62"/>
  <c r="S29" i="39" s="1"/>
  <c r="P20" i="62"/>
  <c r="P6" i="39" s="1"/>
  <c r="R40" i="20"/>
  <c r="M20" i="62"/>
  <c r="M6" i="39" s="1"/>
  <c r="M60" i="62"/>
  <c r="M29" i="39" s="1"/>
  <c r="U60" i="62"/>
  <c r="U29" i="39" s="1"/>
  <c r="R60" i="62"/>
  <c r="R29" i="39" s="1"/>
  <c r="Q20" i="62"/>
  <c r="Q6" i="39" s="1"/>
  <c r="I41" i="20"/>
  <c r="Q41" i="48" s="1"/>
  <c r="Q40"/>
  <c r="N60" i="62"/>
  <c r="N29" i="39" s="1"/>
  <c r="L20" i="62"/>
  <c r="L6" i="39" s="1"/>
  <c r="U20" i="62"/>
  <c r="U6" i="39" s="1"/>
  <c r="O20" i="62"/>
  <c r="O6" i="39" s="1"/>
  <c r="W20" i="62"/>
  <c r="W6" i="39" s="1"/>
  <c r="AD32" i="20"/>
  <c r="W59" i="62"/>
  <c r="V59"/>
  <c r="R32" i="48"/>
  <c r="L99" i="62"/>
  <c r="M99"/>
  <c r="M52" i="39" s="1"/>
  <c r="H25" i="26"/>
  <c r="I119" i="20"/>
  <c r="Q85" i="48"/>
  <c r="Q119" s="1"/>
  <c r="S117" i="20"/>
  <c r="S85"/>
  <c r="R85"/>
  <c r="R117"/>
  <c r="AH16" i="31"/>
  <c r="AG17"/>
  <c r="AG18" s="1"/>
  <c r="AT78" i="48"/>
  <c r="Y78"/>
  <c r="Q411" i="62"/>
  <c r="Q244" i="39" s="1"/>
  <c r="L411" i="62"/>
  <c r="L244" i="39" s="1"/>
  <c r="V375" i="62"/>
  <c r="V221" i="39" s="1"/>
  <c r="U411" i="62"/>
  <c r="U244" i="39" s="1"/>
  <c r="P411" i="62"/>
  <c r="P244" i="39" s="1"/>
  <c r="O411" i="62"/>
  <c r="O244" i="39" s="1"/>
  <c r="AH78" i="48"/>
  <c r="T411" i="62"/>
  <c r="T244" i="39" s="1"/>
  <c r="W375" i="62"/>
  <c r="W221" i="39" s="1"/>
  <c r="N411" i="62"/>
  <c r="N244" i="39" s="1"/>
  <c r="M411" i="62"/>
  <c r="M244" i="39" s="1"/>
  <c r="R411" i="62"/>
  <c r="R244" i="39" s="1"/>
  <c r="S411" i="62"/>
  <c r="S244" i="39" s="1"/>
  <c r="R281"/>
  <c r="T27" i="18"/>
  <c r="Q32" i="89"/>
  <c r="Q18" s="1"/>
  <c r="W464" i="62" s="1"/>
  <c r="L120" i="44"/>
  <c r="L44" s="1"/>
  <c r="L14"/>
  <c r="R23" i="48"/>
  <c r="AD23" i="20"/>
  <c r="V57" i="62"/>
  <c r="M97"/>
  <c r="L97"/>
  <c r="W57"/>
  <c r="I55" i="44"/>
  <c r="I54" s="1"/>
  <c r="I33"/>
  <c r="I32" s="1"/>
  <c r="BB40" i="20"/>
  <c r="BC40" s="1"/>
  <c r="BD40" s="1"/>
  <c r="T40" i="48"/>
  <c r="U40"/>
  <c r="BN40" i="20"/>
  <c r="BO40" s="1"/>
  <c r="BP40" s="1"/>
  <c r="L130" i="44"/>
  <c r="L49" s="1"/>
  <c r="L23"/>
  <c r="F31" i="89"/>
  <c r="F17" s="1"/>
  <c r="R38" i="18"/>
  <c r="R40" s="1"/>
  <c r="S21"/>
  <c r="X53" i="31"/>
  <c r="M82" i="20" s="1"/>
  <c r="L82"/>
  <c r="AG82" i="48"/>
  <c r="W341" i="62"/>
  <c r="W200" i="39" s="1"/>
  <c r="T377" i="62"/>
  <c r="T223" i="39" s="1"/>
  <c r="Q377" i="62"/>
  <c r="Q223" i="39" s="1"/>
  <c r="N377" i="62"/>
  <c r="N223" i="39" s="1"/>
  <c r="V341" i="62"/>
  <c r="V200" i="39" s="1"/>
  <c r="U377" i="62"/>
  <c r="U223" i="39" s="1"/>
  <c r="R377" i="62"/>
  <c r="R223" i="39" s="1"/>
  <c r="O377" i="62"/>
  <c r="O223" i="39" s="1"/>
  <c r="L377" i="62"/>
  <c r="L223" i="39" s="1"/>
  <c r="S377" i="62"/>
  <c r="S223" i="39" s="1"/>
  <c r="P377" i="62"/>
  <c r="P223" i="39" s="1"/>
  <c r="M377" i="62"/>
  <c r="M223" i="39" s="1"/>
  <c r="AO57" i="48"/>
  <c r="M57"/>
  <c r="L57" i="20"/>
  <c r="AH57" i="48"/>
  <c r="J57" i="18"/>
  <c r="K53"/>
  <c r="J56"/>
  <c r="J64"/>
  <c r="J66" s="1"/>
  <c r="J67" s="1"/>
  <c r="U23" i="48"/>
  <c r="BN23" i="20"/>
  <c r="BO23" s="1"/>
  <c r="BP23" s="1"/>
  <c r="W85"/>
  <c r="W119" s="1"/>
  <c r="W117"/>
  <c r="V85"/>
  <c r="V117"/>
  <c r="AC85"/>
  <c r="AC117"/>
  <c r="S15"/>
  <c r="R16"/>
  <c r="F93" i="22"/>
  <c r="Q16" i="48"/>
  <c r="X47" i="31"/>
  <c r="M114" i="20" s="1"/>
  <c r="L114"/>
  <c r="S281" i="39"/>
  <c r="N282"/>
  <c r="K120" i="44"/>
  <c r="K44" s="1"/>
  <c r="K14"/>
  <c r="L117" i="20"/>
  <c r="X57" i="31"/>
  <c r="M117" i="20" s="1"/>
  <c r="K38" i="18"/>
  <c r="K31"/>
  <c r="L27"/>
  <c r="K30"/>
  <c r="K130" i="44"/>
  <c r="K49" s="1"/>
  <c r="K23"/>
  <c r="S82" i="48"/>
  <c r="R152" i="62"/>
  <c r="R85" i="39" s="1"/>
  <c r="O152" i="62"/>
  <c r="O85" i="39" s="1"/>
  <c r="AX82" i="20"/>
  <c r="T152" i="62"/>
  <c r="T85" i="39" s="1"/>
  <c r="Q152" i="62"/>
  <c r="Q85" i="39" s="1"/>
  <c r="AW82" i="20"/>
  <c r="AT82"/>
  <c r="S152" i="62"/>
  <c r="S85" i="39" s="1"/>
  <c r="AQ82" i="20"/>
  <c r="AS82"/>
  <c r="U152" i="62"/>
  <c r="U85" i="39" s="1"/>
  <c r="AV82" i="20"/>
  <c r="BA82"/>
  <c r="V112" i="62"/>
  <c r="V62" i="39" s="1"/>
  <c r="AP82" i="20"/>
  <c r="AR82"/>
  <c r="L152" i="62"/>
  <c r="L85" i="39" s="1"/>
  <c r="AY82" i="20"/>
  <c r="AZ82"/>
  <c r="N152" i="62"/>
  <c r="N85" i="39" s="1"/>
  <c r="W112" i="62"/>
  <c r="W62" i="39" s="1"/>
  <c r="AU82" i="20"/>
  <c r="P152" i="62"/>
  <c r="P85" i="39" s="1"/>
  <c r="M152" i="62"/>
  <c r="M85" i="39" s="1"/>
  <c r="S260" i="62"/>
  <c r="S145" i="39" s="1"/>
  <c r="M260" i="62"/>
  <c r="M145" i="39" s="1"/>
  <c r="AL57" i="48"/>
  <c r="O260" i="62"/>
  <c r="O145" i="39" s="1"/>
  <c r="Q260" i="62"/>
  <c r="Q145" i="39" s="1"/>
  <c r="R260" i="62"/>
  <c r="R145" i="39" s="1"/>
  <c r="P260" i="62"/>
  <c r="P145" i="39" s="1"/>
  <c r="L260" i="62"/>
  <c r="L145" i="39" s="1"/>
  <c r="N260" i="62"/>
  <c r="N145" i="39" s="1"/>
  <c r="J57" i="48"/>
  <c r="T260" i="62"/>
  <c r="T145" i="39" s="1"/>
  <c r="U260" i="62"/>
  <c r="U145" i="39" s="1"/>
  <c r="K57" i="20"/>
  <c r="AG57" i="48"/>
  <c r="X22" i="31"/>
  <c r="W26"/>
  <c r="L78" i="20"/>
  <c r="J55" i="44"/>
  <c r="J33"/>
  <c r="Z85" i="20"/>
  <c r="Z117"/>
  <c r="U85"/>
  <c r="U117"/>
  <c r="AB85"/>
  <c r="AB117"/>
  <c r="K15"/>
  <c r="AG15" i="48"/>
  <c r="V56" i="62"/>
  <c r="W56"/>
  <c r="R15" i="48"/>
  <c r="AD15" i="20"/>
  <c r="L96" i="62"/>
  <c r="S32" i="20"/>
  <c r="R33"/>
  <c r="AV114"/>
  <c r="AR114"/>
  <c r="AW114"/>
  <c r="AY114"/>
  <c r="AP114"/>
  <c r="AX114"/>
  <c r="AS114"/>
  <c r="AQ114"/>
  <c r="AU114"/>
  <c r="BA114"/>
  <c r="AT114"/>
  <c r="AZ114"/>
  <c r="Q57" i="89"/>
  <c r="V247" i="62" s="1"/>
  <c r="V141" i="39" s="1"/>
  <c r="J24" i="44"/>
  <c r="O100" i="62"/>
  <c r="AK11" i="20"/>
  <c r="AK14" s="1"/>
  <c r="AL74" i="18"/>
  <c r="H117" i="89"/>
  <c r="N89" i="62"/>
  <c r="N91" s="1"/>
  <c r="N93" s="1"/>
  <c r="N90"/>
  <c r="N92" s="1"/>
  <c r="N94" s="1"/>
  <c r="AE101" i="89"/>
  <c r="AD101" s="1"/>
  <c r="AE116"/>
  <c r="AJ53" i="20"/>
  <c r="AJ56" s="1"/>
  <c r="AJ92" i="18"/>
  <c r="AK88"/>
  <c r="AK39" i="20"/>
  <c r="J39" i="25" s="1"/>
  <c r="T118" i="89"/>
  <c r="T104" s="1"/>
  <c r="AM82" i="18"/>
  <c r="AL36" i="20"/>
  <c r="AL39" s="1"/>
  <c r="S145"/>
  <c r="R147"/>
  <c r="AG107"/>
  <c r="AG110"/>
  <c r="AG109"/>
  <c r="AG108"/>
  <c r="AG131"/>
  <c r="AG112"/>
  <c r="AG111"/>
  <c r="AG113"/>
  <c r="AI48"/>
  <c r="AI90"/>
  <c r="Q147" i="48"/>
  <c r="H19" i="76"/>
  <c r="J56" i="25"/>
  <c r="AH65" i="20"/>
  <c r="AH120" s="1"/>
  <c r="AH66"/>
  <c r="AM80" i="18"/>
  <c r="S118" i="89"/>
  <c r="AL28" i="20"/>
  <c r="AL31" s="1"/>
  <c r="I40" i="25"/>
  <c r="AJ45" i="20"/>
  <c r="AK86" i="18"/>
  <c r="AD116" i="89"/>
  <c r="AJ91" i="18"/>
  <c r="I58" i="25"/>
  <c r="AC74" i="89"/>
  <c r="V61" i="18"/>
  <c r="P86" i="62"/>
  <c r="S103" i="89"/>
  <c r="AR85" i="48"/>
  <c r="W85"/>
  <c r="W94" s="1"/>
  <c r="AC35" i="89"/>
  <c r="W35" i="18"/>
  <c r="M47"/>
  <c r="V473" i="62"/>
  <c r="V282" i="39" s="1"/>
  <c r="V279"/>
  <c r="H96" i="20"/>
  <c r="P94" i="48"/>
  <c r="AR94" s="1"/>
  <c r="G26" i="26"/>
  <c r="Q87" i="62"/>
  <c r="Q100" s="1"/>
  <c r="V250"/>
  <c r="W467"/>
  <c r="W251"/>
  <c r="W260" s="1"/>
  <c r="AC59" i="89"/>
  <c r="AC20"/>
  <c r="H26" i="66"/>
  <c r="T28" i="81"/>
  <c r="Q180" i="48"/>
  <c r="H32" i="94"/>
  <c r="O49" i="39"/>
  <c r="O99" i="62"/>
  <c r="AJ64" i="20" l="1"/>
  <c r="AJ116" s="1"/>
  <c r="O52" i="39"/>
  <c r="AI80" i="20"/>
  <c r="AI141" s="1"/>
  <c r="AI182" s="1"/>
  <c r="R34" i="89"/>
  <c r="R20" s="1"/>
  <c r="V29" i="18"/>
  <c r="R73" i="89"/>
  <c r="R59" s="1"/>
  <c r="L284" i="62" s="1"/>
  <c r="L293" s="1"/>
  <c r="U55" i="18"/>
  <c r="O84" i="62"/>
  <c r="O97" s="1"/>
  <c r="I102" i="89"/>
  <c r="AK19" i="20"/>
  <c r="AK22" s="1"/>
  <c r="J19" i="25" s="1"/>
  <c r="AL76" i="18"/>
  <c r="I117" i="89"/>
  <c r="M113" i="62"/>
  <c r="M63" i="39" s="1"/>
  <c r="M108" i="62"/>
  <c r="M58" i="39" s="1"/>
  <c r="M96" i="62"/>
  <c r="M51" i="39" s="1"/>
  <c r="M109" i="62"/>
  <c r="M59" i="39" s="1"/>
  <c r="M48"/>
  <c r="N83" i="62"/>
  <c r="H101" i="89"/>
  <c r="N103" i="62"/>
  <c r="K62" i="18"/>
  <c r="K63"/>
  <c r="L59"/>
  <c r="AB33" i="89"/>
  <c r="AB19" s="1"/>
  <c r="U33" i="18"/>
  <c r="M33"/>
  <c r="L37"/>
  <c r="L36"/>
  <c r="T59"/>
  <c r="AB72" i="89"/>
  <c r="AB58" s="1"/>
  <c r="V256" i="62"/>
  <c r="V144" i="39" s="1"/>
  <c r="K40" i="18"/>
  <c r="K41" s="1"/>
  <c r="W155" i="20"/>
  <c r="W159" s="1"/>
  <c r="AJ93" i="18"/>
  <c r="W29" i="39"/>
  <c r="N50"/>
  <c r="W462" i="62"/>
  <c r="W471" s="1"/>
  <c r="S15" i="48"/>
  <c r="AP15" i="20"/>
  <c r="AQ15" s="1"/>
  <c r="AR15" s="1"/>
  <c r="AS15" s="1"/>
  <c r="U155"/>
  <c r="U119"/>
  <c r="V477" i="62"/>
  <c r="V283" i="39" s="1"/>
  <c r="N477" i="62"/>
  <c r="N283" i="39" s="1"/>
  <c r="T477" i="62"/>
  <c r="T283" i="39" s="1"/>
  <c r="R477" i="62"/>
  <c r="R283" i="39" s="1"/>
  <c r="M477" i="62"/>
  <c r="M283" i="39" s="1"/>
  <c r="L513" i="62"/>
  <c r="W477"/>
  <c r="S477"/>
  <c r="S283" i="39" s="1"/>
  <c r="O477" i="62"/>
  <c r="O283" i="39" s="1"/>
  <c r="P477" i="62"/>
  <c r="P283" i="39" s="1"/>
  <c r="L477" i="62"/>
  <c r="L283" i="39" s="1"/>
  <c r="Q477" i="62"/>
  <c r="Q283" i="39" s="1"/>
  <c r="U477" i="62"/>
  <c r="U283" i="39" s="1"/>
  <c r="K50" i="44"/>
  <c r="L32" i="20"/>
  <c r="AH32" i="48"/>
  <c r="K45" i="44"/>
  <c r="L15" i="20"/>
  <c r="AH15" i="48"/>
  <c r="J32" i="44"/>
  <c r="AM49" i="48"/>
  <c r="K49"/>
  <c r="U27" i="18"/>
  <c r="Q33" i="89"/>
  <c r="Q19" s="1"/>
  <c r="S155" i="20"/>
  <c r="S119"/>
  <c r="AA155"/>
  <c r="AA119"/>
  <c r="X155"/>
  <c r="X159" s="1"/>
  <c r="X119"/>
  <c r="S65" i="18"/>
  <c r="G72" i="89"/>
  <c r="T49" i="18"/>
  <c r="L51" i="39"/>
  <c r="Y361"/>
  <c r="V29"/>
  <c r="AD16" i="20"/>
  <c r="AF17" s="1"/>
  <c r="AE15"/>
  <c r="X26" i="31"/>
  <c r="M78" i="20"/>
  <c r="L24" i="44"/>
  <c r="M32" i="48"/>
  <c r="AO32"/>
  <c r="L15" i="44"/>
  <c r="AO15" i="48"/>
  <c r="M15"/>
  <c r="BN114" i="20"/>
  <c r="BY114"/>
  <c r="BW114"/>
  <c r="BS114"/>
  <c r="BX114"/>
  <c r="BV114"/>
  <c r="BO114"/>
  <c r="BR114"/>
  <c r="BP114"/>
  <c r="BQ114"/>
  <c r="BT114"/>
  <c r="BU114"/>
  <c r="T15"/>
  <c r="S16"/>
  <c r="V155"/>
  <c r="V119"/>
  <c r="F32" i="89"/>
  <c r="F18" s="1"/>
  <c r="T21" i="18"/>
  <c r="S38"/>
  <c r="S40" s="1"/>
  <c r="L50" i="44"/>
  <c r="AI32" i="48"/>
  <c r="M32" i="20"/>
  <c r="AD24"/>
  <c r="AG25" s="1"/>
  <c r="AE23"/>
  <c r="R155"/>
  <c r="R119"/>
  <c r="R41"/>
  <c r="S40"/>
  <c r="M23" i="18"/>
  <c r="L39"/>
  <c r="L25"/>
  <c r="L24"/>
  <c r="AU78" i="48"/>
  <c r="Z78"/>
  <c r="U57"/>
  <c r="BN57" i="20"/>
  <c r="BO57" s="1"/>
  <c r="BP57" s="1"/>
  <c r="BQ57" s="1"/>
  <c r="BR57" s="1"/>
  <c r="BS57" s="1"/>
  <c r="BT57" s="1"/>
  <c r="BU57" s="1"/>
  <c r="BV57" s="1"/>
  <c r="BW57" s="1"/>
  <c r="BX57" s="1"/>
  <c r="BY57" s="1"/>
  <c r="U49"/>
  <c r="T50"/>
  <c r="AE40"/>
  <c r="AD41"/>
  <c r="AG42" s="1"/>
  <c r="W28" i="39"/>
  <c r="AB155" i="20"/>
  <c r="AB119"/>
  <c r="Z155"/>
  <c r="Z119"/>
  <c r="Z82" i="48"/>
  <c r="AU82"/>
  <c r="L38" i="18"/>
  <c r="L30"/>
  <c r="M27"/>
  <c r="L31"/>
  <c r="BC114" i="20"/>
  <c r="BM114"/>
  <c r="BD114"/>
  <c r="BB114"/>
  <c r="BE114"/>
  <c r="BK114"/>
  <c r="BH114"/>
  <c r="BJ114"/>
  <c r="BL114"/>
  <c r="BG114"/>
  <c r="BI114"/>
  <c r="BF114"/>
  <c r="K64" i="18"/>
  <c r="K56"/>
  <c r="K57"/>
  <c r="L53"/>
  <c r="BN82" i="20"/>
  <c r="V192" i="62"/>
  <c r="V108" i="39" s="1"/>
  <c r="U232" i="62"/>
  <c r="U131" i="39" s="1"/>
  <c r="BW82" i="20"/>
  <c r="L232" i="62"/>
  <c r="L131" i="39" s="1"/>
  <c r="BO82" i="20"/>
  <c r="BV82"/>
  <c r="N232" i="62"/>
  <c r="N131" i="39" s="1"/>
  <c r="BT82" i="20"/>
  <c r="BU82"/>
  <c r="P232" i="62"/>
  <c r="P131" i="39" s="1"/>
  <c r="BY82" i="20"/>
  <c r="W192" i="62"/>
  <c r="W108" i="39" s="1"/>
  <c r="R232" i="62"/>
  <c r="R131" i="39" s="1"/>
  <c r="BS82" i="20"/>
  <c r="M232" i="62"/>
  <c r="M131" i="39" s="1"/>
  <c r="T232" i="62"/>
  <c r="T131" i="39" s="1"/>
  <c r="BR82" i="20"/>
  <c r="O232" i="62"/>
  <c r="O131" i="39" s="1"/>
  <c r="BP82" i="20"/>
  <c r="BQ82"/>
  <c r="Q232" i="62"/>
  <c r="Q131" i="39" s="1"/>
  <c r="BX82" i="20"/>
  <c r="U82" i="48"/>
  <c r="S232" i="62"/>
  <c r="S131" i="39" s="1"/>
  <c r="AP32" i="48"/>
  <c r="N32"/>
  <c r="L45" i="44"/>
  <c r="M15" i="20"/>
  <c r="AI15" i="48"/>
  <c r="AE32" i="20"/>
  <c r="AD33"/>
  <c r="AF34" s="1"/>
  <c r="S413" i="62"/>
  <c r="S246" i="39" s="1"/>
  <c r="N413" i="62"/>
  <c r="N246" i="39" s="1"/>
  <c r="M413" i="62"/>
  <c r="M246" i="39" s="1"/>
  <c r="R413" i="62"/>
  <c r="R246" i="39" s="1"/>
  <c r="Q413" i="62"/>
  <c r="Q246" i="39" s="1"/>
  <c r="L413" i="62"/>
  <c r="L246" i="39" s="1"/>
  <c r="V377" i="62"/>
  <c r="V223" i="39" s="1"/>
  <c r="U413" i="62"/>
  <c r="U246" i="39" s="1"/>
  <c r="P413" i="62"/>
  <c r="P246" i="39" s="1"/>
  <c r="O413" i="62"/>
  <c r="O246" i="39" s="1"/>
  <c r="W377" i="62"/>
  <c r="W223" i="39" s="1"/>
  <c r="T413" i="62"/>
  <c r="T246" i="39" s="1"/>
  <c r="L49" i="18"/>
  <c r="K65"/>
  <c r="K51"/>
  <c r="K50"/>
  <c r="T155" i="20"/>
  <c r="T119"/>
  <c r="S23"/>
  <c r="R24"/>
  <c r="S47" i="18"/>
  <c r="R64"/>
  <c r="R66" s="1"/>
  <c r="F71" i="89"/>
  <c r="F57" s="1"/>
  <c r="O63" i="62"/>
  <c r="O30" i="39" s="1"/>
  <c r="Q63" i="62"/>
  <c r="Q30" i="39" s="1"/>
  <c r="S23" i="62"/>
  <c r="S7" i="39" s="1"/>
  <c r="P63" i="62"/>
  <c r="P30" i="39" s="1"/>
  <c r="O23" i="62"/>
  <c r="O7" i="39" s="1"/>
  <c r="W23" i="62"/>
  <c r="W7" i="39" s="1"/>
  <c r="R23" i="62"/>
  <c r="R7" i="39" s="1"/>
  <c r="L63" i="62"/>
  <c r="L30" i="39" s="1"/>
  <c r="N63" i="62"/>
  <c r="N30" i="39" s="1"/>
  <c r="U63" i="62"/>
  <c r="U30" i="39" s="1"/>
  <c r="V23" i="62"/>
  <c r="V7" i="39" s="1"/>
  <c r="M23" i="62"/>
  <c r="M7" i="39" s="1"/>
  <c r="R57" i="20"/>
  <c r="T63" i="62"/>
  <c r="T30" i="39" s="1"/>
  <c r="Q57" i="48"/>
  <c r="M63" i="62"/>
  <c r="M30" i="39" s="1"/>
  <c r="R63" i="62"/>
  <c r="R30" i="39" s="1"/>
  <c r="P23" i="62"/>
  <c r="P7" i="39" s="1"/>
  <c r="I58" i="20"/>
  <c r="T23" i="62"/>
  <c r="T7" i="39" s="1"/>
  <c r="L23" i="62"/>
  <c r="L7" i="39" s="1"/>
  <c r="S63" i="62"/>
  <c r="S30" i="39" s="1"/>
  <c r="U23" i="62"/>
  <c r="U7" i="39" s="1"/>
  <c r="Q23" i="62"/>
  <c r="Q7" i="39" s="1"/>
  <c r="N23" i="62"/>
  <c r="N7" i="39" s="1"/>
  <c r="Q72" i="89"/>
  <c r="Q58" s="1"/>
  <c r="W247" i="62" s="1"/>
  <c r="W256" s="1"/>
  <c r="W144" i="39" s="1"/>
  <c r="T53" i="18"/>
  <c r="S32" i="48"/>
  <c r="AP32" i="20"/>
  <c r="AQ32" s="1"/>
  <c r="AR32" s="1"/>
  <c r="V28" i="39"/>
  <c r="K24" i="44"/>
  <c r="AH82" i="48"/>
  <c r="L52" i="39"/>
  <c r="T32" i="20"/>
  <c r="S33"/>
  <c r="P190" i="62"/>
  <c r="P106" i="39" s="1"/>
  <c r="S190" i="62"/>
  <c r="S106" i="39" s="1"/>
  <c r="K21" i="26"/>
  <c r="BL78" i="20"/>
  <c r="BK78"/>
  <c r="BM78"/>
  <c r="T190" i="62"/>
  <c r="T106" i="39" s="1"/>
  <c r="BF78" i="20"/>
  <c r="BE78"/>
  <c r="T78" i="48"/>
  <c r="V150" i="62"/>
  <c r="V83" i="39" s="1"/>
  <c r="M190" i="62"/>
  <c r="M106" i="39" s="1"/>
  <c r="BJ78" i="20"/>
  <c r="BD78"/>
  <c r="BC78"/>
  <c r="W150" i="62"/>
  <c r="W83" i="39" s="1"/>
  <c r="BB78" i="20"/>
  <c r="N190" i="62"/>
  <c r="N106" i="39" s="1"/>
  <c r="Q190" i="62"/>
  <c r="Q106" i="39" s="1"/>
  <c r="BG78" i="20"/>
  <c r="BI78"/>
  <c r="L190" i="62"/>
  <c r="L106" i="39" s="1"/>
  <c r="O190" i="62"/>
  <c r="O106" i="39" s="1"/>
  <c r="R89" i="22"/>
  <c r="R190" i="62"/>
  <c r="R106" i="39" s="1"/>
  <c r="U190" i="62"/>
  <c r="U106" i="39" s="1"/>
  <c r="BH78" i="20"/>
  <c r="AP57"/>
  <c r="AQ57" s="1"/>
  <c r="AR57" s="1"/>
  <c r="AS57" s="1"/>
  <c r="AT57" s="1"/>
  <c r="AU57" s="1"/>
  <c r="AV57" s="1"/>
  <c r="AW57" s="1"/>
  <c r="AX57" s="1"/>
  <c r="AY57" s="1"/>
  <c r="AZ57" s="1"/>
  <c r="BA57" s="1"/>
  <c r="S57" i="48"/>
  <c r="V245" i="62"/>
  <c r="V254" s="1"/>
  <c r="G58" i="89"/>
  <c r="AC155" i="20"/>
  <c r="AC119"/>
  <c r="T57" i="48"/>
  <c r="BB57" i="20"/>
  <c r="BC57" s="1"/>
  <c r="BD57" s="1"/>
  <c r="BE57" s="1"/>
  <c r="BF57" s="1"/>
  <c r="BG57" s="1"/>
  <c r="BH57" s="1"/>
  <c r="BI57" s="1"/>
  <c r="BJ57" s="1"/>
  <c r="BK57" s="1"/>
  <c r="BL57" s="1"/>
  <c r="BM57" s="1"/>
  <c r="BJ82"/>
  <c r="W152" i="62"/>
  <c r="W85" i="39" s="1"/>
  <c r="R192" i="62"/>
  <c r="R108" i="39" s="1"/>
  <c r="BI82" i="20"/>
  <c r="M192" i="62"/>
  <c r="M108" i="39" s="1"/>
  <c r="T192" i="62"/>
  <c r="T108" i="39" s="1"/>
  <c r="BC82" i="20"/>
  <c r="O192" i="62"/>
  <c r="O108" i="39" s="1"/>
  <c r="BG82" i="20"/>
  <c r="BH82"/>
  <c r="Q192" i="62"/>
  <c r="Q108" i="39" s="1"/>
  <c r="BF82" i="20"/>
  <c r="T82" i="48"/>
  <c r="S192" i="62"/>
  <c r="S108" i="39" s="1"/>
  <c r="BE82" i="20"/>
  <c r="V152" i="62"/>
  <c r="V85" i="39" s="1"/>
  <c r="U192" i="62"/>
  <c r="U108" i="39" s="1"/>
  <c r="BM82" i="20"/>
  <c r="L192" i="62"/>
  <c r="L108" i="39" s="1"/>
  <c r="BB82" i="20"/>
  <c r="BD82"/>
  <c r="N192" i="62"/>
  <c r="N108" i="39" s="1"/>
  <c r="BK82" i="20"/>
  <c r="BL82"/>
  <c r="P192" i="62"/>
  <c r="P108" i="39" s="1"/>
  <c r="V461" i="62"/>
  <c r="J54" i="44"/>
  <c r="J49" i="20"/>
  <c r="AF49" i="48"/>
  <c r="AP15"/>
  <c r="N15"/>
  <c r="AI16" i="31"/>
  <c r="AH17"/>
  <c r="AH18" s="1"/>
  <c r="V63" i="62"/>
  <c r="AD57" i="20"/>
  <c r="R57" i="48"/>
  <c r="W63" i="62"/>
  <c r="L103"/>
  <c r="M103"/>
  <c r="N449"/>
  <c r="N269" i="39" s="1"/>
  <c r="M449" i="62"/>
  <c r="M269" i="39" s="1"/>
  <c r="Q449" i="62"/>
  <c r="Q269" i="39" s="1"/>
  <c r="R449" i="62"/>
  <c r="R269" i="39" s="1"/>
  <c r="S449" i="62"/>
  <c r="S269" i="39" s="1"/>
  <c r="T449" i="62"/>
  <c r="T269" i="39" s="1"/>
  <c r="W413" i="62"/>
  <c r="W246" i="39" s="1"/>
  <c r="U449" i="62"/>
  <c r="U269" i="39" s="1"/>
  <c r="L449" i="62"/>
  <c r="L269" i="39" s="1"/>
  <c r="V413" i="62"/>
  <c r="V246" i="39" s="1"/>
  <c r="P449" i="62"/>
  <c r="P269" i="39" s="1"/>
  <c r="O449" i="62"/>
  <c r="O269" i="39" s="1"/>
  <c r="G33" i="89"/>
  <c r="G19" s="1"/>
  <c r="U23" i="18"/>
  <c r="T39"/>
  <c r="Y119" i="20"/>
  <c r="Y155"/>
  <c r="K15" i="44"/>
  <c r="J40" i="25"/>
  <c r="AL11" i="20"/>
  <c r="AL14" s="1"/>
  <c r="AM74" i="18"/>
  <c r="H118" i="89"/>
  <c r="O89" i="62"/>
  <c r="O91" s="1"/>
  <c r="O93" s="1"/>
  <c r="AK92" i="18"/>
  <c r="AE117" i="89"/>
  <c r="AL88" i="18"/>
  <c r="AK53" i="20"/>
  <c r="AK56" s="1"/>
  <c r="O90" i="62"/>
  <c r="O92" s="1"/>
  <c r="O94" s="1"/>
  <c r="O103" s="1"/>
  <c r="AE102" i="89"/>
  <c r="AD102" s="1"/>
  <c r="P89" i="62" s="1"/>
  <c r="AM28" i="20"/>
  <c r="I41" i="25"/>
  <c r="AN80" i="18"/>
  <c r="S119" i="89"/>
  <c r="AJ48" i="20"/>
  <c r="AJ90"/>
  <c r="J57" i="25"/>
  <c r="AI65" i="20"/>
  <c r="AI120" s="1"/>
  <c r="AI66"/>
  <c r="S147"/>
  <c r="T145"/>
  <c r="AN82" i="18"/>
  <c r="AM36" i="20"/>
  <c r="AM39" s="1"/>
  <c r="T119" i="89"/>
  <c r="T105" s="1"/>
  <c r="AK45" i="20"/>
  <c r="AD117" i="89"/>
  <c r="AL86" i="18"/>
  <c r="I59" i="25"/>
  <c r="AK91" i="18"/>
  <c r="AH112" i="20"/>
  <c r="AH107"/>
  <c r="AH108"/>
  <c r="AH109"/>
  <c r="AH110"/>
  <c r="AH131"/>
  <c r="AH111"/>
  <c r="AH113"/>
  <c r="AC36" i="89"/>
  <c r="X35" i="18"/>
  <c r="W473" i="62"/>
  <c r="W282" i="39" s="1"/>
  <c r="W279"/>
  <c r="L503" i="62"/>
  <c r="AT15" i="20"/>
  <c r="M501" i="62"/>
  <c r="M510" s="1"/>
  <c r="BE40" i="20"/>
  <c r="P49" i="39"/>
  <c r="P99" i="62"/>
  <c r="P52" i="39" s="1"/>
  <c r="BQ23" i="20"/>
  <c r="AC75" i="89"/>
  <c r="W61" i="18"/>
  <c r="W250" i="62"/>
  <c r="R87"/>
  <c r="R100" s="1"/>
  <c r="AS40" i="20"/>
  <c r="AS23"/>
  <c r="BQ40"/>
  <c r="L500" i="62"/>
  <c r="L287"/>
  <c r="L296" s="1"/>
  <c r="AC60" i="89"/>
  <c r="H300" i="20"/>
  <c r="H308" s="1"/>
  <c r="H310" s="1"/>
  <c r="H209" s="1"/>
  <c r="G28" i="26"/>
  <c r="P96" i="48"/>
  <c r="H99" i="20"/>
  <c r="BE23"/>
  <c r="S104" i="89"/>
  <c r="Q86" i="62"/>
  <c r="W141" i="39"/>
  <c r="W476" i="62"/>
  <c r="W280" i="39"/>
  <c r="M504" i="62"/>
  <c r="M513" s="1"/>
  <c r="AC21" i="89"/>
  <c r="V142" i="39"/>
  <c r="V259" i="62"/>
  <c r="V145" i="39" s="1"/>
  <c r="AJ80" i="20" l="1"/>
  <c r="AJ141" s="1"/>
  <c r="AJ182" s="1"/>
  <c r="AK64"/>
  <c r="AK80" s="1"/>
  <c r="AK141" s="1"/>
  <c r="R35" i="89"/>
  <c r="R21" s="1"/>
  <c r="W29" i="18"/>
  <c r="R74" i="89"/>
  <c r="R60" s="1"/>
  <c r="M284" i="62" s="1"/>
  <c r="M293" s="1"/>
  <c r="V55" i="18"/>
  <c r="I103" i="89"/>
  <c r="P84" i="62"/>
  <c r="P97" s="1"/>
  <c r="N109"/>
  <c r="N59" i="39" s="1"/>
  <c r="N108" i="62"/>
  <c r="N58" i="39" s="1"/>
  <c r="N96" i="62"/>
  <c r="N51" i="39" s="1"/>
  <c r="N113" i="62"/>
  <c r="N63" i="39" s="1"/>
  <c r="N48"/>
  <c r="O83" i="62"/>
  <c r="H102" i="89"/>
  <c r="I20" i="25"/>
  <c r="AL19" i="20"/>
  <c r="AL22" s="1"/>
  <c r="J20" i="25" s="1"/>
  <c r="AM76" i="18"/>
  <c r="I21" i="25" s="1"/>
  <c r="I118" i="89"/>
  <c r="W283" i="39"/>
  <c r="U59" i="18"/>
  <c r="AB73" i="89"/>
  <c r="AB59" s="1"/>
  <c r="L286" i="62" s="1"/>
  <c r="V33" i="18"/>
  <c r="AB34" i="89"/>
  <c r="AB20" s="1"/>
  <c r="M37" i="18"/>
  <c r="M36"/>
  <c r="AK93"/>
  <c r="O102" i="62"/>
  <c r="O53" i="39" s="1"/>
  <c r="M59" i="18"/>
  <c r="L62"/>
  <c r="L63"/>
  <c r="W183" i="20"/>
  <c r="M29" i="81" s="1"/>
  <c r="BZ82" i="20"/>
  <c r="O50" i="39"/>
  <c r="X183" i="20"/>
  <c r="L498" i="62"/>
  <c r="L507" s="1"/>
  <c r="Y183" i="20"/>
  <c r="Y159"/>
  <c r="AJ16" i="31"/>
  <c r="AI17"/>
  <c r="AI18" s="1"/>
  <c r="L102" i="62"/>
  <c r="L53" i="39" s="1"/>
  <c r="R49" i="48"/>
  <c r="AD49" i="20"/>
  <c r="M102" i="62"/>
  <c r="M53" i="39" s="1"/>
  <c r="V62" i="62"/>
  <c r="V30" i="39" s="1"/>
  <c r="W62" i="62"/>
  <c r="W30" i="39" s="1"/>
  <c r="T47" i="18"/>
  <c r="F72" i="89"/>
  <c r="F58" s="1"/>
  <c r="S64" i="18"/>
  <c r="S66" s="1"/>
  <c r="T183" i="20"/>
  <c r="T159"/>
  <c r="L65" i="18"/>
  <c r="M49"/>
  <c r="L50"/>
  <c r="L51"/>
  <c r="U15" i="48"/>
  <c r="BN15" i="20"/>
  <c r="BO15" s="1"/>
  <c r="BP15" s="1"/>
  <c r="BQ15" s="1"/>
  <c r="Z183"/>
  <c r="Z159"/>
  <c r="V49"/>
  <c r="U50"/>
  <c r="M39" i="18"/>
  <c r="M24"/>
  <c r="M25"/>
  <c r="R183" i="20"/>
  <c r="R159"/>
  <c r="U15"/>
  <c r="T16"/>
  <c r="AA159"/>
  <c r="AA183"/>
  <c r="V27" i="18"/>
  <c r="Q34" i="89"/>
  <c r="Q20" s="1"/>
  <c r="BB32" i="20"/>
  <c r="BC32" s="1"/>
  <c r="T32" i="48"/>
  <c r="U159" i="20"/>
  <c r="U183"/>
  <c r="N102" i="62"/>
  <c r="N53" i="39" s="1"/>
  <c r="K66" i="18"/>
  <c r="L40"/>
  <c r="K55" i="44"/>
  <c r="K54" s="1"/>
  <c r="K33"/>
  <c r="K32" s="1"/>
  <c r="U39" i="18"/>
  <c r="V23"/>
  <c r="G34" i="89"/>
  <c r="G20" s="1"/>
  <c r="M498" i="62" s="1"/>
  <c r="M507" s="1"/>
  <c r="V470"/>
  <c r="V281" i="39" s="1"/>
  <c r="V278"/>
  <c r="AA78" i="48"/>
  <c r="AV78"/>
  <c r="U53" i="18"/>
  <c r="Q73" i="89"/>
  <c r="Q59" s="1"/>
  <c r="L283" i="62" s="1"/>
  <c r="F94" i="22"/>
  <c r="Q58" i="48"/>
  <c r="I69" i="20"/>
  <c r="BN32"/>
  <c r="BO32" s="1"/>
  <c r="U32" i="48"/>
  <c r="F33" i="89"/>
  <c r="U21" i="18"/>
  <c r="T38"/>
  <c r="T40" s="1"/>
  <c r="L55" i="44"/>
  <c r="L33"/>
  <c r="BX78" i="20"/>
  <c r="N230" i="62"/>
  <c r="N129" i="39" s="1"/>
  <c r="S230" i="62"/>
  <c r="S129" i="39" s="1"/>
  <c r="BR78" i="20"/>
  <c r="T230" i="62"/>
  <c r="T129" i="39" s="1"/>
  <c r="L21" i="26"/>
  <c r="Q230" i="62"/>
  <c r="Q129" i="39" s="1"/>
  <c r="BU78" i="20"/>
  <c r="R230" i="62"/>
  <c r="R129" i="39" s="1"/>
  <c r="BT78" i="20"/>
  <c r="BW78"/>
  <c r="BN78"/>
  <c r="U230" i="62"/>
  <c r="U129" i="39" s="1"/>
  <c r="M230" i="62"/>
  <c r="M129" i="39" s="1"/>
  <c r="BV78" i="20"/>
  <c r="BQ78"/>
  <c r="W190" i="62"/>
  <c r="W106" i="39" s="1"/>
  <c r="BS78" i="20"/>
  <c r="L230" i="62"/>
  <c r="L129" i="39" s="1"/>
  <c r="BO78" i="20"/>
  <c r="S89" i="22"/>
  <c r="V190" i="62"/>
  <c r="V106" i="39" s="1"/>
  <c r="O230" i="62"/>
  <c r="O129" i="39" s="1"/>
  <c r="BP78" i="20"/>
  <c r="P230" i="62"/>
  <c r="P129" i="39" s="1"/>
  <c r="BY78" i="20"/>
  <c r="U78" i="48"/>
  <c r="AN49"/>
  <c r="L49"/>
  <c r="K67" i="18"/>
  <c r="L41"/>
  <c r="F19" i="89"/>
  <c r="W461" i="62"/>
  <c r="W245"/>
  <c r="W254" s="1"/>
  <c r="U32" i="20"/>
  <c r="T33"/>
  <c r="V244" i="62"/>
  <c r="T23" i="20"/>
  <c r="S24"/>
  <c r="AF32"/>
  <c r="AE33"/>
  <c r="AG34" s="1"/>
  <c r="M38" i="18"/>
  <c r="M40" s="1"/>
  <c r="M31"/>
  <c r="M30"/>
  <c r="AB183" i="20"/>
  <c r="AB159"/>
  <c r="AF40"/>
  <c r="AE41"/>
  <c r="AH42" s="1"/>
  <c r="V159"/>
  <c r="V183"/>
  <c r="T65" i="18"/>
  <c r="U49"/>
  <c r="G73" i="89"/>
  <c r="G59" s="1"/>
  <c r="S183" i="20"/>
  <c r="S159"/>
  <c r="AE57"/>
  <c r="AD58"/>
  <c r="AG49" i="48"/>
  <c r="K49" i="20"/>
  <c r="AA82" i="48"/>
  <c r="AV82"/>
  <c r="AC159" i="20"/>
  <c r="I155"/>
  <c r="AC183"/>
  <c r="R58"/>
  <c r="R69" s="1"/>
  <c r="R67" s="1"/>
  <c r="S57"/>
  <c r="AW82" i="48"/>
  <c r="AB82"/>
  <c r="L64" i="18"/>
  <c r="M53"/>
  <c r="L56"/>
  <c r="L57"/>
  <c r="T40" i="20"/>
  <c r="S41"/>
  <c r="AF23"/>
  <c r="AE24"/>
  <c r="AH25" s="1"/>
  <c r="AE16"/>
  <c r="AG17" s="1"/>
  <c r="AF15"/>
  <c r="T15" i="48"/>
  <c r="BB15" i="20"/>
  <c r="BC15" s="1"/>
  <c r="BD15" s="1"/>
  <c r="BE15" s="1"/>
  <c r="AN74" i="18"/>
  <c r="AM11" i="20"/>
  <c r="H119" i="89"/>
  <c r="AL92" i="18"/>
  <c r="AE118" i="89"/>
  <c r="AL53" i="20"/>
  <c r="AL56" s="1"/>
  <c r="AM88" i="18"/>
  <c r="P90" i="62"/>
  <c r="P92" s="1"/>
  <c r="P94" s="1"/>
  <c r="P103" s="1"/>
  <c r="AE103" i="89"/>
  <c r="AK48" i="20"/>
  <c r="AK90"/>
  <c r="AM31"/>
  <c r="AM86" i="18"/>
  <c r="AL45" i="20"/>
  <c r="AD118" i="89"/>
  <c r="I60" i="25"/>
  <c r="AL91" i="18"/>
  <c r="S120" i="89"/>
  <c r="AN28" i="20"/>
  <c r="AN31" s="1"/>
  <c r="I42" i="25"/>
  <c r="AO80" i="18"/>
  <c r="AN36" i="20"/>
  <c r="AO82" i="18"/>
  <c r="T120" i="89"/>
  <c r="T106" s="1"/>
  <c r="T147" i="20"/>
  <c r="U145"/>
  <c r="AI109"/>
  <c r="AI111"/>
  <c r="AI107"/>
  <c r="AI113"/>
  <c r="AI112"/>
  <c r="AI108"/>
  <c r="AI110"/>
  <c r="AI131"/>
  <c r="AJ65"/>
  <c r="AJ120" s="1"/>
  <c r="AJ66"/>
  <c r="J58" i="25"/>
  <c r="P91" i="62"/>
  <c r="P93" s="1"/>
  <c r="P102" s="1"/>
  <c r="L303" i="39"/>
  <c r="L512" i="62"/>
  <c r="L306" i="39" s="1"/>
  <c r="AR96" i="48"/>
  <c r="W96"/>
  <c r="BF23" i="20"/>
  <c r="AS32"/>
  <c r="BP32"/>
  <c r="S105" i="89"/>
  <c r="R86" i="62"/>
  <c r="L302" i="39"/>
  <c r="L509" i="62"/>
  <c r="L305" i="39" s="1"/>
  <c r="AT23" i="20"/>
  <c r="S87" i="62"/>
  <c r="S100" s="1"/>
  <c r="BD32" i="20"/>
  <c r="AC76" i="89"/>
  <c r="X61" i="18"/>
  <c r="BF40" i="20"/>
  <c r="N501" i="62"/>
  <c r="N510" s="1"/>
  <c r="H178" i="20"/>
  <c r="P99" i="48"/>
  <c r="AR99" s="1"/>
  <c r="G22" i="66"/>
  <c r="G34" i="26"/>
  <c r="G29" i="94"/>
  <c r="G24" i="81"/>
  <c r="AC61" i="89"/>
  <c r="M287" i="62"/>
  <c r="M296" s="1"/>
  <c r="BR40" i="20"/>
  <c r="W259" i="62"/>
  <c r="W145" i="39" s="1"/>
  <c r="W142"/>
  <c r="Y35" i="18"/>
  <c r="AC37" i="89"/>
  <c r="AC22"/>
  <c r="N504" i="62"/>
  <c r="N513" s="1"/>
  <c r="Q49" i="39"/>
  <c r="Q99" i="62"/>
  <c r="Q52" i="39" s="1"/>
  <c r="M500" i="62"/>
  <c r="AT40" i="20"/>
  <c r="BR23"/>
  <c r="AU15"/>
  <c r="AK116" l="1"/>
  <c r="X29" i="18"/>
  <c r="R36" i="89"/>
  <c r="R22" s="1"/>
  <c r="W55" i="18"/>
  <c r="R75" i="89"/>
  <c r="R61" s="1"/>
  <c r="AN76" i="18"/>
  <c r="AM19" i="20"/>
  <c r="AM22" s="1"/>
  <c r="I119" i="89"/>
  <c r="O108" i="62"/>
  <c r="O58" i="39" s="1"/>
  <c r="O113" i="62"/>
  <c r="O63" i="39" s="1"/>
  <c r="O96" i="62"/>
  <c r="O51" i="39" s="1"/>
  <c r="O109" i="62"/>
  <c r="O59" i="39" s="1"/>
  <c r="O48"/>
  <c r="Q84" i="62"/>
  <c r="Q97" s="1"/>
  <c r="I104" i="89"/>
  <c r="H103"/>
  <c r="P83" i="62"/>
  <c r="AL64" i="20"/>
  <c r="M503" i="62"/>
  <c r="M512" s="1"/>
  <c r="M306" i="39" s="1"/>
  <c r="M63" i="18"/>
  <c r="M62"/>
  <c r="AB74" i="89"/>
  <c r="AB60" s="1"/>
  <c r="M286" i="62" s="1"/>
  <c r="V59" i="18"/>
  <c r="D5" i="82"/>
  <c r="D7" s="1"/>
  <c r="I17"/>
  <c r="W33" i="18"/>
  <c r="AB35" i="89"/>
  <c r="AB21" s="1"/>
  <c r="R140" i="20"/>
  <c r="R181" s="1"/>
  <c r="H27" i="81" s="1"/>
  <c r="R93" i="20"/>
  <c r="R94" s="1"/>
  <c r="R104"/>
  <c r="L66" i="18"/>
  <c r="L67" s="1"/>
  <c r="AL93"/>
  <c r="J17" i="82"/>
  <c r="N29" i="81"/>
  <c r="L281" i="62"/>
  <c r="L290" s="1"/>
  <c r="S29" i="81"/>
  <c r="O17" i="82"/>
  <c r="AG59" i="20"/>
  <c r="R29" i="81"/>
  <c r="N17" i="82"/>
  <c r="W244" i="62"/>
  <c r="AW78" i="48"/>
  <c r="AB78"/>
  <c r="W23" i="18"/>
  <c r="V39"/>
  <c r="G35" i="89"/>
  <c r="G21" s="1"/>
  <c r="N498" i="62" s="1"/>
  <c r="N507" s="1"/>
  <c r="W27" i="18"/>
  <c r="Q35" i="89"/>
  <c r="Q21" s="1"/>
  <c r="N500" i="62" s="1"/>
  <c r="U16" i="20"/>
  <c r="V15"/>
  <c r="T64" i="18"/>
  <c r="T66" s="1"/>
  <c r="F73" i="89"/>
  <c r="F59" s="1"/>
  <c r="U47" i="18"/>
  <c r="AD50" i="20"/>
  <c r="AF51" s="1"/>
  <c r="AE49"/>
  <c r="AK16" i="31"/>
  <c r="AJ17"/>
  <c r="AJ18" s="1"/>
  <c r="T41" i="20"/>
  <c r="U40"/>
  <c r="L54" i="44"/>
  <c r="AH49" i="48"/>
  <c r="L49" i="20"/>
  <c r="E17" i="82"/>
  <c r="I29" i="81"/>
  <c r="L29"/>
  <c r="H17" i="82"/>
  <c r="U23" i="20"/>
  <c r="T24"/>
  <c r="U33"/>
  <c r="V32"/>
  <c r="L497" i="62"/>
  <c r="G17" i="82"/>
  <c r="K29" i="81"/>
  <c r="V50" i="20"/>
  <c r="W49"/>
  <c r="BZ78"/>
  <c r="AF16"/>
  <c r="AH17" s="1"/>
  <c r="AG15"/>
  <c r="M57" i="18"/>
  <c r="M56"/>
  <c r="M64"/>
  <c r="S58" i="20"/>
  <c r="S69" s="1"/>
  <c r="T57"/>
  <c r="AG40"/>
  <c r="AF41"/>
  <c r="AI42" s="1"/>
  <c r="W278" i="39"/>
  <c r="W470" i="62"/>
  <c r="W281" i="39" s="1"/>
  <c r="U38" i="18"/>
  <c r="U40" s="1"/>
  <c r="V21"/>
  <c r="F34" i="89"/>
  <c r="F20" s="1"/>
  <c r="O85" i="22"/>
  <c r="I104" i="20"/>
  <c r="Q69" i="48"/>
  <c r="F95" i="22"/>
  <c r="I93" i="20"/>
  <c r="I67"/>
  <c r="H17" i="26"/>
  <c r="H37" s="1"/>
  <c r="H26" i="94" s="1"/>
  <c r="Q74" i="89"/>
  <c r="Q60" s="1"/>
  <c r="M283" i="62" s="1"/>
  <c r="V53" i="18"/>
  <c r="L32" i="44"/>
  <c r="M49" i="48"/>
  <c r="AO49"/>
  <c r="D17" i="82"/>
  <c r="H29" i="81"/>
  <c r="M65" i="18"/>
  <c r="M51"/>
  <c r="M50"/>
  <c r="K17" i="82"/>
  <c r="O29" i="81"/>
  <c r="AF24" i="20"/>
  <c r="AI25" s="1"/>
  <c r="AG23"/>
  <c r="I183"/>
  <c r="H27" i="76"/>
  <c r="Q155" i="48"/>
  <c r="I159" i="20"/>
  <c r="AP49"/>
  <c r="AQ49" s="1"/>
  <c r="AR49" s="1"/>
  <c r="AS49" s="1"/>
  <c r="S49" i="48"/>
  <c r="AE58" i="20"/>
  <c r="AF57"/>
  <c r="G74" i="89"/>
  <c r="G60" s="1"/>
  <c r="V49" i="18"/>
  <c r="U65"/>
  <c r="AF33" i="20"/>
  <c r="AH34" s="1"/>
  <c r="AG32"/>
  <c r="V270" i="62"/>
  <c r="V155" i="39" s="1"/>
  <c r="V140"/>
  <c r="V266" i="62"/>
  <c r="V151" i="39" s="1"/>
  <c r="V253" i="62"/>
  <c r="V143" i="39" s="1"/>
  <c r="V265" i="62"/>
  <c r="V150" i="39" s="1"/>
  <c r="Q29" i="81"/>
  <c r="M17" i="82"/>
  <c r="P29" i="81"/>
  <c r="L17" i="82"/>
  <c r="F17"/>
  <c r="J29" i="81"/>
  <c r="M41" i="18"/>
  <c r="P53" i="39"/>
  <c r="H120" i="89"/>
  <c r="AN11" i="20"/>
  <c r="AN14" s="1"/>
  <c r="AO74" i="18"/>
  <c r="AM14" i="20"/>
  <c r="P50" i="39"/>
  <c r="AD103" i="89"/>
  <c r="AE104"/>
  <c r="Q90" i="62"/>
  <c r="Q92" s="1"/>
  <c r="Q94" s="1"/>
  <c r="Q103" s="1"/>
  <c r="AM92" i="18"/>
  <c r="AE119" i="89"/>
  <c r="AN88" i="18"/>
  <c r="AM53" i="20"/>
  <c r="AM56" s="1"/>
  <c r="AJ113"/>
  <c r="AJ131"/>
  <c r="AJ108"/>
  <c r="AJ109"/>
  <c r="AJ107"/>
  <c r="AJ112"/>
  <c r="AJ111"/>
  <c r="AJ110"/>
  <c r="AL48"/>
  <c r="AL90"/>
  <c r="J41" i="25"/>
  <c r="J59"/>
  <c r="AK65" i="20"/>
  <c r="AK120" s="1"/>
  <c r="AK66"/>
  <c r="V145"/>
  <c r="U147"/>
  <c r="AN39"/>
  <c r="J42" i="25" s="1"/>
  <c r="S121" i="89"/>
  <c r="S122" s="1"/>
  <c r="AP80" i="18"/>
  <c r="AO28" i="20"/>
  <c r="AO31" s="1"/>
  <c r="J31" s="1"/>
  <c r="I43" i="25"/>
  <c r="AK182" i="20"/>
  <c r="T121" i="89"/>
  <c r="T122" s="1"/>
  <c r="AO36" i="20"/>
  <c r="AO39" s="1"/>
  <c r="AP82" i="18"/>
  <c r="AM64" i="20"/>
  <c r="AD119" i="89"/>
  <c r="AN86" i="18"/>
  <c r="AM45" i="20"/>
  <c r="I61" i="25"/>
  <c r="AM91" i="18"/>
  <c r="AC38" i="89"/>
  <c r="Z35" i="18"/>
  <c r="BR15" i="20"/>
  <c r="W99" i="48"/>
  <c r="W176" s="1"/>
  <c r="W182" s="1"/>
  <c r="W249"/>
  <c r="M302" i="39"/>
  <c r="M509" i="62"/>
  <c r="M305" i="39" s="1"/>
  <c r="AU40" i="20"/>
  <c r="H184"/>
  <c r="P176" i="48"/>
  <c r="AR176" s="1"/>
  <c r="BG40" i="20"/>
  <c r="L165" i="39"/>
  <c r="L295" i="62"/>
  <c r="L168" i="39" s="1"/>
  <c r="BG23" i="20"/>
  <c r="BS23"/>
  <c r="AV15"/>
  <c r="BS40"/>
  <c r="S106" i="89"/>
  <c r="S86" i="62"/>
  <c r="AT32" i="20"/>
  <c r="BF15"/>
  <c r="AC23" i="89"/>
  <c r="O504" i="62"/>
  <c r="O513" s="1"/>
  <c r="L164" i="39"/>
  <c r="L292" i="62"/>
  <c r="L167" i="39" s="1"/>
  <c r="AC62" i="89"/>
  <c r="N287" i="62"/>
  <c r="N296" s="1"/>
  <c r="G35" i="66"/>
  <c r="AC77" i="89"/>
  <c r="Y61" i="18"/>
  <c r="BE32" i="20"/>
  <c r="T87" i="62"/>
  <c r="T100" s="1"/>
  <c r="AU23" i="20"/>
  <c r="R49" i="39"/>
  <c r="R99" i="62"/>
  <c r="R52" i="39" s="1"/>
  <c r="BQ32" i="20"/>
  <c r="O501" i="62" l="1"/>
  <c r="O510" s="1"/>
  <c r="N284"/>
  <c r="N293" s="1"/>
  <c r="Y29" i="18"/>
  <c r="R37" i="89"/>
  <c r="R23" s="1"/>
  <c r="J21" i="25"/>
  <c r="R76" i="89"/>
  <c r="R62" s="1"/>
  <c r="O284" i="62" s="1"/>
  <c r="O293" s="1"/>
  <c r="X55" i="18"/>
  <c r="AM93"/>
  <c r="AL116" i="20"/>
  <c r="AL80"/>
  <c r="AL141" s="1"/>
  <c r="AL182" s="1"/>
  <c r="AO76" i="18"/>
  <c r="I23" i="25" s="1"/>
  <c r="J73" s="1"/>
  <c r="J72" s="1"/>
  <c r="J74" s="1"/>
  <c r="I22"/>
  <c r="AN19" i="20"/>
  <c r="AN22" s="1"/>
  <c r="J22" i="25" s="1"/>
  <c r="I120" i="89"/>
  <c r="I105"/>
  <c r="R84" i="62"/>
  <c r="R97" s="1"/>
  <c r="Q83"/>
  <c r="H104" i="89"/>
  <c r="P113" i="62"/>
  <c r="P63" i="39" s="1"/>
  <c r="P96" i="62"/>
  <c r="P51" i="39" s="1"/>
  <c r="P109" i="62"/>
  <c r="P59" i="39" s="1"/>
  <c r="P108" i="62"/>
  <c r="P58" i="39" s="1"/>
  <c r="P48"/>
  <c r="T107" i="89"/>
  <c r="U87" i="62" s="1"/>
  <c r="U100" s="1"/>
  <c r="R171" i="20"/>
  <c r="R126"/>
  <c r="N503" i="62"/>
  <c r="AB36" i="89"/>
  <c r="AB22" s="1"/>
  <c r="O503" i="62" s="1"/>
  <c r="X33" i="18"/>
  <c r="W59"/>
  <c r="AB75" i="89"/>
  <c r="AB61" s="1"/>
  <c r="M303" i="39"/>
  <c r="M281" i="62"/>
  <c r="M290" s="1"/>
  <c r="L280"/>
  <c r="M497"/>
  <c r="AF58" i="20"/>
  <c r="AG57"/>
  <c r="Q159" i="48"/>
  <c r="H30" i="76"/>
  <c r="AG24" i="20"/>
  <c r="AJ25" s="1"/>
  <c r="AH23"/>
  <c r="W53" i="18"/>
  <c r="Q75" i="89"/>
  <c r="Q61" s="1"/>
  <c r="N283" i="62" s="1"/>
  <c r="H23" i="26"/>
  <c r="Q93" i="48"/>
  <c r="I94" i="20"/>
  <c r="I223"/>
  <c r="I232" s="1"/>
  <c r="I233" s="1"/>
  <c r="I234" s="1"/>
  <c r="I205" s="1"/>
  <c r="I126"/>
  <c r="O91" i="22"/>
  <c r="T58" i="20"/>
  <c r="T69" s="1"/>
  <c r="U57"/>
  <c r="W50"/>
  <c r="Y51" s="1"/>
  <c r="X49"/>
  <c r="L301" i="39"/>
  <c r="L506" i="62"/>
  <c r="L304" i="39" s="1"/>
  <c r="AI49" i="48"/>
  <c r="M49" i="20"/>
  <c r="AL16" i="31"/>
  <c r="AL17" s="1"/>
  <c r="AL18" s="1"/>
  <c r="AK17"/>
  <c r="AK18" s="1"/>
  <c r="W39" i="18"/>
  <c r="X23"/>
  <c r="G36" i="89"/>
  <c r="G22" s="1"/>
  <c r="O498" i="62" s="1"/>
  <c r="O507" s="1"/>
  <c r="W265"/>
  <c r="W150" i="39" s="1"/>
  <c r="W140"/>
  <c r="W270" i="62"/>
  <c r="W155" i="39" s="1"/>
  <c r="W253" i="62"/>
  <c r="W143" i="39" s="1"/>
  <c r="W266" i="62"/>
  <c r="W151" i="39" s="1"/>
  <c r="AD69" i="20"/>
  <c r="AG33"/>
  <c r="AI34" s="1"/>
  <c r="AH32"/>
  <c r="Q181" i="48"/>
  <c r="T29" i="81"/>
  <c r="H27" i="66"/>
  <c r="H33" i="94"/>
  <c r="N49" i="48"/>
  <c r="AP49"/>
  <c r="H60" i="44"/>
  <c r="O84" i="22"/>
  <c r="AH40" i="20"/>
  <c r="AG41"/>
  <c r="AJ42" s="1"/>
  <c r="F74" i="89"/>
  <c r="F60" s="1"/>
  <c r="M280" i="62" s="1"/>
  <c r="V47" i="18"/>
  <c r="U64"/>
  <c r="U66" s="1"/>
  <c r="G75" i="89"/>
  <c r="G61" s="1"/>
  <c r="W49" i="18"/>
  <c r="V65"/>
  <c r="Q104" i="48"/>
  <c r="G57" i="77"/>
  <c r="Q67" i="48"/>
  <c r="F35" i="89"/>
  <c r="F21" s="1"/>
  <c r="W21" i="18"/>
  <c r="V38"/>
  <c r="V40" s="1"/>
  <c r="V33" i="20"/>
  <c r="W32"/>
  <c r="T49" i="48"/>
  <c r="BB49" i="20"/>
  <c r="BC49" s="1"/>
  <c r="BD49" s="1"/>
  <c r="V16"/>
  <c r="W15"/>
  <c r="M66" i="18"/>
  <c r="AH59" i="20"/>
  <c r="E5" i="82"/>
  <c r="E7" s="1"/>
  <c r="E15" s="1"/>
  <c r="S140" i="20"/>
  <c r="S104"/>
  <c r="S67"/>
  <c r="S93"/>
  <c r="AH15"/>
  <c r="AG16"/>
  <c r="AI17" s="1"/>
  <c r="U24"/>
  <c r="V23"/>
  <c r="V40"/>
  <c r="U41"/>
  <c r="AE50"/>
  <c r="AG51" s="1"/>
  <c r="AG70" s="1"/>
  <c r="AF49"/>
  <c r="Q36" i="89"/>
  <c r="Q22" s="1"/>
  <c r="X27" i="18"/>
  <c r="J39" i="20"/>
  <c r="R39" i="48" s="1"/>
  <c r="AO11" i="20"/>
  <c r="AO14" s="1"/>
  <c r="J14" s="1"/>
  <c r="R14" i="48" s="1"/>
  <c r="AP74" i="18"/>
  <c r="H121" i="89"/>
  <c r="H122" s="1"/>
  <c r="Q89" i="62"/>
  <c r="AD104" i="89"/>
  <c r="AN53" i="20"/>
  <c r="AO88" i="18"/>
  <c r="AE120" i="89"/>
  <c r="AN92" i="18"/>
  <c r="R90" i="62"/>
  <c r="R92" s="1"/>
  <c r="R94" s="1"/>
  <c r="R103" s="1"/>
  <c r="AE105" i="89"/>
  <c r="J28" i="20"/>
  <c r="J33" s="1"/>
  <c r="AM48"/>
  <c r="AM90"/>
  <c r="J83" i="25"/>
  <c r="M80"/>
  <c r="AK108" i="20"/>
  <c r="AK131"/>
  <c r="AK109"/>
  <c r="AK111"/>
  <c r="AK112"/>
  <c r="AK113"/>
  <c r="AK110"/>
  <c r="AK107"/>
  <c r="J36"/>
  <c r="W145"/>
  <c r="V147"/>
  <c r="R31" i="48"/>
  <c r="V110" i="89"/>
  <c r="AQ82" i="18"/>
  <c r="AP36" i="20"/>
  <c r="AP39" s="1"/>
  <c r="AP41" s="1"/>
  <c r="AS42" s="1"/>
  <c r="U110" i="89"/>
  <c r="AQ80" i="18"/>
  <c r="AP28" i="20"/>
  <c r="AP31" s="1"/>
  <c r="L32" i="25"/>
  <c r="J60"/>
  <c r="AL66" i="20"/>
  <c r="AL65"/>
  <c r="AL120" s="1"/>
  <c r="AO86" i="18"/>
  <c r="AN45" i="20"/>
  <c r="AD120" i="89"/>
  <c r="AN91" i="18"/>
  <c r="I62" i="25"/>
  <c r="AM116" i="20"/>
  <c r="AM80"/>
  <c r="AM141" s="1"/>
  <c r="R28" i="48"/>
  <c r="J43" i="25"/>
  <c r="J44" s="1"/>
  <c r="BF32" i="20"/>
  <c r="G60" i="66"/>
  <c r="G41"/>
  <c r="D15" i="82"/>
  <c r="T86" i="62"/>
  <c r="N302" i="39"/>
  <c r="N509" i="62"/>
  <c r="N305" i="39" s="1"/>
  <c r="BE49" i="20"/>
  <c r="BH23"/>
  <c r="P182" i="48"/>
  <c r="AR182" s="1"/>
  <c r="R167" i="20"/>
  <c r="D8" i="82"/>
  <c r="D9" s="1"/>
  <c r="D12" s="1"/>
  <c r="R127" i="20"/>
  <c r="R96"/>
  <c r="M164" i="39"/>
  <c r="M292" i="62"/>
  <c r="M167" i="39" s="1"/>
  <c r="AC78" i="89"/>
  <c r="Z61" i="18"/>
  <c r="P504" i="62"/>
  <c r="P513" s="1"/>
  <c r="AC24" i="89"/>
  <c r="AU32" i="20"/>
  <c r="S49" i="39"/>
  <c r="S99" i="62"/>
  <c r="S52" i="39" s="1"/>
  <c r="BT40" i="20"/>
  <c r="O500" i="62"/>
  <c r="AT49" i="20"/>
  <c r="M165" i="39"/>
  <c r="M295" i="62"/>
  <c r="M168" i="39" s="1"/>
  <c r="AV23" i="20"/>
  <c r="AC63" i="89"/>
  <c r="O287" i="62"/>
  <c r="O296" s="1"/>
  <c r="BG15" i="20"/>
  <c r="AW15"/>
  <c r="BT23"/>
  <c r="AV40"/>
  <c r="N286" i="62"/>
  <c r="BR32" i="20"/>
  <c r="N303" i="39"/>
  <c r="N512" i="62"/>
  <c r="N306" i="39" s="1"/>
  <c r="BH40" i="20"/>
  <c r="BS15"/>
  <c r="AA35" i="18"/>
  <c r="AC39" i="89"/>
  <c r="M71" i="25" l="1"/>
  <c r="AN64" i="20"/>
  <c r="AN116" s="1"/>
  <c r="P501" i="62"/>
  <c r="P510" s="1"/>
  <c r="R77" i="89"/>
  <c r="R63" s="1"/>
  <c r="P284" i="62" s="1"/>
  <c r="P293" s="1"/>
  <c r="Y55" i="18"/>
  <c r="Z29"/>
  <c r="R38" i="89"/>
  <c r="R24" s="1"/>
  <c r="AM182" i="20"/>
  <c r="V96" i="89"/>
  <c r="V87" i="62" s="1"/>
  <c r="V100" s="1"/>
  <c r="T108" i="89"/>
  <c r="T90" s="1"/>
  <c r="Q113" i="62"/>
  <c r="Q63" i="39" s="1"/>
  <c r="Q108" i="62"/>
  <c r="Q58" i="39" s="1"/>
  <c r="Q96" i="62"/>
  <c r="Q51" i="39" s="1"/>
  <c r="Q109" i="62"/>
  <c r="Q59" i="39" s="1"/>
  <c r="Q48"/>
  <c r="R83" i="62"/>
  <c r="H105" i="89"/>
  <c r="AO19" i="20"/>
  <c r="I121" i="89"/>
  <c r="I122" s="1"/>
  <c r="AP76" i="18"/>
  <c r="I106" i="89"/>
  <c r="S84" i="62"/>
  <c r="S97" s="1"/>
  <c r="S107" i="89"/>
  <c r="U86" i="62" s="1"/>
  <c r="W78" i="28"/>
  <c r="W79" s="1"/>
  <c r="G88" i="22"/>
  <c r="AB23" i="89"/>
  <c r="X59" i="18"/>
  <c r="AB76" i="89"/>
  <c r="AB62" s="1"/>
  <c r="AB37"/>
  <c r="Y33" i="18"/>
  <c r="X248" i="48"/>
  <c r="M163" i="39"/>
  <c r="M289" i="62"/>
  <c r="M166" i="39" s="1"/>
  <c r="M306" i="62"/>
  <c r="M178" i="39" s="1"/>
  <c r="M302" i="62"/>
  <c r="M174" i="39" s="1"/>
  <c r="M301" i="62"/>
  <c r="M173" i="39" s="1"/>
  <c r="N497" i="62"/>
  <c r="N281"/>
  <c r="N290" s="1"/>
  <c r="AG49" i="20"/>
  <c r="AF50"/>
  <c r="AH51" s="1"/>
  <c r="AH70" s="1"/>
  <c r="V24"/>
  <c r="W23"/>
  <c r="S94"/>
  <c r="S126"/>
  <c r="X15"/>
  <c r="W16"/>
  <c r="Y17" s="1"/>
  <c r="W33"/>
  <c r="Y34" s="1"/>
  <c r="X32"/>
  <c r="V64" i="18"/>
  <c r="V66" s="1"/>
  <c r="W47"/>
  <c r="F75" i="89"/>
  <c r="F61" s="1"/>
  <c r="AI32" i="20"/>
  <c r="AH33"/>
  <c r="AJ34" s="1"/>
  <c r="F5" i="82"/>
  <c r="F7" s="1"/>
  <c r="F15" s="1"/>
  <c r="T93" i="20"/>
  <c r="T104"/>
  <c r="T67"/>
  <c r="T140"/>
  <c r="O94" i="22"/>
  <c r="Q94" i="48"/>
  <c r="Q127" s="1"/>
  <c r="I96" i="20"/>
  <c r="I127"/>
  <c r="H26" i="26"/>
  <c r="Q76" i="89"/>
  <c r="Q62" s="1"/>
  <c r="X53" i="18"/>
  <c r="M506" i="62"/>
  <c r="M304" i="39" s="1"/>
  <c r="M301"/>
  <c r="V41" i="20"/>
  <c r="W40"/>
  <c r="AH16"/>
  <c r="AJ17" s="1"/>
  <c r="AI15"/>
  <c r="S171"/>
  <c r="S181"/>
  <c r="I27" i="81" s="1"/>
  <c r="M67" i="18"/>
  <c r="A29" i="103"/>
  <c r="A32" s="1"/>
  <c r="W38" i="18"/>
  <c r="W40" s="1"/>
  <c r="X21"/>
  <c r="F36" i="89"/>
  <c r="F22" s="1"/>
  <c r="AI40" i="20"/>
  <c r="AH41"/>
  <c r="AK42" s="1"/>
  <c r="V57"/>
  <c r="U58"/>
  <c r="U69" s="1"/>
  <c r="Y27" i="18"/>
  <c r="Q37" i="89"/>
  <c r="Q23" s="1"/>
  <c r="AD104" i="20"/>
  <c r="AD93"/>
  <c r="AD126" s="1"/>
  <c r="AD67"/>
  <c r="AF69"/>
  <c r="AI59"/>
  <c r="L289" i="62"/>
  <c r="L166" i="39" s="1"/>
  <c r="L163"/>
  <c r="L306" i="62"/>
  <c r="L178" i="39" s="1"/>
  <c r="L302" i="62"/>
  <c r="L174" i="39" s="1"/>
  <c r="L301" i="62"/>
  <c r="L173" i="39" s="1"/>
  <c r="G76" i="89"/>
  <c r="G62" s="1"/>
  <c r="X49" i="18"/>
  <c r="W65"/>
  <c r="X39"/>
  <c r="G37" i="89"/>
  <c r="G23" s="1"/>
  <c r="P498" i="62" s="1"/>
  <c r="P507" s="1"/>
  <c r="Y23" i="18"/>
  <c r="U49" i="48"/>
  <c r="BN49" i="20"/>
  <c r="BO49" s="1"/>
  <c r="BP49" s="1"/>
  <c r="BQ49" s="1"/>
  <c r="BR49" s="1"/>
  <c r="BS49" s="1"/>
  <c r="BT49" s="1"/>
  <c r="BU49" s="1"/>
  <c r="BV49" s="1"/>
  <c r="BW49" s="1"/>
  <c r="BX49" s="1"/>
  <c r="BY49" s="1"/>
  <c r="Y49"/>
  <c r="X50"/>
  <c r="Z51" s="1"/>
  <c r="X93" i="48"/>
  <c r="AS93"/>
  <c r="Q126"/>
  <c r="AI23" i="20"/>
  <c r="AH24"/>
  <c r="AK25" s="1"/>
  <c r="AG58"/>
  <c r="AH57"/>
  <c r="I12" i="26"/>
  <c r="AE69" i="20"/>
  <c r="AN93" i="18"/>
  <c r="J11" i="20"/>
  <c r="AP11"/>
  <c r="AP14" s="1"/>
  <c r="AP16" s="1"/>
  <c r="AR17" s="1"/>
  <c r="J110" i="89"/>
  <c r="AQ74" i="18"/>
  <c r="S90" i="62"/>
  <c r="S92" s="1"/>
  <c r="S94" s="1"/>
  <c r="S103" s="1"/>
  <c r="AE106" i="89"/>
  <c r="AO92" i="18"/>
  <c r="AE121" i="89"/>
  <c r="AE122" s="1"/>
  <c r="AP88" i="18"/>
  <c r="AO53" i="20"/>
  <c r="AO56" s="1"/>
  <c r="Q91" i="62"/>
  <c r="Q93" s="1"/>
  <c r="Q102" s="1"/>
  <c r="Q53" i="39" s="1"/>
  <c r="Q50"/>
  <c r="R89" i="62"/>
  <c r="AD105" i="89"/>
  <c r="AN56" i="20"/>
  <c r="R33" i="48"/>
  <c r="J82" i="25"/>
  <c r="J81"/>
  <c r="AM66" i="20"/>
  <c r="AM65"/>
  <c r="AM120" s="1"/>
  <c r="J61" i="25"/>
  <c r="AO45" i="20"/>
  <c r="AP86" i="18"/>
  <c r="AD121" i="89"/>
  <c r="AD122" s="1"/>
  <c r="AO91" i="18"/>
  <c r="I63" i="25"/>
  <c r="J93" s="1"/>
  <c r="AN48" i="20"/>
  <c r="AN90"/>
  <c r="AQ28"/>
  <c r="AQ31" s="1"/>
  <c r="L33" i="25"/>
  <c r="U111" i="89"/>
  <c r="AR80" i="18"/>
  <c r="W147" i="20"/>
  <c r="X145"/>
  <c r="AL109"/>
  <c r="AL111"/>
  <c r="AL112"/>
  <c r="AL113"/>
  <c r="AL131"/>
  <c r="AL110"/>
  <c r="AL107"/>
  <c r="AL108"/>
  <c r="AP33"/>
  <c r="AR34" s="1"/>
  <c r="M32" i="25"/>
  <c r="AQ36" i="20"/>
  <c r="AQ39" s="1"/>
  <c r="AQ41" s="1"/>
  <c r="AT42" s="1"/>
  <c r="V111" i="89"/>
  <c r="AR82" i="18"/>
  <c r="R36" i="48"/>
  <c r="J41" i="20"/>
  <c r="R41" i="48" s="1"/>
  <c r="D18" i="82"/>
  <c r="D27" s="1"/>
  <c r="BT15" i="20"/>
  <c r="O286" i="62"/>
  <c r="AW40" i="20"/>
  <c r="AC64" i="89"/>
  <c r="P287" i="62"/>
  <c r="P296" s="1"/>
  <c r="BI23" i="20"/>
  <c r="O303" i="39"/>
  <c r="O512" i="62"/>
  <c r="O306" i="39" s="1"/>
  <c r="BI40" i="20"/>
  <c r="BS32"/>
  <c r="N165" i="39"/>
  <c r="N295" i="62"/>
  <c r="N168" i="39" s="1"/>
  <c r="AW23" i="20"/>
  <c r="P500" i="62"/>
  <c r="AC25" i="89"/>
  <c r="Q504" i="62"/>
  <c r="Q513" s="1"/>
  <c r="P503"/>
  <c r="AB35" i="18"/>
  <c r="AC40" i="89"/>
  <c r="AX15" i="20"/>
  <c r="N164" i="39"/>
  <c r="N292" i="62"/>
  <c r="N167" i="39" s="1"/>
  <c r="O302"/>
  <c r="O509" i="62"/>
  <c r="O305" i="39" s="1"/>
  <c r="AV32" i="20"/>
  <c r="BF49"/>
  <c r="D25" i="86"/>
  <c r="BG32" i="20"/>
  <c r="BU23"/>
  <c r="BH15"/>
  <c r="O283" i="62"/>
  <c r="AU49" i="20"/>
  <c r="BU40"/>
  <c r="AC79" i="89"/>
  <c r="AA61" i="18"/>
  <c r="R99" i="20"/>
  <c r="R129"/>
  <c r="T49" i="39"/>
  <c r="T99" i="62"/>
  <c r="T52" i="39" s="1"/>
  <c r="AN80" i="20" l="1"/>
  <c r="AN141" s="1"/>
  <c r="AN182" s="1"/>
  <c r="V97" i="89"/>
  <c r="W87" i="62" s="1"/>
  <c r="W100" s="1"/>
  <c r="S108" i="89"/>
  <c r="S90" s="1"/>
  <c r="S91" s="1"/>
  <c r="U96"/>
  <c r="R25"/>
  <c r="Q501" i="62"/>
  <c r="Q510" s="1"/>
  <c r="AA29" i="18"/>
  <c r="R39" i="89"/>
  <c r="Z55" i="18"/>
  <c r="R78" i="89"/>
  <c r="R64" s="1"/>
  <c r="Q284" i="62" s="1"/>
  <c r="Q293" s="1"/>
  <c r="AQ76" i="18"/>
  <c r="AP19" i="20"/>
  <c r="AP22" s="1"/>
  <c r="AP24" s="1"/>
  <c r="AS25" s="1"/>
  <c r="K110" i="89"/>
  <c r="L12" i="25"/>
  <c r="R113" i="62"/>
  <c r="R63" i="39" s="1"/>
  <c r="R108" i="62"/>
  <c r="R58" i="39" s="1"/>
  <c r="R96" i="62"/>
  <c r="R51" i="39" s="1"/>
  <c r="R109" i="62"/>
  <c r="R59" i="39" s="1"/>
  <c r="R48"/>
  <c r="I107" i="89"/>
  <c r="T84" i="62"/>
  <c r="T97" s="1"/>
  <c r="H106" i="89"/>
  <c r="S83" i="62"/>
  <c r="AO22" i="20"/>
  <c r="J19"/>
  <c r="AO93" i="18"/>
  <c r="J56" i="20"/>
  <c r="R56" i="48" s="1"/>
  <c r="Y59" i="18"/>
  <c r="AB77" i="89"/>
  <c r="AB63" s="1"/>
  <c r="P286" i="62" s="1"/>
  <c r="J53" i="20"/>
  <c r="R53" i="48" s="1"/>
  <c r="Z33" i="18"/>
  <c r="AB38" i="89"/>
  <c r="AB24" s="1"/>
  <c r="Q503" i="62" s="1"/>
  <c r="J84" i="25"/>
  <c r="O497" i="62"/>
  <c r="O281"/>
  <c r="O290" s="1"/>
  <c r="AE67" i="20"/>
  <c r="AE93"/>
  <c r="AE126" s="1"/>
  <c r="AE104"/>
  <c r="AJ59"/>
  <c r="U93"/>
  <c r="G5" i="82"/>
  <c r="G7" s="1"/>
  <c r="G15" s="1"/>
  <c r="U140" i="20"/>
  <c r="U67"/>
  <c r="U104"/>
  <c r="T181"/>
  <c r="J27" i="81" s="1"/>
  <c r="T171" i="20"/>
  <c r="F76" i="89"/>
  <c r="F62" s="1"/>
  <c r="O280" i="62" s="1"/>
  <c r="X47" i="18"/>
  <c r="W64"/>
  <c r="W66" s="1"/>
  <c r="X23" i="20"/>
  <c r="W24"/>
  <c r="Z25" s="1"/>
  <c r="Y70"/>
  <c r="K6" i="82" s="1"/>
  <c r="AH58" i="20"/>
  <c r="AI57"/>
  <c r="Z49"/>
  <c r="Y50"/>
  <c r="AA51" s="1"/>
  <c r="Z27" i="18"/>
  <c r="Q38" i="89"/>
  <c r="Q24" s="1"/>
  <c r="AI41" i="20"/>
  <c r="AL42" s="1"/>
  <c r="AJ40"/>
  <c r="AI16"/>
  <c r="AK17" s="1"/>
  <c r="AJ15"/>
  <c r="G52" i="94"/>
  <c r="G48" i="66"/>
  <c r="G60" i="81"/>
  <c r="O95" i="22"/>
  <c r="O92"/>
  <c r="O96"/>
  <c r="T126" i="20"/>
  <c r="T94"/>
  <c r="N280" i="62"/>
  <c r="S127" i="20"/>
  <c r="E8" i="82"/>
  <c r="E9" s="1"/>
  <c r="E12" s="1"/>
  <c r="E18" s="1"/>
  <c r="S96" i="20"/>
  <c r="S167"/>
  <c r="AH49"/>
  <c r="AG50"/>
  <c r="AI51" s="1"/>
  <c r="AI70" s="1"/>
  <c r="N301" i="39"/>
  <c r="N506" i="62"/>
  <c r="N304" i="39" s="1"/>
  <c r="AJ23" i="20"/>
  <c r="AI24"/>
  <c r="AL25" s="1"/>
  <c r="Y39" i="18"/>
  <c r="Z23"/>
  <c r="G38" i="89"/>
  <c r="G24" s="1"/>
  <c r="Q498" i="62" s="1"/>
  <c r="Q507" s="1"/>
  <c r="Y49" i="18"/>
  <c r="X65"/>
  <c r="G77" i="89"/>
  <c r="G63" s="1"/>
  <c r="AF93" i="20"/>
  <c r="AF126" s="1"/>
  <c r="AF67"/>
  <c r="AF104"/>
  <c r="AJ32"/>
  <c r="AI33"/>
  <c r="AK34" s="1"/>
  <c r="Y32"/>
  <c r="X33"/>
  <c r="Z34" s="1"/>
  <c r="V58"/>
  <c r="V69" s="1"/>
  <c r="H5" i="82" s="1"/>
  <c r="W57" i="20"/>
  <c r="F37" i="89"/>
  <c r="F23" s="1"/>
  <c r="Y21" i="18"/>
  <c r="X38"/>
  <c r="X40" s="1"/>
  <c r="X40" i="20"/>
  <c r="W41"/>
  <c r="Z42" s="1"/>
  <c r="Y53" i="18"/>
  <c r="Q77" i="89"/>
  <c r="Q63" s="1"/>
  <c r="F5" i="36"/>
  <c r="I99" i="20"/>
  <c r="I129"/>
  <c r="H28" i="26"/>
  <c r="Q96" i="48"/>
  <c r="O98" i="22"/>
  <c r="O99" s="1"/>
  <c r="I300" i="20"/>
  <c r="I308" s="1"/>
  <c r="I310" s="1"/>
  <c r="I209" s="1"/>
  <c r="Y15"/>
  <c r="X16"/>
  <c r="Z17" s="1"/>
  <c r="J16"/>
  <c r="R16" i="48" s="1"/>
  <c r="R11"/>
  <c r="AR74" i="18"/>
  <c r="J111" i="89"/>
  <c r="AQ11" i="20"/>
  <c r="AQ14" s="1"/>
  <c r="AQ16" s="1"/>
  <c r="AS17" s="1"/>
  <c r="R50" i="39"/>
  <c r="R91" i="62"/>
  <c r="R93" s="1"/>
  <c r="R102" s="1"/>
  <c r="R53" i="39" s="1"/>
  <c r="AP92" i="18"/>
  <c r="AQ88"/>
  <c r="AG110" i="89"/>
  <c r="AP53" i="20"/>
  <c r="AD106" i="89"/>
  <c r="S89" i="62"/>
  <c r="AE107" i="89"/>
  <c r="T90" i="62"/>
  <c r="T92" s="1"/>
  <c r="T94" s="1"/>
  <c r="T103" s="1"/>
  <c r="V112" i="89"/>
  <c r="AR36" i="20"/>
  <c r="AR39" s="1"/>
  <c r="AR41" s="1"/>
  <c r="AU42" s="1"/>
  <c r="AS82" i="18"/>
  <c r="AS80"/>
  <c r="AR28" i="20"/>
  <c r="AR31" s="1"/>
  <c r="L34" i="25"/>
  <c r="U112" i="89"/>
  <c r="M90" i="25"/>
  <c r="J91"/>
  <c r="J92"/>
  <c r="AO48" i="20"/>
  <c r="J45"/>
  <c r="AO90"/>
  <c r="J90" s="1"/>
  <c r="AM107"/>
  <c r="AM131"/>
  <c r="AM111"/>
  <c r="AM113"/>
  <c r="AM110"/>
  <c r="AM109"/>
  <c r="AM108"/>
  <c r="AM112"/>
  <c r="M33" i="25"/>
  <c r="AQ33" i="20"/>
  <c r="AS34" s="1"/>
  <c r="AP45"/>
  <c r="AF110" i="89"/>
  <c r="AQ86" i="18"/>
  <c r="L52" i="25"/>
  <c r="AP91" i="18"/>
  <c r="X147" i="20"/>
  <c r="Y145"/>
  <c r="AN65"/>
  <c r="AN120" s="1"/>
  <c r="AN66"/>
  <c r="J62" i="25"/>
  <c r="AW32" i="20"/>
  <c r="BJ23"/>
  <c r="O164" i="39"/>
  <c r="O292" i="62"/>
  <c r="O167" i="39" s="1"/>
  <c r="R132" i="20"/>
  <c r="R178"/>
  <c r="AC80" i="89"/>
  <c r="AB61" i="18"/>
  <c r="P283" i="62"/>
  <c r="BI15" i="20"/>
  <c r="AC41" i="89"/>
  <c r="AC35" i="18"/>
  <c r="AC26" i="89"/>
  <c r="R504" i="62"/>
  <c r="R513" s="1"/>
  <c r="Q500"/>
  <c r="AX23" i="20"/>
  <c r="AC65" i="89"/>
  <c r="Q287" i="62"/>
  <c r="Q296" s="1"/>
  <c r="BV40" i="20"/>
  <c r="AV49"/>
  <c r="BV23"/>
  <c r="P302" i="39"/>
  <c r="P509" i="62"/>
  <c r="P305" i="39" s="1"/>
  <c r="U49"/>
  <c r="U99" i="62"/>
  <c r="U52" i="39" s="1"/>
  <c r="AX40" i="20"/>
  <c r="BU15"/>
  <c r="BH32"/>
  <c r="BG49"/>
  <c r="AY15"/>
  <c r="P303" i="39"/>
  <c r="P512" i="62"/>
  <c r="P306" i="39" s="1"/>
  <c r="BT32" i="20"/>
  <c r="BJ40"/>
  <c r="O165" i="39"/>
  <c r="O295" i="62"/>
  <c r="O168" i="39" s="1"/>
  <c r="V98" i="89" l="1"/>
  <c r="L127" i="62" s="1"/>
  <c r="L140" s="1"/>
  <c r="U97" i="89"/>
  <c r="W86" i="62" s="1"/>
  <c r="V86"/>
  <c r="V99" s="1"/>
  <c r="V52" i="39" s="1"/>
  <c r="S93" i="89"/>
  <c r="AP64" i="20"/>
  <c r="AP80" s="1"/>
  <c r="AP141" s="1"/>
  <c r="R79" i="89"/>
  <c r="R65" s="1"/>
  <c r="R284" i="62" s="1"/>
  <c r="R293" s="1"/>
  <c r="AA55" i="18"/>
  <c r="R501" i="62"/>
  <c r="R510" s="1"/>
  <c r="AB29" i="18"/>
  <c r="R40" i="89"/>
  <c r="R26" s="1"/>
  <c r="M12" i="25"/>
  <c r="S108" i="62"/>
  <c r="S58" i="39" s="1"/>
  <c r="S113" i="62"/>
  <c r="S63" i="39" s="1"/>
  <c r="S96" i="62"/>
  <c r="S51" i="39" s="1"/>
  <c r="S109" i="62"/>
  <c r="S59" i="39" s="1"/>
  <c r="S48"/>
  <c r="AR76" i="18"/>
  <c r="L13" i="25"/>
  <c r="K111" i="89"/>
  <c r="AQ19" i="20"/>
  <c r="AQ22" s="1"/>
  <c r="AQ24" s="1"/>
  <c r="AT25" s="1"/>
  <c r="J23" i="25"/>
  <c r="J24" s="1"/>
  <c r="AO64" i="20"/>
  <c r="J22"/>
  <c r="I108" i="89"/>
  <c r="I90" s="1"/>
  <c r="U84" i="62"/>
  <c r="U97" s="1"/>
  <c r="K96" i="89"/>
  <c r="J24" i="20"/>
  <c r="R24" i="48" s="1"/>
  <c r="R19"/>
  <c r="H107" i="89"/>
  <c r="T83" i="62"/>
  <c r="J58" i="20"/>
  <c r="R58" i="48" s="1"/>
  <c r="O306" i="62"/>
  <c r="O178" i="39" s="1"/>
  <c r="O301" i="62"/>
  <c r="O173" i="39" s="1"/>
  <c r="O302" i="62"/>
  <c r="O174" i="39" s="1"/>
  <c r="AA33" i="18"/>
  <c r="AB39" i="89"/>
  <c r="AB25" s="1"/>
  <c r="Z59" i="18"/>
  <c r="AB78" i="89"/>
  <c r="AB64" s="1"/>
  <c r="V93" i="20"/>
  <c r="V94" s="1"/>
  <c r="V104"/>
  <c r="V67"/>
  <c r="V140"/>
  <c r="V171" s="1"/>
  <c r="G94" i="22"/>
  <c r="J94" i="25"/>
  <c r="AP93" i="18"/>
  <c r="P497" i="62"/>
  <c r="P281"/>
  <c r="P290" s="1"/>
  <c r="H34" i="26"/>
  <c r="H39" s="1"/>
  <c r="I178" i="20"/>
  <c r="Q99" i="48"/>
  <c r="Q132" s="1"/>
  <c r="I132" i="20"/>
  <c r="Z32"/>
  <c r="Y33"/>
  <c r="AA34" s="1"/>
  <c r="Y65" i="18"/>
  <c r="G78" i="89"/>
  <c r="G64" s="1"/>
  <c r="Z49" i="18"/>
  <c r="F8" i="82"/>
  <c r="F9" s="1"/>
  <c r="F12" s="1"/>
  <c r="F18" s="1"/>
  <c r="T167" i="20"/>
  <c r="T127"/>
  <c r="T96"/>
  <c r="AK15"/>
  <c r="AJ16"/>
  <c r="AL17" s="1"/>
  <c r="AJ57"/>
  <c r="AI58"/>
  <c r="O506" i="62"/>
  <c r="O304" i="39" s="1"/>
  <c r="O301"/>
  <c r="AG69" i="20"/>
  <c r="Z53" i="18"/>
  <c r="Q78" i="89"/>
  <c r="Q64" s="1"/>
  <c r="F38"/>
  <c r="F24" s="1"/>
  <c r="Z21" i="18"/>
  <c r="Y38"/>
  <c r="Y40" s="1"/>
  <c r="S99" i="20"/>
  <c r="S129"/>
  <c r="N289" i="62"/>
  <c r="N166" i="39" s="1"/>
  <c r="N302" i="62"/>
  <c r="N174" i="39" s="1"/>
  <c r="N163"/>
  <c r="N301" i="62"/>
  <c r="N173" i="39" s="1"/>
  <c r="N306" i="62"/>
  <c r="N178" i="39" s="1"/>
  <c r="AA49" i="20"/>
  <c r="Z50"/>
  <c r="AB51" s="1"/>
  <c r="F77" i="89"/>
  <c r="F63" s="1"/>
  <c r="X64" i="18"/>
  <c r="X66" s="1"/>
  <c r="Y47"/>
  <c r="U126" i="20"/>
  <c r="U94"/>
  <c r="Z15"/>
  <c r="Y16"/>
  <c r="AA17" s="1"/>
  <c r="H38" i="26"/>
  <c r="H40"/>
  <c r="AK32" i="20"/>
  <c r="AJ33"/>
  <c r="AL34" s="1"/>
  <c r="G39" i="89"/>
  <c r="G25" s="1"/>
  <c r="R498" i="62" s="1"/>
  <c r="R507" s="1"/>
  <c r="Z39" i="18"/>
  <c r="AA23"/>
  <c r="O289" i="62"/>
  <c r="O166" i="39" s="1"/>
  <c r="O163"/>
  <c r="AK40" i="20"/>
  <c r="AJ41"/>
  <c r="AM42" s="1"/>
  <c r="Q129" i="48"/>
  <c r="G58" i="77"/>
  <c r="X41" i="20"/>
  <c r="AA42" s="1"/>
  <c r="Y40"/>
  <c r="X57"/>
  <c r="W58"/>
  <c r="AJ24"/>
  <c r="AM25" s="1"/>
  <c r="AK23"/>
  <c r="AH50"/>
  <c r="AJ51" s="1"/>
  <c r="AJ70" s="1"/>
  <c r="AI49"/>
  <c r="Q39" i="89"/>
  <c r="Q25" s="1"/>
  <c r="R500" i="62" s="1"/>
  <c r="AA27" i="18"/>
  <c r="AH69" i="20"/>
  <c r="AK59"/>
  <c r="Y23"/>
  <c r="X24"/>
  <c r="AA25" s="1"/>
  <c r="U181"/>
  <c r="K27" i="81" s="1"/>
  <c r="U171" i="20"/>
  <c r="AS74" i="18"/>
  <c r="AR11" i="20"/>
  <c r="AR14" s="1"/>
  <c r="AR16" s="1"/>
  <c r="AT17" s="1"/>
  <c r="J112" i="89"/>
  <c r="AE108"/>
  <c r="AE90" s="1"/>
  <c r="AG96"/>
  <c r="U90" i="62"/>
  <c r="U92" s="1"/>
  <c r="U94" s="1"/>
  <c r="U103" s="1"/>
  <c r="AP58" i="20"/>
  <c r="AS59" s="1"/>
  <c r="AP56"/>
  <c r="AD107" i="89"/>
  <c r="T89" i="62"/>
  <c r="S50" i="39"/>
  <c r="S91" i="62"/>
  <c r="S93" s="1"/>
  <c r="S102" s="1"/>
  <c r="S53" i="39" s="1"/>
  <c r="AG111" i="89"/>
  <c r="AQ53" i="20"/>
  <c r="AQ92" i="18"/>
  <c r="AR88"/>
  <c r="AN108" i="20"/>
  <c r="AN113"/>
  <c r="AN112"/>
  <c r="AN107"/>
  <c r="AN110"/>
  <c r="AN111"/>
  <c r="AN131"/>
  <c r="AN109"/>
  <c r="AP48"/>
  <c r="AP50"/>
  <c r="AP90"/>
  <c r="J48"/>
  <c r="AO65"/>
  <c r="AO66"/>
  <c r="J63" i="25"/>
  <c r="J64" s="1"/>
  <c r="U113" i="89"/>
  <c r="AT80" i="18"/>
  <c r="AS28" i="20"/>
  <c r="AS31" s="1"/>
  <c r="L35" i="25"/>
  <c r="V113" i="89"/>
  <c r="V99" s="1"/>
  <c r="AS36" i="20"/>
  <c r="AS39" s="1"/>
  <c r="AS41" s="1"/>
  <c r="AV42" s="1"/>
  <c r="AT82" i="18"/>
  <c r="M116" i="62"/>
  <c r="M66" i="39" s="1"/>
  <c r="U116" i="62"/>
  <c r="U66" i="39" s="1"/>
  <c r="L116" i="62"/>
  <c r="L66" i="39" s="1"/>
  <c r="V76" i="62"/>
  <c r="V43" i="39" s="1"/>
  <c r="O116" i="62"/>
  <c r="O66" i="39" s="1"/>
  <c r="W76" i="62"/>
  <c r="W43" i="39" s="1"/>
  <c r="P116" i="62"/>
  <c r="P66" i="39" s="1"/>
  <c r="S116" i="62"/>
  <c r="S66" i="39" s="1"/>
  <c r="Q116" i="62"/>
  <c r="Q66" i="39" s="1"/>
  <c r="R90" i="48"/>
  <c r="N116" i="62"/>
  <c r="N66" i="39" s="1"/>
  <c r="T116" i="62"/>
  <c r="T66" i="39" s="1"/>
  <c r="R116" i="62"/>
  <c r="R66" i="39" s="1"/>
  <c r="Y147" i="20"/>
  <c r="Z145"/>
  <c r="AQ45"/>
  <c r="AR86" i="18"/>
  <c r="AF111" i="89"/>
  <c r="L53" i="25"/>
  <c r="AQ91" i="18"/>
  <c r="R45" i="48"/>
  <c r="J50" i="20"/>
  <c r="J253"/>
  <c r="J91"/>
  <c r="J89"/>
  <c r="M34" i="25"/>
  <c r="AR33" i="20"/>
  <c r="AT34" s="1"/>
  <c r="BI32"/>
  <c r="H24" i="81"/>
  <c r="H40" s="1"/>
  <c r="R184" i="20"/>
  <c r="AX32"/>
  <c r="BU32"/>
  <c r="AY40"/>
  <c r="BW23"/>
  <c r="BW40"/>
  <c r="Q302" i="39"/>
  <c r="Q509" i="62"/>
  <c r="Q305" i="39" s="1"/>
  <c r="P165"/>
  <c r="P295" i="62"/>
  <c r="P168" i="39" s="1"/>
  <c r="Q303"/>
  <c r="Q512" i="62"/>
  <c r="Q306" i="39" s="1"/>
  <c r="BK40" i="20"/>
  <c r="H7" i="82"/>
  <c r="BJ15" i="20"/>
  <c r="Q283" i="62"/>
  <c r="Q286"/>
  <c r="BV15" i="20"/>
  <c r="AW49"/>
  <c r="S504" i="62"/>
  <c r="S513" s="1"/>
  <c r="AC27" i="89"/>
  <c r="R503" i="62"/>
  <c r="AZ15" i="20"/>
  <c r="BH49"/>
  <c r="AC66" i="89"/>
  <c r="R287" i="62"/>
  <c r="R296" s="1"/>
  <c r="AY23" i="20"/>
  <c r="AC42" i="89"/>
  <c r="AC43" s="1"/>
  <c r="AD35" i="18"/>
  <c r="J53" i="48"/>
  <c r="P164" i="39"/>
  <c r="P292" i="62"/>
  <c r="P167" i="39" s="1"/>
  <c r="AC81" i="89"/>
  <c r="AC61" i="18"/>
  <c r="BK23" i="20"/>
  <c r="U98" i="89" l="1"/>
  <c r="U99" s="1"/>
  <c r="V49" i="39"/>
  <c r="M13" i="25"/>
  <c r="AP116" i="20"/>
  <c r="AQ64"/>
  <c r="AQ116" s="1"/>
  <c r="S501" i="62"/>
  <c r="S510" s="1"/>
  <c r="R41" i="89"/>
  <c r="R27" s="1"/>
  <c r="AC29" i="18"/>
  <c r="R80" i="89"/>
  <c r="R66" s="1"/>
  <c r="S284" i="62" s="1"/>
  <c r="S293" s="1"/>
  <c r="AB55" i="18"/>
  <c r="U83" i="62"/>
  <c r="H108" i="89"/>
  <c r="H90" s="1"/>
  <c r="J96"/>
  <c r="AS76" i="18"/>
  <c r="L15" i="25" s="1"/>
  <c r="K112" i="89"/>
  <c r="L14" i="25"/>
  <c r="AR19" i="20"/>
  <c r="AR22" s="1"/>
  <c r="AR24" s="1"/>
  <c r="AU25" s="1"/>
  <c r="T108" i="62"/>
  <c r="T58" i="39" s="1"/>
  <c r="T109" i="62"/>
  <c r="T59" i="39" s="1"/>
  <c r="T113" i="62"/>
  <c r="T63" i="39" s="1"/>
  <c r="T48"/>
  <c r="T96" i="62"/>
  <c r="T51" i="39" s="1"/>
  <c r="K97" i="89"/>
  <c r="V84" i="62"/>
  <c r="V97" s="1"/>
  <c r="AO80" i="20"/>
  <c r="AO141" s="1"/>
  <c r="AO116"/>
  <c r="J64"/>
  <c r="G87" i="22"/>
  <c r="R22" i="48"/>
  <c r="R64" s="1"/>
  <c r="R116" s="1"/>
  <c r="I11" i="26"/>
  <c r="W55" i="28"/>
  <c r="AA59" i="18"/>
  <c r="AB79" i="89"/>
  <c r="AB65" s="1"/>
  <c r="AB40"/>
  <c r="AB26" s="1"/>
  <c r="AB33" i="18"/>
  <c r="V126" i="20"/>
  <c r="V181"/>
  <c r="L27" i="81" s="1"/>
  <c r="Q497" i="62"/>
  <c r="Q281"/>
  <c r="Q290" s="1"/>
  <c r="AB27" i="18"/>
  <c r="Q40" i="89"/>
  <c r="Q26" s="1"/>
  <c r="S500" i="62" s="1"/>
  <c r="AK24" i="20"/>
  <c r="AN25" s="1"/>
  <c r="AL23"/>
  <c r="Y41"/>
  <c r="AB42" s="1"/>
  <c r="Z40"/>
  <c r="G40" i="89"/>
  <c r="G26" s="1"/>
  <c r="S498" i="62" s="1"/>
  <c r="S507" s="1"/>
  <c r="AB23" i="18"/>
  <c r="AA39"/>
  <c r="AK33" i="20"/>
  <c r="AM34" s="1"/>
  <c r="AL32"/>
  <c r="Z16"/>
  <c r="AB17" s="1"/>
  <c r="AA15"/>
  <c r="AA21" i="18"/>
  <c r="F39" i="89"/>
  <c r="F25" s="1"/>
  <c r="Z38" i="18"/>
  <c r="Z40" s="1"/>
  <c r="AG104" i="20"/>
  <c r="AG93"/>
  <c r="AG126" s="1"/>
  <c r="AG67"/>
  <c r="AL59"/>
  <c r="T99"/>
  <c r="T129"/>
  <c r="G79" i="89"/>
  <c r="G65" s="1"/>
  <c r="Z65" i="18"/>
  <c r="AA49"/>
  <c r="AA32" i="20"/>
  <c r="Z33"/>
  <c r="AB34" s="1"/>
  <c r="AH104"/>
  <c r="AH67"/>
  <c r="AH93"/>
  <c r="AH126" s="1"/>
  <c r="Y57"/>
  <c r="X58"/>
  <c r="Z47" i="18"/>
  <c r="Y64"/>
  <c r="Y66" s="1"/>
  <c r="F78" i="89"/>
  <c r="AA50" i="20"/>
  <c r="AC51" s="1"/>
  <c r="I51" s="1"/>
  <c r="AB49"/>
  <c r="AA53" i="18"/>
  <c r="Q79" i="89"/>
  <c r="Q65" s="1"/>
  <c r="AL15" i="20"/>
  <c r="AK16"/>
  <c r="AM17" s="1"/>
  <c r="H29" i="94"/>
  <c r="H22" i="66"/>
  <c r="Q176" i="48"/>
  <c r="T24" i="81"/>
  <c r="P506" i="62"/>
  <c r="P304" i="39" s="1"/>
  <c r="P301"/>
  <c r="AJ49" i="20"/>
  <c r="AI50"/>
  <c r="AK51" s="1"/>
  <c r="AK70" s="1"/>
  <c r="W69"/>
  <c r="Z59"/>
  <c r="Z70" s="1"/>
  <c r="L6" i="82" s="1"/>
  <c r="S178" i="20"/>
  <c r="S132"/>
  <c r="Y24"/>
  <c r="AB25" s="1"/>
  <c r="Z23"/>
  <c r="AL40"/>
  <c r="AK41"/>
  <c r="AN42" s="1"/>
  <c r="U167"/>
  <c r="U127"/>
  <c r="G8" i="82"/>
  <c r="G9" s="1"/>
  <c r="G12" s="1"/>
  <c r="G18" s="1"/>
  <c r="U96" i="20"/>
  <c r="P280" i="62"/>
  <c r="F64" i="89"/>
  <c r="AJ58" i="20"/>
  <c r="AK57"/>
  <c r="AQ93" i="18"/>
  <c r="AT74"/>
  <c r="J113" i="89"/>
  <c r="AS11" i="20"/>
  <c r="AS14" s="1"/>
  <c r="AS16" s="1"/>
  <c r="AU17" s="1"/>
  <c r="AS88" i="18"/>
  <c r="AR92"/>
  <c r="AG112" i="89"/>
  <c r="AR53" i="20"/>
  <c r="AD108" i="89"/>
  <c r="AD90" s="1"/>
  <c r="U89" i="62"/>
  <c r="AF96" i="89"/>
  <c r="V90" i="62"/>
  <c r="V92" s="1"/>
  <c r="V94" s="1"/>
  <c r="V103" s="1"/>
  <c r="AG97" i="89"/>
  <c r="AQ56" i="20"/>
  <c r="AQ58"/>
  <c r="AT59" s="1"/>
  <c r="T91" i="62"/>
  <c r="T93" s="1"/>
  <c r="T102" s="1"/>
  <c r="T53" i="39" s="1"/>
  <c r="T50"/>
  <c r="Q115" i="62"/>
  <c r="Q65" i="39" s="1"/>
  <c r="L115" i="62"/>
  <c r="L65" i="39" s="1"/>
  <c r="M115" i="62"/>
  <c r="M65" i="39" s="1"/>
  <c r="AH89" i="20"/>
  <c r="AH123" s="1"/>
  <c r="AI89"/>
  <c r="AI123" s="1"/>
  <c r="U115" i="62"/>
  <c r="U65" i="39" s="1"/>
  <c r="AL89" i="20"/>
  <c r="AL123" s="1"/>
  <c r="AE89"/>
  <c r="AE123" s="1"/>
  <c r="AJ89"/>
  <c r="AJ123" s="1"/>
  <c r="AN89"/>
  <c r="AN123" s="1"/>
  <c r="N115" i="62"/>
  <c r="N65" i="39" s="1"/>
  <c r="R115" i="62"/>
  <c r="R65" i="39" s="1"/>
  <c r="S115" i="62"/>
  <c r="S65" i="39" s="1"/>
  <c r="W75" i="62"/>
  <c r="W42" i="39" s="1"/>
  <c r="AM89" i="20"/>
  <c r="AM123" s="1"/>
  <c r="AK89"/>
  <c r="AK123" s="1"/>
  <c r="T115" i="62"/>
  <c r="T65" i="39" s="1"/>
  <c r="AG89" i="20"/>
  <c r="AG123" s="1"/>
  <c r="AF89"/>
  <c r="AF123" s="1"/>
  <c r="R89" i="48"/>
  <c r="V75" i="62"/>
  <c r="V42" i="39" s="1"/>
  <c r="AO89" i="20"/>
  <c r="AO123" s="1"/>
  <c r="AD89"/>
  <c r="AD123" s="1"/>
  <c r="P115" i="62"/>
  <c r="P65" i="39" s="1"/>
  <c r="O115" i="62"/>
  <c r="O65" i="39" s="1"/>
  <c r="AR45" i="20"/>
  <c r="AF112" i="89"/>
  <c r="AS86" i="18"/>
  <c r="AR91"/>
  <c r="AR93" s="1"/>
  <c r="L54" i="25"/>
  <c r="Z147" i="20"/>
  <c r="AA145"/>
  <c r="V114" i="89"/>
  <c r="V100" s="1"/>
  <c r="AU82" i="18"/>
  <c r="AT36" i="20"/>
  <c r="AT39" s="1"/>
  <c r="AT41" s="1"/>
  <c r="AW42" s="1"/>
  <c r="R48" i="48"/>
  <c r="R65" s="1"/>
  <c r="I13" i="26"/>
  <c r="J66" i="20"/>
  <c r="G89" i="22"/>
  <c r="W100" i="28"/>
  <c r="J65" i="20"/>
  <c r="AR51"/>
  <c r="AP69"/>
  <c r="AP93" s="1"/>
  <c r="AN91"/>
  <c r="AN124" s="1"/>
  <c r="P117" i="62"/>
  <c r="P67" i="39" s="1"/>
  <c r="AJ91" i="20"/>
  <c r="AJ124" s="1"/>
  <c r="Q117" i="62"/>
  <c r="Q67" i="39" s="1"/>
  <c r="R91" i="48"/>
  <c r="AH91" i="20"/>
  <c r="AH124" s="1"/>
  <c r="AO91"/>
  <c r="AO124" s="1"/>
  <c r="AD91"/>
  <c r="AD124" s="1"/>
  <c r="T117" i="62"/>
  <c r="T67" i="39" s="1"/>
  <c r="AM91" i="20"/>
  <c r="AM124" s="1"/>
  <c r="AE91"/>
  <c r="AE124" s="1"/>
  <c r="L117" i="62"/>
  <c r="L67" i="39" s="1"/>
  <c r="AK91" i="20"/>
  <c r="AK124" s="1"/>
  <c r="V77" i="62"/>
  <c r="V44" i="39" s="1"/>
  <c r="AG91" i="20"/>
  <c r="AG124" s="1"/>
  <c r="AI91"/>
  <c r="AI124" s="1"/>
  <c r="AF91"/>
  <c r="AF124" s="1"/>
  <c r="R117" i="62"/>
  <c r="R67" i="39" s="1"/>
  <c r="W77" i="62"/>
  <c r="W44" i="39" s="1"/>
  <c r="O117" i="62"/>
  <c r="O67" i="39" s="1"/>
  <c r="N117" i="62"/>
  <c r="N67" i="39" s="1"/>
  <c r="U117" i="62"/>
  <c r="U67" i="39" s="1"/>
  <c r="M117" i="62"/>
  <c r="M67" i="39" s="1"/>
  <c r="AL91" i="20"/>
  <c r="AL124" s="1"/>
  <c r="S117" i="62"/>
  <c r="S67" i="39" s="1"/>
  <c r="R50" i="48"/>
  <c r="G93" i="22"/>
  <c r="J69" i="20"/>
  <c r="L36" i="25"/>
  <c r="AT28" i="20"/>
  <c r="AT31" s="1"/>
  <c r="AU80" i="18"/>
  <c r="U114" i="89"/>
  <c r="AO120" i="20"/>
  <c r="AQ48"/>
  <c r="AQ50"/>
  <c r="AQ90"/>
  <c r="R204" i="48"/>
  <c r="R205" s="1"/>
  <c r="J254" i="20"/>
  <c r="M35" i="25"/>
  <c r="AS33" i="20"/>
  <c r="AU34" s="1"/>
  <c r="AO112"/>
  <c r="AO113"/>
  <c r="AO110"/>
  <c r="AO109"/>
  <c r="AO131"/>
  <c r="AO107"/>
  <c r="AO108"/>
  <c r="AO111"/>
  <c r="M52" i="25"/>
  <c r="AP66" i="20"/>
  <c r="AP65"/>
  <c r="AP120" s="1"/>
  <c r="BL23"/>
  <c r="J56" i="48"/>
  <c r="J58"/>
  <c r="Q165" i="39"/>
  <c r="Q295" i="62"/>
  <c r="Q168" i="39" s="1"/>
  <c r="BK15" i="20"/>
  <c r="H15" i="82"/>
  <c r="R302" i="39"/>
  <c r="R509" i="62"/>
  <c r="R305" i="39" s="1"/>
  <c r="M127" i="62"/>
  <c r="M140" s="1"/>
  <c r="BJ32" i="20"/>
  <c r="AC82" i="89"/>
  <c r="AC83" s="1"/>
  <c r="AD61" i="18"/>
  <c r="AL53" i="48"/>
  <c r="V167" i="20"/>
  <c r="H8" i="82"/>
  <c r="H9" s="1"/>
  <c r="H12" s="1"/>
  <c r="V127" i="20"/>
  <c r="V96"/>
  <c r="AZ23"/>
  <c r="BI49"/>
  <c r="R303" i="39"/>
  <c r="R512" i="62"/>
  <c r="R306" i="39" s="1"/>
  <c r="R286" i="62"/>
  <c r="R283"/>
  <c r="BL40" i="20"/>
  <c r="BX23"/>
  <c r="AZ40"/>
  <c r="BA15"/>
  <c r="S503" i="62"/>
  <c r="T504"/>
  <c r="T513" s="1"/>
  <c r="AC28" i="89"/>
  <c r="AX49" i="20"/>
  <c r="BW15"/>
  <c r="Q164" i="39"/>
  <c r="Q292" i="62"/>
  <c r="Q167" i="39" s="1"/>
  <c r="BV32" i="20"/>
  <c r="AY32"/>
  <c r="AC67" i="89"/>
  <c r="S287" i="62"/>
  <c r="S296" s="1"/>
  <c r="AE35" i="18"/>
  <c r="AE31" i="89"/>
  <c r="W49" i="39"/>
  <c r="W99" i="62"/>
  <c r="W52" i="39" s="1"/>
  <c r="BX40" i="20"/>
  <c r="R193"/>
  <c r="R195" s="1"/>
  <c r="R168"/>
  <c r="R169" s="1"/>
  <c r="L126" i="62" l="1"/>
  <c r="L139" s="1"/>
  <c r="L75" i="39" s="1"/>
  <c r="I14" i="26"/>
  <c r="I24" i="94" s="1"/>
  <c r="AQ80" i="20"/>
  <c r="AQ141" s="1"/>
  <c r="AQ182" s="1"/>
  <c r="M14" i="25"/>
  <c r="G90" i="22"/>
  <c r="AR64" i="20"/>
  <c r="T501" i="62"/>
  <c r="T510" s="1"/>
  <c r="AC55" i="18"/>
  <c r="R81" i="89"/>
  <c r="R67" s="1"/>
  <c r="T284" i="62" s="1"/>
  <c r="T293" s="1"/>
  <c r="J36" i="48"/>
  <c r="AD29" i="18"/>
  <c r="R42" i="89"/>
  <c r="R43" s="1"/>
  <c r="W56" i="28"/>
  <c r="W57"/>
  <c r="J80" i="20"/>
  <c r="J84"/>
  <c r="J226"/>
  <c r="J83"/>
  <c r="J227"/>
  <c r="K98" i="89"/>
  <c r="W84" i="62"/>
  <c r="W97" s="1"/>
  <c r="U108"/>
  <c r="U58" i="39" s="1"/>
  <c r="U113" i="62"/>
  <c r="U63" i="39" s="1"/>
  <c r="U48"/>
  <c r="U109" i="62"/>
  <c r="U59" i="39" s="1"/>
  <c r="U96" i="62"/>
  <c r="U51" i="39" s="1"/>
  <c r="H93" i="89"/>
  <c r="H91"/>
  <c r="J141" i="20"/>
  <c r="AO182"/>
  <c r="AP182"/>
  <c r="J97" i="89"/>
  <c r="V83" i="62"/>
  <c r="K113" i="89"/>
  <c r="AT76" i="18"/>
  <c r="AS19" i="20"/>
  <c r="AS22" s="1"/>
  <c r="AS24" s="1"/>
  <c r="AV25" s="1"/>
  <c r="AB59" i="18"/>
  <c r="AB80" i="89"/>
  <c r="AB66" s="1"/>
  <c r="S286" i="62" s="1"/>
  <c r="AB41" i="89"/>
  <c r="AB27" s="1"/>
  <c r="AC33" i="18"/>
  <c r="R281" i="62"/>
  <c r="R290" s="1"/>
  <c r="R497"/>
  <c r="Q280"/>
  <c r="AA23" i="20"/>
  <c r="Z24"/>
  <c r="AC25" s="1"/>
  <c r="I25" s="1"/>
  <c r="Z57"/>
  <c r="Y58"/>
  <c r="AB15"/>
  <c r="AA16"/>
  <c r="AC17" s="1"/>
  <c r="I17" s="1"/>
  <c r="AC27" i="18"/>
  <c r="Q41" i="89"/>
  <c r="Q27" s="1"/>
  <c r="Q506" i="62"/>
  <c r="Q304" i="39" s="1"/>
  <c r="Q301"/>
  <c r="AI69" i="20"/>
  <c r="AM59"/>
  <c r="AM40"/>
  <c r="AL41"/>
  <c r="AO42" s="1"/>
  <c r="S184"/>
  <c r="S168" s="1"/>
  <c r="S169" s="1"/>
  <c r="I24" i="81"/>
  <c r="AK49" i="20"/>
  <c r="AJ50"/>
  <c r="AL51" s="1"/>
  <c r="AL70" s="1"/>
  <c r="AM15"/>
  <c r="AL16"/>
  <c r="AN17" s="1"/>
  <c r="X69"/>
  <c r="AA59"/>
  <c r="AA70" s="1"/>
  <c r="M6" i="82" s="1"/>
  <c r="AB49" i="18"/>
  <c r="AA65"/>
  <c r="G80" i="89"/>
  <c r="G66" s="1"/>
  <c r="T132" i="20"/>
  <c r="T178"/>
  <c r="F40" i="89"/>
  <c r="F26" s="1"/>
  <c r="AA38" i="18"/>
  <c r="AA40" s="1"/>
  <c r="AB21"/>
  <c r="Z41" i="20"/>
  <c r="AC42" s="1"/>
  <c r="I42" s="1"/>
  <c r="AA40"/>
  <c r="AK58"/>
  <c r="AL57"/>
  <c r="U99"/>
  <c r="U129"/>
  <c r="AC49"/>
  <c r="AC50" s="1"/>
  <c r="AE51" s="1"/>
  <c r="AB50"/>
  <c r="AD51" s="1"/>
  <c r="F79" i="89"/>
  <c r="F65" s="1"/>
  <c r="Z64" i="18"/>
  <c r="Z66" s="1"/>
  <c r="AA47"/>
  <c r="AA33" i="20"/>
  <c r="AC34" s="1"/>
  <c r="I34" s="1"/>
  <c r="AB32"/>
  <c r="AL33"/>
  <c r="AN34" s="1"/>
  <c r="AM32"/>
  <c r="P306" i="62"/>
  <c r="P178" i="39" s="1"/>
  <c r="P301" i="62"/>
  <c r="P173" i="39" s="1"/>
  <c r="P302" i="62"/>
  <c r="P174" i="39" s="1"/>
  <c r="P289" i="62"/>
  <c r="P166" i="39" s="1"/>
  <c r="P163"/>
  <c r="I5" i="82"/>
  <c r="I7" s="1"/>
  <c r="I15" s="1"/>
  <c r="W93" i="20"/>
  <c r="W67"/>
  <c r="W140"/>
  <c r="W104"/>
  <c r="AB53" i="18"/>
  <c r="Q80" i="89"/>
  <c r="Q66" s="1"/>
  <c r="AB39" i="18"/>
  <c r="AC23"/>
  <c r="G41" i="89"/>
  <c r="G27" s="1"/>
  <c r="AL24" i="20"/>
  <c r="AO25" s="1"/>
  <c r="AM23"/>
  <c r="AT11"/>
  <c r="AT14" s="1"/>
  <c r="AT16" s="1"/>
  <c r="AV17" s="1"/>
  <c r="J114" i="89"/>
  <c r="AU74" i="18"/>
  <c r="AS53" i="20"/>
  <c r="AT88" i="18"/>
  <c r="AS92"/>
  <c r="AG113" i="89"/>
  <c r="H18" i="82"/>
  <c r="AG98" i="89"/>
  <c r="W90" i="62"/>
  <c r="W92" s="1"/>
  <c r="W94" s="1"/>
  <c r="W103" s="1"/>
  <c r="AD91" i="89"/>
  <c r="AD93"/>
  <c r="U50" i="39"/>
  <c r="U91" i="62"/>
  <c r="U93" s="1"/>
  <c r="U102" s="1"/>
  <c r="U53" i="39" s="1"/>
  <c r="AF97" i="89"/>
  <c r="V89" i="62"/>
  <c r="AR58" i="20"/>
  <c r="AU59" s="1"/>
  <c r="AR56"/>
  <c r="J123"/>
  <c r="J108"/>
  <c r="J120"/>
  <c r="J104"/>
  <c r="J111"/>
  <c r="J124"/>
  <c r="W136" i="28"/>
  <c r="J107" i="20"/>
  <c r="J110"/>
  <c r="J113"/>
  <c r="J67"/>
  <c r="J109"/>
  <c r="R66" i="48"/>
  <c r="J112" i="20"/>
  <c r="J131"/>
  <c r="P83" i="22"/>
  <c r="J116" i="20"/>
  <c r="K319"/>
  <c r="J271"/>
  <c r="M319"/>
  <c r="J319"/>
  <c r="J325" s="1"/>
  <c r="J276" s="1"/>
  <c r="J279" s="1"/>
  <c r="J304" s="1"/>
  <c r="J186"/>
  <c r="J259"/>
  <c r="J264" s="1"/>
  <c r="J266" s="1"/>
  <c r="J97" s="1"/>
  <c r="J130" s="1"/>
  <c r="L319"/>
  <c r="AQ66"/>
  <c r="AQ65"/>
  <c r="AQ120" s="1"/>
  <c r="M53" i="25"/>
  <c r="AU36" i="20"/>
  <c r="AU39" s="1"/>
  <c r="AU41" s="1"/>
  <c r="AX42" s="1"/>
  <c r="V115" i="89"/>
  <c r="V101" s="1"/>
  <c r="AV82" i="18"/>
  <c r="AR48" i="20"/>
  <c r="AR50"/>
  <c r="AR90"/>
  <c r="AV80" i="18"/>
  <c r="AU28" i="20"/>
  <c r="AU31" s="1"/>
  <c r="L37" i="25"/>
  <c r="U115" i="89"/>
  <c r="AS51" i="20"/>
  <c r="AS70" s="1"/>
  <c r="AQ69"/>
  <c r="AQ93" s="1"/>
  <c r="W122" i="28"/>
  <c r="W101"/>
  <c r="R120" i="48"/>
  <c r="R123"/>
  <c r="R124"/>
  <c r="AP126" i="20"/>
  <c r="AP110"/>
  <c r="AP131"/>
  <c r="AP112"/>
  <c r="AP111"/>
  <c r="AP104"/>
  <c r="AP113"/>
  <c r="AP107"/>
  <c r="AP109"/>
  <c r="AP67"/>
  <c r="AP108"/>
  <c r="AT33"/>
  <c r="AV34" s="1"/>
  <c r="M36" i="25"/>
  <c r="J93" i="20"/>
  <c r="P85" i="22"/>
  <c r="I17" i="26"/>
  <c r="R69" i="48"/>
  <c r="H57" i="77" s="1"/>
  <c r="G95" i="22"/>
  <c r="J229" i="20"/>
  <c r="J88"/>
  <c r="J228"/>
  <c r="AB145"/>
  <c r="AA147"/>
  <c r="AS45"/>
  <c r="AT86" i="18"/>
  <c r="AF113" i="89"/>
  <c r="AS91" i="18"/>
  <c r="L55" i="25"/>
  <c r="BW32" i="20"/>
  <c r="BX15"/>
  <c r="AE17" i="89"/>
  <c r="U504" i="62"/>
  <c r="U513" s="1"/>
  <c r="AC29" i="89"/>
  <c r="AC11" s="1"/>
  <c r="S283" i="62"/>
  <c r="R165" i="39"/>
  <c r="R295" i="62"/>
  <c r="R168" i="39" s="1"/>
  <c r="V99" i="20"/>
  <c r="V129"/>
  <c r="N127" i="62"/>
  <c r="N140" s="1"/>
  <c r="AY49" i="20"/>
  <c r="T503" i="62"/>
  <c r="T500"/>
  <c r="BJ49" i="20"/>
  <c r="BA23"/>
  <c r="AE71" i="89"/>
  <c r="AE61" i="18"/>
  <c r="BK32" i="20"/>
  <c r="BY40"/>
  <c r="S303" i="39"/>
  <c r="S512" i="62"/>
  <c r="S306" i="39" s="1"/>
  <c r="S302"/>
  <c r="S509" i="62"/>
  <c r="S305" i="39" s="1"/>
  <c r="AL58" i="48"/>
  <c r="AL56"/>
  <c r="AE56" s="1"/>
  <c r="AS53"/>
  <c r="X53"/>
  <c r="U100" i="89"/>
  <c r="M126" i="62"/>
  <c r="BM23" i="20"/>
  <c r="AE53" i="48"/>
  <c r="AE58" s="1"/>
  <c r="AZ32" i="20"/>
  <c r="AF35" i="18"/>
  <c r="AE32" i="89"/>
  <c r="T287" i="62"/>
  <c r="T296" s="1"/>
  <c r="AC68" i="89"/>
  <c r="BA40" i="20"/>
  <c r="BY23"/>
  <c r="BM40"/>
  <c r="R164" i="39"/>
  <c r="R292" i="62"/>
  <c r="R167" i="39" s="1"/>
  <c r="BL15" i="20"/>
  <c r="I15" i="26" l="1"/>
  <c r="R28" i="89"/>
  <c r="L72" i="39"/>
  <c r="I21" i="94"/>
  <c r="I22" s="1"/>
  <c r="I37" i="26"/>
  <c r="I26" i="94" s="1"/>
  <c r="M15" i="25"/>
  <c r="AS64" i="20"/>
  <c r="AS80" s="1"/>
  <c r="AS141" s="1"/>
  <c r="AR116"/>
  <c r="AR80"/>
  <c r="AR141" s="1"/>
  <c r="AR182" s="1"/>
  <c r="J41" i="48"/>
  <c r="J39"/>
  <c r="AE29" i="18"/>
  <c r="T31" i="89"/>
  <c r="AL36" i="48"/>
  <c r="AD55" i="18"/>
  <c r="R82" i="89"/>
  <c r="T17"/>
  <c r="V113" i="62"/>
  <c r="V63" i="39" s="1"/>
  <c r="V48"/>
  <c r="V108" i="62"/>
  <c r="V58" i="39" s="1"/>
  <c r="V109" i="62"/>
  <c r="V59" i="39" s="1"/>
  <c r="V96" i="62"/>
  <c r="V51" i="39" s="1"/>
  <c r="R141" i="48"/>
  <c r="I14" i="76"/>
  <c r="J182" i="20"/>
  <c r="AE83"/>
  <c r="U56" i="31"/>
  <c r="AN83" i="20"/>
  <c r="AJ83"/>
  <c r="AG83"/>
  <c r="R83" i="48"/>
  <c r="R117" s="1"/>
  <c r="AL83" i="20"/>
  <c r="AI83"/>
  <c r="AD83"/>
  <c r="AO83"/>
  <c r="AH83"/>
  <c r="AF83"/>
  <c r="AK83"/>
  <c r="AM83"/>
  <c r="J85"/>
  <c r="K114" i="89"/>
  <c r="L16" i="25"/>
  <c r="AT19" i="20"/>
  <c r="AT22" s="1"/>
  <c r="AU76" i="18"/>
  <c r="I20" i="26"/>
  <c r="P88" i="22"/>
  <c r="R80" i="48"/>
  <c r="R114" s="1"/>
  <c r="J98" i="89"/>
  <c r="W83" i="62"/>
  <c r="L124"/>
  <c r="L137" s="1"/>
  <c r="K99" i="89"/>
  <c r="AJ84" i="20"/>
  <c r="AJ118" s="1"/>
  <c r="AM84"/>
  <c r="AM118" s="1"/>
  <c r="AE84"/>
  <c r="AE118" s="1"/>
  <c r="AL84"/>
  <c r="AL118" s="1"/>
  <c r="AO84"/>
  <c r="AO118" s="1"/>
  <c r="AN84"/>
  <c r="AN118" s="1"/>
  <c r="AD84"/>
  <c r="AD118" s="1"/>
  <c r="AI84"/>
  <c r="AI118" s="1"/>
  <c r="AG84"/>
  <c r="AG118" s="1"/>
  <c r="AH84"/>
  <c r="AH118" s="1"/>
  <c r="AF84"/>
  <c r="AF118" s="1"/>
  <c r="AK84"/>
  <c r="AK118" s="1"/>
  <c r="R84" i="48"/>
  <c r="R118" s="1"/>
  <c r="AB81" i="89"/>
  <c r="AB67" s="1"/>
  <c r="AC59" i="18"/>
  <c r="AL45" i="48" s="1"/>
  <c r="J45"/>
  <c r="AB42" i="89"/>
  <c r="AD33" i="18"/>
  <c r="AS93"/>
  <c r="AJ69" i="20"/>
  <c r="AJ93" s="1"/>
  <c r="AJ126" s="1"/>
  <c r="S281" i="62"/>
  <c r="S290" s="1"/>
  <c r="R280"/>
  <c r="S497"/>
  <c r="W181" i="20"/>
  <c r="M27" i="81" s="1"/>
  <c r="W171" i="20"/>
  <c r="AM57"/>
  <c r="AL58"/>
  <c r="F41" i="89"/>
  <c r="F27" s="1"/>
  <c r="AB38" i="18"/>
  <c r="AB40" s="1"/>
  <c r="AC21"/>
  <c r="AI104" i="20"/>
  <c r="AI67"/>
  <c r="AI93"/>
  <c r="AI126" s="1"/>
  <c r="J28" i="48"/>
  <c r="Q42" i="89"/>
  <c r="AD27" i="18"/>
  <c r="Z58" i="20"/>
  <c r="AA57"/>
  <c r="Q306" i="62"/>
  <c r="Q178" i="39" s="1"/>
  <c r="Q302" i="62"/>
  <c r="Q174" i="39" s="1"/>
  <c r="Q163"/>
  <c r="Q289" i="62"/>
  <c r="Q166" i="39" s="1"/>
  <c r="Q301" i="62"/>
  <c r="Q173" i="39" s="1"/>
  <c r="AN23" i="20"/>
  <c r="AM24"/>
  <c r="AP25" s="1"/>
  <c r="AC39" i="18"/>
  <c r="G42" i="89"/>
  <c r="G43" s="1"/>
  <c r="AD23" i="18"/>
  <c r="AB33" i="20"/>
  <c r="AD34" s="1"/>
  <c r="AC32"/>
  <c r="AC33" s="1"/>
  <c r="AE34" s="1"/>
  <c r="U132"/>
  <c r="U178"/>
  <c r="J24" i="81"/>
  <c r="T184" i="20"/>
  <c r="T168" s="1"/>
  <c r="T169" s="1"/>
  <c r="AB65" i="18"/>
  <c r="G81" i="89"/>
  <c r="G67" s="1"/>
  <c r="AC49" i="18"/>
  <c r="AM16" i="20"/>
  <c r="AO17" s="1"/>
  <c r="AN15"/>
  <c r="AJ67"/>
  <c r="Y69"/>
  <c r="AB59"/>
  <c r="AB70" s="1"/>
  <c r="N6" i="82" s="1"/>
  <c r="G28" i="89"/>
  <c r="U498" i="62" s="1"/>
  <c r="U507" s="1"/>
  <c r="T498"/>
  <c r="T507" s="1"/>
  <c r="Q81" i="89"/>
  <c r="Q67" s="1"/>
  <c r="AC53" i="18"/>
  <c r="W126" i="20"/>
  <c r="W94"/>
  <c r="AA41"/>
  <c r="AD42" s="1"/>
  <c r="AB40"/>
  <c r="AC15"/>
  <c r="AC16" s="1"/>
  <c r="AE17" s="1"/>
  <c r="AB16"/>
  <c r="AD17" s="1"/>
  <c r="AB23"/>
  <c r="AA24"/>
  <c r="AD25" s="1"/>
  <c r="R506" i="62"/>
  <c r="R304" i="39" s="1"/>
  <c r="R301"/>
  <c r="AN32" i="20"/>
  <c r="AM33"/>
  <c r="AO34" s="1"/>
  <c r="AB47" i="18"/>
  <c r="F80" i="89"/>
  <c r="F66" s="1"/>
  <c r="AA64" i="18"/>
  <c r="AA66" s="1"/>
  <c r="AN59" i="20"/>
  <c r="X67"/>
  <c r="X104"/>
  <c r="J5" i="82"/>
  <c r="J7" s="1"/>
  <c r="J15" s="1"/>
  <c r="X93" i="20"/>
  <c r="X140"/>
  <c r="AL49"/>
  <c r="AK50"/>
  <c r="AM51" s="1"/>
  <c r="AM70" s="1"/>
  <c r="AM41"/>
  <c r="AP42" s="1"/>
  <c r="AN40"/>
  <c r="J19" i="48"/>
  <c r="AV74" i="18"/>
  <c r="J115" i="89"/>
  <c r="AU11" i="20"/>
  <c r="AU14" s="1"/>
  <c r="AU16" s="1"/>
  <c r="AW17" s="1"/>
  <c r="V91" i="62"/>
  <c r="V93" s="1"/>
  <c r="V102" s="1"/>
  <c r="V53" i="39" s="1"/>
  <c r="V50"/>
  <c r="AS58" i="20"/>
  <c r="AV59" s="1"/>
  <c r="AS56"/>
  <c r="L130" i="62"/>
  <c r="L132" s="1"/>
  <c r="L134" s="1"/>
  <c r="L143" s="1"/>
  <c r="AG99" i="89"/>
  <c r="AU88" i="18"/>
  <c r="AG114" i="89"/>
  <c r="AT53" i="20"/>
  <c r="AT92" i="18"/>
  <c r="W89" i="62"/>
  <c r="AF98" i="89"/>
  <c r="AS48" i="20"/>
  <c r="AS50"/>
  <c r="AS90"/>
  <c r="AT45"/>
  <c r="AF114" i="89"/>
  <c r="AU86" i="18"/>
  <c r="AT91"/>
  <c r="L56" i="25"/>
  <c r="P91" i="22"/>
  <c r="I23" i="26"/>
  <c r="R93" i="48"/>
  <c r="J223" i="20"/>
  <c r="M37" i="25"/>
  <c r="AU33" i="20"/>
  <c r="AW34" s="1"/>
  <c r="AT51"/>
  <c r="AT70" s="1"/>
  <c r="AR69"/>
  <c r="AR93" s="1"/>
  <c r="AV36"/>
  <c r="AV39" s="1"/>
  <c r="AV41" s="1"/>
  <c r="AY42" s="1"/>
  <c r="AW82" i="18"/>
  <c r="V116" i="89"/>
  <c r="V102" s="1"/>
  <c r="P84" i="22"/>
  <c r="I60" i="44"/>
  <c r="W64" i="62"/>
  <c r="W31" i="39" s="1"/>
  <c r="L104" i="62"/>
  <c r="L54" i="39" s="1"/>
  <c r="M104" i="62"/>
  <c r="M54" i="39" s="1"/>
  <c r="R104" i="62"/>
  <c r="R54" i="39" s="1"/>
  <c r="S104" i="62"/>
  <c r="S54" i="39" s="1"/>
  <c r="T104" i="62"/>
  <c r="T54" i="39" s="1"/>
  <c r="P104" i="62"/>
  <c r="P54" i="39" s="1"/>
  <c r="V64" i="62"/>
  <c r="V31" i="39" s="1"/>
  <c r="U104" i="62"/>
  <c r="U54" i="39" s="1"/>
  <c r="N104" i="62"/>
  <c r="N54" i="39" s="1"/>
  <c r="O104" i="62"/>
  <c r="O54" i="39" s="1"/>
  <c r="Q104" i="62"/>
  <c r="Q54" i="39" s="1"/>
  <c r="J126" i="20"/>
  <c r="L38" i="25"/>
  <c r="AV28" i="20"/>
  <c r="AV31" s="1"/>
  <c r="U116" i="89"/>
  <c r="AW80" i="18"/>
  <c r="AR66" i="20"/>
  <c r="AR65"/>
  <c r="AR120" s="1"/>
  <c r="M54" i="25"/>
  <c r="AQ113" i="20"/>
  <c r="AQ131"/>
  <c r="AQ67"/>
  <c r="AQ108"/>
  <c r="AQ111"/>
  <c r="AQ104"/>
  <c r="AQ112"/>
  <c r="AQ107"/>
  <c r="AQ110"/>
  <c r="AQ109"/>
  <c r="AG88"/>
  <c r="AL88"/>
  <c r="AF88"/>
  <c r="O114" i="62"/>
  <c r="O64" i="39" s="1"/>
  <c r="AE88" i="20"/>
  <c r="AH88"/>
  <c r="R114" i="62"/>
  <c r="R64" i="39" s="1"/>
  <c r="J92" i="20"/>
  <c r="AN88"/>
  <c r="AI88"/>
  <c r="AJ88"/>
  <c r="V74" i="62"/>
  <c r="V41" i="39" s="1"/>
  <c r="P114" i="62"/>
  <c r="P64" i="39" s="1"/>
  <c r="AK88" i="20"/>
  <c r="AM88"/>
  <c r="M114" i="62"/>
  <c r="M64" i="39" s="1"/>
  <c r="N114" i="62"/>
  <c r="N64" i="39" s="1"/>
  <c r="AD88" i="20"/>
  <c r="T114" i="62"/>
  <c r="T64" i="39" s="1"/>
  <c r="Q114" i="62"/>
  <c r="Q64" i="39" s="1"/>
  <c r="AO88" i="20"/>
  <c r="R88" i="48"/>
  <c r="R122" s="1"/>
  <c r="S114" i="62"/>
  <c r="S64" i="39" s="1"/>
  <c r="L114" i="62"/>
  <c r="L64" i="39" s="1"/>
  <c r="W74" i="62"/>
  <c r="W41" i="39" s="1"/>
  <c r="U114" i="62"/>
  <c r="U64" i="39" s="1"/>
  <c r="W124" i="28"/>
  <c r="U36" i="31" s="1"/>
  <c r="U37" s="1"/>
  <c r="W123" i="28"/>
  <c r="AO186" i="20"/>
  <c r="AI186"/>
  <c r="AJ186"/>
  <c r="AG186"/>
  <c r="I39" i="94"/>
  <c r="AD186" i="20"/>
  <c r="AH186"/>
  <c r="J145"/>
  <c r="I32" i="66"/>
  <c r="AE186" i="20"/>
  <c r="AK186"/>
  <c r="AL186"/>
  <c r="R184" i="48"/>
  <c r="AN186" i="20"/>
  <c r="AF186"/>
  <c r="AM186"/>
  <c r="R111" i="48"/>
  <c r="R107"/>
  <c r="R108"/>
  <c r="R126"/>
  <c r="R104"/>
  <c r="R67"/>
  <c r="R112"/>
  <c r="R113"/>
  <c r="R110"/>
  <c r="R109"/>
  <c r="R131"/>
  <c r="H56" i="77"/>
  <c r="AB147" i="20"/>
  <c r="AC145"/>
  <c r="AK97"/>
  <c r="J146"/>
  <c r="AE97"/>
  <c r="AF97"/>
  <c r="AO97"/>
  <c r="AH97"/>
  <c r="AI97"/>
  <c r="AL97"/>
  <c r="AG97"/>
  <c r="AD97"/>
  <c r="J179"/>
  <c r="I31" i="26"/>
  <c r="I30" s="1"/>
  <c r="AM97" i="20"/>
  <c r="R97" i="48"/>
  <c r="R130" s="1"/>
  <c r="AJ97" i="20"/>
  <c r="AN97"/>
  <c r="W30" i="28"/>
  <c r="W32"/>
  <c r="W31"/>
  <c r="J230" i="20"/>
  <c r="AQ126"/>
  <c r="J122"/>
  <c r="AE72" i="89"/>
  <c r="AF61" i="18"/>
  <c r="T302" i="39"/>
  <c r="T509" i="62"/>
  <c r="T305" i="39" s="1"/>
  <c r="AZ49" i="20"/>
  <c r="T283" i="62"/>
  <c r="BY15" i="20"/>
  <c r="BM15"/>
  <c r="S165" i="39"/>
  <c r="S295" i="62"/>
  <c r="S168" i="39" s="1"/>
  <c r="S164"/>
  <c r="S292" i="62"/>
  <c r="S167" i="39" s="1"/>
  <c r="V504" i="62"/>
  <c r="V513" s="1"/>
  <c r="AE18" i="89"/>
  <c r="AE33"/>
  <c r="AG35" i="18"/>
  <c r="N126" i="62"/>
  <c r="U101" i="89"/>
  <c r="X58" i="48"/>
  <c r="AS58"/>
  <c r="BL32" i="20"/>
  <c r="BK49"/>
  <c r="V178"/>
  <c r="V132"/>
  <c r="AE57" i="89"/>
  <c r="U287" i="62"/>
  <c r="U296" s="1"/>
  <c r="AC69" i="89"/>
  <c r="AC51" s="1"/>
  <c r="BA32" i="20"/>
  <c r="M72" i="39"/>
  <c r="M139" i="62"/>
  <c r="M75" i="39" s="1"/>
  <c r="AS56" i="48"/>
  <c r="X56"/>
  <c r="T303" i="39"/>
  <c r="T512" i="62"/>
  <c r="T306" i="39" s="1"/>
  <c r="O127" i="62"/>
  <c r="O140" s="1"/>
  <c r="V501"/>
  <c r="V510" s="1"/>
  <c r="BX32" i="20"/>
  <c r="R29" i="89" l="1"/>
  <c r="R11" s="1"/>
  <c r="U501" i="62"/>
  <c r="U510" s="1"/>
  <c r="AS116" i="20"/>
  <c r="AS182"/>
  <c r="AE36" i="48"/>
  <c r="AE41" s="1"/>
  <c r="AL41"/>
  <c r="AS36"/>
  <c r="X36"/>
  <c r="AL39"/>
  <c r="T71" i="89"/>
  <c r="AE55" i="18"/>
  <c r="R83" i="89"/>
  <c r="R68"/>
  <c r="T32"/>
  <c r="T18" s="1"/>
  <c r="AF29" i="18"/>
  <c r="AK85" i="20"/>
  <c r="AK119" s="1"/>
  <c r="AK117"/>
  <c r="AD85"/>
  <c r="AD119" s="1"/>
  <c r="AD117"/>
  <c r="AG117"/>
  <c r="AG85"/>
  <c r="AG119" s="1"/>
  <c r="AE117"/>
  <c r="AE85"/>
  <c r="AE119" s="1"/>
  <c r="K100" i="89"/>
  <c r="M124" i="62"/>
  <c r="M137" s="1"/>
  <c r="AT24" i="20"/>
  <c r="AW25" s="1"/>
  <c r="M16" i="25"/>
  <c r="AT64" i="20"/>
  <c r="AM117"/>
  <c r="AM85"/>
  <c r="AM119" s="1"/>
  <c r="AO117"/>
  <c r="AO85"/>
  <c r="AO119" s="1"/>
  <c r="L123" i="62"/>
  <c r="J99" i="89"/>
  <c r="L17" i="25"/>
  <c r="AU19" i="20"/>
  <c r="AU22" s="1"/>
  <c r="K115" i="89"/>
  <c r="AV76" i="18"/>
  <c r="L18" i="25" s="1"/>
  <c r="R85" i="48"/>
  <c r="R119" s="1"/>
  <c r="J119" i="20"/>
  <c r="AH117"/>
  <c r="AH85"/>
  <c r="AH119" s="1"/>
  <c r="AL85"/>
  <c r="AL119" s="1"/>
  <c r="AL117"/>
  <c r="AN85"/>
  <c r="AN119" s="1"/>
  <c r="AN117"/>
  <c r="W108" i="62"/>
  <c r="W58" i="39" s="1"/>
  <c r="W48"/>
  <c r="W96" i="62"/>
  <c r="W51" i="39" s="1"/>
  <c r="W109" i="62"/>
  <c r="W59" i="39" s="1"/>
  <c r="W113" i="62"/>
  <c r="W63" i="39" s="1"/>
  <c r="AF85" i="20"/>
  <c r="AF119" s="1"/>
  <c r="AF117"/>
  <c r="AI117"/>
  <c r="AI85"/>
  <c r="AI119" s="1"/>
  <c r="AJ85"/>
  <c r="AJ119" s="1"/>
  <c r="AJ117"/>
  <c r="I32" i="94"/>
  <c r="R180" i="48"/>
  <c r="I26" i="66"/>
  <c r="AJ104" i="20"/>
  <c r="AL97" i="48"/>
  <c r="AE45"/>
  <c r="AE50" s="1"/>
  <c r="AL98"/>
  <c r="AL89"/>
  <c r="X45"/>
  <c r="AS45"/>
  <c r="AL204"/>
  <c r="AL90"/>
  <c r="AL48"/>
  <c r="AL65" s="1"/>
  <c r="AL91"/>
  <c r="AL50"/>
  <c r="AB43" i="89"/>
  <c r="AB28"/>
  <c r="AE33" i="18"/>
  <c r="AD31" i="89"/>
  <c r="AB82"/>
  <c r="AB83" s="1"/>
  <c r="AD59" i="18"/>
  <c r="T286" i="62"/>
  <c r="J204" i="48"/>
  <c r="J205" s="1"/>
  <c r="J184" s="1"/>
  <c r="J91"/>
  <c r="J98"/>
  <c r="J90"/>
  <c r="J48"/>
  <c r="J65" s="1"/>
  <c r="J97"/>
  <c r="J50"/>
  <c r="J89"/>
  <c r="S280" i="62"/>
  <c r="T281"/>
  <c r="T290" s="1"/>
  <c r="T497"/>
  <c r="AN41" i="20"/>
  <c r="AQ42" s="1"/>
  <c r="AO40"/>
  <c r="AO41" s="1"/>
  <c r="AR42" s="1"/>
  <c r="X181"/>
  <c r="N27" i="81" s="1"/>
  <c r="X171" i="20"/>
  <c r="AC23"/>
  <c r="AC24" s="1"/>
  <c r="AF25" s="1"/>
  <c r="AB24"/>
  <c r="AE25" s="1"/>
  <c r="G82" i="89"/>
  <c r="G83" s="1"/>
  <c r="AC65" i="18"/>
  <c r="AD49"/>
  <c r="Z69" i="20"/>
  <c r="AC59"/>
  <c r="F42" i="89"/>
  <c r="F43" s="1"/>
  <c r="AD21" i="18"/>
  <c r="AC38"/>
  <c r="AC40" s="1"/>
  <c r="AN57" i="20"/>
  <c r="AM58"/>
  <c r="S301" i="39"/>
  <c r="S506" i="62"/>
  <c r="S304" i="39" s="1"/>
  <c r="J34" i="20"/>
  <c r="J24" i="48"/>
  <c r="J22"/>
  <c r="AL50" i="20"/>
  <c r="AN51" s="1"/>
  <c r="AM49"/>
  <c r="AO32"/>
  <c r="AO33" s="1"/>
  <c r="AQ34" s="1"/>
  <c r="AN33"/>
  <c r="AP34" s="1"/>
  <c r="AC40"/>
  <c r="AC41" s="1"/>
  <c r="AF42" s="1"/>
  <c r="AB41"/>
  <c r="AE42" s="1"/>
  <c r="AL28" i="48"/>
  <c r="Q82" i="89"/>
  <c r="AD53" i="18"/>
  <c r="AA58" i="20"/>
  <c r="AB57"/>
  <c r="J33" i="48"/>
  <c r="J31"/>
  <c r="AO59" i="20"/>
  <c r="AL19" i="48"/>
  <c r="AE19" s="1"/>
  <c r="AE24" s="1"/>
  <c r="J11"/>
  <c r="Q43" i="89"/>
  <c r="Q28"/>
  <c r="R163" i="39"/>
  <c r="R289" i="62"/>
  <c r="R166" i="39" s="1"/>
  <c r="R306" i="62"/>
  <c r="R178" i="39" s="1"/>
  <c r="R302" i="62"/>
  <c r="R174" i="39" s="1"/>
  <c r="R301" i="62"/>
  <c r="R173" i="39" s="1"/>
  <c r="X94" i="20"/>
  <c r="X126"/>
  <c r="AC47" i="18"/>
  <c r="AL11" i="48" s="1"/>
  <c r="AB64" i="18"/>
  <c r="AB66" s="1"/>
  <c r="F81" i="89"/>
  <c r="F67" s="1"/>
  <c r="W96" i="20"/>
  <c r="W127"/>
  <c r="I8" i="82"/>
  <c r="I9" s="1"/>
  <c r="I12" s="1"/>
  <c r="I18" s="1"/>
  <c r="W167" i="20"/>
  <c r="K5" i="82"/>
  <c r="K7" s="1"/>
  <c r="K15" s="1"/>
  <c r="Y93" i="20"/>
  <c r="Y140"/>
  <c r="Y67"/>
  <c r="Y104"/>
  <c r="AN16"/>
  <c r="AP17" s="1"/>
  <c r="AO15"/>
  <c r="AO16" s="1"/>
  <c r="AQ17" s="1"/>
  <c r="K24" i="81"/>
  <c r="U184" i="20"/>
  <c r="U168" s="1"/>
  <c r="U169" s="1"/>
  <c r="AD39" i="18"/>
  <c r="I31" i="89"/>
  <c r="I17" s="1"/>
  <c r="V498" i="62" s="1"/>
  <c r="V507" s="1"/>
  <c r="AE23" i="18"/>
  <c r="AN24" i="20"/>
  <c r="AQ25" s="1"/>
  <c r="AO23"/>
  <c r="AO24" s="1"/>
  <c r="AR25" s="1"/>
  <c r="AE27" i="18"/>
  <c r="S31" i="89"/>
  <c r="AK69" i="20"/>
  <c r="J17"/>
  <c r="G29" i="89"/>
  <c r="G11" s="1"/>
  <c r="AS57" i="48"/>
  <c r="AT93" i="18"/>
  <c r="AW74"/>
  <c r="J116" i="89"/>
  <c r="AV11" i="20"/>
  <c r="AV14" s="1"/>
  <c r="AV16" s="1"/>
  <c r="AX17" s="1"/>
  <c r="L129" i="62"/>
  <c r="AF99" i="89"/>
  <c r="AT58" i="20"/>
  <c r="AW59" s="1"/>
  <c r="AT56"/>
  <c r="M130" i="62"/>
  <c r="M132" s="1"/>
  <c r="M134" s="1"/>
  <c r="M143" s="1"/>
  <c r="AG100" i="89"/>
  <c r="AU53" i="20"/>
  <c r="AV88" i="18"/>
  <c r="AG115" i="89"/>
  <c r="AU92" i="18"/>
  <c r="W91" i="62"/>
  <c r="W93" s="1"/>
  <c r="W102" s="1"/>
  <c r="W53" i="39" s="1"/>
  <c r="W50"/>
  <c r="AJ179" i="20"/>
  <c r="AJ130"/>
  <c r="I23" i="66"/>
  <c r="R177" i="48"/>
  <c r="AI130" i="20"/>
  <c r="AI179"/>
  <c r="AE130"/>
  <c r="AE179"/>
  <c r="R145" i="48"/>
  <c r="J147" i="20"/>
  <c r="I17" i="76"/>
  <c r="AM92" i="20"/>
  <c r="AM122"/>
  <c r="AJ122"/>
  <c r="AJ92"/>
  <c r="AF122"/>
  <c r="AF92"/>
  <c r="AR111"/>
  <c r="AR113"/>
  <c r="AR109"/>
  <c r="AR67"/>
  <c r="AR110"/>
  <c r="AR108"/>
  <c r="AR104"/>
  <c r="AR107"/>
  <c r="AR112"/>
  <c r="AR131"/>
  <c r="AV33"/>
  <c r="AX34" s="1"/>
  <c r="M38" i="25"/>
  <c r="AN179" i="20"/>
  <c r="AN130"/>
  <c r="AL130"/>
  <c r="AL179"/>
  <c r="AF179"/>
  <c r="AF130"/>
  <c r="J125"/>
  <c r="J94"/>
  <c r="R92" i="48"/>
  <c r="R125" s="1"/>
  <c r="I25" i="26"/>
  <c r="V117" i="89"/>
  <c r="V103" s="1"/>
  <c r="AW36" i="20"/>
  <c r="AX82" i="18"/>
  <c r="AT48" i="20"/>
  <c r="AT50"/>
  <c r="AT90"/>
  <c r="M55" i="25"/>
  <c r="AS66" i="20"/>
  <c r="AS65"/>
  <c r="AS120" s="1"/>
  <c r="AR126"/>
  <c r="J232"/>
  <c r="J233" s="1"/>
  <c r="J234" s="1"/>
  <c r="AM130"/>
  <c r="AM179"/>
  <c r="AG130"/>
  <c r="AG179"/>
  <c r="AO179"/>
  <c r="AO130"/>
  <c r="AK130"/>
  <c r="AK179"/>
  <c r="AO122"/>
  <c r="AO92"/>
  <c r="AN92"/>
  <c r="AN122"/>
  <c r="AE92"/>
  <c r="AE122"/>
  <c r="AG122"/>
  <c r="AG92"/>
  <c r="AW28"/>
  <c r="AW31" s="1"/>
  <c r="L39" i="25"/>
  <c r="AX80" i="18"/>
  <c r="U117" i="89"/>
  <c r="AU51" i="20"/>
  <c r="AU70" s="1"/>
  <c r="AS69"/>
  <c r="AS93" s="1"/>
  <c r="AD179"/>
  <c r="AD146"/>
  <c r="AE146" s="1"/>
  <c r="AF146" s="1"/>
  <c r="AG146" s="1"/>
  <c r="AH146" s="1"/>
  <c r="AI146" s="1"/>
  <c r="AJ146" s="1"/>
  <c r="AK146" s="1"/>
  <c r="AL146" s="1"/>
  <c r="AM146" s="1"/>
  <c r="AN146" s="1"/>
  <c r="AO146" s="1"/>
  <c r="AD130"/>
  <c r="AH179"/>
  <c r="AH130"/>
  <c r="I18" i="76"/>
  <c r="R146" i="48"/>
  <c r="AC147" i="20"/>
  <c r="AD145"/>
  <c r="AD92"/>
  <c r="AD122"/>
  <c r="AK92"/>
  <c r="AK122"/>
  <c r="AI122"/>
  <c r="AI92"/>
  <c r="AH122"/>
  <c r="AH92"/>
  <c r="AL122"/>
  <c r="AL92"/>
  <c r="AU45"/>
  <c r="AV86" i="18"/>
  <c r="AF115" i="89"/>
  <c r="L57" i="25"/>
  <c r="AU91" i="18"/>
  <c r="P127" i="62"/>
  <c r="P140" s="1"/>
  <c r="X50" i="48"/>
  <c r="AS50"/>
  <c r="O126" i="62"/>
  <c r="U102" i="89"/>
  <c r="T165" i="39"/>
  <c r="T295" i="62"/>
  <c r="T168" i="39" s="1"/>
  <c r="AL205" i="48"/>
  <c r="X204"/>
  <c r="X205" s="1"/>
  <c r="X184" s="1"/>
  <c r="AS204"/>
  <c r="BM32" i="20"/>
  <c r="BA49"/>
  <c r="BY32"/>
  <c r="AS48" i="48"/>
  <c r="X48"/>
  <c r="X65" s="1"/>
  <c r="L309" i="62"/>
  <c r="L181" i="39" s="1"/>
  <c r="O309" i="62"/>
  <c r="O181" i="39" s="1"/>
  <c r="N309" i="62"/>
  <c r="N181" i="39" s="1"/>
  <c r="M309" i="62"/>
  <c r="M181" i="39" s="1"/>
  <c r="W273" i="62"/>
  <c r="W158" i="39" s="1"/>
  <c r="U309" i="62"/>
  <c r="U181" i="39" s="1"/>
  <c r="P309" i="62"/>
  <c r="P181" i="39" s="1"/>
  <c r="S309" i="62"/>
  <c r="S181" i="39" s="1"/>
  <c r="Q309" i="62"/>
  <c r="Q181" i="39" s="1"/>
  <c r="V273" i="62"/>
  <c r="V158" i="39" s="1"/>
  <c r="T309" i="62"/>
  <c r="T181" i="39" s="1"/>
  <c r="R309" i="62"/>
  <c r="R181" i="39" s="1"/>
  <c r="AS90" i="48"/>
  <c r="X90"/>
  <c r="J145"/>
  <c r="AE73" i="89"/>
  <c r="AG61" i="18"/>
  <c r="Q310" i="62"/>
  <c r="Q182" i="39" s="1"/>
  <c r="T310" i="62"/>
  <c r="T182" i="39" s="1"/>
  <c r="O310" i="62"/>
  <c r="O182" i="39" s="1"/>
  <c r="N310" i="62"/>
  <c r="N182" i="39" s="1"/>
  <c r="W274" i="62"/>
  <c r="W159" i="39" s="1"/>
  <c r="R310" i="62"/>
  <c r="R182" i="39" s="1"/>
  <c r="P310" i="62"/>
  <c r="P182" i="39" s="1"/>
  <c r="L310" i="62"/>
  <c r="L182" i="39" s="1"/>
  <c r="V274" i="62"/>
  <c r="V159" i="39" s="1"/>
  <c r="M310" i="62"/>
  <c r="M182" i="39" s="1"/>
  <c r="U310" i="62"/>
  <c r="U182" i="39" s="1"/>
  <c r="S310" i="62"/>
  <c r="S182" i="39" s="1"/>
  <c r="AS91" i="48"/>
  <c r="X91"/>
  <c r="T164" i="39"/>
  <c r="T292" i="62"/>
  <c r="T167" i="39" s="1"/>
  <c r="L24" i="81"/>
  <c r="V184" i="20"/>
  <c r="W501" i="62"/>
  <c r="W510" s="1"/>
  <c r="T308"/>
  <c r="T180" i="39" s="1"/>
  <c r="N308" i="62"/>
  <c r="N180" i="39" s="1"/>
  <c r="M308" i="62"/>
  <c r="M180" i="39" s="1"/>
  <c r="W272" i="62"/>
  <c r="W157" i="39" s="1"/>
  <c r="L308" i="62"/>
  <c r="L180" i="39" s="1"/>
  <c r="Q308" i="62"/>
  <c r="Q180" i="39" s="1"/>
  <c r="V272" i="62"/>
  <c r="V157" i="39" s="1"/>
  <c r="U308" i="62"/>
  <c r="U180" i="39" s="1"/>
  <c r="P308" i="62"/>
  <c r="P180" i="39" s="1"/>
  <c r="O308" i="62"/>
  <c r="O180" i="39" s="1"/>
  <c r="R308" i="62"/>
  <c r="R180" i="39" s="1"/>
  <c r="S308" i="62"/>
  <c r="S180" i="39" s="1"/>
  <c r="AS89" i="48"/>
  <c r="X89"/>
  <c r="AE58" i="89"/>
  <c r="V287" i="62"/>
  <c r="V296" s="1"/>
  <c r="BL49" i="20"/>
  <c r="N72" i="39"/>
  <c r="N139" i="62"/>
  <c r="N75" i="39" s="1"/>
  <c r="AE34" i="89"/>
  <c r="AH35" i="18"/>
  <c r="AE19" i="89"/>
  <c r="W504" i="62"/>
  <c r="W513" s="1"/>
  <c r="J123" i="48"/>
  <c r="J120"/>
  <c r="J88"/>
  <c r="J122" s="1"/>
  <c r="J124"/>
  <c r="R69" i="89" l="1"/>
  <c r="R51" s="1"/>
  <c r="U284" i="62"/>
  <c r="U293" s="1"/>
  <c r="T57" i="89"/>
  <c r="AS39" i="48"/>
  <c r="X39"/>
  <c r="AE39"/>
  <c r="X41"/>
  <c r="AS41"/>
  <c r="AG29" i="18"/>
  <c r="T33" i="89"/>
  <c r="T19" s="1"/>
  <c r="AF55" i="18"/>
  <c r="T72" i="89"/>
  <c r="AU24" i="20"/>
  <c r="AX25" s="1"/>
  <c r="M17" i="25"/>
  <c r="AU64" i="20"/>
  <c r="AT116"/>
  <c r="AT80"/>
  <c r="AT141" s="1"/>
  <c r="AT182" s="1"/>
  <c r="K101" i="89"/>
  <c r="N124" i="62"/>
  <c r="N137" s="1"/>
  <c r="L153"/>
  <c r="L86" i="39" s="1"/>
  <c r="L149" i="62"/>
  <c r="L82" i="39" s="1"/>
  <c r="L71"/>
  <c r="L148" i="62"/>
  <c r="L81" i="39" s="1"/>
  <c r="L136" i="62"/>
  <c r="L74" i="39" s="1"/>
  <c r="K116" i="89"/>
  <c r="AW76" i="18"/>
  <c r="AV19" i="20"/>
  <c r="AV22" s="1"/>
  <c r="AV64" s="1"/>
  <c r="J100" i="89"/>
  <c r="M123" i="62"/>
  <c r="AL146" i="48"/>
  <c r="AS146" s="1"/>
  <c r="AL177"/>
  <c r="AS177" s="1"/>
  <c r="AS97"/>
  <c r="AS98"/>
  <c r="AL149"/>
  <c r="AS149" s="1"/>
  <c r="AE48"/>
  <c r="AE65" s="1"/>
  <c r="AB68" i="89"/>
  <c r="J149" i="48"/>
  <c r="X98"/>
  <c r="AE98"/>
  <c r="S525" i="62"/>
  <c r="S318" i="39" s="1"/>
  <c r="V489" i="62"/>
  <c r="V295" i="39" s="1"/>
  <c r="Q525" i="62"/>
  <c r="Q318" i="39" s="1"/>
  <c r="M525" i="62"/>
  <c r="M318" i="39" s="1"/>
  <c r="R525" i="62"/>
  <c r="R318" i="39" s="1"/>
  <c r="L525" i="62"/>
  <c r="L318" i="39" s="1"/>
  <c r="W489" i="62"/>
  <c r="W295" i="39" s="1"/>
  <c r="U525" i="62"/>
  <c r="U318" i="39" s="1"/>
  <c r="N525" i="62"/>
  <c r="N318" i="39" s="1"/>
  <c r="T525" i="62"/>
  <c r="T318" i="39" s="1"/>
  <c r="P525" i="62"/>
  <c r="P318" i="39" s="1"/>
  <c r="O525" i="62"/>
  <c r="O318" i="39" s="1"/>
  <c r="R526" i="62"/>
  <c r="R319" i="39" s="1"/>
  <c r="T526" i="62"/>
  <c r="T319" i="39" s="1"/>
  <c r="U526" i="62"/>
  <c r="U319" i="39" s="1"/>
  <c r="O526" i="62"/>
  <c r="O319" i="39" s="1"/>
  <c r="S526" i="62"/>
  <c r="S319" i="39" s="1"/>
  <c r="AE90" i="48"/>
  <c r="M526" i="62"/>
  <c r="M319" i="39" s="1"/>
  <c r="L526" i="62"/>
  <c r="L319" i="39" s="1"/>
  <c r="V490" i="62"/>
  <c r="V296" i="39" s="1"/>
  <c r="N526" i="62"/>
  <c r="N319" i="39" s="1"/>
  <c r="W490" i="62"/>
  <c r="W296" i="39" s="1"/>
  <c r="P526" i="62"/>
  <c r="P319" i="39" s="1"/>
  <c r="Q526" i="62"/>
  <c r="Q319" i="39" s="1"/>
  <c r="AD71" i="89"/>
  <c r="AE59" i="18"/>
  <c r="AB29" i="89"/>
  <c r="AB11" s="1"/>
  <c r="AB12" s="1"/>
  <c r="U503" i="62"/>
  <c r="AD17" i="89"/>
  <c r="AE89" i="48"/>
  <c r="AE97"/>
  <c r="X97"/>
  <c r="J177"/>
  <c r="AE177" s="1"/>
  <c r="J146"/>
  <c r="M527" i="62"/>
  <c r="M320" i="39" s="1"/>
  <c r="Q527" i="62"/>
  <c r="Q320" i="39" s="1"/>
  <c r="S527" i="62"/>
  <c r="S320" i="39" s="1"/>
  <c r="R527" i="62"/>
  <c r="R320" i="39" s="1"/>
  <c r="T527" i="62"/>
  <c r="T320" i="39" s="1"/>
  <c r="N527" i="62"/>
  <c r="N320" i="39" s="1"/>
  <c r="L527" i="62"/>
  <c r="L320" i="39" s="1"/>
  <c r="O527" i="62"/>
  <c r="O320" i="39" s="1"/>
  <c r="W491" i="62"/>
  <c r="W297" i="39" s="1"/>
  <c r="V491" i="62"/>
  <c r="V297" i="39" s="1"/>
  <c r="P527" i="62"/>
  <c r="P320" i="39" s="1"/>
  <c r="U527" i="62"/>
  <c r="U320" i="39" s="1"/>
  <c r="AF33" i="18"/>
  <c r="AD32" i="89"/>
  <c r="AE91" i="48"/>
  <c r="AS126" i="20"/>
  <c r="T280" i="62"/>
  <c r="AF23" i="18"/>
  <c r="I32" i="89"/>
  <c r="I18" s="1"/>
  <c r="AE39" i="18"/>
  <c r="AL14" i="48"/>
  <c r="X11"/>
  <c r="AS11"/>
  <c r="AL16"/>
  <c r="AC57" i="20"/>
  <c r="AC58" s="1"/>
  <c r="AB58"/>
  <c r="AL31" i="48"/>
  <c r="X28"/>
  <c r="AS28"/>
  <c r="AL33"/>
  <c r="AE28"/>
  <c r="AE33" s="1"/>
  <c r="AE21" i="18"/>
  <c r="H31" i="89"/>
  <c r="AD38" i="18"/>
  <c r="AD40" s="1"/>
  <c r="AE49"/>
  <c r="I71" i="89"/>
  <c r="AD65" i="18"/>
  <c r="S163" i="39"/>
  <c r="S289" i="62"/>
  <c r="S166" i="39" s="1"/>
  <c r="S306" i="62"/>
  <c r="S178" i="39" s="1"/>
  <c r="S301" i="62"/>
  <c r="S173" i="39" s="1"/>
  <c r="S302" i="62"/>
  <c r="S174" i="39" s="1"/>
  <c r="AK93" i="20"/>
  <c r="AK126" s="1"/>
  <c r="AK104"/>
  <c r="AK67"/>
  <c r="W99"/>
  <c r="W129"/>
  <c r="AC64" i="18"/>
  <c r="AC66" s="1"/>
  <c r="F82" i="89"/>
  <c r="F83" s="1"/>
  <c r="AD47" i="18"/>
  <c r="U500" i="62"/>
  <c r="Q29" i="89"/>
  <c r="Q11" s="1"/>
  <c r="Q12" s="1"/>
  <c r="S17"/>
  <c r="Q83"/>
  <c r="Q68"/>
  <c r="L5" i="82"/>
  <c r="L7" s="1"/>
  <c r="L15" s="1"/>
  <c r="Z140" i="20"/>
  <c r="Z104"/>
  <c r="Z67"/>
  <c r="Z93"/>
  <c r="J25"/>
  <c r="F28" i="89"/>
  <c r="Y126" i="20"/>
  <c r="Y94"/>
  <c r="AL24" i="48"/>
  <c r="X19"/>
  <c r="AS19"/>
  <c r="AL22"/>
  <c r="AE53" i="18"/>
  <c r="S71" i="89"/>
  <c r="AN70" i="20"/>
  <c r="AN58"/>
  <c r="AO57"/>
  <c r="AO58" s="1"/>
  <c r="AC70"/>
  <c r="O6" i="82" s="1"/>
  <c r="I59" i="20"/>
  <c r="I70" s="1"/>
  <c r="T506" i="62"/>
  <c r="T304" i="39" s="1"/>
  <c r="T301"/>
  <c r="AF27" i="18"/>
  <c r="S32" i="89"/>
  <c r="Y181" i="20"/>
  <c r="O27" i="81" s="1"/>
  <c r="Y171" i="20"/>
  <c r="J8" i="82"/>
  <c r="J9" s="1"/>
  <c r="J12" s="1"/>
  <c r="J18" s="1"/>
  <c r="X167" i="20"/>
  <c r="X127"/>
  <c r="X96"/>
  <c r="J14" i="48"/>
  <c r="J16"/>
  <c r="J69" s="1"/>
  <c r="AE11"/>
  <c r="AE16" s="1"/>
  <c r="AA69" i="20"/>
  <c r="AD59"/>
  <c r="AM50"/>
  <c r="AO51" s="1"/>
  <c r="AO70" s="1"/>
  <c r="AN49"/>
  <c r="AP59"/>
  <c r="AL69"/>
  <c r="J42"/>
  <c r="G68" i="89"/>
  <c r="J117"/>
  <c r="AW11" i="20"/>
  <c r="AW14" s="1"/>
  <c r="AW16" s="1"/>
  <c r="AY17" s="1"/>
  <c r="AX74" i="18"/>
  <c r="AU93"/>
  <c r="L131" i="62"/>
  <c r="L133" s="1"/>
  <c r="L142" s="1"/>
  <c r="L76" i="39" s="1"/>
  <c r="L73"/>
  <c r="N130" i="62"/>
  <c r="N132" s="1"/>
  <c r="N134" s="1"/>
  <c r="N143" s="1"/>
  <c r="AG101" i="89"/>
  <c r="AF100"/>
  <c r="N129" i="62" s="1"/>
  <c r="N131" s="1"/>
  <c r="N133" s="1"/>
  <c r="N142" s="1"/>
  <c r="M129"/>
  <c r="AU56" i="20"/>
  <c r="AU58"/>
  <c r="AX59" s="1"/>
  <c r="AV92" i="18"/>
  <c r="AG116" i="89"/>
  <c r="AV53" i="20"/>
  <c r="AW88" i="18"/>
  <c r="AH125" i="20"/>
  <c r="AH94"/>
  <c r="AH155"/>
  <c r="AG155"/>
  <c r="AG94"/>
  <c r="AG125"/>
  <c r="J205"/>
  <c r="Y248" i="48"/>
  <c r="AV51" i="20"/>
  <c r="AT69"/>
  <c r="AT93" s="1"/>
  <c r="AM155"/>
  <c r="AM125"/>
  <c r="AU48"/>
  <c r="AU50"/>
  <c r="AU90"/>
  <c r="AD125"/>
  <c r="AD155"/>
  <c r="AD94"/>
  <c r="AW33"/>
  <c r="AY34" s="1"/>
  <c r="AE155"/>
  <c r="AE94"/>
  <c r="AE125"/>
  <c r="AW39"/>
  <c r="AW41" s="1"/>
  <c r="AZ42" s="1"/>
  <c r="J96"/>
  <c r="J127"/>
  <c r="P94" i="22"/>
  <c r="R94" i="48"/>
  <c r="R127" s="1"/>
  <c r="I26" i="26"/>
  <c r="AF155" i="20"/>
  <c r="AF94"/>
  <c r="AF125"/>
  <c r="AW86" i="18"/>
  <c r="AV45" i="20"/>
  <c r="AF116" i="89"/>
  <c r="AV91" i="18"/>
  <c r="L58" i="25"/>
  <c r="AL155" i="20"/>
  <c r="AL125"/>
  <c r="AI155"/>
  <c r="AI94"/>
  <c r="AI125"/>
  <c r="AE145"/>
  <c r="AD147"/>
  <c r="AO155"/>
  <c r="AO125"/>
  <c r="AX36"/>
  <c r="AX39" s="1"/>
  <c r="AX41" s="1"/>
  <c r="BA42" s="1"/>
  <c r="V118" i="89"/>
  <c r="V104" s="1"/>
  <c r="AY82" i="18"/>
  <c r="I19" i="76"/>
  <c r="R147" i="48"/>
  <c r="AK155" i="20"/>
  <c r="AK125"/>
  <c r="L40" i="25"/>
  <c r="AX28" i="20"/>
  <c r="AX31" s="1"/>
  <c r="U118" i="89"/>
  <c r="AY80" i="18"/>
  <c r="AN155" i="20"/>
  <c r="AN125"/>
  <c r="AS109"/>
  <c r="AS111"/>
  <c r="AS67"/>
  <c r="AS104"/>
  <c r="AS113"/>
  <c r="AS108"/>
  <c r="AS110"/>
  <c r="AS107"/>
  <c r="AS112"/>
  <c r="AS131"/>
  <c r="AT65"/>
  <c r="AT120" s="1"/>
  <c r="AT66"/>
  <c r="M56" i="25"/>
  <c r="AJ125" i="20"/>
  <c r="AJ94"/>
  <c r="AJ155"/>
  <c r="AI35" i="18"/>
  <c r="AE35" i="89"/>
  <c r="V168" i="20"/>
  <c r="V169" s="1"/>
  <c r="Q127" i="62"/>
  <c r="Q140" s="1"/>
  <c r="J92" i="48"/>
  <c r="J125" s="1"/>
  <c r="L524" i="62"/>
  <c r="L317" i="39" s="1"/>
  <c r="O524" i="62"/>
  <c r="O317" i="39" s="1"/>
  <c r="S524" i="62"/>
  <c r="S317" i="39" s="1"/>
  <c r="P524" i="62"/>
  <c r="P317" i="39" s="1"/>
  <c r="W488" i="62"/>
  <c r="W294" i="39" s="1"/>
  <c r="U524" i="62"/>
  <c r="U317" i="39" s="1"/>
  <c r="M524" i="62"/>
  <c r="M317" i="39" s="1"/>
  <c r="Q524" i="62"/>
  <c r="Q317" i="39" s="1"/>
  <c r="V488" i="62"/>
  <c r="V294" i="39" s="1"/>
  <c r="N524" i="62"/>
  <c r="N317" i="39" s="1"/>
  <c r="R524" i="62"/>
  <c r="R317" i="39" s="1"/>
  <c r="T524" i="62"/>
  <c r="T317" i="39" s="1"/>
  <c r="AH61" i="18"/>
  <c r="AE74" i="89"/>
  <c r="J147" i="48"/>
  <c r="AL120"/>
  <c r="AL124"/>
  <c r="AL123"/>
  <c r="AL88"/>
  <c r="AE88" s="1"/>
  <c r="AE92" s="1"/>
  <c r="AE20" i="89"/>
  <c r="L540" i="62"/>
  <c r="L549" s="1"/>
  <c r="AE59" i="89"/>
  <c r="W287" i="62"/>
  <c r="W296" s="1"/>
  <c r="L537"/>
  <c r="L546" s="1"/>
  <c r="AS65" i="48"/>
  <c r="AS49"/>
  <c r="AL184"/>
  <c r="AS205"/>
  <c r="O72" i="39"/>
  <c r="O139" i="62"/>
  <c r="O75" i="39" s="1"/>
  <c r="BM49" i="20"/>
  <c r="X123" i="48"/>
  <c r="X120"/>
  <c r="X124"/>
  <c r="U103" i="89"/>
  <c r="P126" i="62"/>
  <c r="M18" i="25" l="1"/>
  <c r="AV24" i="20"/>
  <c r="AY25" s="1"/>
  <c r="T34" i="89"/>
  <c r="T20" s="1"/>
  <c r="AH29" i="18"/>
  <c r="AG55"/>
  <c r="T73" i="89"/>
  <c r="V284" i="62"/>
  <c r="V293" s="1"/>
  <c r="T58" i="89"/>
  <c r="AS40" i="48"/>
  <c r="J101" i="89"/>
  <c r="N123" i="62"/>
  <c r="M148"/>
  <c r="M81" i="39" s="1"/>
  <c r="M153" i="62"/>
  <c r="M86" i="39" s="1"/>
  <c r="M149" i="62"/>
  <c r="M82" i="39" s="1"/>
  <c r="M71"/>
  <c r="M136" i="62"/>
  <c r="M74" i="39" s="1"/>
  <c r="O124" i="62"/>
  <c r="O137" s="1"/>
  <c r="K102" i="89"/>
  <c r="K117"/>
  <c r="AX76" i="18"/>
  <c r="AW19" i="20"/>
  <c r="AW22" s="1"/>
  <c r="AW64" s="1"/>
  <c r="AW80" s="1"/>
  <c r="AW141" s="1"/>
  <c r="AU116"/>
  <c r="AU80"/>
  <c r="AU141" s="1"/>
  <c r="AU182" s="1"/>
  <c r="L19" i="25"/>
  <c r="X177" i="48"/>
  <c r="AE123"/>
  <c r="AE124"/>
  <c r="AE120"/>
  <c r="AE122"/>
  <c r="AE125"/>
  <c r="U286" i="62"/>
  <c r="AB69" i="89"/>
  <c r="AB51" s="1"/>
  <c r="AB52" s="1"/>
  <c r="AD57"/>
  <c r="V286" i="62" s="1"/>
  <c r="U512"/>
  <c r="U306" i="39" s="1"/>
  <c r="U303"/>
  <c r="V503" i="62"/>
  <c r="AD18" i="89"/>
  <c r="X149" i="48"/>
  <c r="AE149"/>
  <c r="AE146"/>
  <c r="X146"/>
  <c r="AF59" i="18"/>
  <c r="AD72" i="89"/>
  <c r="AD58" s="1"/>
  <c r="AG33" i="18"/>
  <c r="AD33" i="89"/>
  <c r="AK94" i="20"/>
  <c r="AK167" s="1"/>
  <c r="N73" i="39"/>
  <c r="N76"/>
  <c r="AM69" i="20"/>
  <c r="AM104" s="1"/>
  <c r="AV93" i="18"/>
  <c r="G53" i="77"/>
  <c r="J140" i="48"/>
  <c r="J179" s="1"/>
  <c r="U281" i="62"/>
  <c r="U290" s="1"/>
  <c r="I57" i="89"/>
  <c r="G69"/>
  <c r="G51" s="1"/>
  <c r="M5" i="82"/>
  <c r="M7" s="1"/>
  <c r="M15" s="1"/>
  <c r="AA140" i="20"/>
  <c r="AA67"/>
  <c r="AA104"/>
  <c r="AA93"/>
  <c r="X99"/>
  <c r="X129"/>
  <c r="AR59"/>
  <c r="AR70" s="1"/>
  <c r="H17" i="89"/>
  <c r="U497" i="62"/>
  <c r="F29" i="89"/>
  <c r="F11" s="1"/>
  <c r="F12" s="1"/>
  <c r="Q69"/>
  <c r="Q51" s="1"/>
  <c r="Q52" s="1"/>
  <c r="S57"/>
  <c r="U283" i="62"/>
  <c r="U509"/>
  <c r="U305" i="39" s="1"/>
  <c r="U302"/>
  <c r="I72" i="89"/>
  <c r="AF49" i="18"/>
  <c r="AE65"/>
  <c r="X31" i="48"/>
  <c r="AS31"/>
  <c r="AE31"/>
  <c r="W498" i="62"/>
  <c r="W507" s="1"/>
  <c r="T289"/>
  <c r="T166" i="39" s="1"/>
  <c r="T163"/>
  <c r="T306" i="62"/>
  <c r="T178" i="39" s="1"/>
  <c r="T302" i="62"/>
  <c r="T174" i="39" s="1"/>
  <c r="T301" i="62"/>
  <c r="T173" i="39" s="1"/>
  <c r="AE69" i="48"/>
  <c r="G66" i="77" s="1"/>
  <c r="AD70" i="20"/>
  <c r="J66" i="48"/>
  <c r="J64"/>
  <c r="AG27" i="18"/>
  <c r="S33" i="89"/>
  <c r="Z94" i="20"/>
  <c r="Z126"/>
  <c r="AF21" i="18"/>
  <c r="AE38"/>
  <c r="AE40" s="1"/>
  <c r="H32" i="89"/>
  <c r="AS16" i="48"/>
  <c r="X16"/>
  <c r="F68" i="89"/>
  <c r="AL104" i="20"/>
  <c r="AL67"/>
  <c r="AL93"/>
  <c r="AE22" i="48"/>
  <c r="X22"/>
  <c r="AS22"/>
  <c r="Y96" i="20"/>
  <c r="Y127"/>
  <c r="K8" i="82"/>
  <c r="K9" s="1"/>
  <c r="K12" s="1"/>
  <c r="K18" s="1"/>
  <c r="Y167" i="20"/>
  <c r="Z171"/>
  <c r="Z181"/>
  <c r="P27" i="81" s="1"/>
  <c r="V500" i="62"/>
  <c r="S18" i="89"/>
  <c r="AF59" i="20"/>
  <c r="AF70" s="1"/>
  <c r="AC69"/>
  <c r="AE14" i="48"/>
  <c r="AL66"/>
  <c r="X14"/>
  <c r="AS14"/>
  <c r="AL64"/>
  <c r="J51" i="20"/>
  <c r="AN50"/>
  <c r="AP51" s="1"/>
  <c r="AP70" s="1"/>
  <c r="AO49"/>
  <c r="AO50" s="1"/>
  <c r="AQ51" s="1"/>
  <c r="AQ59"/>
  <c r="S72" i="89"/>
  <c r="AF53" i="18"/>
  <c r="X24" i="48"/>
  <c r="AS24"/>
  <c r="H71" i="89"/>
  <c r="AE47" i="18"/>
  <c r="AD64"/>
  <c r="AD66" s="1"/>
  <c r="W178" i="20"/>
  <c r="W132"/>
  <c r="AS33" i="48"/>
  <c r="X33"/>
  <c r="AL69"/>
  <c r="AE59" i="20"/>
  <c r="AE70" s="1"/>
  <c r="AB69"/>
  <c r="AG23" i="18"/>
  <c r="AF39"/>
  <c r="I33" i="89"/>
  <c r="I19" s="1"/>
  <c r="J118"/>
  <c r="AX11" i="20"/>
  <c r="AX14" s="1"/>
  <c r="AX16" s="1"/>
  <c r="AZ17" s="1"/>
  <c r="AY74" i="18"/>
  <c r="AW92"/>
  <c r="AX88"/>
  <c r="AG117" i="89"/>
  <c r="AW53" i="20"/>
  <c r="AG102" i="89"/>
  <c r="O130" i="62"/>
  <c r="O132" s="1"/>
  <c r="O134" s="1"/>
  <c r="O143" s="1"/>
  <c r="M131"/>
  <c r="M133" s="1"/>
  <c r="M142" s="1"/>
  <c r="M76" i="39" s="1"/>
  <c r="M73"/>
  <c r="AF101" i="89"/>
  <c r="AV56" i="20"/>
  <c r="AV58"/>
  <c r="AY59" s="1"/>
  <c r="AI96"/>
  <c r="AI167"/>
  <c r="AI127"/>
  <c r="AF117" i="89"/>
  <c r="AW45" i="20"/>
  <c r="AX86" i="18"/>
  <c r="L59" i="25"/>
  <c r="AW91" i="18"/>
  <c r="AF167" i="20"/>
  <c r="AF127"/>
  <c r="AF96"/>
  <c r="P96" i="22"/>
  <c r="P92"/>
  <c r="P95"/>
  <c r="AH183" i="20"/>
  <c r="AH159"/>
  <c r="K42"/>
  <c r="AJ167"/>
  <c r="AJ96"/>
  <c r="AJ127"/>
  <c r="AN159"/>
  <c r="AN183"/>
  <c r="M40" i="25"/>
  <c r="AX33" i="20"/>
  <c r="AZ34" s="1"/>
  <c r="AL159"/>
  <c r="AL183"/>
  <c r="AV48"/>
  <c r="AV50"/>
  <c r="AV90"/>
  <c r="AE159"/>
  <c r="AE183"/>
  <c r="AD159"/>
  <c r="AD183"/>
  <c r="AU66"/>
  <c r="AU65"/>
  <c r="AU120" s="1"/>
  <c r="M57" i="25"/>
  <c r="AV80" i="20"/>
  <c r="AV141" s="1"/>
  <c r="AV116"/>
  <c r="AG159"/>
  <c r="AG183"/>
  <c r="AJ159"/>
  <c r="AJ183"/>
  <c r="AK159"/>
  <c r="AK183"/>
  <c r="V119" i="89"/>
  <c r="V105" s="1"/>
  <c r="AZ82" i="18"/>
  <c r="AY36" i="20"/>
  <c r="AY39" s="1"/>
  <c r="AY41" s="1"/>
  <c r="BB42" s="1"/>
  <c r="J155"/>
  <c r="AO159"/>
  <c r="AO183"/>
  <c r="AE147"/>
  <c r="AF145"/>
  <c r="P98" i="22"/>
  <c r="P99" s="1"/>
  <c r="F6" i="36"/>
  <c r="J300" i="20"/>
  <c r="J308" s="1"/>
  <c r="J310" s="1"/>
  <c r="J209" s="1"/>
  <c r="I28" i="26"/>
  <c r="R96" i="48"/>
  <c r="J99" i="20"/>
  <c r="J129"/>
  <c r="AE127"/>
  <c r="AE96"/>
  <c r="AE167"/>
  <c r="AD96"/>
  <c r="AD167"/>
  <c r="AD127"/>
  <c r="AW51"/>
  <c r="AW70" s="1"/>
  <c r="AU69"/>
  <c r="AV70"/>
  <c r="AG167"/>
  <c r="AG127"/>
  <c r="AG96"/>
  <c r="AL122" i="48"/>
  <c r="AT131" i="20"/>
  <c r="AT109"/>
  <c r="AT67"/>
  <c r="AT126"/>
  <c r="AT110"/>
  <c r="AT107"/>
  <c r="AT111"/>
  <c r="AT108"/>
  <c r="AT112"/>
  <c r="AT113"/>
  <c r="AT104"/>
  <c r="L41" i="25"/>
  <c r="AY28" i="20"/>
  <c r="U119" i="89"/>
  <c r="AZ80" i="18"/>
  <c r="AI159" i="20"/>
  <c r="AI183"/>
  <c r="AF183"/>
  <c r="AF159"/>
  <c r="AM159"/>
  <c r="AM183"/>
  <c r="AH167"/>
  <c r="AH127"/>
  <c r="AH96"/>
  <c r="M39" i="25"/>
  <c r="V165" i="39"/>
  <c r="V295" i="62"/>
  <c r="V168" i="39" s="1"/>
  <c r="AL145" i="48"/>
  <c r="AS184"/>
  <c r="AE184"/>
  <c r="Q126" i="62"/>
  <c r="U104" i="89"/>
  <c r="AS123" i="48"/>
  <c r="AS120"/>
  <c r="AS124"/>
  <c r="M540" i="62"/>
  <c r="M549" s="1"/>
  <c r="AE21" i="89"/>
  <c r="AE75"/>
  <c r="AI61" i="18"/>
  <c r="R127" i="62"/>
  <c r="R140" s="1"/>
  <c r="W286"/>
  <c r="M537"/>
  <c r="M546" s="1"/>
  <c r="AJ35" i="18"/>
  <c r="AE36" i="89"/>
  <c r="P72" i="39"/>
  <c r="P139" i="62"/>
  <c r="P75" i="39" s="1"/>
  <c r="AE60" i="89"/>
  <c r="L323" i="62"/>
  <c r="L332" s="1"/>
  <c r="AL92" i="48"/>
  <c r="O307" i="62"/>
  <c r="O179" i="39" s="1"/>
  <c r="V271" i="62"/>
  <c r="V156" i="39" s="1"/>
  <c r="R307" i="62"/>
  <c r="R179" i="39" s="1"/>
  <c r="N307" i="62"/>
  <c r="N179" i="39" s="1"/>
  <c r="L307" i="62"/>
  <c r="L179" i="39" s="1"/>
  <c r="Q307" i="62"/>
  <c r="Q179" i="39" s="1"/>
  <c r="M307" i="62"/>
  <c r="M179" i="39" s="1"/>
  <c r="W271" i="62"/>
  <c r="W156" i="39" s="1"/>
  <c r="U307" i="62"/>
  <c r="U179" i="39" s="1"/>
  <c r="T307" i="62"/>
  <c r="T179" i="39" s="1"/>
  <c r="S307" i="62"/>
  <c r="S179" i="39" s="1"/>
  <c r="P307" i="62"/>
  <c r="P179" i="39" s="1"/>
  <c r="AS88" i="48"/>
  <c r="AS122" s="1"/>
  <c r="X88"/>
  <c r="X122" s="1"/>
  <c r="AV182" i="20" l="1"/>
  <c r="W284" i="62"/>
  <c r="W293" s="1"/>
  <c r="T59" i="89"/>
  <c r="AI29" i="18"/>
  <c r="T35" i="89"/>
  <c r="T21" s="1"/>
  <c r="AH55" i="18"/>
  <c r="T74" i="89"/>
  <c r="K103"/>
  <c r="P124" i="62"/>
  <c r="P137" s="1"/>
  <c r="J102" i="89"/>
  <c r="O123" i="62"/>
  <c r="N149"/>
  <c r="N82" i="39" s="1"/>
  <c r="N153" i="62"/>
  <c r="N86" i="39" s="1"/>
  <c r="N71"/>
  <c r="N136" i="62"/>
  <c r="N74" i="39" s="1"/>
  <c r="N148" i="62"/>
  <c r="N81" i="39" s="1"/>
  <c r="K118" i="89"/>
  <c r="AX19" i="20"/>
  <c r="AX22" s="1"/>
  <c r="AY76" i="18"/>
  <c r="L21" i="25" s="1"/>
  <c r="L20"/>
  <c r="M19"/>
  <c r="AW24" i="20"/>
  <c r="AZ25" s="1"/>
  <c r="AW116"/>
  <c r="U295" i="62"/>
  <c r="U168" i="39" s="1"/>
  <c r="U165"/>
  <c r="AQ70" i="20"/>
  <c r="AE66" i="48"/>
  <c r="AG59" i="18"/>
  <c r="AD73" i="89"/>
  <c r="AD59" s="1"/>
  <c r="AH33" i="18"/>
  <c r="AD34" i="89"/>
  <c r="V303" i="39"/>
  <c r="V512" i="62"/>
  <c r="V306" i="39" s="1"/>
  <c r="X69" i="48"/>
  <c r="G62" i="77" s="1"/>
  <c r="W503" i="62"/>
  <c r="AD19" i="89"/>
  <c r="AN69" i="20"/>
  <c r="AN67" s="1"/>
  <c r="AM67"/>
  <c r="AM93"/>
  <c r="AM126" s="1"/>
  <c r="AK96"/>
  <c r="AK129" s="1"/>
  <c r="AK127"/>
  <c r="AM140"/>
  <c r="AM171" s="1"/>
  <c r="L534" i="62"/>
  <c r="L543" s="1"/>
  <c r="X64" i="48"/>
  <c r="X116" s="1"/>
  <c r="X66"/>
  <c r="Y129" i="20"/>
  <c r="Y99"/>
  <c r="AL94"/>
  <c r="AL126"/>
  <c r="J59"/>
  <c r="J70" s="1"/>
  <c r="AO69"/>
  <c r="AB93"/>
  <c r="AB140"/>
  <c r="AB67"/>
  <c r="AL140"/>
  <c r="AE140"/>
  <c r="AH140"/>
  <c r="AJ140"/>
  <c r="AK140"/>
  <c r="AF140"/>
  <c r="AN140"/>
  <c r="AB104"/>
  <c r="AD140"/>
  <c r="AG140"/>
  <c r="AI140"/>
  <c r="N5" i="82"/>
  <c r="AC140" i="20"/>
  <c r="H72" i="89"/>
  <c r="AF47" i="18"/>
  <c r="AE64"/>
  <c r="AE66" s="1"/>
  <c r="S73" i="89"/>
  <c r="AG53" i="18"/>
  <c r="AS64" i="48"/>
  <c r="AS15"/>
  <c r="AC104" i="20"/>
  <c r="AC93"/>
  <c r="O5" i="82"/>
  <c r="AC67" i="20"/>
  <c r="U280" i="62"/>
  <c r="H57" i="89"/>
  <c r="F69"/>
  <c r="F51" s="1"/>
  <c r="F52" s="1"/>
  <c r="Z96" i="20"/>
  <c r="Z127"/>
  <c r="Z167"/>
  <c r="L8" i="82"/>
  <c r="L9" s="1"/>
  <c r="L12" s="1"/>
  <c r="L18" s="1"/>
  <c r="J112" i="48"/>
  <c r="J131"/>
  <c r="G52" i="77"/>
  <c r="J110" i="48"/>
  <c r="J126"/>
  <c r="J104"/>
  <c r="J73"/>
  <c r="J113"/>
  <c r="J67"/>
  <c r="J108"/>
  <c r="J130"/>
  <c r="AA94" i="20"/>
  <c r="AA126"/>
  <c r="AH23" i="18"/>
  <c r="AG39"/>
  <c r="I34" i="89"/>
  <c r="I20" s="1"/>
  <c r="AL83" i="48"/>
  <c r="AL116"/>
  <c r="AL80"/>
  <c r="AL84"/>
  <c r="V509" i="62"/>
  <c r="V305" i="39" s="1"/>
  <c r="V302"/>
  <c r="J83" i="48"/>
  <c r="J80"/>
  <c r="J116"/>
  <c r="J84"/>
  <c r="J118" s="1"/>
  <c r="V283" i="62"/>
  <c r="S58" i="89"/>
  <c r="V497" i="62"/>
  <c r="H18" i="89"/>
  <c r="X132" i="20"/>
  <c r="X178"/>
  <c r="AA181"/>
  <c r="Q27" i="81" s="1"/>
  <c r="AA171" i="20"/>
  <c r="AS69" i="48"/>
  <c r="AS32"/>
  <c r="H70" i="77"/>
  <c r="AL140" i="48"/>
  <c r="W184" i="20"/>
  <c r="W168" s="1"/>
  <c r="W169" s="1"/>
  <c r="M24" i="81"/>
  <c r="AL73" i="48"/>
  <c r="AL104"/>
  <c r="AL67"/>
  <c r="AL113"/>
  <c r="AL126"/>
  <c r="AL110"/>
  <c r="AL108"/>
  <c r="AL112"/>
  <c r="AL130"/>
  <c r="AL131"/>
  <c r="H69" i="77"/>
  <c r="W500" i="62"/>
  <c r="S19" i="89"/>
  <c r="AF38" i="18"/>
  <c r="AF40" s="1"/>
  <c r="AG21"/>
  <c r="H33" i="89"/>
  <c r="AH27" i="18"/>
  <c r="S34" i="89"/>
  <c r="AF65" i="18"/>
  <c r="AG49"/>
  <c r="I73" i="89"/>
  <c r="U164" i="39"/>
  <c r="U292" i="62"/>
  <c r="U167" i="39" s="1"/>
  <c r="U301"/>
  <c r="U506" i="62"/>
  <c r="U304" i="39" s="1"/>
  <c r="V281" i="62"/>
  <c r="V290" s="1"/>
  <c r="I58" i="89"/>
  <c r="AS23" i="48"/>
  <c r="AE64"/>
  <c r="AW182" i="20"/>
  <c r="J119" i="89"/>
  <c r="AY11" i="20"/>
  <c r="AZ74" i="18"/>
  <c r="AG103" i="89"/>
  <c r="P130" i="62"/>
  <c r="P132" s="1"/>
  <c r="P134" s="1"/>
  <c r="P143" s="1"/>
  <c r="AX53" i="20"/>
  <c r="AG118" i="89"/>
  <c r="AX92" i="18"/>
  <c r="AY88"/>
  <c r="AW93"/>
  <c r="AF102" i="89"/>
  <c r="O129" i="62"/>
  <c r="AW58" i="20"/>
  <c r="AZ59" s="1"/>
  <c r="AW56"/>
  <c r="AX51"/>
  <c r="AX70" s="1"/>
  <c r="AV69"/>
  <c r="AV93" s="1"/>
  <c r="AG99"/>
  <c r="AG129"/>
  <c r="I40" i="26"/>
  <c r="I38"/>
  <c r="AG145" i="20"/>
  <c r="AF147"/>
  <c r="R155" i="48"/>
  <c r="I27" i="76"/>
  <c r="J159" i="20"/>
  <c r="J183"/>
  <c r="AH129"/>
  <c r="AH99"/>
  <c r="AY31"/>
  <c r="BA80" i="18"/>
  <c r="U120" i="89"/>
  <c r="L42" i="25"/>
  <c r="AZ28" i="20"/>
  <c r="AZ31" s="1"/>
  <c r="AE99"/>
  <c r="AE129"/>
  <c r="R129" i="48"/>
  <c r="H58" i="77"/>
  <c r="AW48" i="20"/>
  <c r="AW50"/>
  <c r="AW90"/>
  <c r="AI99"/>
  <c r="AI129"/>
  <c r="AU93"/>
  <c r="AU126" s="1"/>
  <c r="AD99"/>
  <c r="AD129"/>
  <c r="AJ129"/>
  <c r="AJ99"/>
  <c r="AF99"/>
  <c r="AF129"/>
  <c r="R99" i="48"/>
  <c r="R132" s="1"/>
  <c r="I34" i="26"/>
  <c r="I39" s="1"/>
  <c r="J132" i="20"/>
  <c r="J178"/>
  <c r="AZ36"/>
  <c r="AZ39" s="1"/>
  <c r="AZ41" s="1"/>
  <c r="BC42" s="1"/>
  <c r="V120" i="89"/>
  <c r="V106" s="1"/>
  <c r="BA82" i="18"/>
  <c r="AU67" i="20"/>
  <c r="AU113"/>
  <c r="AU107"/>
  <c r="AU131"/>
  <c r="AU112"/>
  <c r="AU108"/>
  <c r="AU104"/>
  <c r="AU109"/>
  <c r="AU110"/>
  <c r="AU111"/>
  <c r="M58" i="25"/>
  <c r="AV66" i="20"/>
  <c r="AV65"/>
  <c r="AV120" s="1"/>
  <c r="AY86" i="18"/>
  <c r="AF118" i="89"/>
  <c r="AX45" i="20"/>
  <c r="AX91" i="18"/>
  <c r="L60" i="25"/>
  <c r="AE37" i="89"/>
  <c r="AK35" i="18"/>
  <c r="S127" i="62"/>
  <c r="S140" s="1"/>
  <c r="N540"/>
  <c r="N549" s="1"/>
  <c r="AE22" i="89"/>
  <c r="R126" i="62"/>
  <c r="U105" i="89"/>
  <c r="AS92" i="48"/>
  <c r="AS125" s="1"/>
  <c r="X92"/>
  <c r="X125" s="1"/>
  <c r="AL125"/>
  <c r="M323" i="62"/>
  <c r="M332" s="1"/>
  <c r="AE61" i="89"/>
  <c r="AE76"/>
  <c r="AJ61" i="18"/>
  <c r="N537" i="62"/>
  <c r="N546" s="1"/>
  <c r="L322"/>
  <c r="W165" i="39"/>
  <c r="W295" i="62"/>
  <c r="W168" i="39" s="1"/>
  <c r="Q72"/>
  <c r="Q139" i="62"/>
  <c r="Q75" i="39" s="1"/>
  <c r="AL147" i="48"/>
  <c r="X145"/>
  <c r="X147" s="1"/>
  <c r="AS145"/>
  <c r="AE145"/>
  <c r="AI55" i="18" l="1"/>
  <c r="T75" i="89"/>
  <c r="T60"/>
  <c r="L320" i="62"/>
  <c r="L329" s="1"/>
  <c r="AJ29" i="18"/>
  <c r="T36" i="89"/>
  <c r="T22" s="1"/>
  <c r="K104"/>
  <c r="Q124" i="62"/>
  <c r="Q137" s="1"/>
  <c r="M20" i="25"/>
  <c r="AX64" i="20"/>
  <c r="AX24"/>
  <c r="BA25" s="1"/>
  <c r="K25" s="1"/>
  <c r="P123" i="62"/>
  <c r="J103" i="89"/>
  <c r="AY19" i="20"/>
  <c r="AY22" s="1"/>
  <c r="AZ76" i="18"/>
  <c r="K119" i="89"/>
  <c r="O153" i="62"/>
  <c r="O86" i="39" s="1"/>
  <c r="O148" i="62"/>
  <c r="O81" i="39" s="1"/>
  <c r="O136" i="62"/>
  <c r="O74" i="39" s="1"/>
  <c r="O149" i="62"/>
  <c r="O82" i="39" s="1"/>
  <c r="O71"/>
  <c r="AX93" i="18"/>
  <c r="AN93" i="20"/>
  <c r="AN126" s="1"/>
  <c r="AN104"/>
  <c r="AM94"/>
  <c r="AM96" s="1"/>
  <c r="AS140"/>
  <c r="AS171" s="1"/>
  <c r="AE104" i="48"/>
  <c r="G65" i="77"/>
  <c r="AE67" i="48"/>
  <c r="AE109"/>
  <c r="AE129"/>
  <c r="AE107"/>
  <c r="AE108"/>
  <c r="AE130"/>
  <c r="AE110"/>
  <c r="AE126"/>
  <c r="AE127"/>
  <c r="AE113"/>
  <c r="AE111"/>
  <c r="AE112"/>
  <c r="F91" i="22"/>
  <c r="AE131" i="48"/>
  <c r="I206" i="20"/>
  <c r="AE132" i="48"/>
  <c r="AQ140" i="20"/>
  <c r="AQ171" s="1"/>
  <c r="L539" i="62"/>
  <c r="AD20" i="89"/>
  <c r="AD74"/>
  <c r="AD60" s="1"/>
  <c r="AH59" i="18"/>
  <c r="AD35" i="89"/>
  <c r="AI33" i="18"/>
  <c r="W512" i="62"/>
  <c r="W306" i="39" s="1"/>
  <c r="W303"/>
  <c r="AU140" i="20"/>
  <c r="AU171" s="1"/>
  <c r="AK99"/>
  <c r="AK132" s="1"/>
  <c r="AV140"/>
  <c r="AV171" s="1"/>
  <c r="AP140"/>
  <c r="AO140"/>
  <c r="AO181" s="1"/>
  <c r="AR140"/>
  <c r="M534" i="62"/>
  <c r="M543" s="1"/>
  <c r="AE119" i="48"/>
  <c r="AE114"/>
  <c r="AE116"/>
  <c r="AE117"/>
  <c r="AE118"/>
  <c r="AI27" i="18"/>
  <c r="S35" i="89"/>
  <c r="S20"/>
  <c r="L536" i="62"/>
  <c r="AL107" i="48"/>
  <c r="AS73"/>
  <c r="X73"/>
  <c r="X107" s="1"/>
  <c r="AL75"/>
  <c r="X184" i="20"/>
  <c r="X168" s="1"/>
  <c r="X169" s="1"/>
  <c r="N24" i="81"/>
  <c r="S59" i="89"/>
  <c r="W283" i="62"/>
  <c r="J114" i="48"/>
  <c r="J141"/>
  <c r="AE80"/>
  <c r="AE84"/>
  <c r="AS84"/>
  <c r="AS118" s="1"/>
  <c r="AL118"/>
  <c r="X84"/>
  <c r="X118" s="1"/>
  <c r="AA167" i="20"/>
  <c r="M8" i="82"/>
  <c r="M9" s="1"/>
  <c r="M12" s="1"/>
  <c r="M18" s="1"/>
  <c r="AA96" i="20"/>
  <c r="AA127"/>
  <c r="U301" i="62"/>
  <c r="U173" i="39" s="1"/>
  <c r="U302" i="62"/>
  <c r="U174" i="39" s="1"/>
  <c r="U306" i="62"/>
  <c r="U178" i="39" s="1"/>
  <c r="U163"/>
  <c r="U289" i="62"/>
  <c r="U166" i="39" s="1"/>
  <c r="AD181" i="20"/>
  <c r="AC171"/>
  <c r="I140"/>
  <c r="AG171"/>
  <c r="AH181"/>
  <c r="AN171"/>
  <c r="AJ171"/>
  <c r="AK181"/>
  <c r="AB94"/>
  <c r="AB126"/>
  <c r="AL96"/>
  <c r="AL127"/>
  <c r="AL167"/>
  <c r="V506" i="62"/>
  <c r="V304" i="39" s="1"/>
  <c r="V301"/>
  <c r="AL117" i="48"/>
  <c r="N56" i="31"/>
  <c r="AS83" i="48"/>
  <c r="AS117" s="1"/>
  <c r="X83"/>
  <c r="X117" s="1"/>
  <c r="AL85"/>
  <c r="J107"/>
  <c r="J75"/>
  <c r="AE73"/>
  <c r="H58" i="89"/>
  <c r="V280" i="62"/>
  <c r="AC94" i="20"/>
  <c r="AC126"/>
  <c r="S74" i="89"/>
  <c r="AH53" i="18"/>
  <c r="AI171" i="20"/>
  <c r="AJ181"/>
  <c r="AL181"/>
  <c r="AK171"/>
  <c r="AL171"/>
  <c r="AM181"/>
  <c r="AB181"/>
  <c r="R27" i="81" s="1"/>
  <c r="AC181" i="20"/>
  <c r="S27" i="81" s="1"/>
  <c r="AB171" i="20"/>
  <c r="X67" i="48"/>
  <c r="X104"/>
  <c r="X108"/>
  <c r="X131"/>
  <c r="X126"/>
  <c r="X112"/>
  <c r="X113"/>
  <c r="X130"/>
  <c r="G61" i="77"/>
  <c r="X110" i="48"/>
  <c r="I59" i="89"/>
  <c r="W281" i="62"/>
  <c r="W290" s="1"/>
  <c r="AH21" i="18"/>
  <c r="H34" i="89"/>
  <c r="AG38" i="18"/>
  <c r="AG40" s="1"/>
  <c r="AL179" i="48"/>
  <c r="AE179" s="1"/>
  <c r="AE140"/>
  <c r="AE169" s="1"/>
  <c r="W497" i="62"/>
  <c r="H19" i="89"/>
  <c r="R483" i="62"/>
  <c r="R289" i="39" s="1"/>
  <c r="O483" i="62"/>
  <c r="O289" i="39" s="1"/>
  <c r="P483" i="62"/>
  <c r="P289" i="39" s="1"/>
  <c r="M483" i="62"/>
  <c r="M289" i="39" s="1"/>
  <c r="V483" i="62"/>
  <c r="V289" i="39" s="1"/>
  <c r="W483" i="62"/>
  <c r="W289" i="39" s="1"/>
  <c r="N483" i="62"/>
  <c r="N289" i="39" s="1"/>
  <c r="R519" i="62"/>
  <c r="R312" i="39" s="1"/>
  <c r="L519" i="62"/>
  <c r="L312" i="39" s="1"/>
  <c r="M519" i="62"/>
  <c r="M312" i="39" s="1"/>
  <c r="N519" i="62"/>
  <c r="N312" i="39" s="1"/>
  <c r="O519" i="62"/>
  <c r="O312" i="39" s="1"/>
  <c r="Q483" i="62"/>
  <c r="Q289" i="39" s="1"/>
  <c r="P519" i="62"/>
  <c r="P312" i="39" s="1"/>
  <c r="Q519" i="62"/>
  <c r="Q312" i="39" s="1"/>
  <c r="T519" i="62"/>
  <c r="T312" i="39" s="1"/>
  <c r="S519" i="62"/>
  <c r="S312" i="39" s="1"/>
  <c r="S483" i="62"/>
  <c r="S289" i="39" s="1"/>
  <c r="T483" i="62"/>
  <c r="T289" i="39" s="1"/>
  <c r="U519" i="62"/>
  <c r="U312" i="39" s="1"/>
  <c r="U483" i="62"/>
  <c r="U289" i="39" s="1"/>
  <c r="L483" i="62"/>
  <c r="L289" i="39" s="1"/>
  <c r="I35" i="89"/>
  <c r="I21" s="1"/>
  <c r="AI23" i="18"/>
  <c r="AH39"/>
  <c r="AS66" i="48"/>
  <c r="AS116"/>
  <c r="AF64" i="18"/>
  <c r="AF66" s="1"/>
  <c r="H73" i="89"/>
  <c r="AG47" i="18"/>
  <c r="N7" i="82"/>
  <c r="N15" s="1"/>
  <c r="O7"/>
  <c r="AE171" i="20"/>
  <c r="AF181"/>
  <c r="I74" i="89"/>
  <c r="AH49" i="18"/>
  <c r="AG65"/>
  <c r="W302" i="39"/>
  <c r="W509" i="62"/>
  <c r="W305" i="39" s="1"/>
  <c r="V292" i="62"/>
  <c r="V167" i="39" s="1"/>
  <c r="V164"/>
  <c r="J117" i="48"/>
  <c r="J85"/>
  <c r="J119" s="1"/>
  <c r="I56" i="31"/>
  <c r="AE83" i="48"/>
  <c r="AE85" s="1"/>
  <c r="AL114"/>
  <c r="AS80"/>
  <c r="AS114" s="1"/>
  <c r="X80"/>
  <c r="X114" s="1"/>
  <c r="AL141"/>
  <c r="Z129" i="20"/>
  <c r="Z99"/>
  <c r="AE181"/>
  <c r="AD171"/>
  <c r="AF171"/>
  <c r="AG181"/>
  <c r="AH171"/>
  <c r="AI181"/>
  <c r="AO104"/>
  <c r="AO67"/>
  <c r="AO93"/>
  <c r="AT140"/>
  <c r="AT171" s="1"/>
  <c r="Y178"/>
  <c r="Y132"/>
  <c r="AN181"/>
  <c r="AY14"/>
  <c r="BA74" i="18"/>
  <c r="J120" i="89"/>
  <c r="AZ11" i="20"/>
  <c r="AZ14" s="1"/>
  <c r="AZ16" s="1"/>
  <c r="BB17" s="1"/>
  <c r="O73" i="39"/>
  <c r="O131" i="62"/>
  <c r="O133" s="1"/>
  <c r="O142" s="1"/>
  <c r="O76" i="39" s="1"/>
  <c r="AG104" i="89"/>
  <c r="Q130" i="62"/>
  <c r="Q132" s="1"/>
  <c r="Q134" s="1"/>
  <c r="Q143" s="1"/>
  <c r="AY53" i="20"/>
  <c r="AG119" i="89"/>
  <c r="AZ88" i="18"/>
  <c r="AY92"/>
  <c r="AX58" i="20"/>
  <c r="BA59" s="1"/>
  <c r="K59" s="1"/>
  <c r="AX56"/>
  <c r="AF103" i="89"/>
  <c r="P129" i="62"/>
  <c r="M42" i="25"/>
  <c r="AZ33" i="20"/>
  <c r="BB34" s="1"/>
  <c r="AY51"/>
  <c r="AW69"/>
  <c r="M41" i="25"/>
  <c r="AY33" i="20"/>
  <c r="BA34" s="1"/>
  <c r="K34" s="1"/>
  <c r="R159" i="48"/>
  <c r="I30" i="76"/>
  <c r="AG147" i="20"/>
  <c r="AH145"/>
  <c r="AG132"/>
  <c r="AG178"/>
  <c r="R181" i="48"/>
  <c r="I27" i="66"/>
  <c r="I33" i="94"/>
  <c r="BA36" i="20"/>
  <c r="V121" i="89"/>
  <c r="V122" s="1"/>
  <c r="BB82" i="18"/>
  <c r="AF178" i="20"/>
  <c r="AF132"/>
  <c r="AD178"/>
  <c r="AD132"/>
  <c r="AI178"/>
  <c r="AI132"/>
  <c r="L43" i="25"/>
  <c r="BA28" i="20"/>
  <c r="BA31" s="1"/>
  <c r="U121" i="89"/>
  <c r="U122" s="1"/>
  <c r="BB80" i="18"/>
  <c r="AF119" i="89"/>
  <c r="AY45" i="20"/>
  <c r="AZ86" i="18"/>
  <c r="AY91"/>
  <c r="L61" i="25"/>
  <c r="AJ132" i="20"/>
  <c r="AJ178"/>
  <c r="AX48"/>
  <c r="AX50"/>
  <c r="AX90"/>
  <c r="AV108"/>
  <c r="AV112"/>
  <c r="AV113"/>
  <c r="AV110"/>
  <c r="AV111"/>
  <c r="AV104"/>
  <c r="AV67"/>
  <c r="AV107"/>
  <c r="AV131"/>
  <c r="AV109"/>
  <c r="I29" i="94"/>
  <c r="I22" i="66"/>
  <c r="R176" i="48"/>
  <c r="AW65" i="20"/>
  <c r="AW120" s="1"/>
  <c r="M59" i="25"/>
  <c r="AW66" i="20"/>
  <c r="AE178"/>
  <c r="AE132"/>
  <c r="AH178"/>
  <c r="AH132"/>
  <c r="AV126"/>
  <c r="O537" i="62"/>
  <c r="O546" s="1"/>
  <c r="AE38" i="89"/>
  <c r="AL35" i="18"/>
  <c r="AS147" i="48"/>
  <c r="AE147"/>
  <c r="M322" i="62"/>
  <c r="AE77" i="89"/>
  <c r="AK61" i="18"/>
  <c r="R72" i="39"/>
  <c r="R139" i="62"/>
  <c r="R75" i="39" s="1"/>
  <c r="AE23" i="89"/>
  <c r="O540" i="62"/>
  <c r="O549" s="1"/>
  <c r="L188" i="39"/>
  <c r="L331" i="62"/>
  <c r="L191" i="39" s="1"/>
  <c r="N323" i="62"/>
  <c r="N332" s="1"/>
  <c r="AE62" i="89"/>
  <c r="U106"/>
  <c r="S126" i="62"/>
  <c r="T127"/>
  <c r="T140" s="1"/>
  <c r="AY64" i="20" l="1"/>
  <c r="AY80" s="1"/>
  <c r="AY141" s="1"/>
  <c r="AY24"/>
  <c r="BB25" s="1"/>
  <c r="M21" i="25"/>
  <c r="AK29" i="18"/>
  <c r="T37" i="89"/>
  <c r="T23" s="1"/>
  <c r="AJ55" i="18"/>
  <c r="T76" i="89"/>
  <c r="M320" i="62"/>
  <c r="M329" s="1"/>
  <c r="T61" i="89"/>
  <c r="AR181" i="20"/>
  <c r="AX80"/>
  <c r="AX141" s="1"/>
  <c r="AX182" s="1"/>
  <c r="AX116"/>
  <c r="R124" i="62"/>
  <c r="R137" s="1"/>
  <c r="K105" i="89"/>
  <c r="AZ19" i="20"/>
  <c r="AZ22" s="1"/>
  <c r="M22" i="25" s="1"/>
  <c r="BA76" i="18"/>
  <c r="L23" i="25" s="1"/>
  <c r="K120" i="89"/>
  <c r="P149" i="62"/>
  <c r="P82" i="39" s="1"/>
  <c r="P136" i="62"/>
  <c r="P74" i="39" s="1"/>
  <c r="P148" i="62"/>
  <c r="P81" i="39" s="1"/>
  <c r="P153" i="62"/>
  <c r="P86" i="39" s="1"/>
  <c r="P71"/>
  <c r="L22" i="25"/>
  <c r="Q123" i="62"/>
  <c r="J104" i="89"/>
  <c r="J140" i="20"/>
  <c r="J181" s="1"/>
  <c r="AN94"/>
  <c r="AN167" s="1"/>
  <c r="AD184"/>
  <c r="AM167"/>
  <c r="AM127"/>
  <c r="AQ181"/>
  <c r="AG184"/>
  <c r="AJ184"/>
  <c r="L548" i="62"/>
  <c r="L329" i="39" s="1"/>
  <c r="L326"/>
  <c r="AJ33" i="18"/>
  <c r="AD36" i="89"/>
  <c r="M539" i="62"/>
  <c r="AD21" i="89"/>
  <c r="AI59" i="18"/>
  <c r="AD75" i="89"/>
  <c r="AD61" s="1"/>
  <c r="AY93" i="18"/>
  <c r="AK178" i="20"/>
  <c r="AK184" s="1"/>
  <c r="AF184"/>
  <c r="V107" i="89"/>
  <c r="U107" s="1"/>
  <c r="AR171" i="20"/>
  <c r="AV181"/>
  <c r="AO171"/>
  <c r="AH184"/>
  <c r="AP181"/>
  <c r="AP171"/>
  <c r="AI184"/>
  <c r="AE184"/>
  <c r="AS181"/>
  <c r="AU181"/>
  <c r="N534" i="62"/>
  <c r="N543" s="1"/>
  <c r="AO126" i="20"/>
  <c r="AO94"/>
  <c r="P523" i="62"/>
  <c r="P316" i="39" s="1"/>
  <c r="O523" i="62"/>
  <c r="O316" i="39" s="1"/>
  <c r="U523" i="62"/>
  <c r="U316" i="39" s="1"/>
  <c r="R523" i="62"/>
  <c r="R316" i="39" s="1"/>
  <c r="V487" i="62"/>
  <c r="V293" i="39" s="1"/>
  <c r="W487" i="62"/>
  <c r="W293" i="39" s="1"/>
  <c r="T523" i="62"/>
  <c r="T316" i="39" s="1"/>
  <c r="L523" i="62"/>
  <c r="L316" i="39" s="1"/>
  <c r="S523" i="62"/>
  <c r="S316" i="39" s="1"/>
  <c r="N523" i="62"/>
  <c r="N316" i="39" s="1"/>
  <c r="Q523" i="62"/>
  <c r="Q316" i="39" s="1"/>
  <c r="M523" i="62"/>
  <c r="M316" i="39" s="1"/>
  <c r="I36" i="89"/>
  <c r="I22" s="1"/>
  <c r="AI39" i="18"/>
  <c r="AJ23"/>
  <c r="H20" i="89"/>
  <c r="L533" i="62"/>
  <c r="H35" i="89"/>
  <c r="AH38" i="18"/>
  <c r="AH40" s="1"/>
  <c r="AI21"/>
  <c r="AL129" i="20"/>
  <c r="AL99"/>
  <c r="AA129"/>
  <c r="AA99"/>
  <c r="J180" i="48"/>
  <c r="AE141"/>
  <c r="AE170" s="1"/>
  <c r="Z132" i="20"/>
  <c r="Z178"/>
  <c r="AH47" i="18"/>
  <c r="AG64"/>
  <c r="AG66" s="1"/>
  <c r="H74" i="89"/>
  <c r="AS112" i="48"/>
  <c r="AS131"/>
  <c r="AS104"/>
  <c r="AS130"/>
  <c r="AS126"/>
  <c r="AS108"/>
  <c r="AS67"/>
  <c r="AS107"/>
  <c r="AS110"/>
  <c r="AS113"/>
  <c r="H59" i="89"/>
  <c r="W280" i="62"/>
  <c r="AS85" i="48"/>
  <c r="AS119" s="1"/>
  <c r="X85"/>
  <c r="X119" s="1"/>
  <c r="AL119"/>
  <c r="H13" i="76"/>
  <c r="I181" i="20"/>
  <c r="I171"/>
  <c r="Q169" i="48" s="1"/>
  <c r="Q140"/>
  <c r="S60" i="89"/>
  <c r="L319" i="62"/>
  <c r="S21" i="89"/>
  <c r="M536" i="62"/>
  <c r="AT181" i="20"/>
  <c r="O24" i="81"/>
  <c r="Y184" i="20"/>
  <c r="Y168" s="1"/>
  <c r="Y169" s="1"/>
  <c r="AH65" i="18"/>
  <c r="AI49"/>
  <c r="I75" i="89"/>
  <c r="AM129" i="20"/>
  <c r="AM99"/>
  <c r="L317" i="62"/>
  <c r="L326" s="1"/>
  <c r="I60" i="89"/>
  <c r="AI53" i="18"/>
  <c r="S75" i="89"/>
  <c r="V306" i="62"/>
  <c r="V178" i="39" s="1"/>
  <c r="V163"/>
  <c r="V301" i="62"/>
  <c r="V173" i="39" s="1"/>
  <c r="V289" i="62"/>
  <c r="V166" i="39" s="1"/>
  <c r="V302" i="62"/>
  <c r="V174" i="39" s="1"/>
  <c r="P478" i="62"/>
  <c r="P284" i="39" s="1"/>
  <c r="N514" i="62"/>
  <c r="N307" i="39" s="1"/>
  <c r="O478" i="62"/>
  <c r="O284" i="39" s="1"/>
  <c r="Q514" i="62"/>
  <c r="Q307" i="39" s="1"/>
  <c r="S478" i="62"/>
  <c r="S284" i="39" s="1"/>
  <c r="L478" i="62"/>
  <c r="L284" i="39" s="1"/>
  <c r="T478" i="62"/>
  <c r="T284" i="39" s="1"/>
  <c r="P514" i="62"/>
  <c r="P307" i="39" s="1"/>
  <c r="Q478" i="62"/>
  <c r="Q284" i="39" s="1"/>
  <c r="U514" i="62"/>
  <c r="U307" i="39" s="1"/>
  <c r="N478" i="62"/>
  <c r="N284" i="39" s="1"/>
  <c r="W478" i="62"/>
  <c r="W284" i="39" s="1"/>
  <c r="R514" i="62"/>
  <c r="R307" i="39" s="1"/>
  <c r="V478" i="62"/>
  <c r="V284" i="39" s="1"/>
  <c r="R478" i="62"/>
  <c r="R284" i="39" s="1"/>
  <c r="U478" i="62"/>
  <c r="U284" i="39" s="1"/>
  <c r="O514" i="62"/>
  <c r="O307" i="39" s="1"/>
  <c r="T514" i="62"/>
  <c r="T307" i="39" s="1"/>
  <c r="L514" i="62"/>
  <c r="L307" i="39" s="1"/>
  <c r="M478" i="62"/>
  <c r="M284" i="39" s="1"/>
  <c r="M514" i="62"/>
  <c r="M307" i="39" s="1"/>
  <c r="S514" i="62"/>
  <c r="S307" i="39" s="1"/>
  <c r="AB96" i="20"/>
  <c r="AB127"/>
  <c r="N8" i="82"/>
  <c r="N9" s="1"/>
  <c r="N12" s="1"/>
  <c r="N18" s="1"/>
  <c r="AB167" i="20"/>
  <c r="W164" i="39"/>
  <c r="W292" i="62"/>
  <c r="W167" i="39" s="1"/>
  <c r="AL77" i="48"/>
  <c r="T299" i="62"/>
  <c r="T171" i="39" s="1"/>
  <c r="Q299" i="62"/>
  <c r="Q171" i="39" s="1"/>
  <c r="AS75" i="48"/>
  <c r="AS109" s="1"/>
  <c r="U299" i="62"/>
  <c r="U171" i="39" s="1"/>
  <c r="N299" i="62"/>
  <c r="N171" i="39" s="1"/>
  <c r="V263" i="62"/>
  <c r="V148" i="39" s="1"/>
  <c r="M299" i="62"/>
  <c r="M171" i="39" s="1"/>
  <c r="S299" i="62"/>
  <c r="S171" i="39" s="1"/>
  <c r="W263" i="62"/>
  <c r="W148" i="39" s="1"/>
  <c r="L299" i="62"/>
  <c r="L171" i="39" s="1"/>
  <c r="R299" i="62"/>
  <c r="R171" i="39" s="1"/>
  <c r="O299" i="62"/>
  <c r="O171" i="39" s="1"/>
  <c r="AL109" i="48"/>
  <c r="P299" i="62"/>
  <c r="P171" i="39" s="1"/>
  <c r="X75" i="48"/>
  <c r="X109" s="1"/>
  <c r="L545" i="62"/>
  <c r="L328" i="39" s="1"/>
  <c r="L325"/>
  <c r="AS141" i="48"/>
  <c r="AS170" s="1"/>
  <c r="X141"/>
  <c r="AL180"/>
  <c r="AS180" s="1"/>
  <c r="W301" i="39"/>
  <c r="W506" i="62"/>
  <c r="W304" i="39" s="1"/>
  <c r="O8" i="82"/>
  <c r="O9" s="1"/>
  <c r="O12" s="1"/>
  <c r="AC167" i="20"/>
  <c r="I167" s="1"/>
  <c r="H175" s="1"/>
  <c r="I175" s="1"/>
  <c r="AC96"/>
  <c r="AC127"/>
  <c r="J77" i="48"/>
  <c r="AE75"/>
  <c r="AE77" s="1"/>
  <c r="AE94" s="1"/>
  <c r="S516" i="62"/>
  <c r="S309" i="39" s="1"/>
  <c r="P516" i="62"/>
  <c r="P309" i="39" s="1"/>
  <c r="M516" i="62"/>
  <c r="M309" i="39" s="1"/>
  <c r="V480" i="62"/>
  <c r="V286" i="39" s="1"/>
  <c r="T516" i="62"/>
  <c r="T309" i="39" s="1"/>
  <c r="Q516" i="62"/>
  <c r="Q309" i="39" s="1"/>
  <c r="N516" i="62"/>
  <c r="N309" i="39" s="1"/>
  <c r="W480" i="62"/>
  <c r="W286" i="39" s="1"/>
  <c r="U516" i="62"/>
  <c r="U309" i="39" s="1"/>
  <c r="R516" i="62"/>
  <c r="R309" i="39" s="1"/>
  <c r="O516" i="62"/>
  <c r="O309" i="39" s="1"/>
  <c r="L516" i="62"/>
  <c r="L309" i="39" s="1"/>
  <c r="J109" i="48"/>
  <c r="U482" i="62"/>
  <c r="U288" i="39" s="1"/>
  <c r="L518" i="62"/>
  <c r="L311" i="39" s="1"/>
  <c r="Q518" i="62"/>
  <c r="Q311" i="39" s="1"/>
  <c r="P482" i="62"/>
  <c r="P288" i="39" s="1"/>
  <c r="S482" i="62"/>
  <c r="S288" i="39" s="1"/>
  <c r="S518" i="62"/>
  <c r="S311" i="39" s="1"/>
  <c r="N518" i="62"/>
  <c r="N311" i="39" s="1"/>
  <c r="W482" i="62"/>
  <c r="W288" i="39" s="1"/>
  <c r="R482" i="62"/>
  <c r="R288" i="39" s="1"/>
  <c r="N482" i="62"/>
  <c r="N288" i="39" s="1"/>
  <c r="T518" i="62"/>
  <c r="T311" i="39" s="1"/>
  <c r="U518" i="62"/>
  <c r="U311" i="39" s="1"/>
  <c r="M482" i="62"/>
  <c r="M288" i="39" s="1"/>
  <c r="M518" i="62"/>
  <c r="M311" i="39" s="1"/>
  <c r="O482" i="62"/>
  <c r="O288" i="39" s="1"/>
  <c r="R518" i="62"/>
  <c r="R311" i="39" s="1"/>
  <c r="V482" i="62"/>
  <c r="V288" i="39" s="1"/>
  <c r="P518" i="62"/>
  <c r="P311" i="39" s="1"/>
  <c r="L482" i="62"/>
  <c r="L288" i="39" s="1"/>
  <c r="T482" i="62"/>
  <c r="T288" i="39" s="1"/>
  <c r="Q482" i="62"/>
  <c r="Q288" i="39" s="1"/>
  <c r="O518" i="62"/>
  <c r="O311" i="39" s="1"/>
  <c r="Q261" i="62"/>
  <c r="Q146" i="39" s="1"/>
  <c r="R297" i="62"/>
  <c r="R169" i="39" s="1"/>
  <c r="V261" i="62"/>
  <c r="V146" i="39" s="1"/>
  <c r="U261" i="62"/>
  <c r="U146" i="39" s="1"/>
  <c r="Q297" i="62"/>
  <c r="Q169" i="39" s="1"/>
  <c r="R261" i="62"/>
  <c r="R146" i="39" s="1"/>
  <c r="S261" i="62"/>
  <c r="S146" i="39" s="1"/>
  <c r="T297" i="62"/>
  <c r="T169" i="39" s="1"/>
  <c r="L297" i="62"/>
  <c r="L169" i="39" s="1"/>
  <c r="T261" i="62"/>
  <c r="T146" i="39" s="1"/>
  <c r="S297" i="62"/>
  <c r="S169" i="39" s="1"/>
  <c r="W261" i="62"/>
  <c r="W146" i="39" s="1"/>
  <c r="N261" i="62"/>
  <c r="N146" i="39" s="1"/>
  <c r="N297" i="62"/>
  <c r="N169" i="39" s="1"/>
  <c r="L261" i="62"/>
  <c r="L146" i="39" s="1"/>
  <c r="U297" i="62"/>
  <c r="U169" i="39" s="1"/>
  <c r="M297" i="62"/>
  <c r="M169" i="39" s="1"/>
  <c r="M261" i="62"/>
  <c r="M146" i="39" s="1"/>
  <c r="P297" i="62"/>
  <c r="P169" i="39" s="1"/>
  <c r="O261" i="62"/>
  <c r="O146" i="39" s="1"/>
  <c r="P261" i="62"/>
  <c r="P146" i="39" s="1"/>
  <c r="O297" i="62"/>
  <c r="O169" i="39" s="1"/>
  <c r="AJ27" i="18"/>
  <c r="S36" i="89"/>
  <c r="O15" i="82"/>
  <c r="AY16" i="20"/>
  <c r="BA17" s="1"/>
  <c r="K17" s="1"/>
  <c r="BB74" i="18"/>
  <c r="J121" i="89"/>
  <c r="J122" s="1"/>
  <c r="BA11" i="20"/>
  <c r="AY56"/>
  <c r="AY58"/>
  <c r="BB59" s="1"/>
  <c r="Q129" i="62"/>
  <c r="AF104" i="89"/>
  <c r="AZ53" i="20"/>
  <c r="AZ92" i="18"/>
  <c r="BA88"/>
  <c r="AG120" i="89"/>
  <c r="AG105"/>
  <c r="R130" i="62"/>
  <c r="R132" s="1"/>
  <c r="R134" s="1"/>
  <c r="R143" s="1"/>
  <c r="P73" i="39"/>
  <c r="P131" i="62"/>
  <c r="P133" s="1"/>
  <c r="P142" s="1"/>
  <c r="P76" i="39" s="1"/>
  <c r="AX66" i="20"/>
  <c r="AX65"/>
  <c r="AX120" s="1"/>
  <c r="M60" i="25"/>
  <c r="K28" i="20"/>
  <c r="BA33"/>
  <c r="BC34" s="1"/>
  <c r="AZ51"/>
  <c r="AZ70" s="1"/>
  <c r="AX69"/>
  <c r="AX93" s="1"/>
  <c r="O32" i="25"/>
  <c r="BC80" i="18"/>
  <c r="BB28" i="20"/>
  <c r="BB31" s="1"/>
  <c r="W110" i="89"/>
  <c r="BB36" i="20"/>
  <c r="BB39" s="1"/>
  <c r="BB41" s="1"/>
  <c r="BE42" s="1"/>
  <c r="BC82" i="18"/>
  <c r="X110" i="89"/>
  <c r="AI145" i="20"/>
  <c r="AH147"/>
  <c r="AY70"/>
  <c r="AF120" i="89"/>
  <c r="BA86" i="18"/>
  <c r="AZ45" i="20"/>
  <c r="AZ91" i="18"/>
  <c r="L62" i="25"/>
  <c r="BA39" i="20"/>
  <c r="M43" i="25" s="1"/>
  <c r="M44" s="1"/>
  <c r="K36" i="20"/>
  <c r="AW107"/>
  <c r="AW104"/>
  <c r="AW113"/>
  <c r="AW108"/>
  <c r="AW109"/>
  <c r="AW112"/>
  <c r="AW131"/>
  <c r="AW67"/>
  <c r="AW111"/>
  <c r="AW110"/>
  <c r="AY48"/>
  <c r="AY50"/>
  <c r="AY90"/>
  <c r="M83" i="25"/>
  <c r="P80"/>
  <c r="AW140" i="20"/>
  <c r="AW93"/>
  <c r="AW126" s="1"/>
  <c r="K31"/>
  <c r="AE63" i="89"/>
  <c r="O323" i="62"/>
  <c r="O332" s="1"/>
  <c r="S72" i="39"/>
  <c r="S139" i="62"/>
  <c r="S75" i="39" s="1"/>
  <c r="M188"/>
  <c r="M331" i="62"/>
  <c r="M191" i="39" s="1"/>
  <c r="AE39" i="89"/>
  <c r="AM35" i="18"/>
  <c r="P537" i="62"/>
  <c r="P546" s="1"/>
  <c r="T126"/>
  <c r="P540"/>
  <c r="P549" s="1"/>
  <c r="AE24" i="89"/>
  <c r="AE78"/>
  <c r="AL61" i="18"/>
  <c r="N322" i="62"/>
  <c r="AY116" i="20" l="1"/>
  <c r="T38" i="89"/>
  <c r="T24" s="1"/>
  <c r="AL29" i="18"/>
  <c r="T62" i="89"/>
  <c r="N320" i="62"/>
  <c r="N329" s="1"/>
  <c r="AK55" i="18"/>
  <c r="T77" i="89"/>
  <c r="AZ93" i="18"/>
  <c r="AN96" i="20"/>
  <c r="AN129" s="1"/>
  <c r="M73" i="25"/>
  <c r="M72" s="1"/>
  <c r="M74" s="1"/>
  <c r="P71"/>
  <c r="AZ64" i="20"/>
  <c r="AZ24"/>
  <c r="BC25" s="1"/>
  <c r="Q149" i="62"/>
  <c r="Q82" i="39" s="1"/>
  <c r="Q148" i="62"/>
  <c r="Q81" i="39" s="1"/>
  <c r="Q136" i="62"/>
  <c r="Q74" i="39" s="1"/>
  <c r="Q153" i="62"/>
  <c r="Q86" i="39" s="1"/>
  <c r="Q71"/>
  <c r="K121" i="89"/>
  <c r="K122" s="1"/>
  <c r="BB76" i="18"/>
  <c r="BA19" i="20"/>
  <c r="R123" i="62"/>
  <c r="J105" i="89"/>
  <c r="S124" i="62"/>
  <c r="S137" s="1"/>
  <c r="K106" i="89"/>
  <c r="J171" i="20"/>
  <c r="R169" i="48" s="1"/>
  <c r="R140"/>
  <c r="I13" i="76"/>
  <c r="AN127" i="20"/>
  <c r="I166"/>
  <c r="M548" i="62"/>
  <c r="M329" i="39" s="1"/>
  <c r="M326"/>
  <c r="AD22" i="89"/>
  <c r="N539" i="62"/>
  <c r="AK33" i="18"/>
  <c r="AD37" i="89"/>
  <c r="AD76"/>
  <c r="AD62" s="1"/>
  <c r="AJ59" i="18"/>
  <c r="X96" i="89"/>
  <c r="W96" s="1"/>
  <c r="V108"/>
  <c r="V90" s="1"/>
  <c r="U127" i="62"/>
  <c r="U140" s="1"/>
  <c r="Q167" i="48"/>
  <c r="O534" i="62"/>
  <c r="O543" s="1"/>
  <c r="X170" i="48"/>
  <c r="X180"/>
  <c r="M545" i="62"/>
  <c r="M328" i="39" s="1"/>
  <c r="M325"/>
  <c r="AS140" i="48"/>
  <c r="AS169" s="1"/>
  <c r="X140"/>
  <c r="W302" i="62"/>
  <c r="W174" i="39" s="1"/>
  <c r="W289" i="62"/>
  <c r="W166" i="39" s="1"/>
  <c r="W163"/>
  <c r="W306" i="62"/>
  <c r="W178" i="39" s="1"/>
  <c r="W301" i="62"/>
  <c r="W173" i="39" s="1"/>
  <c r="Z184" i="20"/>
  <c r="Z168" s="1"/>
  <c r="Z169" s="1"/>
  <c r="P24" i="81"/>
  <c r="L324" i="39"/>
  <c r="L542" i="62"/>
  <c r="L327" i="39" s="1"/>
  <c r="AE180" i="48"/>
  <c r="AC129" i="20"/>
  <c r="AC99"/>
  <c r="AL156" i="48"/>
  <c r="AL111"/>
  <c r="AS77"/>
  <c r="AS111" s="1"/>
  <c r="X77"/>
  <c r="AL94"/>
  <c r="I61" i="89"/>
  <c r="M317" i="62"/>
  <c r="M326" s="1"/>
  <c r="I76" i="89"/>
  <c r="AI65" i="18"/>
  <c r="AJ49"/>
  <c r="M319" i="62"/>
  <c r="S61" i="89"/>
  <c r="H25" i="66"/>
  <c r="H35" s="1"/>
  <c r="H41" s="1"/>
  <c r="Q179" i="48"/>
  <c r="AS179" s="1"/>
  <c r="I184" i="20"/>
  <c r="Q182" i="48" s="1"/>
  <c r="H31" i="94"/>
  <c r="T27" i="81"/>
  <c r="H75" i="89"/>
  <c r="AH64" i="18"/>
  <c r="AH66" s="1"/>
  <c r="AI47"/>
  <c r="AL178" i="20"/>
  <c r="AL184" s="1"/>
  <c r="AL132"/>
  <c r="S37" i="89"/>
  <c r="AK27" i="18"/>
  <c r="AJ53"/>
  <c r="S76" i="89"/>
  <c r="L187" i="39"/>
  <c r="L328" i="62"/>
  <c r="L190" i="39" s="1"/>
  <c r="I31" i="94"/>
  <c r="I25" i="66"/>
  <c r="I35" s="1"/>
  <c r="R179" i="48"/>
  <c r="J184" i="20"/>
  <c r="R182" i="48" s="1"/>
  <c r="AJ39" i="18"/>
  <c r="I37" i="89"/>
  <c r="I23" s="1"/>
  <c r="AK23" i="18"/>
  <c r="J156" i="48"/>
  <c r="J111"/>
  <c r="J94"/>
  <c r="AB129" i="20"/>
  <c r="AB99"/>
  <c r="AM178"/>
  <c r="AM184" s="1"/>
  <c r="AM132"/>
  <c r="S22" i="89"/>
  <c r="N536" i="62"/>
  <c r="L316"/>
  <c r="H60" i="89"/>
  <c r="AA132" i="20"/>
  <c r="AA178"/>
  <c r="H36" i="89"/>
  <c r="AJ21" i="18"/>
  <c r="AI38"/>
  <c r="AI40" s="1"/>
  <c r="M533" i="62"/>
  <c r="H21" i="89"/>
  <c r="AO96" i="20"/>
  <c r="AO127"/>
  <c r="AO167"/>
  <c r="J167" s="1"/>
  <c r="O18" i="82"/>
  <c r="BA14" i="20"/>
  <c r="K11"/>
  <c r="BB11"/>
  <c r="BB14" s="1"/>
  <c r="BB16" s="1"/>
  <c r="BD17" s="1"/>
  <c r="BC74" i="18"/>
  <c r="L110" i="89"/>
  <c r="S130" i="62"/>
  <c r="S132" s="1"/>
  <c r="S134" s="1"/>
  <c r="S143" s="1"/>
  <c r="AG106" i="89"/>
  <c r="AZ58" i="20"/>
  <c r="BC59" s="1"/>
  <c r="AZ56"/>
  <c r="BA53"/>
  <c r="K53" s="1"/>
  <c r="AG121" i="89"/>
  <c r="AG122" s="1"/>
  <c r="BA92" i="18"/>
  <c r="BB88"/>
  <c r="Q73" i="39"/>
  <c r="Q131" i="62"/>
  <c r="Q133" s="1"/>
  <c r="Q142" s="1"/>
  <c r="Q76" i="39" s="1"/>
  <c r="R129" i="62"/>
  <c r="AF105" i="89"/>
  <c r="AX140" i="20"/>
  <c r="AX171" s="1"/>
  <c r="O33" i="25"/>
  <c r="BC28" i="20"/>
  <c r="BC31" s="1"/>
  <c r="W111" i="89"/>
  <c r="BD80" i="18"/>
  <c r="K33" i="20"/>
  <c r="S28" i="48"/>
  <c r="AW181" i="20"/>
  <c r="AW171"/>
  <c r="BC36"/>
  <c r="BC39" s="1"/>
  <c r="BC41" s="1"/>
  <c r="BF42" s="1"/>
  <c r="BD82" i="18"/>
  <c r="X111" i="89"/>
  <c r="BB33" i="20"/>
  <c r="BD34" s="1"/>
  <c r="P32" i="25"/>
  <c r="AX113" i="20"/>
  <c r="AX112"/>
  <c r="AX67"/>
  <c r="AX110"/>
  <c r="AX131"/>
  <c r="AX109"/>
  <c r="AX111"/>
  <c r="AX107"/>
  <c r="AX104"/>
  <c r="AX108"/>
  <c r="AY65"/>
  <c r="AY120" s="1"/>
  <c r="M61" i="25"/>
  <c r="AY66" i="20"/>
  <c r="K39"/>
  <c r="S39" i="48" s="1"/>
  <c r="BA41" i="20"/>
  <c r="BD42" s="1"/>
  <c r="AF121" i="89"/>
  <c r="AF122" s="1"/>
  <c r="BB86" i="18"/>
  <c r="BA45" i="20"/>
  <c r="BA91" i="18"/>
  <c r="L63" i="25"/>
  <c r="M93" s="1"/>
  <c r="AX126" i="20"/>
  <c r="M81" i="25"/>
  <c r="M82"/>
  <c r="S31" i="48"/>
  <c r="BA51" i="20"/>
  <c r="AY69"/>
  <c r="S36" i="48"/>
  <c r="K41" i="20"/>
  <c r="S41" i="48" s="1"/>
  <c r="AZ48" i="20"/>
  <c r="AZ50"/>
  <c r="AZ90"/>
  <c r="AJ145"/>
  <c r="AI147"/>
  <c r="AY182"/>
  <c r="AE79" i="89"/>
  <c r="AM61" i="18"/>
  <c r="Q540" i="62"/>
  <c r="Q549" s="1"/>
  <c r="AE25" i="89"/>
  <c r="AE40"/>
  <c r="AN35" i="18"/>
  <c r="P323" i="62"/>
  <c r="P332" s="1"/>
  <c r="AE64" i="89"/>
  <c r="O322" i="62"/>
  <c r="U126"/>
  <c r="U108" i="89"/>
  <c r="U90" s="1"/>
  <c r="V127" i="62"/>
  <c r="V140" s="1"/>
  <c r="N188" i="39"/>
  <c r="N331" i="62"/>
  <c r="N191" i="39" s="1"/>
  <c r="T72"/>
  <c r="T139" i="62"/>
  <c r="T75" i="39" s="1"/>
  <c r="Q537" i="62"/>
  <c r="Q546" s="1"/>
  <c r="H60" i="66" l="1"/>
  <c r="AN99" i="20"/>
  <c r="AN132" s="1"/>
  <c r="AL55" i="18"/>
  <c r="T78" i="89"/>
  <c r="T39"/>
  <c r="T25" s="1"/>
  <c r="AM29" i="18"/>
  <c r="T63" i="89"/>
  <c r="O320" i="62"/>
  <c r="O329" s="1"/>
  <c r="R149"/>
  <c r="R82" i="39" s="1"/>
  <c r="R71"/>
  <c r="R153" i="62"/>
  <c r="R86" i="39" s="1"/>
  <c r="R136" i="62"/>
  <c r="R74" i="39" s="1"/>
  <c r="R148" i="62"/>
  <c r="R81" i="39" s="1"/>
  <c r="S123" i="62"/>
  <c r="J106" i="89"/>
  <c r="BB19" i="20"/>
  <c r="BB22" s="1"/>
  <c r="P12" i="25" s="1"/>
  <c r="BC76" i="18"/>
  <c r="O12" i="25"/>
  <c r="M110" i="89"/>
  <c r="AZ116" i="20"/>
  <c r="AZ80"/>
  <c r="AZ141" s="1"/>
  <c r="AZ182" s="1"/>
  <c r="T124" i="62"/>
  <c r="T137" s="1"/>
  <c r="K107" i="89"/>
  <c r="BA22" i="20"/>
  <c r="BA64" s="1"/>
  <c r="K19"/>
  <c r="AL33" i="18"/>
  <c r="AD38" i="89"/>
  <c r="AD23"/>
  <c r="O539" i="62"/>
  <c r="AD77" i="89"/>
  <c r="AD63" s="1"/>
  <c r="AK59" i="18"/>
  <c r="N548" i="62"/>
  <c r="N329" i="39" s="1"/>
  <c r="N326"/>
  <c r="X97" i="89"/>
  <c r="W97" s="1"/>
  <c r="M84" i="25"/>
  <c r="P534" i="62"/>
  <c r="P543" s="1"/>
  <c r="AO129" i="20"/>
  <c r="AO99"/>
  <c r="AJ38" i="18"/>
  <c r="AJ40" s="1"/>
  <c r="H37" i="89"/>
  <c r="AK21" i="18"/>
  <c r="M316" i="62"/>
  <c r="H61" i="89"/>
  <c r="J127" i="48"/>
  <c r="J96"/>
  <c r="J139"/>
  <c r="J155"/>
  <c r="I38" i="89"/>
  <c r="I24" s="1"/>
  <c r="AL23" i="18"/>
  <c r="AK39"/>
  <c r="M187" i="39"/>
  <c r="M328" i="62"/>
  <c r="M190" i="39" s="1"/>
  <c r="S23" i="89"/>
  <c r="O536" i="62"/>
  <c r="S38" i="89"/>
  <c r="AL27" i="18"/>
  <c r="AI64"/>
  <c r="AI66" s="1"/>
  <c r="H76" i="89"/>
  <c r="AJ47" i="18"/>
  <c r="S62" i="89"/>
  <c r="N319" i="62"/>
  <c r="X111" i="48"/>
  <c r="X94"/>
  <c r="X127" s="1"/>
  <c r="AC132" i="20"/>
  <c r="AC178"/>
  <c r="X169" i="48"/>
  <c r="X179"/>
  <c r="J166" i="20"/>
  <c r="R167" i="48"/>
  <c r="J175" i="20"/>
  <c r="M542" i="62"/>
  <c r="M327" i="39" s="1"/>
  <c r="M324"/>
  <c r="AA184" i="20"/>
  <c r="AA168" s="1"/>
  <c r="AA169" s="1"/>
  <c r="Q24" i="81"/>
  <c r="N545" i="62"/>
  <c r="N328" i="39" s="1"/>
  <c r="N325"/>
  <c r="AB178" i="20"/>
  <c r="AB132"/>
  <c r="S77" i="89"/>
  <c r="AK53" i="18"/>
  <c r="AS94" i="48"/>
  <c r="AS127" s="1"/>
  <c r="AL139"/>
  <c r="AL155"/>
  <c r="AL96"/>
  <c r="AL127"/>
  <c r="AE156"/>
  <c r="AE172" s="1"/>
  <c r="AS156"/>
  <c r="AS172" s="1"/>
  <c r="X156"/>
  <c r="X172" s="1"/>
  <c r="N533" i="62"/>
  <c r="H22" i="89"/>
  <c r="L338" i="62"/>
  <c r="L197" i="39" s="1"/>
  <c r="L325" i="62"/>
  <c r="L189" i="39" s="1"/>
  <c r="L186"/>
  <c r="L337" i="62"/>
  <c r="L196" i="39" s="1"/>
  <c r="L342" i="62"/>
  <c r="L201" i="39" s="1"/>
  <c r="I41" i="66"/>
  <c r="F25" i="86" s="1"/>
  <c r="I60" i="66"/>
  <c r="AK49" i="18"/>
  <c r="AJ65"/>
  <c r="I77" i="89"/>
  <c r="I62"/>
  <c r="N317" i="62"/>
  <c r="N326" s="1"/>
  <c r="H88" i="22"/>
  <c r="AX181" i="20"/>
  <c r="BA93" i="18"/>
  <c r="BA16" i="20"/>
  <c r="BC17" s="1"/>
  <c r="K14"/>
  <c r="S11" i="48"/>
  <c r="K16" i="20"/>
  <c r="S16" i="48" s="1"/>
  <c r="BC11" i="20"/>
  <c r="BC14" s="1"/>
  <c r="BC16" s="1"/>
  <c r="BE17" s="1"/>
  <c r="L111" i="89"/>
  <c r="BD74" i="18"/>
  <c r="AF106" i="89"/>
  <c r="S129" i="62"/>
  <c r="BB53" i="20"/>
  <c r="BB92" i="18"/>
  <c r="AI110" i="89"/>
  <c r="BC88" i="18"/>
  <c r="S53" i="48"/>
  <c r="K58" i="20"/>
  <c r="BA56"/>
  <c r="K56" s="1"/>
  <c r="S56" i="48" s="1"/>
  <c r="BA58" i="20"/>
  <c r="BD59" s="1"/>
  <c r="AG107" i="89"/>
  <c r="T130" i="62"/>
  <c r="T132" s="1"/>
  <c r="T134" s="1"/>
  <c r="T143" s="1"/>
  <c r="X78" i="28"/>
  <c r="X79" s="1"/>
  <c r="R73" i="39"/>
  <c r="R131" i="62"/>
  <c r="R133" s="1"/>
  <c r="R142" s="1"/>
  <c r="R76" i="39" s="1"/>
  <c r="AJ147" i="20"/>
  <c r="AK145"/>
  <c r="AZ65"/>
  <c r="AZ120" s="1"/>
  <c r="M62" i="25"/>
  <c r="AZ66" i="20"/>
  <c r="BA70"/>
  <c r="K51"/>
  <c r="K70" s="1"/>
  <c r="M92" i="25"/>
  <c r="P90"/>
  <c r="M91"/>
  <c r="BD36" i="20"/>
  <c r="BD39" s="1"/>
  <c r="BD41" s="1"/>
  <c r="BG42" s="1"/>
  <c r="X112" i="89"/>
  <c r="BE82" i="18"/>
  <c r="S33" i="48"/>
  <c r="P33" i="25"/>
  <c r="BC33" i="20"/>
  <c r="BE34" s="1"/>
  <c r="J12" i="26"/>
  <c r="BB51" i="20"/>
  <c r="AZ69"/>
  <c r="AY93"/>
  <c r="AY126" s="1"/>
  <c r="AY140"/>
  <c r="BC86" i="18"/>
  <c r="BB45" i="20"/>
  <c r="AH110" i="89"/>
  <c r="BB91" i="18"/>
  <c r="O52" i="25"/>
  <c r="AY107" i="20"/>
  <c r="AY131"/>
  <c r="AY104"/>
  <c r="AY111"/>
  <c r="AY67"/>
  <c r="AY110"/>
  <c r="AY112"/>
  <c r="AY109"/>
  <c r="AY113"/>
  <c r="AY108"/>
  <c r="BA48"/>
  <c r="BA50"/>
  <c r="K45"/>
  <c r="BA90"/>
  <c r="K90" s="1"/>
  <c r="BE80" i="18"/>
  <c r="BD28" i="20"/>
  <c r="BD31" s="1"/>
  <c r="W112" i="89"/>
  <c r="O34" i="25"/>
  <c r="R537" i="62"/>
  <c r="R546" s="1"/>
  <c r="V126"/>
  <c r="AE65" i="89"/>
  <c r="Q323" i="62"/>
  <c r="Q332" s="1"/>
  <c r="AE41" i="89"/>
  <c r="AO35" i="18"/>
  <c r="E25" i="86"/>
  <c r="U93" i="89"/>
  <c r="U91"/>
  <c r="P322" i="62"/>
  <c r="AE80" i="89"/>
  <c r="AN61" i="18"/>
  <c r="O188" i="39"/>
  <c r="O331" i="62"/>
  <c r="O191" i="39" s="1"/>
  <c r="U72"/>
  <c r="U139" i="62"/>
  <c r="U75" i="39" s="1"/>
  <c r="R540" i="62"/>
  <c r="R549" s="1"/>
  <c r="AE26" i="89"/>
  <c r="AN178" i="20" l="1"/>
  <c r="AN184" s="1"/>
  <c r="X98" i="89"/>
  <c r="L167" i="62" s="1"/>
  <c r="L180" s="1"/>
  <c r="M23" i="25"/>
  <c r="M24" s="1"/>
  <c r="P320" i="62"/>
  <c r="P329" s="1"/>
  <c r="T64" i="89"/>
  <c r="T79"/>
  <c r="AM55" i="18"/>
  <c r="T40" i="89"/>
  <c r="T26" s="1"/>
  <c r="AN29" i="18"/>
  <c r="BA80" i="20"/>
  <c r="BA141" s="1"/>
  <c r="BA182" s="1"/>
  <c r="BA116"/>
  <c r="K22"/>
  <c r="J11" i="26" s="1"/>
  <c r="BA24" i="20"/>
  <c r="BD25" s="1"/>
  <c r="M111" i="89"/>
  <c r="BD76" i="18"/>
  <c r="O13" i="25"/>
  <c r="BC19" i="20"/>
  <c r="BC22" s="1"/>
  <c r="S19" i="48"/>
  <c r="K24" i="20"/>
  <c r="S24" i="48" s="1"/>
  <c r="S153" i="62"/>
  <c r="S86" i="39" s="1"/>
  <c r="S149" i="62"/>
  <c r="S82" i="39" s="1"/>
  <c r="S148" i="62"/>
  <c r="S81" i="39" s="1"/>
  <c r="S136" i="62"/>
  <c r="S74" i="39" s="1"/>
  <c r="S71"/>
  <c r="J107" i="89"/>
  <c r="T123" i="62"/>
  <c r="K108" i="89"/>
  <c r="K90" s="1"/>
  <c r="M96"/>
  <c r="U124" i="62"/>
  <c r="U137" s="1"/>
  <c r="BB64" i="20"/>
  <c r="BB24"/>
  <c r="BE25" s="1"/>
  <c r="BB93" i="18"/>
  <c r="AM33"/>
  <c r="AD39" i="89"/>
  <c r="AL59" i="18"/>
  <c r="AD78" i="89"/>
  <c r="AD64" s="1"/>
  <c r="AD24"/>
  <c r="P539" i="62"/>
  <c r="O548"/>
  <c r="O329" i="39" s="1"/>
  <c r="O326"/>
  <c r="W127" i="62"/>
  <c r="W140" s="1"/>
  <c r="Q534"/>
  <c r="Q543" s="1"/>
  <c r="AL159" i="48"/>
  <c r="AS159" s="1"/>
  <c r="X155"/>
  <c r="AS155"/>
  <c r="AS171" s="1"/>
  <c r="AL181"/>
  <c r="AS181" s="1"/>
  <c r="H77" i="89"/>
  <c r="AK47" i="18"/>
  <c r="AJ64"/>
  <c r="AJ66" s="1"/>
  <c r="J181" i="48"/>
  <c r="AE181" s="1"/>
  <c r="J159"/>
  <c r="AE155"/>
  <c r="AE171" s="1"/>
  <c r="N316" i="62"/>
  <c r="H62" i="89"/>
  <c r="H71" i="77"/>
  <c r="G5" i="36"/>
  <c r="AL99" i="48"/>
  <c r="AL129"/>
  <c r="AS96"/>
  <c r="AS129" s="1"/>
  <c r="X96"/>
  <c r="AL53" i="18"/>
  <c r="S78" i="89"/>
  <c r="O319" i="62"/>
  <c r="S63" i="89"/>
  <c r="AM27" i="18"/>
  <c r="S39" i="89"/>
  <c r="O317" i="62"/>
  <c r="O326" s="1"/>
  <c r="I63" i="89"/>
  <c r="N542" i="62"/>
  <c r="N327" i="39" s="1"/>
  <c r="N324"/>
  <c r="AB184" i="20"/>
  <c r="R24" i="81"/>
  <c r="S24"/>
  <c r="AC184" i="20"/>
  <c r="N328" i="62"/>
  <c r="N190" i="39" s="1"/>
  <c r="N187"/>
  <c r="S24" i="89"/>
  <c r="P536" i="62"/>
  <c r="AM23" i="18"/>
  <c r="I39" i="89"/>
  <c r="I25" s="1"/>
  <c r="AL39" i="18"/>
  <c r="AE96" i="48"/>
  <c r="J99"/>
  <c r="J129"/>
  <c r="G54" i="77"/>
  <c r="H5" i="36"/>
  <c r="H38" i="89"/>
  <c r="AL21" i="18"/>
  <c r="AK38"/>
  <c r="AK40" s="1"/>
  <c r="AL49"/>
  <c r="I78" i="89"/>
  <c r="AK65" i="18"/>
  <c r="H23" i="89"/>
  <c r="O533" i="62"/>
  <c r="AL143" i="48"/>
  <c r="AL151" s="1"/>
  <c r="AL191"/>
  <c r="AL192" s="1"/>
  <c r="AM190" s="1"/>
  <c r="O325" i="39"/>
  <c r="O545" i="62"/>
  <c r="O328" i="39" s="1"/>
  <c r="J191" i="48"/>
  <c r="J143"/>
  <c r="AE139"/>
  <c r="M325" i="62"/>
  <c r="M189" i="39" s="1"/>
  <c r="M338" i="62"/>
  <c r="M197" i="39" s="1"/>
  <c r="M337" i="62"/>
  <c r="M196" i="39" s="1"/>
  <c r="M186"/>
  <c r="M342" i="62"/>
  <c r="M201" i="39" s="1"/>
  <c r="AO132" i="20"/>
  <c r="AO178"/>
  <c r="AO184" s="1"/>
  <c r="S14" i="48"/>
  <c r="BE74" i="18"/>
  <c r="BD11" i="20"/>
  <c r="BD14" s="1"/>
  <c r="BD16" s="1"/>
  <c r="BF17" s="1"/>
  <c r="L112" i="89"/>
  <c r="AF107"/>
  <c r="T129" i="62"/>
  <c r="BC53" i="20"/>
  <c r="BD88" i="18"/>
  <c r="BC92"/>
  <c r="AI111" i="89"/>
  <c r="S131" i="62"/>
  <c r="S133" s="1"/>
  <c r="S142" s="1"/>
  <c r="S76" i="39" s="1"/>
  <c r="S73"/>
  <c r="AG108" i="89"/>
  <c r="AG90" s="1"/>
  <c r="U130" i="62"/>
  <c r="U132" s="1"/>
  <c r="U134" s="1"/>
  <c r="U143" s="1"/>
  <c r="AI96" i="89"/>
  <c r="BB56" i="20"/>
  <c r="BB58"/>
  <c r="BE59" s="1"/>
  <c r="S58" i="48"/>
  <c r="AZ104" i="20"/>
  <c r="AZ67"/>
  <c r="AZ108"/>
  <c r="AZ107"/>
  <c r="AZ109"/>
  <c r="AZ111"/>
  <c r="AZ110"/>
  <c r="AZ131"/>
  <c r="AZ113"/>
  <c r="AZ112"/>
  <c r="K48"/>
  <c r="BA66"/>
  <c r="BA65"/>
  <c r="M63" i="25"/>
  <c r="M64" s="1"/>
  <c r="AK147" i="20"/>
  <c r="AL145"/>
  <c r="R156" i="62"/>
  <c r="R89" i="39" s="1"/>
  <c r="W116" i="62"/>
  <c r="W66" i="39" s="1"/>
  <c r="M156" i="62"/>
  <c r="M89" i="39" s="1"/>
  <c r="N156" i="62"/>
  <c r="N89" i="39" s="1"/>
  <c r="O156" i="62"/>
  <c r="O89" i="39" s="1"/>
  <c r="S156" i="62"/>
  <c r="S89" i="39" s="1"/>
  <c r="V116" i="62"/>
  <c r="V66" i="39" s="1"/>
  <c r="Q156" i="62"/>
  <c r="Q89" i="39" s="1"/>
  <c r="U156" i="62"/>
  <c r="U89" i="39" s="1"/>
  <c r="T156" i="62"/>
  <c r="T89" i="39" s="1"/>
  <c r="S90" i="48"/>
  <c r="L156" i="62"/>
  <c r="L89" i="39" s="1"/>
  <c r="P156" i="62"/>
  <c r="P89" i="39" s="1"/>
  <c r="BB48" i="20"/>
  <c r="BB50"/>
  <c r="BB90"/>
  <c r="AZ93"/>
  <c r="AZ126" s="1"/>
  <c r="AZ140"/>
  <c r="AZ171" s="1"/>
  <c r="O35" i="25"/>
  <c r="BE28" i="20"/>
  <c r="BE31" s="1"/>
  <c r="W113" i="89"/>
  <c r="BF80" i="18"/>
  <c r="BC51" i="20"/>
  <c r="BC70" s="1"/>
  <c r="AY181"/>
  <c r="AY171"/>
  <c r="BE36"/>
  <c r="BE39" s="1"/>
  <c r="BE41" s="1"/>
  <c r="BH42" s="1"/>
  <c r="X113" i="89"/>
  <c r="BF82" i="18"/>
  <c r="P34" i="25"/>
  <c r="BD33" i="20"/>
  <c r="BF34" s="1"/>
  <c r="S45" i="48"/>
  <c r="K50" i="20"/>
  <c r="K253"/>
  <c r="K89"/>
  <c r="K91"/>
  <c r="AH111" i="89"/>
  <c r="BD86" i="18"/>
  <c r="BC45" i="20"/>
  <c r="O53" i="25"/>
  <c r="BC91" i="18"/>
  <c r="BB70" i="20"/>
  <c r="M94" i="25"/>
  <c r="AE81" i="89"/>
  <c r="AO61" i="18"/>
  <c r="AE42" i="89"/>
  <c r="AE43" s="1"/>
  <c r="AP35" i="18"/>
  <c r="K53" i="48"/>
  <c r="W98" i="89"/>
  <c r="W126" i="62"/>
  <c r="P188" i="39"/>
  <c r="P331" i="62"/>
  <c r="P191" i="39" s="1"/>
  <c r="R323" i="62"/>
  <c r="R332" s="1"/>
  <c r="AE66" i="89"/>
  <c r="V72" i="39"/>
  <c r="V139" i="62"/>
  <c r="V75" i="39" s="1"/>
  <c r="S537" i="62"/>
  <c r="S546" s="1"/>
  <c r="S540"/>
  <c r="S549" s="1"/>
  <c r="AE27" i="89"/>
  <c r="Q322" i="62"/>
  <c r="X99" i="89" l="1"/>
  <c r="W99" s="1"/>
  <c r="H87" i="22"/>
  <c r="X55" i="28"/>
  <c r="X57" s="1"/>
  <c r="K141" i="20"/>
  <c r="K182" s="1"/>
  <c r="BA69"/>
  <c r="BA93" s="1"/>
  <c r="BA126" s="1"/>
  <c r="T41" i="89"/>
  <c r="T27" s="1"/>
  <c r="AO29" i="18"/>
  <c r="T65" i="89"/>
  <c r="Q320" i="62"/>
  <c r="Q329" s="1"/>
  <c r="AN55" i="18"/>
  <c r="T80" i="89"/>
  <c r="H94" i="22"/>
  <c r="V124" i="62"/>
  <c r="V137" s="1"/>
  <c r="M97" i="89"/>
  <c r="S22" i="48"/>
  <c r="S64" s="1"/>
  <c r="S116" s="1"/>
  <c r="K64" i="20"/>
  <c r="J108" i="89"/>
  <c r="J90" s="1"/>
  <c r="L96"/>
  <c r="U123" i="62"/>
  <c r="P13" i="25"/>
  <c r="BC24" i="20"/>
  <c r="BF25" s="1"/>
  <c r="BC64"/>
  <c r="BB80"/>
  <c r="BB141" s="1"/>
  <c r="BB182" s="1"/>
  <c r="BB116"/>
  <c r="T153" i="62"/>
  <c r="T86" i="39" s="1"/>
  <c r="T149" i="62"/>
  <c r="T82" i="39" s="1"/>
  <c r="T148" i="62"/>
  <c r="T81" i="39" s="1"/>
  <c r="T136" i="62"/>
  <c r="T74" i="39" s="1"/>
  <c r="T71"/>
  <c r="O14" i="25"/>
  <c r="BE76" i="18"/>
  <c r="O15" i="25" s="1"/>
  <c r="BD19" i="20"/>
  <c r="BD22" s="1"/>
  <c r="M112" i="89"/>
  <c r="AD25"/>
  <c r="Q539" i="62"/>
  <c r="AN33" i="18"/>
  <c r="AD40" i="89"/>
  <c r="P548" i="62"/>
  <c r="P329" i="39" s="1"/>
  <c r="P326"/>
  <c r="AD79" i="89"/>
  <c r="AD65" s="1"/>
  <c r="AM59" i="18"/>
  <c r="AE159" i="48"/>
  <c r="R534" i="62"/>
  <c r="R543" s="1"/>
  <c r="P533"/>
  <c r="H24" i="89"/>
  <c r="S25"/>
  <c r="Q536" i="62"/>
  <c r="AN27" i="18"/>
  <c r="S40" i="89"/>
  <c r="S79"/>
  <c r="AM53" i="18"/>
  <c r="AS99" i="48"/>
  <c r="AS132" s="1"/>
  <c r="AL176"/>
  <c r="AL132"/>
  <c r="N338" i="62"/>
  <c r="N197" i="39" s="1"/>
  <c r="N186"/>
  <c r="N342" i="62"/>
  <c r="N201" i="39" s="1"/>
  <c r="N337" i="62"/>
  <c r="N196" i="39" s="1"/>
  <c r="N325" i="62"/>
  <c r="N189" i="39" s="1"/>
  <c r="O542" i="62"/>
  <c r="O327" i="39" s="1"/>
  <c r="O324"/>
  <c r="AL65" i="18"/>
  <c r="AM49"/>
  <c r="I79" i="89"/>
  <c r="G67" i="77"/>
  <c r="AE99" i="48"/>
  <c r="P545" i="62"/>
  <c r="P328" i="39" s="1"/>
  <c r="P325"/>
  <c r="O316" i="62"/>
  <c r="H63" i="89"/>
  <c r="J192" i="48"/>
  <c r="AE191"/>
  <c r="J176"/>
  <c r="J132"/>
  <c r="AN23" i="18"/>
  <c r="I40" i="89"/>
  <c r="I26" s="1"/>
  <c r="AM39" i="18"/>
  <c r="AB168" i="20"/>
  <c r="AB169" s="1"/>
  <c r="AO168"/>
  <c r="AM168"/>
  <c r="AM169" s="1"/>
  <c r="AD168"/>
  <c r="AD169" s="1"/>
  <c r="AG168"/>
  <c r="AG169" s="1"/>
  <c r="AL168"/>
  <c r="AL169" s="1"/>
  <c r="AH168"/>
  <c r="AH169" s="1"/>
  <c r="AJ168"/>
  <c r="AJ169" s="1"/>
  <c r="AN168"/>
  <c r="AN169" s="1"/>
  <c r="AE168"/>
  <c r="AE169" s="1"/>
  <c r="AI168"/>
  <c r="AI169" s="1"/>
  <c r="AF168"/>
  <c r="AF169" s="1"/>
  <c r="AC168"/>
  <c r="AK168"/>
  <c r="AK169" s="1"/>
  <c r="O328" i="62"/>
  <c r="O190" i="39" s="1"/>
  <c r="O187"/>
  <c r="J151" i="48"/>
  <c r="AE151" s="1"/>
  <c r="AE143"/>
  <c r="AL38" i="18"/>
  <c r="AL40" s="1"/>
  <c r="AM21"/>
  <c r="H39" i="89"/>
  <c r="I64"/>
  <c r="P317" i="62"/>
  <c r="P326" s="1"/>
  <c r="S64" i="89"/>
  <c r="P319" i="62"/>
  <c r="X99" i="48"/>
  <c r="G63" i="77"/>
  <c r="X129" i="48"/>
  <c r="X249"/>
  <c r="H78" i="89"/>
  <c r="AK64" i="18"/>
  <c r="AK66" s="1"/>
  <c r="AL47"/>
  <c r="X171" i="48"/>
  <c r="X181"/>
  <c r="X159"/>
  <c r="BC93" i="18"/>
  <c r="BE11" i="20"/>
  <c r="BE14" s="1"/>
  <c r="BE16" s="1"/>
  <c r="BG17" s="1"/>
  <c r="L113" i="89"/>
  <c r="BF74" i="18"/>
  <c r="AF108" i="89"/>
  <c r="AF90" s="1"/>
  <c r="U129" i="62"/>
  <c r="AH96" i="89"/>
  <c r="T131" i="62"/>
  <c r="T133" s="1"/>
  <c r="T142" s="1"/>
  <c r="T76" i="39" s="1"/>
  <c r="T73"/>
  <c r="V130" i="62"/>
  <c r="V132" s="1"/>
  <c r="V134" s="1"/>
  <c r="V143" s="1"/>
  <c r="AI97" i="89"/>
  <c r="BC58" i="20"/>
  <c r="BF59" s="1"/>
  <c r="BC56"/>
  <c r="BD92" i="18"/>
  <c r="AI112" i="89"/>
  <c r="BE88" i="18"/>
  <c r="BD53" i="20"/>
  <c r="AT91"/>
  <c r="AT124" s="1"/>
  <c r="U157" i="62"/>
  <c r="U90" i="39" s="1"/>
  <c r="P157" i="62"/>
  <c r="P90" i="39" s="1"/>
  <c r="N157" i="62"/>
  <c r="N90" i="39" s="1"/>
  <c r="AP91" i="20"/>
  <c r="AP124" s="1"/>
  <c r="AU91"/>
  <c r="AU124" s="1"/>
  <c r="V117" i="62"/>
  <c r="V67" i="39" s="1"/>
  <c r="R157" i="62"/>
  <c r="R90" i="39" s="1"/>
  <c r="Q157" i="62"/>
  <c r="Q90" i="39" s="1"/>
  <c r="T157" i="62"/>
  <c r="T90" i="39" s="1"/>
  <c r="AX91" i="20"/>
  <c r="AX124" s="1"/>
  <c r="O157" i="62"/>
  <c r="O90" i="39" s="1"/>
  <c r="AY91" i="20"/>
  <c r="AY124" s="1"/>
  <c r="AS91"/>
  <c r="AS124" s="1"/>
  <c r="AR91"/>
  <c r="AR124" s="1"/>
  <c r="BA91"/>
  <c r="BA124" s="1"/>
  <c r="S91" i="48"/>
  <c r="M157" i="62"/>
  <c r="M90" i="39" s="1"/>
  <c r="AZ91" i="20"/>
  <c r="AZ124" s="1"/>
  <c r="AW91"/>
  <c r="AW124" s="1"/>
  <c r="W117" i="62"/>
  <c r="W67" i="39" s="1"/>
  <c r="S157" i="62"/>
  <c r="S90" i="39" s="1"/>
  <c r="AQ91" i="20"/>
  <c r="AQ124" s="1"/>
  <c r="AV91"/>
  <c r="AV124" s="1"/>
  <c r="L157" i="62"/>
  <c r="L90" i="39" s="1"/>
  <c r="BB66" i="20"/>
  <c r="BB65"/>
  <c r="BB120" s="1"/>
  <c r="P52" i="25"/>
  <c r="BC48" i="20"/>
  <c r="BC50"/>
  <c r="BC90"/>
  <c r="AY89"/>
  <c r="AY123" s="1"/>
  <c r="AU89"/>
  <c r="AU123" s="1"/>
  <c r="AP89"/>
  <c r="AP123" s="1"/>
  <c r="AS89"/>
  <c r="AS123" s="1"/>
  <c r="P155" i="62"/>
  <c r="P88" i="39" s="1"/>
  <c r="O155" i="62"/>
  <c r="O88" i="39" s="1"/>
  <c r="AR89" i="20"/>
  <c r="AR123" s="1"/>
  <c r="AX89"/>
  <c r="AX123" s="1"/>
  <c r="N155" i="62"/>
  <c r="N88" i="39" s="1"/>
  <c r="AV89" i="20"/>
  <c r="AV123" s="1"/>
  <c r="L155" i="62"/>
  <c r="L88" i="39" s="1"/>
  <c r="T155" i="62"/>
  <c r="T88" i="39" s="1"/>
  <c r="AT89" i="20"/>
  <c r="AT123" s="1"/>
  <c r="S89" i="48"/>
  <c r="U155" i="62"/>
  <c r="U88" i="39" s="1"/>
  <c r="Q155" i="62"/>
  <c r="Q88" i="39" s="1"/>
  <c r="M155" i="62"/>
  <c r="M88" i="39" s="1"/>
  <c r="S155" i="62"/>
  <c r="S88" i="39" s="1"/>
  <c r="R155" i="62"/>
  <c r="R88" i="39" s="1"/>
  <c r="BA89" i="20"/>
  <c r="BA123" s="1"/>
  <c r="AQ89"/>
  <c r="AQ123" s="1"/>
  <c r="W115" i="62"/>
  <c r="W65" i="39" s="1"/>
  <c r="AZ89" i="20"/>
  <c r="AZ123" s="1"/>
  <c r="AW89"/>
  <c r="AW123" s="1"/>
  <c r="V115" i="62"/>
  <c r="V65" i="39" s="1"/>
  <c r="X114" i="89"/>
  <c r="BG82" i="18"/>
  <c r="BF36" i="20"/>
  <c r="BF39" s="1"/>
  <c r="BF41" s="1"/>
  <c r="BI42" s="1"/>
  <c r="BE33"/>
  <c r="BG34" s="1"/>
  <c r="P35" i="25"/>
  <c r="S48" i="48"/>
  <c r="S65" s="1"/>
  <c r="H89" i="22"/>
  <c r="K66" i="20"/>
  <c r="J13" i="26"/>
  <c r="J14" s="1"/>
  <c r="X100" i="28"/>
  <c r="K65" i="20"/>
  <c r="AZ181"/>
  <c r="BA107"/>
  <c r="BA113"/>
  <c r="BA109"/>
  <c r="BA108"/>
  <c r="BA131"/>
  <c r="BA112"/>
  <c r="BA111"/>
  <c r="BA110"/>
  <c r="S50" i="48"/>
  <c r="K69" i="20"/>
  <c r="H93" i="22"/>
  <c r="O36" i="25"/>
  <c r="BG80" i="18"/>
  <c r="W114" i="89"/>
  <c r="BF28" i="20"/>
  <c r="BF31" s="1"/>
  <c r="BD51"/>
  <c r="BB69"/>
  <c r="BA120"/>
  <c r="AH112" i="89"/>
  <c r="BE86" i="18"/>
  <c r="BD45" i="20"/>
  <c r="O54" i="25"/>
  <c r="BD91" i="18"/>
  <c r="K254" i="20"/>
  <c r="S204" i="48"/>
  <c r="S205" s="1"/>
  <c r="AM145" i="20"/>
  <c r="AL147"/>
  <c r="R322" i="62"/>
  <c r="W72" i="39"/>
  <c r="W139" i="62"/>
  <c r="W75" i="39" s="1"/>
  <c r="T540" i="62"/>
  <c r="T549" s="1"/>
  <c r="AE28" i="89"/>
  <c r="AG31"/>
  <c r="AQ35" i="18"/>
  <c r="T537" i="62"/>
  <c r="T546" s="1"/>
  <c r="Q188" i="39"/>
  <c r="Q331" i="62"/>
  <c r="Q191" i="39" s="1"/>
  <c r="S323" i="62"/>
  <c r="S332" s="1"/>
  <c r="AE67" i="89"/>
  <c r="L166" i="62"/>
  <c r="K58" i="48"/>
  <c r="K56"/>
  <c r="AE82" i="89"/>
  <c r="AE83" s="1"/>
  <c r="AP61" i="18"/>
  <c r="AM53" i="48"/>
  <c r="AF53" s="1"/>
  <c r="AF58" s="1"/>
  <c r="M167" i="62" l="1"/>
  <c r="M180" s="1"/>
  <c r="X100" i="89"/>
  <c r="W100" s="1"/>
  <c r="X56" i="28"/>
  <c r="J14" i="76"/>
  <c r="H90" i="22"/>
  <c r="S141" i="48"/>
  <c r="BA140" i="20"/>
  <c r="BA171" s="1"/>
  <c r="BA104"/>
  <c r="BA67"/>
  <c r="AO55" i="18"/>
  <c r="T81" i="89"/>
  <c r="AP29" i="18"/>
  <c r="T42" i="89"/>
  <c r="K36" i="48"/>
  <c r="R320" i="62"/>
  <c r="R329" s="1"/>
  <c r="T66" i="89"/>
  <c r="BD93" i="18"/>
  <c r="M113" i="89"/>
  <c r="BE19" i="20"/>
  <c r="BE22" s="1"/>
  <c r="BF76" i="18"/>
  <c r="J93" i="89"/>
  <c r="J91"/>
  <c r="P14" i="25"/>
  <c r="BD64" i="20"/>
  <c r="BD24"/>
  <c r="BG25" s="1"/>
  <c r="BC80"/>
  <c r="BC141" s="1"/>
  <c r="BC182" s="1"/>
  <c r="BC116"/>
  <c r="V123" i="62"/>
  <c r="L97" i="89"/>
  <c r="W124" i="62"/>
  <c r="W137" s="1"/>
  <c r="M98" i="89"/>
  <c r="U148" i="62"/>
  <c r="U81" i="39" s="1"/>
  <c r="U153" i="62"/>
  <c r="U86" i="39" s="1"/>
  <c r="U149" i="62"/>
  <c r="U82" i="39" s="1"/>
  <c r="U71"/>
  <c r="U136" i="62"/>
  <c r="U74" i="39" s="1"/>
  <c r="K227" i="20"/>
  <c r="K226"/>
  <c r="K80"/>
  <c r="K84"/>
  <c r="K83"/>
  <c r="R539" i="62"/>
  <c r="AD26" i="89"/>
  <c r="Q326" i="39"/>
  <c r="Q548" i="62"/>
  <c r="Q329" i="39" s="1"/>
  <c r="AD41" i="89"/>
  <c r="AO33" i="18"/>
  <c r="AN59"/>
  <c r="AD80" i="89"/>
  <c r="AD66" s="1"/>
  <c r="S534" i="62"/>
  <c r="S543" s="1"/>
  <c r="P328"/>
  <c r="P190" i="39" s="1"/>
  <c r="P187"/>
  <c r="AC169" i="20"/>
  <c r="I168"/>
  <c r="Q168" i="48" s="1"/>
  <c r="H64" i="89"/>
  <c r="P316" i="62"/>
  <c r="R536"/>
  <c r="S26" i="89"/>
  <c r="X176" i="48"/>
  <c r="X182" s="1"/>
  <c r="X132"/>
  <c r="Q317" i="62"/>
  <c r="Q326" s="1"/>
  <c r="I65" i="89"/>
  <c r="AO169" i="20"/>
  <c r="J168"/>
  <c r="R168" i="48" s="1"/>
  <c r="AN39" i="18"/>
  <c r="AO23"/>
  <c r="K19" i="48" s="1"/>
  <c r="I41" i="89"/>
  <c r="I27" s="1"/>
  <c r="AE192" i="48"/>
  <c r="K190"/>
  <c r="AF190" s="1"/>
  <c r="AN49" i="18"/>
  <c r="AM65"/>
  <c r="I80" i="89"/>
  <c r="AN53" i="18"/>
  <c r="S80" i="89"/>
  <c r="Q545" i="62"/>
  <c r="Q328" i="39" s="1"/>
  <c r="Q325"/>
  <c r="AO27" i="18"/>
  <c r="S41" i="89"/>
  <c r="P542" i="62"/>
  <c r="P327" i="39" s="1"/>
  <c r="P324"/>
  <c r="H79" i="89"/>
  <c r="AM47" i="18"/>
  <c r="AL64"/>
  <c r="AL66" s="1"/>
  <c r="S65" i="89"/>
  <c r="Q319" i="62"/>
  <c r="AN21" i="18"/>
  <c r="AM38"/>
  <c r="AM40" s="1"/>
  <c r="H40" i="89"/>
  <c r="J182" i="48"/>
  <c r="AE176"/>
  <c r="O338" i="62"/>
  <c r="O197" i="39" s="1"/>
  <c r="O186"/>
  <c r="O342" i="62"/>
  <c r="O201" i="39" s="1"/>
  <c r="O325" i="62"/>
  <c r="O189" i="39" s="1"/>
  <c r="O337" i="62"/>
  <c r="O196" i="39" s="1"/>
  <c r="AS176" i="48"/>
  <c r="AL182"/>
  <c r="Q533" i="62"/>
  <c r="H25" i="89"/>
  <c r="J32" i="94"/>
  <c r="J26" i="66"/>
  <c r="S180" i="48"/>
  <c r="BF11" i="20"/>
  <c r="BF14" s="1"/>
  <c r="BF16" s="1"/>
  <c r="BH17" s="1"/>
  <c r="BG74" i="18"/>
  <c r="L114" i="89"/>
  <c r="BD58" i="20"/>
  <c r="BG59" s="1"/>
  <c r="BD56"/>
  <c r="AF91" i="89"/>
  <c r="AF93"/>
  <c r="U73" i="39"/>
  <c r="U131" i="62"/>
  <c r="U133" s="1"/>
  <c r="U142" s="1"/>
  <c r="U76" i="39" s="1"/>
  <c r="W130" i="62"/>
  <c r="W132" s="1"/>
  <c r="W134" s="1"/>
  <c r="W143" s="1"/>
  <c r="AI98" i="89"/>
  <c r="V129" i="62"/>
  <c r="AH97" i="89"/>
  <c r="BE92" i="18"/>
  <c r="BE53" i="20"/>
  <c r="BF88" i="18"/>
  <c r="AI113" i="89"/>
  <c r="AN145" i="20"/>
  <c r="AM147"/>
  <c r="S124" i="48"/>
  <c r="S123"/>
  <c r="S120"/>
  <c r="P36" i="25"/>
  <c r="BF33" i="20"/>
  <c r="BH34" s="1"/>
  <c r="K228"/>
  <c r="K229"/>
  <c r="K88"/>
  <c r="K122" s="1"/>
  <c r="BC66"/>
  <c r="P53" i="25"/>
  <c r="BC65" i="20"/>
  <c r="BC120" s="1"/>
  <c r="Q85" i="22"/>
  <c r="H95"/>
  <c r="S69" i="48"/>
  <c r="I57" i="77" s="1"/>
  <c r="K93" i="20"/>
  <c r="K126" s="1"/>
  <c r="J17" i="26"/>
  <c r="J37" s="1"/>
  <c r="J26" i="94" s="1"/>
  <c r="X101" i="28"/>
  <c r="X122"/>
  <c r="Z225" i="48"/>
  <c r="K320" i="20"/>
  <c r="K325" s="1"/>
  <c r="K276" s="1"/>
  <c r="K279" s="1"/>
  <c r="M320"/>
  <c r="K186"/>
  <c r="K259"/>
  <c r="K264" s="1"/>
  <c r="K266" s="1"/>
  <c r="K97" s="1"/>
  <c r="K271"/>
  <c r="L320"/>
  <c r="BE45"/>
  <c r="AH113" i="89"/>
  <c r="BF86" i="18"/>
  <c r="BE91"/>
  <c r="O55" i="25"/>
  <c r="K107" i="20"/>
  <c r="K109"/>
  <c r="K120"/>
  <c r="S66" i="48"/>
  <c r="K123" i="20"/>
  <c r="K104"/>
  <c r="K111"/>
  <c r="K108"/>
  <c r="K116"/>
  <c r="K67"/>
  <c r="K131"/>
  <c r="X136" i="28"/>
  <c r="K113" i="20"/>
  <c r="K110"/>
  <c r="Q83" i="22"/>
  <c r="K112" i="20"/>
  <c r="K124"/>
  <c r="BG36"/>
  <c r="BG39" s="1"/>
  <c r="BG41" s="1"/>
  <c r="BJ42" s="1"/>
  <c r="BH82" i="18"/>
  <c r="X115" i="89"/>
  <c r="BE51" i="20"/>
  <c r="BE70" s="1"/>
  <c r="BC69"/>
  <c r="BC93" s="1"/>
  <c r="BB108"/>
  <c r="BB109"/>
  <c r="BB112"/>
  <c r="BB131"/>
  <c r="BB113"/>
  <c r="BB110"/>
  <c r="BB111"/>
  <c r="BB107"/>
  <c r="BB67"/>
  <c r="BB104"/>
  <c r="BB140"/>
  <c r="BB171" s="1"/>
  <c r="BB93"/>
  <c r="BB126" s="1"/>
  <c r="BD48"/>
  <c r="BD50"/>
  <c r="BD90"/>
  <c r="BD70"/>
  <c r="BG28"/>
  <c r="BG31" s="1"/>
  <c r="O37" i="25"/>
  <c r="W115" i="89"/>
  <c r="BH80" i="18"/>
  <c r="J15" i="26"/>
  <c r="J24" i="94"/>
  <c r="J21"/>
  <c r="J22" s="1"/>
  <c r="L95" i="39"/>
  <c r="L179" i="62"/>
  <c r="L98" i="39" s="1"/>
  <c r="U540" i="62"/>
  <c r="U549" s="1"/>
  <c r="AG17" i="89"/>
  <c r="AE29"/>
  <c r="AE11" s="1"/>
  <c r="AG71"/>
  <c r="AQ61" i="18"/>
  <c r="M166" i="62"/>
  <c r="AG32" i="89"/>
  <c r="AR35" i="18"/>
  <c r="S322" i="62"/>
  <c r="AM58" i="48"/>
  <c r="AM56"/>
  <c r="AT53"/>
  <c r="Y53"/>
  <c r="T323" i="62"/>
  <c r="T332" s="1"/>
  <c r="AE68" i="89"/>
  <c r="R188" i="39"/>
  <c r="R331" i="62"/>
  <c r="R191" i="39" s="1"/>
  <c r="N167" i="62" l="1"/>
  <c r="N180" s="1"/>
  <c r="X101" i="89"/>
  <c r="W101" s="1"/>
  <c r="K140" i="20"/>
  <c r="K171" s="1"/>
  <c r="S169" i="48" s="1"/>
  <c r="BA181" i="20"/>
  <c r="K41" i="48"/>
  <c r="K39"/>
  <c r="T82" i="89"/>
  <c r="T83" s="1"/>
  <c r="AM36" i="48"/>
  <c r="AP55" i="18"/>
  <c r="S320" i="62"/>
  <c r="S329" s="1"/>
  <c r="T67" i="89"/>
  <c r="V31"/>
  <c r="AQ29" i="18"/>
  <c r="T43" i="89"/>
  <c r="T28"/>
  <c r="J20" i="26"/>
  <c r="Q88" i="22"/>
  <c r="S80" i="48"/>
  <c r="S114" s="1"/>
  <c r="M99" i="89"/>
  <c r="L164" i="62"/>
  <c r="L177" s="1"/>
  <c r="P15" i="25"/>
  <c r="BE24" i="20"/>
  <c r="BH25" s="1"/>
  <c r="BE64"/>
  <c r="S84" i="48"/>
  <c r="S118" s="1"/>
  <c r="BA84" i="20"/>
  <c r="BA118" s="1"/>
  <c r="AZ84"/>
  <c r="AZ118" s="1"/>
  <c r="AQ84"/>
  <c r="AQ118" s="1"/>
  <c r="AY84"/>
  <c r="AY118" s="1"/>
  <c r="AT84"/>
  <c r="AT118" s="1"/>
  <c r="AU84"/>
  <c r="AU118" s="1"/>
  <c r="AR84"/>
  <c r="AR118" s="1"/>
  <c r="AX84"/>
  <c r="AX118" s="1"/>
  <c r="AW84"/>
  <c r="AW118" s="1"/>
  <c r="AS84"/>
  <c r="AS118" s="1"/>
  <c r="AV84"/>
  <c r="AV118" s="1"/>
  <c r="AP84"/>
  <c r="AP118" s="1"/>
  <c r="V149" i="62"/>
  <c r="V82" i="39" s="1"/>
  <c r="V153" i="62"/>
  <c r="V86" i="39" s="1"/>
  <c r="V136" i="62"/>
  <c r="V74" i="39" s="1"/>
  <c r="V148" i="62"/>
  <c r="V81" i="39" s="1"/>
  <c r="V71"/>
  <c r="BD116" i="20"/>
  <c r="BD80"/>
  <c r="BD141" s="1"/>
  <c r="BD182" s="1"/>
  <c r="BG76" i="18"/>
  <c r="O17" i="25" s="1"/>
  <c r="M114" i="89"/>
  <c r="O16" i="25"/>
  <c r="BF19" i="20"/>
  <c r="BF22" s="1"/>
  <c r="BF24" s="1"/>
  <c r="BI25" s="1"/>
  <c r="S83" i="48"/>
  <c r="S117" s="1"/>
  <c r="AR83" i="20"/>
  <c r="AV83"/>
  <c r="AU83"/>
  <c r="AQ83"/>
  <c r="K85"/>
  <c r="BA83"/>
  <c r="AW83"/>
  <c r="AS83"/>
  <c r="AY83"/>
  <c r="V56" i="31"/>
  <c r="AT83" i="20"/>
  <c r="AP83"/>
  <c r="AZ83"/>
  <c r="AX83"/>
  <c r="L98" i="89"/>
  <c r="W123" i="62"/>
  <c r="R326" i="39"/>
  <c r="R548" i="62"/>
  <c r="R329" i="39" s="1"/>
  <c r="AP33" i="18"/>
  <c r="K45" i="48"/>
  <c r="AD42" i="89"/>
  <c r="AD43" s="1"/>
  <c r="S539" i="62"/>
  <c r="AD27" i="89"/>
  <c r="AD81"/>
  <c r="AD67" s="1"/>
  <c r="AO59" i="18"/>
  <c r="T534" i="62"/>
  <c r="T543" s="1"/>
  <c r="R319"/>
  <c r="S66" i="89"/>
  <c r="R545" i="62"/>
  <c r="R328" i="39" s="1"/>
  <c r="R325"/>
  <c r="AE182" i="48"/>
  <c r="AL187"/>
  <c r="AL188" s="1"/>
  <c r="AL161" s="1"/>
  <c r="AL163" s="1"/>
  <c r="AL164" s="1"/>
  <c r="AS182"/>
  <c r="J187"/>
  <c r="Q328" i="62"/>
  <c r="Q190" i="39" s="1"/>
  <c r="Q187"/>
  <c r="K28" i="48"/>
  <c r="S42" i="89"/>
  <c r="S43" s="1"/>
  <c r="AP27" i="18"/>
  <c r="S81" i="89"/>
  <c r="AO53" i="18"/>
  <c r="I42" i="89"/>
  <c r="I43" s="1"/>
  <c r="AP23" i="18"/>
  <c r="AO39"/>
  <c r="R317" i="62"/>
  <c r="R326" s="1"/>
  <c r="I66" i="89"/>
  <c r="S27"/>
  <c r="S536" i="62"/>
  <c r="Q542"/>
  <c r="Q327" i="39" s="1"/>
  <c r="Q324"/>
  <c r="AN38" i="18"/>
  <c r="AN40" s="1"/>
  <c r="H41" i="89"/>
  <c r="AO21" i="18"/>
  <c r="K11" i="48" s="1"/>
  <c r="H80" i="89"/>
  <c r="AM64" i="18"/>
  <c r="AM66" s="1"/>
  <c r="AN47"/>
  <c r="I81" i="89"/>
  <c r="AO49" i="18"/>
  <c r="AM19" i="48" s="1"/>
  <c r="AN65" i="18"/>
  <c r="Q316" i="62"/>
  <c r="H65" i="89"/>
  <c r="BE93" i="18"/>
  <c r="R533" i="62"/>
  <c r="H26" i="89"/>
  <c r="K24" i="48"/>
  <c r="K22"/>
  <c r="P342" i="62"/>
  <c r="P201" i="39" s="1"/>
  <c r="P186"/>
  <c r="P338" i="62"/>
  <c r="P197" i="39" s="1"/>
  <c r="P325" i="62"/>
  <c r="P189" i="39" s="1"/>
  <c r="P337" i="62"/>
  <c r="P196" i="39" s="1"/>
  <c r="BG11" i="20"/>
  <c r="BG14" s="1"/>
  <c r="BG16" s="1"/>
  <c r="BI17" s="1"/>
  <c r="BH74" i="18"/>
  <c r="L115" i="89"/>
  <c r="BF92" i="18"/>
  <c r="BG88"/>
  <c r="BF53" i="20"/>
  <c r="AI114" i="89"/>
  <c r="V73" i="39"/>
  <c r="V131" i="62"/>
  <c r="V133" s="1"/>
  <c r="V142" s="1"/>
  <c r="V76" i="39" s="1"/>
  <c r="AH98" i="89"/>
  <c r="L169" i="62" s="1"/>
  <c r="L171" s="1"/>
  <c r="L173" s="1"/>
  <c r="L182" s="1"/>
  <c r="W129"/>
  <c r="K230" i="20"/>
  <c r="Z236" i="48" s="1"/>
  <c r="BE56" i="20"/>
  <c r="BE58"/>
  <c r="BH59" s="1"/>
  <c r="L170" i="62"/>
  <c r="L172" s="1"/>
  <c r="L174" s="1"/>
  <c r="L183" s="1"/>
  <c r="AI99" i="89"/>
  <c r="BI80" i="18"/>
  <c r="BH28" i="20"/>
  <c r="BH31" s="1"/>
  <c r="W116" i="89"/>
  <c r="O38" i="25"/>
  <c r="AV97" i="20"/>
  <c r="K179"/>
  <c r="AR97"/>
  <c r="S97" i="48"/>
  <c r="S130" s="1"/>
  <c r="AU97" i="20"/>
  <c r="AS97"/>
  <c r="AW97"/>
  <c r="AZ97"/>
  <c r="K146"/>
  <c r="J31" i="26"/>
  <c r="J30" s="1"/>
  <c r="AP97" i="20"/>
  <c r="BA97"/>
  <c r="AY97"/>
  <c r="AT97"/>
  <c r="AQ97"/>
  <c r="AX97"/>
  <c r="W114" i="62"/>
  <c r="W64" i="39" s="1"/>
  <c r="M154" i="62"/>
  <c r="M87" i="39" s="1"/>
  <c r="AV88" i="20"/>
  <c r="AT88"/>
  <c r="U154" i="62"/>
  <c r="U87" i="39" s="1"/>
  <c r="K92" i="20"/>
  <c r="S154" i="62"/>
  <c r="S87" i="39" s="1"/>
  <c r="AS88" i="20"/>
  <c r="L154" i="62"/>
  <c r="L87" i="39" s="1"/>
  <c r="S88" i="48"/>
  <c r="S122" s="1"/>
  <c r="AZ88" i="20"/>
  <c r="O154" i="62"/>
  <c r="O87" i="39" s="1"/>
  <c r="P154" i="62"/>
  <c r="P87" i="39" s="1"/>
  <c r="AQ88" i="20"/>
  <c r="AY88"/>
  <c r="Q154" i="62"/>
  <c r="Q87" i="39" s="1"/>
  <c r="AX88" i="20"/>
  <c r="AR88"/>
  <c r="BA88"/>
  <c r="R154" i="62"/>
  <c r="R87" i="39" s="1"/>
  <c r="N154" i="62"/>
  <c r="N87" i="39" s="1"/>
  <c r="AU88" i="20"/>
  <c r="T154" i="62"/>
  <c r="T87" i="39" s="1"/>
  <c r="AP88" i="20"/>
  <c r="AW88"/>
  <c r="V114" i="62"/>
  <c r="V64" i="39" s="1"/>
  <c r="BG33" i="20"/>
  <c r="BI34" s="1"/>
  <c r="P37" i="25"/>
  <c r="J60" i="44"/>
  <c r="Q84" i="22"/>
  <c r="AH114" i="89"/>
  <c r="BG86" i="18"/>
  <c r="BF45" i="20"/>
  <c r="O56" i="25"/>
  <c r="BF91" i="18"/>
  <c r="K304" i="20"/>
  <c r="Z218" i="48"/>
  <c r="X124" i="28"/>
  <c r="V36" i="31" s="1"/>
  <c r="V37" s="1"/>
  <c r="X123" i="28"/>
  <c r="BC112" i="20"/>
  <c r="BC111"/>
  <c r="BC126"/>
  <c r="BC110"/>
  <c r="BC109"/>
  <c r="BC67"/>
  <c r="BC131"/>
  <c r="BC104"/>
  <c r="BC108"/>
  <c r="BC107"/>
  <c r="BC113"/>
  <c r="BB181"/>
  <c r="BC140"/>
  <c r="X31" i="28"/>
  <c r="X32"/>
  <c r="X30"/>
  <c r="BD66" i="20"/>
  <c r="P54" i="25"/>
  <c r="BD65" i="20"/>
  <c r="BD120" s="1"/>
  <c r="BI82" i="18"/>
  <c r="X116" i="89"/>
  <c r="BH36" i="20"/>
  <c r="BH39" s="1"/>
  <c r="BH41" s="1"/>
  <c r="BK42" s="1"/>
  <c r="Q91" i="22"/>
  <c r="K223" i="20"/>
  <c r="J23" i="26"/>
  <c r="S93" i="48"/>
  <c r="S126" s="1"/>
  <c r="AO145" i="20"/>
  <c r="AN147"/>
  <c r="K130"/>
  <c r="U144" i="62"/>
  <c r="U77" i="39" s="1"/>
  <c r="Q144" i="62"/>
  <c r="Q77" i="39" s="1"/>
  <c r="R144" i="62"/>
  <c r="R77" i="39" s="1"/>
  <c r="S144" i="62"/>
  <c r="S77" i="39" s="1"/>
  <c r="P144" i="62"/>
  <c r="P77" i="39" s="1"/>
  <c r="O144" i="62"/>
  <c r="O77" i="39" s="1"/>
  <c r="M144" i="62"/>
  <c r="M77" i="39" s="1"/>
  <c r="N144" i="62"/>
  <c r="N77" i="39" s="1"/>
  <c r="W104" i="62"/>
  <c r="W54" i="39" s="1"/>
  <c r="L144" i="62"/>
  <c r="L77" i="39" s="1"/>
  <c r="V104" i="62"/>
  <c r="V54" i="39" s="1"/>
  <c r="T144" i="62"/>
  <c r="T77" i="39" s="1"/>
  <c r="BF51" i="20"/>
  <c r="BD69"/>
  <c r="S111" i="48"/>
  <c r="S104"/>
  <c r="S110"/>
  <c r="S108"/>
  <c r="S131"/>
  <c r="S112"/>
  <c r="S109"/>
  <c r="S67"/>
  <c r="S107"/>
  <c r="S113"/>
  <c r="I56" i="77"/>
  <c r="BE48" i="20"/>
  <c r="BE50"/>
  <c r="BE90"/>
  <c r="AY186"/>
  <c r="AP186"/>
  <c r="K145"/>
  <c r="AX186"/>
  <c r="AV186"/>
  <c r="J39" i="94"/>
  <c r="AW186" i="20"/>
  <c r="BA186"/>
  <c r="AQ186"/>
  <c r="AR186"/>
  <c r="AU186"/>
  <c r="J32" i="66"/>
  <c r="AS186" i="20"/>
  <c r="AZ186"/>
  <c r="S184" i="48"/>
  <c r="AT186" i="20"/>
  <c r="Y58" i="48"/>
  <c r="AT58"/>
  <c r="AG18" i="89"/>
  <c r="V540" i="62"/>
  <c r="V549" s="1"/>
  <c r="AG57" i="89"/>
  <c r="U323" i="62"/>
  <c r="U332" s="1"/>
  <c r="AE69" i="89"/>
  <c r="AE51" s="1"/>
  <c r="Y56" i="48"/>
  <c r="AT56"/>
  <c r="T322" i="62"/>
  <c r="AS35" i="18"/>
  <c r="AG33" i="89"/>
  <c r="N166" i="62"/>
  <c r="S188" i="39"/>
  <c r="S331" i="62"/>
  <c r="S191" i="39" s="1"/>
  <c r="M95"/>
  <c r="M179" i="62"/>
  <c r="M98" i="39" s="1"/>
  <c r="AR61" i="18"/>
  <c r="AG72" i="89"/>
  <c r="AF56" i="48"/>
  <c r="O167" i="62" l="1"/>
  <c r="O180" s="1"/>
  <c r="X102" i="89"/>
  <c r="W102" s="1"/>
  <c r="K181" i="20"/>
  <c r="J31" i="94" s="1"/>
  <c r="S140" i="48"/>
  <c r="J13" i="76"/>
  <c r="BF64" i="20"/>
  <c r="BF116" s="1"/>
  <c r="AR29" i="18"/>
  <c r="V32" i="89"/>
  <c r="V71"/>
  <c r="AQ55" i="18"/>
  <c r="T29" i="89"/>
  <c r="T11" s="1"/>
  <c r="U537" i="62"/>
  <c r="U546" s="1"/>
  <c r="V17" i="89"/>
  <c r="T68"/>
  <c r="T320" i="62"/>
  <c r="T329" s="1"/>
  <c r="AF36" i="48"/>
  <c r="AF41" s="1"/>
  <c r="AT36"/>
  <c r="AM39"/>
  <c r="AM41"/>
  <c r="Y36"/>
  <c r="L163" i="62"/>
  <c r="L99" i="89"/>
  <c r="AT117" i="20"/>
  <c r="AT85"/>
  <c r="AT119" s="1"/>
  <c r="AW85"/>
  <c r="AW119" s="1"/>
  <c r="AW117"/>
  <c r="AU85"/>
  <c r="AU119" s="1"/>
  <c r="AU117"/>
  <c r="W153" i="62"/>
  <c r="W86" i="39" s="1"/>
  <c r="W71"/>
  <c r="W149" i="62"/>
  <c r="W82" i="39" s="1"/>
  <c r="W136" i="62"/>
  <c r="W74" i="39" s="1"/>
  <c r="W148" i="62"/>
  <c r="W81" i="39" s="1"/>
  <c r="AP117" i="20"/>
  <c r="AP85"/>
  <c r="AP119" s="1"/>
  <c r="AS117"/>
  <c r="AS85"/>
  <c r="AS119" s="1"/>
  <c r="AQ117"/>
  <c r="AQ85"/>
  <c r="AQ119" s="1"/>
  <c r="BH76" i="18"/>
  <c r="O18" i="25" s="1"/>
  <c r="BG19" i="20"/>
  <c r="BG22" s="1"/>
  <c r="BG64" s="1"/>
  <c r="BG80" s="1"/>
  <c r="BG141" s="1"/>
  <c r="M115" i="89"/>
  <c r="AZ85" i="20"/>
  <c r="AZ119" s="1"/>
  <c r="AZ117"/>
  <c r="AY85"/>
  <c r="AY119" s="1"/>
  <c r="AY117"/>
  <c r="S85" i="48"/>
  <c r="S119" s="1"/>
  <c r="K119" i="20"/>
  <c r="AR117"/>
  <c r="AR85"/>
  <c r="AR119" s="1"/>
  <c r="AX85"/>
  <c r="AX119" s="1"/>
  <c r="AX117"/>
  <c r="BA85"/>
  <c r="BA119" s="1"/>
  <c r="BA117"/>
  <c r="AV85"/>
  <c r="AV119" s="1"/>
  <c r="AV117"/>
  <c r="BE80"/>
  <c r="BE141" s="1"/>
  <c r="BE182" s="1"/>
  <c r="BE116"/>
  <c r="M164" i="62"/>
  <c r="M177" s="1"/>
  <c r="M100" i="89"/>
  <c r="P16" i="25"/>
  <c r="AT57" i="48"/>
  <c r="AM45"/>
  <c r="AP59" i="18"/>
  <c r="AD82" i="89"/>
  <c r="S326" i="39"/>
  <c r="S548" i="62"/>
  <c r="S329" i="39" s="1"/>
  <c r="AD28" i="89"/>
  <c r="T539" i="62"/>
  <c r="AF31" i="89"/>
  <c r="AQ33" i="18"/>
  <c r="K97" i="48"/>
  <c r="K98"/>
  <c r="K149" s="1"/>
  <c r="K89"/>
  <c r="K48"/>
  <c r="K65" s="1"/>
  <c r="K88" s="1"/>
  <c r="K90"/>
  <c r="K91"/>
  <c r="K50"/>
  <c r="K217" s="1"/>
  <c r="K216" s="1"/>
  <c r="AM216" s="1"/>
  <c r="K204"/>
  <c r="K205" s="1"/>
  <c r="K184" s="1"/>
  <c r="L99" i="39"/>
  <c r="BF93" i="18"/>
  <c r="L96" i="39"/>
  <c r="S533" i="62"/>
  <c r="H27" i="89"/>
  <c r="Q186" i="39"/>
  <c r="Q338" i="62"/>
  <c r="Q197" i="39" s="1"/>
  <c r="Q342" i="62"/>
  <c r="Q201" i="39" s="1"/>
  <c r="Q325" i="62"/>
  <c r="Q189" i="39" s="1"/>
  <c r="Q337" i="62"/>
  <c r="Q196" i="39" s="1"/>
  <c r="K14" i="48"/>
  <c r="K16"/>
  <c r="I67" i="89"/>
  <c r="S317" i="62"/>
  <c r="S326" s="1"/>
  <c r="S67" i="89"/>
  <c r="S319" i="62"/>
  <c r="R316"/>
  <c r="H66" i="89"/>
  <c r="AP49" i="18"/>
  <c r="AO65"/>
  <c r="I82" i="89"/>
  <c r="I83" s="1"/>
  <c r="T536" i="62"/>
  <c r="S28" i="89"/>
  <c r="AP39" i="18"/>
  <c r="K31" i="89"/>
  <c r="AQ23" i="18"/>
  <c r="AQ27"/>
  <c r="U31" i="89"/>
  <c r="I28"/>
  <c r="S325" i="39"/>
  <c r="S545" i="62"/>
  <c r="S328" i="39" s="1"/>
  <c r="AL193" i="48"/>
  <c r="R324" i="39"/>
  <c r="R542" i="62"/>
  <c r="R327" i="39" s="1"/>
  <c r="AF19" i="48"/>
  <c r="AF24" s="1"/>
  <c r="Y19"/>
  <c r="AT19"/>
  <c r="AM24"/>
  <c r="AM22"/>
  <c r="H81" i="89"/>
  <c r="AN64" i="18"/>
  <c r="AN66" s="1"/>
  <c r="AO47"/>
  <c r="AO38"/>
  <c r="AO40" s="1"/>
  <c r="H42" i="89"/>
  <c r="H43" s="1"/>
  <c r="AP21" i="18"/>
  <c r="AP53"/>
  <c r="S82" i="89"/>
  <c r="S83" s="1"/>
  <c r="AM28" i="48"/>
  <c r="K31"/>
  <c r="K33"/>
  <c r="J188"/>
  <c r="AE187"/>
  <c r="R328" i="62"/>
  <c r="R190" i="39" s="1"/>
  <c r="R187"/>
  <c r="L116" i="89"/>
  <c r="BI74" i="18"/>
  <c r="BH11" i="20"/>
  <c r="BH14" s="1"/>
  <c r="BH16" s="1"/>
  <c r="BJ17" s="1"/>
  <c r="BG53"/>
  <c r="BH88" i="18"/>
  <c r="AI115" i="89"/>
  <c r="BG92" i="18"/>
  <c r="AI100" i="89"/>
  <c r="M170" i="62"/>
  <c r="M172" s="1"/>
  <c r="M174" s="1"/>
  <c r="M183" s="1"/>
  <c r="BF58" i="20"/>
  <c r="BI59" s="1"/>
  <c r="BF56"/>
  <c r="AH99" i="89"/>
  <c r="W131" i="62"/>
  <c r="W133" s="1"/>
  <c r="W142" s="1"/>
  <c r="W76" i="39" s="1"/>
  <c r="W73"/>
  <c r="BF70" i="20"/>
  <c r="K232"/>
  <c r="K233" s="1"/>
  <c r="K234" s="1"/>
  <c r="Z235" i="48"/>
  <c r="Z238" s="1"/>
  <c r="BD110" i="20"/>
  <c r="BD113"/>
  <c r="BD67"/>
  <c r="BD112"/>
  <c r="BD104"/>
  <c r="BD111"/>
  <c r="BD108"/>
  <c r="BD107"/>
  <c r="BD109"/>
  <c r="BD131"/>
  <c r="BC171"/>
  <c r="BC181"/>
  <c r="AP122"/>
  <c r="AP92"/>
  <c r="AS92"/>
  <c r="AS122"/>
  <c r="AT92"/>
  <c r="AT122"/>
  <c r="AX130"/>
  <c r="AX179"/>
  <c r="BA179"/>
  <c r="BA130"/>
  <c r="AZ179"/>
  <c r="AZ130"/>
  <c r="W117" i="89"/>
  <c r="BJ80" i="18"/>
  <c r="BI28" i="20"/>
  <c r="BI31" s="1"/>
  <c r="O39" i="25"/>
  <c r="BE66" i="20"/>
  <c r="BE65"/>
  <c r="BE120" s="1"/>
  <c r="P55" i="25"/>
  <c r="BD140" i="20"/>
  <c r="BD181" s="1"/>
  <c r="BD93"/>
  <c r="BD126" s="1"/>
  <c r="AW122"/>
  <c r="AW92"/>
  <c r="AX122"/>
  <c r="AX92"/>
  <c r="AY130"/>
  <c r="AY179"/>
  <c r="J18" i="76"/>
  <c r="S146" i="48"/>
  <c r="AU179" i="20"/>
  <c r="AU130"/>
  <c r="AV179"/>
  <c r="AV130"/>
  <c r="BH33"/>
  <c r="BJ34" s="1"/>
  <c r="P38" i="25"/>
  <c r="BG51" i="20"/>
  <c r="BG70" s="1"/>
  <c r="BE69"/>
  <c r="AH115" i="89"/>
  <c r="BG45" i="20"/>
  <c r="BH86" i="18"/>
  <c r="O57" i="25"/>
  <c r="BG91" i="18"/>
  <c r="AU92" i="20"/>
  <c r="AU122"/>
  <c r="AR92"/>
  <c r="AR122"/>
  <c r="AQ122"/>
  <c r="AQ92"/>
  <c r="K125"/>
  <c r="S92" i="48"/>
  <c r="S125" s="1"/>
  <c r="J25" i="26"/>
  <c r="K94" i="20"/>
  <c r="AT130"/>
  <c r="AT179"/>
  <c r="AS179"/>
  <c r="AS130"/>
  <c r="J23" i="66"/>
  <c r="S177" i="48"/>
  <c r="J17" i="76"/>
  <c r="S145" i="48"/>
  <c r="K147" i="20"/>
  <c r="AO147"/>
  <c r="AP145"/>
  <c r="BJ82" i="18"/>
  <c r="BI36" i="20"/>
  <c r="X117" i="89"/>
  <c r="BF48" i="20"/>
  <c r="BF50"/>
  <c r="BF90"/>
  <c r="BA92"/>
  <c r="BA122"/>
  <c r="AY92"/>
  <c r="AY122"/>
  <c r="AZ122"/>
  <c r="AZ92"/>
  <c r="AV122"/>
  <c r="AV92"/>
  <c r="AQ130"/>
  <c r="AQ179"/>
  <c r="AP146"/>
  <c r="AQ146" s="1"/>
  <c r="AR146" s="1"/>
  <c r="AS146" s="1"/>
  <c r="AT146" s="1"/>
  <c r="AU146" s="1"/>
  <c r="AV146" s="1"/>
  <c r="AW146" s="1"/>
  <c r="AX146" s="1"/>
  <c r="AY146" s="1"/>
  <c r="AZ146" s="1"/>
  <c r="BA146" s="1"/>
  <c r="AP179"/>
  <c r="AP130"/>
  <c r="AW130"/>
  <c r="AW179"/>
  <c r="AR130"/>
  <c r="AR179"/>
  <c r="AG19" i="89"/>
  <c r="W540" i="62"/>
  <c r="W549" s="1"/>
  <c r="AG73" i="89"/>
  <c r="AS61" i="18"/>
  <c r="K145" i="48"/>
  <c r="AG34" i="89"/>
  <c r="AT35" i="18"/>
  <c r="K124" i="48"/>
  <c r="K123"/>
  <c r="N95" i="39"/>
  <c r="N179" i="62"/>
  <c r="N98" i="39" s="1"/>
  <c r="T188"/>
  <c r="T331" i="62"/>
  <c r="T191" i="39" s="1"/>
  <c r="O166" i="62"/>
  <c r="V323"/>
  <c r="V332" s="1"/>
  <c r="AG58" i="89"/>
  <c r="BF80" i="20" l="1"/>
  <c r="BF141" s="1"/>
  <c r="BF182" s="1"/>
  <c r="P167" i="62"/>
  <c r="P180" s="1"/>
  <c r="X103" i="89"/>
  <c r="W103" s="1"/>
  <c r="S179" i="48"/>
  <c r="J25" i="66"/>
  <c r="AT41" i="48"/>
  <c r="Y41"/>
  <c r="AS29" i="18"/>
  <c r="V33" i="89"/>
  <c r="V537" i="62"/>
  <c r="V546" s="1"/>
  <c r="V18" i="89"/>
  <c r="AF39" i="48"/>
  <c r="AT39"/>
  <c r="Y39"/>
  <c r="T69" i="89"/>
  <c r="T51" s="1"/>
  <c r="U320" i="62"/>
  <c r="U329" s="1"/>
  <c r="V57" i="89"/>
  <c r="AR55" i="18"/>
  <c r="V72" i="89"/>
  <c r="N164" i="62"/>
  <c r="N177" s="1"/>
  <c r="M101" i="89"/>
  <c r="P17" i="25"/>
  <c r="BG24" i="20"/>
  <c r="BJ25" s="1"/>
  <c r="L193" i="62"/>
  <c r="L109" i="39" s="1"/>
  <c r="L94"/>
  <c r="L189" i="62"/>
  <c r="L105" i="39" s="1"/>
  <c r="L176" i="62"/>
  <c r="L97" i="39" s="1"/>
  <c r="L188" i="62"/>
  <c r="L104" i="39" s="1"/>
  <c r="L100" i="89"/>
  <c r="M163" i="62"/>
  <c r="BH19" i="20"/>
  <c r="BH22" s="1"/>
  <c r="P18" i="25" s="1"/>
  <c r="M116" i="89"/>
  <c r="BI76" i="18"/>
  <c r="AF32" i="89"/>
  <c r="AR33" i="18"/>
  <c r="AM89" i="48"/>
  <c r="AT45"/>
  <c r="Y45"/>
  <c r="AM48"/>
  <c r="AM91"/>
  <c r="AF45"/>
  <c r="AF50" s="1"/>
  <c r="AM97"/>
  <c r="AM50"/>
  <c r="AM204"/>
  <c r="AM98"/>
  <c r="AM90"/>
  <c r="O562" i="62"/>
  <c r="O342" i="39" s="1"/>
  <c r="U562" i="62"/>
  <c r="U342" i="39" s="1"/>
  <c r="W526" i="62"/>
  <c r="W319" i="39" s="1"/>
  <c r="AF90" i="48"/>
  <c r="V526" i="62"/>
  <c r="V319" i="39" s="1"/>
  <c r="L562" i="62"/>
  <c r="L342" i="39" s="1"/>
  <c r="R562" i="62"/>
  <c r="R342" i="39" s="1"/>
  <c r="N562" i="62"/>
  <c r="N342" i="39" s="1"/>
  <c r="S562" i="62"/>
  <c r="S342" i="39" s="1"/>
  <c r="M562" i="62"/>
  <c r="M342" i="39" s="1"/>
  <c r="Q562" i="62"/>
  <c r="Q342" i="39" s="1"/>
  <c r="T562" i="62"/>
  <c r="T342" i="39" s="1"/>
  <c r="P562" i="62"/>
  <c r="P342" i="39" s="1"/>
  <c r="K177" i="48"/>
  <c r="K146"/>
  <c r="AD29" i="89"/>
  <c r="AD11" s="1"/>
  <c r="U539" i="62"/>
  <c r="AF17" i="89"/>
  <c r="AF71"/>
  <c r="AQ59" i="18"/>
  <c r="K120" i="48"/>
  <c r="BG116" i="20"/>
  <c r="R563" i="62"/>
  <c r="R343" i="39" s="1"/>
  <c r="M563" i="62"/>
  <c r="M343" i="39" s="1"/>
  <c r="S563" i="62"/>
  <c r="S343" i="39" s="1"/>
  <c r="O563" i="62"/>
  <c r="O343" i="39" s="1"/>
  <c r="L563" i="62"/>
  <c r="L343" i="39" s="1"/>
  <c r="AF91" i="48"/>
  <c r="V527" i="62"/>
  <c r="V320" i="39" s="1"/>
  <c r="Q563" i="62"/>
  <c r="Q343" i="39" s="1"/>
  <c r="U563" i="62"/>
  <c r="U343" i="39" s="1"/>
  <c r="P563" i="62"/>
  <c r="P343" i="39" s="1"/>
  <c r="N563" i="62"/>
  <c r="N343" i="39" s="1"/>
  <c r="W527" i="62"/>
  <c r="W320" i="39" s="1"/>
  <c r="T563" i="62"/>
  <c r="T343" i="39" s="1"/>
  <c r="T548" i="62"/>
  <c r="T329" i="39" s="1"/>
  <c r="T326"/>
  <c r="AD83" i="89"/>
  <c r="AD68"/>
  <c r="AF89" i="48"/>
  <c r="T561" i="62"/>
  <c r="T341" i="39" s="1"/>
  <c r="V525" i="62"/>
  <c r="V318" i="39" s="1"/>
  <c r="W525" i="62"/>
  <c r="W318" i="39" s="1"/>
  <c r="O561" i="62"/>
  <c r="O341" i="39" s="1"/>
  <c r="P561" i="62"/>
  <c r="P341" i="39" s="1"/>
  <c r="R561" i="62"/>
  <c r="R341" i="39" s="1"/>
  <c r="N561" i="62"/>
  <c r="N341" i="39" s="1"/>
  <c r="M561" i="62"/>
  <c r="M341" i="39" s="1"/>
  <c r="S561" i="62"/>
  <c r="S341" i="39" s="1"/>
  <c r="U561" i="62"/>
  <c r="U341" i="39" s="1"/>
  <c r="L561" i="62"/>
  <c r="L341" i="39" s="1"/>
  <c r="Q561" i="62"/>
  <c r="Q341" i="39" s="1"/>
  <c r="K69" i="48"/>
  <c r="H53" i="77" s="1"/>
  <c r="AQ21" i="18"/>
  <c r="AP38"/>
  <c r="AP40" s="1"/>
  <c r="J31" i="89"/>
  <c r="AP47" i="18"/>
  <c r="AO64"/>
  <c r="AO66" s="1"/>
  <c r="H82" i="89"/>
  <c r="H83" s="1"/>
  <c r="Y24" i="48"/>
  <c r="AT24"/>
  <c r="S328" i="62"/>
  <c r="S190" i="39" s="1"/>
  <c r="S187"/>
  <c r="S542" i="62"/>
  <c r="S327" i="39" s="1"/>
  <c r="S324"/>
  <c r="K213" i="48"/>
  <c r="K212" s="1"/>
  <c r="U71" i="89"/>
  <c r="AQ53" i="18"/>
  <c r="AT22" i="48"/>
  <c r="AF22"/>
  <c r="Y22"/>
  <c r="R186" i="39"/>
  <c r="R338" i="62"/>
  <c r="R197" i="39" s="1"/>
  <c r="R337" i="62"/>
  <c r="R196" i="39" s="1"/>
  <c r="R342" i="62"/>
  <c r="R201" i="39" s="1"/>
  <c r="R325" i="62"/>
  <c r="R189" i="39" s="1"/>
  <c r="I68" i="89"/>
  <c r="I69" s="1"/>
  <c r="I51" s="1"/>
  <c r="T317" i="62"/>
  <c r="T326" s="1"/>
  <c r="T533"/>
  <c r="H28" i="89"/>
  <c r="H29" s="1"/>
  <c r="H11" s="1"/>
  <c r="AM11" i="48"/>
  <c r="J161"/>
  <c r="AE188"/>
  <c r="AE193" s="1"/>
  <c r="J193"/>
  <c r="K17" i="89"/>
  <c r="U534" i="62"/>
  <c r="U543" s="1"/>
  <c r="I29" i="89"/>
  <c r="I11" s="1"/>
  <c r="AR23" i="18"/>
  <c r="AQ39"/>
  <c r="K32" i="89"/>
  <c r="T325" i="39"/>
  <c r="T545" i="62"/>
  <c r="T328" i="39" s="1"/>
  <c r="S316" i="62"/>
  <c r="H67" i="89"/>
  <c r="AF28" i="48"/>
  <c r="AF33" s="1"/>
  <c r="AM33"/>
  <c r="Y28"/>
  <c r="AT28"/>
  <c r="AM31"/>
  <c r="AF31" s="1"/>
  <c r="U32" i="89"/>
  <c r="AR27" i="18"/>
  <c r="U536" i="62"/>
  <c r="U17" i="89"/>
  <c r="S29"/>
  <c r="S11" s="1"/>
  <c r="AQ49" i="18"/>
  <c r="K71" i="89"/>
  <c r="AP65" i="18"/>
  <c r="S68" i="89"/>
  <c r="T319" i="62"/>
  <c r="K64" i="48"/>
  <c r="K66"/>
  <c r="BG93" i="18"/>
  <c r="L117" i="89"/>
  <c r="BJ74" i="18"/>
  <c r="BI11" i="20"/>
  <c r="BI14" s="1"/>
  <c r="BI16" s="1"/>
  <c r="BK17" s="1"/>
  <c r="M169" i="62"/>
  <c r="AH100" i="89"/>
  <c r="N170" i="62"/>
  <c r="N172" s="1"/>
  <c r="N174" s="1"/>
  <c r="N183" s="1"/>
  <c r="AI101" i="89"/>
  <c r="BG56" i="20"/>
  <c r="BG58"/>
  <c r="BJ59" s="1"/>
  <c r="AI116" i="89"/>
  <c r="BI88" i="18"/>
  <c r="BH53" i="20"/>
  <c r="BH92" i="18"/>
  <c r="AY155" i="20"/>
  <c r="AY125"/>
  <c r="AY94"/>
  <c r="BH51"/>
  <c r="BF69"/>
  <c r="X118" i="89"/>
  <c r="BK82" i="18"/>
  <c r="BJ36" i="20"/>
  <c r="BJ39" s="1"/>
  <c r="BJ41" s="1"/>
  <c r="BM42" s="1"/>
  <c r="Q94" i="22"/>
  <c r="J26" i="26"/>
  <c r="K127" i="20"/>
  <c r="S94" i="48"/>
  <c r="S127" s="1"/>
  <c r="K96" i="20"/>
  <c r="AQ94"/>
  <c r="AQ125"/>
  <c r="AQ155"/>
  <c r="AH116" i="89"/>
  <c r="BI86" i="18"/>
  <c r="BH45" i="20"/>
  <c r="O58" i="25"/>
  <c r="BH91" i="18"/>
  <c r="AX125" i="20"/>
  <c r="AX94"/>
  <c r="AX155"/>
  <c r="W118" i="89"/>
  <c r="BK80" i="18"/>
  <c r="BJ28" i="20"/>
  <c r="BJ31" s="1"/>
  <c r="O40" i="25"/>
  <c r="AP125" i="20"/>
  <c r="AP155"/>
  <c r="AP94"/>
  <c r="AV94"/>
  <c r="AV125"/>
  <c r="AV155"/>
  <c r="BI39"/>
  <c r="P39" i="25" s="1"/>
  <c r="AR125" i="20"/>
  <c r="AR94"/>
  <c r="AR155"/>
  <c r="BD171"/>
  <c r="BE131"/>
  <c r="BE107"/>
  <c r="BE110"/>
  <c r="BE111"/>
  <c r="BE113"/>
  <c r="BE108"/>
  <c r="BE104"/>
  <c r="BE109"/>
  <c r="BE112"/>
  <c r="BE67"/>
  <c r="BI33"/>
  <c r="BK34" s="1"/>
  <c r="AS125"/>
  <c r="AS94"/>
  <c r="AS155"/>
  <c r="Z248" i="48"/>
  <c r="K205" i="20"/>
  <c r="BA155"/>
  <c r="BA94"/>
  <c r="BA125"/>
  <c r="AW125"/>
  <c r="AW94"/>
  <c r="AW155"/>
  <c r="AZ94"/>
  <c r="AZ155"/>
  <c r="AZ125"/>
  <c r="BF65"/>
  <c r="BF120" s="1"/>
  <c r="BF66"/>
  <c r="P56" i="25"/>
  <c r="AQ145" i="20"/>
  <c r="AP147"/>
  <c r="S147" i="48"/>
  <c r="J19" i="76"/>
  <c r="AU125" i="20"/>
  <c r="AU155"/>
  <c r="AU94"/>
  <c r="BG48"/>
  <c r="BG50"/>
  <c r="BG90"/>
  <c r="BE93"/>
  <c r="BE126" s="1"/>
  <c r="BE140"/>
  <c r="BE171" s="1"/>
  <c r="AT125"/>
  <c r="AT155"/>
  <c r="AT94"/>
  <c r="W323" i="62"/>
  <c r="W332" s="1"/>
  <c r="AG59" i="89"/>
  <c r="O95" i="39"/>
  <c r="O179" i="62"/>
  <c r="O98" i="39" s="1"/>
  <c r="AG35" i="89"/>
  <c r="AU35" i="18"/>
  <c r="P166" i="62"/>
  <c r="L560"/>
  <c r="L340" i="39" s="1"/>
  <c r="N560" i="62"/>
  <c r="N340" i="39" s="1"/>
  <c r="W524" i="62"/>
  <c r="W317" i="39" s="1"/>
  <c r="P560" i="62"/>
  <c r="P340" i="39" s="1"/>
  <c r="O560" i="62"/>
  <c r="O340" i="39" s="1"/>
  <c r="R560" i="62"/>
  <c r="R340" i="39" s="1"/>
  <c r="K92" i="48"/>
  <c r="K125" s="1"/>
  <c r="M560" i="62"/>
  <c r="M340" i="39" s="1"/>
  <c r="U560" i="62"/>
  <c r="U340" i="39" s="1"/>
  <c r="V524" i="62"/>
  <c r="V317" i="39" s="1"/>
  <c r="T560" i="62"/>
  <c r="T340" i="39" s="1"/>
  <c r="Q560" i="62"/>
  <c r="Q340" i="39" s="1"/>
  <c r="S560" i="62"/>
  <c r="S340" i="39" s="1"/>
  <c r="AG74" i="89"/>
  <c r="AT61" i="18"/>
  <c r="K147" i="48"/>
  <c r="K122"/>
  <c r="L576" i="62"/>
  <c r="L585" s="1"/>
  <c r="AG20" i="89"/>
  <c r="BG182" i="20" l="1"/>
  <c r="Q167" i="62"/>
  <c r="Q180" s="1"/>
  <c r="X104" i="89"/>
  <c r="R167" i="62" s="1"/>
  <c r="R180" s="1"/>
  <c r="BH24" i="20"/>
  <c r="BK25" s="1"/>
  <c r="AT40" i="48"/>
  <c r="V59" i="89"/>
  <c r="L356" i="62" s="1"/>
  <c r="L365" s="1"/>
  <c r="V73" i="89"/>
  <c r="AS55" i="18"/>
  <c r="V19" i="89"/>
  <c r="W537" i="62"/>
  <c r="W546" s="1"/>
  <c r="K140" i="48"/>
  <c r="K179" s="1"/>
  <c r="AT29" i="18"/>
  <c r="V34" i="89"/>
  <c r="V58"/>
  <c r="W320" i="62" s="1"/>
  <c r="W329" s="1"/>
  <c r="V320"/>
  <c r="V329" s="1"/>
  <c r="BH64" i="20"/>
  <c r="BH80" s="1"/>
  <c r="BH141" s="1"/>
  <c r="M117" i="89"/>
  <c r="O19" i="25"/>
  <c r="BI19" i="20"/>
  <c r="BI22" s="1"/>
  <c r="BI24" s="1"/>
  <c r="BL25" s="1"/>
  <c r="BJ76" i="18"/>
  <c r="L101" i="89"/>
  <c r="N163" i="62"/>
  <c r="M102" i="89"/>
  <c r="O164" i="62"/>
  <c r="O177" s="1"/>
  <c r="M189"/>
  <c r="M105" i="39" s="1"/>
  <c r="M193" i="62"/>
  <c r="M109" i="39" s="1"/>
  <c r="M188" i="62"/>
  <c r="M104" i="39" s="1"/>
  <c r="M94"/>
  <c r="M176" i="62"/>
  <c r="M97" i="39" s="1"/>
  <c r="AR59" i="18"/>
  <c r="AF72" i="89"/>
  <c r="AD14"/>
  <c r="AD12"/>
  <c r="R345" i="62"/>
  <c r="R204" i="39" s="1"/>
  <c r="V309" i="62"/>
  <c r="V181" i="39" s="1"/>
  <c r="P345" i="62"/>
  <c r="P204" i="39" s="1"/>
  <c r="W309" i="62"/>
  <c r="W181" i="39" s="1"/>
  <c r="M345" i="62"/>
  <c r="M204" i="39" s="1"/>
  <c r="T345" i="62"/>
  <c r="T204" i="39" s="1"/>
  <c r="O345" i="62"/>
  <c r="O204" i="39" s="1"/>
  <c r="Y90" i="48"/>
  <c r="Q345" i="62"/>
  <c r="Q204" i="39" s="1"/>
  <c r="N345" i="62"/>
  <c r="N204" i="39" s="1"/>
  <c r="S345" i="62"/>
  <c r="S204" i="39" s="1"/>
  <c r="AT90" i="48"/>
  <c r="L345" i="62"/>
  <c r="L204" i="39" s="1"/>
  <c r="U345" i="62"/>
  <c r="U204" i="39" s="1"/>
  <c r="AT97" i="48"/>
  <c r="AM177"/>
  <c r="AF97"/>
  <c r="AM146"/>
  <c r="Y97"/>
  <c r="U548" i="62"/>
  <c r="U329" i="39" s="1"/>
  <c r="U326"/>
  <c r="Y50" i="48"/>
  <c r="AT50"/>
  <c r="AF48"/>
  <c r="AF65" s="1"/>
  <c r="AM65"/>
  <c r="Y48"/>
  <c r="Y65" s="1"/>
  <c r="AT48"/>
  <c r="AF33" i="89"/>
  <c r="AS33" i="18"/>
  <c r="V539" i="62"/>
  <c r="AF18" i="89"/>
  <c r="Y204" i="48"/>
  <c r="Y205" s="1"/>
  <c r="Y184" s="1"/>
  <c r="AT204"/>
  <c r="AM205"/>
  <c r="P346" i="62"/>
  <c r="P205" i="39" s="1"/>
  <c r="N346" i="62"/>
  <c r="N205" i="39" s="1"/>
  <c r="T346" i="62"/>
  <c r="T205" i="39" s="1"/>
  <c r="U346" i="62"/>
  <c r="U205" i="39" s="1"/>
  <c r="R346" i="62"/>
  <c r="R205" i="39" s="1"/>
  <c r="Q346" i="62"/>
  <c r="Q205" i="39" s="1"/>
  <c r="S346" i="62"/>
  <c r="S205" i="39" s="1"/>
  <c r="Y91" i="48"/>
  <c r="V310" i="62"/>
  <c r="V182" i="39" s="1"/>
  <c r="W310" i="62"/>
  <c r="W182" i="39" s="1"/>
  <c r="O346" i="62"/>
  <c r="O205" i="39" s="1"/>
  <c r="L346" i="62"/>
  <c r="L205" i="39" s="1"/>
  <c r="AT91" i="48"/>
  <c r="M346" i="62"/>
  <c r="M205" i="39" s="1"/>
  <c r="Q344" i="62"/>
  <c r="Q203" i="39" s="1"/>
  <c r="P344" i="62"/>
  <c r="P203" i="39" s="1"/>
  <c r="M344" i="62"/>
  <c r="M203" i="39" s="1"/>
  <c r="Y89" i="48"/>
  <c r="AT89"/>
  <c r="U344" i="62"/>
  <c r="U203" i="39" s="1"/>
  <c r="T344" i="62"/>
  <c r="T203" i="39" s="1"/>
  <c r="L344" i="62"/>
  <c r="L203" i="39" s="1"/>
  <c r="W308" i="62"/>
  <c r="W180" i="39" s="1"/>
  <c r="N344" i="62"/>
  <c r="N203" i="39" s="1"/>
  <c r="O344" i="62"/>
  <c r="O203" i="39" s="1"/>
  <c r="S344" i="62"/>
  <c r="S203" i="39" s="1"/>
  <c r="R344" i="62"/>
  <c r="R203" i="39" s="1"/>
  <c r="V308" i="62"/>
  <c r="V180" i="39" s="1"/>
  <c r="AD69" i="89"/>
  <c r="AD51" s="1"/>
  <c r="U322" i="62"/>
  <c r="AF57" i="89"/>
  <c r="AM149" i="48"/>
  <c r="Y98"/>
  <c r="AT98"/>
  <c r="AF98"/>
  <c r="P19" i="25"/>
  <c r="AT23" i="48"/>
  <c r="T328" i="62"/>
  <c r="T190" i="39" s="1"/>
  <c r="T187"/>
  <c r="K72" i="89"/>
  <c r="AR49" i="18"/>
  <c r="AQ65"/>
  <c r="AS27"/>
  <c r="U33" i="89"/>
  <c r="S337" i="62"/>
  <c r="S196" i="39" s="1"/>
  <c r="S338" i="62"/>
  <c r="S197" i="39" s="1"/>
  <c r="S186"/>
  <c r="S342" i="62"/>
  <c r="S201" i="39" s="1"/>
  <c r="S325" i="62"/>
  <c r="S189" i="39" s="1"/>
  <c r="K18" i="89"/>
  <c r="V534" i="62"/>
  <c r="V543" s="1"/>
  <c r="AM14" i="48"/>
  <c r="AT11"/>
  <c r="Y11"/>
  <c r="AF11"/>
  <c r="AF16" s="1"/>
  <c r="AF69" s="1"/>
  <c r="H66" i="77" s="1"/>
  <c r="AM16" i="48"/>
  <c r="AR21" i="18"/>
  <c r="J32" i="89"/>
  <c r="AQ38" i="18"/>
  <c r="AQ40" s="1"/>
  <c r="K80" i="48"/>
  <c r="K84"/>
  <c r="K116"/>
  <c r="K83"/>
  <c r="U545" i="62"/>
  <c r="U328" i="39" s="1"/>
  <c r="U325"/>
  <c r="T316" i="62"/>
  <c r="H68" i="89"/>
  <c r="J163" i="48"/>
  <c r="J164" s="1"/>
  <c r="AE161"/>
  <c r="AE163" s="1"/>
  <c r="AE164" s="1"/>
  <c r="T542" i="62"/>
  <c r="T327" i="39" s="1"/>
  <c r="T324"/>
  <c r="U72" i="89"/>
  <c r="AR53" i="18"/>
  <c r="AM212" i="48"/>
  <c r="AM93" s="1"/>
  <c r="K93"/>
  <c r="H52" i="77"/>
  <c r="K110" i="48"/>
  <c r="K130"/>
  <c r="K104"/>
  <c r="K112"/>
  <c r="K108"/>
  <c r="K67"/>
  <c r="K73"/>
  <c r="K131"/>
  <c r="K113"/>
  <c r="V536" i="62"/>
  <c r="U18" i="89"/>
  <c r="Y31" i="48"/>
  <c r="AT31"/>
  <c r="J17" i="89"/>
  <c r="U533" i="62"/>
  <c r="U317"/>
  <c r="U326" s="1"/>
  <c r="K57" i="89"/>
  <c r="U319" i="62"/>
  <c r="U57" i="89"/>
  <c r="S69"/>
  <c r="S51" s="1"/>
  <c r="S14"/>
  <c r="S12"/>
  <c r="AM69" i="48"/>
  <c r="Y33"/>
  <c r="AT33"/>
  <c r="AR39" i="18"/>
  <c r="AS23"/>
  <c r="K33" i="89"/>
  <c r="H14"/>
  <c r="H12"/>
  <c r="AP64" i="18"/>
  <c r="AP66" s="1"/>
  <c r="J71" i="89"/>
  <c r="AQ47" i="18"/>
  <c r="BJ11" i="20"/>
  <c r="BJ14" s="1"/>
  <c r="BJ16" s="1"/>
  <c r="BL17" s="1"/>
  <c r="L118" i="89"/>
  <c r="BK74" i="18"/>
  <c r="BH58" i="20"/>
  <c r="BK59" s="1"/>
  <c r="BH56"/>
  <c r="M96" i="39"/>
  <c r="M171" i="62"/>
  <c r="M173" s="1"/>
  <c r="M182" s="1"/>
  <c r="M99" i="39" s="1"/>
  <c r="N169" i="62"/>
  <c r="AH101" i="89"/>
  <c r="BI53" i="20"/>
  <c r="BI92" i="18"/>
  <c r="BJ88"/>
  <c r="AI117" i="89"/>
  <c r="O170" i="62"/>
  <c r="O172" s="1"/>
  <c r="O174" s="1"/>
  <c r="O183" s="1"/>
  <c r="AI102" i="89"/>
  <c r="BH93" i="18"/>
  <c r="AU167" i="20"/>
  <c r="AU127"/>
  <c r="AU96"/>
  <c r="BF67"/>
  <c r="BF110"/>
  <c r="BF107"/>
  <c r="BF112"/>
  <c r="BF111"/>
  <c r="BF104"/>
  <c r="BF131"/>
  <c r="BF108"/>
  <c r="BF113"/>
  <c r="BF109"/>
  <c r="AZ96"/>
  <c r="AZ127"/>
  <c r="AZ167"/>
  <c r="BA183"/>
  <c r="K155"/>
  <c r="BA159"/>
  <c r="AV96"/>
  <c r="AV167"/>
  <c r="AV127"/>
  <c r="S96" i="48"/>
  <c r="F7" i="36"/>
  <c r="K129" i="20"/>
  <c r="K99"/>
  <c r="J28" i="26"/>
  <c r="Q98" i="22"/>
  <c r="Q99" s="1"/>
  <c r="K300" i="20"/>
  <c r="K308" s="1"/>
  <c r="K310" s="1"/>
  <c r="K209" s="1"/>
  <c r="Q92" i="22"/>
  <c r="Q96"/>
  <c r="Q95"/>
  <c r="BF140" i="20"/>
  <c r="BF93"/>
  <c r="BF126" s="1"/>
  <c r="AY159"/>
  <c r="AY183"/>
  <c r="P57" i="25"/>
  <c r="BG66" i="20"/>
  <c r="BG65"/>
  <c r="BG120" s="1"/>
  <c r="AZ159"/>
  <c r="AZ183"/>
  <c r="BA167"/>
  <c r="K167" s="1"/>
  <c r="BA127"/>
  <c r="BA96"/>
  <c r="W119" i="89"/>
  <c r="BL80" i="18"/>
  <c r="O41" i="25"/>
  <c r="BK28" i="20"/>
  <c r="AH117" i="89"/>
  <c r="BJ86" i="18"/>
  <c r="BI45" i="20"/>
  <c r="BI91" i="18"/>
  <c r="O59" i="25"/>
  <c r="AQ167" i="20"/>
  <c r="AQ127"/>
  <c r="AQ96"/>
  <c r="AT159"/>
  <c r="AT183"/>
  <c r="BI51"/>
  <c r="BI70" s="1"/>
  <c r="BG69"/>
  <c r="AR145"/>
  <c r="AQ147"/>
  <c r="AW127"/>
  <c r="AW96"/>
  <c r="AW167"/>
  <c r="AS127"/>
  <c r="AS96"/>
  <c r="AS167"/>
  <c r="AR167"/>
  <c r="AR127"/>
  <c r="AR96"/>
  <c r="AV183"/>
  <c r="AV159"/>
  <c r="AP159"/>
  <c r="AP183"/>
  <c r="BJ33"/>
  <c r="BL34" s="1"/>
  <c r="P40" i="25"/>
  <c r="AX96" i="20"/>
  <c r="AX127"/>
  <c r="AX167"/>
  <c r="BH48"/>
  <c r="BH50"/>
  <c r="BH90"/>
  <c r="BK36"/>
  <c r="BL82" i="18"/>
  <c r="X119" i="89"/>
  <c r="X105" s="1"/>
  <c r="AY96" i="20"/>
  <c r="AY167"/>
  <c r="AY127"/>
  <c r="AT127"/>
  <c r="AT96"/>
  <c r="AT167"/>
  <c r="AU183"/>
  <c r="AU159"/>
  <c r="AW159"/>
  <c r="AW183"/>
  <c r="AS183"/>
  <c r="AS159"/>
  <c r="AR159"/>
  <c r="AR183"/>
  <c r="BI41"/>
  <c r="BL42" s="1"/>
  <c r="L42" s="1"/>
  <c r="AP96"/>
  <c r="AP167"/>
  <c r="AP127"/>
  <c r="AX183"/>
  <c r="AX159"/>
  <c r="AQ183"/>
  <c r="AQ159"/>
  <c r="BH70"/>
  <c r="BE181"/>
  <c r="AG21" i="89"/>
  <c r="M576" i="62"/>
  <c r="M585" s="1"/>
  <c r="AG36" i="89"/>
  <c r="AV35" i="18"/>
  <c r="AG75" i="89"/>
  <c r="AU61" i="18"/>
  <c r="Q166" i="62"/>
  <c r="P95" i="39"/>
  <c r="P179" i="62"/>
  <c r="P98" i="39" s="1"/>
  <c r="AG60" i="89"/>
  <c r="L359" i="62"/>
  <c r="L368" s="1"/>
  <c r="W104" i="89" l="1"/>
  <c r="R166" i="62" s="1"/>
  <c r="BI64" i="20"/>
  <c r="BI80" s="1"/>
  <c r="BI141" s="1"/>
  <c r="BI182" s="1"/>
  <c r="BH116"/>
  <c r="AU29" i="18"/>
  <c r="V35" i="89"/>
  <c r="V74"/>
  <c r="AT55" i="18"/>
  <c r="V60" i="89"/>
  <c r="M356" i="62" s="1"/>
  <c r="M365" s="1"/>
  <c r="V20" i="89"/>
  <c r="L573" i="62"/>
  <c r="L582" s="1"/>
  <c r="O163"/>
  <c r="L102" i="89"/>
  <c r="N188" i="62"/>
  <c r="N104" i="39" s="1"/>
  <c r="N193" i="62"/>
  <c r="N109" i="39" s="1"/>
  <c r="N189" i="62"/>
  <c r="N105" i="39" s="1"/>
  <c r="N176" i="62"/>
  <c r="N97" i="39" s="1"/>
  <c r="N94"/>
  <c r="M103" i="89"/>
  <c r="P164" i="62"/>
  <c r="P177" s="1"/>
  <c r="O20" i="25"/>
  <c r="BJ19" i="20"/>
  <c r="BJ22" s="1"/>
  <c r="BJ64" s="1"/>
  <c r="M118" i="89"/>
  <c r="BK76" i="18"/>
  <c r="V322" i="62"/>
  <c r="AF58" i="89"/>
  <c r="AF34"/>
  <c r="AT33" i="18"/>
  <c r="AM124" i="48"/>
  <c r="AM120"/>
  <c r="AM123"/>
  <c r="AM88"/>
  <c r="AS59" i="18"/>
  <c r="AF73" i="89"/>
  <c r="AF149" i="48"/>
  <c r="Y149"/>
  <c r="AT149"/>
  <c r="AM184"/>
  <c r="AT205"/>
  <c r="V548" i="62"/>
  <c r="V329" i="39" s="1"/>
  <c r="V326"/>
  <c r="Y120" i="48"/>
  <c r="Y123"/>
  <c r="Y124"/>
  <c r="AF146"/>
  <c r="AT146"/>
  <c r="Y146"/>
  <c r="AD54" i="89"/>
  <c r="AD52"/>
  <c r="W539" i="62"/>
  <c r="AF19" i="89"/>
  <c r="AT65" i="48"/>
  <c r="AT49"/>
  <c r="Y177"/>
  <c r="U331" i="62"/>
  <c r="U191" i="39" s="1"/>
  <c r="U188"/>
  <c r="AF120" i="48"/>
  <c r="AF122"/>
  <c r="AF124"/>
  <c r="AF125"/>
  <c r="AF123"/>
  <c r="AF177"/>
  <c r="AT177"/>
  <c r="S52" i="89"/>
  <c r="S54"/>
  <c r="K58"/>
  <c r="V317" i="62"/>
  <c r="V326" s="1"/>
  <c r="U59" i="89"/>
  <c r="L355" i="62" s="1"/>
  <c r="U73" i="89"/>
  <c r="AS53" i="18"/>
  <c r="T325" i="62"/>
  <c r="T189" i="39" s="1"/>
  <c r="T186"/>
  <c r="T337" i="62"/>
  <c r="T196" i="39" s="1"/>
  <c r="T342" i="62"/>
  <c r="T201" i="39" s="1"/>
  <c r="T338" i="62"/>
  <c r="T197" i="39" s="1"/>
  <c r="W534" i="62"/>
  <c r="W543" s="1"/>
  <c r="K19" i="89"/>
  <c r="AT32" i="48"/>
  <c r="AQ64" i="18"/>
  <c r="AQ66" s="1"/>
  <c r="J72" i="89"/>
  <c r="AR47" i="18"/>
  <c r="J18" i="89"/>
  <c r="V533" i="62"/>
  <c r="V545"/>
  <c r="V328" i="39" s="1"/>
  <c r="V325"/>
  <c r="Y93" i="48"/>
  <c r="AT93"/>
  <c r="J57" i="89"/>
  <c r="U316" i="62"/>
  <c r="K117" i="48"/>
  <c r="J56" i="31"/>
  <c r="K85" i="48"/>
  <c r="K119" s="1"/>
  <c r="AT27" i="18"/>
  <c r="U34" i="89"/>
  <c r="U187" i="39"/>
  <c r="U328" i="62"/>
  <c r="U190" i="39" s="1"/>
  <c r="U542" i="62"/>
  <c r="U327" i="39" s="1"/>
  <c r="U324"/>
  <c r="U19" i="89"/>
  <c r="W536" i="62"/>
  <c r="K75" i="48"/>
  <c r="K107"/>
  <c r="K126"/>
  <c r="AF93"/>
  <c r="K141"/>
  <c r="K180" s="1"/>
  <c r="K114"/>
  <c r="AT16"/>
  <c r="AT69" s="1"/>
  <c r="Y16"/>
  <c r="Y69" s="1"/>
  <c r="H62" i="77" s="1"/>
  <c r="AM66" i="48"/>
  <c r="Y14"/>
  <c r="AT14"/>
  <c r="AM64"/>
  <c r="AF14"/>
  <c r="H69" i="89"/>
  <c r="H51" s="1"/>
  <c r="AT23" i="18"/>
  <c r="K34" i="89"/>
  <c r="AS39" i="18"/>
  <c r="I70" i="77"/>
  <c r="AM140" i="48"/>
  <c r="V319" i="62"/>
  <c r="U58" i="89"/>
  <c r="W319" i="62" s="1"/>
  <c r="K118" i="48"/>
  <c r="AS21" i="18"/>
  <c r="J33" i="89"/>
  <c r="AR38" i="18"/>
  <c r="AR40" s="1"/>
  <c r="K73" i="89"/>
  <c r="AS49" i="18"/>
  <c r="AR65"/>
  <c r="BI93"/>
  <c r="L119" i="89"/>
  <c r="BK11" i="20"/>
  <c r="BL74" i="18"/>
  <c r="BK88"/>
  <c r="BJ53" i="20"/>
  <c r="BJ92" i="18"/>
  <c r="AI118" i="89"/>
  <c r="N96" i="39"/>
  <c r="N171" i="62"/>
  <c r="N173" s="1"/>
  <c r="N182" s="1"/>
  <c r="N99" i="39" s="1"/>
  <c r="O169" i="62"/>
  <c r="AH102" i="89"/>
  <c r="BI58" i="20"/>
  <c r="BL59" s="1"/>
  <c r="BI56"/>
  <c r="AI103" i="89"/>
  <c r="P170" i="62"/>
  <c r="P172" s="1"/>
  <c r="P174" s="1"/>
  <c r="P183" s="1"/>
  <c r="AT129" i="20"/>
  <c r="AT99"/>
  <c r="BK39"/>
  <c r="AX99"/>
  <c r="AX129"/>
  <c r="BG93"/>
  <c r="BG126" s="1"/>
  <c r="BG140"/>
  <c r="BG171" s="1"/>
  <c r="BM80" i="18"/>
  <c r="W120" i="89"/>
  <c r="BL28" i="20"/>
  <c r="BL31" s="1"/>
  <c r="O42" i="25"/>
  <c r="BA129" i="20"/>
  <c r="BA99"/>
  <c r="J40" i="26"/>
  <c r="J38"/>
  <c r="I58" i="77"/>
  <c r="S129" i="48"/>
  <c r="BL36" i="20"/>
  <c r="BL39" s="1"/>
  <c r="BL41" s="1"/>
  <c r="BO42" s="1"/>
  <c r="X120" i="89"/>
  <c r="X106" s="1"/>
  <c r="BM82" i="18"/>
  <c r="BH66" i="20"/>
  <c r="BH65"/>
  <c r="BH120" s="1"/>
  <c r="P58" i="25"/>
  <c r="AR99" i="20"/>
  <c r="AR129"/>
  <c r="AS99"/>
  <c r="AS129"/>
  <c r="AR147"/>
  <c r="AS145"/>
  <c r="BK86" i="18"/>
  <c r="BJ45" i="20"/>
  <c r="AH118" i="89"/>
  <c r="O60" i="25"/>
  <c r="BJ91" i="18"/>
  <c r="BG107" i="20"/>
  <c r="BG131"/>
  <c r="BG108"/>
  <c r="BG109"/>
  <c r="BG110"/>
  <c r="BG113"/>
  <c r="BG67"/>
  <c r="BG111"/>
  <c r="BG112"/>
  <c r="BG104"/>
  <c r="AV129"/>
  <c r="AV99"/>
  <c r="AZ129"/>
  <c r="AZ99"/>
  <c r="AP129"/>
  <c r="AP99"/>
  <c r="BJ51"/>
  <c r="BH69"/>
  <c r="AW129"/>
  <c r="AW99"/>
  <c r="BI48"/>
  <c r="BI50"/>
  <c r="BI90"/>
  <c r="BK31"/>
  <c r="S167" i="48"/>
  <c r="K175" i="20"/>
  <c r="K166"/>
  <c r="BF171"/>
  <c r="BF181"/>
  <c r="AU99"/>
  <c r="AU129"/>
  <c r="AY99"/>
  <c r="AY129"/>
  <c r="BH182"/>
  <c r="AQ99"/>
  <c r="AQ129"/>
  <c r="S99" i="48"/>
  <c r="S132" s="1"/>
  <c r="K132" i="20"/>
  <c r="K178"/>
  <c r="J34" i="26"/>
  <c r="J39" s="1"/>
  <c r="J27" i="76"/>
  <c r="S155" i="48"/>
  <c r="K159" i="20"/>
  <c r="K183"/>
  <c r="S167" i="62"/>
  <c r="S180" s="1"/>
  <c r="AG37" i="89"/>
  <c r="AW35" i="18"/>
  <c r="N576" i="62"/>
  <c r="N585" s="1"/>
  <c r="AG22" i="89"/>
  <c r="M359" i="62"/>
  <c r="M368" s="1"/>
  <c r="AG61" i="89"/>
  <c r="Q95" i="39"/>
  <c r="Q179" i="62"/>
  <c r="Q98" i="39" s="1"/>
  <c r="AG76" i="89"/>
  <c r="AV61" i="18"/>
  <c r="P20" i="25" l="1"/>
  <c r="W105" i="89"/>
  <c r="S166" i="62" s="1"/>
  <c r="BJ24" i="20"/>
  <c r="BM25" s="1"/>
  <c r="L25" s="1"/>
  <c r="BI116"/>
  <c r="V36" i="89"/>
  <c r="AV29" i="18"/>
  <c r="M573" i="62"/>
  <c r="M582" s="1"/>
  <c r="V21" i="89"/>
  <c r="AU55" i="18"/>
  <c r="V75" i="89"/>
  <c r="V61"/>
  <c r="N356" i="62" s="1"/>
  <c r="N365" s="1"/>
  <c r="O193"/>
  <c r="O109" i="39" s="1"/>
  <c r="O189" i="62"/>
  <c r="O105" i="39" s="1"/>
  <c r="O176" i="62"/>
  <c r="O97" i="39" s="1"/>
  <c r="O94"/>
  <c r="O188" i="62"/>
  <c r="O104" i="39" s="1"/>
  <c r="M119" i="89"/>
  <c r="BK19" i="20"/>
  <c r="BK22" s="1"/>
  <c r="BK24" s="1"/>
  <c r="BN25" s="1"/>
  <c r="BL76" i="18"/>
  <c r="O22" i="25" s="1"/>
  <c r="P163" i="62"/>
  <c r="L103" i="89"/>
  <c r="O21" i="25"/>
  <c r="M104" i="89"/>
  <c r="Q164" i="62"/>
  <c r="Q177" s="1"/>
  <c r="AF74" i="89"/>
  <c r="AT59" i="18"/>
  <c r="V331" i="62"/>
  <c r="V191" i="39" s="1"/>
  <c r="V188"/>
  <c r="W326"/>
  <c r="W548" i="62"/>
  <c r="W329" i="39" s="1"/>
  <c r="AM145" i="48"/>
  <c r="AT184"/>
  <c r="AF184"/>
  <c r="W322" i="62"/>
  <c r="AF59" i="89"/>
  <c r="AF20"/>
  <c r="L575" i="62"/>
  <c r="AT120" i="48"/>
  <c r="AT123"/>
  <c r="AT124"/>
  <c r="O343" i="62"/>
  <c r="O202" i="39" s="1"/>
  <c r="T343" i="62"/>
  <c r="T202" i="39" s="1"/>
  <c r="V307" i="62"/>
  <c r="V179" i="39" s="1"/>
  <c r="AT88" i="48"/>
  <c r="AT122" s="1"/>
  <c r="AM122"/>
  <c r="AF88"/>
  <c r="AF92" s="1"/>
  <c r="R343" i="62"/>
  <c r="R202" i="39" s="1"/>
  <c r="Q343" i="62"/>
  <c r="Q202" i="39" s="1"/>
  <c r="S343" i="62"/>
  <c r="S202" i="39" s="1"/>
  <c r="M343" i="62"/>
  <c r="M202" i="39" s="1"/>
  <c r="P343" i="62"/>
  <c r="P202" i="39" s="1"/>
  <c r="Y88" i="48"/>
  <c r="Y122" s="1"/>
  <c r="W307" i="62"/>
  <c r="W179" i="39" s="1"/>
  <c r="N343" i="62"/>
  <c r="N202" i="39" s="1"/>
  <c r="L343" i="62"/>
  <c r="L202" i="39" s="1"/>
  <c r="U343" i="62"/>
  <c r="U202" i="39" s="1"/>
  <c r="AM92" i="48"/>
  <c r="AU33" i="18"/>
  <c r="AF35" i="89"/>
  <c r="BJ93" i="18"/>
  <c r="AF140" i="48"/>
  <c r="AF169" s="1"/>
  <c r="AM179"/>
  <c r="AT140"/>
  <c r="AT169" s="1"/>
  <c r="Y140"/>
  <c r="AT39" i="18"/>
  <c r="AU23"/>
  <c r="K35" i="89"/>
  <c r="AT64" i="48"/>
  <c r="AT15"/>
  <c r="L572" i="62"/>
  <c r="U20" i="89"/>
  <c r="V324" i="39"/>
  <c r="V542" i="62"/>
  <c r="V327" i="39" s="1"/>
  <c r="L364" i="62"/>
  <c r="L213" i="39" s="1"/>
  <c r="L210"/>
  <c r="K74" i="89"/>
  <c r="AT49" i="18"/>
  <c r="AS65"/>
  <c r="AT21"/>
  <c r="AS38"/>
  <c r="AS40" s="1"/>
  <c r="J34" i="89"/>
  <c r="V328" i="62"/>
  <c r="V190" i="39" s="1"/>
  <c r="V187"/>
  <c r="AM80" i="48"/>
  <c r="AM83"/>
  <c r="AM116"/>
  <c r="AM84"/>
  <c r="W545" i="62"/>
  <c r="W328" i="39" s="1"/>
  <c r="W325"/>
  <c r="V316" i="62"/>
  <c r="J58" i="89"/>
  <c r="K20"/>
  <c r="L570" i="62"/>
  <c r="L579" s="1"/>
  <c r="W328"/>
  <c r="W190" i="39" s="1"/>
  <c r="W187"/>
  <c r="AF66" i="48"/>
  <c r="AF64"/>
  <c r="AM73"/>
  <c r="AM104"/>
  <c r="AM108"/>
  <c r="AM126"/>
  <c r="AM130"/>
  <c r="I69" i="77"/>
  <c r="AM110" i="48"/>
  <c r="AM131"/>
  <c r="AM113"/>
  <c r="AM67"/>
  <c r="AM112"/>
  <c r="K77"/>
  <c r="U552" i="62"/>
  <c r="U332" i="39" s="1"/>
  <c r="P552" i="62"/>
  <c r="P332" i="39" s="1"/>
  <c r="O552" i="62"/>
  <c r="O332" i="39" s="1"/>
  <c r="K109" i="48"/>
  <c r="S552" i="62"/>
  <c r="S332" i="39" s="1"/>
  <c r="L552" i="62"/>
  <c r="L332" i="39" s="1"/>
  <c r="T552" i="62"/>
  <c r="T332" i="39" s="1"/>
  <c r="N552" i="62"/>
  <c r="N332" i="39" s="1"/>
  <c r="V516" i="62"/>
  <c r="V309" i="39" s="1"/>
  <c r="M552" i="62"/>
  <c r="M332" i="39" s="1"/>
  <c r="W516" i="62"/>
  <c r="W309" i="39" s="1"/>
  <c r="R552" i="62"/>
  <c r="R332" i="39" s="1"/>
  <c r="Q552" i="62"/>
  <c r="Q332" i="39" s="1"/>
  <c r="U35" i="89"/>
  <c r="AU27" i="18"/>
  <c r="U338" i="62"/>
  <c r="U197" i="39" s="1"/>
  <c r="U342" i="62"/>
  <c r="U201" i="39" s="1"/>
  <c r="U337" i="62"/>
  <c r="U196" i="39" s="1"/>
  <c r="U186"/>
  <c r="U325" i="62"/>
  <c r="U189" i="39" s="1"/>
  <c r="J73" i="89"/>
  <c r="AR64" i="18"/>
  <c r="AR66" s="1"/>
  <c r="AS47"/>
  <c r="U74" i="89"/>
  <c r="AT53" i="18"/>
  <c r="U60" i="89"/>
  <c r="M355" i="62" s="1"/>
  <c r="M210" i="39" s="1"/>
  <c r="W317" i="62"/>
  <c r="W326" s="1"/>
  <c r="K59" i="89"/>
  <c r="Q555" i="62"/>
  <c r="Q335" i="39" s="1"/>
  <c r="L555" i="62"/>
  <c r="L335" i="39" s="1"/>
  <c r="V519" i="62"/>
  <c r="V312" i="39" s="1"/>
  <c r="U555" i="62"/>
  <c r="U335" i="39" s="1"/>
  <c r="O555" i="62"/>
  <c r="O335" i="39" s="1"/>
  <c r="N555" i="62"/>
  <c r="N335" i="39" s="1"/>
  <c r="P555" i="62"/>
  <c r="P335" i="39" s="1"/>
  <c r="T555" i="62"/>
  <c r="T335" i="39" s="1"/>
  <c r="S555" i="62"/>
  <c r="S335" i="39" s="1"/>
  <c r="M555" i="62"/>
  <c r="M335" i="39" s="1"/>
  <c r="W519" i="62"/>
  <c r="W312" i="39" s="1"/>
  <c r="R555" i="62"/>
  <c r="R335" i="39" s="1"/>
  <c r="H52" i="89"/>
  <c r="H54"/>
  <c r="Y66" i="48"/>
  <c r="Y64"/>
  <c r="Y116" s="1"/>
  <c r="W518" i="62"/>
  <c r="W311" i="39" s="1"/>
  <c r="M554" i="62"/>
  <c r="M334" i="39" s="1"/>
  <c r="T554" i="62"/>
  <c r="T334" i="39" s="1"/>
  <c r="L554" i="62"/>
  <c r="L334" i="39" s="1"/>
  <c r="Q554" i="62"/>
  <c r="Q334" i="39" s="1"/>
  <c r="R554" i="62"/>
  <c r="R334" i="39" s="1"/>
  <c r="N554" i="62"/>
  <c r="N334" i="39" s="1"/>
  <c r="P554" i="62"/>
  <c r="P334" i="39" s="1"/>
  <c r="O554" i="62"/>
  <c r="O334" i="39" s="1"/>
  <c r="S554" i="62"/>
  <c r="S334" i="39" s="1"/>
  <c r="V518" i="62"/>
  <c r="V311" i="39" s="1"/>
  <c r="U554" i="62"/>
  <c r="U334" i="39" s="1"/>
  <c r="Q550" i="62"/>
  <c r="Q330" i="39" s="1"/>
  <c r="T550" i="62"/>
  <c r="T330" i="39" s="1"/>
  <c r="L550" i="62"/>
  <c r="L330" i="39" s="1"/>
  <c r="S550" i="62"/>
  <c r="S330" i="39" s="1"/>
  <c r="W514" i="62"/>
  <c r="W307" i="39" s="1"/>
  <c r="N550" i="62"/>
  <c r="N330" i="39" s="1"/>
  <c r="U550" i="62"/>
  <c r="U330" i="39" s="1"/>
  <c r="M550" i="62"/>
  <c r="M330" i="39" s="1"/>
  <c r="P550" i="62"/>
  <c r="P330" i="39" s="1"/>
  <c r="O550" i="62"/>
  <c r="O330" i="39" s="1"/>
  <c r="R550" i="62"/>
  <c r="R330" i="39" s="1"/>
  <c r="V514" i="62"/>
  <c r="V307" i="39" s="1"/>
  <c r="O559" i="62"/>
  <c r="O339" i="39" s="1"/>
  <c r="R559" i="62"/>
  <c r="R339" i="39" s="1"/>
  <c r="V523" i="62"/>
  <c r="V316" i="39" s="1"/>
  <c r="Q559" i="62"/>
  <c r="Q339" i="39" s="1"/>
  <c r="T559" i="62"/>
  <c r="T339" i="39" s="1"/>
  <c r="L559" i="62"/>
  <c r="L339" i="39" s="1"/>
  <c r="S559" i="62"/>
  <c r="S339" i="39" s="1"/>
  <c r="W523" i="62"/>
  <c r="W316" i="39" s="1"/>
  <c r="N559" i="62"/>
  <c r="N339" i="39" s="1"/>
  <c r="U559" i="62"/>
  <c r="U339" i="39" s="1"/>
  <c r="M559" i="62"/>
  <c r="M339" i="39" s="1"/>
  <c r="P559" i="62"/>
  <c r="P339" i="39" s="1"/>
  <c r="W533" i="62"/>
  <c r="J19" i="89"/>
  <c r="BG181" i="20"/>
  <c r="BK14"/>
  <c r="BM74" i="18"/>
  <c r="BL11" i="20"/>
  <c r="BL14" s="1"/>
  <c r="BL16" s="1"/>
  <c r="BN17" s="1"/>
  <c r="L120" i="89"/>
  <c r="BL88" i="18"/>
  <c r="AI119" i="89"/>
  <c r="BK92" i="18"/>
  <c r="BK53" i="20"/>
  <c r="BJ58"/>
  <c r="BM59" s="1"/>
  <c r="L59" s="1"/>
  <c r="BJ56"/>
  <c r="AI104" i="89"/>
  <c r="Q170" i="62"/>
  <c r="Q172" s="1"/>
  <c r="Q174" s="1"/>
  <c r="Q183" s="1"/>
  <c r="O96" i="39"/>
  <c r="O171" i="62"/>
  <c r="O173" s="1"/>
  <c r="O182" s="1"/>
  <c r="O99" i="39" s="1"/>
  <c r="P169" i="62"/>
  <c r="AH103" i="89"/>
  <c r="BJ80" i="20"/>
  <c r="BJ141" s="1"/>
  <c r="BJ116"/>
  <c r="P41" i="25"/>
  <c r="BK33" i="20"/>
  <c r="BM34" s="1"/>
  <c r="L34" s="1"/>
  <c r="BI65"/>
  <c r="BI120" s="1"/>
  <c r="BI66"/>
  <c r="P59" i="25"/>
  <c r="BJ70" i="20"/>
  <c r="AZ178"/>
  <c r="AZ184" s="1"/>
  <c r="AZ132"/>
  <c r="AT145"/>
  <c r="AS147"/>
  <c r="BH112"/>
  <c r="BH104"/>
  <c r="BH67"/>
  <c r="BH109"/>
  <c r="BH111"/>
  <c r="BH110"/>
  <c r="BH107"/>
  <c r="BH113"/>
  <c r="BH108"/>
  <c r="BH131"/>
  <c r="BM28"/>
  <c r="BN80" i="18"/>
  <c r="O43" i="25"/>
  <c r="W121" i="89"/>
  <c r="W122" s="1"/>
  <c r="AX178" i="20"/>
  <c r="AX184" s="1"/>
  <c r="AX132"/>
  <c r="BK51"/>
  <c r="BK70" s="1"/>
  <c r="BI69"/>
  <c r="BH93"/>
  <c r="BH126" s="1"/>
  <c r="BH140"/>
  <c r="AV132"/>
  <c r="AV178"/>
  <c r="AV184" s="1"/>
  <c r="BK45"/>
  <c r="AH119" i="89"/>
  <c r="BL86" i="18"/>
  <c r="BK91"/>
  <c r="O61" i="25"/>
  <c r="AS178" i="20"/>
  <c r="AS184" s="1"/>
  <c r="AS132"/>
  <c r="AT178"/>
  <c r="AT184" s="1"/>
  <c r="AT132"/>
  <c r="S159" i="48"/>
  <c r="J30" i="76"/>
  <c r="S176" i="48"/>
  <c r="J29" i="94"/>
  <c r="J22" i="66"/>
  <c r="K184" i="20"/>
  <c r="S182" i="48" s="1"/>
  <c r="AQ178" i="20"/>
  <c r="AQ184" s="1"/>
  <c r="AQ132"/>
  <c r="AY132"/>
  <c r="AY178"/>
  <c r="AY184" s="1"/>
  <c r="AU178"/>
  <c r="AU184" s="1"/>
  <c r="AU132"/>
  <c r="BJ48"/>
  <c r="BJ50"/>
  <c r="BJ90"/>
  <c r="BA178"/>
  <c r="BA184" s="1"/>
  <c r="BA132"/>
  <c r="BL33"/>
  <c r="BN34" s="1"/>
  <c r="P42" i="25"/>
  <c r="BK41" i="20"/>
  <c r="BN42" s="1"/>
  <c r="J33" i="94"/>
  <c r="J27" i="66"/>
  <c r="S181" i="48"/>
  <c r="AW178" i="20"/>
  <c r="AW184" s="1"/>
  <c r="AW132"/>
  <c r="AP178"/>
  <c r="AP184" s="1"/>
  <c r="AP132"/>
  <c r="AR178"/>
  <c r="AR184" s="1"/>
  <c r="AR132"/>
  <c r="BN82" i="18"/>
  <c r="BM36" i="20"/>
  <c r="BM39" s="1"/>
  <c r="BM41" s="1"/>
  <c r="BP42" s="1"/>
  <c r="X121" i="89"/>
  <c r="X122" s="1"/>
  <c r="T167" i="62"/>
  <c r="T180" s="1"/>
  <c r="AG62" i="89"/>
  <c r="N359" i="62"/>
  <c r="N368" s="1"/>
  <c r="R95" i="39"/>
  <c r="R179" i="62"/>
  <c r="R98" i="39" s="1"/>
  <c r="AG77" i="89"/>
  <c r="AW61" i="18"/>
  <c r="M364" i="62"/>
  <c r="M213" i="39" s="1"/>
  <c r="O576" i="62"/>
  <c r="O585" s="1"/>
  <c r="AG23" i="89"/>
  <c r="AG38"/>
  <c r="AX35" i="18"/>
  <c r="W106" i="89" l="1"/>
  <c r="T166" i="62" s="1"/>
  <c r="V76" i="89"/>
  <c r="AV55" i="18"/>
  <c r="V62" i="89"/>
  <c r="O356" i="62" s="1"/>
  <c r="O365" s="1"/>
  <c r="V37" i="89"/>
  <c r="AW29" i="18"/>
  <c r="N573" i="62"/>
  <c r="N582" s="1"/>
  <c r="V22" i="89"/>
  <c r="R164" i="62"/>
  <c r="R177" s="1"/>
  <c r="M105" i="89"/>
  <c r="BL19" i="20"/>
  <c r="BL22" s="1"/>
  <c r="BL24" s="1"/>
  <c r="BO25" s="1"/>
  <c r="BM76" i="18"/>
  <c r="M120" i="89"/>
  <c r="P189" i="62"/>
  <c r="P105" i="39" s="1"/>
  <c r="P188" i="62"/>
  <c r="P104" i="39" s="1"/>
  <c r="P176" i="62"/>
  <c r="P97" i="39" s="1"/>
  <c r="P94"/>
  <c r="P193" i="62"/>
  <c r="P109" i="39" s="1"/>
  <c r="Q163" i="62"/>
  <c r="L104" i="89"/>
  <c r="Y92" i="48"/>
  <c r="Y125" s="1"/>
  <c r="AT92"/>
  <c r="AT125" s="1"/>
  <c r="AM125"/>
  <c r="L349" i="39"/>
  <c r="L584" i="62"/>
  <c r="L352" i="39" s="1"/>
  <c r="AF36" i="89"/>
  <c r="AV33" i="18"/>
  <c r="W188" i="39"/>
  <c r="W331" i="62"/>
  <c r="W191" i="39" s="1"/>
  <c r="AU59" i="18"/>
  <c r="AF75" i="89"/>
  <c r="L358" i="62"/>
  <c r="AF60" i="89"/>
  <c r="AF145" i="48"/>
  <c r="AT145"/>
  <c r="AM147"/>
  <c r="Y145"/>
  <c r="Y147" s="1"/>
  <c r="M575" i="62"/>
  <c r="AF21" i="89"/>
  <c r="L36" i="20"/>
  <c r="L41" s="1"/>
  <c r="T41" i="48" s="1"/>
  <c r="W542" i="62"/>
  <c r="W327" i="39" s="1"/>
  <c r="W324"/>
  <c r="U75" i="89"/>
  <c r="AU53" i="18"/>
  <c r="U61" i="89"/>
  <c r="N355" i="62" s="1"/>
  <c r="AF129" i="48"/>
  <c r="J206" i="20"/>
  <c r="H65" i="77"/>
  <c r="G91" i="22"/>
  <c r="AF110" i="48"/>
  <c r="AF127"/>
  <c r="AF107"/>
  <c r="AF126"/>
  <c r="AF104"/>
  <c r="AF111"/>
  <c r="AF108"/>
  <c r="AF113"/>
  <c r="AF130"/>
  <c r="AF131"/>
  <c r="AF112"/>
  <c r="AF132"/>
  <c r="AF109"/>
  <c r="AF67"/>
  <c r="K21" i="89"/>
  <c r="M570" i="62"/>
  <c r="M579" s="1"/>
  <c r="AM117" i="48"/>
  <c r="AF83"/>
  <c r="Y83"/>
  <c r="Y117" s="1"/>
  <c r="AT83"/>
  <c r="AT117" s="1"/>
  <c r="AM85"/>
  <c r="O56" i="31"/>
  <c r="AU49" i="18"/>
  <c r="AT65"/>
  <c r="K75" i="89"/>
  <c r="BK93" i="18"/>
  <c r="L569" i="62"/>
  <c r="J20" i="89"/>
  <c r="AF117" i="48"/>
  <c r="AF116"/>
  <c r="AF114"/>
  <c r="AF118"/>
  <c r="AF119"/>
  <c r="L348" i="39"/>
  <c r="L581" i="62"/>
  <c r="L351" i="39" s="1"/>
  <c r="AU39" i="18"/>
  <c r="K36" i="89"/>
  <c r="AV23" i="18"/>
  <c r="AT179" i="48"/>
  <c r="AF179"/>
  <c r="Y131"/>
  <c r="Y113"/>
  <c r="Y110"/>
  <c r="H61" i="77"/>
  <c r="Y112" i="48"/>
  <c r="Y108"/>
  <c r="Y126"/>
  <c r="Y67"/>
  <c r="Y130"/>
  <c r="Y104"/>
  <c r="AT47" i="18"/>
  <c r="AS64"/>
  <c r="AS66" s="1"/>
  <c r="J74" i="89"/>
  <c r="AV27" i="18"/>
  <c r="U36" i="89"/>
  <c r="K94" i="48"/>
  <c r="K156"/>
  <c r="K111"/>
  <c r="AM75"/>
  <c r="AT73"/>
  <c r="Y73"/>
  <c r="Y107" s="1"/>
  <c r="AF73"/>
  <c r="AM77"/>
  <c r="V186" i="39"/>
  <c r="V342" i="62"/>
  <c r="V201" i="39" s="1"/>
  <c r="V337" i="62"/>
  <c r="V196" i="39" s="1"/>
  <c r="V338" i="62"/>
  <c r="V197" i="39" s="1"/>
  <c r="V325" i="62"/>
  <c r="V189" i="39" s="1"/>
  <c r="AT84" i="48"/>
  <c r="AT118" s="1"/>
  <c r="Y84"/>
  <c r="Y118" s="1"/>
  <c r="AF84"/>
  <c r="AT38" i="18"/>
  <c r="AT40" s="1"/>
  <c r="AU21"/>
  <c r="J35" i="89"/>
  <c r="M572" i="62"/>
  <c r="U21" i="89"/>
  <c r="L353" i="62"/>
  <c r="L362" s="1"/>
  <c r="K60" i="89"/>
  <c r="W316" i="62"/>
  <c r="J59" i="89"/>
  <c r="AM114" i="48"/>
  <c r="Y80"/>
  <c r="Y114" s="1"/>
  <c r="AM141"/>
  <c r="AF80"/>
  <c r="AT80"/>
  <c r="AT114" s="1"/>
  <c r="AT66"/>
  <c r="AT116"/>
  <c r="Y179"/>
  <c r="Y169"/>
  <c r="AM107"/>
  <c r="AM118"/>
  <c r="BK16" i="20"/>
  <c r="BM17" s="1"/>
  <c r="L17" s="1"/>
  <c r="BK64"/>
  <c r="P21" i="25"/>
  <c r="BN74" i="18"/>
  <c r="BM11" i="20"/>
  <c r="L121" i="89"/>
  <c r="L122" s="1"/>
  <c r="BL92" i="18"/>
  <c r="AI120" i="89"/>
  <c r="BM88" i="18"/>
  <c r="BL53" i="20"/>
  <c r="P96" i="39"/>
  <c r="P171" i="62"/>
  <c r="P173" s="1"/>
  <c r="P182" s="1"/>
  <c r="P99" i="39" s="1"/>
  <c r="R170" i="62"/>
  <c r="R172" s="1"/>
  <c r="R174" s="1"/>
  <c r="R183" s="1"/>
  <c r="AI105" i="89"/>
  <c r="AH104"/>
  <c r="Q169" i="62"/>
  <c r="BK56" i="20"/>
  <c r="BK58"/>
  <c r="BN59" s="1"/>
  <c r="AR168"/>
  <c r="AR169" s="1"/>
  <c r="AZ168"/>
  <c r="AZ169" s="1"/>
  <c r="AW168"/>
  <c r="AW169" s="1"/>
  <c r="AT168"/>
  <c r="AT169" s="1"/>
  <c r="AP168"/>
  <c r="AP169" s="1"/>
  <c r="AY168"/>
  <c r="AY169" s="1"/>
  <c r="AQ168"/>
  <c r="AQ169" s="1"/>
  <c r="AU168"/>
  <c r="AU169" s="1"/>
  <c r="BA168"/>
  <c r="AS168"/>
  <c r="AS169" s="1"/>
  <c r="AX168"/>
  <c r="AX169" s="1"/>
  <c r="BL51"/>
  <c r="BL70" s="1"/>
  <c r="BJ69"/>
  <c r="BK48"/>
  <c r="BK50"/>
  <c r="BK90"/>
  <c r="BM31"/>
  <c r="L28"/>
  <c r="AT147"/>
  <c r="AU145"/>
  <c r="BJ182"/>
  <c r="BI140"/>
  <c r="BI181" s="1"/>
  <c r="BI93"/>
  <c r="BI126" s="1"/>
  <c r="R32" i="25"/>
  <c r="Y110" i="89"/>
  <c r="BO80" i="18"/>
  <c r="BN28" i="20"/>
  <c r="BN31" s="1"/>
  <c r="J35" i="66"/>
  <c r="Z110" i="89"/>
  <c r="BN36" i="20"/>
  <c r="BN39" s="1"/>
  <c r="BN41" s="1"/>
  <c r="BQ42" s="1"/>
  <c r="BO82" i="18"/>
  <c r="AH120" i="89"/>
  <c r="BM86" i="18"/>
  <c r="BL45" i="20"/>
  <c r="O62" i="25"/>
  <c r="BL91" i="18"/>
  <c r="S80" i="25"/>
  <c r="P83"/>
  <c r="BI111" i="20"/>
  <c r="BI67"/>
  <c r="BI108"/>
  <c r="BI113"/>
  <c r="BI131"/>
  <c r="BI112"/>
  <c r="BI104"/>
  <c r="BI110"/>
  <c r="BI109"/>
  <c r="BI107"/>
  <c r="BJ65"/>
  <c r="BJ120" s="1"/>
  <c r="BJ66"/>
  <c r="P60" i="25"/>
  <c r="BH181" i="20"/>
  <c r="BH171"/>
  <c r="X107" i="89"/>
  <c r="L39" i="20"/>
  <c r="T39" i="48" s="1"/>
  <c r="AV168" i="20"/>
  <c r="AV169" s="1"/>
  <c r="S95" i="39"/>
  <c r="S179" i="62"/>
  <c r="S98" i="39" s="1"/>
  <c r="AG63" i="89"/>
  <c r="O359" i="62"/>
  <c r="O368" s="1"/>
  <c r="AG39" i="89"/>
  <c r="AY35" i="18"/>
  <c r="P576" i="62"/>
  <c r="P585" s="1"/>
  <c r="AG24" i="89"/>
  <c r="AX61" i="18"/>
  <c r="AG78" i="89"/>
  <c r="T36" i="48" l="1"/>
  <c r="BL64" i="20"/>
  <c r="BL116" s="1"/>
  <c r="P22" i="25"/>
  <c r="V38" i="89"/>
  <c r="AX29" i="18"/>
  <c r="AW55"/>
  <c r="V63" i="89"/>
  <c r="P356" i="62" s="1"/>
  <c r="P365" s="1"/>
  <c r="V77" i="89"/>
  <c r="O573" i="62"/>
  <c r="O582" s="1"/>
  <c r="V23" i="89"/>
  <c r="M106"/>
  <c r="S164" i="62"/>
  <c r="S177" s="1"/>
  <c r="Q189"/>
  <c r="Q105" i="39" s="1"/>
  <c r="Q193" i="62"/>
  <c r="Q109" i="39" s="1"/>
  <c r="Q176" i="62"/>
  <c r="Q97" i="39" s="1"/>
  <c r="Q188" i="62"/>
  <c r="Q104" i="39" s="1"/>
  <c r="Q94"/>
  <c r="R163" i="62"/>
  <c r="L105" i="89"/>
  <c r="M121"/>
  <c r="M122" s="1"/>
  <c r="BN76" i="18"/>
  <c r="BM19" i="20"/>
  <c r="O23" i="25"/>
  <c r="M358" i="62"/>
  <c r="AF61" i="89"/>
  <c r="M584" i="62"/>
  <c r="M352" i="39" s="1"/>
  <c r="M349"/>
  <c r="AV59" i="18"/>
  <c r="AF76" i="89"/>
  <c r="AF22"/>
  <c r="N575" i="62"/>
  <c r="AF37" i="89"/>
  <c r="AW33" i="18"/>
  <c r="AF147" i="48"/>
  <c r="AT147"/>
  <c r="L367" i="62"/>
  <c r="L214" i="39" s="1"/>
  <c r="L211"/>
  <c r="BL93" i="18"/>
  <c r="J60" i="89"/>
  <c r="L352" i="62"/>
  <c r="N572"/>
  <c r="U22" i="89"/>
  <c r="K127" i="48"/>
  <c r="K96"/>
  <c r="K139"/>
  <c r="K155"/>
  <c r="M569" i="62"/>
  <c r="J21" i="89"/>
  <c r="N364" i="62"/>
  <c r="N213" i="39" s="1"/>
  <c r="N210"/>
  <c r="J36" i="89"/>
  <c r="AV21" i="18"/>
  <c r="AU38"/>
  <c r="AU40" s="1"/>
  <c r="Y85" i="48"/>
  <c r="Y119" s="1"/>
  <c r="AT85"/>
  <c r="AT119" s="1"/>
  <c r="AM119"/>
  <c r="AT126"/>
  <c r="AT130"/>
  <c r="AT108"/>
  <c r="AT112"/>
  <c r="AT107"/>
  <c r="AT131"/>
  <c r="AT104"/>
  <c r="AT110"/>
  <c r="AT113"/>
  <c r="AT67"/>
  <c r="K61" i="89"/>
  <c r="M353" i="62"/>
  <c r="M362" s="1"/>
  <c r="AW27" i="18"/>
  <c r="U37" i="89"/>
  <c r="AV39" i="18"/>
  <c r="K37" i="89"/>
  <c r="AW23" i="18"/>
  <c r="AF85" i="48"/>
  <c r="N333" i="62"/>
  <c r="N192" i="39" s="1"/>
  <c r="S333" i="62"/>
  <c r="S192" i="39" s="1"/>
  <c r="W297" i="62"/>
  <c r="W169" i="39" s="1"/>
  <c r="P333" i="62"/>
  <c r="P192" i="39" s="1"/>
  <c r="U333" i="62"/>
  <c r="U192" i="39" s="1"/>
  <c r="M333" i="62"/>
  <c r="M192" i="39" s="1"/>
  <c r="R333" i="62"/>
  <c r="R192" i="39" s="1"/>
  <c r="V297" i="62"/>
  <c r="V169" i="39" s="1"/>
  <c r="O333" i="62"/>
  <c r="O192" i="39" s="1"/>
  <c r="T333" i="62"/>
  <c r="T192" i="39" s="1"/>
  <c r="L333" i="62"/>
  <c r="L192" i="39" s="1"/>
  <c r="Q333" i="62"/>
  <c r="Q192" i="39" s="1"/>
  <c r="AF141" i="48"/>
  <c r="AF170" s="1"/>
  <c r="AM180"/>
  <c r="Y141"/>
  <c r="AT141"/>
  <c r="AT170" s="1"/>
  <c r="W342" i="62"/>
  <c r="W201" i="39" s="1"/>
  <c r="W338" i="62"/>
  <c r="W197" i="39" s="1"/>
  <c r="W325" i="62"/>
  <c r="W189" i="39" s="1"/>
  <c r="W186"/>
  <c r="W337" i="62"/>
  <c r="W196" i="39" s="1"/>
  <c r="M348"/>
  <c r="M581" i="62"/>
  <c r="M351" i="39" s="1"/>
  <c r="AT77" i="48"/>
  <c r="AT111" s="1"/>
  <c r="Y77"/>
  <c r="AM94"/>
  <c r="AM156"/>
  <c r="AM111"/>
  <c r="N335" i="62"/>
  <c r="N194" i="39" s="1"/>
  <c r="V299" i="62"/>
  <c r="V171" i="39" s="1"/>
  <c r="U335" i="62"/>
  <c r="U194" i="39" s="1"/>
  <c r="Y75" i="48"/>
  <c r="Y109" s="1"/>
  <c r="R335" i="62"/>
  <c r="R194" i="39" s="1"/>
  <c r="O335" i="62"/>
  <c r="O194" i="39" s="1"/>
  <c r="L335" i="62"/>
  <c r="L194" i="39" s="1"/>
  <c r="AT75" i="48"/>
  <c r="AT109" s="1"/>
  <c r="P335" i="62"/>
  <c r="P194" i="39" s="1"/>
  <c r="S335" i="62"/>
  <c r="S194" i="39" s="1"/>
  <c r="M335" i="62"/>
  <c r="M194" i="39" s="1"/>
  <c r="W299" i="62"/>
  <c r="W171" i="39" s="1"/>
  <c r="T335" i="62"/>
  <c r="T194" i="39" s="1"/>
  <c r="Q335" i="62"/>
  <c r="Q194" i="39" s="1"/>
  <c r="AM109" i="48"/>
  <c r="AF75"/>
  <c r="AF77" s="1"/>
  <c r="AF94" s="1"/>
  <c r="J75" i="89"/>
  <c r="AU47" i="18"/>
  <c r="AT64"/>
  <c r="AT66" s="1"/>
  <c r="L578" i="62"/>
  <c r="L350" i="39" s="1"/>
  <c r="L347"/>
  <c r="AV49" i="18"/>
  <c r="K76" i="89"/>
  <c r="AU65" i="18"/>
  <c r="K22" i="89"/>
  <c r="N570" i="62"/>
  <c r="N579" s="1"/>
  <c r="U62" i="89"/>
  <c r="O355" i="62" s="1"/>
  <c r="U76" i="89"/>
  <c r="AV53" i="18"/>
  <c r="N110" i="89"/>
  <c r="BO74" i="18"/>
  <c r="BN11" i="20"/>
  <c r="BN14" s="1"/>
  <c r="BN16" s="1"/>
  <c r="BP17" s="1"/>
  <c r="BM14"/>
  <c r="L11"/>
  <c r="BK116"/>
  <c r="BK80"/>
  <c r="BK141" s="1"/>
  <c r="BK182" s="1"/>
  <c r="Z96" i="89"/>
  <c r="AH105"/>
  <c r="R169" i="62"/>
  <c r="Q171"/>
  <c r="Q173" s="1"/>
  <c r="Q182" s="1"/>
  <c r="Q99" i="39" s="1"/>
  <c r="Q96"/>
  <c r="BM53" i="20"/>
  <c r="BM92" i="18"/>
  <c r="AI121" i="89"/>
  <c r="AI122" s="1"/>
  <c r="BN88" i="18"/>
  <c r="S170" i="62"/>
  <c r="S172" s="1"/>
  <c r="S174" s="1"/>
  <c r="S183" s="1"/>
  <c r="AI106" i="89"/>
  <c r="BL58" i="20"/>
  <c r="BO59" s="1"/>
  <c r="BL56"/>
  <c r="J41" i="66"/>
  <c r="G25" i="86" s="1"/>
  <c r="J60" i="66"/>
  <c r="BM33" i="20"/>
  <c r="BO34" s="1"/>
  <c r="P43" i="25"/>
  <c r="P44" s="1"/>
  <c r="L31" i="20"/>
  <c r="BJ140"/>
  <c r="BJ181" s="1"/>
  <c r="BJ93"/>
  <c r="BJ126" s="1"/>
  <c r="K168"/>
  <c r="S168" i="48" s="1"/>
  <c r="BA169" i="20"/>
  <c r="BJ107"/>
  <c r="BJ112"/>
  <c r="BJ113"/>
  <c r="BJ108"/>
  <c r="BJ109"/>
  <c r="BJ111"/>
  <c r="BJ110"/>
  <c r="BJ131"/>
  <c r="BJ104"/>
  <c r="BJ67"/>
  <c r="BM45"/>
  <c r="BN86" i="18"/>
  <c r="AH121" i="89"/>
  <c r="AH122" s="1"/>
  <c r="O63" i="25"/>
  <c r="P93" s="1"/>
  <c r="BM91" i="18"/>
  <c r="BO36" i="20"/>
  <c r="BO39" s="1"/>
  <c r="BO41" s="1"/>
  <c r="BR42" s="1"/>
  <c r="BP82" i="18"/>
  <c r="Z111" i="89"/>
  <c r="BN33" i="20"/>
  <c r="BP34" s="1"/>
  <c r="S32" i="25"/>
  <c r="AV145" i="20"/>
  <c r="AU147"/>
  <c r="X108" i="89"/>
  <c r="X90" s="1"/>
  <c r="W107"/>
  <c r="U166" i="62" s="1"/>
  <c r="P82" i="25"/>
  <c r="P81"/>
  <c r="BL48" i="20"/>
  <c r="BL50"/>
  <c r="BL90"/>
  <c r="T28" i="48"/>
  <c r="L33" i="20"/>
  <c r="P61" i="25"/>
  <c r="BK66" i="20"/>
  <c r="BK65"/>
  <c r="BK120" s="1"/>
  <c r="U167" i="62"/>
  <c r="U180" s="1"/>
  <c r="Y111" i="89"/>
  <c r="BP80" i="18"/>
  <c r="BO28" i="20"/>
  <c r="BO31" s="1"/>
  <c r="R33" i="25"/>
  <c r="BI171" i="20"/>
  <c r="BM51"/>
  <c r="BK69"/>
  <c r="BK93" s="1"/>
  <c r="O210" i="39"/>
  <c r="O364" i="62"/>
  <c r="O213" i="39" s="1"/>
  <c r="T95"/>
  <c r="T179" i="62"/>
  <c r="T98" i="39" s="1"/>
  <c r="AG25" i="89"/>
  <c r="Q576" i="62"/>
  <c r="Q585" s="1"/>
  <c r="AG64" i="89"/>
  <c r="P359" i="62"/>
  <c r="P368" s="1"/>
  <c r="AG79" i="89"/>
  <c r="AY61" i="18"/>
  <c r="AG40" i="89"/>
  <c r="AZ35" i="18"/>
  <c r="BL80" i="20" l="1"/>
  <c r="BL141" s="1"/>
  <c r="BL182" s="1"/>
  <c r="AY29" i="18"/>
  <c r="V39" i="89"/>
  <c r="P573" i="62"/>
  <c r="P582" s="1"/>
  <c r="V24" i="89"/>
  <c r="V78"/>
  <c r="V64"/>
  <c r="Q356" i="62" s="1"/>
  <c r="Q365" s="1"/>
  <c r="AX55" i="18"/>
  <c r="S71" i="25"/>
  <c r="P73"/>
  <c r="P72" s="1"/>
  <c r="P74" s="1"/>
  <c r="L106" i="89"/>
  <c r="S163" i="62"/>
  <c r="T164"/>
  <c r="T177" s="1"/>
  <c r="M107" i="89"/>
  <c r="BO76" i="18"/>
  <c r="R12" i="25"/>
  <c r="O110" i="89"/>
  <c r="BN19" i="20"/>
  <c r="BN22" s="1"/>
  <c r="BN24" s="1"/>
  <c r="BQ25" s="1"/>
  <c r="BM22"/>
  <c r="BM64" s="1"/>
  <c r="L19"/>
  <c r="R188" i="62"/>
  <c r="R104" i="39" s="1"/>
  <c r="R189" i="62"/>
  <c r="R105" i="39" s="1"/>
  <c r="R193" i="62"/>
  <c r="R109" i="39" s="1"/>
  <c r="R94"/>
  <c r="R176" i="62"/>
  <c r="R97" i="39" s="1"/>
  <c r="W108" i="89"/>
  <c r="W90" s="1"/>
  <c r="W91" s="1"/>
  <c r="Z97"/>
  <c r="W167" i="62" s="1"/>
  <c r="W180" s="1"/>
  <c r="AF77" i="89"/>
  <c r="AW59" i="18"/>
  <c r="M367" i="62"/>
  <c r="M214" i="39" s="1"/>
  <c r="M211"/>
  <c r="AX33" i="18"/>
  <c r="AF38" i="89"/>
  <c r="AF62"/>
  <c r="N358" i="62"/>
  <c r="O575"/>
  <c r="AF23" i="89"/>
  <c r="Y96"/>
  <c r="V167" i="62"/>
  <c r="V180" s="1"/>
  <c r="N584"/>
  <c r="N352" i="39" s="1"/>
  <c r="N349"/>
  <c r="BK126" i="20"/>
  <c r="BM93" i="18"/>
  <c r="K62" i="89"/>
  <c r="N353" i="62"/>
  <c r="N362" s="1"/>
  <c r="M578"/>
  <c r="M350" i="39" s="1"/>
  <c r="M347"/>
  <c r="M352" i="62"/>
  <c r="J61" i="89"/>
  <c r="U63"/>
  <c r="P355" i="62" s="1"/>
  <c r="U77" i="89"/>
  <c r="AW53" i="18"/>
  <c r="O570" i="62"/>
  <c r="O579" s="1"/>
  <c r="K23" i="89"/>
  <c r="Y111" i="48"/>
  <c r="Y94"/>
  <c r="Y127" s="1"/>
  <c r="AV38" i="18"/>
  <c r="AV40" s="1"/>
  <c r="J37" i="89"/>
  <c r="AW21" i="18"/>
  <c r="N569" i="62"/>
  <c r="J22" i="89"/>
  <c r="H54" i="77"/>
  <c r="K99" i="48"/>
  <c r="K129"/>
  <c r="H6" i="36"/>
  <c r="L378" i="62"/>
  <c r="L224" i="39" s="1"/>
  <c r="L373" i="62"/>
  <c r="L219" i="39" s="1"/>
  <c r="L361" i="62"/>
  <c r="L212" i="39" s="1"/>
  <c r="L209"/>
  <c r="L374" i="62"/>
  <c r="L220" i="39" s="1"/>
  <c r="K77" i="89"/>
  <c r="AV65" i="18"/>
  <c r="AW49"/>
  <c r="AU64"/>
  <c r="AU66" s="1"/>
  <c r="AV47"/>
  <c r="J76" i="89"/>
  <c r="AT94" i="48"/>
  <c r="AT127" s="1"/>
  <c r="AM96"/>
  <c r="AM139"/>
  <c r="AM155"/>
  <c r="AM127"/>
  <c r="AT180"/>
  <c r="AF180"/>
  <c r="AX23" i="18"/>
  <c r="AW39"/>
  <c r="K38" i="89"/>
  <c r="AX27" i="18"/>
  <c r="U38" i="89"/>
  <c r="K191" i="48"/>
  <c r="K192" s="1"/>
  <c r="L190" s="1"/>
  <c r="K143"/>
  <c r="K151" s="1"/>
  <c r="N581" i="62"/>
  <c r="N351" i="39" s="1"/>
  <c r="N348"/>
  <c r="AF156" i="48"/>
  <c r="AF172" s="1"/>
  <c r="Y156"/>
  <c r="Y172" s="1"/>
  <c r="AT156"/>
  <c r="AT172" s="1"/>
  <c r="Y180"/>
  <c r="Y170"/>
  <c r="K159"/>
  <c r="K181"/>
  <c r="U23" i="89"/>
  <c r="O572" i="62"/>
  <c r="L16" i="20"/>
  <c r="T16" i="48" s="1"/>
  <c r="T11"/>
  <c r="BP74" i="18"/>
  <c r="N111" i="89"/>
  <c r="BO11" i="20"/>
  <c r="BO14" s="1"/>
  <c r="BO16" s="1"/>
  <c r="BQ17" s="1"/>
  <c r="BM16"/>
  <c r="BO17" s="1"/>
  <c r="L14"/>
  <c r="L53"/>
  <c r="BM56"/>
  <c r="L56" s="1"/>
  <c r="T56" i="48" s="1"/>
  <c r="BM58" i="20"/>
  <c r="BP59" s="1"/>
  <c r="AH106" i="89"/>
  <c r="T169" i="62" s="1"/>
  <c r="T171" s="1"/>
  <c r="T173" s="1"/>
  <c r="T182" s="1"/>
  <c r="S169"/>
  <c r="T170"/>
  <c r="T172" s="1"/>
  <c r="T174" s="1"/>
  <c r="T183" s="1"/>
  <c r="AI107" i="89"/>
  <c r="AI108" s="1"/>
  <c r="AI90" s="1"/>
  <c r="R171" i="62"/>
  <c r="R173" s="1"/>
  <c r="R182" s="1"/>
  <c r="R99" i="39" s="1"/>
  <c r="R96"/>
  <c r="P84" i="25"/>
  <c r="BN53" i="20"/>
  <c r="BN92" i="18"/>
  <c r="BO88"/>
  <c r="AK110" i="89"/>
  <c r="P62" i="25"/>
  <c r="BL66" i="20"/>
  <c r="BL65"/>
  <c r="BL120" s="1"/>
  <c r="BN45"/>
  <c r="BO86" i="18"/>
  <c r="AJ110" i="89"/>
  <c r="R52" i="25"/>
  <c r="BN91" i="18"/>
  <c r="Y78" i="28"/>
  <c r="Y79" s="1"/>
  <c r="I88" i="22"/>
  <c r="T31" i="48"/>
  <c r="K12" i="26"/>
  <c r="R34" i="25"/>
  <c r="BP28" i="20"/>
  <c r="BP31" s="1"/>
  <c r="Y112" i="89"/>
  <c r="BQ80" i="18"/>
  <c r="T33" i="48"/>
  <c r="BN51" i="20"/>
  <c r="BN70" s="1"/>
  <c r="BL69"/>
  <c r="BL93" s="1"/>
  <c r="AV147"/>
  <c r="AW145"/>
  <c r="BO33"/>
  <c r="BQ34" s="1"/>
  <c r="S33" i="25"/>
  <c r="P91"/>
  <c r="P92"/>
  <c r="S90"/>
  <c r="BK140" i="20"/>
  <c r="BK181" s="1"/>
  <c r="BJ171"/>
  <c r="BM70"/>
  <c r="L51"/>
  <c r="L70" s="1"/>
  <c r="BK111"/>
  <c r="BK109"/>
  <c r="BK104"/>
  <c r="BK112"/>
  <c r="BK131"/>
  <c r="BK107"/>
  <c r="BK108"/>
  <c r="BK110"/>
  <c r="BK113"/>
  <c r="BK67"/>
  <c r="BP36"/>
  <c r="BP39" s="1"/>
  <c r="BP41" s="1"/>
  <c r="BS42" s="1"/>
  <c r="BQ82" i="18"/>
  <c r="Z112" i="89"/>
  <c r="BM48" i="20"/>
  <c r="BM50"/>
  <c r="L45"/>
  <c r="BM90"/>
  <c r="L90" s="1"/>
  <c r="V166" i="62"/>
  <c r="U95" i="39"/>
  <c r="U179" i="62"/>
  <c r="U98" i="39" s="1"/>
  <c r="AG26" i="89"/>
  <c r="R576" i="62"/>
  <c r="R585" s="1"/>
  <c r="AG41" i="89"/>
  <c r="BA35" i="18"/>
  <c r="AG80" i="89"/>
  <c r="AZ61" i="18"/>
  <c r="Q359" i="62"/>
  <c r="Q368" s="1"/>
  <c r="AG65" i="89"/>
  <c r="P23" i="25" l="1"/>
  <c r="P24" s="1"/>
  <c r="AZ29" i="18"/>
  <c r="V40" i="89"/>
  <c r="V79"/>
  <c r="AY55" i="18"/>
  <c r="V65" i="89"/>
  <c r="R356" i="62" s="1"/>
  <c r="R365" s="1"/>
  <c r="Q573"/>
  <c r="Q582" s="1"/>
  <c r="V25" i="89"/>
  <c r="S12" i="25"/>
  <c r="BN64" i="20"/>
  <c r="BN116" s="1"/>
  <c r="BM116"/>
  <c r="BM80"/>
  <c r="BM141" s="1"/>
  <c r="L141" s="1"/>
  <c r="T19" i="48"/>
  <c r="L24" i="20"/>
  <c r="T24" i="48" s="1"/>
  <c r="M108" i="89"/>
  <c r="M90" s="1"/>
  <c r="O96"/>
  <c r="U164" i="62"/>
  <c r="U177" s="1"/>
  <c r="O111" i="89"/>
  <c r="R13" i="25"/>
  <c r="BP76" i="18"/>
  <c r="BO19" i="20"/>
  <c r="BO22" s="1"/>
  <c r="S13" i="25" s="1"/>
  <c r="T163" i="62"/>
  <c r="L107" i="89"/>
  <c r="BM24" i="20"/>
  <c r="BP25" s="1"/>
  <c r="L22"/>
  <c r="T22" i="48" s="1"/>
  <c r="S193" i="62"/>
  <c r="S109" i="39" s="1"/>
  <c r="S94"/>
  <c r="S188" i="62"/>
  <c r="S104" i="39" s="1"/>
  <c r="S176" i="62"/>
  <c r="S97" i="39" s="1"/>
  <c r="S189" i="62"/>
  <c r="S105" i="39" s="1"/>
  <c r="Y97" i="89"/>
  <c r="W166" i="62" s="1"/>
  <c r="W93" i="89"/>
  <c r="Z98"/>
  <c r="L207" i="62" s="1"/>
  <c r="L220" s="1"/>
  <c r="O584"/>
  <c r="O352" i="39" s="1"/>
  <c r="O349"/>
  <c r="AY33" i="18"/>
  <c r="AF39" i="89"/>
  <c r="P575" i="62"/>
  <c r="AF24" i="89"/>
  <c r="AX59" i="18"/>
  <c r="AF78" i="89"/>
  <c r="O358" i="62"/>
  <c r="AF63" i="89"/>
  <c r="N211" i="39"/>
  <c r="N367" i="62"/>
  <c r="N214" i="39" s="1"/>
  <c r="T99"/>
  <c r="T96"/>
  <c r="P572" i="62"/>
  <c r="U24" i="89"/>
  <c r="K39"/>
  <c r="AY23" i="18"/>
  <c r="AX39"/>
  <c r="AM159" i="48"/>
  <c r="AT155"/>
  <c r="AT171" s="1"/>
  <c r="AM181"/>
  <c r="AF155"/>
  <c r="AF171" s="1"/>
  <c r="Y155"/>
  <c r="N347" i="39"/>
  <c r="N578" i="62"/>
  <c r="N350" i="39" s="1"/>
  <c r="U78" i="89"/>
  <c r="AX53" i="18"/>
  <c r="U64" i="89"/>
  <c r="Q355" i="62" s="1"/>
  <c r="M209" i="39"/>
  <c r="M373" i="62"/>
  <c r="M219" i="39" s="1"/>
  <c r="M374" i="62"/>
  <c r="M220" i="39" s="1"/>
  <c r="M378" i="62"/>
  <c r="M224" i="39" s="1"/>
  <c r="M361" i="62"/>
  <c r="M212" i="39" s="1"/>
  <c r="K63" i="89"/>
  <c r="O353" i="62"/>
  <c r="O362" s="1"/>
  <c r="AH107" i="89"/>
  <c r="O348" i="39"/>
  <c r="O581" i="62"/>
  <c r="O351" i="39" s="1"/>
  <c r="AX49" i="18"/>
  <c r="K78" i="89"/>
  <c r="AW65" i="18"/>
  <c r="O569" i="62"/>
  <c r="J23" i="89"/>
  <c r="J62"/>
  <c r="N352" i="62"/>
  <c r="AT96" i="48"/>
  <c r="AT129" s="1"/>
  <c r="I71" i="77"/>
  <c r="Y96" i="48"/>
  <c r="G6" i="36"/>
  <c r="AM99" i="48"/>
  <c r="AM129"/>
  <c r="AF96"/>
  <c r="K24" i="89"/>
  <c r="P570" i="62"/>
  <c r="P579" s="1"/>
  <c r="P210" i="39"/>
  <c r="P364" i="62"/>
  <c r="P213" i="39" s="1"/>
  <c r="AY27" i="18"/>
  <c r="U39" i="89"/>
  <c r="AF139" i="48"/>
  <c r="AM191"/>
  <c r="AM143"/>
  <c r="J77" i="89"/>
  <c r="AV64" i="18"/>
  <c r="AV66" s="1"/>
  <c r="AW47"/>
  <c r="K132" i="48"/>
  <c r="K176"/>
  <c r="K182" s="1"/>
  <c r="K187" s="1"/>
  <c r="K188" s="1"/>
  <c r="J38" i="89"/>
  <c r="AX21" i="18"/>
  <c r="AW38"/>
  <c r="AW40" s="1"/>
  <c r="BL140" i="20"/>
  <c r="BL171" s="1"/>
  <c r="P94" i="25"/>
  <c r="BL126" i="20"/>
  <c r="BN93" i="18"/>
  <c r="T14" i="48"/>
  <c r="N112" i="89"/>
  <c r="BP11" i="20"/>
  <c r="BP14" s="1"/>
  <c r="BP16" s="1"/>
  <c r="BR17" s="1"/>
  <c r="BQ74" i="18"/>
  <c r="S171" i="62"/>
  <c r="S173" s="1"/>
  <c r="S182" s="1"/>
  <c r="S99" i="39" s="1"/>
  <c r="S96"/>
  <c r="T53" i="48"/>
  <c r="L58" i="20"/>
  <c r="AK111" i="89"/>
  <c r="BO53" i="20"/>
  <c r="BP88" i="18"/>
  <c r="BO92"/>
  <c r="AK96" i="89"/>
  <c r="U170" i="62"/>
  <c r="U172" s="1"/>
  <c r="U174" s="1"/>
  <c r="U183" s="1"/>
  <c r="BN56" i="20"/>
  <c r="BN58"/>
  <c r="BQ59" s="1"/>
  <c r="BO51"/>
  <c r="BO70" s="1"/>
  <c r="T45" i="48"/>
  <c r="L50" i="20"/>
  <c r="L91"/>
  <c r="L89"/>
  <c r="L253"/>
  <c r="BQ36"/>
  <c r="BQ39" s="1"/>
  <c r="BQ41" s="1"/>
  <c r="BT42" s="1"/>
  <c r="BR82" i="18"/>
  <c r="Z113" i="89"/>
  <c r="BK171" i="20"/>
  <c r="S34" i="25"/>
  <c r="BP33" i="20"/>
  <c r="BR34" s="1"/>
  <c r="BL104"/>
  <c r="BL112"/>
  <c r="BL111"/>
  <c r="BL109"/>
  <c r="BL67"/>
  <c r="BL131"/>
  <c r="BL113"/>
  <c r="BL110"/>
  <c r="BL107"/>
  <c r="BL108"/>
  <c r="W156" i="62"/>
  <c r="W89" i="39" s="1"/>
  <c r="V156" i="62"/>
  <c r="V89" i="39" s="1"/>
  <c r="N196" i="62"/>
  <c r="N112" i="39" s="1"/>
  <c r="U196" i="62"/>
  <c r="U112" i="39" s="1"/>
  <c r="S196" i="62"/>
  <c r="S112" i="39" s="1"/>
  <c r="T90" i="48"/>
  <c r="L196" i="62"/>
  <c r="L112" i="39" s="1"/>
  <c r="T196" i="62"/>
  <c r="T112" i="39" s="1"/>
  <c r="R196" i="62"/>
  <c r="R112" i="39" s="1"/>
  <c r="M196" i="62"/>
  <c r="M112" i="39" s="1"/>
  <c r="P196" i="62"/>
  <c r="P112" i="39" s="1"/>
  <c r="O196" i="62"/>
  <c r="O112" i="39" s="1"/>
  <c r="Q196" i="62"/>
  <c r="Q112" i="39" s="1"/>
  <c r="AX145" i="20"/>
  <c r="AW147"/>
  <c r="BN48"/>
  <c r="BN50"/>
  <c r="BN90"/>
  <c r="L48"/>
  <c r="P63" i="25"/>
  <c r="P64" s="1"/>
  <c r="BM66" i="20"/>
  <c r="BM65"/>
  <c r="BM120" s="1"/>
  <c r="R35" i="25"/>
  <c r="BQ28" i="20"/>
  <c r="BQ31" s="1"/>
  <c r="Y113" i="89"/>
  <c r="BR80" i="18"/>
  <c r="BO45" i="20"/>
  <c r="AJ111" i="89"/>
  <c r="BP86" i="18"/>
  <c r="R53" i="25"/>
  <c r="BO91" i="18"/>
  <c r="S576" i="62"/>
  <c r="S585" s="1"/>
  <c r="AG27" i="89"/>
  <c r="AG66"/>
  <c r="R359" i="62"/>
  <c r="R368" s="1"/>
  <c r="AG81" i="89"/>
  <c r="BA61" i="18"/>
  <c r="BB35"/>
  <c r="AG42" i="89"/>
  <c r="AG43" s="1"/>
  <c r="L53" i="48"/>
  <c r="V95" i="39"/>
  <c r="V179" i="62"/>
  <c r="V98" i="39" s="1"/>
  <c r="BM69" i="20" l="1"/>
  <c r="BM104" s="1"/>
  <c r="Y98" i="89"/>
  <c r="L206" i="62" s="1"/>
  <c r="T64" i="48"/>
  <c r="T116" s="1"/>
  <c r="BM182" i="20"/>
  <c r="BN80"/>
  <c r="BN141" s="1"/>
  <c r="BN182" s="1"/>
  <c r="BA29" i="18"/>
  <c r="V41" i="89"/>
  <c r="V26"/>
  <c r="R573" i="62"/>
  <c r="R582" s="1"/>
  <c r="V80" i="89"/>
  <c r="AZ55" i="18"/>
  <c r="V66" i="89"/>
  <c r="S356" i="62" s="1"/>
  <c r="S365" s="1"/>
  <c r="K11" i="26"/>
  <c r="L64" i="20"/>
  <c r="L84" s="1"/>
  <c r="Y55" i="28"/>
  <c r="Y56" s="1"/>
  <c r="I87" i="22"/>
  <c r="U163" i="62"/>
  <c r="L108" i="89"/>
  <c r="L90" s="1"/>
  <c r="N96"/>
  <c r="R14" i="25"/>
  <c r="BP19" i="20"/>
  <c r="BP22" s="1"/>
  <c r="BQ76" i="18"/>
  <c r="R15" i="25" s="1"/>
  <c r="O112" i="89"/>
  <c r="V164" i="62"/>
  <c r="V177" s="1"/>
  <c r="O97" i="89"/>
  <c r="BO64" i="20"/>
  <c r="BO24"/>
  <c r="BR25" s="1"/>
  <c r="T193" i="62"/>
  <c r="T109" i="39" s="1"/>
  <c r="T189" i="62"/>
  <c r="T105" i="39" s="1"/>
  <c r="T188" i="62"/>
  <c r="T104" i="39" s="1"/>
  <c r="T94"/>
  <c r="T176" i="62"/>
  <c r="T97" i="39" s="1"/>
  <c r="Z99" i="89"/>
  <c r="AJ96"/>
  <c r="V169" i="62" s="1"/>
  <c r="V171" s="1"/>
  <c r="V173" s="1"/>
  <c r="V182" s="1"/>
  <c r="O211" i="39"/>
  <c r="O367" i="62"/>
  <c r="O214" i="39" s="1"/>
  <c r="P584" i="62"/>
  <c r="P352" i="39" s="1"/>
  <c r="P349"/>
  <c r="AF64" i="89"/>
  <c r="P358" i="62"/>
  <c r="AF25" i="89"/>
  <c r="Q575" i="62"/>
  <c r="AF79" i="89"/>
  <c r="AY59" i="18"/>
  <c r="AF40" i="89"/>
  <c r="AZ33" i="18"/>
  <c r="BO93"/>
  <c r="BL181" i="20"/>
  <c r="AT99" i="48"/>
  <c r="AT132" s="1"/>
  <c r="AM176"/>
  <c r="AM132"/>
  <c r="O578" i="62"/>
  <c r="O350" i="39" s="1"/>
  <c r="O347"/>
  <c r="P353" i="62"/>
  <c r="P362" s="1"/>
  <c r="K64" i="89"/>
  <c r="P581" i="62"/>
  <c r="P351" i="39" s="1"/>
  <c r="P348"/>
  <c r="P569" i="62"/>
  <c r="J24" i="89"/>
  <c r="K79"/>
  <c r="AY49" i="18"/>
  <c r="AX65"/>
  <c r="AY53"/>
  <c r="U65" i="89"/>
  <c r="R355" i="62" s="1"/>
  <c r="U79" i="89"/>
  <c r="Y171" i="48"/>
  <c r="Y159"/>
  <c r="Y181"/>
  <c r="AF159"/>
  <c r="AT159"/>
  <c r="U25" i="89"/>
  <c r="Q572" i="62"/>
  <c r="J39" i="89"/>
  <c r="AY21" i="18"/>
  <c r="AX38"/>
  <c r="AX40" s="1"/>
  <c r="AX47"/>
  <c r="AW64"/>
  <c r="AW66" s="1"/>
  <c r="J78" i="89"/>
  <c r="AF191" i="48"/>
  <c r="AM192"/>
  <c r="H67" i="77"/>
  <c r="AF99" i="48"/>
  <c r="Y249"/>
  <c r="H63" i="77"/>
  <c r="Y129" i="48"/>
  <c r="Y99"/>
  <c r="O352" i="62"/>
  <c r="J63" i="89"/>
  <c r="AH108"/>
  <c r="AH90" s="1"/>
  <c r="U169" i="62"/>
  <c r="Q364"/>
  <c r="Q213" i="39" s="1"/>
  <c r="Q210"/>
  <c r="AM151" i="48"/>
  <c r="AF151" s="1"/>
  <c r="AF143"/>
  <c r="AZ27" i="18"/>
  <c r="U40" i="89"/>
  <c r="K25"/>
  <c r="Q570" i="62"/>
  <c r="Q579" s="1"/>
  <c r="N378"/>
  <c r="N224" i="39" s="1"/>
  <c r="N361" i="62"/>
  <c r="N212" i="39" s="1"/>
  <c r="N209"/>
  <c r="N374" i="62"/>
  <c r="N220" i="39" s="1"/>
  <c r="N373" i="62"/>
  <c r="N219" i="39" s="1"/>
  <c r="AF181" i="48"/>
  <c r="AT181"/>
  <c r="K40" i="89"/>
  <c r="AY39" i="18"/>
  <c r="AZ23"/>
  <c r="BR74"/>
  <c r="BQ11" i="20"/>
  <c r="BQ14" s="1"/>
  <c r="BQ16" s="1"/>
  <c r="BS17" s="1"/>
  <c r="N113" i="89"/>
  <c r="V170" i="62"/>
  <c r="V172" s="1"/>
  <c r="V174" s="1"/>
  <c r="V183" s="1"/>
  <c r="AK97" i="89"/>
  <c r="BO58" i="20"/>
  <c r="BR59" s="1"/>
  <c r="BO56"/>
  <c r="BP92" i="18"/>
  <c r="BP53" i="20"/>
  <c r="BQ88" i="18"/>
  <c r="AK112" i="89"/>
  <c r="T58" i="48"/>
  <c r="I94" i="22"/>
  <c r="BN66" i="20"/>
  <c r="S52" i="25"/>
  <c r="BN65" i="20"/>
  <c r="BN120" s="1"/>
  <c r="AJ112" i="89"/>
  <c r="BP45" i="20"/>
  <c r="BQ86" i="18"/>
  <c r="BP91"/>
  <c r="R54" i="25"/>
  <c r="BS80" i="18"/>
  <c r="BR28" i="20"/>
  <c r="BR31" s="1"/>
  <c r="R36" i="25"/>
  <c r="Y114" i="89"/>
  <c r="BM108" i="20"/>
  <c r="BM110"/>
  <c r="BM109"/>
  <c r="BM113"/>
  <c r="BM131"/>
  <c r="BM107"/>
  <c r="BM112"/>
  <c r="BM111"/>
  <c r="L254"/>
  <c r="T204" i="48"/>
  <c r="T205" s="1"/>
  <c r="T50"/>
  <c r="L69" i="20"/>
  <c r="I93" i="22"/>
  <c r="BO48" i="20"/>
  <c r="BO50"/>
  <c r="BO90"/>
  <c r="BQ33"/>
  <c r="BS34" s="1"/>
  <c r="S35" i="25"/>
  <c r="L182" i="20"/>
  <c r="K14" i="76"/>
  <c r="T141" i="48"/>
  <c r="T48"/>
  <c r="T65" s="1"/>
  <c r="L65" i="20"/>
  <c r="K13" i="26"/>
  <c r="I89" i="22"/>
  <c r="I90" s="1"/>
  <c r="L66" i="20"/>
  <c r="Y100" i="28"/>
  <c r="BP51" i="20"/>
  <c r="BP70" s="1"/>
  <c r="BN69"/>
  <c r="BN93" s="1"/>
  <c r="BR36"/>
  <c r="BR39" s="1"/>
  <c r="BR41" s="1"/>
  <c r="BU42" s="1"/>
  <c r="BS82" i="18"/>
  <c r="Z114" i="89"/>
  <c r="BB91" i="20"/>
  <c r="BB124" s="1"/>
  <c r="O197" i="62"/>
  <c r="O113" i="39" s="1"/>
  <c r="Q197" i="62"/>
  <c r="Q113" i="39" s="1"/>
  <c r="BL91" i="20"/>
  <c r="BL124" s="1"/>
  <c r="BC91"/>
  <c r="BC124" s="1"/>
  <c r="BM91"/>
  <c r="BM124" s="1"/>
  <c r="BK91"/>
  <c r="BK124" s="1"/>
  <c r="R197" i="62"/>
  <c r="R113" i="39" s="1"/>
  <c r="V157" i="62"/>
  <c r="V90" i="39" s="1"/>
  <c r="BJ91" i="20"/>
  <c r="BJ124" s="1"/>
  <c r="M197" i="62"/>
  <c r="M113" i="39" s="1"/>
  <c r="BH91" i="20"/>
  <c r="BH124" s="1"/>
  <c r="T197" i="62"/>
  <c r="T113" i="39" s="1"/>
  <c r="BF91" i="20"/>
  <c r="BF124" s="1"/>
  <c r="S197" i="62"/>
  <c r="S113" i="39" s="1"/>
  <c r="BI91" i="20"/>
  <c r="BI124" s="1"/>
  <c r="BG91"/>
  <c r="BG124" s="1"/>
  <c r="BD91"/>
  <c r="BD124" s="1"/>
  <c r="P197" i="62"/>
  <c r="P113" i="39" s="1"/>
  <c r="BE91" i="20"/>
  <c r="BE124" s="1"/>
  <c r="T91" i="48"/>
  <c r="W157" i="62"/>
  <c r="W90" i="39" s="1"/>
  <c r="L197" i="62"/>
  <c r="L113" i="39" s="1"/>
  <c r="N197" i="62"/>
  <c r="N113" i="39" s="1"/>
  <c r="U197" i="62"/>
  <c r="U113" i="39" s="1"/>
  <c r="AX147" i="20"/>
  <c r="AY145"/>
  <c r="BD89"/>
  <c r="BD123" s="1"/>
  <c r="BJ89"/>
  <c r="BJ123" s="1"/>
  <c r="O195" i="62"/>
  <c r="O111" i="39" s="1"/>
  <c r="R195" i="62"/>
  <c r="R111" i="39" s="1"/>
  <c r="BI89" i="20"/>
  <c r="BI123" s="1"/>
  <c r="BM89"/>
  <c r="BM123" s="1"/>
  <c r="U195" i="62"/>
  <c r="U111" i="39" s="1"/>
  <c r="BB89" i="20"/>
  <c r="BB123" s="1"/>
  <c r="BL89"/>
  <c r="BL123" s="1"/>
  <c r="BG89"/>
  <c r="BG123" s="1"/>
  <c r="P195" i="62"/>
  <c r="P111" i="39" s="1"/>
  <c r="T195" i="62"/>
  <c r="T111" i="39" s="1"/>
  <c r="BE89" i="20"/>
  <c r="BE123" s="1"/>
  <c r="BH89"/>
  <c r="BH123" s="1"/>
  <c r="Q195" i="62"/>
  <c r="Q111" i="39" s="1"/>
  <c r="M195" i="62"/>
  <c r="M111" i="39" s="1"/>
  <c r="BK89" i="20"/>
  <c r="BK123" s="1"/>
  <c r="S195" i="62"/>
  <c r="S111" i="39" s="1"/>
  <c r="BC89" i="20"/>
  <c r="BC123" s="1"/>
  <c r="T89" i="48"/>
  <c r="N195" i="62"/>
  <c r="N111" i="39" s="1"/>
  <c r="V155" i="62"/>
  <c r="V88" i="39" s="1"/>
  <c r="L195" i="62"/>
  <c r="L111" i="39" s="1"/>
  <c r="W155" i="62"/>
  <c r="W88" i="39" s="1"/>
  <c r="BF89" i="20"/>
  <c r="BF123" s="1"/>
  <c r="K161" i="48"/>
  <c r="K193"/>
  <c r="L58"/>
  <c r="L56"/>
  <c r="W95" i="39"/>
  <c r="W179" i="62"/>
  <c r="W98" i="39" s="1"/>
  <c r="R210"/>
  <c r="R364" i="62"/>
  <c r="R213" i="39" s="1"/>
  <c r="AG82" i="89"/>
  <c r="AG83" s="1"/>
  <c r="BB61" i="18"/>
  <c r="AN53" i="48"/>
  <c r="AG53" s="1"/>
  <c r="AG58" s="1"/>
  <c r="BC35" i="18"/>
  <c r="AI31" i="89"/>
  <c r="S359" i="62"/>
  <c r="S368" s="1"/>
  <c r="AG67" i="89"/>
  <c r="T576" i="62"/>
  <c r="T585" s="1"/>
  <c r="AG28" i="89"/>
  <c r="Y99" l="1"/>
  <c r="M206" i="62" s="1"/>
  <c r="M207"/>
  <c r="M220" s="1"/>
  <c r="BM93" i="20"/>
  <c r="BM126" s="1"/>
  <c r="BM67"/>
  <c r="BM140"/>
  <c r="BM171" s="1"/>
  <c r="L83"/>
  <c r="BD83" s="1"/>
  <c r="Y57" i="28"/>
  <c r="L227" i="20"/>
  <c r="L80"/>
  <c r="T80" i="48" s="1"/>
  <c r="T114" s="1"/>
  <c r="V42" i="89"/>
  <c r="V43" s="1"/>
  <c r="L36" i="48"/>
  <c r="BB29" i="18"/>
  <c r="BA55"/>
  <c r="V67" i="89"/>
  <c r="T356" i="62" s="1"/>
  <c r="T365" s="1"/>
  <c r="V81" i="89"/>
  <c r="S573" i="62"/>
  <c r="S582" s="1"/>
  <c r="V27" i="89"/>
  <c r="L226" i="20"/>
  <c r="K14" i="26"/>
  <c r="K21" i="94" s="1"/>
  <c r="K22" s="1"/>
  <c r="U188" i="62"/>
  <c r="U104" i="39" s="1"/>
  <c r="U193" i="62"/>
  <c r="U109" i="39" s="1"/>
  <c r="U189" i="62"/>
  <c r="U105" i="39" s="1"/>
  <c r="U94"/>
  <c r="U176" i="62"/>
  <c r="U97" i="39" s="1"/>
  <c r="BO116" i="20"/>
  <c r="BO80"/>
  <c r="BO141" s="1"/>
  <c r="BO182" s="1"/>
  <c r="BQ19"/>
  <c r="BQ22" s="1"/>
  <c r="BQ64" s="1"/>
  <c r="BQ116" s="1"/>
  <c r="BR76" i="18"/>
  <c r="O113" i="89"/>
  <c r="L91"/>
  <c r="L93"/>
  <c r="W164" i="62"/>
  <c r="W177" s="1"/>
  <c r="O98" i="89"/>
  <c r="V163" i="62"/>
  <c r="N97" i="89"/>
  <c r="BP64" i="20"/>
  <c r="S14" i="25"/>
  <c r="BP24" i="20"/>
  <c r="BS25" s="1"/>
  <c r="Z100" i="89"/>
  <c r="N207" i="62" s="1"/>
  <c r="N220" s="1"/>
  <c r="V96" i="39"/>
  <c r="V99"/>
  <c r="AF65" i="89"/>
  <c r="Q358" i="62"/>
  <c r="AZ59" i="18"/>
  <c r="AF80" i="89"/>
  <c r="P211" i="39"/>
  <c r="P367" i="62"/>
  <c r="P214" i="39" s="1"/>
  <c r="R575" i="62"/>
  <c r="AF26" i="89"/>
  <c r="BA33" i="18"/>
  <c r="AF41" i="89"/>
  <c r="Q584" i="62"/>
  <c r="Q352" i="39" s="1"/>
  <c r="Q349"/>
  <c r="K26" i="89"/>
  <c r="R570" i="62"/>
  <c r="R579" s="1"/>
  <c r="AH91" i="89"/>
  <c r="AH93"/>
  <c r="K80"/>
  <c r="AZ49" i="18"/>
  <c r="AY65"/>
  <c r="U96" i="39"/>
  <c r="U171" i="62"/>
  <c r="U173" s="1"/>
  <c r="U182" s="1"/>
  <c r="U99" i="39" s="1"/>
  <c r="Y132" i="48"/>
  <c r="Y176"/>
  <c r="Y182" s="1"/>
  <c r="J40" i="89"/>
  <c r="AZ21" i="18"/>
  <c r="AY38"/>
  <c r="AY40" s="1"/>
  <c r="P578" i="62"/>
  <c r="P350" i="39" s="1"/>
  <c r="P347"/>
  <c r="AT176" i="48"/>
  <c r="AM182"/>
  <c r="AF176"/>
  <c r="U41" i="89"/>
  <c r="BA27" i="18"/>
  <c r="O361" i="62"/>
  <c r="O212" i="39" s="1"/>
  <c r="O209"/>
  <c r="O374" i="62"/>
  <c r="O220" i="39" s="1"/>
  <c r="O378" i="62"/>
  <c r="O224" i="39" s="1"/>
  <c r="O373" i="62"/>
  <c r="O219" i="39" s="1"/>
  <c r="R572" i="62"/>
  <c r="U26" i="89"/>
  <c r="AZ53" i="18"/>
  <c r="U66" i="89"/>
  <c r="S355" i="62" s="1"/>
  <c r="U80" i="89"/>
  <c r="Q569" i="62"/>
  <c r="J25" i="89"/>
  <c r="Q353" i="62"/>
  <c r="Q362" s="1"/>
  <c r="K65" i="89"/>
  <c r="AZ39" i="18"/>
  <c r="BA23"/>
  <c r="L19" i="48" s="1"/>
  <c r="K41" i="89"/>
  <c r="P352" i="62"/>
  <c r="J64" i="89"/>
  <c r="AF192" i="48"/>
  <c r="AN190"/>
  <c r="AG190" s="1"/>
  <c r="AX64" i="18"/>
  <c r="AX66" s="1"/>
  <c r="AY47"/>
  <c r="J79" i="89"/>
  <c r="Q348" i="39"/>
  <c r="Q581" i="62"/>
  <c r="Q351" i="39" s="1"/>
  <c r="BN126" i="20"/>
  <c r="BJ84"/>
  <c r="BJ118" s="1"/>
  <c r="BF84"/>
  <c r="BF118" s="1"/>
  <c r="BK84"/>
  <c r="BK118" s="1"/>
  <c r="BI84"/>
  <c r="BI118" s="1"/>
  <c r="T84" i="48"/>
  <c r="T118" s="1"/>
  <c r="BB84" i="20"/>
  <c r="BB118" s="1"/>
  <c r="BH84"/>
  <c r="BH118" s="1"/>
  <c r="BL84"/>
  <c r="BL118" s="1"/>
  <c r="BC84"/>
  <c r="BC118" s="1"/>
  <c r="BE84"/>
  <c r="BE118" s="1"/>
  <c r="BD84"/>
  <c r="BD118" s="1"/>
  <c r="BG84"/>
  <c r="BG118" s="1"/>
  <c r="BM84"/>
  <c r="BM118" s="1"/>
  <c r="BS74" i="18"/>
  <c r="N114" i="89"/>
  <c r="BR11" i="20"/>
  <c r="BR14" s="1"/>
  <c r="BR16" s="1"/>
  <c r="BT17" s="1"/>
  <c r="BP56"/>
  <c r="BP58"/>
  <c r="BS59" s="1"/>
  <c r="W170" i="62"/>
  <c r="W172" s="1"/>
  <c r="W174" s="1"/>
  <c r="W183" s="1"/>
  <c r="AK98" i="89"/>
  <c r="AJ97"/>
  <c r="BQ92" i="18"/>
  <c r="AK113" i="89"/>
  <c r="BQ53" i="20"/>
  <c r="BR88" i="18"/>
  <c r="BP93"/>
  <c r="T123" i="48"/>
  <c r="T124"/>
  <c r="T120"/>
  <c r="BO66" i="20"/>
  <c r="BO65"/>
  <c r="BO120" s="1"/>
  <c r="S53" i="25"/>
  <c r="BS28" i="20"/>
  <c r="BS31" s="1"/>
  <c r="R37" i="25"/>
  <c r="BT80" i="18"/>
  <c r="Y115" i="89"/>
  <c r="BP50" i="20"/>
  <c r="BP48"/>
  <c r="BP90"/>
  <c r="L120"/>
  <c r="L112"/>
  <c r="L123"/>
  <c r="L109"/>
  <c r="L108"/>
  <c r="L113"/>
  <c r="L116"/>
  <c r="L131"/>
  <c r="L107"/>
  <c r="L111"/>
  <c r="L104"/>
  <c r="L67"/>
  <c r="L110"/>
  <c r="R83" i="22"/>
  <c r="Y136" i="28"/>
  <c r="L124" i="20"/>
  <c r="T66" i="48"/>
  <c r="K26" i="66"/>
  <c r="T180" i="48"/>
  <c r="K32" i="94"/>
  <c r="BQ51" i="20"/>
  <c r="BQ70" s="1"/>
  <c r="BO69"/>
  <c r="M321"/>
  <c r="L186"/>
  <c r="L259"/>
  <c r="L264" s="1"/>
  <c r="L266" s="1"/>
  <c r="L97" s="1"/>
  <c r="L271"/>
  <c r="L321"/>
  <c r="L325" s="1"/>
  <c r="L276" s="1"/>
  <c r="L279" s="1"/>
  <c r="L304" s="1"/>
  <c r="S36" i="25"/>
  <c r="BR33" i="20"/>
  <c r="BT34" s="1"/>
  <c r="BR86" i="18"/>
  <c r="BQ45" i="20"/>
  <c r="AJ113" i="89"/>
  <c r="R55" i="25"/>
  <c r="BQ91" i="18"/>
  <c r="Z115" i="89"/>
  <c r="BT82" i="18"/>
  <c r="BS36" i="20"/>
  <c r="BS39" s="1"/>
  <c r="BS41" s="1"/>
  <c r="BV42" s="1"/>
  <c r="Y101" i="28"/>
  <c r="Y122"/>
  <c r="L88" i="20"/>
  <c r="L229"/>
  <c r="L228"/>
  <c r="I95" i="22"/>
  <c r="T69" i="48"/>
  <c r="J57" i="77" s="1"/>
  <c r="K17" i="26"/>
  <c r="L93" i="20"/>
  <c r="R85" i="22"/>
  <c r="BN131" i="20"/>
  <c r="BN108"/>
  <c r="BN109"/>
  <c r="BN110"/>
  <c r="BN104"/>
  <c r="BN113"/>
  <c r="BN67"/>
  <c r="BN112"/>
  <c r="BN111"/>
  <c r="BN107"/>
  <c r="AY147"/>
  <c r="AZ145"/>
  <c r="BN140"/>
  <c r="AI17" i="89"/>
  <c r="U576" i="62"/>
  <c r="U585" s="1"/>
  <c r="AG29" i="89"/>
  <c r="AG11" s="1"/>
  <c r="K163" i="48"/>
  <c r="K164" s="1"/>
  <c r="L118" i="39"/>
  <c r="L219" i="62"/>
  <c r="L121" i="39" s="1"/>
  <c r="AI71" i="89"/>
  <c r="BC61" i="18"/>
  <c r="T359" i="62"/>
  <c r="T368" s="1"/>
  <c r="AG68" i="89"/>
  <c r="AI32"/>
  <c r="BD35" i="18"/>
  <c r="AN58" i="48"/>
  <c r="AN56"/>
  <c r="Z53"/>
  <c r="AU53"/>
  <c r="Z101" i="89" l="1"/>
  <c r="O207" i="62" s="1"/>
  <c r="O220" s="1"/>
  <c r="BM181" i="20"/>
  <c r="L140"/>
  <c r="L181" s="1"/>
  <c r="BN181"/>
  <c r="BM83"/>
  <c r="BM117" s="1"/>
  <c r="BL83"/>
  <c r="BL85" s="1"/>
  <c r="BL119" s="1"/>
  <c r="W56" i="31"/>
  <c r="T83" i="48"/>
  <c r="T117" s="1"/>
  <c r="Y100" i="89"/>
  <c r="N206" i="62" s="1"/>
  <c r="K24" i="94"/>
  <c r="BC83" i="20"/>
  <c r="BC117" s="1"/>
  <c r="BK83"/>
  <c r="BK85" s="1"/>
  <c r="BK119" s="1"/>
  <c r="BG83"/>
  <c r="BG117" s="1"/>
  <c r="BJ83"/>
  <c r="BJ85" s="1"/>
  <c r="BJ119" s="1"/>
  <c r="BB83"/>
  <c r="BB117" s="1"/>
  <c r="BI83"/>
  <c r="BI117" s="1"/>
  <c r="BE83"/>
  <c r="BE117" s="1"/>
  <c r="BF83"/>
  <c r="BF85" s="1"/>
  <c r="BF119" s="1"/>
  <c r="L85"/>
  <c r="T85" i="48" s="1"/>
  <c r="T119" s="1"/>
  <c r="BH83" i="20"/>
  <c r="BH85" s="1"/>
  <c r="BH119" s="1"/>
  <c r="R88" i="22"/>
  <c r="K20" i="26"/>
  <c r="K15"/>
  <c r="K37"/>
  <c r="K26" i="94" s="1"/>
  <c r="L41" i="48"/>
  <c r="L39"/>
  <c r="BC29" i="18"/>
  <c r="X31" i="89"/>
  <c r="T573" i="62"/>
  <c r="T582" s="1"/>
  <c r="V28" i="89"/>
  <c r="V68"/>
  <c r="AN36" i="48"/>
  <c r="BB55" i="18"/>
  <c r="V82" i="89"/>
  <c r="V83" s="1"/>
  <c r="BP116" i="20"/>
  <c r="BP80"/>
  <c r="BP141" s="1"/>
  <c r="BP182" s="1"/>
  <c r="O114" i="89"/>
  <c r="BR19" i="20"/>
  <c r="BR22" s="1"/>
  <c r="BS76" i="18"/>
  <c r="R16" i="25"/>
  <c r="L204" i="62"/>
  <c r="L217" s="1"/>
  <c r="O99" i="89"/>
  <c r="V189" i="62"/>
  <c r="V105" i="39" s="1"/>
  <c r="V188" i="62"/>
  <c r="V104" i="39" s="1"/>
  <c r="V176" i="62"/>
  <c r="V97" i="39" s="1"/>
  <c r="V193" i="62"/>
  <c r="V109" i="39" s="1"/>
  <c r="V94"/>
  <c r="W163" i="62"/>
  <c r="N98" i="89"/>
  <c r="S15" i="25"/>
  <c r="BQ24" i="20"/>
  <c r="BT25" s="1"/>
  <c r="BQ80"/>
  <c r="BQ141" s="1"/>
  <c r="BQ182" s="1"/>
  <c r="BB33" i="18"/>
  <c r="L45" i="48"/>
  <c r="AF42" i="89"/>
  <c r="AF43" s="1"/>
  <c r="AF66"/>
  <c r="R358" i="62"/>
  <c r="Q367"/>
  <c r="Q214" i="39" s="1"/>
  <c r="Q211"/>
  <c r="R349"/>
  <c r="R584" i="62"/>
  <c r="R352" i="39" s="1"/>
  <c r="BA59" i="18"/>
  <c r="AF81" i="89"/>
  <c r="AF27"/>
  <c r="S575" i="62"/>
  <c r="BQ93" i="18"/>
  <c r="AZ47"/>
  <c r="AY64"/>
  <c r="AY66" s="1"/>
  <c r="J80" i="89"/>
  <c r="J65"/>
  <c r="Q352" i="62"/>
  <c r="BA39" i="18"/>
  <c r="BB23"/>
  <c r="K42" i="89"/>
  <c r="K43" s="1"/>
  <c r="J26"/>
  <c r="R569" i="62"/>
  <c r="U81" i="89"/>
  <c r="BA53" i="18"/>
  <c r="U67" i="89"/>
  <c r="T355" i="62" s="1"/>
  <c r="L28" i="48"/>
  <c r="BB27" i="18"/>
  <c r="U42" i="89"/>
  <c r="U43" s="1"/>
  <c r="BA21" i="18"/>
  <c r="AZ38"/>
  <c r="AZ40" s="1"/>
  <c r="J41" i="89"/>
  <c r="S570" i="62"/>
  <c r="S579" s="1"/>
  <c r="K27" i="89"/>
  <c r="S364" i="62"/>
  <c r="S213" i="39" s="1"/>
  <c r="S210"/>
  <c r="AF182" i="48"/>
  <c r="AM187"/>
  <c r="AT182"/>
  <c r="AZ65" i="18"/>
  <c r="BA49"/>
  <c r="K81" i="89"/>
  <c r="L22" i="48"/>
  <c r="L24"/>
  <c r="K66" i="89"/>
  <c r="R353" i="62"/>
  <c r="R362" s="1"/>
  <c r="R581"/>
  <c r="R351" i="39" s="1"/>
  <c r="R348"/>
  <c r="P373" i="62"/>
  <c r="P219" i="39" s="1"/>
  <c r="P361" i="62"/>
  <c r="P212" i="39" s="1"/>
  <c r="P209"/>
  <c r="P378" i="62"/>
  <c r="P224" i="39" s="1"/>
  <c r="P374" i="62"/>
  <c r="P220" i="39" s="1"/>
  <c r="Q347"/>
  <c r="Q578" i="62"/>
  <c r="Q350" i="39" s="1"/>
  <c r="S572" i="62"/>
  <c r="U27" i="89"/>
  <c r="L119" i="20"/>
  <c r="BT74" i="18"/>
  <c r="BS11" i="20"/>
  <c r="BS14" s="1"/>
  <c r="BS16" s="1"/>
  <c r="BU17" s="1"/>
  <c r="N115" i="89"/>
  <c r="BC85" i="20"/>
  <c r="BC119" s="1"/>
  <c r="BK117"/>
  <c r="BD85"/>
  <c r="BD119" s="1"/>
  <c r="BD117"/>
  <c r="BS88" i="18"/>
  <c r="AK114" i="89"/>
  <c r="BR53" i="20"/>
  <c r="BR92" i="18"/>
  <c r="AJ98" i="89"/>
  <c r="L209" i="62" s="1"/>
  <c r="L211" s="1"/>
  <c r="L213" s="1"/>
  <c r="L222" s="1"/>
  <c r="W169"/>
  <c r="L230" i="20"/>
  <c r="BQ58"/>
  <c r="BT59" s="1"/>
  <c r="BQ56"/>
  <c r="L210" i="62"/>
  <c r="L212" s="1"/>
  <c r="L214" s="1"/>
  <c r="L223" s="1"/>
  <c r="AK99" i="89"/>
  <c r="L130" i="20"/>
  <c r="BC97"/>
  <c r="L146"/>
  <c r="BB97"/>
  <c r="BD97"/>
  <c r="K31" i="26"/>
  <c r="K30" s="1"/>
  <c r="BH97" i="20"/>
  <c r="T97" i="48"/>
  <c r="T130" s="1"/>
  <c r="L179" i="20"/>
  <c r="BG97"/>
  <c r="BI97"/>
  <c r="BL97"/>
  <c r="BM97"/>
  <c r="BJ97"/>
  <c r="BF97"/>
  <c r="BE97"/>
  <c r="BK97"/>
  <c r="T112" i="48"/>
  <c r="T111"/>
  <c r="T67"/>
  <c r="T113"/>
  <c r="T109"/>
  <c r="T104"/>
  <c r="T131"/>
  <c r="T107"/>
  <c r="J56" i="77"/>
  <c r="T108" i="48"/>
  <c r="T110"/>
  <c r="V144" i="62"/>
  <c r="V77" i="39" s="1"/>
  <c r="T184" i="62"/>
  <c r="T100" i="39" s="1"/>
  <c r="M184" i="62"/>
  <c r="M100" i="39" s="1"/>
  <c r="N184" i="62"/>
  <c r="N100" i="39" s="1"/>
  <c r="P184" i="62"/>
  <c r="P100" i="39" s="1"/>
  <c r="U184" i="62"/>
  <c r="U100" i="39" s="1"/>
  <c r="S184" i="62"/>
  <c r="S100" i="39" s="1"/>
  <c r="Q184" i="62"/>
  <c r="Q100" i="39" s="1"/>
  <c r="O184" i="62"/>
  <c r="O100" i="39" s="1"/>
  <c r="L184" i="62"/>
  <c r="L100" i="39" s="1"/>
  <c r="R184" i="62"/>
  <c r="R100" i="39" s="1"/>
  <c r="W144" i="62"/>
  <c r="W77" i="39" s="1"/>
  <c r="BR51" i="20"/>
  <c r="BR70" s="1"/>
  <c r="BP69"/>
  <c r="BO112"/>
  <c r="BO131"/>
  <c r="BO111"/>
  <c r="BO107"/>
  <c r="BO104"/>
  <c r="BO110"/>
  <c r="BO113"/>
  <c r="BO67"/>
  <c r="BO109"/>
  <c r="BO108"/>
  <c r="Z116" i="89"/>
  <c r="BT36" i="20"/>
  <c r="BT39" s="1"/>
  <c r="BT41" s="1"/>
  <c r="BW42" s="1"/>
  <c r="BU82" i="18"/>
  <c r="BB186" i="20"/>
  <c r="BC186"/>
  <c r="K39" i="94"/>
  <c r="T184" i="48"/>
  <c r="BF186" i="20"/>
  <c r="BJ186"/>
  <c r="BE186"/>
  <c r="K32" i="66"/>
  <c r="L145" i="20"/>
  <c r="BM186"/>
  <c r="BH186"/>
  <c r="BK186"/>
  <c r="BI186"/>
  <c r="BG186"/>
  <c r="BL186"/>
  <c r="BD186"/>
  <c r="T93" i="48"/>
  <c r="T126" s="1"/>
  <c r="R91" i="22"/>
  <c r="K23" i="26"/>
  <c r="L223" i="20"/>
  <c r="L126"/>
  <c r="BS86" i="18"/>
  <c r="AJ114" i="89"/>
  <c r="BR45" i="20"/>
  <c r="R56" i="25"/>
  <c r="BR91" i="18"/>
  <c r="BR93" s="1"/>
  <c r="BO140" i="20"/>
  <c r="BO171" s="1"/>
  <c r="BO93"/>
  <c r="BO126" s="1"/>
  <c r="BP65"/>
  <c r="BP120" s="1"/>
  <c r="S54" i="25"/>
  <c r="BP66" i="20"/>
  <c r="BT28"/>
  <c r="BT31" s="1"/>
  <c r="BU80" i="18"/>
  <c r="R38" i="25"/>
  <c r="Y116" i="89"/>
  <c r="BB88" i="20"/>
  <c r="T88" i="48"/>
  <c r="T122" s="1"/>
  <c r="L92" i="20"/>
  <c r="O194" i="62"/>
  <c r="O110" i="39" s="1"/>
  <c r="BD88" i="20"/>
  <c r="S194" i="62"/>
  <c r="S110" i="39" s="1"/>
  <c r="BK88" i="20"/>
  <c r="T194" i="62"/>
  <c r="T110" i="39" s="1"/>
  <c r="BC88" i="20"/>
  <c r="BM88"/>
  <c r="Q194" i="62"/>
  <c r="Q110" i="39" s="1"/>
  <c r="N194" i="62"/>
  <c r="N110" i="39" s="1"/>
  <c r="M194" i="62"/>
  <c r="M110" i="39" s="1"/>
  <c r="BG88" i="20"/>
  <c r="W154" i="62"/>
  <c r="W87" i="39" s="1"/>
  <c r="L122" i="20"/>
  <c r="BI88"/>
  <c r="L194" i="62"/>
  <c r="L110" i="39" s="1"/>
  <c r="V154" i="62"/>
  <c r="V87" i="39" s="1"/>
  <c r="BL88" i="20"/>
  <c r="U194" i="62"/>
  <c r="U110" i="39" s="1"/>
  <c r="BJ88" i="20"/>
  <c r="R194" i="62"/>
  <c r="R110" i="39" s="1"/>
  <c r="BE88" i="20"/>
  <c r="BF88"/>
  <c r="BH88"/>
  <c r="P194" i="62"/>
  <c r="P110" i="39" s="1"/>
  <c r="L171" i="20"/>
  <c r="T169" i="48" s="1"/>
  <c r="R84" i="22"/>
  <c r="K60" i="44"/>
  <c r="BS33" i="20"/>
  <c r="BU34" s="1"/>
  <c r="S37" i="25"/>
  <c r="BN171" i="20"/>
  <c r="AZ147"/>
  <c r="BA145"/>
  <c r="Y124" i="28"/>
  <c r="W36" i="31" s="1"/>
  <c r="W37" s="1"/>
  <c r="Y123" i="28"/>
  <c r="BQ50" i="20"/>
  <c r="BQ48"/>
  <c r="BQ90"/>
  <c r="Y32" i="28"/>
  <c r="Y30"/>
  <c r="Y31"/>
  <c r="AU56" i="48"/>
  <c r="Z56"/>
  <c r="AG56"/>
  <c r="AI57" i="89"/>
  <c r="U359" i="62"/>
  <c r="U368" s="1"/>
  <c r="AG69" i="89"/>
  <c r="AG51" s="1"/>
  <c r="AI72"/>
  <c r="BD61" i="18"/>
  <c r="M118" i="39"/>
  <c r="M219" i="62"/>
  <c r="M121" i="39" s="1"/>
  <c r="V576" i="62"/>
  <c r="V585" s="1"/>
  <c r="AI18" i="89"/>
  <c r="Z58" i="48"/>
  <c r="AU58"/>
  <c r="AI33" i="89"/>
  <c r="BE35" i="18"/>
  <c r="Z102" i="89" l="1"/>
  <c r="P207" i="62" s="1"/>
  <c r="P220" s="1"/>
  <c r="BH117" i="20"/>
  <c r="BI85"/>
  <c r="BI119" s="1"/>
  <c r="T140" i="48"/>
  <c r="K13" i="76"/>
  <c r="Y101" i="89"/>
  <c r="O206" i="62" s="1"/>
  <c r="BE85" i="20"/>
  <c r="BE119" s="1"/>
  <c r="BG85"/>
  <c r="BG119" s="1"/>
  <c r="BM85"/>
  <c r="BM119" s="1"/>
  <c r="BL117"/>
  <c r="BF117"/>
  <c r="BJ117"/>
  <c r="BB85"/>
  <c r="BB119" s="1"/>
  <c r="V69" i="89"/>
  <c r="V51" s="1"/>
  <c r="U356" i="62"/>
  <c r="U365" s="1"/>
  <c r="X32" i="89"/>
  <c r="BD29" i="18"/>
  <c r="BC55"/>
  <c r="X71" i="89"/>
  <c r="X57" s="1"/>
  <c r="V356" i="62" s="1"/>
  <c r="V365" s="1"/>
  <c r="X17" i="89"/>
  <c r="U573" i="62"/>
  <c r="U582" s="1"/>
  <c r="V29" i="89"/>
  <c r="V11" s="1"/>
  <c r="AG39" i="48"/>
  <c r="Z36"/>
  <c r="AG36"/>
  <c r="AG41" s="1"/>
  <c r="AU36"/>
  <c r="AN41"/>
  <c r="AN39"/>
  <c r="R17" i="25"/>
  <c r="BS19" i="20"/>
  <c r="BS22" s="1"/>
  <c r="BS24" s="1"/>
  <c r="BV25" s="1"/>
  <c r="BT76" i="18"/>
  <c r="O115" i="89"/>
  <c r="W189" i="62"/>
  <c r="W105" i="39" s="1"/>
  <c r="W193" i="62"/>
  <c r="W109" i="39" s="1"/>
  <c r="W188" i="62"/>
  <c r="W104" i="39" s="1"/>
  <c r="W176" i="62"/>
  <c r="W97" i="39" s="1"/>
  <c r="W94"/>
  <c r="N99" i="89"/>
  <c r="L203" i="62"/>
  <c r="M204"/>
  <c r="M217" s="1"/>
  <c r="O100" i="89"/>
  <c r="BR24" i="20"/>
  <c r="BU25" s="1"/>
  <c r="S16" i="25"/>
  <c r="BR64" i="20"/>
  <c r="S584" i="62"/>
  <c r="S352" i="39" s="1"/>
  <c r="S349"/>
  <c r="AH31" i="89"/>
  <c r="BC33" i="18"/>
  <c r="BB59"/>
  <c r="AF82" i="89"/>
  <c r="AF83" s="1"/>
  <c r="AN45" i="48"/>
  <c r="L97"/>
  <c r="L146" s="1"/>
  <c r="L89"/>
  <c r="L91"/>
  <c r="L204"/>
  <c r="L205" s="1"/>
  <c r="L184" s="1"/>
  <c r="L98"/>
  <c r="L48"/>
  <c r="L90"/>
  <c r="L50"/>
  <c r="L217" s="1"/>
  <c r="L216" s="1"/>
  <c r="AN216" s="1"/>
  <c r="R367" i="62"/>
  <c r="R214" i="39" s="1"/>
  <c r="R211"/>
  <c r="AF28" i="89"/>
  <c r="T575" i="62"/>
  <c r="AF67" i="89"/>
  <c r="S358" i="62"/>
  <c r="BS64" i="20"/>
  <c r="BS116" s="1"/>
  <c r="L232"/>
  <c r="L233" s="1"/>
  <c r="L234" s="1"/>
  <c r="L205" s="1"/>
  <c r="L122" i="39"/>
  <c r="L119"/>
  <c r="S581" i="62"/>
  <c r="S351" i="39" s="1"/>
  <c r="S348"/>
  <c r="BA65" i="18"/>
  <c r="K82" i="89"/>
  <c r="K83" s="1"/>
  <c r="BB49" i="18"/>
  <c r="BB21"/>
  <c r="J42" i="89"/>
  <c r="J43" s="1"/>
  <c r="BA38" i="18"/>
  <c r="BA40" s="1"/>
  <c r="T364" i="62"/>
  <c r="T213" i="39" s="1"/>
  <c r="T210"/>
  <c r="S569" i="62"/>
  <c r="J27" i="89"/>
  <c r="Q361" i="62"/>
  <c r="Q212" i="39" s="1"/>
  <c r="Q373" i="62"/>
  <c r="Q219" i="39" s="1"/>
  <c r="Q378" i="62"/>
  <c r="Q224" i="39" s="1"/>
  <c r="Q374" i="62"/>
  <c r="Q220" i="39" s="1"/>
  <c r="Q209"/>
  <c r="BA47" i="18"/>
  <c r="AN11" i="48" s="1"/>
  <c r="AZ64" i="18"/>
  <c r="AZ66" s="1"/>
  <c r="J81" i="89"/>
  <c r="U28"/>
  <c r="T572" i="62"/>
  <c r="K67" i="89"/>
  <c r="S353" i="62"/>
  <c r="S362" s="1"/>
  <c r="AF187" i="48"/>
  <c r="AM188"/>
  <c r="T570" i="62"/>
  <c r="T579" s="1"/>
  <c r="K28" i="89"/>
  <c r="L33" i="48"/>
  <c r="L31"/>
  <c r="R578" i="62"/>
  <c r="R350" i="39" s="1"/>
  <c r="R347"/>
  <c r="S17" i="25"/>
  <c r="W31" i="89"/>
  <c r="BC27" i="18"/>
  <c r="BC23"/>
  <c r="BB39"/>
  <c r="M31" i="89"/>
  <c r="AN19" i="48"/>
  <c r="U68" i="89"/>
  <c r="U82"/>
  <c r="U83" s="1"/>
  <c r="AN28" i="48"/>
  <c r="BB53" i="18"/>
  <c r="R352" i="62"/>
  <c r="J66" i="89"/>
  <c r="L11" i="48"/>
  <c r="BO181" i="20"/>
  <c r="BT11"/>
  <c r="BT14" s="1"/>
  <c r="BT16" s="1"/>
  <c r="BV17" s="1"/>
  <c r="N116" i="89"/>
  <c r="BU74" i="18"/>
  <c r="M210" i="62"/>
  <c r="M212" s="1"/>
  <c r="M214" s="1"/>
  <c r="M223" s="1"/>
  <c r="AK100" i="89"/>
  <c r="BS92" i="18"/>
  <c r="AK115" i="89"/>
  <c r="BS53" i="20"/>
  <c r="BT88" i="18"/>
  <c r="AJ99" i="89"/>
  <c r="W96" i="39"/>
  <c r="W171" i="62"/>
  <c r="W173" s="1"/>
  <c r="W182" s="1"/>
  <c r="W99" i="39" s="1"/>
  <c r="BR56" i="20"/>
  <c r="BR58"/>
  <c r="BU59" s="1"/>
  <c r="BS51"/>
  <c r="BS70" s="1"/>
  <c r="BQ69"/>
  <c r="BQ93" s="1"/>
  <c r="S38" i="25"/>
  <c r="BT33" i="20"/>
  <c r="BV34" s="1"/>
  <c r="BF122"/>
  <c r="BF92"/>
  <c r="BI122"/>
  <c r="BI92"/>
  <c r="BC122"/>
  <c r="BC92"/>
  <c r="BD92"/>
  <c r="BD122"/>
  <c r="BB122"/>
  <c r="BB92"/>
  <c r="BP112"/>
  <c r="BP131"/>
  <c r="BP107"/>
  <c r="BP111"/>
  <c r="BP104"/>
  <c r="BP109"/>
  <c r="BP108"/>
  <c r="BP113"/>
  <c r="BP67"/>
  <c r="BP110"/>
  <c r="BJ179"/>
  <c r="BJ130"/>
  <c r="BG130"/>
  <c r="BG179"/>
  <c r="BC130"/>
  <c r="BC179"/>
  <c r="BR50"/>
  <c r="BR48"/>
  <c r="BR90"/>
  <c r="BP93"/>
  <c r="BP126" s="1"/>
  <c r="BP140"/>
  <c r="BF130"/>
  <c r="BF179"/>
  <c r="BI130"/>
  <c r="BI179"/>
  <c r="BH130"/>
  <c r="BH179"/>
  <c r="K18" i="76"/>
  <c r="T146" i="48"/>
  <c r="BQ65" i="20"/>
  <c r="BQ120" s="1"/>
  <c r="BQ66"/>
  <c r="S55" i="25"/>
  <c r="BA147" i="20"/>
  <c r="BB145"/>
  <c r="K31" i="94"/>
  <c r="K25" i="66"/>
  <c r="T179" i="48"/>
  <c r="BK92" i="20"/>
  <c r="BK122"/>
  <c r="K25" i="26"/>
  <c r="T92" i="48"/>
  <c r="T125" s="1"/>
  <c r="L94" i="20"/>
  <c r="L125"/>
  <c r="Y117" i="89"/>
  <c r="BU28" i="20"/>
  <c r="BU31" s="1"/>
  <c r="R39" i="25"/>
  <c r="BV80" i="18"/>
  <c r="T145" i="48"/>
  <c r="K17" i="76"/>
  <c r="L147" i="20"/>
  <c r="BE179"/>
  <c r="BE130"/>
  <c r="BL130"/>
  <c r="BL179"/>
  <c r="BB130"/>
  <c r="BB146"/>
  <c r="BC146" s="1"/>
  <c r="BD146" s="1"/>
  <c r="BE146" s="1"/>
  <c r="BF146" s="1"/>
  <c r="BG146" s="1"/>
  <c r="BH146" s="1"/>
  <c r="BI146" s="1"/>
  <c r="BJ146" s="1"/>
  <c r="BK146" s="1"/>
  <c r="BL146" s="1"/>
  <c r="BM146" s="1"/>
  <c r="BB179"/>
  <c r="BH122"/>
  <c r="BH92"/>
  <c r="BJ92"/>
  <c r="BJ122"/>
  <c r="BG92"/>
  <c r="BG122"/>
  <c r="BM92"/>
  <c r="BM122"/>
  <c r="BU36"/>
  <c r="BV82" i="18"/>
  <c r="Z117" i="89"/>
  <c r="BE92" i="20"/>
  <c r="BE122"/>
  <c r="BL122"/>
  <c r="BL92"/>
  <c r="BT86" i="18"/>
  <c r="BS45" i="20"/>
  <c r="AJ115" i="89"/>
  <c r="R57" i="25"/>
  <c r="BS91" i="18"/>
  <c r="BK130" i="20"/>
  <c r="BK179"/>
  <c r="BM130"/>
  <c r="BM179"/>
  <c r="T177" i="48"/>
  <c r="K23" i="66"/>
  <c r="BD179" i="20"/>
  <c r="BD130"/>
  <c r="AI34" i="89"/>
  <c r="BF35" i="18"/>
  <c r="L145" i="48"/>
  <c r="AU57"/>
  <c r="N118" i="39"/>
  <c r="N219" i="62"/>
  <c r="N121" i="39" s="1"/>
  <c r="V359" i="62"/>
  <c r="V368" s="1"/>
  <c r="AI58" i="89"/>
  <c r="W576" i="62"/>
  <c r="W585" s="1"/>
  <c r="AI19" i="89"/>
  <c r="AI73"/>
  <c r="BE61" i="18"/>
  <c r="Z103" i="89" l="1"/>
  <c r="Q207" i="62" s="1"/>
  <c r="Q220" s="1"/>
  <c r="Y102" i="89"/>
  <c r="P206" i="62" s="1"/>
  <c r="BD55" i="18"/>
  <c r="X72" i="89"/>
  <c r="X58" s="1"/>
  <c r="W356" i="62" s="1"/>
  <c r="W365" s="1"/>
  <c r="Z41" i="48"/>
  <c r="AU41"/>
  <c r="Z39"/>
  <c r="AU39"/>
  <c r="V573" i="62"/>
  <c r="V582" s="1"/>
  <c r="X18" i="89"/>
  <c r="X33"/>
  <c r="BE29" i="18"/>
  <c r="O101" i="89"/>
  <c r="N204" i="62"/>
  <c r="N217" s="1"/>
  <c r="N100" i="89"/>
  <c r="M203" i="62"/>
  <c r="L216"/>
  <c r="L120" i="39" s="1"/>
  <c r="L228" i="62"/>
  <c r="L127" i="39" s="1"/>
  <c r="L229" i="62"/>
  <c r="L128" i="39" s="1"/>
  <c r="L233" i="62"/>
  <c r="L132" i="39" s="1"/>
  <c r="L117"/>
  <c r="R18" i="25"/>
  <c r="O116" i="89"/>
  <c r="BT19" i="20"/>
  <c r="BT22" s="1"/>
  <c r="BT64" s="1"/>
  <c r="BU76" i="18"/>
  <c r="R19" i="25" s="1"/>
  <c r="BR80" i="20"/>
  <c r="BR141" s="1"/>
  <c r="BR182" s="1"/>
  <c r="BR116"/>
  <c r="S367" i="62"/>
  <c r="S214" i="39" s="1"/>
  <c r="S211"/>
  <c r="L65" i="48"/>
  <c r="P597" i="62"/>
  <c r="P364" i="39" s="1"/>
  <c r="S597" i="62"/>
  <c r="S364" i="39" s="1"/>
  <c r="V561" i="62"/>
  <c r="V341" i="39" s="1"/>
  <c r="T597" i="62"/>
  <c r="T364" i="39" s="1"/>
  <c r="R597" i="62"/>
  <c r="R364" i="39" s="1"/>
  <c r="W561" i="62"/>
  <c r="W341" i="39" s="1"/>
  <c r="O597" i="62"/>
  <c r="O364" i="39" s="1"/>
  <c r="M597" i="62"/>
  <c r="M364" i="39" s="1"/>
  <c r="Q597" i="62"/>
  <c r="Q364" i="39" s="1"/>
  <c r="U597" i="62"/>
  <c r="U364" i="39" s="1"/>
  <c r="L597" i="62"/>
  <c r="L364" i="39" s="1"/>
  <c r="N597" i="62"/>
  <c r="N364" i="39" s="1"/>
  <c r="AH71" i="89"/>
  <c r="BC59" i="18"/>
  <c r="AF29" i="89"/>
  <c r="AF11" s="1"/>
  <c r="AH17"/>
  <c r="U575" i="62"/>
  <c r="T598"/>
  <c r="T365" i="39" s="1"/>
  <c r="U598" i="62"/>
  <c r="U365" i="39" s="1"/>
  <c r="V562" i="62"/>
  <c r="V342" i="39" s="1"/>
  <c r="R598" i="62"/>
  <c r="R365" i="39" s="1"/>
  <c r="N598" i="62"/>
  <c r="N365" i="39" s="1"/>
  <c r="S598" i="62"/>
  <c r="S365" i="39" s="1"/>
  <c r="O598" i="62"/>
  <c r="O365" i="39" s="1"/>
  <c r="Q598" i="62"/>
  <c r="Q365" i="39" s="1"/>
  <c r="L598" i="62"/>
  <c r="L365" i="39" s="1"/>
  <c r="W562" i="62"/>
  <c r="W342" i="39" s="1"/>
  <c r="P598" i="62"/>
  <c r="P365" i="39" s="1"/>
  <c r="M598" i="62"/>
  <c r="M365" i="39" s="1"/>
  <c r="N599" i="62"/>
  <c r="N366" i="39" s="1"/>
  <c r="L599" i="62"/>
  <c r="L366" i="39" s="1"/>
  <c r="R599" i="62"/>
  <c r="R366" i="39" s="1"/>
  <c r="S599" i="62"/>
  <c r="S366" i="39" s="1"/>
  <c r="V563" i="62"/>
  <c r="V343" i="39" s="1"/>
  <c r="W563" i="62"/>
  <c r="W343" i="39" s="1"/>
  <c r="T599" i="62"/>
  <c r="T366" i="39" s="1"/>
  <c r="Q599" i="62"/>
  <c r="Q366" i="39" s="1"/>
  <c r="O599" i="62"/>
  <c r="O366" i="39" s="1"/>
  <c r="P599" i="62"/>
  <c r="P366" i="39" s="1"/>
  <c r="M599" i="62"/>
  <c r="M366" i="39" s="1"/>
  <c r="U599" i="62"/>
  <c r="U366" i="39" s="1"/>
  <c r="BS80" i="20"/>
  <c r="BS141" s="1"/>
  <c r="T349" i="39"/>
  <c r="T584" i="62"/>
  <c r="T352" i="39" s="1"/>
  <c r="AG45" i="48"/>
  <c r="AG50" s="1"/>
  <c r="AN98"/>
  <c r="AN97"/>
  <c r="AN89"/>
  <c r="AU45"/>
  <c r="AN48"/>
  <c r="Z45"/>
  <c r="AN50"/>
  <c r="AN204"/>
  <c r="AN91"/>
  <c r="AN90"/>
  <c r="T358" i="62"/>
  <c r="AF68" i="89"/>
  <c r="L177" i="48"/>
  <c r="L149"/>
  <c r="AG98"/>
  <c r="BD33" i="18"/>
  <c r="AH32" i="89"/>
  <c r="BS93" i="18"/>
  <c r="AA248" i="48"/>
  <c r="L16"/>
  <c r="L213" s="1"/>
  <c r="L212" s="1"/>
  <c r="L14"/>
  <c r="W71" i="89"/>
  <c r="W57" s="1"/>
  <c r="BC53" i="18"/>
  <c r="AG19" i="48"/>
  <c r="AG24" s="1"/>
  <c r="AU19"/>
  <c r="Z19"/>
  <c r="AN22"/>
  <c r="AN24"/>
  <c r="W32" i="89"/>
  <c r="BD27" i="18"/>
  <c r="M17" i="89"/>
  <c r="U570" i="62"/>
  <c r="U579" s="1"/>
  <c r="AG11" i="48"/>
  <c r="AG16" s="1"/>
  <c r="AU11"/>
  <c r="Z11"/>
  <c r="AN16"/>
  <c r="AN14"/>
  <c r="BC49" i="18"/>
  <c r="M71" i="89"/>
  <c r="BB65" i="18"/>
  <c r="R374" i="62"/>
  <c r="R220" i="39" s="1"/>
  <c r="R361" i="62"/>
  <c r="R212" i="39" s="1"/>
  <c r="R209"/>
  <c r="R378" i="62"/>
  <c r="R224" i="39" s="1"/>
  <c r="R373" i="62"/>
  <c r="R219" i="39" s="1"/>
  <c r="U69" i="89"/>
  <c r="U51" s="1"/>
  <c r="U355" i="62"/>
  <c r="BC39" i="18"/>
  <c r="M32" i="89"/>
  <c r="BD23" i="18"/>
  <c r="U29" i="89"/>
  <c r="U11" s="1"/>
  <c r="U572" i="62"/>
  <c r="W17" i="89"/>
  <c r="BA64" i="18"/>
  <c r="BA66" s="1"/>
  <c r="BB47"/>
  <c r="J82" i="89"/>
  <c r="J83" s="1"/>
  <c r="BB38" i="18"/>
  <c r="BB40" s="1"/>
  <c r="L31" i="89"/>
  <c r="BC21" i="18"/>
  <c r="K29" i="89"/>
  <c r="K11" s="1"/>
  <c r="S352" i="62"/>
  <c r="J67" i="89"/>
  <c r="AM161" i="48"/>
  <c r="AM193"/>
  <c r="AF188"/>
  <c r="AF193" s="1"/>
  <c r="T348" i="39"/>
  <c r="T581" i="62"/>
  <c r="T351" i="39" s="1"/>
  <c r="S578" i="62"/>
  <c r="S350" i="39" s="1"/>
  <c r="S347"/>
  <c r="AN31" i="48"/>
  <c r="Z28"/>
  <c r="AG28"/>
  <c r="AG33" s="1"/>
  <c r="AN33"/>
  <c r="AU28"/>
  <c r="T353" i="62"/>
  <c r="T362" s="1"/>
  <c r="K68" i="89"/>
  <c r="J28"/>
  <c r="J29" s="1"/>
  <c r="J11" s="1"/>
  <c r="T569" i="62"/>
  <c r="BQ140" i="20"/>
  <c r="BQ171" s="1"/>
  <c r="BV74" i="18"/>
  <c r="N117" i="89"/>
  <c r="BU11" i="20"/>
  <c r="BU14" s="1"/>
  <c r="BU16" s="1"/>
  <c r="BW17" s="1"/>
  <c r="BS56"/>
  <c r="BS58"/>
  <c r="BV59" s="1"/>
  <c r="BU88" i="18"/>
  <c r="BT92"/>
  <c r="AK116" i="89"/>
  <c r="BT53" i="20"/>
  <c r="AK101" i="89"/>
  <c r="N210" i="62"/>
  <c r="N212" s="1"/>
  <c r="N214" s="1"/>
  <c r="N223" s="1"/>
  <c r="M209"/>
  <c r="AJ100" i="89"/>
  <c r="BE155" i="20"/>
  <c r="BE125"/>
  <c r="BE94"/>
  <c r="BL94"/>
  <c r="BL155"/>
  <c r="BL125"/>
  <c r="BU39"/>
  <c r="S39" i="25" s="1"/>
  <c r="BM125" i="20"/>
  <c r="BM155"/>
  <c r="BM94"/>
  <c r="BJ94"/>
  <c r="BJ155"/>
  <c r="BJ125"/>
  <c r="BU33"/>
  <c r="BW34" s="1"/>
  <c r="BT51"/>
  <c r="BT70" s="1"/>
  <c r="BR69"/>
  <c r="BI94"/>
  <c r="BI155"/>
  <c r="BI125"/>
  <c r="BU86" i="18"/>
  <c r="AJ116" i="89"/>
  <c r="BT45" i="20"/>
  <c r="R58" i="25"/>
  <c r="BT91" i="18"/>
  <c r="Z118" i="89"/>
  <c r="BV36" i="20"/>
  <c r="BV39" s="1"/>
  <c r="BV41" s="1"/>
  <c r="BY42" s="1"/>
  <c r="BW82" i="18"/>
  <c r="BK125" i="20"/>
  <c r="BK94"/>
  <c r="BK155"/>
  <c r="BC145"/>
  <c r="BB147"/>
  <c r="BR65"/>
  <c r="BR120" s="1"/>
  <c r="S56" i="25"/>
  <c r="BR66" i="20"/>
  <c r="BS50"/>
  <c r="BS48"/>
  <c r="BS90"/>
  <c r="BG155"/>
  <c r="BG125"/>
  <c r="BG94"/>
  <c r="T147" i="48"/>
  <c r="K19" i="76"/>
  <c r="Y118" i="89"/>
  <c r="BV28" i="20"/>
  <c r="BV31" s="1"/>
  <c r="R40" i="25"/>
  <c r="BW80" i="18"/>
  <c r="BP181" i="20"/>
  <c r="BP171"/>
  <c r="BB94"/>
  <c r="BB125"/>
  <c r="BB155"/>
  <c r="BC94"/>
  <c r="BC125"/>
  <c r="BC155"/>
  <c r="BF94"/>
  <c r="BF155"/>
  <c r="BF125"/>
  <c r="BQ126"/>
  <c r="T94" i="48"/>
  <c r="T127" s="1"/>
  <c r="L127" i="20"/>
  <c r="K26" i="26"/>
  <c r="L96" i="20"/>
  <c r="R94" i="22"/>
  <c r="BQ113" i="20"/>
  <c r="BQ111"/>
  <c r="BQ104"/>
  <c r="BQ108"/>
  <c r="BQ131"/>
  <c r="BQ109"/>
  <c r="BQ67"/>
  <c r="BQ110"/>
  <c r="BQ107"/>
  <c r="BQ112"/>
  <c r="BH155"/>
  <c r="BH125"/>
  <c r="BH94"/>
  <c r="BD155"/>
  <c r="BD125"/>
  <c r="BD94"/>
  <c r="AI74" i="89"/>
  <c r="BF61" i="18"/>
  <c r="L147" i="48"/>
  <c r="V355" i="62"/>
  <c r="BG35" i="18"/>
  <c r="AI35" i="89"/>
  <c r="O118" i="39"/>
  <c r="O219" i="62"/>
  <c r="O121" i="39" s="1"/>
  <c r="L612" i="62"/>
  <c r="L621" s="1"/>
  <c r="AI20" i="89"/>
  <c r="W359" i="62"/>
  <c r="W368" s="1"/>
  <c r="AI59" i="89"/>
  <c r="Z104" l="1"/>
  <c r="R207" i="62" s="1"/>
  <c r="R220" s="1"/>
  <c r="Y103" i="89"/>
  <c r="S18" i="25"/>
  <c r="BS182" i="20"/>
  <c r="BT93" i="18"/>
  <c r="AU40" i="48"/>
  <c r="BE55" i="18"/>
  <c r="X73" i="89"/>
  <c r="X59" s="1"/>
  <c r="BF29" i="18"/>
  <c r="X34" i="89"/>
  <c r="W573" i="62"/>
  <c r="W582" s="1"/>
  <c r="X19" i="89"/>
  <c r="O204" i="62"/>
  <c r="O217" s="1"/>
  <c r="O102" i="89"/>
  <c r="BU19" i="20"/>
  <c r="BU22" s="1"/>
  <c r="BU64" s="1"/>
  <c r="BV76" i="18"/>
  <c r="R20" i="25" s="1"/>
  <c r="O117" i="89"/>
  <c r="BT24" i="20"/>
  <c r="BW25" s="1"/>
  <c r="N203" i="62"/>
  <c r="N101" i="89"/>
  <c r="M233" i="62"/>
  <c r="M132" i="39" s="1"/>
  <c r="M228" i="62"/>
  <c r="M127" i="39" s="1"/>
  <c r="M229" i="62"/>
  <c r="M128" i="39" s="1"/>
  <c r="M117"/>
  <c r="M216" i="62"/>
  <c r="M120" i="39" s="1"/>
  <c r="T367" i="62"/>
  <c r="T214" i="39" s="1"/>
  <c r="T211"/>
  <c r="AU50" i="48"/>
  <c r="Z50"/>
  <c r="O380" i="62"/>
  <c r="O226" i="39" s="1"/>
  <c r="V344" i="62"/>
  <c r="V203" i="39" s="1"/>
  <c r="W344" i="62"/>
  <c r="W203" i="39" s="1"/>
  <c r="AU89" i="48"/>
  <c r="R380" i="62"/>
  <c r="R226" i="39" s="1"/>
  <c r="N380" i="62"/>
  <c r="N226" i="39" s="1"/>
  <c r="L380" i="62"/>
  <c r="L226" i="39" s="1"/>
  <c r="Z89" i="48"/>
  <c r="P380" i="62"/>
  <c r="P226" i="39" s="1"/>
  <c r="T380" i="62"/>
  <c r="T226" i="39" s="1"/>
  <c r="U380" i="62"/>
  <c r="U226" i="39" s="1"/>
  <c r="Q380" i="62"/>
  <c r="Q226" i="39" s="1"/>
  <c r="M380" i="62"/>
  <c r="M226" i="39" s="1"/>
  <c r="S380" i="62"/>
  <c r="S226" i="39" s="1"/>
  <c r="V575" i="62"/>
  <c r="AH18" i="89"/>
  <c r="BE33" i="18"/>
  <c r="AH33" i="89"/>
  <c r="AF69"/>
  <c r="AF51" s="1"/>
  <c r="U358" i="62"/>
  <c r="AH57" i="89"/>
  <c r="Z204" i="48"/>
  <c r="Z205" s="1"/>
  <c r="Z184" s="1"/>
  <c r="AN205"/>
  <c r="AU204"/>
  <c r="U584" i="62"/>
  <c r="U352" i="39" s="1"/>
  <c r="U349"/>
  <c r="AG89" i="48"/>
  <c r="AG91"/>
  <c r="S382" i="62"/>
  <c r="S228" i="39" s="1"/>
  <c r="L382" i="62"/>
  <c r="L228" i="39" s="1"/>
  <c r="W346" i="62"/>
  <c r="W205" i="39" s="1"/>
  <c r="O382" i="62"/>
  <c r="O228" i="39" s="1"/>
  <c r="M382" i="62"/>
  <c r="M228" i="39" s="1"/>
  <c r="Z91" i="48"/>
  <c r="N382" i="62"/>
  <c r="N228" i="39" s="1"/>
  <c r="Q382" i="62"/>
  <c r="Q228" i="39" s="1"/>
  <c r="U382" i="62"/>
  <c r="U228" i="39" s="1"/>
  <c r="V346" i="62"/>
  <c r="V205" i="39" s="1"/>
  <c r="P382" i="62"/>
  <c r="P228" i="39" s="1"/>
  <c r="AU91" i="48"/>
  <c r="R382" i="62"/>
  <c r="R228" i="39" s="1"/>
  <c r="T382" i="62"/>
  <c r="T228" i="39" s="1"/>
  <c r="AN65" i="48"/>
  <c r="AU48"/>
  <c r="Z48"/>
  <c r="Z65" s="1"/>
  <c r="AN149"/>
  <c r="Z98"/>
  <c r="AU98"/>
  <c r="BD59" i="18"/>
  <c r="AH72" i="89"/>
  <c r="AG48" i="48"/>
  <c r="AG65" s="1"/>
  <c r="AG90"/>
  <c r="V345" i="62"/>
  <c r="V204" i="39" s="1"/>
  <c r="R381" i="62"/>
  <c r="R227" i="39" s="1"/>
  <c r="Q381" i="62"/>
  <c r="Q227" i="39" s="1"/>
  <c r="Z90" i="48"/>
  <c r="M381" i="62"/>
  <c r="M227" i="39" s="1"/>
  <c r="W345" i="62"/>
  <c r="W204" i="39" s="1"/>
  <c r="T381" i="62"/>
  <c r="T227" i="39" s="1"/>
  <c r="U381" i="62"/>
  <c r="U227" i="39" s="1"/>
  <c r="N381" i="62"/>
  <c r="N227" i="39" s="1"/>
  <c r="P381" i="62"/>
  <c r="P227" i="39" s="1"/>
  <c r="S381" i="62"/>
  <c r="S227" i="39" s="1"/>
  <c r="O381" i="62"/>
  <c r="O227" i="39" s="1"/>
  <c r="L381" i="62"/>
  <c r="L227" i="39" s="1"/>
  <c r="AU90" i="48"/>
  <c r="AG97"/>
  <c r="Z97"/>
  <c r="AN177"/>
  <c r="AU177" s="1"/>
  <c r="AU97"/>
  <c r="AN146"/>
  <c r="AF12" i="89"/>
  <c r="AF14"/>
  <c r="L120" i="48"/>
  <c r="L124"/>
  <c r="L123"/>
  <c r="L88"/>
  <c r="L69"/>
  <c r="L140" s="1"/>
  <c r="AG69"/>
  <c r="I66" i="77" s="1"/>
  <c r="BQ181" i="20"/>
  <c r="T578" i="62"/>
  <c r="T350" i="39" s="1"/>
  <c r="T347"/>
  <c r="U581" i="62"/>
  <c r="U351" i="39" s="1"/>
  <c r="U348"/>
  <c r="AU16" i="48"/>
  <c r="Z16"/>
  <c r="AU24"/>
  <c r="Z24"/>
  <c r="AN212"/>
  <c r="AN93" s="1"/>
  <c r="L93"/>
  <c r="J12" i="89"/>
  <c r="J14"/>
  <c r="U353" i="62"/>
  <c r="U362" s="1"/>
  <c r="M57" i="89"/>
  <c r="S361" i="62"/>
  <c r="S212" i="39" s="1"/>
  <c r="S373" i="62"/>
  <c r="S219" i="39" s="1"/>
  <c r="S378" i="62"/>
  <c r="S224" i="39" s="1"/>
  <c r="S374" i="62"/>
  <c r="S220" i="39" s="1"/>
  <c r="S209"/>
  <c r="V572" i="62"/>
  <c r="W18" i="89"/>
  <c r="AG14" i="48"/>
  <c r="Z14"/>
  <c r="AN66"/>
  <c r="AN64"/>
  <c r="AU14"/>
  <c r="L66"/>
  <c r="L64"/>
  <c r="AN69"/>
  <c r="Z33"/>
  <c r="AU33"/>
  <c r="I53" i="77"/>
  <c r="T352" i="62"/>
  <c r="J68" i="89"/>
  <c r="J69" s="1"/>
  <c r="J51" s="1"/>
  <c r="BE23" i="18"/>
  <c r="BD39"/>
  <c r="M33" i="89"/>
  <c r="U52"/>
  <c r="U54"/>
  <c r="BC65" i="18"/>
  <c r="M72" i="89"/>
  <c r="BD49" i="18"/>
  <c r="W33" i="89"/>
  <c r="BE27" i="18"/>
  <c r="K69" i="89"/>
  <c r="K51" s="1"/>
  <c r="U569" i="62"/>
  <c r="L17" i="89"/>
  <c r="AG31" i="48"/>
  <c r="Z31"/>
  <c r="AU31"/>
  <c r="AM163"/>
  <c r="AM164" s="1"/>
  <c r="AF161"/>
  <c r="AF163" s="1"/>
  <c r="AF164" s="1"/>
  <c r="BC38" i="18"/>
  <c r="BC40" s="1"/>
  <c r="L32" i="89"/>
  <c r="BD21" i="18"/>
  <c r="L71" i="89"/>
  <c r="BC47" i="18"/>
  <c r="BB64"/>
  <c r="BB66" s="1"/>
  <c r="U14" i="89"/>
  <c r="U12"/>
  <c r="U210" i="39"/>
  <c r="U364" i="62"/>
  <c r="U213" i="39" s="1"/>
  <c r="M18" i="89"/>
  <c r="V570" i="62"/>
  <c r="V579" s="1"/>
  <c r="AU22" i="48"/>
  <c r="Z22"/>
  <c r="AG22"/>
  <c r="BD53" i="18"/>
  <c r="W72" i="89"/>
  <c r="W58" s="1"/>
  <c r="W355" i="62" s="1"/>
  <c r="N118" i="89"/>
  <c r="BV11" i="20"/>
  <c r="BV14" s="1"/>
  <c r="BV16" s="1"/>
  <c r="BX17" s="1"/>
  <c r="BW74" i="18"/>
  <c r="M211" i="62"/>
  <c r="M213" s="1"/>
  <c r="M222" s="1"/>
  <c r="M122" i="39" s="1"/>
  <c r="M119"/>
  <c r="N209" i="62"/>
  <c r="AJ101" i="89"/>
  <c r="O209" i="62" s="1"/>
  <c r="O211" s="1"/>
  <c r="O213" s="1"/>
  <c r="O222" s="1"/>
  <c r="BT58" i="20"/>
  <c r="BW59" s="1"/>
  <c r="BT56"/>
  <c r="AK102" i="89"/>
  <c r="O210" i="62"/>
  <c r="O212" s="1"/>
  <c r="O214" s="1"/>
  <c r="O223" s="1"/>
  <c r="BU92" i="18"/>
  <c r="BU53" i="20"/>
  <c r="BV88" i="18"/>
  <c r="AK117" i="89"/>
  <c r="BH127" i="20"/>
  <c r="BH167"/>
  <c r="BH96"/>
  <c r="T96" i="48"/>
  <c r="L129" i="20"/>
  <c r="R98" i="22"/>
  <c r="R99" s="1"/>
  <c r="L300" i="20"/>
  <c r="L308" s="1"/>
  <c r="L310" s="1"/>
  <c r="L209" s="1"/>
  <c r="L99"/>
  <c r="F8" i="36"/>
  <c r="K28" i="26"/>
  <c r="BF183" i="20"/>
  <c r="BF159"/>
  <c r="BC167"/>
  <c r="BC127"/>
  <c r="BC96"/>
  <c r="BW28"/>
  <c r="R41" i="25"/>
  <c r="Y119" i="89"/>
  <c r="BX80" i="18"/>
  <c r="BG183" i="20"/>
  <c r="BG159"/>
  <c r="BR131"/>
  <c r="BR113"/>
  <c r="BR111"/>
  <c r="BR108"/>
  <c r="BR112"/>
  <c r="BR110"/>
  <c r="BR67"/>
  <c r="BR104"/>
  <c r="BR109"/>
  <c r="BR107"/>
  <c r="BC147"/>
  <c r="BD145"/>
  <c r="Z119" i="89"/>
  <c r="BX82" i="18"/>
  <c r="BW36" i="20"/>
  <c r="BW39" s="1"/>
  <c r="BW41" s="1"/>
  <c r="BJ183"/>
  <c r="BJ159"/>
  <c r="BL159"/>
  <c r="BL183"/>
  <c r="BE159"/>
  <c r="BE183"/>
  <c r="BD96"/>
  <c r="BD167"/>
  <c r="BD127"/>
  <c r="R96" i="22"/>
  <c r="R92"/>
  <c r="R95"/>
  <c r="BB96" i="20"/>
  <c r="BB127"/>
  <c r="BB167"/>
  <c r="BU51"/>
  <c r="BU70" s="1"/>
  <c r="BS69"/>
  <c r="BS93" s="1"/>
  <c r="BU45"/>
  <c r="AJ117" i="89"/>
  <c r="BV86" i="18"/>
  <c r="BU91"/>
  <c r="R59" i="25"/>
  <c r="BI96" i="20"/>
  <c r="BI167"/>
  <c r="BI127"/>
  <c r="BR93"/>
  <c r="BR126" s="1"/>
  <c r="BR140"/>
  <c r="BM183"/>
  <c r="L155"/>
  <c r="BM159"/>
  <c r="BH159"/>
  <c r="BH183"/>
  <c r="BC183"/>
  <c r="BC159"/>
  <c r="BT80"/>
  <c r="BT141" s="1"/>
  <c r="BT116"/>
  <c r="S40" i="25"/>
  <c r="BV33" i="20"/>
  <c r="BX34" s="1"/>
  <c r="BG96"/>
  <c r="BG167"/>
  <c r="BG127"/>
  <c r="S57" i="25"/>
  <c r="BS65" i="20"/>
  <c r="BS120" s="1"/>
  <c r="BS66"/>
  <c r="BK167"/>
  <c r="BK127"/>
  <c r="BK96"/>
  <c r="BI159"/>
  <c r="BI183"/>
  <c r="BM96"/>
  <c r="BM167"/>
  <c r="L167" s="1"/>
  <c r="BM127"/>
  <c r="BU41"/>
  <c r="BX42" s="1"/>
  <c r="M42" s="1"/>
  <c r="BZ42" s="1"/>
  <c r="BE96"/>
  <c r="BE127"/>
  <c r="BE167"/>
  <c r="BD183"/>
  <c r="BD159"/>
  <c r="BF127"/>
  <c r="BF96"/>
  <c r="BF167"/>
  <c r="BB159"/>
  <c r="BB183"/>
  <c r="BK159"/>
  <c r="BK183"/>
  <c r="BT50"/>
  <c r="BT48"/>
  <c r="BT90"/>
  <c r="BJ127"/>
  <c r="BJ96"/>
  <c r="BJ167"/>
  <c r="BL167"/>
  <c r="BL127"/>
  <c r="BL96"/>
  <c r="AI21" i="89"/>
  <c r="M612" i="62"/>
  <c r="M621" s="1"/>
  <c r="V210" i="39"/>
  <c r="V364" i="62"/>
  <c r="V213" i="39" s="1"/>
  <c r="L392" i="62"/>
  <c r="L401" s="1"/>
  <c r="AI75" i="89"/>
  <c r="BG61" i="18"/>
  <c r="L395" i="62"/>
  <c r="L404" s="1"/>
  <c r="AI60" i="89"/>
  <c r="P118" i="39"/>
  <c r="P219" i="62"/>
  <c r="P121" i="39" s="1"/>
  <c r="BH35" i="18"/>
  <c r="AI36" i="89"/>
  <c r="Z105" l="1"/>
  <c r="S207" i="62" s="1"/>
  <c r="S220" s="1"/>
  <c r="Y104" i="89"/>
  <c r="Q206" i="62"/>
  <c r="Q118" i="39" s="1"/>
  <c r="BF55" i="18"/>
  <c r="X74" i="89"/>
  <c r="X60" s="1"/>
  <c r="X20"/>
  <c r="L609" i="62"/>
  <c r="L618" s="1"/>
  <c r="BG29" i="18"/>
  <c r="X35" i="89"/>
  <c r="N102"/>
  <c r="O203" i="62"/>
  <c r="P204"/>
  <c r="P217" s="1"/>
  <c r="O103" i="89"/>
  <c r="S19" i="25"/>
  <c r="BU24" i="20"/>
  <c r="BX25" s="1"/>
  <c r="N229" i="62"/>
  <c r="N128" i="39" s="1"/>
  <c r="N233" i="62"/>
  <c r="N132" i="39" s="1"/>
  <c r="N216" i="62"/>
  <c r="N120" i="39" s="1"/>
  <c r="N117"/>
  <c r="N228" i="62"/>
  <c r="N127" i="39" s="1"/>
  <c r="O118" i="89"/>
  <c r="BV19" i="20"/>
  <c r="BV22" s="1"/>
  <c r="BW76" i="18"/>
  <c r="Z177" i="48"/>
  <c r="AG177"/>
  <c r="AH73" i="89"/>
  <c r="BE59" i="18"/>
  <c r="Z120" i="48"/>
  <c r="Z124"/>
  <c r="Z123"/>
  <c r="AH58" i="89"/>
  <c r="V358" i="62"/>
  <c r="AH34" i="89"/>
  <c r="BF33" i="18"/>
  <c r="L92" i="48"/>
  <c r="L125" s="1"/>
  <c r="M596" i="62"/>
  <c r="M363" i="39" s="1"/>
  <c r="N596" i="62"/>
  <c r="N363" i="39" s="1"/>
  <c r="S596" i="62"/>
  <c r="S363" i="39" s="1"/>
  <c r="L596" i="62"/>
  <c r="L363" i="39" s="1"/>
  <c r="U596" i="62"/>
  <c r="U363" i="39" s="1"/>
  <c r="T596" i="62"/>
  <c r="T363" i="39" s="1"/>
  <c r="P596" i="62"/>
  <c r="P363" i="39" s="1"/>
  <c r="V560" i="62"/>
  <c r="V340" i="39" s="1"/>
  <c r="W560" i="62"/>
  <c r="W340" i="39" s="1"/>
  <c r="Q596" i="62"/>
  <c r="Q363" i="39" s="1"/>
  <c r="L122" i="48"/>
  <c r="O596" i="62"/>
  <c r="O363" i="39" s="1"/>
  <c r="R596" i="62"/>
  <c r="R363" i="39" s="1"/>
  <c r="AG149" i="48"/>
  <c r="AU149"/>
  <c r="Z149"/>
  <c r="AN123"/>
  <c r="AN120"/>
  <c r="AN124"/>
  <c r="AN88"/>
  <c r="AN184"/>
  <c r="AU205"/>
  <c r="AF54" i="89"/>
  <c r="AF52"/>
  <c r="V349" i="39"/>
  <c r="V584" i="62"/>
  <c r="V352" i="39" s="1"/>
  <c r="AU146" i="48"/>
  <c r="Z146"/>
  <c r="AG146"/>
  <c r="AG123"/>
  <c r="AG124"/>
  <c r="AG120"/>
  <c r="AG122"/>
  <c r="AG125"/>
  <c r="AU65"/>
  <c r="AU49"/>
  <c r="U211" i="39"/>
  <c r="U367" i="62"/>
  <c r="U214" i="39" s="1"/>
  <c r="W575" i="62"/>
  <c r="AH19" i="89"/>
  <c r="AU23" i="48"/>
  <c r="O119" i="39"/>
  <c r="AU32" i="48"/>
  <c r="O122" i="39"/>
  <c r="BU93" i="18"/>
  <c r="W570" i="62"/>
  <c r="W579" s="1"/>
  <c r="M19" i="89"/>
  <c r="BD38" i="18"/>
  <c r="BD40" s="1"/>
  <c r="L33" i="89"/>
  <c r="BE21" i="18"/>
  <c r="L18" i="89"/>
  <c r="V569" i="62"/>
  <c r="BF23" i="18"/>
  <c r="BE39"/>
  <c r="M34" i="89"/>
  <c r="L179" i="48"/>
  <c r="AN140"/>
  <c r="J70" i="77"/>
  <c r="AN116" i="48"/>
  <c r="AN83"/>
  <c r="AN80"/>
  <c r="AN84"/>
  <c r="W572" i="62"/>
  <c r="W19" i="89"/>
  <c r="Z93" i="48"/>
  <c r="AU93"/>
  <c r="AU69"/>
  <c r="BE53" i="18"/>
  <c r="W73" i="89"/>
  <c r="W59" s="1"/>
  <c r="BF27" i="18"/>
  <c r="W34" i="89"/>
  <c r="T209" i="39"/>
  <c r="T378" i="62"/>
  <c r="T224" i="39" s="1"/>
  <c r="T374" i="62"/>
  <c r="T220" i="39" s="1"/>
  <c r="T361" i="62"/>
  <c r="T212" i="39" s="1"/>
  <c r="T373" i="62"/>
  <c r="T219" i="39" s="1"/>
  <c r="AU64" i="48"/>
  <c r="AU15"/>
  <c r="AG66"/>
  <c r="AG64"/>
  <c r="M58" i="89"/>
  <c r="V353" i="62"/>
  <c r="V362" s="1"/>
  <c r="L126" i="48"/>
  <c r="AG93"/>
  <c r="Z69"/>
  <c r="I62" i="77" s="1"/>
  <c r="BD47" i="18"/>
  <c r="BC64"/>
  <c r="BC66" s="1"/>
  <c r="L72" i="89"/>
  <c r="L57"/>
  <c r="U352" i="62"/>
  <c r="L110" i="48"/>
  <c r="L112"/>
  <c r="L130"/>
  <c r="L67"/>
  <c r="I52" i="77"/>
  <c r="L113" i="48"/>
  <c r="L104"/>
  <c r="L73"/>
  <c r="L107" s="1"/>
  <c r="L108"/>
  <c r="L131"/>
  <c r="Z64"/>
  <c r="Z116" s="1"/>
  <c r="Z66"/>
  <c r="U578" i="62"/>
  <c r="U350" i="39" s="1"/>
  <c r="U347"/>
  <c r="BD65" i="18"/>
  <c r="M73" i="89"/>
  <c r="BE49" i="18"/>
  <c r="J54" i="89"/>
  <c r="J52"/>
  <c r="L80" i="48"/>
  <c r="L141" s="1"/>
  <c r="L180" s="1"/>
  <c r="L116"/>
  <c r="L84"/>
  <c r="AG84" s="1"/>
  <c r="L83"/>
  <c r="AN108"/>
  <c r="AN113"/>
  <c r="AN67"/>
  <c r="J69" i="77"/>
  <c r="AN104" i="48"/>
  <c r="AN110"/>
  <c r="AN73"/>
  <c r="AN131"/>
  <c r="AN112"/>
  <c r="AN130"/>
  <c r="AN126"/>
  <c r="V581" i="62"/>
  <c r="V351" i="39" s="1"/>
  <c r="V348"/>
  <c r="BS140" i="20"/>
  <c r="BS171" s="1"/>
  <c r="BW11"/>
  <c r="BX74" i="18"/>
  <c r="N119" i="89"/>
  <c r="BV92" i="18"/>
  <c r="BW88"/>
  <c r="AK118" i="89"/>
  <c r="BV53" i="20"/>
  <c r="P210" i="62"/>
  <c r="P212" s="1"/>
  <c r="P214" s="1"/>
  <c r="P223" s="1"/>
  <c r="AK103" i="89"/>
  <c r="N119" i="39"/>
  <c r="N211" i="62"/>
  <c r="N213" s="1"/>
  <c r="N222" s="1"/>
  <c r="N122" i="39" s="1"/>
  <c r="BU58" i="20"/>
  <c r="BX59" s="1"/>
  <c r="BU56"/>
  <c r="AJ102" i="89"/>
  <c r="BL99" i="20"/>
  <c r="BL129"/>
  <c r="BJ99"/>
  <c r="BJ129"/>
  <c r="BF99"/>
  <c r="BF129"/>
  <c r="BS112"/>
  <c r="BS109"/>
  <c r="BS104"/>
  <c r="BS113"/>
  <c r="BS131"/>
  <c r="BS111"/>
  <c r="BS107"/>
  <c r="BS110"/>
  <c r="BS108"/>
  <c r="BS67"/>
  <c r="BR171"/>
  <c r="BR181"/>
  <c r="AJ118" i="89"/>
  <c r="BV45" i="20"/>
  <c r="BW86" i="18"/>
  <c r="R60" i="25"/>
  <c r="BV91" i="18"/>
  <c r="BU80" i="20"/>
  <c r="BU141" s="1"/>
  <c r="BU182" s="1"/>
  <c r="BU116"/>
  <c r="BB129"/>
  <c r="BB99"/>
  <c r="BD99"/>
  <c r="BD129"/>
  <c r="BE145"/>
  <c r="BD147"/>
  <c r="K38" i="26"/>
  <c r="K40"/>
  <c r="BS126" i="20"/>
  <c r="BV51"/>
  <c r="BV70" s="1"/>
  <c r="BT69"/>
  <c r="BM129"/>
  <c r="BM99"/>
  <c r="L159"/>
  <c r="T155" i="48"/>
  <c r="L183" i="20"/>
  <c r="K27" i="76"/>
  <c r="BU50" i="20"/>
  <c r="BU48"/>
  <c r="BU90"/>
  <c r="Y120" i="89"/>
  <c r="BX28" i="20"/>
  <c r="BX31" s="1"/>
  <c r="BY80" i="18"/>
  <c r="R42" i="25"/>
  <c r="BC129" i="20"/>
  <c r="BC99"/>
  <c r="BH99"/>
  <c r="BH129"/>
  <c r="BT65"/>
  <c r="BT120" s="1"/>
  <c r="S58" i="25"/>
  <c r="BT66" i="20"/>
  <c r="BE129"/>
  <c r="BE99"/>
  <c r="L175"/>
  <c r="T167" i="48"/>
  <c r="L166" i="20"/>
  <c r="BK99"/>
  <c r="BK129"/>
  <c r="BG129"/>
  <c r="BG99"/>
  <c r="BT182"/>
  <c r="BI99"/>
  <c r="BI129"/>
  <c r="BX36"/>
  <c r="BY82" i="18"/>
  <c r="Z120" i="89"/>
  <c r="BW31" i="20"/>
  <c r="K34" i="26"/>
  <c r="K39" s="1"/>
  <c r="L178" i="20"/>
  <c r="T99" i="48"/>
  <c r="T132" s="1"/>
  <c r="L132" i="20"/>
  <c r="J58" i="77"/>
  <c r="T129" i="48"/>
  <c r="L391" i="62"/>
  <c r="AI37" i="89"/>
  <c r="BI35" i="18"/>
  <c r="AI76" i="89"/>
  <c r="BH61" i="18"/>
  <c r="AI61" i="89"/>
  <c r="M395" i="62"/>
  <c r="M404" s="1"/>
  <c r="R206"/>
  <c r="AI22" i="89"/>
  <c r="N612" i="62"/>
  <c r="N621" s="1"/>
  <c r="W210" i="39"/>
  <c r="W364" i="62"/>
  <c r="W213" i="39" s="1"/>
  <c r="M392" i="62"/>
  <c r="M401" s="1"/>
  <c r="Y105" i="89" l="1"/>
  <c r="Z106"/>
  <c r="T207" i="62" s="1"/>
  <c r="T220" s="1"/>
  <c r="Q219"/>
  <c r="Q121" i="39" s="1"/>
  <c r="BH29" i="18"/>
  <c r="X36" i="89"/>
  <c r="X75"/>
  <c r="X61" s="1"/>
  <c r="BG55" i="18"/>
  <c r="X21" i="89"/>
  <c r="M609" i="62"/>
  <c r="M618" s="1"/>
  <c r="O104" i="89"/>
  <c r="Q204" i="62"/>
  <c r="Q217" s="1"/>
  <c r="P203"/>
  <c r="N103" i="89"/>
  <c r="BV24" i="20"/>
  <c r="BY25" s="1"/>
  <c r="M25" s="1"/>
  <c r="BZ25" s="1"/>
  <c r="BV64"/>
  <c r="S20" i="25"/>
  <c r="O228" i="62"/>
  <c r="O127" i="39" s="1"/>
  <c r="O233" i="62"/>
  <c r="O132" i="39" s="1"/>
  <c r="O216" i="62"/>
  <c r="O120" i="39" s="1"/>
  <c r="O229" i="62"/>
  <c r="O128" i="39" s="1"/>
  <c r="O117"/>
  <c r="BX76" i="18"/>
  <c r="R22" i="25" s="1"/>
  <c r="BW19" i="20"/>
  <c r="BW22" s="1"/>
  <c r="BW24" s="1"/>
  <c r="O119" i="89"/>
  <c r="R21" i="25"/>
  <c r="W584" i="62"/>
  <c r="W352" i="39" s="1"/>
  <c r="W349"/>
  <c r="AU123" i="48"/>
  <c r="AU120"/>
  <c r="AU124"/>
  <c r="BG33" i="18"/>
  <c r="AH35" i="89"/>
  <c r="AH20"/>
  <c r="L611" i="62"/>
  <c r="AN122" i="48"/>
  <c r="AN92"/>
  <c r="M379" i="62"/>
  <c r="M225" i="39" s="1"/>
  <c r="V343" i="62"/>
  <c r="V202" i="39" s="1"/>
  <c r="Q379" i="62"/>
  <c r="Q225" i="39" s="1"/>
  <c r="T379" i="62"/>
  <c r="T225" i="39" s="1"/>
  <c r="N379" i="62"/>
  <c r="N225" i="39" s="1"/>
  <c r="O379" i="62"/>
  <c r="O225" i="39" s="1"/>
  <c r="R379" i="62"/>
  <c r="R225" i="39" s="1"/>
  <c r="L379" i="62"/>
  <c r="L225" i="39" s="1"/>
  <c r="P379" i="62"/>
  <c r="P225" i="39" s="1"/>
  <c r="U379" i="62"/>
  <c r="U225" i="39" s="1"/>
  <c r="S379" i="62"/>
  <c r="S225" i="39" s="1"/>
  <c r="Z88" i="48"/>
  <c r="Z122" s="1"/>
  <c r="W343" i="62"/>
  <c r="W202" i="39" s="1"/>
  <c r="AU88" i="48"/>
  <c r="AU122" s="1"/>
  <c r="AG88"/>
  <c r="AG92" s="1"/>
  <c r="AH59" i="89"/>
  <c r="W358" i="62"/>
  <c r="BF59" i="18"/>
  <c r="AH74" i="89"/>
  <c r="AG184" i="48"/>
  <c r="AN145"/>
  <c r="AU184"/>
  <c r="V211" i="39"/>
  <c r="V367" i="62"/>
  <c r="V214" i="39" s="1"/>
  <c r="BS181" i="20"/>
  <c r="S586" i="62"/>
  <c r="S353" i="39" s="1"/>
  <c r="W550" i="62"/>
  <c r="W330" i="39" s="1"/>
  <c r="N586" i="62"/>
  <c r="N353" i="39" s="1"/>
  <c r="U586" i="62"/>
  <c r="U353" i="39" s="1"/>
  <c r="M586" i="62"/>
  <c r="M353" i="39" s="1"/>
  <c r="P586" i="62"/>
  <c r="P353" i="39" s="1"/>
  <c r="O586" i="62"/>
  <c r="O353" i="39" s="1"/>
  <c r="R586" i="62"/>
  <c r="R353" i="39" s="1"/>
  <c r="V550" i="62"/>
  <c r="V330" i="39" s="1"/>
  <c r="Q586" i="62"/>
  <c r="Q353" i="39" s="1"/>
  <c r="T586" i="62"/>
  <c r="T353" i="39" s="1"/>
  <c r="L586" i="62"/>
  <c r="L353" i="39" s="1"/>
  <c r="L58" i="89"/>
  <c r="V352" i="62"/>
  <c r="W353"/>
  <c r="W362" s="1"/>
  <c r="M59" i="89"/>
  <c r="AU116" i="48"/>
  <c r="AU66"/>
  <c r="AG80"/>
  <c r="AN141"/>
  <c r="AN114"/>
  <c r="Z80"/>
  <c r="Z114" s="1"/>
  <c r="AU80"/>
  <c r="AU114" s="1"/>
  <c r="Z140"/>
  <c r="AU140"/>
  <c r="AU169" s="1"/>
  <c r="AN179"/>
  <c r="AU179" s="1"/>
  <c r="L34" i="89"/>
  <c r="BF21" i="18"/>
  <c r="BE38"/>
  <c r="BE40" s="1"/>
  <c r="BV93"/>
  <c r="L114" i="48"/>
  <c r="L85"/>
  <c r="L119" s="1"/>
  <c r="K56" i="31"/>
  <c r="L75" i="48"/>
  <c r="AG73"/>
  <c r="U361" i="62"/>
  <c r="U212" i="39" s="1"/>
  <c r="U209"/>
  <c r="U378" i="62"/>
  <c r="U224" i="39" s="1"/>
  <c r="U374" i="62"/>
  <c r="U220" i="39" s="1"/>
  <c r="U373" i="62"/>
  <c r="U219" i="39" s="1"/>
  <c r="BE47" i="18"/>
  <c r="BD64"/>
  <c r="BD66" s="1"/>
  <c r="L73" i="89"/>
  <c r="W35"/>
  <c r="BG27" i="18"/>
  <c r="AN118" i="48"/>
  <c r="AU84"/>
  <c r="AU118" s="1"/>
  <c r="Z84"/>
  <c r="Z118" s="1"/>
  <c r="L19" i="89"/>
  <c r="W569" i="62"/>
  <c r="M20" i="89"/>
  <c r="L606" i="62"/>
  <c r="L615" s="1"/>
  <c r="Z110" i="48"/>
  <c r="Z67"/>
  <c r="Z112"/>
  <c r="C34" i="98"/>
  <c r="C35" s="1"/>
  <c r="C8" s="1"/>
  <c r="Z104" i="48"/>
  <c r="Z113"/>
  <c r="Z130"/>
  <c r="I61" i="77"/>
  <c r="Z131" i="48"/>
  <c r="Z126"/>
  <c r="Z108"/>
  <c r="AG67"/>
  <c r="AG113"/>
  <c r="H91" i="22"/>
  <c r="AG111" i="48"/>
  <c r="AG131"/>
  <c r="AG132"/>
  <c r="AG109"/>
  <c r="AG126"/>
  <c r="AG108"/>
  <c r="AG110"/>
  <c r="AG104"/>
  <c r="AG127"/>
  <c r="AG112"/>
  <c r="AG130"/>
  <c r="AG107"/>
  <c r="AG129"/>
  <c r="K206" i="20"/>
  <c r="I65" i="77"/>
  <c r="W581" i="62"/>
  <c r="W351" i="39" s="1"/>
  <c r="W348"/>
  <c r="V347"/>
  <c r="V578" i="62"/>
  <c r="V350" i="39" s="1"/>
  <c r="L117" i="48"/>
  <c r="AN107"/>
  <c r="AN75"/>
  <c r="Z73"/>
  <c r="Z107" s="1"/>
  <c r="AU73"/>
  <c r="M74" i="89"/>
  <c r="BF49" i="18"/>
  <c r="BE65"/>
  <c r="AG116" i="48"/>
  <c r="AG117"/>
  <c r="AG118"/>
  <c r="AG114"/>
  <c r="AG119"/>
  <c r="BF53" i="18"/>
  <c r="W74" i="89"/>
  <c r="W60" s="1"/>
  <c r="W20"/>
  <c r="L608" i="62"/>
  <c r="AG83" i="48"/>
  <c r="AG85" s="1"/>
  <c r="AU83"/>
  <c r="AU117" s="1"/>
  <c r="Z83"/>
  <c r="Z117" s="1"/>
  <c r="AN85"/>
  <c r="AN117"/>
  <c r="P56" i="31"/>
  <c r="M35" i="89"/>
  <c r="BF39" i="18"/>
  <c r="BG23"/>
  <c r="L118" i="48"/>
  <c r="AG140"/>
  <c r="AG169" s="1"/>
  <c r="BW14" i="20"/>
  <c r="BW64" s="1"/>
  <c r="N120" i="89"/>
  <c r="BY74" i="18"/>
  <c r="BX11" i="20"/>
  <c r="BX14" s="1"/>
  <c r="BX16" s="1"/>
  <c r="Q210" i="62"/>
  <c r="Q212" s="1"/>
  <c r="Q214" s="1"/>
  <c r="Q223" s="1"/>
  <c r="AK104" i="89"/>
  <c r="AK119"/>
  <c r="BW92" i="18"/>
  <c r="BW53" i="20"/>
  <c r="BX88" i="18"/>
  <c r="AJ103" i="89"/>
  <c r="P209" i="62"/>
  <c r="BV58" i="20"/>
  <c r="BY59" s="1"/>
  <c r="M59" s="1"/>
  <c r="BV56"/>
  <c r="BY36"/>
  <c r="BY39" s="1"/>
  <c r="BY41" s="1"/>
  <c r="BZ82" i="18"/>
  <c r="Z121" i="89"/>
  <c r="Z122" s="1"/>
  <c r="BC178" i="20"/>
  <c r="BC184" s="1"/>
  <c r="BC132"/>
  <c r="Y121" i="89"/>
  <c r="Y122" s="1"/>
  <c r="BZ80" i="18"/>
  <c r="BY28" i="20"/>
  <c r="R43" i="25"/>
  <c r="S83" s="1"/>
  <c r="BF145" i="20"/>
  <c r="BE147"/>
  <c r="BV50"/>
  <c r="BV48"/>
  <c r="BV90"/>
  <c r="BF178"/>
  <c r="BF184" s="1"/>
  <c r="BF132"/>
  <c r="BL178"/>
  <c r="BL184" s="1"/>
  <c r="BL132"/>
  <c r="K22" i="66"/>
  <c r="T176" i="48"/>
  <c r="L184" i="20"/>
  <c r="T182" i="48" s="1"/>
  <c r="K29" i="94"/>
  <c r="BI178" i="20"/>
  <c r="BI184" s="1"/>
  <c r="BI132"/>
  <c r="BT109"/>
  <c r="BT131"/>
  <c r="BT108"/>
  <c r="BT107"/>
  <c r="BT113"/>
  <c r="BT110"/>
  <c r="BT112"/>
  <c r="BT111"/>
  <c r="BT67"/>
  <c r="BT104"/>
  <c r="BH132"/>
  <c r="BH178"/>
  <c r="BH184" s="1"/>
  <c r="BW51"/>
  <c r="BW70" s="1"/>
  <c r="BU69"/>
  <c r="BU93" s="1"/>
  <c r="K30" i="76"/>
  <c r="T159" i="48"/>
  <c r="BB178" i="20"/>
  <c r="BB184" s="1"/>
  <c r="BB132"/>
  <c r="BW45"/>
  <c r="AJ119" i="89"/>
  <c r="BX86" i="18"/>
  <c r="BW91"/>
  <c r="R61" i="25"/>
  <c r="BW33" i="20"/>
  <c r="BY34" s="1"/>
  <c r="M34" s="1"/>
  <c r="BZ34" s="1"/>
  <c r="S41" i="25"/>
  <c r="BG178" i="20"/>
  <c r="BG184" s="1"/>
  <c r="BG132"/>
  <c r="BU65"/>
  <c r="BU120" s="1"/>
  <c r="BU66"/>
  <c r="S59" i="25"/>
  <c r="BM132" i="20"/>
  <c r="BM178"/>
  <c r="BM184" s="1"/>
  <c r="BT140"/>
  <c r="BT93"/>
  <c r="BT126" s="1"/>
  <c r="BD132"/>
  <c r="BD178"/>
  <c r="BD184" s="1"/>
  <c r="BJ132"/>
  <c r="BJ178"/>
  <c r="BJ184" s="1"/>
  <c r="BX39"/>
  <c r="S42" i="25" s="1"/>
  <c r="BK132" i="20"/>
  <c r="BK178"/>
  <c r="BK184" s="1"/>
  <c r="BE178"/>
  <c r="BE184" s="1"/>
  <c r="BE132"/>
  <c r="BX33"/>
  <c r="K33" i="94"/>
  <c r="K27" i="66"/>
  <c r="T181" i="48"/>
  <c r="N392" i="62"/>
  <c r="N401" s="1"/>
  <c r="S206"/>
  <c r="BJ35" i="18"/>
  <c r="AI38" i="89"/>
  <c r="O612" i="62"/>
  <c r="O621" s="1"/>
  <c r="AI23" i="89"/>
  <c r="M391" i="62"/>
  <c r="N395"/>
  <c r="N404" s="1"/>
  <c r="AI62" i="89"/>
  <c r="AI77"/>
  <c r="BI61" i="18"/>
  <c r="L233" i="39"/>
  <c r="L400" i="62"/>
  <c r="L236" i="39" s="1"/>
  <c r="R118"/>
  <c r="R219" i="62"/>
  <c r="R121" i="39" s="1"/>
  <c r="Y106" i="89" l="1"/>
  <c r="T206" i="62" s="1"/>
  <c r="S21" i="25"/>
  <c r="N609" i="62"/>
  <c r="N618" s="1"/>
  <c r="X22" i="89"/>
  <c r="BI29" i="18"/>
  <c r="X37" i="89"/>
  <c r="BH55" i="18"/>
  <c r="X76" i="89"/>
  <c r="X62" s="1"/>
  <c r="Z107"/>
  <c r="Z108" s="1"/>
  <c r="Z90" s="1"/>
  <c r="R204" i="62"/>
  <c r="R217" s="1"/>
  <c r="O105" i="89"/>
  <c r="O120"/>
  <c r="BY76" i="18"/>
  <c r="R23" i="25" s="1"/>
  <c r="S73" s="1"/>
  <c r="S72" s="1"/>
  <c r="S74" s="1"/>
  <c r="BX19" i="20"/>
  <c r="BX22" s="1"/>
  <c r="BV116"/>
  <c r="BV80"/>
  <c r="BV141" s="1"/>
  <c r="BV182" s="1"/>
  <c r="P228" i="62"/>
  <c r="P127" i="39" s="1"/>
  <c r="P233" i="62"/>
  <c r="P132" i="39" s="1"/>
  <c r="P117"/>
  <c r="P229" i="62"/>
  <c r="P128" i="39" s="1"/>
  <c r="P216" i="62"/>
  <c r="P120" i="39" s="1"/>
  <c r="Q203" i="62"/>
  <c r="N104" i="89"/>
  <c r="BU140" i="20"/>
  <c r="BU171" s="1"/>
  <c r="BG59" i="18"/>
  <c r="AH75" i="89"/>
  <c r="L620" i="62"/>
  <c r="L375" i="39" s="1"/>
  <c r="L372"/>
  <c r="AH36" i="89"/>
  <c r="BH33" i="18"/>
  <c r="AH60" i="89"/>
  <c r="L394" i="62"/>
  <c r="AN125" i="48"/>
  <c r="AU92"/>
  <c r="AU125" s="1"/>
  <c r="Z92"/>
  <c r="Z125" s="1"/>
  <c r="AU145"/>
  <c r="AN147"/>
  <c r="AG145"/>
  <c r="Z145"/>
  <c r="Z147" s="1"/>
  <c r="W367" i="62"/>
  <c r="W214" i="39" s="1"/>
  <c r="W211"/>
  <c r="AH21" i="89"/>
  <c r="M611" i="62"/>
  <c r="AG179" i="48"/>
  <c r="K35" i="66"/>
  <c r="K60" s="1"/>
  <c r="BW93" i="18"/>
  <c r="BH23"/>
  <c r="BG39"/>
  <c r="M36" i="89"/>
  <c r="BG53" i="18"/>
  <c r="W75" i="89"/>
  <c r="W61" s="1"/>
  <c r="S369" i="62"/>
  <c r="S215" i="39" s="1"/>
  <c r="W333" i="62"/>
  <c r="W192" i="39" s="1"/>
  <c r="N369" i="62"/>
  <c r="N215" i="39" s="1"/>
  <c r="U369" i="62"/>
  <c r="U215" i="39" s="1"/>
  <c r="M369" i="62"/>
  <c r="M215" i="39" s="1"/>
  <c r="P369" i="62"/>
  <c r="P215" i="39" s="1"/>
  <c r="O369" i="62"/>
  <c r="O215" i="39" s="1"/>
  <c r="R369" i="62"/>
  <c r="R215" i="39" s="1"/>
  <c r="V333" i="62"/>
  <c r="V192" i="39" s="1"/>
  <c r="Q369" i="62"/>
  <c r="Q215" i="39" s="1"/>
  <c r="T369" i="62"/>
  <c r="T215" i="39" s="1"/>
  <c r="L369" i="62"/>
  <c r="L215" i="39" s="1"/>
  <c r="L35" i="89"/>
  <c r="BF38" i="18"/>
  <c r="BF40" s="1"/>
  <c r="BG21"/>
  <c r="Z179" i="48"/>
  <c r="Z169"/>
  <c r="AG141"/>
  <c r="AG170" s="1"/>
  <c r="AU141"/>
  <c r="AU170" s="1"/>
  <c r="AN180"/>
  <c r="Z141"/>
  <c r="L59" i="89"/>
  <c r="W352" i="62"/>
  <c r="R591"/>
  <c r="R358" i="39" s="1"/>
  <c r="O591" i="62"/>
  <c r="O358" i="39" s="1"/>
  <c r="U591" i="62"/>
  <c r="U358" i="39" s="1"/>
  <c r="V555" i="62"/>
  <c r="V335" i="39" s="1"/>
  <c r="S591" i="62"/>
  <c r="S358" i="39" s="1"/>
  <c r="L591" i="62"/>
  <c r="L358" i="39" s="1"/>
  <c r="W555" i="62"/>
  <c r="W335" i="39" s="1"/>
  <c r="P591" i="62"/>
  <c r="P358" i="39" s="1"/>
  <c r="M591" i="62"/>
  <c r="M358" i="39" s="1"/>
  <c r="N591" i="62"/>
  <c r="N358" i="39" s="1"/>
  <c r="T591" i="62"/>
  <c r="T358" i="39" s="1"/>
  <c r="Q591" i="62"/>
  <c r="Q358" i="39" s="1"/>
  <c r="BF65" i="18"/>
  <c r="M75" i="89"/>
  <c r="BG49" i="18"/>
  <c r="R371" i="62"/>
  <c r="R217" i="39" s="1"/>
  <c r="O371" i="62"/>
  <c r="O217" i="39" s="1"/>
  <c r="L371" i="62"/>
  <c r="L217" i="39" s="1"/>
  <c r="Z75" i="48"/>
  <c r="Z109" s="1"/>
  <c r="S371" i="62"/>
  <c r="S217" i="39" s="1"/>
  <c r="P371" i="62"/>
  <c r="P217" i="39" s="1"/>
  <c r="M371" i="62"/>
  <c r="M217" i="39" s="1"/>
  <c r="AN77" i="48"/>
  <c r="W335" i="62"/>
  <c r="W194" i="39" s="1"/>
  <c r="T371" i="62"/>
  <c r="T217" i="39" s="1"/>
  <c r="Q371" i="62"/>
  <c r="Q217" i="39" s="1"/>
  <c r="AN109" i="48"/>
  <c r="N371" i="62"/>
  <c r="N217" i="39" s="1"/>
  <c r="V335" i="62"/>
  <c r="V194" i="39" s="1"/>
  <c r="U371" i="62"/>
  <c r="U217" i="39" s="1"/>
  <c r="AU75" i="48"/>
  <c r="AU109" s="1"/>
  <c r="L20" i="89"/>
  <c r="L605" i="62"/>
  <c r="BH27" i="18"/>
  <c r="W36" i="89"/>
  <c r="BE64" i="18"/>
  <c r="BE66" s="1"/>
  <c r="L74" i="89"/>
  <c r="BF47" i="18"/>
  <c r="V209" i="39"/>
  <c r="V373" i="62"/>
  <c r="V219" i="39" s="1"/>
  <c r="V374" i="62"/>
  <c r="V220" i="39" s="1"/>
  <c r="V361" i="62"/>
  <c r="V212" i="39" s="1"/>
  <c r="V378" i="62"/>
  <c r="V224" i="39" s="1"/>
  <c r="M608" i="62"/>
  <c r="W21" i="89"/>
  <c r="Q595" i="62"/>
  <c r="Q362" i="39" s="1"/>
  <c r="T595" i="62"/>
  <c r="T362" i="39" s="1"/>
  <c r="L595" i="62"/>
  <c r="L362" i="39" s="1"/>
  <c r="S595" i="62"/>
  <c r="S362" i="39" s="1"/>
  <c r="V559" i="62"/>
  <c r="V339" i="39" s="1"/>
  <c r="N595" i="62"/>
  <c r="N362" i="39" s="1"/>
  <c r="U595" i="62"/>
  <c r="U362" i="39" s="1"/>
  <c r="M595" i="62"/>
  <c r="M362" i="39" s="1"/>
  <c r="P595" i="62"/>
  <c r="P362" i="39" s="1"/>
  <c r="W559" i="62"/>
  <c r="W339" i="39" s="1"/>
  <c r="O595" i="62"/>
  <c r="O362" i="39" s="1"/>
  <c r="R595" i="62"/>
  <c r="R362" i="39" s="1"/>
  <c r="W578" i="62"/>
  <c r="W350" i="39" s="1"/>
  <c r="W347"/>
  <c r="L77" i="48"/>
  <c r="R588" i="62"/>
  <c r="R355" i="39" s="1"/>
  <c r="O588" i="62"/>
  <c r="O355" i="39" s="1"/>
  <c r="L588" i="62"/>
  <c r="L355" i="39" s="1"/>
  <c r="L109" i="48"/>
  <c r="V552" i="62"/>
  <c r="V332" i="39" s="1"/>
  <c r="S588" i="62"/>
  <c r="S355" i="39" s="1"/>
  <c r="P588" i="62"/>
  <c r="P355" i="39" s="1"/>
  <c r="M588" i="62"/>
  <c r="M355" i="39" s="1"/>
  <c r="W552" i="62"/>
  <c r="W332" i="39" s="1"/>
  <c r="T588" i="62"/>
  <c r="T355" i="39" s="1"/>
  <c r="Q588" i="62"/>
  <c r="Q355" i="39" s="1"/>
  <c r="N588" i="62"/>
  <c r="N355" i="39" s="1"/>
  <c r="AG75" i="48"/>
  <c r="AG77" s="1"/>
  <c r="AG94" s="1"/>
  <c r="U588" i="62"/>
  <c r="U355" i="39" s="1"/>
  <c r="AU107" i="48"/>
  <c r="AU112"/>
  <c r="AU113"/>
  <c r="AU104"/>
  <c r="AU108"/>
  <c r="AU131"/>
  <c r="AU67"/>
  <c r="AU126"/>
  <c r="AU110"/>
  <c r="AU130"/>
  <c r="Z85"/>
  <c r="Z119" s="1"/>
  <c r="AN119"/>
  <c r="AU85"/>
  <c r="AU119" s="1"/>
  <c r="L371" i="39"/>
  <c r="L617" i="62"/>
  <c r="L374" i="39" s="1"/>
  <c r="M21" i="89"/>
  <c r="M606" i="62"/>
  <c r="M615" s="1"/>
  <c r="V554"/>
  <c r="V334" i="39" s="1"/>
  <c r="S590" i="62"/>
  <c r="S357" i="39" s="1"/>
  <c r="Q590" i="62"/>
  <c r="Q357" i="39" s="1"/>
  <c r="R590" i="62"/>
  <c r="R357" i="39" s="1"/>
  <c r="N590" i="62"/>
  <c r="N357" i="39" s="1"/>
  <c r="M590" i="62"/>
  <c r="M357" i="39" s="1"/>
  <c r="U590" i="62"/>
  <c r="U357" i="39" s="1"/>
  <c r="L590" i="62"/>
  <c r="L357" i="39" s="1"/>
  <c r="W554" i="62"/>
  <c r="W334" i="39" s="1"/>
  <c r="O590" i="62"/>
  <c r="O357" i="39" s="1"/>
  <c r="P590" i="62"/>
  <c r="P357" i="39" s="1"/>
  <c r="T590" i="62"/>
  <c r="T357" i="39" s="1"/>
  <c r="M60" i="89"/>
  <c r="L389" i="62"/>
  <c r="L398" s="1"/>
  <c r="M36" i="20"/>
  <c r="U36" i="48" s="1"/>
  <c r="BW16" i="20"/>
  <c r="BY17" s="1"/>
  <c r="M17" s="1"/>
  <c r="BZ17" s="1"/>
  <c r="BY11"/>
  <c r="BZ74" i="18"/>
  <c r="N121" i="89"/>
  <c r="N122" s="1"/>
  <c r="BW58" i="20"/>
  <c r="BW56"/>
  <c r="BY88" i="18"/>
  <c r="BX92"/>
  <c r="AK120" i="89"/>
  <c r="BX53" i="20"/>
  <c r="R210" i="62"/>
  <c r="R212" s="1"/>
  <c r="R214" s="1"/>
  <c r="R223" s="1"/>
  <c r="AK105" i="89"/>
  <c r="AJ104"/>
  <c r="Q209" i="62"/>
  <c r="P119" i="39"/>
  <c r="P211" i="62"/>
  <c r="P213" s="1"/>
  <c r="P222" s="1"/>
  <c r="P122" i="39" s="1"/>
  <c r="BX41" i="20"/>
  <c r="M39"/>
  <c r="BF147"/>
  <c r="BG145"/>
  <c r="BW116"/>
  <c r="BW80"/>
  <c r="BW141" s="1"/>
  <c r="S82" i="25"/>
  <c r="S81"/>
  <c r="BU126" i="20"/>
  <c r="BT171"/>
  <c r="BT181"/>
  <c r="BU111"/>
  <c r="BU113"/>
  <c r="BU104"/>
  <c r="BU112"/>
  <c r="BU108"/>
  <c r="BU110"/>
  <c r="BU107"/>
  <c r="BU109"/>
  <c r="BU131"/>
  <c r="BU67"/>
  <c r="BW48"/>
  <c r="BW50"/>
  <c r="BW90"/>
  <c r="BX51"/>
  <c r="BX70" s="1"/>
  <c r="BV69"/>
  <c r="AJ120" i="89"/>
  <c r="BX45" i="20"/>
  <c r="BY86" i="18"/>
  <c r="BX91"/>
  <c r="R62" i="25"/>
  <c r="BM168" i="20"/>
  <c r="BC168"/>
  <c r="BC169" s="1"/>
  <c r="BK168"/>
  <c r="BK169" s="1"/>
  <c r="BG168"/>
  <c r="BG169" s="1"/>
  <c r="BF168"/>
  <c r="BF169" s="1"/>
  <c r="BL168"/>
  <c r="BL169" s="1"/>
  <c r="BE168"/>
  <c r="BE169" s="1"/>
  <c r="BH168"/>
  <c r="BH169" s="1"/>
  <c r="BI168"/>
  <c r="BI169" s="1"/>
  <c r="BD168"/>
  <c r="BD169" s="1"/>
  <c r="BJ168"/>
  <c r="BJ169" s="1"/>
  <c r="BB168"/>
  <c r="BB169" s="1"/>
  <c r="BV66"/>
  <c r="BV65"/>
  <c r="BV120" s="1"/>
  <c r="S60" i="25"/>
  <c r="BY31" i="20"/>
  <c r="M28"/>
  <c r="BZ59"/>
  <c r="N391" i="62"/>
  <c r="S118" i="39"/>
  <c r="S219" i="62"/>
  <c r="S121" i="39" s="1"/>
  <c r="O392" i="62"/>
  <c r="O401" s="1"/>
  <c r="AI78" i="89"/>
  <c r="BJ61" i="18"/>
  <c r="AI24" i="89"/>
  <c r="P612" i="62"/>
  <c r="P621" s="1"/>
  <c r="O395"/>
  <c r="O404" s="1"/>
  <c r="AI63" i="89"/>
  <c r="M233" i="39"/>
  <c r="M400" i="62"/>
  <c r="M236" i="39" s="1"/>
  <c r="AI39" i="89"/>
  <c r="BK35" i="18"/>
  <c r="Y107" i="89" l="1"/>
  <c r="Y108" s="1"/>
  <c r="Y90" s="1"/>
  <c r="BU181" i="20"/>
  <c r="U207" i="62"/>
  <c r="U220" s="1"/>
  <c r="BW182" i="20"/>
  <c r="BI55" i="18"/>
  <c r="X77" i="89"/>
  <c r="X63" s="1"/>
  <c r="P392" i="62" s="1"/>
  <c r="P401" s="1"/>
  <c r="X23" i="89"/>
  <c r="O609" i="62"/>
  <c r="O618" s="1"/>
  <c r="BJ29" i="18"/>
  <c r="X38" i="89"/>
  <c r="N105"/>
  <c r="R203" i="62"/>
  <c r="S204"/>
  <c r="S217" s="1"/>
  <c r="O106" i="89"/>
  <c r="Q228" i="62"/>
  <c r="Q127" i="39" s="1"/>
  <c r="Q117"/>
  <c r="Q233" i="62"/>
  <c r="Q132" i="39" s="1"/>
  <c r="Q216" i="62"/>
  <c r="Q120" i="39" s="1"/>
  <c r="Q229" i="62"/>
  <c r="Q128" i="39" s="1"/>
  <c r="S22" i="25"/>
  <c r="BX24" i="20"/>
  <c r="O121" i="89"/>
  <c r="O122" s="1"/>
  <c r="BZ76" i="18"/>
  <c r="BY19" i="20"/>
  <c r="BX64"/>
  <c r="BX80" s="1"/>
  <c r="BX141" s="1"/>
  <c r="BX182" s="1"/>
  <c r="AU147" i="48"/>
  <c r="AG147"/>
  <c r="BH59" i="18"/>
  <c r="AH76" i="89"/>
  <c r="N611" i="62"/>
  <c r="AH22" i="89"/>
  <c r="AH37"/>
  <c r="BI33" i="18"/>
  <c r="M620" i="62"/>
  <c r="M375" i="39" s="1"/>
  <c r="M372"/>
  <c r="M394" i="62"/>
  <c r="AH61" i="89"/>
  <c r="L403" i="62"/>
  <c r="L237" i="39" s="1"/>
  <c r="L234"/>
  <c r="BX93" i="18"/>
  <c r="M41" i="20"/>
  <c r="BZ41" s="1"/>
  <c r="K41" i="66"/>
  <c r="H25" i="86" s="1"/>
  <c r="M61" i="89"/>
  <c r="M389" i="62"/>
  <c r="M398" s="1"/>
  <c r="W22" i="89"/>
  <c r="N608" i="62"/>
  <c r="L614"/>
  <c r="L373" i="39" s="1"/>
  <c r="L370"/>
  <c r="AG180" i="48"/>
  <c r="AU180"/>
  <c r="M37" i="89"/>
  <c r="BI23" i="18"/>
  <c r="BH39"/>
  <c r="BF64"/>
  <c r="BF66" s="1"/>
  <c r="L75" i="89"/>
  <c r="BG47" i="18"/>
  <c r="BI27"/>
  <c r="W37" i="89"/>
  <c r="Z180" i="48"/>
  <c r="Z170"/>
  <c r="M22" i="89"/>
  <c r="N606" i="62"/>
  <c r="N615" s="1"/>
  <c r="Z77" i="48"/>
  <c r="AN94"/>
  <c r="AN156"/>
  <c r="AN111"/>
  <c r="AU77"/>
  <c r="AU111" s="1"/>
  <c r="M76" i="89"/>
  <c r="BH49" i="18"/>
  <c r="BG65"/>
  <c r="L60" i="89"/>
  <c r="L388" i="62"/>
  <c r="L156" i="48"/>
  <c r="AG156" s="1"/>
  <c r="AG172" s="1"/>
  <c r="L111"/>
  <c r="L94"/>
  <c r="M371" i="39"/>
  <c r="M617" i="62"/>
  <c r="M374" i="39" s="1"/>
  <c r="L21" i="89"/>
  <c r="M605" i="62"/>
  <c r="W209" i="39"/>
  <c r="W374" i="62"/>
  <c r="W220" i="39" s="1"/>
  <c r="W361" i="62"/>
  <c r="W212" i="39" s="1"/>
  <c r="W373" i="62"/>
  <c r="W219" i="39" s="1"/>
  <c r="W378" i="62"/>
  <c r="W224" i="39" s="1"/>
  <c r="L36" i="89"/>
  <c r="BG38" i="18"/>
  <c r="BG40" s="1"/>
  <c r="BH21"/>
  <c r="BH53"/>
  <c r="W76" i="89"/>
  <c r="W62" s="1"/>
  <c r="O391" i="62" s="1"/>
  <c r="BY14" i="20"/>
  <c r="M11"/>
  <c r="R209" i="62"/>
  <c r="AJ105" i="89"/>
  <c r="Q211" i="62"/>
  <c r="Q213" s="1"/>
  <c r="Q222" s="1"/>
  <c r="Q122" i="39" s="1"/>
  <c r="Q119"/>
  <c r="BX58" i="20"/>
  <c r="BX56"/>
  <c r="BZ88" i="18"/>
  <c r="BY53" i="20"/>
  <c r="AK121" i="89"/>
  <c r="AK122" s="1"/>
  <c r="BY92" i="18"/>
  <c r="S210" i="62"/>
  <c r="S212" s="1"/>
  <c r="S214" s="1"/>
  <c r="S223" s="1"/>
  <c r="AK106" i="89"/>
  <c r="BV93" i="20"/>
  <c r="BV126" s="1"/>
  <c r="BV140"/>
  <c r="BY33"/>
  <c r="S43" i="25"/>
  <c r="S44" s="1"/>
  <c r="R5" i="22" s="1"/>
  <c r="Z42" i="44" s="1"/>
  <c r="AA42" s="1"/>
  <c r="M31" i="20"/>
  <c r="M33"/>
  <c r="U28" i="48"/>
  <c r="BV113" i="20"/>
  <c r="BV131"/>
  <c r="BV67"/>
  <c r="BV110"/>
  <c r="BV112"/>
  <c r="BV104"/>
  <c r="BV108"/>
  <c r="BV107"/>
  <c r="BV111"/>
  <c r="BV109"/>
  <c r="BM169"/>
  <c r="L168"/>
  <c r="T168" i="48" s="1"/>
  <c r="BX50" i="20"/>
  <c r="BX48"/>
  <c r="BX90"/>
  <c r="S61" i="25"/>
  <c r="BW66" i="20"/>
  <c r="BW65"/>
  <c r="BW120" s="1"/>
  <c r="AJ121" i="89"/>
  <c r="AJ122" s="1"/>
  <c r="BZ86" i="18"/>
  <c r="BZ91" s="1"/>
  <c r="BY45" i="20"/>
  <c r="R63" i="25"/>
  <c r="S93" s="1"/>
  <c r="BY91" i="18"/>
  <c r="BY51" i="20"/>
  <c r="BW69"/>
  <c r="BH145"/>
  <c r="BG147"/>
  <c r="BZ39"/>
  <c r="U39" i="48"/>
  <c r="S84" i="25"/>
  <c r="AI40" i="89"/>
  <c r="BL35" i="18"/>
  <c r="P395" i="62"/>
  <c r="P404" s="1"/>
  <c r="AI64" i="89"/>
  <c r="T118" i="39"/>
  <c r="T219" i="62"/>
  <c r="T121" i="39" s="1"/>
  <c r="N233"/>
  <c r="N400" i="62"/>
  <c r="N236" i="39" s="1"/>
  <c r="U206" i="62"/>
  <c r="Q612"/>
  <c r="Q621" s="1"/>
  <c r="AI25" i="89"/>
  <c r="BK61" i="18"/>
  <c r="AI79" i="89"/>
  <c r="U41" i="48" l="1"/>
  <c r="BX116" i="20"/>
  <c r="X39" i="89"/>
  <c r="BK29" i="18"/>
  <c r="BJ55"/>
  <c r="X78" i="89"/>
  <c r="X64" s="1"/>
  <c r="P609" i="62"/>
  <c r="P618" s="1"/>
  <c r="X24" i="89"/>
  <c r="S203" i="62"/>
  <c r="N106" i="89"/>
  <c r="BY22" i="20"/>
  <c r="BY64" s="1"/>
  <c r="BY116" s="1"/>
  <c r="M19"/>
  <c r="R233" i="62"/>
  <c r="R132" i="39" s="1"/>
  <c r="R228" i="62"/>
  <c r="R127" i="39" s="1"/>
  <c r="R117"/>
  <c r="R216" i="62"/>
  <c r="R120" i="39" s="1"/>
  <c r="R229" i="62"/>
  <c r="R128" i="39" s="1"/>
  <c r="BZ92" i="18"/>
  <c r="BZ93" s="1"/>
  <c r="T204" i="62"/>
  <c r="T217" s="1"/>
  <c r="O107" i="89"/>
  <c r="N620" i="62"/>
  <c r="N375" i="39" s="1"/>
  <c r="N372"/>
  <c r="O611" i="62"/>
  <c r="AH23" i="89"/>
  <c r="M234" i="39"/>
  <c r="M403" i="62"/>
  <c r="M237" i="39" s="1"/>
  <c r="AH77" i="89"/>
  <c r="BI59" i="18"/>
  <c r="AH62" i="89"/>
  <c r="N394" i="62"/>
  <c r="BJ33" i="18"/>
  <c r="AH38" i="89"/>
  <c r="BY93" i="18"/>
  <c r="BX69" i="20"/>
  <c r="BX93" s="1"/>
  <c r="N605" i="62"/>
  <c r="L22" i="89"/>
  <c r="N389" i="62"/>
  <c r="N398" s="1"/>
  <c r="M62" i="89"/>
  <c r="BI21" i="18"/>
  <c r="BH38"/>
  <c r="BH40" s="1"/>
  <c r="L37" i="89"/>
  <c r="M614" i="62"/>
  <c r="M373" i="39" s="1"/>
  <c r="M370"/>
  <c r="L127" i="48"/>
  <c r="L96"/>
  <c r="L139"/>
  <c r="L155"/>
  <c r="M388" i="62"/>
  <c r="L61" i="89"/>
  <c r="Z94" i="48"/>
  <c r="Z111"/>
  <c r="M38" i="89"/>
  <c r="BJ23" i="18"/>
  <c r="BI39"/>
  <c r="W77" i="89"/>
  <c r="W63" s="1"/>
  <c r="BI53" i="18"/>
  <c r="L409" i="62"/>
  <c r="L242" i="39" s="1"/>
  <c r="L397" i="62"/>
  <c r="L235" i="39" s="1"/>
  <c r="L232"/>
  <c r="L414" i="62"/>
  <c r="L247" i="39" s="1"/>
  <c r="L410" i="62"/>
  <c r="L243" i="39" s="1"/>
  <c r="AN139" i="48"/>
  <c r="AN155"/>
  <c r="AN127"/>
  <c r="AN96"/>
  <c r="AU94"/>
  <c r="AU127" s="1"/>
  <c r="L76" i="89"/>
  <c r="BH47" i="18"/>
  <c r="BG64"/>
  <c r="BG66" s="1"/>
  <c r="O608" i="62"/>
  <c r="W23" i="89"/>
  <c r="M77"/>
  <c r="BH65" i="18"/>
  <c r="BI49"/>
  <c r="AU156" i="48"/>
  <c r="AU172" s="1"/>
  <c r="Z156"/>
  <c r="Z172" s="1"/>
  <c r="O606" i="62"/>
  <c r="O615" s="1"/>
  <c r="M23" i="89"/>
  <c r="BJ27" i="18"/>
  <c r="W38" i="89"/>
  <c r="N371" i="39"/>
  <c r="N617" i="62"/>
  <c r="N374" i="39" s="1"/>
  <c r="BY16" i="20"/>
  <c r="M14"/>
  <c r="M16"/>
  <c r="U11" i="48"/>
  <c r="R211" i="62"/>
  <c r="R213" s="1"/>
  <c r="R222" s="1"/>
  <c r="R122" i="39" s="1"/>
  <c r="R119"/>
  <c r="AJ106" i="89"/>
  <c r="S209" i="62"/>
  <c r="T210"/>
  <c r="T212" s="1"/>
  <c r="T214" s="1"/>
  <c r="T223" s="1"/>
  <c r="AK107" i="89"/>
  <c r="M53" i="20"/>
  <c r="BY58"/>
  <c r="BY56"/>
  <c r="M56" s="1"/>
  <c r="BZ56" s="1"/>
  <c r="BX66"/>
  <c r="BX65"/>
  <c r="BX120" s="1"/>
  <c r="S62" i="25"/>
  <c r="U31" i="48"/>
  <c r="BZ31" i="20"/>
  <c r="J88" i="22"/>
  <c r="Z78" i="28"/>
  <c r="Z79" s="1"/>
  <c r="L12" i="26"/>
  <c r="BW140" i="20"/>
  <c r="BW181" s="1"/>
  <c r="BY50"/>
  <c r="BY48"/>
  <c r="M45"/>
  <c r="BY90"/>
  <c r="M90" s="1"/>
  <c r="BW112"/>
  <c r="BW107"/>
  <c r="BW67"/>
  <c r="BW131"/>
  <c r="BW109"/>
  <c r="BW108"/>
  <c r="BW104"/>
  <c r="BW110"/>
  <c r="BW113"/>
  <c r="BW111"/>
  <c r="BZ33"/>
  <c r="U33" i="48"/>
  <c r="BI145" i="20"/>
  <c r="BH147"/>
  <c r="M51"/>
  <c r="BY70"/>
  <c r="S91" i="25"/>
  <c r="S92"/>
  <c r="BV181" i="20"/>
  <c r="BV171"/>
  <c r="BW93"/>
  <c r="BW126" s="1"/>
  <c r="AI80" i="89"/>
  <c r="BL61" i="18"/>
  <c r="R612" i="62"/>
  <c r="R621" s="1"/>
  <c r="AI26" i="89"/>
  <c r="U118" i="39"/>
  <c r="U219" i="62"/>
  <c r="U121" i="39" s="1"/>
  <c r="P391" i="62"/>
  <c r="Y91" i="89"/>
  <c r="Y93"/>
  <c r="Q392" i="62"/>
  <c r="Q401" s="1"/>
  <c r="O233" i="39"/>
  <c r="O400" i="62"/>
  <c r="O236" i="39" s="1"/>
  <c r="AI65" i="89"/>
  <c r="Q395" i="62"/>
  <c r="Q404" s="1"/>
  <c r="AI41" i="89"/>
  <c r="BM35" i="18"/>
  <c r="S23" i="25" l="1"/>
  <c r="S24" s="1"/>
  <c r="Q609" i="62"/>
  <c r="Q618" s="1"/>
  <c r="X25" i="89"/>
  <c r="X40"/>
  <c r="BL29" i="18"/>
  <c r="X79" i="89"/>
  <c r="X65" s="1"/>
  <c r="BK55" i="18"/>
  <c r="S229" i="62"/>
  <c r="S128" i="39" s="1"/>
  <c r="S216" i="62"/>
  <c r="S120" i="39" s="1"/>
  <c r="S228" i="62"/>
  <c r="S127" i="39" s="1"/>
  <c r="S117"/>
  <c r="S233" i="62"/>
  <c r="S132" i="39" s="1"/>
  <c r="T203" i="62"/>
  <c r="N107" i="89"/>
  <c r="U204" i="62"/>
  <c r="U217" s="1"/>
  <c r="O108" i="89"/>
  <c r="O90" s="1"/>
  <c r="BY24" i="20"/>
  <c r="BY69" s="1"/>
  <c r="BY93" s="1"/>
  <c r="M22"/>
  <c r="Z55" i="28" s="1"/>
  <c r="M24" i="20"/>
  <c r="U19" i="48"/>
  <c r="O394" i="62"/>
  <c r="AH63" i="89"/>
  <c r="N403" i="62"/>
  <c r="N237" i="39" s="1"/>
  <c r="N234"/>
  <c r="AH39" i="89"/>
  <c r="BK33" i="18"/>
  <c r="O620" i="62"/>
  <c r="O375" i="39" s="1"/>
  <c r="O372"/>
  <c r="BJ59" i="18"/>
  <c r="AH78" i="89"/>
  <c r="AH24"/>
  <c r="P611" i="62"/>
  <c r="BY80" i="20"/>
  <c r="BY141" s="1"/>
  <c r="M141" s="1"/>
  <c r="BX140"/>
  <c r="BX171" s="1"/>
  <c r="W39" i="89"/>
  <c r="BK27" i="18"/>
  <c r="W24" i="89"/>
  <c r="P608" i="62"/>
  <c r="AU155" i="48"/>
  <c r="AU171" s="1"/>
  <c r="AN181"/>
  <c r="AU181" s="1"/>
  <c r="AN159"/>
  <c r="AU159" s="1"/>
  <c r="Z155"/>
  <c r="L181"/>
  <c r="L159"/>
  <c r="AG155"/>
  <c r="AG171" s="1"/>
  <c r="BJ21" i="18"/>
  <c r="L38" i="89"/>
  <c r="BI38" i="18"/>
  <c r="BI40" s="1"/>
  <c r="N614" i="62"/>
  <c r="N373" i="39" s="1"/>
  <c r="N370"/>
  <c r="BH64" i="18"/>
  <c r="BH66" s="1"/>
  <c r="BI47"/>
  <c r="L77" i="89"/>
  <c r="BJ53" i="18"/>
  <c r="W78" i="89"/>
  <c r="W64" s="1"/>
  <c r="Q391" i="62" s="1"/>
  <c r="M397"/>
  <c r="M235" i="39" s="1"/>
  <c r="M410" i="62"/>
  <c r="M243" i="39" s="1"/>
  <c r="M232"/>
  <c r="M409" i="62"/>
  <c r="M242" i="39" s="1"/>
  <c r="M414" i="62"/>
  <c r="M247" i="39" s="1"/>
  <c r="L23" i="89"/>
  <c r="O605" i="62"/>
  <c r="AN99" i="48"/>
  <c r="J71" i="77"/>
  <c r="AN129" i="48"/>
  <c r="AU96"/>
  <c r="AU129" s="1"/>
  <c r="Z96"/>
  <c r="G7" i="36"/>
  <c r="BJ39" i="18"/>
  <c r="M39" i="89"/>
  <c r="BK23" i="18"/>
  <c r="L62" i="89"/>
  <c r="N388" i="62"/>
  <c r="I54" i="77"/>
  <c r="L99" i="48"/>
  <c r="L129"/>
  <c r="H7" i="36"/>
  <c r="AG96" i="48"/>
  <c r="M24" i="89"/>
  <c r="P606" i="62"/>
  <c r="P615" s="1"/>
  <c r="M78" i="89"/>
  <c r="BJ49" i="18"/>
  <c r="BI65"/>
  <c r="O617" i="62"/>
  <c r="O374" i="39" s="1"/>
  <c r="O371"/>
  <c r="AN143" i="48"/>
  <c r="AN151" s="1"/>
  <c r="AN191"/>
  <c r="AN192" s="1"/>
  <c r="AO190" s="1"/>
  <c r="Z127"/>
  <c r="C6" i="98"/>
  <c r="C7" s="1"/>
  <c r="C9" s="1"/>
  <c r="C13" s="1"/>
  <c r="C15" s="1"/>
  <c r="C16" s="1"/>
  <c r="C20" s="1"/>
  <c r="C28" s="1"/>
  <c r="I6" i="22" s="1"/>
  <c r="L143" i="48"/>
  <c r="L191"/>
  <c r="AG139"/>
  <c r="M63" i="89"/>
  <c r="O389" i="62"/>
  <c r="O398" s="1"/>
  <c r="U56" i="48"/>
  <c r="BZ14" i="20"/>
  <c r="U14" i="48"/>
  <c r="U16"/>
  <c r="BZ16" i="20"/>
  <c r="U210" i="62"/>
  <c r="U212" s="1"/>
  <c r="U214" s="1"/>
  <c r="U223" s="1"/>
  <c r="AK108" i="89"/>
  <c r="AK90" s="1"/>
  <c r="U53" i="48"/>
  <c r="M58" i="20"/>
  <c r="AJ107" i="89"/>
  <c r="T209" i="62"/>
  <c r="S94" i="25"/>
  <c r="S211" i="62"/>
  <c r="S213" s="1"/>
  <c r="S222" s="1"/>
  <c r="S122" i="39" s="1"/>
  <c r="S119"/>
  <c r="BI147" i="20"/>
  <c r="BJ145"/>
  <c r="U45" i="48"/>
  <c r="M50" i="20"/>
  <c r="M89"/>
  <c r="M253"/>
  <c r="M91"/>
  <c r="O236" i="62"/>
  <c r="O135" i="39" s="1"/>
  <c r="M236" i="62"/>
  <c r="M135" i="39" s="1"/>
  <c r="U90" i="48"/>
  <c r="V196" i="62"/>
  <c r="V112" i="39" s="1"/>
  <c r="L236" i="62"/>
  <c r="L135" i="39" s="1"/>
  <c r="P236" i="62"/>
  <c r="P135" i="39" s="1"/>
  <c r="S236" i="62"/>
  <c r="S135" i="39" s="1"/>
  <c r="Q236" i="62"/>
  <c r="Q135" i="39" s="1"/>
  <c r="U236" i="62"/>
  <c r="U135" i="39" s="1"/>
  <c r="R236" i="62"/>
  <c r="R135" i="39" s="1"/>
  <c r="N236" i="62"/>
  <c r="N135" i="39" s="1"/>
  <c r="T236" i="62"/>
  <c r="T135" i="39" s="1"/>
  <c r="W196" i="62"/>
  <c r="W112" i="39" s="1"/>
  <c r="BW171" i="20"/>
  <c r="BX126"/>
  <c r="BX109"/>
  <c r="BX112"/>
  <c r="BX67"/>
  <c r="BX113"/>
  <c r="BX104"/>
  <c r="BX110"/>
  <c r="BX131"/>
  <c r="BX111"/>
  <c r="BX108"/>
  <c r="BX107"/>
  <c r="BZ51"/>
  <c r="M70"/>
  <c r="BZ70" s="1"/>
  <c r="M48"/>
  <c r="S63" i="25"/>
  <c r="S64" s="1"/>
  <c r="R6" i="22" s="1"/>
  <c r="Z43" i="44" s="1"/>
  <c r="AA43" s="1"/>
  <c r="AA44" s="1"/>
  <c r="AA45" s="1"/>
  <c r="U42" s="1"/>
  <c r="BY66" i="20"/>
  <c r="BY65"/>
  <c r="BN35" i="18"/>
  <c r="AI42" i="89"/>
  <c r="AI43" s="1"/>
  <c r="M53" i="48"/>
  <c r="R395" i="62"/>
  <c r="R404" s="1"/>
  <c r="AI66" i="89"/>
  <c r="R392" i="62"/>
  <c r="R401" s="1"/>
  <c r="S612"/>
  <c r="S621" s="1"/>
  <c r="AI27" i="89"/>
  <c r="P233" i="39"/>
  <c r="P400" i="62"/>
  <c r="P236" i="39" s="1"/>
  <c r="AI81" i="89"/>
  <c r="BM61" i="18"/>
  <c r="BL55" l="1"/>
  <c r="X80" i="89"/>
  <c r="X66" s="1"/>
  <c r="X26"/>
  <c r="R609" i="62"/>
  <c r="R618" s="1"/>
  <c r="BM29" i="18"/>
  <c r="X41" i="89"/>
  <c r="Z56" i="28"/>
  <c r="Z57"/>
  <c r="T229" i="62"/>
  <c r="T128" i="39" s="1"/>
  <c r="T117"/>
  <c r="T216" i="62"/>
  <c r="T120" i="39" s="1"/>
  <c r="T228" i="62"/>
  <c r="T127" i="39" s="1"/>
  <c r="T233" i="62"/>
  <c r="T132" i="39" s="1"/>
  <c r="N108" i="89"/>
  <c r="N90" s="1"/>
  <c r="U203" i="62"/>
  <c r="BZ24" i="20"/>
  <c r="U24" i="48"/>
  <c r="BZ22" i="20"/>
  <c r="U22" i="48"/>
  <c r="U64" s="1"/>
  <c r="U116" s="1"/>
  <c r="L11" i="26"/>
  <c r="J87" i="22"/>
  <c r="M64" i="20"/>
  <c r="AH79" i="89"/>
  <c r="BK59" i="18"/>
  <c r="O403" i="62"/>
  <c r="O237" i="39" s="1"/>
  <c r="O234"/>
  <c r="BL33" i="18"/>
  <c r="AH40" i="89"/>
  <c r="P394" i="62"/>
  <c r="AH64" i="89"/>
  <c r="AG159" i="48"/>
  <c r="Q611" i="62"/>
  <c r="AH25" i="89"/>
  <c r="P372" i="39"/>
  <c r="P620" i="62"/>
  <c r="P375" i="39" s="1"/>
  <c r="BY182" i="20"/>
  <c r="BX181"/>
  <c r="L192" i="48"/>
  <c r="AG191"/>
  <c r="Q606" i="62"/>
  <c r="Q615" s="1"/>
  <c r="M25" i="89"/>
  <c r="L132" i="48"/>
  <c r="L176"/>
  <c r="BK39" i="18"/>
  <c r="M40" i="89"/>
  <c r="BL23" i="18"/>
  <c r="I63" i="77"/>
  <c r="Z129" i="48"/>
  <c r="Z217"/>
  <c r="Z220" s="1"/>
  <c r="Z222" s="1"/>
  <c r="Z214" s="1"/>
  <c r="Z99"/>
  <c r="Z249"/>
  <c r="AN132"/>
  <c r="AU99"/>
  <c r="AU132" s="1"/>
  <c r="AN176"/>
  <c r="AG181"/>
  <c r="L63" i="89"/>
  <c r="O388" i="62"/>
  <c r="BJ47" i="18"/>
  <c r="BI64"/>
  <c r="BI66" s="1"/>
  <c r="L78" i="89"/>
  <c r="BL27" i="18"/>
  <c r="W40" i="89"/>
  <c r="M64"/>
  <c r="P389" i="62"/>
  <c r="P398" s="1"/>
  <c r="N414"/>
  <c r="N247" i="39" s="1"/>
  <c r="N397" i="62"/>
  <c r="N235" i="39" s="1"/>
  <c r="N410" i="62"/>
  <c r="N243" i="39" s="1"/>
  <c r="N232"/>
  <c r="N409" i="62"/>
  <c r="N242" i="39" s="1"/>
  <c r="P605" i="62"/>
  <c r="L24" i="89"/>
  <c r="Q608" i="62"/>
  <c r="W25" i="89"/>
  <c r="L151" i="48"/>
  <c r="AG151" s="1"/>
  <c r="AG143"/>
  <c r="M79" i="89"/>
  <c r="BK49" i="18"/>
  <c r="BJ65"/>
  <c r="AG99" i="48"/>
  <c r="I67" i="77"/>
  <c r="O614" i="62"/>
  <c r="O373" i="39" s="1"/>
  <c r="O370"/>
  <c r="BK53" i="18"/>
  <c r="W79" i="89"/>
  <c r="W65" s="1"/>
  <c r="BJ38" i="18"/>
  <c r="BJ40" s="1"/>
  <c r="L39" i="89"/>
  <c r="BK21" i="18"/>
  <c r="Z213" i="48"/>
  <c r="Z159"/>
  <c r="Z181"/>
  <c r="Z171"/>
  <c r="P617" i="62"/>
  <c r="P374" i="39" s="1"/>
  <c r="P371"/>
  <c r="BY126" i="20"/>
  <c r="BY140"/>
  <c r="BY181" s="1"/>
  <c r="AJ108" i="89"/>
  <c r="AJ90" s="1"/>
  <c r="U209" i="62"/>
  <c r="T119" i="39"/>
  <c r="T211" i="62"/>
  <c r="T213" s="1"/>
  <c r="T222" s="1"/>
  <c r="T122" i="39" s="1"/>
  <c r="U58" i="48"/>
  <c r="BZ58" i="20"/>
  <c r="J94" i="22"/>
  <c r="BY120" i="20"/>
  <c r="BV89"/>
  <c r="BV123" s="1"/>
  <c r="V195" i="62"/>
  <c r="V111" i="39" s="1"/>
  <c r="BX89" i="20"/>
  <c r="BX123" s="1"/>
  <c r="BQ89"/>
  <c r="BQ123" s="1"/>
  <c r="BR89"/>
  <c r="BR123" s="1"/>
  <c r="M235" i="62"/>
  <c r="M134" i="39" s="1"/>
  <c r="BP89" i="20"/>
  <c r="BP123" s="1"/>
  <c r="Q235" i="62"/>
  <c r="Q134" i="39" s="1"/>
  <c r="BY89" i="20"/>
  <c r="BY123" s="1"/>
  <c r="W195" i="62"/>
  <c r="W111" i="39" s="1"/>
  <c r="BS89" i="20"/>
  <c r="BS123" s="1"/>
  <c r="S235" i="62"/>
  <c r="S134" i="39" s="1"/>
  <c r="P235" i="62"/>
  <c r="P134" i="39" s="1"/>
  <c r="BO89" i="20"/>
  <c r="BO123" s="1"/>
  <c r="O235" i="62"/>
  <c r="O134" i="39" s="1"/>
  <c r="N235" i="62"/>
  <c r="N134" i="39" s="1"/>
  <c r="L235" i="62"/>
  <c r="L134" i="39" s="1"/>
  <c r="BN89" i="20"/>
  <c r="BN123" s="1"/>
  <c r="U89" i="48"/>
  <c r="BT89" i="20"/>
  <c r="BT123" s="1"/>
  <c r="R235" i="62"/>
  <c r="R134" i="39" s="1"/>
  <c r="T235" i="62"/>
  <c r="T134" i="39" s="1"/>
  <c r="BU89" i="20"/>
  <c r="BU123" s="1"/>
  <c r="BW89"/>
  <c r="BW123" s="1"/>
  <c r="U235" i="62"/>
  <c r="U134" i="39" s="1"/>
  <c r="U48" i="48"/>
  <c r="U65" s="1"/>
  <c r="BZ48" i="20"/>
  <c r="J89" i="22"/>
  <c r="M65" i="20"/>
  <c r="M66"/>
  <c r="L13" i="26"/>
  <c r="Z100" i="28"/>
  <c r="M254" i="20"/>
  <c r="U204" i="48"/>
  <c r="U205" s="1"/>
  <c r="BJ147" i="20"/>
  <c r="BK145"/>
  <c r="M182"/>
  <c r="L14" i="76"/>
  <c r="U141" i="48"/>
  <c r="BZ141" i="20"/>
  <c r="U237" i="62"/>
  <c r="U136" i="39" s="1"/>
  <c r="BY91" i="20"/>
  <c r="BY124" s="1"/>
  <c r="BR91"/>
  <c r="BR124" s="1"/>
  <c r="V197" i="62"/>
  <c r="V113" i="39" s="1"/>
  <c r="BN91" i="20"/>
  <c r="BN124" s="1"/>
  <c r="BV91"/>
  <c r="BV124" s="1"/>
  <c r="BU91"/>
  <c r="BU124" s="1"/>
  <c r="T237" i="62"/>
  <c r="T136" i="39" s="1"/>
  <c r="BQ91" i="20"/>
  <c r="BQ124" s="1"/>
  <c r="BT91"/>
  <c r="BT124" s="1"/>
  <c r="O237" i="62"/>
  <c r="O136" i="39" s="1"/>
  <c r="U91" i="48"/>
  <c r="N237" i="62"/>
  <c r="N136" i="39" s="1"/>
  <c r="L237" i="62"/>
  <c r="L136" i="39" s="1"/>
  <c r="S237" i="62"/>
  <c r="S136" i="39" s="1"/>
  <c r="BX91" i="20"/>
  <c r="BX124" s="1"/>
  <c r="M237" i="62"/>
  <c r="M136" i="39" s="1"/>
  <c r="BW91" i="20"/>
  <c r="BW124" s="1"/>
  <c r="R237" i="62"/>
  <c r="R136" i="39" s="1"/>
  <c r="P237" i="62"/>
  <c r="P136" i="39" s="1"/>
  <c r="BS91" i="20"/>
  <c r="BS124" s="1"/>
  <c r="W197" i="62"/>
  <c r="W113" i="39" s="1"/>
  <c r="BO91" i="20"/>
  <c r="BO124" s="1"/>
  <c r="Q237" i="62"/>
  <c r="Q136" i="39" s="1"/>
  <c r="BP91" i="20"/>
  <c r="BP124" s="1"/>
  <c r="BY104"/>
  <c r="BY111"/>
  <c r="BY67"/>
  <c r="BY113"/>
  <c r="BY131"/>
  <c r="BY108"/>
  <c r="BY107"/>
  <c r="BY112"/>
  <c r="BY110"/>
  <c r="BY109"/>
  <c r="U50" i="48"/>
  <c r="BZ50" i="20"/>
  <c r="M69"/>
  <c r="J93" i="22"/>
  <c r="R391" i="62"/>
  <c r="Q233" i="39"/>
  <c r="Q400" i="62"/>
  <c r="Q236" i="39" s="1"/>
  <c r="S395" i="62"/>
  <c r="S404" s="1"/>
  <c r="AI67" i="89"/>
  <c r="AK31"/>
  <c r="BO35" i="18"/>
  <c r="AI82" i="89"/>
  <c r="AI83" s="1"/>
  <c r="BN61" i="18"/>
  <c r="AO53" i="48"/>
  <c r="AI28" i="89"/>
  <c r="T612" i="62"/>
  <c r="T621" s="1"/>
  <c r="S392"/>
  <c r="S401" s="1"/>
  <c r="AH53" i="48"/>
  <c r="AH58" s="1"/>
  <c r="M58"/>
  <c r="M56"/>
  <c r="M140" i="20" l="1"/>
  <c r="BZ140" s="1"/>
  <c r="L14" i="26"/>
  <c r="L15" s="1"/>
  <c r="X81" i="89"/>
  <c r="X67" s="1"/>
  <c r="T392" i="62" s="1"/>
  <c r="T401" s="1"/>
  <c r="BM55" i="18"/>
  <c r="M36" i="48"/>
  <c r="BN29" i="18"/>
  <c r="X42" i="89"/>
  <c r="X43" s="1"/>
  <c r="X27"/>
  <c r="S609" i="62"/>
  <c r="S618" s="1"/>
  <c r="J90" i="22"/>
  <c r="M80" i="20"/>
  <c r="M226"/>
  <c r="BZ64"/>
  <c r="M84"/>
  <c r="M227"/>
  <c r="M83"/>
  <c r="N93" i="89"/>
  <c r="N91"/>
  <c r="U229" i="62"/>
  <c r="U128" i="39" s="1"/>
  <c r="U117"/>
  <c r="U233" i="62"/>
  <c r="U132" i="39" s="1"/>
  <c r="U216" i="62"/>
  <c r="U120" i="39" s="1"/>
  <c r="U228" i="62"/>
  <c r="U127" i="39" s="1"/>
  <c r="AH41" i="89"/>
  <c r="BM33" i="18"/>
  <c r="M45" i="48" s="1"/>
  <c r="Q620" i="62"/>
  <c r="Q375" i="39" s="1"/>
  <c r="Q372"/>
  <c r="AH80" i="89"/>
  <c r="BL59" i="18"/>
  <c r="AH26" i="89"/>
  <c r="R611" i="62"/>
  <c r="P234" i="39"/>
  <c r="P403" i="62"/>
  <c r="P237" i="39" s="1"/>
  <c r="Q394" i="62"/>
  <c r="AH65" i="89"/>
  <c r="BL49" i="18"/>
  <c r="M80" i="89"/>
  <c r="BK65" i="18"/>
  <c r="W26" i="89"/>
  <c r="R608" i="62"/>
  <c r="BM27" i="18"/>
  <c r="W41" i="89"/>
  <c r="O410" i="62"/>
  <c r="O243" i="39" s="1"/>
  <c r="O232"/>
  <c r="O397" i="62"/>
  <c r="O235" i="39" s="1"/>
  <c r="O414" i="62"/>
  <c r="O247" i="39" s="1"/>
  <c r="O409" i="62"/>
  <c r="O242" i="39" s="1"/>
  <c r="AU176" i="48"/>
  <c r="AN182"/>
  <c r="Z132"/>
  <c r="Z176"/>
  <c r="Z182" s="1"/>
  <c r="Z211" s="1"/>
  <c r="Z215" s="1"/>
  <c r="Z234" s="1"/>
  <c r="Z237" s="1"/>
  <c r="Z239" s="1"/>
  <c r="BM23" i="18"/>
  <c r="BL39"/>
  <c r="M41" i="89"/>
  <c r="M190" i="48"/>
  <c r="AH190" s="1"/>
  <c r="AG192"/>
  <c r="P370" i="39"/>
  <c r="P614" i="62"/>
  <c r="P373" i="39" s="1"/>
  <c r="BK47" i="18"/>
  <c r="BJ64"/>
  <c r="BJ66" s="1"/>
  <c r="L79" i="89"/>
  <c r="L182" i="48"/>
  <c r="AG176"/>
  <c r="BK38" i="18"/>
  <c r="BK40" s="1"/>
  <c r="L40" i="89"/>
  <c r="BL21" i="18"/>
  <c r="W80" i="89"/>
  <c r="W66" s="1"/>
  <c r="BL53" i="18"/>
  <c r="Q605" i="62"/>
  <c r="L25" i="89"/>
  <c r="M65"/>
  <c r="Q389" i="62"/>
  <c r="Q398" s="1"/>
  <c r="Q371" i="39"/>
  <c r="Q617" i="62"/>
  <c r="Q374" i="39" s="1"/>
  <c r="L64" i="89"/>
  <c r="P388" i="62"/>
  <c r="R606"/>
  <c r="R615" s="1"/>
  <c r="M26" i="89"/>
  <c r="BY171" i="20"/>
  <c r="AJ91" i="89"/>
  <c r="AJ93"/>
  <c r="U119" i="39"/>
  <c r="U211" i="62"/>
  <c r="U213" s="1"/>
  <c r="U222" s="1"/>
  <c r="U122" i="39" s="1"/>
  <c r="J95" i="22"/>
  <c r="M116" i="20"/>
  <c r="BZ66"/>
  <c r="M67"/>
  <c r="M107"/>
  <c r="M109"/>
  <c r="M108"/>
  <c r="M120"/>
  <c r="M111"/>
  <c r="M110"/>
  <c r="U66" i="48"/>
  <c r="M131" i="20"/>
  <c r="S83" i="22"/>
  <c r="M123" i="20"/>
  <c r="M124"/>
  <c r="M113"/>
  <c r="M112"/>
  <c r="Z136" i="28"/>
  <c r="M104" i="20"/>
  <c r="U123" i="48"/>
  <c r="U120"/>
  <c r="U124"/>
  <c r="L17" i="26"/>
  <c r="L37" s="1"/>
  <c r="L26" i="94" s="1"/>
  <c r="M93" i="20"/>
  <c r="U69" i="48"/>
  <c r="K57" i="77" s="1"/>
  <c r="BZ69" i="20"/>
  <c r="S85" i="22"/>
  <c r="BK147" i="20"/>
  <c r="BL145"/>
  <c r="Z101" i="28"/>
  <c r="Z122"/>
  <c r="BZ91" i="20"/>
  <c r="U180" i="48"/>
  <c r="L32" i="94"/>
  <c r="N32" s="1"/>
  <c r="BZ182" i="20"/>
  <c r="L26" i="66"/>
  <c r="N26" s="1"/>
  <c r="M322" i="20"/>
  <c r="M325" s="1"/>
  <c r="M276" s="1"/>
  <c r="M279" s="1"/>
  <c r="M304" s="1"/>
  <c r="M271"/>
  <c r="M259"/>
  <c r="M264" s="1"/>
  <c r="M266" s="1"/>
  <c r="M97" s="1"/>
  <c r="M186"/>
  <c r="BZ65"/>
  <c r="M88"/>
  <c r="M229"/>
  <c r="M228"/>
  <c r="BZ89"/>
  <c r="AO58" i="48"/>
  <c r="AO56"/>
  <c r="AH56" s="1"/>
  <c r="AV53"/>
  <c r="AA53"/>
  <c r="AK32" i="89"/>
  <c r="BP35" i="18"/>
  <c r="U612" i="62"/>
  <c r="U621" s="1"/>
  <c r="AK17" i="89"/>
  <c r="AI29"/>
  <c r="AI11" s="1"/>
  <c r="R233" i="39"/>
  <c r="R400" i="62"/>
  <c r="R236" i="39" s="1"/>
  <c r="AK71" i="89"/>
  <c r="BO61" i="18"/>
  <c r="T395" i="62"/>
  <c r="T404" s="1"/>
  <c r="AI68" i="89"/>
  <c r="S391" i="62"/>
  <c r="M181" i="20" l="1"/>
  <c r="L31" i="94" s="1"/>
  <c r="N31" s="1"/>
  <c r="U140" i="48"/>
  <c r="L13" i="76"/>
  <c r="M171" i="20"/>
  <c r="U169" i="48" s="1"/>
  <c r="L24" i="94"/>
  <c r="L21"/>
  <c r="L22" s="1"/>
  <c r="M89" i="48"/>
  <c r="M91"/>
  <c r="M204"/>
  <c r="M205" s="1"/>
  <c r="M184" s="1"/>
  <c r="M48"/>
  <c r="M90"/>
  <c r="M50"/>
  <c r="M217" s="1"/>
  <c r="M216" s="1"/>
  <c r="X28" i="89"/>
  <c r="T609" i="62"/>
  <c r="T618" s="1"/>
  <c r="AO36" i="48"/>
  <c r="BN55" i="18"/>
  <c r="X82" i="89"/>
  <c r="M39" i="48"/>
  <c r="M41"/>
  <c r="BO29" i="18"/>
  <c r="Z31" i="89"/>
  <c r="U80" i="48"/>
  <c r="U114" s="1"/>
  <c r="S88" i="22"/>
  <c r="BZ80" i="20"/>
  <c r="L20" i="26"/>
  <c r="BP83" i="20"/>
  <c r="BR83"/>
  <c r="BN83"/>
  <c r="BY83"/>
  <c r="BQ83"/>
  <c r="BT83"/>
  <c r="BO83"/>
  <c r="X56" i="31"/>
  <c r="BV83" i="20"/>
  <c r="BX83"/>
  <c r="M85"/>
  <c r="BS83"/>
  <c r="BU83"/>
  <c r="BW83"/>
  <c r="U83" i="48"/>
  <c r="U117" s="1"/>
  <c r="BO84" i="20"/>
  <c r="BO118" s="1"/>
  <c r="BR84"/>
  <c r="BR118" s="1"/>
  <c r="BU84"/>
  <c r="BU118" s="1"/>
  <c r="U84" i="48"/>
  <c r="U118" s="1"/>
  <c r="BQ84" i="20"/>
  <c r="BQ118" s="1"/>
  <c r="BV84"/>
  <c r="BV118" s="1"/>
  <c r="BP84"/>
  <c r="BP118" s="1"/>
  <c r="BX84"/>
  <c r="BX118" s="1"/>
  <c r="BY84"/>
  <c r="BY118" s="1"/>
  <c r="BT84"/>
  <c r="BT118" s="1"/>
  <c r="BW84"/>
  <c r="BW118" s="1"/>
  <c r="BN84"/>
  <c r="BS84"/>
  <c r="BS118" s="1"/>
  <c r="AH66" i="89"/>
  <c r="R394" i="62"/>
  <c r="R620"/>
  <c r="R375" i="39" s="1"/>
  <c r="R372"/>
  <c r="AH81" i="89"/>
  <c r="BM59" i="18"/>
  <c r="AH42" i="89"/>
  <c r="AH43" s="1"/>
  <c r="BN33" i="18"/>
  <c r="M98" i="48"/>
  <c r="M149" s="1"/>
  <c r="M97"/>
  <c r="Q234" i="39"/>
  <c r="Q403" i="62"/>
  <c r="Q237" i="39" s="1"/>
  <c r="S611" i="62"/>
  <c r="AH27" i="89"/>
  <c r="Q388" i="62"/>
  <c r="L65" i="89"/>
  <c r="R389" i="62"/>
  <c r="R398" s="1"/>
  <c r="M66" i="89"/>
  <c r="L80"/>
  <c r="BK64" i="18"/>
  <c r="BK66" s="1"/>
  <c r="BL47"/>
  <c r="BM39"/>
  <c r="M42" i="89"/>
  <c r="M43" s="1"/>
  <c r="BN23" i="18"/>
  <c r="R617" i="62"/>
  <c r="R374" i="39" s="1"/>
  <c r="R371"/>
  <c r="BM49" i="18"/>
  <c r="BL65"/>
  <c r="M81" i="89"/>
  <c r="P232" i="39"/>
  <c r="P410" i="62"/>
  <c r="P243" i="39" s="1"/>
  <c r="P414" i="62"/>
  <c r="P247" i="39" s="1"/>
  <c r="P397" i="62"/>
  <c r="P235" i="39" s="1"/>
  <c r="P409" i="62"/>
  <c r="P242" i="39" s="1"/>
  <c r="BM53" i="18"/>
  <c r="W81" i="89"/>
  <c r="W67" s="1"/>
  <c r="T391" i="62" s="1"/>
  <c r="AN187" i="48"/>
  <c r="AN188" s="1"/>
  <c r="AN161" s="1"/>
  <c r="AU182"/>
  <c r="M28"/>
  <c r="W42" i="89"/>
  <c r="W43" s="1"/>
  <c r="BN27" i="18"/>
  <c r="Q614" i="62"/>
  <c r="Q373" i="39" s="1"/>
  <c r="Q370"/>
  <c r="M27" i="89"/>
  <c r="S606" i="62"/>
  <c r="S615" s="1"/>
  <c r="L26" i="89"/>
  <c r="R605" i="62"/>
  <c r="BM21" i="18"/>
  <c r="M11" i="48" s="1"/>
  <c r="L41" i="89"/>
  <c r="BL38" i="18"/>
  <c r="BL40" s="1"/>
  <c r="L187" i="48"/>
  <c r="AG182"/>
  <c r="S608" i="62"/>
  <c r="W27" i="89"/>
  <c r="M19" i="48"/>
  <c r="BO97" i="20"/>
  <c r="M146"/>
  <c r="U97" i="48"/>
  <c r="BY97" i="20"/>
  <c r="BS97"/>
  <c r="BU97"/>
  <c r="BW97"/>
  <c r="BN97"/>
  <c r="BR97"/>
  <c r="BQ97"/>
  <c r="BT97"/>
  <c r="M179"/>
  <c r="L31" i="26"/>
  <c r="L30" s="1"/>
  <c r="BV97" i="20"/>
  <c r="BP97"/>
  <c r="BX97"/>
  <c r="Z123" i="28"/>
  <c r="Z124"/>
  <c r="X36" i="31" s="1"/>
  <c r="X37" s="1"/>
  <c r="Z31" i="28"/>
  <c r="Z32"/>
  <c r="Z30"/>
  <c r="L39" i="94"/>
  <c r="N39" s="1"/>
  <c r="BR186" i="20"/>
  <c r="BY186"/>
  <c r="BW186"/>
  <c r="BP186"/>
  <c r="BX186"/>
  <c r="U184" i="48"/>
  <c r="L32" i="66"/>
  <c r="N32" s="1"/>
  <c r="BN186" i="20"/>
  <c r="BT186"/>
  <c r="M145"/>
  <c r="BS186"/>
  <c r="BU186"/>
  <c r="BO186"/>
  <c r="BQ186"/>
  <c r="BV186"/>
  <c r="L23" i="26"/>
  <c r="U93" i="48"/>
  <c r="U126" s="1"/>
  <c r="M223" i="20"/>
  <c r="BZ93"/>
  <c r="S91" i="22"/>
  <c r="U110" i="48"/>
  <c r="U111"/>
  <c r="K56" i="77"/>
  <c r="U131" i="48"/>
  <c r="U130"/>
  <c r="U108"/>
  <c r="U112"/>
  <c r="U109"/>
  <c r="U67"/>
  <c r="U104"/>
  <c r="U113"/>
  <c r="U107"/>
  <c r="BM145" i="20"/>
  <c r="BL147"/>
  <c r="S84" i="22"/>
  <c r="L60" i="44"/>
  <c r="P234" i="62"/>
  <c r="P133" i="39" s="1"/>
  <c r="BV88" i="20"/>
  <c r="V194" i="62"/>
  <c r="V110" i="39" s="1"/>
  <c r="R234" i="62"/>
  <c r="R133" i="39" s="1"/>
  <c r="BY88" i="20"/>
  <c r="M92"/>
  <c r="M234" i="62"/>
  <c r="M133" i="39" s="1"/>
  <c r="BP88" i="20"/>
  <c r="BT88"/>
  <c r="Q234" i="62"/>
  <c r="Q133" i="39" s="1"/>
  <c r="BX88" i="20"/>
  <c r="O234" i="62"/>
  <c r="O133" i="39" s="1"/>
  <c r="BO88" i="20"/>
  <c r="BU88"/>
  <c r="BS88"/>
  <c r="BW88"/>
  <c r="BN88"/>
  <c r="U234" i="62"/>
  <c r="U133" i="39" s="1"/>
  <c r="U88" i="48"/>
  <c r="U122" s="1"/>
  <c r="T234" i="62"/>
  <c r="T133" i="39" s="1"/>
  <c r="M122" i="20"/>
  <c r="L234" i="62"/>
  <c r="L133" i="39" s="1"/>
  <c r="S234" i="62"/>
  <c r="S133" i="39" s="1"/>
  <c r="W194" i="62"/>
  <c r="W110" i="39" s="1"/>
  <c r="BQ88" i="20"/>
  <c r="N234" i="62"/>
  <c r="N133" i="39" s="1"/>
  <c r="BR88" i="20"/>
  <c r="L224" i="62"/>
  <c r="L123" i="39" s="1"/>
  <c r="V184" i="62"/>
  <c r="V100" i="39" s="1"/>
  <c r="N224" i="62"/>
  <c r="N123" i="39" s="1"/>
  <c r="R224" i="62"/>
  <c r="R123" i="39" s="1"/>
  <c r="M224" i="62"/>
  <c r="M123" i="39" s="1"/>
  <c r="W184" i="62"/>
  <c r="W100" i="39" s="1"/>
  <c r="S224" i="62"/>
  <c r="S123" i="39" s="1"/>
  <c r="T224" i="62"/>
  <c r="T123" i="39" s="1"/>
  <c r="U224" i="62"/>
  <c r="U123" i="39" s="1"/>
  <c r="Q224" i="62"/>
  <c r="Q123" i="39" s="1"/>
  <c r="O224" i="62"/>
  <c r="O123" i="39" s="1"/>
  <c r="P224" i="62"/>
  <c r="P123" i="39" s="1"/>
  <c r="M230" i="20"/>
  <c r="M126"/>
  <c r="M130"/>
  <c r="N633" i="62"/>
  <c r="N387" i="39" s="1"/>
  <c r="R633" i="62"/>
  <c r="R387" i="39" s="1"/>
  <c r="O633" i="62"/>
  <c r="O387" i="39" s="1"/>
  <c r="W597" i="62"/>
  <c r="W364" i="39" s="1"/>
  <c r="M633" i="62"/>
  <c r="M387" i="39" s="1"/>
  <c r="Q633" i="62"/>
  <c r="Q387" i="39" s="1"/>
  <c r="S633" i="62"/>
  <c r="S387" i="39" s="1"/>
  <c r="T633" i="62"/>
  <c r="T387" i="39" s="1"/>
  <c r="P633" i="62"/>
  <c r="P387" i="39" s="1"/>
  <c r="U633" i="62"/>
  <c r="U387" i="39" s="1"/>
  <c r="L633" i="62"/>
  <c r="L387" i="39" s="1"/>
  <c r="V597" i="62"/>
  <c r="V364" i="39" s="1"/>
  <c r="AK57" i="89"/>
  <c r="U395" i="62"/>
  <c r="U404" s="1"/>
  <c r="AI69" i="89"/>
  <c r="AI51" s="1"/>
  <c r="V612" i="62"/>
  <c r="V621" s="1"/>
  <c r="AK18" i="89"/>
  <c r="AO216" i="48"/>
  <c r="M65"/>
  <c r="AA58"/>
  <c r="AV58"/>
  <c r="W598" i="62"/>
  <c r="W365" i="39" s="1"/>
  <c r="M634" i="62"/>
  <c r="M388" i="39" s="1"/>
  <c r="U634" i="62"/>
  <c r="U388" i="39" s="1"/>
  <c r="V598" i="62"/>
  <c r="V365" i="39" s="1"/>
  <c r="L634" i="62"/>
  <c r="L388" i="39" s="1"/>
  <c r="T634" i="62"/>
  <c r="T388" i="39" s="1"/>
  <c r="Q634" i="62"/>
  <c r="Q388" i="39" s="1"/>
  <c r="O634" i="62"/>
  <c r="O388" i="39" s="1"/>
  <c r="R634" i="62"/>
  <c r="R388" i="39" s="1"/>
  <c r="P634" i="62"/>
  <c r="P388" i="39" s="1"/>
  <c r="S634" i="62"/>
  <c r="S388" i="39" s="1"/>
  <c r="N634" i="62"/>
  <c r="N388" i="39" s="1"/>
  <c r="AV56" i="48"/>
  <c r="AA56"/>
  <c r="S233" i="39"/>
  <c r="S400" i="62"/>
  <c r="S236" i="39" s="1"/>
  <c r="AK72" i="89"/>
  <c r="BP61" i="18"/>
  <c r="BQ35"/>
  <c r="AK33" i="89"/>
  <c r="U635" i="62"/>
  <c r="U389" i="39" s="1"/>
  <c r="S635" i="62"/>
  <c r="S389" i="39" s="1"/>
  <c r="N635" i="62"/>
  <c r="N389" i="39" s="1"/>
  <c r="Q635" i="62"/>
  <c r="Q389" i="39" s="1"/>
  <c r="W599" i="62"/>
  <c r="W366" i="39" s="1"/>
  <c r="L635" i="62"/>
  <c r="L389" i="39" s="1"/>
  <c r="O635" i="62"/>
  <c r="O389" i="39" s="1"/>
  <c r="T635" i="62"/>
  <c r="T389" i="39" s="1"/>
  <c r="M635" i="62"/>
  <c r="M389" i="39" s="1"/>
  <c r="P635" i="62"/>
  <c r="P389" i="39" s="1"/>
  <c r="R635" i="62"/>
  <c r="R389" i="39" s="1"/>
  <c r="V599" i="62"/>
  <c r="V366" i="39" s="1"/>
  <c r="L25" i="66" l="1"/>
  <c r="N25" s="1"/>
  <c r="U179" i="48"/>
  <c r="BZ181" i="20"/>
  <c r="U609" i="62"/>
  <c r="U618" s="1"/>
  <c r="X29" i="89"/>
  <c r="X11" s="1"/>
  <c r="Z17"/>
  <c r="AH36" i="48"/>
  <c r="AH41" s="1"/>
  <c r="AV36"/>
  <c r="AO41"/>
  <c r="AA36"/>
  <c r="AO39"/>
  <c r="BP29" i="18"/>
  <c r="Z32" i="89"/>
  <c r="BO55" i="18"/>
  <c r="Z71" i="89"/>
  <c r="X83"/>
  <c r="X68"/>
  <c r="BT117" i="20"/>
  <c r="BT85"/>
  <c r="BT119" s="1"/>
  <c r="BU85"/>
  <c r="BU119" s="1"/>
  <c r="BU117"/>
  <c r="BV85"/>
  <c r="BV119" s="1"/>
  <c r="BV117"/>
  <c r="BQ117"/>
  <c r="BQ85"/>
  <c r="BQ119" s="1"/>
  <c r="BP85"/>
  <c r="BP119" s="1"/>
  <c r="BP117"/>
  <c r="BW85"/>
  <c r="BW119" s="1"/>
  <c r="BW117"/>
  <c r="BN118"/>
  <c r="BZ84"/>
  <c r="U85" i="48"/>
  <c r="U119" s="1"/>
  <c r="M119" i="20"/>
  <c r="BO117"/>
  <c r="BO85"/>
  <c r="BO119" s="1"/>
  <c r="BN85"/>
  <c r="BZ83"/>
  <c r="BN117"/>
  <c r="BX117"/>
  <c r="BX85"/>
  <c r="BX119" s="1"/>
  <c r="BR85"/>
  <c r="BR119" s="1"/>
  <c r="BR117"/>
  <c r="BS117"/>
  <c r="BS85"/>
  <c r="BS119" s="1"/>
  <c r="BY85"/>
  <c r="BY119" s="1"/>
  <c r="BY117"/>
  <c r="S620" i="62"/>
  <c r="S375" i="39" s="1"/>
  <c r="S372"/>
  <c r="AH67" i="89"/>
  <c r="S394" i="62"/>
  <c r="T611"/>
  <c r="AH28" i="89"/>
  <c r="M146" i="48"/>
  <c r="M177"/>
  <c r="BN59" i="18"/>
  <c r="AH82" i="89"/>
  <c r="AH83" s="1"/>
  <c r="AO45" i="48"/>
  <c r="R234" i="39"/>
  <c r="R403" i="62"/>
  <c r="R237" i="39" s="1"/>
  <c r="AJ31" i="89"/>
  <c r="BO33" i="18"/>
  <c r="AN193" i="48"/>
  <c r="AV57"/>
  <c r="M16"/>
  <c r="M14"/>
  <c r="S605" i="62"/>
  <c r="L27" i="89"/>
  <c r="BN49" i="18"/>
  <c r="BM65"/>
  <c r="M82" i="89"/>
  <c r="M83" s="1"/>
  <c r="Q232" i="39"/>
  <c r="Q410" i="62"/>
  <c r="Q243" i="39" s="1"/>
  <c r="Q409" i="62"/>
  <c r="Q242" i="39" s="1"/>
  <c r="Q414" i="62"/>
  <c r="Q247" i="39" s="1"/>
  <c r="Q397" i="62"/>
  <c r="Q235" i="39" s="1"/>
  <c r="S371"/>
  <c r="S617" i="62"/>
  <c r="S374" i="39" s="1"/>
  <c r="R370"/>
  <c r="R614" i="62"/>
  <c r="R373" i="39" s="1"/>
  <c r="M31" i="48"/>
  <c r="M33"/>
  <c r="AO28"/>
  <c r="BN53" i="18"/>
  <c r="W82" i="89"/>
  <c r="O31"/>
  <c r="BO23" i="18"/>
  <c r="BN39"/>
  <c r="R388" i="62"/>
  <c r="L66" i="89"/>
  <c r="T608" i="62"/>
  <c r="W28" i="89"/>
  <c r="L188" i="48"/>
  <c r="AG187"/>
  <c r="L42" i="89"/>
  <c r="L43" s="1"/>
  <c r="BM38" i="18"/>
  <c r="BM40" s="1"/>
  <c r="BN21"/>
  <c r="M28" i="89"/>
  <c r="T606" i="62"/>
  <c r="T615" s="1"/>
  <c r="M29" i="89"/>
  <c r="M11" s="1"/>
  <c r="L81"/>
  <c r="BM47" i="18"/>
  <c r="BL64"/>
  <c r="BL66" s="1"/>
  <c r="AO11" i="48"/>
  <c r="BZ97" i="20"/>
  <c r="M22" i="48"/>
  <c r="M24"/>
  <c r="Y31" i="89"/>
  <c r="BO27" i="18"/>
  <c r="M67" i="89"/>
  <c r="S389" i="62"/>
  <c r="S398" s="1"/>
  <c r="AO19" i="48"/>
  <c r="AH19" s="1"/>
  <c r="AH24" s="1"/>
  <c r="BZ186" i="20"/>
  <c r="BW122"/>
  <c r="BW92"/>
  <c r="BP92"/>
  <c r="BP122"/>
  <c r="M147"/>
  <c r="U145" i="48"/>
  <c r="L17" i="76"/>
  <c r="BR130" i="20"/>
  <c r="BR179"/>
  <c r="BS130"/>
  <c r="BS179"/>
  <c r="BO130"/>
  <c r="BO179"/>
  <c r="BQ122"/>
  <c r="BQ92"/>
  <c r="BZ88"/>
  <c r="BN122"/>
  <c r="BN92"/>
  <c r="BO122"/>
  <c r="BO92"/>
  <c r="BT92"/>
  <c r="BT122"/>
  <c r="BY92"/>
  <c r="BY122"/>
  <c r="BN145"/>
  <c r="BM147"/>
  <c r="BV179"/>
  <c r="BV130"/>
  <c r="BQ130"/>
  <c r="BQ179"/>
  <c r="BU179"/>
  <c r="BU130"/>
  <c r="L18" i="76"/>
  <c r="U146" i="48"/>
  <c r="M232" i="20"/>
  <c r="M233" s="1"/>
  <c r="M234" s="1"/>
  <c r="BU92"/>
  <c r="BU122"/>
  <c r="M125"/>
  <c r="L25" i="26"/>
  <c r="M94" i="20"/>
  <c r="U92" i="48"/>
  <c r="U125" s="1"/>
  <c r="BV92" i="20"/>
  <c r="BV122"/>
  <c r="BP130"/>
  <c r="BP179"/>
  <c r="BT130"/>
  <c r="BT179"/>
  <c r="BW179"/>
  <c r="BW130"/>
  <c r="BR92"/>
  <c r="BR122"/>
  <c r="BS122"/>
  <c r="BS92"/>
  <c r="BX122"/>
  <c r="BX92"/>
  <c r="BX179"/>
  <c r="BX130"/>
  <c r="L23" i="66"/>
  <c r="N23" s="1"/>
  <c r="U177" i="48"/>
  <c r="BN130" i="20"/>
  <c r="BN146"/>
  <c r="BO146" s="1"/>
  <c r="BP146" s="1"/>
  <c r="BQ146" s="1"/>
  <c r="BR146" s="1"/>
  <c r="BS146" s="1"/>
  <c r="BT146" s="1"/>
  <c r="BU146" s="1"/>
  <c r="BV146" s="1"/>
  <c r="BW146" s="1"/>
  <c r="BX146" s="1"/>
  <c r="BY146" s="1"/>
  <c r="BZ146" s="1"/>
  <c r="BN179"/>
  <c r="BY179"/>
  <c r="BY130"/>
  <c r="BQ61" i="18"/>
  <c r="AK73" i="89"/>
  <c r="AK34"/>
  <c r="BR35" i="18"/>
  <c r="T233" i="39"/>
  <c r="T400" i="62"/>
  <c r="T236" i="39" s="1"/>
  <c r="M120" i="48"/>
  <c r="M124"/>
  <c r="M123"/>
  <c r="M88"/>
  <c r="AN163"/>
  <c r="AN164" s="1"/>
  <c r="W612" i="62"/>
  <c r="W621" s="1"/>
  <c r="AK19" i="89"/>
  <c r="V395" i="62"/>
  <c r="V404" s="1"/>
  <c r="AK58" i="89"/>
  <c r="M145" i="48"/>
  <c r="BQ29" i="18" l="1"/>
  <c r="Z33" i="89"/>
  <c r="X69"/>
  <c r="X51" s="1"/>
  <c r="Z57"/>
  <c r="U392" i="62"/>
  <c r="U401" s="1"/>
  <c r="AV41" i="48"/>
  <c r="AA41"/>
  <c r="BP55" i="18"/>
  <c r="Z72" i="89"/>
  <c r="V609" i="62"/>
  <c r="V618" s="1"/>
  <c r="Z18" i="89"/>
  <c r="AH39" i="48"/>
  <c r="AA39"/>
  <c r="AV39"/>
  <c r="BN119" i="20"/>
  <c r="BZ85"/>
  <c r="T372" i="39"/>
  <c r="T620" i="62"/>
  <c r="T375" i="39" s="1"/>
  <c r="AH29" i="89"/>
  <c r="AH11" s="1"/>
  <c r="AJ17"/>
  <c r="U611" i="62"/>
  <c r="BP33" i="18"/>
  <c r="AJ32" i="89"/>
  <c r="AO98" i="48"/>
  <c r="AO89"/>
  <c r="AV45"/>
  <c r="AO48"/>
  <c r="AO50"/>
  <c r="AO90"/>
  <c r="AO97"/>
  <c r="AO91"/>
  <c r="AO204"/>
  <c r="AH45"/>
  <c r="AH50" s="1"/>
  <c r="AA45"/>
  <c r="AH68" i="89"/>
  <c r="T394" i="62"/>
  <c r="BO59" i="18"/>
  <c r="AJ71" i="89"/>
  <c r="S234" i="39"/>
  <c r="S403" i="62"/>
  <c r="S237" i="39" s="1"/>
  <c r="AO14" i="48"/>
  <c r="AV11"/>
  <c r="AA11"/>
  <c r="AO16"/>
  <c r="W29" i="89"/>
  <c r="W11" s="1"/>
  <c r="U608" i="62"/>
  <c r="Y17" i="89"/>
  <c r="Y71"/>
  <c r="BO53" i="18"/>
  <c r="L28" i="89"/>
  <c r="T605" i="62"/>
  <c r="M213" i="48"/>
  <c r="M212" s="1"/>
  <c r="AO22"/>
  <c r="AO24"/>
  <c r="AV19"/>
  <c r="AA19"/>
  <c r="BN38" i="18"/>
  <c r="BN40" s="1"/>
  <c r="N31" i="89"/>
  <c r="BO21" i="18"/>
  <c r="L161" i="48"/>
  <c r="L193"/>
  <c r="AG188"/>
  <c r="AG193" s="1"/>
  <c r="R409" i="62"/>
  <c r="R242" i="39" s="1"/>
  <c r="R414" i="62"/>
  <c r="R247" i="39" s="1"/>
  <c r="R397" i="62"/>
  <c r="R235" i="39" s="1"/>
  <c r="R232"/>
  <c r="R410" i="62"/>
  <c r="R243" i="39" s="1"/>
  <c r="W83" i="89"/>
  <c r="W68"/>
  <c r="BO49" i="18"/>
  <c r="O71" i="89"/>
  <c r="BN65" i="18"/>
  <c r="M64" i="48"/>
  <c r="M66"/>
  <c r="BP27" i="18"/>
  <c r="Y32" i="89"/>
  <c r="L82"/>
  <c r="L83" s="1"/>
  <c r="BM64" i="18"/>
  <c r="BM66" s="1"/>
  <c r="BN47"/>
  <c r="U606" i="62"/>
  <c r="U615" s="1"/>
  <c r="O17" i="89"/>
  <c r="S388" i="62"/>
  <c r="L67" i="89"/>
  <c r="M69" i="48"/>
  <c r="AH11"/>
  <c r="AH16" s="1"/>
  <c r="M68" i="89"/>
  <c r="M69" s="1"/>
  <c r="M51" s="1"/>
  <c r="T389" i="62"/>
  <c r="T398" s="1"/>
  <c r="T617"/>
  <c r="T374" i="39" s="1"/>
  <c r="T371"/>
  <c r="BO39" i="18"/>
  <c r="BP23"/>
  <c r="O32" i="89"/>
  <c r="AH28" i="48"/>
  <c r="AH33" s="1"/>
  <c r="AH69" s="1"/>
  <c r="J66" i="77" s="1"/>
  <c r="AV28" i="48"/>
  <c r="AA28"/>
  <c r="AO33"/>
  <c r="AO31"/>
  <c r="S614" i="62"/>
  <c r="S373" i="39" s="1"/>
  <c r="S370"/>
  <c r="BZ179" i="20"/>
  <c r="S94" i="22"/>
  <c r="L26" i="26"/>
  <c r="M96" i="20"/>
  <c r="M127"/>
  <c r="U94" i="48"/>
  <c r="U127" s="1"/>
  <c r="BU155" i="20"/>
  <c r="BU125"/>
  <c r="BU94"/>
  <c r="BO145"/>
  <c r="BN147"/>
  <c r="BT125"/>
  <c r="BT155"/>
  <c r="BT94"/>
  <c r="U147" i="48"/>
  <c r="L19" i="76"/>
  <c r="BS94" i="20"/>
  <c r="BS155"/>
  <c r="BS125"/>
  <c r="BN94"/>
  <c r="BN155"/>
  <c r="BN125"/>
  <c r="BZ92"/>
  <c r="BW155"/>
  <c r="BW94"/>
  <c r="BW125"/>
  <c r="BR125"/>
  <c r="BR155"/>
  <c r="BR94"/>
  <c r="BV125"/>
  <c r="BV155"/>
  <c r="BV94"/>
  <c r="BY155"/>
  <c r="BY125"/>
  <c r="BY94"/>
  <c r="BQ94"/>
  <c r="BQ155"/>
  <c r="BQ125"/>
  <c r="BP94"/>
  <c r="BP155"/>
  <c r="BP125"/>
  <c r="BX155"/>
  <c r="BX94"/>
  <c r="BX125"/>
  <c r="M205"/>
  <c r="AB248" i="48"/>
  <c r="BO94" i="20"/>
  <c r="BO125"/>
  <c r="BO155"/>
  <c r="M147" i="48"/>
  <c r="AK35" i="89"/>
  <c r="BS35" i="18"/>
  <c r="W395" i="62"/>
  <c r="W404" s="1"/>
  <c r="AK59" i="89"/>
  <c r="L648" i="62"/>
  <c r="L657" s="1"/>
  <c r="AK20" i="89"/>
  <c r="M92" i="48"/>
  <c r="M125" s="1"/>
  <c r="R632" i="62"/>
  <c r="R386" i="39" s="1"/>
  <c r="V596" i="62"/>
  <c r="V363" i="39" s="1"/>
  <c r="U632" i="62"/>
  <c r="U386" i="39" s="1"/>
  <c r="N632" i="62"/>
  <c r="N386" i="39" s="1"/>
  <c r="O632" i="62"/>
  <c r="O386" i="39" s="1"/>
  <c r="W596" i="62"/>
  <c r="W363" i="39" s="1"/>
  <c r="P632" i="62"/>
  <c r="P386" i="39" s="1"/>
  <c r="L632" i="62"/>
  <c r="L386" i="39" s="1"/>
  <c r="Q632" i="62"/>
  <c r="Q386" i="39" s="1"/>
  <c r="S632" i="62"/>
  <c r="S386" i="39" s="1"/>
  <c r="M632" i="62"/>
  <c r="M386" i="39" s="1"/>
  <c r="T632" i="62"/>
  <c r="T386" i="39" s="1"/>
  <c r="BR61" i="18"/>
  <c r="AK74" i="89"/>
  <c r="M122" i="48"/>
  <c r="AV40" l="1"/>
  <c r="Z19" i="89"/>
  <c r="W609" i="62"/>
  <c r="W618" s="1"/>
  <c r="BR29" i="18"/>
  <c r="Z34" i="89"/>
  <c r="BQ55" i="18"/>
  <c r="Z73" i="89"/>
  <c r="V392" i="62"/>
  <c r="V401" s="1"/>
  <c r="Z58" i="89"/>
  <c r="AH90" i="48"/>
  <c r="O417" i="62"/>
  <c r="O250" i="39" s="1"/>
  <c r="M417" i="62"/>
  <c r="M250" i="39" s="1"/>
  <c r="T417" i="62"/>
  <c r="T250" i="39" s="1"/>
  <c r="U417" i="62"/>
  <c r="U250" i="39" s="1"/>
  <c r="AV90" i="48"/>
  <c r="S417" i="62"/>
  <c r="S250" i="39" s="1"/>
  <c r="AA90" i="48"/>
  <c r="N417" i="62"/>
  <c r="N250" i="39" s="1"/>
  <c r="R417" i="62"/>
  <c r="R250" i="39" s="1"/>
  <c r="L417" i="62"/>
  <c r="L250" i="39" s="1"/>
  <c r="P417" i="62"/>
  <c r="P250" i="39" s="1"/>
  <c r="Q417" i="62"/>
  <c r="Q250" i="39" s="1"/>
  <c r="V381" i="62"/>
  <c r="V227" i="39" s="1"/>
  <c r="W381" i="62"/>
  <c r="W227" i="39" s="1"/>
  <c r="W380" i="62"/>
  <c r="W226" i="39" s="1"/>
  <c r="N416" i="62"/>
  <c r="N249" i="39" s="1"/>
  <c r="R416" i="62"/>
  <c r="R249" i="39" s="1"/>
  <c r="L416" i="62"/>
  <c r="L249" i="39" s="1"/>
  <c r="T416" i="62"/>
  <c r="T249" i="39" s="1"/>
  <c r="AH89" i="48"/>
  <c r="Q416" i="62"/>
  <c r="Q249" i="39" s="1"/>
  <c r="S416" i="62"/>
  <c r="S249" i="39" s="1"/>
  <c r="P416" i="62"/>
  <c r="P249" i="39" s="1"/>
  <c r="U416" i="62"/>
  <c r="U249" i="39" s="1"/>
  <c r="M416" i="62"/>
  <c r="M249" i="39" s="1"/>
  <c r="V380" i="62"/>
  <c r="V226" i="39" s="1"/>
  <c r="AA89" i="48"/>
  <c r="O416" i="62"/>
  <c r="O249" i="39" s="1"/>
  <c r="AV89" i="48"/>
  <c r="AO177"/>
  <c r="AH97"/>
  <c r="AO146"/>
  <c r="AA97"/>
  <c r="AV97"/>
  <c r="AJ33" i="89"/>
  <c r="BQ33" i="18"/>
  <c r="AJ57" i="89"/>
  <c r="AH69"/>
  <c r="AH51" s="1"/>
  <c r="U394" i="62"/>
  <c r="AH91" i="48"/>
  <c r="R418" i="62"/>
  <c r="R251" i="39" s="1"/>
  <c r="S418" i="62"/>
  <c r="S251" i="39" s="1"/>
  <c r="W382" i="62"/>
  <c r="W228" i="39" s="1"/>
  <c r="V382" i="62"/>
  <c r="V228" i="39" s="1"/>
  <c r="P418" i="62"/>
  <c r="P251" i="39" s="1"/>
  <c r="T418" i="62"/>
  <c r="T251" i="39" s="1"/>
  <c r="Q418" i="62"/>
  <c r="Q251" i="39" s="1"/>
  <c r="L418" i="62"/>
  <c r="L251" i="39" s="1"/>
  <c r="N418" i="62"/>
  <c r="N251" i="39" s="1"/>
  <c r="O418" i="62"/>
  <c r="O251" i="39" s="1"/>
  <c r="AV91" i="48"/>
  <c r="M418" i="62"/>
  <c r="M251" i="39" s="1"/>
  <c r="U418" i="62"/>
  <c r="U251" i="39" s="1"/>
  <c r="AA91" i="48"/>
  <c r="AH48"/>
  <c r="AH65" s="1"/>
  <c r="AV48"/>
  <c r="AA48"/>
  <c r="AA65" s="1"/>
  <c r="AO65"/>
  <c r="AH14" i="89"/>
  <c r="AH12"/>
  <c r="BP59" i="18"/>
  <c r="AJ72" i="89"/>
  <c r="U372" i="39"/>
  <c r="U620" i="62"/>
  <c r="U375" i="39" s="1"/>
  <c r="T403" i="62"/>
  <c r="T237" i="39" s="1"/>
  <c r="T234"/>
  <c r="AA204" i="48"/>
  <c r="AA205" s="1"/>
  <c r="AA184" s="1"/>
  <c r="AV204"/>
  <c r="AO205"/>
  <c r="AA50"/>
  <c r="AV50"/>
  <c r="AV98"/>
  <c r="AA98"/>
  <c r="AO149"/>
  <c r="AH98"/>
  <c r="AJ18" i="89"/>
  <c r="V611" i="62"/>
  <c r="BQ23" i="18"/>
  <c r="BP39"/>
  <c r="O33" i="89"/>
  <c r="M140" i="48"/>
  <c r="M179" s="1"/>
  <c r="J53" i="77"/>
  <c r="L163" i="48"/>
  <c r="L164" s="1"/>
  <c r="AG161"/>
  <c r="AG163" s="1"/>
  <c r="AG164" s="1"/>
  <c r="AO212"/>
  <c r="AO93" s="1"/>
  <c r="M93"/>
  <c r="M126" s="1"/>
  <c r="BP53" i="18"/>
  <c r="Y72" i="89"/>
  <c r="W12"/>
  <c r="W14"/>
  <c r="AH14" i="48"/>
  <c r="AO66"/>
  <c r="AV14"/>
  <c r="AA14"/>
  <c r="AO64"/>
  <c r="AO69"/>
  <c r="AV33"/>
  <c r="AA33"/>
  <c r="V606" i="62"/>
  <c r="V615" s="1"/>
  <c r="O18" i="89"/>
  <c r="M116" i="48"/>
  <c r="M83"/>
  <c r="M80"/>
  <c r="M84"/>
  <c r="M118" s="1"/>
  <c r="Y57" i="89"/>
  <c r="W69"/>
  <c r="W51" s="1"/>
  <c r="U391" i="62"/>
  <c r="AH22" i="48"/>
  <c r="AA22"/>
  <c r="AV22"/>
  <c r="U605" i="62"/>
  <c r="N17" i="89"/>
  <c r="U617" i="62"/>
  <c r="U374" i="39" s="1"/>
  <c r="U371"/>
  <c r="AH31" i="48"/>
  <c r="AA31"/>
  <c r="AV31"/>
  <c r="AV32" s="1"/>
  <c r="O57" i="89"/>
  <c r="U389" i="62"/>
  <c r="U398" s="1"/>
  <c r="S232" i="39"/>
  <c r="S410" i="62"/>
  <c r="S243" i="39" s="1"/>
  <c r="S409" i="62"/>
  <c r="S242" i="39" s="1"/>
  <c r="S414" i="62"/>
  <c r="S247" i="39" s="1"/>
  <c r="S397" i="62"/>
  <c r="S235" i="39" s="1"/>
  <c r="M104" i="48"/>
  <c r="J52" i="77"/>
  <c r="M67" i="48"/>
  <c r="M108"/>
  <c r="M112"/>
  <c r="M113"/>
  <c r="M130"/>
  <c r="M110"/>
  <c r="M131"/>
  <c r="M73"/>
  <c r="O72" i="89"/>
  <c r="BO65" i="18"/>
  <c r="BP49"/>
  <c r="AV24" i="48"/>
  <c r="AA24"/>
  <c r="T614" i="62"/>
  <c r="T373" i="39" s="1"/>
  <c r="T370"/>
  <c r="V608" i="62"/>
  <c r="Y18" i="89"/>
  <c r="L68"/>
  <c r="L69" s="1"/>
  <c r="L51" s="1"/>
  <c r="T388" i="62"/>
  <c r="BO47" i="18"/>
  <c r="BN64"/>
  <c r="BN66" s="1"/>
  <c r="N71" i="89"/>
  <c r="BQ27" i="18"/>
  <c r="Y33" i="89"/>
  <c r="N32"/>
  <c r="BO38" i="18"/>
  <c r="BO40" s="1"/>
  <c r="BP21"/>
  <c r="AV16" i="48"/>
  <c r="AA16"/>
  <c r="L29" i="89"/>
  <c r="L11" s="1"/>
  <c r="BX159" i="20"/>
  <c r="BX183"/>
  <c r="BS159"/>
  <c r="BS183"/>
  <c r="BT127"/>
  <c r="BT96"/>
  <c r="BT167"/>
  <c r="BO147"/>
  <c r="BP145"/>
  <c r="S95" i="22"/>
  <c r="S96"/>
  <c r="S92"/>
  <c r="BO167" i="20"/>
  <c r="BO96"/>
  <c r="BO127"/>
  <c r="BX96"/>
  <c r="BX167"/>
  <c r="BX127"/>
  <c r="BP96"/>
  <c r="BP167"/>
  <c r="BP127"/>
  <c r="BY127"/>
  <c r="BY167"/>
  <c r="M167" s="1"/>
  <c r="BY96"/>
  <c r="BV159"/>
  <c r="BV183"/>
  <c r="BU159"/>
  <c r="BU183"/>
  <c r="BP183"/>
  <c r="BP159"/>
  <c r="BQ167"/>
  <c r="BQ127"/>
  <c r="BQ96"/>
  <c r="BV127"/>
  <c r="BV167"/>
  <c r="BV96"/>
  <c r="BR159"/>
  <c r="BR183"/>
  <c r="BW159"/>
  <c r="BW183"/>
  <c r="BN167"/>
  <c r="BN127"/>
  <c r="BZ94"/>
  <c r="BN96"/>
  <c r="F9" i="36"/>
  <c r="L40" i="94"/>
  <c r="N40" s="1"/>
  <c r="S98" i="22"/>
  <c r="M210" i="20"/>
  <c r="M300"/>
  <c r="M308" s="1"/>
  <c r="M310" s="1"/>
  <c r="M209" s="1"/>
  <c r="M129"/>
  <c r="L28" i="26"/>
  <c r="U96" i="48"/>
  <c r="M99" i="20"/>
  <c r="BO159"/>
  <c r="BO183"/>
  <c r="BQ183"/>
  <c r="BQ159"/>
  <c r="BY183"/>
  <c r="BY159"/>
  <c r="M155"/>
  <c r="BR127"/>
  <c r="BR96"/>
  <c r="BR167"/>
  <c r="BW167"/>
  <c r="BW96"/>
  <c r="BW127"/>
  <c r="BN183"/>
  <c r="BN159"/>
  <c r="BS127"/>
  <c r="BS96"/>
  <c r="BS167"/>
  <c r="BT183"/>
  <c r="BT159"/>
  <c r="BU96"/>
  <c r="BU167"/>
  <c r="BU127"/>
  <c r="BS61" i="18"/>
  <c r="AK75" i="89"/>
  <c r="M648" i="62"/>
  <c r="M657" s="1"/>
  <c r="AK21" i="89"/>
  <c r="AK60"/>
  <c r="L431" i="62"/>
  <c r="L440" s="1"/>
  <c r="BT35" i="18"/>
  <c r="AK36" i="89"/>
  <c r="BR55" i="18" l="1"/>
  <c r="Z74" i="89"/>
  <c r="L645" i="62"/>
  <c r="L654" s="1"/>
  <c r="Z20" i="89"/>
  <c r="BS29" i="18"/>
  <c r="Z35" i="89"/>
  <c r="W392" i="62"/>
  <c r="W401" s="1"/>
  <c r="Z59" i="89"/>
  <c r="BQ59" i="18"/>
  <c r="AJ73" i="89"/>
  <c r="AA124" i="48"/>
  <c r="AA123"/>
  <c r="AA120"/>
  <c r="V394" i="62"/>
  <c r="AJ58" i="89"/>
  <c r="AH149" i="48"/>
  <c r="AV149"/>
  <c r="AA149"/>
  <c r="AO123"/>
  <c r="AO120"/>
  <c r="AO88"/>
  <c r="AO124"/>
  <c r="AH54" i="89"/>
  <c r="AH52"/>
  <c r="AH177" i="48"/>
  <c r="AV177"/>
  <c r="AA177"/>
  <c r="AJ19" i="89"/>
  <c r="W611" i="62"/>
  <c r="AV65" i="48"/>
  <c r="AV49"/>
  <c r="AJ34" i="89"/>
  <c r="BR33" i="18"/>
  <c r="AV146" i="48"/>
  <c r="AH146"/>
  <c r="AA146"/>
  <c r="V372" i="39"/>
  <c r="V620" i="62"/>
  <c r="V375" i="39" s="1"/>
  <c r="AV205" i="48"/>
  <c r="AO184"/>
  <c r="AH124"/>
  <c r="AH122"/>
  <c r="AH123"/>
  <c r="AH120"/>
  <c r="AH125"/>
  <c r="U234" i="39"/>
  <c r="U403" i="62"/>
  <c r="U237" i="39" s="1"/>
  <c r="U388" i="62"/>
  <c r="N57" i="89"/>
  <c r="Y58"/>
  <c r="V391" i="62"/>
  <c r="M85" i="48"/>
  <c r="M119" s="1"/>
  <c r="L56" i="31"/>
  <c r="AA66" i="48"/>
  <c r="AA64"/>
  <c r="AA116" s="1"/>
  <c r="BQ39" i="18"/>
  <c r="BR23"/>
  <c r="O34" i="89"/>
  <c r="AA69" i="48"/>
  <c r="J62" i="77" s="1"/>
  <c r="AH93" i="48"/>
  <c r="L14" i="89"/>
  <c r="L12"/>
  <c r="T397" i="62"/>
  <c r="T235" i="39" s="1"/>
  <c r="T232"/>
  <c r="T410" i="62"/>
  <c r="T243" i="39" s="1"/>
  <c r="T409" i="62"/>
  <c r="T242" i="39" s="1"/>
  <c r="T414" i="62"/>
  <c r="T247" i="39" s="1"/>
  <c r="BQ49" i="18"/>
  <c r="BP65"/>
  <c r="O73" i="89"/>
  <c r="V389" i="62"/>
  <c r="V398" s="1"/>
  <c r="O58" i="89"/>
  <c r="W54"/>
  <c r="W52"/>
  <c r="M141" i="48"/>
  <c r="M180" s="1"/>
  <c r="M114"/>
  <c r="AO116"/>
  <c r="AO83"/>
  <c r="AO84"/>
  <c r="AO80"/>
  <c r="AH64"/>
  <c r="AH66"/>
  <c r="BQ53" i="18"/>
  <c r="Y73" i="89"/>
  <c r="AV23" i="48"/>
  <c r="BQ21" i="18"/>
  <c r="BP38"/>
  <c r="BP40" s="1"/>
  <c r="N33" i="89"/>
  <c r="BR27" i="18"/>
  <c r="Y34" i="89"/>
  <c r="L52"/>
  <c r="L54"/>
  <c r="V617" i="62"/>
  <c r="V374" i="39" s="1"/>
  <c r="V371"/>
  <c r="M107" i="48"/>
  <c r="M75"/>
  <c r="U614" i="62"/>
  <c r="U373" i="39" s="1"/>
  <c r="U370"/>
  <c r="U233"/>
  <c r="U400" i="62"/>
  <c r="U236" i="39" s="1"/>
  <c r="W606" i="62"/>
  <c r="W615" s="1"/>
  <c r="O19" i="89"/>
  <c r="K70" i="77"/>
  <c r="AO140" i="48"/>
  <c r="K69" i="77"/>
  <c r="AO130" i="48"/>
  <c r="AO110"/>
  <c r="AO73"/>
  <c r="AO108"/>
  <c r="AO67"/>
  <c r="AO112"/>
  <c r="AO131"/>
  <c r="AO104"/>
  <c r="AO113"/>
  <c r="AO126"/>
  <c r="M117"/>
  <c r="N72" i="89"/>
  <c r="BP47" i="18"/>
  <c r="BO64"/>
  <c r="BO66" s="1"/>
  <c r="Y19" i="89"/>
  <c r="W608" i="62"/>
  <c r="V605"/>
  <c r="N18" i="89"/>
  <c r="M627" i="62"/>
  <c r="M381" i="39" s="1"/>
  <c r="P627" i="62"/>
  <c r="P381" i="39" s="1"/>
  <c r="S627" i="62"/>
  <c r="S381" i="39" s="1"/>
  <c r="R627" i="62"/>
  <c r="R381" i="39" s="1"/>
  <c r="T627" i="62"/>
  <c r="T381" i="39" s="1"/>
  <c r="L627" i="62"/>
  <c r="L381" i="39" s="1"/>
  <c r="O627" i="62"/>
  <c r="O381" i="39" s="1"/>
  <c r="U627" i="62"/>
  <c r="U381" i="39" s="1"/>
  <c r="W591" i="62"/>
  <c r="W358" i="39" s="1"/>
  <c r="N627" i="62"/>
  <c r="N381" i="39" s="1"/>
  <c r="V591" i="62"/>
  <c r="V358" i="39" s="1"/>
  <c r="Q627" i="62"/>
  <c r="Q381" i="39" s="1"/>
  <c r="AV64" i="48"/>
  <c r="AV15"/>
  <c r="AV93"/>
  <c r="AA93"/>
  <c r="AV69"/>
  <c r="BW99" i="20"/>
  <c r="BW129"/>
  <c r="U99" i="48"/>
  <c r="U132" s="1"/>
  <c r="L34" i="26"/>
  <c r="L39" s="1"/>
  <c r="M132" i="20"/>
  <c r="M178"/>
  <c r="BQ129"/>
  <c r="BQ99"/>
  <c r="BP147"/>
  <c r="BQ145"/>
  <c r="BU99"/>
  <c r="BU129"/>
  <c r="BS99"/>
  <c r="BS129"/>
  <c r="BR99"/>
  <c r="BR129"/>
  <c r="BO129"/>
  <c r="BO99"/>
  <c r="BT99"/>
  <c r="BT129"/>
  <c r="L38" i="26"/>
  <c r="L40"/>
  <c r="T98" i="22"/>
  <c r="S99"/>
  <c r="U167" i="48"/>
  <c r="M166" i="20"/>
  <c r="M175"/>
  <c r="BP99"/>
  <c r="BP129"/>
  <c r="U155" i="48"/>
  <c r="M159" i="20"/>
  <c r="L27" i="76"/>
  <c r="BZ155" i="20"/>
  <c r="M183"/>
  <c r="U129" i="48"/>
  <c r="K58" i="77"/>
  <c r="G15"/>
  <c r="J45" s="1"/>
  <c r="BN99" i="20"/>
  <c r="BZ96"/>
  <c r="BN129"/>
  <c r="BV129"/>
  <c r="BV99"/>
  <c r="BY129"/>
  <c r="BY99"/>
  <c r="BX129"/>
  <c r="BX99"/>
  <c r="AK22" i="89"/>
  <c r="N648" i="62"/>
  <c r="N657" s="1"/>
  <c r="BT61" i="18"/>
  <c r="AK76" i="89"/>
  <c r="AK37"/>
  <c r="BU35" i="18"/>
  <c r="M431" i="62"/>
  <c r="M440" s="1"/>
  <c r="AK61" i="89"/>
  <c r="BT29" i="18" l="1"/>
  <c r="Z36" i="89"/>
  <c r="BS55" i="18"/>
  <c r="Z75" i="89"/>
  <c r="Z60"/>
  <c r="L428" i="62"/>
  <c r="L437" s="1"/>
  <c r="M645"/>
  <c r="M654" s="1"/>
  <c r="Z21" i="89"/>
  <c r="W394" i="62"/>
  <c r="AJ59" i="89"/>
  <c r="AO145" i="48"/>
  <c r="AH184"/>
  <c r="AV184"/>
  <c r="AJ20" i="89"/>
  <c r="L647" i="62"/>
  <c r="BS33" i="18"/>
  <c r="AJ35" i="89"/>
  <c r="W372" i="39"/>
  <c r="W620" i="62"/>
  <c r="W375" i="39" s="1"/>
  <c r="AO122" i="48"/>
  <c r="T415" i="62"/>
  <c r="T248" i="39" s="1"/>
  <c r="V379" i="62"/>
  <c r="V225" i="39" s="1"/>
  <c r="U415" i="62"/>
  <c r="U248" i="39" s="1"/>
  <c r="AH88" i="48"/>
  <c r="AH92" s="1"/>
  <c r="W379" i="62"/>
  <c r="W225" i="39" s="1"/>
  <c r="O415" i="62"/>
  <c r="O248" i="39" s="1"/>
  <c r="S415" i="62"/>
  <c r="S248" i="39" s="1"/>
  <c r="L415" i="62"/>
  <c r="L248" i="39" s="1"/>
  <c r="M415" i="62"/>
  <c r="M248" i="39" s="1"/>
  <c r="AV88" i="48"/>
  <c r="AV122" s="1"/>
  <c r="P415" i="62"/>
  <c r="P248" i="39" s="1"/>
  <c r="N415" i="62"/>
  <c r="N248" i="39" s="1"/>
  <c r="R415" i="62"/>
  <c r="R248" i="39" s="1"/>
  <c r="AA88" i="48"/>
  <c r="AA122" s="1"/>
  <c r="Q415" i="62"/>
  <c r="Q248" i="39" s="1"/>
  <c r="AO92" i="48"/>
  <c r="AJ74" i="89"/>
  <c r="BR59" i="18"/>
  <c r="AV120" i="48"/>
  <c r="AV123"/>
  <c r="AV124"/>
  <c r="V234" i="39"/>
  <c r="V403" i="62"/>
  <c r="V237" i="39" s="1"/>
  <c r="AV66" i="48"/>
  <c r="AV116"/>
  <c r="Y20" i="89"/>
  <c r="L644" i="62"/>
  <c r="M631"/>
  <c r="M385" i="39" s="1"/>
  <c r="P631" i="62"/>
  <c r="P385" i="39" s="1"/>
  <c r="S631" i="62"/>
  <c r="S385" i="39" s="1"/>
  <c r="L631" i="62"/>
  <c r="L385" i="39" s="1"/>
  <c r="O631" i="62"/>
  <c r="O385" i="39" s="1"/>
  <c r="R631" i="62"/>
  <c r="R385" i="39" s="1"/>
  <c r="U631" i="62"/>
  <c r="U385" i="39" s="1"/>
  <c r="W595" i="62"/>
  <c r="W362" i="39" s="1"/>
  <c r="N631" i="62"/>
  <c r="N385" i="39" s="1"/>
  <c r="Q631" i="62"/>
  <c r="Q385" i="39" s="1"/>
  <c r="T631" i="62"/>
  <c r="T385" i="39" s="1"/>
  <c r="V595" i="62"/>
  <c r="V362" i="39" s="1"/>
  <c r="AH73" i="48"/>
  <c r="AO107"/>
  <c r="AV73"/>
  <c r="AO75"/>
  <c r="AA73"/>
  <c r="AA107" s="1"/>
  <c r="AH140"/>
  <c r="AH169" s="1"/>
  <c r="AV140"/>
  <c r="AV169" s="1"/>
  <c r="AA140"/>
  <c r="AO179"/>
  <c r="Q624" i="62"/>
  <c r="Q378" i="39" s="1"/>
  <c r="T624" i="62"/>
  <c r="T378" i="39" s="1"/>
  <c r="V588" i="62"/>
  <c r="V355" i="39" s="1"/>
  <c r="M624" i="62"/>
  <c r="M378" i="39" s="1"/>
  <c r="P624" i="62"/>
  <c r="P378" i="39" s="1"/>
  <c r="S624" i="62"/>
  <c r="S378" i="39" s="1"/>
  <c r="M109" i="48"/>
  <c r="M77"/>
  <c r="L624" i="62"/>
  <c r="L378" i="39" s="1"/>
  <c r="O624" i="62"/>
  <c r="O378" i="39" s="1"/>
  <c r="R624" i="62"/>
  <c r="R378" i="39" s="1"/>
  <c r="U624" i="62"/>
  <c r="U378" i="39" s="1"/>
  <c r="W588" i="62"/>
  <c r="W355" i="39" s="1"/>
  <c r="N624" i="62"/>
  <c r="N378" i="39" s="1"/>
  <c r="AO114" i="48"/>
  <c r="AV80"/>
  <c r="AV114" s="1"/>
  <c r="AA80"/>
  <c r="AA114" s="1"/>
  <c r="AH80"/>
  <c r="AO141"/>
  <c r="Q626" i="62"/>
  <c r="Q380" i="39" s="1"/>
  <c r="W590" i="62"/>
  <c r="W357" i="39" s="1"/>
  <c r="U626" i="62"/>
  <c r="U380" i="39" s="1"/>
  <c r="R626" i="62"/>
  <c r="R380" i="39" s="1"/>
  <c r="L626" i="62"/>
  <c r="L380" i="39" s="1"/>
  <c r="T626" i="62"/>
  <c r="T380" i="39" s="1"/>
  <c r="S626" i="62"/>
  <c r="S380" i="39" s="1"/>
  <c r="O626" i="62"/>
  <c r="O380" i="39" s="1"/>
  <c r="N626" i="62"/>
  <c r="N380" i="39" s="1"/>
  <c r="P626" i="62"/>
  <c r="P380" i="39" s="1"/>
  <c r="M626" i="62"/>
  <c r="M380" i="39" s="1"/>
  <c r="V590" i="62"/>
  <c r="V357" i="39" s="1"/>
  <c r="W389" i="62"/>
  <c r="W398" s="1"/>
  <c r="O59" i="89"/>
  <c r="BQ65" i="18"/>
  <c r="BR49"/>
  <c r="O74" i="89"/>
  <c r="U410" i="62"/>
  <c r="U243" i="39" s="1"/>
  <c r="U232"/>
  <c r="U414" i="62"/>
  <c r="U247" i="39" s="1"/>
  <c r="U397" i="62"/>
  <c r="U235" i="39" s="1"/>
  <c r="U409" i="62"/>
  <c r="U242" i="39" s="1"/>
  <c r="W617" i="62"/>
  <c r="W374" i="39" s="1"/>
  <c r="W371"/>
  <c r="BS27" i="18"/>
  <c r="Y35" i="89"/>
  <c r="AH114" i="48"/>
  <c r="AH117"/>
  <c r="AH118"/>
  <c r="AH119"/>
  <c r="AH116"/>
  <c r="BS23" i="18"/>
  <c r="BR39"/>
  <c r="O35" i="89"/>
  <c r="N58"/>
  <c r="V388" i="62"/>
  <c r="V614"/>
  <c r="V373" i="39" s="1"/>
  <c r="V370"/>
  <c r="N73" i="89"/>
  <c r="BQ47" i="18"/>
  <c r="BP64"/>
  <c r="BP66" s="1"/>
  <c r="O20" i="89"/>
  <c r="L642" i="62"/>
  <c r="L651" s="1"/>
  <c r="N34" i="89"/>
  <c r="BQ38" i="18"/>
  <c r="BQ40" s="1"/>
  <c r="BR21"/>
  <c r="AH109" i="48"/>
  <c r="AH132"/>
  <c r="AH130"/>
  <c r="AH110"/>
  <c r="J65" i="77"/>
  <c r="AH108" i="48"/>
  <c r="AH126"/>
  <c r="AH112"/>
  <c r="L206" i="20"/>
  <c r="AH111" i="48"/>
  <c r="AH129"/>
  <c r="AH104"/>
  <c r="AH67"/>
  <c r="I91" i="22"/>
  <c r="AH107" i="48"/>
  <c r="AH131"/>
  <c r="AH113"/>
  <c r="AH127"/>
  <c r="AO117"/>
  <c r="AO85"/>
  <c r="AH83"/>
  <c r="Q56" i="31"/>
  <c r="AA83" i="48"/>
  <c r="AA117" s="1"/>
  <c r="AV83"/>
  <c r="AV117" s="1"/>
  <c r="AA104"/>
  <c r="AA126"/>
  <c r="J61" i="77"/>
  <c r="AA67" i="48"/>
  <c r="AA130"/>
  <c r="AA108"/>
  <c r="AA113"/>
  <c r="AA112"/>
  <c r="AA110"/>
  <c r="AA131"/>
  <c r="Y59" i="89"/>
  <c r="W391" i="62"/>
  <c r="Y358" i="39"/>
  <c r="W605" i="62"/>
  <c r="N19" i="89"/>
  <c r="W586" i="62"/>
  <c r="W353" i="39" s="1"/>
  <c r="N622" i="62"/>
  <c r="N376" i="39" s="1"/>
  <c r="U622" i="62"/>
  <c r="U376" i="39" s="1"/>
  <c r="V586" i="62"/>
  <c r="V353" i="39" s="1"/>
  <c r="Q622" i="62"/>
  <c r="Q376" i="39" s="1"/>
  <c r="T622" i="62"/>
  <c r="T376" i="39" s="1"/>
  <c r="S622" i="62"/>
  <c r="S376" i="39" s="1"/>
  <c r="M622" i="62"/>
  <c r="M376" i="39" s="1"/>
  <c r="P622" i="62"/>
  <c r="P376" i="39" s="1"/>
  <c r="O622" i="62"/>
  <c r="O376" i="39" s="1"/>
  <c r="R622" i="62"/>
  <c r="R376" i="39" s="1"/>
  <c r="L622" i="62"/>
  <c r="L376" i="39" s="1"/>
  <c r="Y74" i="89"/>
  <c r="BR53" i="18"/>
  <c r="AH84" i="48"/>
  <c r="AA84"/>
  <c r="AA118" s="1"/>
  <c r="AO118"/>
  <c r="AV84"/>
  <c r="AV118" s="1"/>
  <c r="V400" i="62"/>
  <c r="V236" i="39" s="1"/>
  <c r="V233"/>
  <c r="BX178" i="20"/>
  <c r="BX184" s="1"/>
  <c r="BX132"/>
  <c r="BV178"/>
  <c r="BV184" s="1"/>
  <c r="BV132"/>
  <c r="BN178"/>
  <c r="BN132"/>
  <c r="BZ183"/>
  <c r="U181" i="48"/>
  <c r="L33" i="94"/>
  <c r="N33" s="1"/>
  <c r="L27" i="66"/>
  <c r="N27" s="1"/>
  <c r="BS178" i="20"/>
  <c r="BS184" s="1"/>
  <c r="BS132"/>
  <c r="BW178"/>
  <c r="BW184" s="1"/>
  <c r="BW132"/>
  <c r="L30" i="76"/>
  <c r="U159" i="48"/>
  <c r="BZ159" i="20"/>
  <c r="BP178"/>
  <c r="BP184" s="1"/>
  <c r="BP132"/>
  <c r="BO178"/>
  <c r="BO184" s="1"/>
  <c r="BO132"/>
  <c r="BR145"/>
  <c r="BQ147"/>
  <c r="L29" i="94"/>
  <c r="N29" s="1"/>
  <c r="L22" i="66"/>
  <c r="U176" i="48"/>
  <c r="M184" i="20"/>
  <c r="BZ99"/>
  <c r="BY178"/>
  <c r="BY184" s="1"/>
  <c r="BY132"/>
  <c r="BT178"/>
  <c r="BT184" s="1"/>
  <c r="BT132"/>
  <c r="BR132"/>
  <c r="BR178"/>
  <c r="BR184" s="1"/>
  <c r="BU178"/>
  <c r="BU184" s="1"/>
  <c r="BU132"/>
  <c r="BQ178"/>
  <c r="BQ184" s="1"/>
  <c r="BQ132"/>
  <c r="O648" i="62"/>
  <c r="O657" s="1"/>
  <c r="AK23" i="89"/>
  <c r="N431" i="62"/>
  <c r="N440" s="1"/>
  <c r="AK62" i="89"/>
  <c r="BV35" i="18"/>
  <c r="AK38" i="89"/>
  <c r="AK77"/>
  <c r="BU61" i="18"/>
  <c r="M428" i="62" l="1"/>
  <c r="M437" s="1"/>
  <c r="Z61" i="89"/>
  <c r="BU29" i="18"/>
  <c r="Z37" i="89"/>
  <c r="Z76"/>
  <c r="BT55" i="18"/>
  <c r="N645" i="62"/>
  <c r="N654" s="1"/>
  <c r="Z22" i="89"/>
  <c r="L656" i="62"/>
  <c r="L398" i="39" s="1"/>
  <c r="L395"/>
  <c r="AH145" i="48"/>
  <c r="AV145"/>
  <c r="AA145"/>
  <c r="AA147" s="1"/>
  <c r="AO147"/>
  <c r="AO125"/>
  <c r="AV92"/>
  <c r="AV125" s="1"/>
  <c r="AA92"/>
  <c r="AA125" s="1"/>
  <c r="BT33" i="18"/>
  <c r="AJ36" i="89"/>
  <c r="W403" i="62"/>
  <c r="W237" i="39" s="1"/>
  <c r="W234"/>
  <c r="BS59" i="18"/>
  <c r="AJ75" i="89"/>
  <c r="AJ21"/>
  <c r="M647" i="62"/>
  <c r="L430"/>
  <c r="AJ60" i="89"/>
  <c r="Y362" i="39"/>
  <c r="Y357"/>
  <c r="W614" i="62"/>
  <c r="W373" i="39" s="1"/>
  <c r="W370"/>
  <c r="BT27" i="18"/>
  <c r="Y36" i="89"/>
  <c r="M94" i="48"/>
  <c r="M156"/>
  <c r="M111"/>
  <c r="AV179"/>
  <c r="AH179"/>
  <c r="AV131"/>
  <c r="AV113"/>
  <c r="AV67"/>
  <c r="AV112"/>
  <c r="AV108"/>
  <c r="AV110"/>
  <c r="AV130"/>
  <c r="AV104"/>
  <c r="AV107"/>
  <c r="AV126"/>
  <c r="N20" i="89"/>
  <c r="L641" i="62"/>
  <c r="L427"/>
  <c r="Y60" i="89"/>
  <c r="AA85" i="48"/>
  <c r="AA119" s="1"/>
  <c r="AV85"/>
  <c r="AV119" s="1"/>
  <c r="AO119"/>
  <c r="N35" i="89"/>
  <c r="BS21" i="18"/>
  <c r="BR38"/>
  <c r="BR40" s="1"/>
  <c r="O21" i="89"/>
  <c r="M642" i="62"/>
  <c r="M651" s="1"/>
  <c r="O60" i="89"/>
  <c r="L425" i="62"/>
  <c r="L434" s="1"/>
  <c r="O405"/>
  <c r="O238" i="39" s="1"/>
  <c r="R405" i="62"/>
  <c r="R238" i="39" s="1"/>
  <c r="V369" i="62"/>
  <c r="V215" i="39" s="1"/>
  <c r="T405" i="62"/>
  <c r="T238" i="39" s="1"/>
  <c r="Q405" i="62"/>
  <c r="Q238" i="39" s="1"/>
  <c r="L405" i="62"/>
  <c r="L238" i="39" s="1"/>
  <c r="S405" i="62"/>
  <c r="S238" i="39" s="1"/>
  <c r="W369" i="62"/>
  <c r="W215" i="39" s="1"/>
  <c r="N405" i="62"/>
  <c r="N238" i="39" s="1"/>
  <c r="M405" i="62"/>
  <c r="M238" i="39" s="1"/>
  <c r="P405" i="62"/>
  <c r="P238" i="39" s="1"/>
  <c r="U405" i="62"/>
  <c r="U238" i="39" s="1"/>
  <c r="Y353"/>
  <c r="W233"/>
  <c r="W400" i="62"/>
  <c r="W236" i="39" s="1"/>
  <c r="W388" i="62"/>
  <c r="N59" i="89"/>
  <c r="M644" i="62"/>
  <c r="Y21" i="89"/>
  <c r="AH85" i="48"/>
  <c r="Y75" i="89"/>
  <c r="BS53" i="18"/>
  <c r="BQ64"/>
  <c r="BQ66" s="1"/>
  <c r="BR47"/>
  <c r="N74" i="89"/>
  <c r="V397" i="62"/>
  <c r="V235" i="39" s="1"/>
  <c r="V232"/>
  <c r="V410" i="62"/>
  <c r="V243" i="39" s="1"/>
  <c r="V414" i="62"/>
  <c r="V247" i="39" s="1"/>
  <c r="V409" i="62"/>
  <c r="V242" i="39" s="1"/>
  <c r="BT23" i="18"/>
  <c r="BS39"/>
  <c r="O36" i="89"/>
  <c r="BR65" i="18"/>
  <c r="O75" i="89"/>
  <c r="BS49" i="18"/>
  <c r="AH141" i="48"/>
  <c r="AH170" s="1"/>
  <c r="AO180"/>
  <c r="AA141"/>
  <c r="AV141"/>
  <c r="AV170" s="1"/>
  <c r="AA179"/>
  <c r="AA169"/>
  <c r="AO77"/>
  <c r="S407" i="62"/>
  <c r="S240" i="39" s="1"/>
  <c r="N407" i="62"/>
  <c r="N240" i="39" s="1"/>
  <c r="M407" i="62"/>
  <c r="M240" i="39" s="1"/>
  <c r="AA75" i="48"/>
  <c r="AA109" s="1"/>
  <c r="U407" i="62"/>
  <c r="U240" i="39" s="1"/>
  <c r="AH75" i="48"/>
  <c r="AH77" s="1"/>
  <c r="R407" i="62"/>
  <c r="R240" i="39" s="1"/>
  <c r="Q407" i="62"/>
  <c r="Q240" i="39" s="1"/>
  <c r="L407" i="62"/>
  <c r="L240" i="39" s="1"/>
  <c r="V371" i="62"/>
  <c r="V217" i="39" s="1"/>
  <c r="AO109" i="48"/>
  <c r="O407" i="62"/>
  <c r="O240" i="39" s="1"/>
  <c r="W371" i="62"/>
  <c r="W217" i="39" s="1"/>
  <c r="T407" i="62"/>
  <c r="T240" i="39" s="1"/>
  <c r="AV75" i="48"/>
  <c r="AV109" s="1"/>
  <c r="P407" i="62"/>
  <c r="P240" i="39" s="1"/>
  <c r="L653" i="62"/>
  <c r="L397" i="39" s="1"/>
  <c r="L394"/>
  <c r="Y355"/>
  <c r="L35" i="66"/>
  <c r="N22"/>
  <c r="BN184" i="20"/>
  <c r="BZ178"/>
  <c r="BR147"/>
  <c r="BS145"/>
  <c r="BZ184"/>
  <c r="U182" i="48"/>
  <c r="O431" i="62"/>
  <c r="O440" s="1"/>
  <c r="AK63" i="89"/>
  <c r="AK78"/>
  <c r="BV61" i="18"/>
  <c r="AK39" i="89"/>
  <c r="BW35" i="18"/>
  <c r="P648" i="62"/>
  <c r="P657" s="1"/>
  <c r="AK24" i="89"/>
  <c r="Z23" l="1"/>
  <c r="O645" i="62"/>
  <c r="O654" s="1"/>
  <c r="BU55" i="18"/>
  <c r="Z77" i="89"/>
  <c r="N428" i="62"/>
  <c r="N437" s="1"/>
  <c r="Z62" i="89"/>
  <c r="BV29" i="18"/>
  <c r="Z38" i="89"/>
  <c r="M430" i="62"/>
  <c r="AJ61" i="89"/>
  <c r="N647" i="62"/>
  <c r="AJ22" i="89"/>
  <c r="M656" i="62"/>
  <c r="M398" i="39" s="1"/>
  <c r="M395"/>
  <c r="L439" i="62"/>
  <c r="L260" i="39" s="1"/>
  <c r="L257"/>
  <c r="AJ76" i="89"/>
  <c r="BT59" i="18"/>
  <c r="AJ37" i="89"/>
  <c r="BU33" i="18"/>
  <c r="AH147" i="48"/>
  <c r="AV147"/>
  <c r="AH94"/>
  <c r="O76" i="89"/>
  <c r="BS65" i="18"/>
  <c r="BT49"/>
  <c r="BR64"/>
  <c r="BR66" s="1"/>
  <c r="BS47"/>
  <c r="N75" i="89"/>
  <c r="W397" i="62"/>
  <c r="W235" i="39" s="1"/>
  <c r="W232"/>
  <c r="W414" i="62"/>
  <c r="W247" i="39" s="1"/>
  <c r="W409" i="62"/>
  <c r="W242" i="39" s="1"/>
  <c r="W410" i="62"/>
  <c r="W243" i="39" s="1"/>
  <c r="L393"/>
  <c r="L650" i="62"/>
  <c r="L396" i="39" s="1"/>
  <c r="M127" i="48"/>
  <c r="M139"/>
  <c r="M155"/>
  <c r="M96"/>
  <c r="N60" i="89"/>
  <c r="L424" i="62"/>
  <c r="N642"/>
  <c r="N651" s="1"/>
  <c r="O22" i="89"/>
  <c r="L256" i="39"/>
  <c r="L436" i="62"/>
  <c r="L259" i="39" s="1"/>
  <c r="AH156" i="48"/>
  <c r="AH172" s="1"/>
  <c r="AV180"/>
  <c r="AH180"/>
  <c r="BT53" i="18"/>
  <c r="Y76" i="89"/>
  <c r="M394" i="39"/>
  <c r="M653" i="62"/>
  <c r="M397" i="39" s="1"/>
  <c r="Y61" i="89"/>
  <c r="M427" i="62"/>
  <c r="BU27" i="18"/>
  <c r="Y37" i="89"/>
  <c r="AV77" i="48"/>
  <c r="AV111" s="1"/>
  <c r="AO94"/>
  <c r="AO156"/>
  <c r="AO111"/>
  <c r="AA77"/>
  <c r="AA180"/>
  <c r="AA170"/>
  <c r="BU23" i="18"/>
  <c r="BT39"/>
  <c r="O37" i="89"/>
  <c r="N644" i="62"/>
  <c r="Y22" i="89"/>
  <c r="M425" i="62"/>
  <c r="M434" s="1"/>
  <c r="O61" i="89"/>
  <c r="BS38" i="18"/>
  <c r="BS40" s="1"/>
  <c r="N36" i="89"/>
  <c r="BT21" i="18"/>
  <c r="M641" i="62"/>
  <c r="N21" i="89"/>
  <c r="N35" i="66"/>
  <c r="N60" s="1"/>
  <c r="L60"/>
  <c r="G61" s="1"/>
  <c r="L41"/>
  <c r="G62"/>
  <c r="BS147" i="20"/>
  <c r="BT145"/>
  <c r="BT168"/>
  <c r="BT169" s="1"/>
  <c r="BY168"/>
  <c r="BN168"/>
  <c r="BN169" s="1"/>
  <c r="BO168"/>
  <c r="BO169" s="1"/>
  <c r="BV168"/>
  <c r="BV169" s="1"/>
  <c r="BR168"/>
  <c r="BR169" s="1"/>
  <c r="BU168"/>
  <c r="BU169" s="1"/>
  <c r="BS168"/>
  <c r="BS169" s="1"/>
  <c r="BQ168"/>
  <c r="BQ169" s="1"/>
  <c r="BW168"/>
  <c r="BW169" s="1"/>
  <c r="BX168"/>
  <c r="BX169" s="1"/>
  <c r="BP168"/>
  <c r="BP169" s="1"/>
  <c r="AK40" i="89"/>
  <c r="BX35" i="18"/>
  <c r="AK79" i="89"/>
  <c r="BW61" i="18"/>
  <c r="Q648" i="62"/>
  <c r="Q657" s="1"/>
  <c r="AK25" i="89"/>
  <c r="P431" i="62"/>
  <c r="P440" s="1"/>
  <c r="AK64" i="89"/>
  <c r="Z24" l="1"/>
  <c r="P645" i="62"/>
  <c r="P654" s="1"/>
  <c r="Z63" i="89"/>
  <c r="O428" i="62"/>
  <c r="O437" s="1"/>
  <c r="Z39" i="89"/>
  <c r="BW29" i="18"/>
  <c r="BV55"/>
  <c r="Z78" i="89"/>
  <c r="N656" i="62"/>
  <c r="N398" i="39" s="1"/>
  <c r="N395"/>
  <c r="BV33" i="18"/>
  <c r="AJ38" i="89"/>
  <c r="O647" i="62"/>
  <c r="AJ23" i="89"/>
  <c r="M439" i="62"/>
  <c r="M260" i="39" s="1"/>
  <c r="M257"/>
  <c r="AJ77" i="89"/>
  <c r="BU59" i="18"/>
  <c r="N430" i="62"/>
  <c r="AJ62" i="89"/>
  <c r="N641" i="62"/>
  <c r="N22" i="89"/>
  <c r="N653" i="62"/>
  <c r="N397" i="39" s="1"/>
  <c r="N394"/>
  <c r="AV156" i="48"/>
  <c r="AV172" s="1"/>
  <c r="AA156"/>
  <c r="AA172" s="1"/>
  <c r="BV27" i="18"/>
  <c r="Y38" i="89"/>
  <c r="O23"/>
  <c r="O642" i="62"/>
  <c r="O651" s="1"/>
  <c r="M99" i="48"/>
  <c r="J54" i="77"/>
  <c r="H8" i="36"/>
  <c r="M129" i="48"/>
  <c r="BT47" i="18"/>
  <c r="BS64"/>
  <c r="BS66" s="1"/>
  <c r="N76" i="89"/>
  <c r="Y23"/>
  <c r="O644" i="62"/>
  <c r="BU39" i="18"/>
  <c r="BV23"/>
  <c r="O38" i="89"/>
  <c r="M424" i="62"/>
  <c r="N61" i="89"/>
  <c r="BU21" i="18"/>
  <c r="BT38"/>
  <c r="BT40" s="1"/>
  <c r="N37" i="89"/>
  <c r="AA111" i="48"/>
  <c r="AA94"/>
  <c r="AA127" s="1"/>
  <c r="N427" i="62"/>
  <c r="Y62" i="89"/>
  <c r="Y77"/>
  <c r="BU53" i="18"/>
  <c r="L255" i="39"/>
  <c r="L450" i="62"/>
  <c r="L270" i="39" s="1"/>
  <c r="L445" i="62"/>
  <c r="L265" i="39" s="1"/>
  <c r="L433" i="62"/>
  <c r="L258" i="39" s="1"/>
  <c r="L446" i="62"/>
  <c r="L266" i="39" s="1"/>
  <c r="M191" i="48"/>
  <c r="M143"/>
  <c r="O77" i="89"/>
  <c r="BU49" i="18"/>
  <c r="BT65"/>
  <c r="M393" i="39"/>
  <c r="M650" i="62"/>
  <c r="M396" i="39" s="1"/>
  <c r="N425" i="62"/>
  <c r="N434" s="1"/>
  <c r="O62" i="89"/>
  <c r="AO96" i="48"/>
  <c r="AV94"/>
  <c r="AV127" s="1"/>
  <c r="AO155"/>
  <c r="AH155" s="1"/>
  <c r="AH171" s="1"/>
  <c r="AO139"/>
  <c r="AO127"/>
  <c r="M436" i="62"/>
  <c r="M259" i="39" s="1"/>
  <c r="M256"/>
  <c r="M159" i="48"/>
  <c r="M181"/>
  <c r="BT147" i="20"/>
  <c r="BU145"/>
  <c r="N41" i="66"/>
  <c r="I25" i="86"/>
  <c r="D27" s="1"/>
  <c r="BY170" i="20"/>
  <c r="BX170" s="1"/>
  <c r="BW170" s="1"/>
  <c r="BV170" s="1"/>
  <c r="BU170" s="1"/>
  <c r="BT170" s="1"/>
  <c r="BS170" s="1"/>
  <c r="BR170" s="1"/>
  <c r="BQ170" s="1"/>
  <c r="BP170" s="1"/>
  <c r="BO170" s="1"/>
  <c r="BN170" s="1"/>
  <c r="BM170" s="1"/>
  <c r="BL170" s="1"/>
  <c r="BK170" s="1"/>
  <c r="BJ170" s="1"/>
  <c r="BI170" s="1"/>
  <c r="BH170" s="1"/>
  <c r="BG170" s="1"/>
  <c r="BF170" s="1"/>
  <c r="BE170" s="1"/>
  <c r="BD170" s="1"/>
  <c r="BC170" s="1"/>
  <c r="BB170" s="1"/>
  <c r="BA170" s="1"/>
  <c r="AZ170" s="1"/>
  <c r="AY170" s="1"/>
  <c r="AX170" s="1"/>
  <c r="AW170" s="1"/>
  <c r="AV170" s="1"/>
  <c r="AU170" s="1"/>
  <c r="AT170" s="1"/>
  <c r="AS170" s="1"/>
  <c r="AR170" s="1"/>
  <c r="AQ170" s="1"/>
  <c r="AP170" s="1"/>
  <c r="AO170" s="1"/>
  <c r="AN170" s="1"/>
  <c r="AM170" s="1"/>
  <c r="AL170" s="1"/>
  <c r="AK170" s="1"/>
  <c r="AJ170" s="1"/>
  <c r="M168"/>
  <c r="U168" i="48" s="1"/>
  <c r="BY169" i="20"/>
  <c r="H169" s="1"/>
  <c r="AK41" i="89"/>
  <c r="BY35" i="18"/>
  <c r="Q431" i="62"/>
  <c r="Q440" s="1"/>
  <c r="AK65" i="89"/>
  <c r="R648" i="62"/>
  <c r="R657" s="1"/>
  <c r="AK26" i="89"/>
  <c r="AK80"/>
  <c r="BX61" i="18"/>
  <c r="Z25" i="89" l="1"/>
  <c r="Q645" i="62"/>
  <c r="Q654" s="1"/>
  <c r="BX29" i="18"/>
  <c r="Z40" i="89"/>
  <c r="Z79"/>
  <c r="BW55" i="18"/>
  <c r="Z64" i="89"/>
  <c r="P428" i="62"/>
  <c r="P437" s="1"/>
  <c r="N439"/>
  <c r="N260" i="39" s="1"/>
  <c r="N257"/>
  <c r="BW33" i="18"/>
  <c r="AJ39" i="89"/>
  <c r="AJ63"/>
  <c r="O430" i="62"/>
  <c r="O656"/>
  <c r="O398" i="39" s="1"/>
  <c r="O395"/>
  <c r="BV59" i="18"/>
  <c r="AJ78" i="89"/>
  <c r="AJ24"/>
  <c r="P647" i="62"/>
  <c r="AO143" i="48"/>
  <c r="AO151" s="1"/>
  <c r="AO191"/>
  <c r="AO192" s="1"/>
  <c r="AP190" s="1"/>
  <c r="O425" i="62"/>
  <c r="O434" s="1"/>
  <c r="O63" i="89"/>
  <c r="M151" i="48"/>
  <c r="N424" i="62"/>
  <c r="N62" i="89"/>
  <c r="O24"/>
  <c r="P642" i="62"/>
  <c r="P651" s="1"/>
  <c r="N393" i="39"/>
  <c r="N650" i="62"/>
  <c r="N396" i="39" s="1"/>
  <c r="AO99" i="48"/>
  <c r="G11" i="77"/>
  <c r="H44" s="1"/>
  <c r="AA96" i="48"/>
  <c r="AV96"/>
  <c r="AV129" s="1"/>
  <c r="G8" i="36"/>
  <c r="K71" i="77"/>
  <c r="AO129" i="48"/>
  <c r="Y78" i="89"/>
  <c r="BV53" i="18"/>
  <c r="BV21"/>
  <c r="N38" i="89"/>
  <c r="BU38" i="18"/>
  <c r="BU40" s="1"/>
  <c r="O39" i="89"/>
  <c r="BW23" i="18"/>
  <c r="BV39"/>
  <c r="N23" i="89"/>
  <c r="O641" i="62"/>
  <c r="AH139" i="48"/>
  <c r="N436" i="62"/>
  <c r="N259" i="39" s="1"/>
  <c r="N256"/>
  <c r="P644" i="62"/>
  <c r="Y24" i="89"/>
  <c r="M132" i="48"/>
  <c r="M176"/>
  <c r="Y39" i="89"/>
  <c r="BW27" i="18"/>
  <c r="AH96" i="48"/>
  <c r="AA155"/>
  <c r="AV155"/>
  <c r="AV171" s="1"/>
  <c r="AO181"/>
  <c r="AV181" s="1"/>
  <c r="AO159"/>
  <c r="AV159" s="1"/>
  <c r="BV49" i="18"/>
  <c r="O78" i="89"/>
  <c r="BU65" i="18"/>
  <c r="M192" i="48"/>
  <c r="Y63" i="89"/>
  <c r="O427" i="62"/>
  <c r="M445"/>
  <c r="M265" i="39" s="1"/>
  <c r="M446" i="62"/>
  <c r="M266" i="39" s="1"/>
  <c r="M433" i="62"/>
  <c r="M258" i="39" s="1"/>
  <c r="M255"/>
  <c r="M450" i="62"/>
  <c r="M270" i="39" s="1"/>
  <c r="O394"/>
  <c r="O653" i="62"/>
  <c r="O397" i="39" s="1"/>
  <c r="BT64" i="18"/>
  <c r="BT66" s="1"/>
  <c r="N77" i="89"/>
  <c r="BU47" i="18"/>
  <c r="AI170" i="20"/>
  <c r="G11" i="66"/>
  <c r="I11" s="1"/>
  <c r="G12" i="81"/>
  <c r="Z11" i="94"/>
  <c r="Z15" s="1"/>
  <c r="AA11" s="1"/>
  <c r="G11" s="1"/>
  <c r="BV145" i="20"/>
  <c r="BU147"/>
  <c r="AK27" i="89"/>
  <c r="S648" i="62"/>
  <c r="S657" s="1"/>
  <c r="R431"/>
  <c r="R440" s="1"/>
  <c r="AK66" i="89"/>
  <c r="AK81"/>
  <c r="BY61" i="18"/>
  <c r="AK42" i="89"/>
  <c r="AK43" s="1"/>
  <c r="BZ35" i="18"/>
  <c r="N53" i="48"/>
  <c r="Z26" i="89" l="1"/>
  <c r="R645" i="62"/>
  <c r="R654" s="1"/>
  <c r="Z80" i="89"/>
  <c r="BX55" i="18"/>
  <c r="Z65" i="89"/>
  <c r="Q428" i="62"/>
  <c r="Q437" s="1"/>
  <c r="BY29" i="18"/>
  <c r="Z41" i="89"/>
  <c r="AH151" i="48"/>
  <c r="AJ25" i="89"/>
  <c r="Q647" i="62"/>
  <c r="AJ40" i="89"/>
  <c r="BX33" i="18"/>
  <c r="P395" i="39"/>
  <c r="P656" i="62"/>
  <c r="P398" i="39" s="1"/>
  <c r="BW59" i="18"/>
  <c r="AJ79" i="89"/>
  <c r="P430" i="62"/>
  <c r="AJ64" i="89"/>
  <c r="O257" i="39"/>
  <c r="O439" i="62"/>
  <c r="O260" i="39" s="1"/>
  <c r="AH191" i="48"/>
  <c r="AH181"/>
  <c r="AH143"/>
  <c r="AH192"/>
  <c r="N190"/>
  <c r="AI190" s="1"/>
  <c r="J67" i="77"/>
  <c r="AH99" i="48"/>
  <c r="P641" i="62"/>
  <c r="N24" i="89"/>
  <c r="Q642" i="62"/>
  <c r="Q651" s="1"/>
  <c r="O25" i="89"/>
  <c r="AH159" i="48"/>
  <c r="N78" i="89"/>
  <c r="BU64" i="18"/>
  <c r="BU66" s="1"/>
  <c r="BV47"/>
  <c r="O79" i="89"/>
  <c r="BW49" i="18"/>
  <c r="BV65"/>
  <c r="AA171" i="48"/>
  <c r="AA181"/>
  <c r="AA159"/>
  <c r="M182"/>
  <c r="O650" i="62"/>
  <c r="O396" i="39" s="1"/>
  <c r="O393"/>
  <c r="Y79" i="89"/>
  <c r="BW53" i="18"/>
  <c r="AO132" i="48"/>
  <c r="AV99"/>
  <c r="AV132" s="1"/>
  <c r="AO176"/>
  <c r="Y64" i="89"/>
  <c r="P427" i="62"/>
  <c r="P653"/>
  <c r="P397" i="39" s="1"/>
  <c r="P394"/>
  <c r="BX23" i="18"/>
  <c r="BW39"/>
  <c r="O40" i="89"/>
  <c r="N39"/>
  <c r="BW21" i="18"/>
  <c r="BV38"/>
  <c r="BV40" s="1"/>
  <c r="N433" i="62"/>
  <c r="N258" i="39" s="1"/>
  <c r="N255"/>
  <c r="N450" i="62"/>
  <c r="N270" i="39" s="1"/>
  <c r="N445" i="62"/>
  <c r="N265" i="39" s="1"/>
  <c r="N446" i="62"/>
  <c r="N266" i="39" s="1"/>
  <c r="O256"/>
  <c r="O436" i="62"/>
  <c r="O259" i="39" s="1"/>
  <c r="Y40" i="89"/>
  <c r="BX27" i="18"/>
  <c r="Q644" i="62"/>
  <c r="Y25" i="89"/>
  <c r="AA129" i="48"/>
  <c r="J63" i="77"/>
  <c r="AA99" i="48"/>
  <c r="AA249"/>
  <c r="N63" i="89"/>
  <c r="O424" i="62"/>
  <c r="P425"/>
  <c r="P434" s="1"/>
  <c r="O64" i="89"/>
  <c r="F32" i="101"/>
  <c r="R55" i="94"/>
  <c r="D54" s="1"/>
  <c r="I11"/>
  <c r="G34" s="1"/>
  <c r="BW145" i="20"/>
  <c r="BV147"/>
  <c r="AH170"/>
  <c r="G16" i="81"/>
  <c r="G38"/>
  <c r="N56" i="48"/>
  <c r="N58"/>
  <c r="AK67" i="89"/>
  <c r="S431" i="62"/>
  <c r="S440" s="1"/>
  <c r="BZ61" i="18"/>
  <c r="AK82" i="89"/>
  <c r="AK83" s="1"/>
  <c r="AP53" i="48"/>
  <c r="AI53" s="1"/>
  <c r="AI58" s="1"/>
  <c r="AK28" i="89"/>
  <c r="T648" i="62"/>
  <c r="T657" s="1"/>
  <c r="Z66" i="89" l="1"/>
  <c r="R428" i="62"/>
  <c r="R437" s="1"/>
  <c r="Z27" i="89"/>
  <c r="S645" i="62"/>
  <c r="S654" s="1"/>
  <c r="Z42" i="89"/>
  <c r="Z43" s="1"/>
  <c r="N36" i="48"/>
  <c r="BZ29" i="18"/>
  <c r="BY55"/>
  <c r="Z81" i="89"/>
  <c r="BX59" i="18"/>
  <c r="AJ80" i="89"/>
  <c r="BY33" i="18"/>
  <c r="AJ41" i="89"/>
  <c r="P439" i="62"/>
  <c r="P260" i="39" s="1"/>
  <c r="P257"/>
  <c r="R647" i="62"/>
  <c r="AJ26" i="89"/>
  <c r="Q430" i="62"/>
  <c r="AJ65" i="89"/>
  <c r="Q656" i="62"/>
  <c r="Q398" i="39" s="1"/>
  <c r="Q395"/>
  <c r="N64" i="89"/>
  <c r="P424" i="62"/>
  <c r="P256" i="39"/>
  <c r="P436" i="62"/>
  <c r="P259" i="39" s="1"/>
  <c r="P650" i="62"/>
  <c r="P396" i="39" s="1"/>
  <c r="P393"/>
  <c r="O433" i="62"/>
  <c r="O258" i="39" s="1"/>
  <c r="O446" i="62"/>
  <c r="O266" i="39" s="1"/>
  <c r="O255"/>
  <c r="O450" i="62"/>
  <c r="O270" i="39" s="1"/>
  <c r="O445" i="62"/>
  <c r="O265" i="39" s="1"/>
  <c r="BY27" i="18"/>
  <c r="Y41" i="89"/>
  <c r="BX49" i="18"/>
  <c r="O80" i="89"/>
  <c r="BW65" i="18"/>
  <c r="N25" i="89"/>
  <c r="Q641" i="62"/>
  <c r="AA132" i="48"/>
  <c r="AA176"/>
  <c r="AA182" s="1"/>
  <c r="Q653" i="62"/>
  <c r="Q397" i="39" s="1"/>
  <c r="Q394"/>
  <c r="AV176" i="48"/>
  <c r="AO182"/>
  <c r="AH176"/>
  <c r="O65" i="89"/>
  <c r="Q425" i="62"/>
  <c r="Q434" s="1"/>
  <c r="R644"/>
  <c r="Y26" i="89"/>
  <c r="BW38" i="18"/>
  <c r="BW40" s="1"/>
  <c r="N40" i="89"/>
  <c r="BX21" i="18"/>
  <c r="O41" i="89"/>
  <c r="BX39" i="18"/>
  <c r="BY23"/>
  <c r="Q427" i="62"/>
  <c r="Y65" i="89"/>
  <c r="BX53" i="18"/>
  <c r="Y80" i="89"/>
  <c r="AH182" i="48"/>
  <c r="M187"/>
  <c r="BW47" i="18"/>
  <c r="BV64"/>
  <c r="BV66" s="1"/>
  <c r="N79" i="89"/>
  <c r="R642" i="62"/>
  <c r="R651" s="1"/>
  <c r="O26" i="89"/>
  <c r="BW147" i="20"/>
  <c r="BX145"/>
  <c r="J16" i="101"/>
  <c r="L16" s="1"/>
  <c r="J18"/>
  <c r="L18" s="1"/>
  <c r="J17"/>
  <c r="L17" s="1"/>
  <c r="AG170" i="20"/>
  <c r="N34" i="94"/>
  <c r="G30"/>
  <c r="G42" s="1"/>
  <c r="G45" s="1"/>
  <c r="R11"/>
  <c r="U648" i="62"/>
  <c r="U657" s="1"/>
  <c r="AK29" i="89"/>
  <c r="AK11" s="1"/>
  <c r="AP58" i="48"/>
  <c r="AP56"/>
  <c r="AI56" s="1"/>
  <c r="AB53"/>
  <c r="AW53"/>
  <c r="T431" i="62"/>
  <c r="T440" s="1"/>
  <c r="AK68" i="89"/>
  <c r="S428" i="62" l="1"/>
  <c r="S437" s="1"/>
  <c r="Z67" i="89"/>
  <c r="N41" i="48"/>
  <c r="N39"/>
  <c r="T645" i="62"/>
  <c r="T654" s="1"/>
  <c r="Z28" i="89"/>
  <c r="AP36" i="48"/>
  <c r="BZ55" i="18"/>
  <c r="Z82" i="89"/>
  <c r="Z83" s="1"/>
  <c r="R656" i="62"/>
  <c r="R398" i="39" s="1"/>
  <c r="R395"/>
  <c r="BZ33" i="18"/>
  <c r="AJ42" i="89"/>
  <c r="AJ43" s="1"/>
  <c r="S647" i="62"/>
  <c r="AJ27" i="89"/>
  <c r="Q439" i="62"/>
  <c r="Q260" i="39" s="1"/>
  <c r="Q257"/>
  <c r="BY59" i="18"/>
  <c r="AJ81" i="89"/>
  <c r="R430" i="62"/>
  <c r="AJ66" i="89"/>
  <c r="N45" i="48"/>
  <c r="Q436" i="62"/>
  <c r="Q259" i="39" s="1"/>
  <c r="Q256"/>
  <c r="S644" i="62"/>
  <c r="Y27" i="89"/>
  <c r="R641" i="62"/>
  <c r="N26" i="89"/>
  <c r="N65"/>
  <c r="Q424" i="62"/>
  <c r="M188" i="48"/>
  <c r="Y66" i="89"/>
  <c r="R427" i="62"/>
  <c r="R425"/>
  <c r="R434" s="1"/>
  <c r="O66" i="89"/>
  <c r="Q650" i="62"/>
  <c r="Q396" i="39" s="1"/>
  <c r="Q393"/>
  <c r="BX65" i="18"/>
  <c r="BY49"/>
  <c r="O81" i="89"/>
  <c r="AP19" i="48"/>
  <c r="P433" i="62"/>
  <c r="P258" i="39" s="1"/>
  <c r="P255"/>
  <c r="P445" i="62"/>
  <c r="P265" i="39" s="1"/>
  <c r="P446" i="62"/>
  <c r="P266" i="39" s="1"/>
  <c r="P450" i="62"/>
  <c r="P270" i="39" s="1"/>
  <c r="S642" i="62"/>
  <c r="S651" s="1"/>
  <c r="O27" i="89"/>
  <c r="N80"/>
  <c r="BX47" i="18"/>
  <c r="BW64"/>
  <c r="BW66" s="1"/>
  <c r="Y81" i="89"/>
  <c r="BY53" i="18"/>
  <c r="O42" i="89"/>
  <c r="O43" s="1"/>
  <c r="BZ23" i="18"/>
  <c r="BZ39" s="1"/>
  <c r="BY39"/>
  <c r="BY21"/>
  <c r="N11" i="48" s="1"/>
  <c r="BX38" i="18"/>
  <c r="BX40" s="1"/>
  <c r="N41" i="89"/>
  <c r="R394" i="39"/>
  <c r="R653" i="62"/>
  <c r="R397" i="39" s="1"/>
  <c r="AV182" i="48"/>
  <c r="AO187"/>
  <c r="AO188" s="1"/>
  <c r="AO161" s="1"/>
  <c r="AO163" s="1"/>
  <c r="AO164" s="1"/>
  <c r="N28"/>
  <c r="Y42" i="89"/>
  <c r="Y43" s="1"/>
  <c r="BZ27" i="18"/>
  <c r="N19" i="48"/>
  <c r="AF170" i="20"/>
  <c r="AG189"/>
  <c r="AG190" s="1"/>
  <c r="AG193" s="1"/>
  <c r="AG195" s="1"/>
  <c r="BX147"/>
  <c r="BY145"/>
  <c r="F43" i="101"/>
  <c r="U431" i="62"/>
  <c r="U440" s="1"/>
  <c r="AK69" i="89"/>
  <c r="AK51" s="1"/>
  <c r="AW58" i="48"/>
  <c r="AB58"/>
  <c r="AB56"/>
  <c r="AW56"/>
  <c r="Z29" i="89" l="1"/>
  <c r="Z11" s="1"/>
  <c r="U645" i="62"/>
  <c r="U654" s="1"/>
  <c r="T428"/>
  <c r="T437" s="1"/>
  <c r="Z68" i="89"/>
  <c r="AP39" i="48"/>
  <c r="AP41"/>
  <c r="AW36"/>
  <c r="AB36"/>
  <c r="AI36"/>
  <c r="AI41" s="1"/>
  <c r="N98"/>
  <c r="N149" s="1"/>
  <c r="N91"/>
  <c r="N90"/>
  <c r="N97"/>
  <c r="N89"/>
  <c r="N204"/>
  <c r="N205" s="1"/>
  <c r="N184" s="1"/>
  <c r="N145" s="1"/>
  <c r="N48"/>
  <c r="N65" s="1"/>
  <c r="N50"/>
  <c r="N217" s="1"/>
  <c r="N216" s="1"/>
  <c r="AP216" s="1"/>
  <c r="BZ59" i="18"/>
  <c r="AP45" i="48"/>
  <c r="AJ82" i="89"/>
  <c r="AJ83" s="1"/>
  <c r="S656" i="62"/>
  <c r="S398" i="39" s="1"/>
  <c r="S395"/>
  <c r="T647" i="62"/>
  <c r="AJ28" i="89"/>
  <c r="R439" i="62"/>
  <c r="R260" i="39" s="1"/>
  <c r="R257"/>
  <c r="AJ67" i="89"/>
  <c r="S430" i="62"/>
  <c r="AO193" i="48"/>
  <c r="N14"/>
  <c r="N16"/>
  <c r="N33"/>
  <c r="N31"/>
  <c r="N81" i="89"/>
  <c r="BY47" i="18"/>
  <c r="BX64"/>
  <c r="BX66" s="1"/>
  <c r="R650" i="62"/>
  <c r="R396" i="39" s="1"/>
  <c r="R393"/>
  <c r="AH187" i="48"/>
  <c r="BZ49" i="18"/>
  <c r="BZ65" s="1"/>
  <c r="O82" i="89"/>
  <c r="O83" s="1"/>
  <c r="BY65" i="18"/>
  <c r="O67" i="89"/>
  <c r="S425" i="62"/>
  <c r="S434" s="1"/>
  <c r="M193" i="48"/>
  <c r="M161"/>
  <c r="AH188"/>
  <c r="AH193" s="1"/>
  <c r="N27" i="89"/>
  <c r="S641" i="62"/>
  <c r="T642"/>
  <c r="T651" s="1"/>
  <c r="O28" i="89"/>
  <c r="U642" i="62" s="1"/>
  <c r="U651" s="1"/>
  <c r="Y67" i="89"/>
  <c r="S427" i="62"/>
  <c r="N66" i="89"/>
  <c r="R424" i="62"/>
  <c r="S653"/>
  <c r="S397" i="39" s="1"/>
  <c r="S394"/>
  <c r="N24" i="48"/>
  <c r="N22"/>
  <c r="N42" i="89"/>
  <c r="N43" s="1"/>
  <c r="BZ21" i="18"/>
  <c r="BZ38" s="1"/>
  <c r="BZ40" s="1"/>
  <c r="BY38"/>
  <c r="BY40" s="1"/>
  <c r="AP28" i="48"/>
  <c r="Y82" i="89"/>
  <c r="Y83" s="1"/>
  <c r="BZ53" i="18"/>
  <c r="AI19" i="48"/>
  <c r="AI24" s="1"/>
  <c r="AP24"/>
  <c r="AB19"/>
  <c r="AW19"/>
  <c r="AP22"/>
  <c r="R436" i="62"/>
  <c r="R259" i="39" s="1"/>
  <c r="R256"/>
  <c r="Q433" i="62"/>
  <c r="Q258" i="39" s="1"/>
  <c r="Q450" i="62"/>
  <c r="Q270" i="39" s="1"/>
  <c r="Q255"/>
  <c r="Q445" i="62"/>
  <c r="Q265" i="39" s="1"/>
  <c r="Q446" i="62"/>
  <c r="Q266" i="39" s="1"/>
  <c r="Y28" i="89"/>
  <c r="T644" i="62"/>
  <c r="AW57" i="48"/>
  <c r="BZ145" i="20"/>
  <c r="BY147"/>
  <c r="BZ147" s="1"/>
  <c r="G43" i="101"/>
  <c r="G46" s="1"/>
  <c r="F46"/>
  <c r="AF189" i="20"/>
  <c r="AF190" s="1"/>
  <c r="AF193" s="1"/>
  <c r="AF195" s="1"/>
  <c r="AE170"/>
  <c r="N88" i="48"/>
  <c r="N123"/>
  <c r="N120"/>
  <c r="AI39" l="1"/>
  <c r="AB39"/>
  <c r="AW39"/>
  <c r="AB41"/>
  <c r="AW41"/>
  <c r="Z69" i="89"/>
  <c r="Z51" s="1"/>
  <c r="U428" i="62"/>
  <c r="U437" s="1"/>
  <c r="M669"/>
  <c r="M410" i="39" s="1"/>
  <c r="V633" i="62"/>
  <c r="V387" i="39" s="1"/>
  <c r="Q669" i="62"/>
  <c r="Q410" i="39" s="1"/>
  <c r="N669" i="62"/>
  <c r="N410" i="39" s="1"/>
  <c r="P669" i="62"/>
  <c r="P410" i="39" s="1"/>
  <c r="T669" i="62"/>
  <c r="T410" i="39" s="1"/>
  <c r="L669" i="62"/>
  <c r="L410" i="39" s="1"/>
  <c r="R669" i="62"/>
  <c r="R410" i="39" s="1"/>
  <c r="W633" i="62"/>
  <c r="W387" i="39" s="1"/>
  <c r="S669" i="62"/>
  <c r="S410" i="39" s="1"/>
  <c r="O669" i="62"/>
  <c r="O410" i="39" s="1"/>
  <c r="U669" i="62"/>
  <c r="U410" i="39" s="1"/>
  <c r="T656" i="62"/>
  <c r="T398" i="39" s="1"/>
  <c r="T395"/>
  <c r="AP98" i="48"/>
  <c r="AP89"/>
  <c r="AP50"/>
  <c r="AI45"/>
  <c r="AI50" s="1"/>
  <c r="AP90"/>
  <c r="AB45"/>
  <c r="AP48"/>
  <c r="AW45"/>
  <c r="AP97"/>
  <c r="AP91"/>
  <c r="AP204"/>
  <c r="V635" i="62"/>
  <c r="V389" i="39" s="1"/>
  <c r="U671" i="62"/>
  <c r="U412" i="39" s="1"/>
  <c r="M671" i="62"/>
  <c r="M412" i="39" s="1"/>
  <c r="O671" i="62"/>
  <c r="O412" i="39" s="1"/>
  <c r="N671" i="62"/>
  <c r="N412" i="39" s="1"/>
  <c r="T671" i="62"/>
  <c r="T412" i="39" s="1"/>
  <c r="R671" i="62"/>
  <c r="R412" i="39" s="1"/>
  <c r="S671" i="62"/>
  <c r="S412" i="39" s="1"/>
  <c r="Q671" i="62"/>
  <c r="Q412" i="39" s="1"/>
  <c r="P671" i="62"/>
  <c r="P412" i="39" s="1"/>
  <c r="L671" i="62"/>
  <c r="L412" i="39" s="1"/>
  <c r="W635" i="62"/>
  <c r="W389" i="39" s="1"/>
  <c r="S257"/>
  <c r="S439" i="62"/>
  <c r="S260" i="39" s="1"/>
  <c r="AJ29" i="89"/>
  <c r="AJ11" s="1"/>
  <c r="U647" i="62"/>
  <c r="R670"/>
  <c r="R411" i="39" s="1"/>
  <c r="L670" i="62"/>
  <c r="L411" i="39" s="1"/>
  <c r="N670" i="62"/>
  <c r="N411" i="39" s="1"/>
  <c r="S670" i="62"/>
  <c r="S411" i="39" s="1"/>
  <c r="O670" i="62"/>
  <c r="O411" i="39" s="1"/>
  <c r="T670" i="62"/>
  <c r="T411" i="39" s="1"/>
  <c r="M670" i="62"/>
  <c r="M411" i="39" s="1"/>
  <c r="P670" i="62"/>
  <c r="P411" i="39" s="1"/>
  <c r="V634" i="62"/>
  <c r="V388" i="39" s="1"/>
  <c r="W634" i="62"/>
  <c r="W388" i="39" s="1"/>
  <c r="U670" i="62"/>
  <c r="U411" i="39" s="1"/>
  <c r="Q670" i="62"/>
  <c r="Q411" i="39" s="1"/>
  <c r="N124" i="48"/>
  <c r="O29" i="89"/>
  <c r="O11" s="1"/>
  <c r="T430" i="62"/>
  <c r="AJ68" i="89"/>
  <c r="U430" i="62" s="1"/>
  <c r="N146" i="48"/>
  <c r="N177"/>
  <c r="AJ69" i="89"/>
  <c r="AJ51" s="1"/>
  <c r="AJ54" s="1"/>
  <c r="T427" i="62"/>
  <c r="Y68" i="89"/>
  <c r="S393" i="39"/>
  <c r="S650" i="62"/>
  <c r="S396" i="39" s="1"/>
  <c r="N66" i="48"/>
  <c r="N64"/>
  <c r="S436" i="62"/>
  <c r="S259" i="39" s="1"/>
  <c r="S256"/>
  <c r="M163" i="48"/>
  <c r="M164" s="1"/>
  <c r="AH161"/>
  <c r="AH163" s="1"/>
  <c r="AH164" s="1"/>
  <c r="BY64" i="18"/>
  <c r="BY66" s="1"/>
  <c r="BZ47"/>
  <c r="BZ64" s="1"/>
  <c r="BZ66" s="1"/>
  <c r="N82" i="89"/>
  <c r="N83" s="1"/>
  <c r="N213" i="48"/>
  <c r="N212" s="1"/>
  <c r="Y29" i="89"/>
  <c r="Y11" s="1"/>
  <c r="U644" i="62"/>
  <c r="AI22" i="48"/>
  <c r="AW22"/>
  <c r="AB22"/>
  <c r="N67" i="89"/>
  <c r="S424" i="62"/>
  <c r="T425"/>
  <c r="T434" s="1"/>
  <c r="O68" i="89"/>
  <c r="U425" i="62" s="1"/>
  <c r="U434" s="1"/>
  <c r="N69" i="48"/>
  <c r="T653" i="62"/>
  <c r="T397" i="39" s="1"/>
  <c r="T394"/>
  <c r="AB24" i="48"/>
  <c r="AW24"/>
  <c r="AI28"/>
  <c r="AI33" s="1"/>
  <c r="AB28"/>
  <c r="AW28"/>
  <c r="AP33"/>
  <c r="AP31"/>
  <c r="R433" i="62"/>
  <c r="R258" i="39" s="1"/>
  <c r="R255"/>
  <c r="R446" i="62"/>
  <c r="R266" i="39" s="1"/>
  <c r="R445" i="62"/>
  <c r="R265" i="39" s="1"/>
  <c r="R450" i="62"/>
  <c r="R270" i="39" s="1"/>
  <c r="T641" i="62"/>
  <c r="N28" i="89"/>
  <c r="U641" i="62" s="1"/>
  <c r="AP11" i="48"/>
  <c r="AD170" i="20"/>
  <c r="AE189"/>
  <c r="AE190" s="1"/>
  <c r="AE193" s="1"/>
  <c r="AE195" s="1"/>
  <c r="Z14" i="94"/>
  <c r="AB15" s="1"/>
  <c r="G14" i="66"/>
  <c r="G14" i="94"/>
  <c r="U668" i="62"/>
  <c r="U409" i="39" s="1"/>
  <c r="R668" i="62"/>
  <c r="R409" i="39" s="1"/>
  <c r="V632" i="62"/>
  <c r="V386" i="39" s="1"/>
  <c r="S668" i="62"/>
  <c r="S409" i="39" s="1"/>
  <c r="Q668" i="62"/>
  <c r="Q409" i="39" s="1"/>
  <c r="T668" i="62"/>
  <c r="T409" i="39" s="1"/>
  <c r="N92" i="48"/>
  <c r="N125" s="1"/>
  <c r="P668" i="62"/>
  <c r="P409" i="39" s="1"/>
  <c r="M668" i="62"/>
  <c r="M409" i="39" s="1"/>
  <c r="W632" i="62"/>
  <c r="W386" i="39" s="1"/>
  <c r="L668" i="62"/>
  <c r="L409" i="39" s="1"/>
  <c r="N668" i="62"/>
  <c r="N409" i="39" s="1"/>
  <c r="O668" i="62"/>
  <c r="O409" i="39" s="1"/>
  <c r="U257"/>
  <c r="U439" i="62"/>
  <c r="U260" i="39" s="1"/>
  <c r="AJ52" i="89"/>
  <c r="N122" i="48"/>
  <c r="AW40" l="1"/>
  <c r="AI98"/>
  <c r="AW98"/>
  <c r="AB98"/>
  <c r="AP149"/>
  <c r="AJ14" i="89"/>
  <c r="AJ12"/>
  <c r="M452" i="62"/>
  <c r="M272" i="39" s="1"/>
  <c r="N452" i="62"/>
  <c r="N272" i="39" s="1"/>
  <c r="R452" i="62"/>
  <c r="R272" i="39" s="1"/>
  <c r="AB89" i="48"/>
  <c r="V416" i="62"/>
  <c r="V249" i="39" s="1"/>
  <c r="Q452" i="62"/>
  <c r="Q272" i="39" s="1"/>
  <c r="U452" i="62"/>
  <c r="U272" i="39" s="1"/>
  <c r="L452" i="62"/>
  <c r="L272" i="39" s="1"/>
  <c r="T452" i="62"/>
  <c r="T272" i="39" s="1"/>
  <c r="P452" i="62"/>
  <c r="P272" i="39" s="1"/>
  <c r="AW89" i="48"/>
  <c r="W416" i="62"/>
  <c r="W249" i="39" s="1"/>
  <c r="S452" i="62"/>
  <c r="S272" i="39" s="1"/>
  <c r="O452" i="62"/>
  <c r="O272" i="39" s="1"/>
  <c r="U395"/>
  <c r="U656" i="62"/>
  <c r="U398" i="39" s="1"/>
  <c r="AW204" i="48"/>
  <c r="AP205"/>
  <c r="AB204"/>
  <c r="AB205" s="1"/>
  <c r="AB184" s="1"/>
  <c r="AI48"/>
  <c r="AI65" s="1"/>
  <c r="AP65"/>
  <c r="AW48"/>
  <c r="AB48"/>
  <c r="AB65" s="1"/>
  <c r="AB50"/>
  <c r="AW50"/>
  <c r="O69" i="89"/>
  <c r="O51" s="1"/>
  <c r="AI89" i="48"/>
  <c r="AI97"/>
  <c r="AP146"/>
  <c r="AW97"/>
  <c r="AB97"/>
  <c r="AB177" s="1"/>
  <c r="AP177"/>
  <c r="AW177" s="1"/>
  <c r="AI90"/>
  <c r="N453" i="62"/>
  <c r="N273" i="39" s="1"/>
  <c r="P453" i="62"/>
  <c r="P273" i="39" s="1"/>
  <c r="T453" i="62"/>
  <c r="T273" i="39" s="1"/>
  <c r="AB90" i="48"/>
  <c r="AW90"/>
  <c r="L453" i="62"/>
  <c r="L273" i="39" s="1"/>
  <c r="R453" i="62"/>
  <c r="R273" i="39" s="1"/>
  <c r="U453" i="62"/>
  <c r="U273" i="39" s="1"/>
  <c r="O453" i="62"/>
  <c r="O273" i="39" s="1"/>
  <c r="M453" i="62"/>
  <c r="M273" i="39" s="1"/>
  <c r="W417" i="62"/>
  <c r="W250" i="39" s="1"/>
  <c r="Q453" i="62"/>
  <c r="Q273" i="39" s="1"/>
  <c r="V417" i="62"/>
  <c r="V250" i="39" s="1"/>
  <c r="S453" i="62"/>
  <c r="S273" i="39" s="1"/>
  <c r="T439" i="62"/>
  <c r="T260" i="39" s="1"/>
  <c r="T257"/>
  <c r="AI91" i="48"/>
  <c r="M454" i="62"/>
  <c r="M274" i="39" s="1"/>
  <c r="U454" i="62"/>
  <c r="U274" i="39" s="1"/>
  <c r="R454" i="62"/>
  <c r="R274" i="39" s="1"/>
  <c r="S454" i="62"/>
  <c r="S274" i="39" s="1"/>
  <c r="AB91" i="48"/>
  <c r="P454" i="62"/>
  <c r="P274" i="39" s="1"/>
  <c r="AW91" i="48"/>
  <c r="Q454" i="62"/>
  <c r="Q274" i="39" s="1"/>
  <c r="V418" i="62"/>
  <c r="V251" i="39" s="1"/>
  <c r="N454" i="62"/>
  <c r="N274" i="39" s="1"/>
  <c r="O454" i="62"/>
  <c r="O274" i="39" s="1"/>
  <c r="T454" i="62"/>
  <c r="T274" i="39" s="1"/>
  <c r="W418" i="62"/>
  <c r="W251" i="39" s="1"/>
  <c r="L454" i="62"/>
  <c r="L274" i="39" s="1"/>
  <c r="AI146" i="48"/>
  <c r="N147"/>
  <c r="N29" i="89"/>
  <c r="N11" s="1"/>
  <c r="N14" s="1"/>
  <c r="U650" i="62"/>
  <c r="U396" i="39" s="1"/>
  <c r="U393"/>
  <c r="AW33" i="48"/>
  <c r="AB33"/>
  <c r="K53" i="77"/>
  <c r="N140" i="48"/>
  <c r="N179" s="1"/>
  <c r="S450" i="62"/>
  <c r="S270" i="39" s="1"/>
  <c r="S433" i="62"/>
  <c r="S258" i="39" s="1"/>
  <c r="S255"/>
  <c r="S446" i="62"/>
  <c r="S266" i="39" s="1"/>
  <c r="S445" i="62"/>
  <c r="S265" i="39" s="1"/>
  <c r="K52" i="77"/>
  <c r="N104" i="48"/>
  <c r="N131"/>
  <c r="N108"/>
  <c r="N67"/>
  <c r="N110"/>
  <c r="N112"/>
  <c r="N113"/>
  <c r="N130"/>
  <c r="N73"/>
  <c r="T436" i="62"/>
  <c r="T259" i="39" s="1"/>
  <c r="T256"/>
  <c r="N12" i="89"/>
  <c r="AB31" i="48"/>
  <c r="AI31"/>
  <c r="AW31"/>
  <c r="AP212"/>
  <c r="AP93" s="1"/>
  <c r="N93"/>
  <c r="N80"/>
  <c r="N83"/>
  <c r="N116"/>
  <c r="N84"/>
  <c r="N118" s="1"/>
  <c r="Y69" i="89"/>
  <c r="Y51" s="1"/>
  <c r="U427" i="62"/>
  <c r="AW23" i="48"/>
  <c r="AI11"/>
  <c r="AI16" s="1"/>
  <c r="AI69" s="1"/>
  <c r="K66" i="77" s="1"/>
  <c r="AP14" i="48"/>
  <c r="AP16"/>
  <c r="AP69" s="1"/>
  <c r="AP140" s="1"/>
  <c r="AW11"/>
  <c r="AB11"/>
  <c r="Y14" i="89"/>
  <c r="Y12"/>
  <c r="T650" i="62"/>
  <c r="T396" i="39" s="1"/>
  <c r="T393"/>
  <c r="T424" i="62"/>
  <c r="N68" i="89"/>
  <c r="U424" i="62" s="1"/>
  <c r="U653"/>
  <c r="U397" i="39" s="1"/>
  <c r="U394"/>
  <c r="AC170" i="20"/>
  <c r="AD189"/>
  <c r="AD190" s="1"/>
  <c r="AD193" s="1"/>
  <c r="AD195" s="1"/>
  <c r="I14" i="66"/>
  <c r="I15" s="1"/>
  <c r="D8" i="86" s="1"/>
  <c r="G15" i="66"/>
  <c r="G15" i="94"/>
  <c r="I14"/>
  <c r="I15" s="1"/>
  <c r="AI177" i="48" l="1"/>
  <c r="AW205"/>
  <c r="AP184"/>
  <c r="AB124"/>
  <c r="BH258"/>
  <c r="AB123"/>
  <c r="AB120"/>
  <c r="AI124"/>
  <c r="AI120"/>
  <c r="AI122"/>
  <c r="AI123"/>
  <c r="AI125"/>
  <c r="AW32"/>
  <c r="AW65"/>
  <c r="AW49"/>
  <c r="AW149"/>
  <c r="AB149"/>
  <c r="AI149"/>
  <c r="AW146"/>
  <c r="AB146"/>
  <c r="AP120"/>
  <c r="AP123"/>
  <c r="AP88"/>
  <c r="AP124"/>
  <c r="N69" i="89"/>
  <c r="N51" s="1"/>
  <c r="AI93" i="48"/>
  <c r="AI140"/>
  <c r="AI169" s="1"/>
  <c r="AP179"/>
  <c r="AI179" s="1"/>
  <c r="AB140"/>
  <c r="AB179" s="1"/>
  <c r="AW140"/>
  <c r="Y54" i="89"/>
  <c r="Y52"/>
  <c r="N114" i="48"/>
  <c r="N141"/>
  <c r="N180" s="1"/>
  <c r="T255" i="39"/>
  <c r="T446" i="62"/>
  <c r="T266" i="39" s="1"/>
  <c r="T450" i="62"/>
  <c r="T270" i="39" s="1"/>
  <c r="T445" i="62"/>
  <c r="T265" i="39" s="1"/>
  <c r="T433" i="62"/>
  <c r="T258" i="39" s="1"/>
  <c r="AI14" i="48"/>
  <c r="AI66" s="1"/>
  <c r="AP66"/>
  <c r="AP64"/>
  <c r="AB14"/>
  <c r="AW14"/>
  <c r="U256" i="39"/>
  <c r="U436" i="62"/>
  <c r="U259" i="39" s="1"/>
  <c r="N85" i="48"/>
  <c r="N119" s="1"/>
  <c r="N117"/>
  <c r="M56" i="31"/>
  <c r="U450" i="62"/>
  <c r="U270" i="39" s="1"/>
  <c r="U445" i="62"/>
  <c r="U265" i="39" s="1"/>
  <c r="U433" i="62"/>
  <c r="U258" i="39" s="1"/>
  <c r="U255"/>
  <c r="U446" i="62"/>
  <c r="U266" i="39" s="1"/>
  <c r="AW16" i="48"/>
  <c r="AW69" s="1"/>
  <c r="AB16"/>
  <c r="AB93"/>
  <c r="BB255" s="1"/>
  <c r="AW93"/>
  <c r="N107"/>
  <c r="N75"/>
  <c r="N126"/>
  <c r="N52" i="89"/>
  <c r="N54"/>
  <c r="U663" i="62"/>
  <c r="U404" i="39" s="1"/>
  <c r="R663" i="62"/>
  <c r="R404" i="39" s="1"/>
  <c r="O663" i="62"/>
  <c r="O404" i="39" s="1"/>
  <c r="L663" i="62"/>
  <c r="L404" i="39" s="1"/>
  <c r="V627" i="62"/>
  <c r="V381" i="39" s="1"/>
  <c r="S663" i="62"/>
  <c r="S404" i="39" s="1"/>
  <c r="P663" i="62"/>
  <c r="P404" i="39" s="1"/>
  <c r="M663" i="62"/>
  <c r="M404" i="39" s="1"/>
  <c r="W627" i="62"/>
  <c r="W381" i="39" s="1"/>
  <c r="T663" i="62"/>
  <c r="T404" i="39" s="1"/>
  <c r="Q663" i="62"/>
  <c r="Q404" i="39" s="1"/>
  <c r="N663" i="62"/>
  <c r="N404" i="39" s="1"/>
  <c r="AB69" i="48"/>
  <c r="K62" i="77" s="1"/>
  <c r="AC189" i="20"/>
  <c r="AB170"/>
  <c r="D12" i="86"/>
  <c r="D11" s="1"/>
  <c r="H189" i="20"/>
  <c r="H161"/>
  <c r="AW179" i="48"/>
  <c r="AP145" l="1"/>
  <c r="AI184"/>
  <c r="AW184"/>
  <c r="AW123"/>
  <c r="AW124"/>
  <c r="AW120"/>
  <c r="AI88"/>
  <c r="AI92" s="1"/>
  <c r="AP122"/>
  <c r="M451" i="62"/>
  <c r="M271" i="39" s="1"/>
  <c r="W415" i="62"/>
  <c r="W248" i="39" s="1"/>
  <c r="Q451" i="62"/>
  <c r="Q271" i="39" s="1"/>
  <c r="N451" i="62"/>
  <c r="N271" i="39" s="1"/>
  <c r="L451" i="62"/>
  <c r="L271" i="39" s="1"/>
  <c r="S451" i="62"/>
  <c r="S271" i="39" s="1"/>
  <c r="O451" i="62"/>
  <c r="O271" i="39" s="1"/>
  <c r="T451" i="62"/>
  <c r="T271" i="39" s="1"/>
  <c r="V415" i="62"/>
  <c r="V248" i="39" s="1"/>
  <c r="U451" i="62"/>
  <c r="U271" i="39" s="1"/>
  <c r="AB88" i="48"/>
  <c r="AB122" s="1"/>
  <c r="P451" i="62"/>
  <c r="P271" i="39" s="1"/>
  <c r="AW88" i="48"/>
  <c r="AW122" s="1"/>
  <c r="AP92"/>
  <c r="R451" i="62"/>
  <c r="R271" i="39" s="1"/>
  <c r="BH259" i="48"/>
  <c r="BI259" s="1"/>
  <c r="BI258"/>
  <c r="AB169"/>
  <c r="AP108"/>
  <c r="AP113"/>
  <c r="AP131"/>
  <c r="AP73"/>
  <c r="AP107" s="1"/>
  <c r="AP112"/>
  <c r="AP130"/>
  <c r="AP67"/>
  <c r="AP126"/>
  <c r="AP110"/>
  <c r="AP104"/>
  <c r="AP80"/>
  <c r="AP83"/>
  <c r="AP117" s="1"/>
  <c r="AP84"/>
  <c r="AP118" s="1"/>
  <c r="AP116"/>
  <c r="AI64"/>
  <c r="S658" i="62"/>
  <c r="S399" i="39" s="1"/>
  <c r="W622" i="62"/>
  <c r="W376" i="39" s="1"/>
  <c r="P658" i="62"/>
  <c r="P399" i="39" s="1"/>
  <c r="U658" i="62"/>
  <c r="U399" i="39" s="1"/>
  <c r="M658" i="62"/>
  <c r="M399" i="39" s="1"/>
  <c r="R658" i="62"/>
  <c r="R399" i="39" s="1"/>
  <c r="O658" i="62"/>
  <c r="O399" i="39" s="1"/>
  <c r="T658" i="62"/>
  <c r="T399" i="39" s="1"/>
  <c r="L658" i="62"/>
  <c r="L399" i="39" s="1"/>
  <c r="Q658" i="62"/>
  <c r="Q399" i="39" s="1"/>
  <c r="V622" i="62"/>
  <c r="V376" i="39" s="1"/>
  <c r="N658" i="62"/>
  <c r="N399" i="39" s="1"/>
  <c r="AB66" i="48"/>
  <c r="AB64"/>
  <c r="M662" i="62"/>
  <c r="M403" i="39" s="1"/>
  <c r="Q662" i="62"/>
  <c r="Q403" i="39" s="1"/>
  <c r="N662" i="62"/>
  <c r="N403" i="39" s="1"/>
  <c r="W626" i="62"/>
  <c r="W380" i="39" s="1"/>
  <c r="T662" i="62"/>
  <c r="T403" i="39" s="1"/>
  <c r="O662" i="62"/>
  <c r="O403" i="39" s="1"/>
  <c r="R662" i="62"/>
  <c r="R403" i="39" s="1"/>
  <c r="V626" i="62"/>
  <c r="V380" i="39" s="1"/>
  <c r="S662" i="62"/>
  <c r="S403" i="39" s="1"/>
  <c r="L662" i="62"/>
  <c r="L403" i="39" s="1"/>
  <c r="P662" i="62"/>
  <c r="P403" i="39" s="1"/>
  <c r="U662" i="62"/>
  <c r="U403" i="39" s="1"/>
  <c r="N77" i="48"/>
  <c r="W624" i="62"/>
  <c r="W378" i="39" s="1"/>
  <c r="Q660" i="62"/>
  <c r="Q401" i="39" s="1"/>
  <c r="M660" i="62"/>
  <c r="M401" i="39" s="1"/>
  <c r="N660" i="62"/>
  <c r="N401" i="39" s="1"/>
  <c r="P660" i="62"/>
  <c r="P401" i="39" s="1"/>
  <c r="L660" i="62"/>
  <c r="L401" i="39" s="1"/>
  <c r="R660" i="62"/>
  <c r="R401" i="39" s="1"/>
  <c r="O660" i="62"/>
  <c r="O401" i="39" s="1"/>
  <c r="U660" i="62"/>
  <c r="U401" i="39" s="1"/>
  <c r="V624" i="62"/>
  <c r="V378" i="39" s="1"/>
  <c r="S660" i="62"/>
  <c r="S401" i="39" s="1"/>
  <c r="T660" i="62"/>
  <c r="T401" i="39" s="1"/>
  <c r="N109" i="48"/>
  <c r="T667" i="62"/>
  <c r="T408" i="39" s="1"/>
  <c r="L667" i="62"/>
  <c r="L408" i="39" s="1"/>
  <c r="Q667" i="62"/>
  <c r="Q408" i="39" s="1"/>
  <c r="V631" i="62"/>
  <c r="V385" i="39" s="1"/>
  <c r="N667" i="62"/>
  <c r="N408" i="39" s="1"/>
  <c r="S667" i="62"/>
  <c r="S408" i="39" s="1"/>
  <c r="P667" i="62"/>
  <c r="P408" i="39" s="1"/>
  <c r="U667" i="62"/>
  <c r="U408" i="39" s="1"/>
  <c r="M667" i="62"/>
  <c r="M408" i="39" s="1"/>
  <c r="R667" i="62"/>
  <c r="R408" i="39" s="1"/>
  <c r="W631" i="62"/>
  <c r="W385" i="39" s="1"/>
  <c r="O667" i="62"/>
  <c r="O408" i="39" s="1"/>
  <c r="AW15" i="48"/>
  <c r="AW64"/>
  <c r="AI107"/>
  <c r="AI113"/>
  <c r="AI109"/>
  <c r="J91" i="22"/>
  <c r="M206" i="20"/>
  <c r="AI108" i="48"/>
  <c r="AI104"/>
  <c r="AI110"/>
  <c r="AI112"/>
  <c r="AI132"/>
  <c r="AI129"/>
  <c r="AI67"/>
  <c r="AI111"/>
  <c r="AI127"/>
  <c r="K65" i="77"/>
  <c r="AI131" i="48"/>
  <c r="AI130"/>
  <c r="AI126"/>
  <c r="AW169"/>
  <c r="H190" i="20"/>
  <c r="H202"/>
  <c r="H211" s="1"/>
  <c r="G45" i="81"/>
  <c r="G46" s="1"/>
  <c r="G38" i="66"/>
  <c r="G39" s="1"/>
  <c r="P187" i="48"/>
  <c r="AR187" s="1"/>
  <c r="N101" i="22"/>
  <c r="Q189" i="20"/>
  <c r="Q190" s="1"/>
  <c r="O23" i="82"/>
  <c r="O24" s="1"/>
  <c r="O27" s="1"/>
  <c r="AC190" i="20"/>
  <c r="AC193" s="1"/>
  <c r="AC195" s="1"/>
  <c r="S38" i="81"/>
  <c r="G32" i="76"/>
  <c r="P161" i="48"/>
  <c r="Q161" i="20"/>
  <c r="H163"/>
  <c r="AA170"/>
  <c r="AB189"/>
  <c r="H50" i="86"/>
  <c r="H35" s="1"/>
  <c r="E50"/>
  <c r="E35" s="1"/>
  <c r="E46"/>
  <c r="G50"/>
  <c r="G35" s="1"/>
  <c r="F50"/>
  <c r="F35" s="1"/>
  <c r="D33"/>
  <c r="D39" s="1"/>
  <c r="I50"/>
  <c r="I35" s="1"/>
  <c r="AW145" i="48" l="1"/>
  <c r="AP147"/>
  <c r="AI145"/>
  <c r="AB145"/>
  <c r="AB147" s="1"/>
  <c r="AB92"/>
  <c r="AB125" s="1"/>
  <c r="AP125"/>
  <c r="AW92"/>
  <c r="AW125" s="1"/>
  <c r="U441" i="62"/>
  <c r="U261" i="39" s="1"/>
  <c r="M441" i="62"/>
  <c r="M261" i="39" s="1"/>
  <c r="V405" i="62"/>
  <c r="V238" i="39" s="1"/>
  <c r="O441" i="62"/>
  <c r="O261" i="39" s="1"/>
  <c r="L441" i="62"/>
  <c r="L261" i="39" s="1"/>
  <c r="Q441" i="62"/>
  <c r="Q261" i="39" s="1"/>
  <c r="R441" i="62"/>
  <c r="R261" i="39" s="1"/>
  <c r="S441" i="62"/>
  <c r="S261" i="39" s="1"/>
  <c r="W405" i="62"/>
  <c r="W238" i="39" s="1"/>
  <c r="P441" i="62"/>
  <c r="P261" i="39" s="1"/>
  <c r="N441" i="62"/>
  <c r="N261" i="39" s="1"/>
  <c r="T441" i="62"/>
  <c r="T261" i="39" s="1"/>
  <c r="N111" i="48"/>
  <c r="N94"/>
  <c r="N156"/>
  <c r="AI83"/>
  <c r="AP85"/>
  <c r="R56" i="31"/>
  <c r="AB83" i="48"/>
  <c r="AB117" s="1"/>
  <c r="AW83"/>
  <c r="AW117" s="1"/>
  <c r="AI116"/>
  <c r="AI118"/>
  <c r="AI117"/>
  <c r="AI119"/>
  <c r="AI114"/>
  <c r="AI84"/>
  <c r="AW84"/>
  <c r="AW118" s="1"/>
  <c r="AB84"/>
  <c r="AB118" s="1"/>
  <c r="AB130"/>
  <c r="K61" i="77"/>
  <c r="AB126" i="48"/>
  <c r="AB131"/>
  <c r="AB113"/>
  <c r="AB110"/>
  <c r="AB104"/>
  <c r="AB112"/>
  <c r="AB67"/>
  <c r="AB108"/>
  <c r="AW66"/>
  <c r="AW116"/>
  <c r="AB116"/>
  <c r="BH256"/>
  <c r="AP114"/>
  <c r="AB80"/>
  <c r="AB114" s="1"/>
  <c r="AW80"/>
  <c r="AW114" s="1"/>
  <c r="AP141"/>
  <c r="AI80"/>
  <c r="AI73"/>
  <c r="AB73"/>
  <c r="AB107" s="1"/>
  <c r="AP75"/>
  <c r="AP77" s="1"/>
  <c r="AW73"/>
  <c r="Q163" i="20"/>
  <c r="R161"/>
  <c r="R163" s="1"/>
  <c r="H193"/>
  <c r="H195" s="1"/>
  <c r="P188" i="48"/>
  <c r="AR188" s="1"/>
  <c r="P163"/>
  <c r="AR163" s="1"/>
  <c r="G34" i="76"/>
  <c r="S48" i="81"/>
  <c r="S40"/>
  <c r="G17" i="77"/>
  <c r="H212" i="20"/>
  <c r="G31" i="77"/>
  <c r="G32" s="1"/>
  <c r="E47" i="86"/>
  <c r="F46" s="1"/>
  <c r="Z170" i="20"/>
  <c r="AA189"/>
  <c r="Q193"/>
  <c r="Q194" s="1"/>
  <c r="R192" s="1"/>
  <c r="R194" s="1"/>
  <c r="AB190"/>
  <c r="AB193" s="1"/>
  <c r="AB195" s="1"/>
  <c r="R38" i="81"/>
  <c r="N23" i="82"/>
  <c r="N24" s="1"/>
  <c r="N27" s="1"/>
  <c r="AR161" i="48"/>
  <c r="W161"/>
  <c r="W163" s="1"/>
  <c r="AW147" l="1"/>
  <c r="AI147"/>
  <c r="AW85"/>
  <c r="AW119" s="1"/>
  <c r="AB85"/>
  <c r="AB119" s="1"/>
  <c r="AP119"/>
  <c r="AP156"/>
  <c r="AP111"/>
  <c r="AB77"/>
  <c r="AP94"/>
  <c r="AW77"/>
  <c r="AW111" s="1"/>
  <c r="N139"/>
  <c r="N155"/>
  <c r="N127"/>
  <c r="N96"/>
  <c r="AI75"/>
  <c r="AI77" s="1"/>
  <c r="Q443" i="62"/>
  <c r="Q263" i="39" s="1"/>
  <c r="P443" i="62"/>
  <c r="P263" i="39" s="1"/>
  <c r="N443" i="62"/>
  <c r="N263" i="39" s="1"/>
  <c r="AP109" i="48"/>
  <c r="L443" i="62"/>
  <c r="L263" i="39" s="1"/>
  <c r="O443" i="62"/>
  <c r="O263" i="39" s="1"/>
  <c r="V407" i="62"/>
  <c r="V240" i="39" s="1"/>
  <c r="T443" i="62"/>
  <c r="T263" i="39" s="1"/>
  <c r="W407" i="62"/>
  <c r="W240" i="39" s="1"/>
  <c r="M443" i="62"/>
  <c r="M263" i="39" s="1"/>
  <c r="AW75" i="48"/>
  <c r="AW109" s="1"/>
  <c r="R443" i="62"/>
  <c r="R263" i="39" s="1"/>
  <c r="S443" i="62"/>
  <c r="S263" i="39" s="1"/>
  <c r="U443" i="62"/>
  <c r="U263" i="39" s="1"/>
  <c r="AB75" i="48"/>
  <c r="AB109" s="1"/>
  <c r="AB141"/>
  <c r="AW141"/>
  <c r="AW170" s="1"/>
  <c r="AI141"/>
  <c r="AI170" s="1"/>
  <c r="AP180"/>
  <c r="BI256"/>
  <c r="BH257"/>
  <c r="BI257" s="1"/>
  <c r="AW113"/>
  <c r="AW110"/>
  <c r="AW130"/>
  <c r="AW108"/>
  <c r="AW104"/>
  <c r="AW131"/>
  <c r="AW67"/>
  <c r="AW107"/>
  <c r="AW112"/>
  <c r="AW126"/>
  <c r="AI85"/>
  <c r="R139" i="20"/>
  <c r="R143" s="1"/>
  <c r="R151" s="1"/>
  <c r="R164" s="1"/>
  <c r="S192"/>
  <c r="F47" i="86"/>
  <c r="G46" s="1"/>
  <c r="Q195" i="20"/>
  <c r="E49" i="86"/>
  <c r="E34" s="1"/>
  <c r="E39" s="1"/>
  <c r="Y170" i="20"/>
  <c r="Z189"/>
  <c r="H194"/>
  <c r="P191" i="48"/>
  <c r="AR191" s="1"/>
  <c r="R48" i="81"/>
  <c r="R40"/>
  <c r="AA190" i="20"/>
  <c r="AA193" s="1"/>
  <c r="AA195" s="1"/>
  <c r="Q38" i="81"/>
  <c r="M23" i="82"/>
  <c r="M24" s="1"/>
  <c r="M27" s="1"/>
  <c r="AB180" i="48" l="1"/>
  <c r="AB170"/>
  <c r="N143"/>
  <c r="N151" s="1"/>
  <c r="N191"/>
  <c r="N192" s="1"/>
  <c r="BI260"/>
  <c r="BB256" s="1"/>
  <c r="BB257" s="1"/>
  <c r="AI94"/>
  <c r="N181"/>
  <c r="N159"/>
  <c r="AB94"/>
  <c r="AB127" s="1"/>
  <c r="AB111"/>
  <c r="AW94"/>
  <c r="AW127" s="1"/>
  <c r="AP127"/>
  <c r="AP139"/>
  <c r="AP155"/>
  <c r="AP96"/>
  <c r="AI180"/>
  <c r="AW180"/>
  <c r="N129"/>
  <c r="G9" i="77"/>
  <c r="G43" s="1"/>
  <c r="N99" i="48"/>
  <c r="K54" i="77"/>
  <c r="H9" i="36"/>
  <c r="AB156" i="48"/>
  <c r="AB172" s="1"/>
  <c r="AI156"/>
  <c r="AI172" s="1"/>
  <c r="AW156"/>
  <c r="AW172" s="1"/>
  <c r="H139" i="20"/>
  <c r="P192" i="48"/>
  <c r="AR192" s="1"/>
  <c r="I192" i="20"/>
  <c r="Q190" i="48" s="1"/>
  <c r="AS190" s="1"/>
  <c r="Q40" i="81"/>
  <c r="Q48"/>
  <c r="Y189" i="20"/>
  <c r="X170"/>
  <c r="G47" i="86"/>
  <c r="H46" s="1"/>
  <c r="L23" i="82"/>
  <c r="L24" s="1"/>
  <c r="L27" s="1"/>
  <c r="Z190" i="20"/>
  <c r="Z193" s="1"/>
  <c r="Z195" s="1"/>
  <c r="P38" i="81"/>
  <c r="F49" i="86"/>
  <c r="F34" s="1"/>
  <c r="F39" s="1"/>
  <c r="AI139" i="48" l="1"/>
  <c r="AP191"/>
  <c r="AP143"/>
  <c r="AP181"/>
  <c r="AI155"/>
  <c r="AI171" s="1"/>
  <c r="AB155"/>
  <c r="AP159"/>
  <c r="AW155"/>
  <c r="AW171" s="1"/>
  <c r="AP129"/>
  <c r="G9" i="36"/>
  <c r="AP99" i="48"/>
  <c r="AI96"/>
  <c r="AB96"/>
  <c r="AW96"/>
  <c r="AW129" s="1"/>
  <c r="N132"/>
  <c r="N176"/>
  <c r="N182" s="1"/>
  <c r="N187" s="1"/>
  <c r="N188" s="1"/>
  <c r="G49" i="86"/>
  <c r="G34" s="1"/>
  <c r="G39" s="1"/>
  <c r="Q139" i="20"/>
  <c r="H143"/>
  <c r="P139" i="48"/>
  <c r="G12" i="76"/>
  <c r="K23" i="82"/>
  <c r="K24" s="1"/>
  <c r="K27" s="1"/>
  <c r="O38" i="81"/>
  <c r="Y190" i="20"/>
  <c r="Y193" s="1"/>
  <c r="Y195" s="1"/>
  <c r="X189"/>
  <c r="W170"/>
  <c r="P40" i="81"/>
  <c r="P48"/>
  <c r="H47" i="86"/>
  <c r="I46" s="1"/>
  <c r="K63" i="77" l="1"/>
  <c r="AB249" i="48"/>
  <c r="BB253"/>
  <c r="BB259" s="1"/>
  <c r="AB251" s="1"/>
  <c r="AB129"/>
  <c r="G13" i="77"/>
  <c r="AB99" i="48"/>
  <c r="AB159"/>
  <c r="AB171"/>
  <c r="AB181"/>
  <c r="AI191"/>
  <c r="AP192"/>
  <c r="AI192" s="1"/>
  <c r="AW99"/>
  <c r="AW132" s="1"/>
  <c r="AP132"/>
  <c r="AP176"/>
  <c r="AW159"/>
  <c r="AI159"/>
  <c r="AP151"/>
  <c r="AI151" s="1"/>
  <c r="AI143"/>
  <c r="AI99"/>
  <c r="G12" i="77"/>
  <c r="K67"/>
  <c r="AW181" i="48"/>
  <c r="AI181"/>
  <c r="H49" i="86"/>
  <c r="H34" s="1"/>
  <c r="H39" s="1"/>
  <c r="W189" i="20"/>
  <c r="V170"/>
  <c r="H42" i="81"/>
  <c r="Q143" i="20"/>
  <c r="Q151" s="1"/>
  <c r="Q164" s="1"/>
  <c r="O48" i="81"/>
  <c r="O40"/>
  <c r="P143" i="48"/>
  <c r="AR143" s="1"/>
  <c r="G15" i="76"/>
  <c r="H151" i="20"/>
  <c r="W139" i="48"/>
  <c r="AR139"/>
  <c r="I47" i="86"/>
  <c r="I36" s="1"/>
  <c r="X190" i="20"/>
  <c r="X193" s="1"/>
  <c r="X195" s="1"/>
  <c r="J23" i="82"/>
  <c r="J24" s="1"/>
  <c r="J27" s="1"/>
  <c r="N38" i="81"/>
  <c r="N161" i="48"/>
  <c r="N193"/>
  <c r="AW176" l="1"/>
  <c r="AP182"/>
  <c r="AI176"/>
  <c r="AB132"/>
  <c r="AB176"/>
  <c r="AB182" s="1"/>
  <c r="I44" i="77"/>
  <c r="G44"/>
  <c r="G18"/>
  <c r="I49" i="86"/>
  <c r="I34" s="1"/>
  <c r="I39" s="1"/>
  <c r="D41" s="1"/>
  <c r="G23" i="76"/>
  <c r="H164" i="20"/>
  <c r="P151" i="48"/>
  <c r="I23" i="82"/>
  <c r="I24" s="1"/>
  <c r="I27" s="1"/>
  <c r="M38" i="81"/>
  <c r="W190" i="20"/>
  <c r="W193" s="1"/>
  <c r="W195" s="1"/>
  <c r="W143" i="48"/>
  <c r="W151" s="1"/>
  <c r="W164" s="1"/>
  <c r="W191"/>
  <c r="V189" i="20"/>
  <c r="U170"/>
  <c r="T42" i="81"/>
  <c r="H43"/>
  <c r="I42" s="1"/>
  <c r="G43"/>
  <c r="C28" i="82" s="1"/>
  <c r="D26" s="1"/>
  <c r="D28" s="1"/>
  <c r="E26" s="1"/>
  <c r="N48" i="81"/>
  <c r="N40"/>
  <c r="N163" i="48"/>
  <c r="N164" s="1"/>
  <c r="AI182" l="1"/>
  <c r="AW182"/>
  <c r="AP187"/>
  <c r="L38" i="81"/>
  <c r="H23" i="82"/>
  <c r="H24" s="1"/>
  <c r="H27" s="1"/>
  <c r="V190" i="20"/>
  <c r="V193" s="1"/>
  <c r="V195" s="1"/>
  <c r="M40" i="81"/>
  <c r="M48"/>
  <c r="U189" i="20"/>
  <c r="T170"/>
  <c r="P164" i="48"/>
  <c r="AR151"/>
  <c r="AR164" s="1"/>
  <c r="W187"/>
  <c r="W192"/>
  <c r="X190" s="1"/>
  <c r="AI187" l="1"/>
  <c r="AP188"/>
  <c r="L40" i="81"/>
  <c r="L48"/>
  <c r="W247" i="48"/>
  <c r="W252" s="1"/>
  <c r="W253" s="1"/>
  <c r="W188"/>
  <c r="K38" i="81"/>
  <c r="G23" i="82"/>
  <c r="G24" s="1"/>
  <c r="G27" s="1"/>
  <c r="U190" i="20"/>
  <c r="U193" s="1"/>
  <c r="U195" s="1"/>
  <c r="S170"/>
  <c r="S189" s="1"/>
  <c r="T189"/>
  <c r="AI188" i="48" l="1"/>
  <c r="AI193" s="1"/>
  <c r="AP193"/>
  <c r="AP161"/>
  <c r="S190" i="20"/>
  <c r="S161"/>
  <c r="I38" i="81"/>
  <c r="I189" i="20"/>
  <c r="E23" i="82"/>
  <c r="E24" s="1"/>
  <c r="E27" s="1"/>
  <c r="E28" s="1"/>
  <c r="F26" s="1"/>
  <c r="J38" i="81"/>
  <c r="T190" i="20"/>
  <c r="T193" s="1"/>
  <c r="T195" s="1"/>
  <c r="F23" i="82"/>
  <c r="F24" s="1"/>
  <c r="F27" s="1"/>
  <c r="K40" i="81"/>
  <c r="K48"/>
  <c r="AP163" i="48" l="1"/>
  <c r="AP164" s="1"/>
  <c r="AI161"/>
  <c r="AI163" s="1"/>
  <c r="AI164" s="1"/>
  <c r="F28" i="82"/>
  <c r="G26" s="1"/>
  <c r="G28" s="1"/>
  <c r="H26" s="1"/>
  <c r="H28" s="1"/>
  <c r="I26" s="1"/>
  <c r="I28" s="1"/>
  <c r="J26" s="1"/>
  <c r="J28" s="1"/>
  <c r="K26" s="1"/>
  <c r="K28" s="1"/>
  <c r="L26" s="1"/>
  <c r="L28" s="1"/>
  <c r="M26" s="1"/>
  <c r="M28" s="1"/>
  <c r="N26" s="1"/>
  <c r="N28" s="1"/>
  <c r="O26" s="1"/>
  <c r="O28" s="1"/>
  <c r="S193" i="20"/>
  <c r="S194" s="1"/>
  <c r="J48" i="81"/>
  <c r="J40"/>
  <c r="T161" i="20"/>
  <c r="S163"/>
  <c r="I48" i="81"/>
  <c r="I40"/>
  <c r="I43" s="1"/>
  <c r="J42" s="1"/>
  <c r="T38"/>
  <c r="T45"/>
  <c r="Q187" i="48"/>
  <c r="AS187" s="1"/>
  <c r="I190" i="20"/>
  <c r="O101" i="22"/>
  <c r="H35" i="94"/>
  <c r="H30" s="1"/>
  <c r="H42" s="1"/>
  <c r="H45" s="1"/>
  <c r="I202" i="20"/>
  <c r="I211" s="1"/>
  <c r="I161"/>
  <c r="H38" i="66"/>
  <c r="H39" s="1"/>
  <c r="T40" i="81" l="1"/>
  <c r="T48"/>
  <c r="T53" s="1"/>
  <c r="T163" i="20"/>
  <c r="U161"/>
  <c r="S139"/>
  <c r="S143" s="1"/>
  <c r="S151" s="1"/>
  <c r="S164" s="1"/>
  <c r="T192"/>
  <c r="T194" s="1"/>
  <c r="S195"/>
  <c r="Q161" i="48"/>
  <c r="H32" i="76"/>
  <c r="I163" i="20"/>
  <c r="Q188" i="48"/>
  <c r="I193" i="20"/>
  <c r="I195" s="1"/>
  <c r="J43" i="81"/>
  <c r="K42" s="1"/>
  <c r="K43" s="1"/>
  <c r="L42" s="1"/>
  <c r="L43" s="1"/>
  <c r="M42" s="1"/>
  <c r="M43" s="1"/>
  <c r="N42" s="1"/>
  <c r="N43" s="1"/>
  <c r="O42" s="1"/>
  <c r="O43" s="1"/>
  <c r="P42" s="1"/>
  <c r="P43" s="1"/>
  <c r="Q42" s="1"/>
  <c r="Q43" s="1"/>
  <c r="R42" s="1"/>
  <c r="R43" s="1"/>
  <c r="S42" s="1"/>
  <c r="S43" s="1"/>
  <c r="G57" l="1"/>
  <c r="G56"/>
  <c r="T46"/>
  <c r="T43"/>
  <c r="G64"/>
  <c r="G63"/>
  <c r="Q163" i="48"/>
  <c r="AS163" s="1"/>
  <c r="H34" i="76"/>
  <c r="AS188" i="48"/>
  <c r="T139" i="20"/>
  <c r="T143" s="1"/>
  <c r="T151" s="1"/>
  <c r="T164" s="1"/>
  <c r="U192"/>
  <c r="U194" s="1"/>
  <c r="Q191" i="48"/>
  <c r="AS191" s="1"/>
  <c r="I194" i="20"/>
  <c r="AS161" i="48"/>
  <c r="X161"/>
  <c r="X163" s="1"/>
  <c r="U163" i="20"/>
  <c r="V161"/>
  <c r="AS193" i="48" l="1"/>
  <c r="V163" i="20"/>
  <c r="W161"/>
  <c r="I139"/>
  <c r="Q192" i="48"/>
  <c r="AS192" s="1"/>
  <c r="J192" i="20"/>
  <c r="R190" i="48" s="1"/>
  <c r="AT190" s="1"/>
  <c r="V192" i="20"/>
  <c r="V194" s="1"/>
  <c r="U139"/>
  <c r="U143" s="1"/>
  <c r="U151" s="1"/>
  <c r="U164" s="1"/>
  <c r="Q193" i="48"/>
  <c r="W192" i="20" l="1"/>
  <c r="W194" s="1"/>
  <c r="V139"/>
  <c r="V143" s="1"/>
  <c r="V151" s="1"/>
  <c r="V164" s="1"/>
  <c r="W163"/>
  <c r="X161"/>
  <c r="I143"/>
  <c r="H12" i="76"/>
  <c r="Q139" i="48"/>
  <c r="H15" i="76" l="1"/>
  <c r="Q143" i="48"/>
  <c r="AS143" s="1"/>
  <c r="I151" i="20"/>
  <c r="X192"/>
  <c r="X194" s="1"/>
  <c r="W139"/>
  <c r="W143" s="1"/>
  <c r="W151" s="1"/>
  <c r="W164" s="1"/>
  <c r="AS139" i="48"/>
  <c r="X139"/>
  <c r="X163" i="20"/>
  <c r="Y161"/>
  <c r="Y163" l="1"/>
  <c r="Z161"/>
  <c r="X191" i="48"/>
  <c r="X143"/>
  <c r="X151" s="1"/>
  <c r="X164" s="1"/>
  <c r="H23" i="76"/>
  <c r="Q151" i="48"/>
  <c r="I164" i="20"/>
  <c r="X139"/>
  <c r="X143" s="1"/>
  <c r="X151" s="1"/>
  <c r="X164" s="1"/>
  <c r="Y192"/>
  <c r="Y194" s="1"/>
  <c r="AA161" l="1"/>
  <c r="Z163"/>
  <c r="Z192"/>
  <c r="Z194" s="1"/>
  <c r="Y139"/>
  <c r="Y143" s="1"/>
  <c r="Y151" s="1"/>
  <c r="Y164" s="1"/>
  <c r="Q164" i="48"/>
  <c r="AS151"/>
  <c r="AS164" s="1"/>
  <c r="X192"/>
  <c r="Y190" s="1"/>
  <c r="X187"/>
  <c r="X247" l="1"/>
  <c r="X252" s="1"/>
  <c r="X188"/>
  <c r="X193" s="1"/>
  <c r="AA163" i="20"/>
  <c r="AB161"/>
  <c r="Z139"/>
  <c r="Z143" s="1"/>
  <c r="Z151" s="1"/>
  <c r="Z164" s="1"/>
  <c r="AA192"/>
  <c r="AA194" s="1"/>
  <c r="AB192" l="1"/>
  <c r="AB194" s="1"/>
  <c r="AA139"/>
  <c r="AA143" s="1"/>
  <c r="AA151" s="1"/>
  <c r="AA164" s="1"/>
  <c r="AC161"/>
  <c r="AB163"/>
  <c r="AC192" l="1"/>
  <c r="AC194" s="1"/>
  <c r="AB139"/>
  <c r="AB143" s="1"/>
  <c r="AB151" s="1"/>
  <c r="AB164" s="1"/>
  <c r="AC163"/>
  <c r="AD161"/>
  <c r="AD192" l="1"/>
  <c r="AD194" s="1"/>
  <c r="AC139"/>
  <c r="AC143" s="1"/>
  <c r="AC151" s="1"/>
  <c r="AC164" s="1"/>
  <c r="AD163"/>
  <c r="AE161"/>
  <c r="AE192" l="1"/>
  <c r="AE194" s="1"/>
  <c r="AD139"/>
  <c r="AD143" s="1"/>
  <c r="AD151" s="1"/>
  <c r="AD164" s="1"/>
  <c r="AE163"/>
  <c r="AF161"/>
  <c r="AE139" l="1"/>
  <c r="AE143" s="1"/>
  <c r="AE151" s="1"/>
  <c r="AE164" s="1"/>
  <c r="AF192"/>
  <c r="AF194" s="1"/>
  <c r="AG161"/>
  <c r="AF163"/>
  <c r="AG163" l="1"/>
  <c r="AF139"/>
  <c r="AF143" s="1"/>
  <c r="AF151" s="1"/>
  <c r="AF164" s="1"/>
  <c r="AG192"/>
  <c r="AG194" s="1"/>
  <c r="AH189" s="1"/>
  <c r="AH190" s="1"/>
  <c r="AH193" s="1"/>
  <c r="AH195" s="1"/>
  <c r="AH161" l="1"/>
  <c r="AH163" s="1"/>
  <c r="AG139"/>
  <c r="AG143" s="1"/>
  <c r="AG151" s="1"/>
  <c r="AG164" s="1"/>
  <c r="AH192"/>
  <c r="AH194" s="1"/>
  <c r="AI189" s="1"/>
  <c r="AI190" s="1"/>
  <c r="AI193" s="1"/>
  <c r="AI195" s="1"/>
  <c r="AI161" l="1"/>
  <c r="AI163" s="1"/>
  <c r="AI192"/>
  <c r="AI194" s="1"/>
  <c r="AJ189" s="1"/>
  <c r="AJ190" s="1"/>
  <c r="AJ193" s="1"/>
  <c r="AJ195" s="1"/>
  <c r="AH139"/>
  <c r="AH143" s="1"/>
  <c r="AH151" s="1"/>
  <c r="AH164" s="1"/>
  <c r="AJ161" l="1"/>
  <c r="AJ163" s="1"/>
  <c r="AJ192"/>
  <c r="AJ194" s="1"/>
  <c r="AI139"/>
  <c r="AI143" s="1"/>
  <c r="AI151" s="1"/>
  <c r="AI164" s="1"/>
  <c r="AJ139" l="1"/>
  <c r="AJ143" s="1"/>
  <c r="AJ151" s="1"/>
  <c r="AJ164" s="1"/>
  <c r="AK192"/>
  <c r="AK189"/>
  <c r="AK190" l="1"/>
  <c r="AK161"/>
  <c r="AK163" s="1"/>
  <c r="AK193" l="1"/>
  <c r="AK194" s="1"/>
  <c r="AK139" l="1"/>
  <c r="AK143" s="1"/>
  <c r="AK151" s="1"/>
  <c r="AK164" s="1"/>
  <c r="AL189"/>
  <c r="AL192"/>
  <c r="AK195"/>
  <c r="AL190" l="1"/>
  <c r="AL161"/>
  <c r="AL163" s="1"/>
  <c r="AL193" l="1"/>
  <c r="AL194" s="1"/>
  <c r="AM189" l="1"/>
  <c r="AL139"/>
  <c r="AL143" s="1"/>
  <c r="AL151" s="1"/>
  <c r="AL164" s="1"/>
  <c r="AM192"/>
  <c r="AL195"/>
  <c r="AM190" l="1"/>
  <c r="AM161"/>
  <c r="AM163" s="1"/>
  <c r="AM193" l="1"/>
  <c r="AM194" s="1"/>
  <c r="AN192" l="1"/>
  <c r="AN189"/>
  <c r="AM139"/>
  <c r="AM143" s="1"/>
  <c r="AM151" s="1"/>
  <c r="AM164" s="1"/>
  <c r="AM195"/>
  <c r="AN190" l="1"/>
  <c r="AN161"/>
  <c r="AN163" s="1"/>
  <c r="AN193" l="1"/>
  <c r="AN194" s="1"/>
  <c r="AO189" l="1"/>
  <c r="AO192"/>
  <c r="AN139"/>
  <c r="AN143" s="1"/>
  <c r="AN151" s="1"/>
  <c r="AN164" s="1"/>
  <c r="AN195"/>
  <c r="AO190" l="1"/>
  <c r="J189"/>
  <c r="AO161"/>
  <c r="AO163" s="1"/>
  <c r="AO193" l="1"/>
  <c r="AO194" s="1"/>
  <c r="J190"/>
  <c r="P101" i="22"/>
  <c r="I38" i="66"/>
  <c r="I39" s="1"/>
  <c r="R187" i="48"/>
  <c r="AT187" s="1"/>
  <c r="I35" i="94"/>
  <c r="I30" s="1"/>
  <c r="I42" s="1"/>
  <c r="I45" s="1"/>
  <c r="J202" i="20"/>
  <c r="J211" s="1"/>
  <c r="J161"/>
  <c r="AP189" l="1"/>
  <c r="AP192"/>
  <c r="AO139"/>
  <c r="AO143" s="1"/>
  <c r="AO151" s="1"/>
  <c r="AO164" s="1"/>
  <c r="AO195"/>
  <c r="J193"/>
  <c r="R188" i="48"/>
  <c r="J163" i="20"/>
  <c r="I32" i="76"/>
  <c r="R161" i="48"/>
  <c r="AP190" i="20" l="1"/>
  <c r="AP161"/>
  <c r="AP163" s="1"/>
  <c r="R191" i="48"/>
  <c r="AT191" s="1"/>
  <c r="J194" i="20"/>
  <c r="Y161" i="48"/>
  <c r="Y163" s="1"/>
  <c r="AT161"/>
  <c r="AT188"/>
  <c r="R163"/>
  <c r="AT163" s="1"/>
  <c r="I34" i="76"/>
  <c r="J195" i="20"/>
  <c r="AT193" i="48" l="1"/>
  <c r="R193"/>
  <c r="AP193" i="20"/>
  <c r="AP194" s="1"/>
  <c r="R192" i="48"/>
  <c r="AT192" s="1"/>
  <c r="J139" i="20"/>
  <c r="K192"/>
  <c r="S190" i="48" s="1"/>
  <c r="AU190" s="1"/>
  <c r="AQ192" i="20" l="1"/>
  <c r="AP139"/>
  <c r="AP143" s="1"/>
  <c r="AP151" s="1"/>
  <c r="AP164" s="1"/>
  <c r="AQ189"/>
  <c r="R139" i="48"/>
  <c r="J143" i="20"/>
  <c r="I12" i="76"/>
  <c r="AP195" i="20"/>
  <c r="J151" l="1"/>
  <c r="I15" i="76"/>
  <c r="R143" i="48"/>
  <c r="AT143" s="1"/>
  <c r="AQ190" i="20"/>
  <c r="AQ161"/>
  <c r="AQ163" s="1"/>
  <c r="AT139" i="48"/>
  <c r="Y139"/>
  <c r="I23" i="76" l="1"/>
  <c r="J164" i="20"/>
  <c r="R151" i="48"/>
  <c r="Y191"/>
  <c r="Y143"/>
  <c r="Y151" s="1"/>
  <c r="Y164" s="1"/>
  <c r="AQ193" i="20"/>
  <c r="AQ194" s="1"/>
  <c r="AR189" l="1"/>
  <c r="AR192"/>
  <c r="AQ139"/>
  <c r="AQ143" s="1"/>
  <c r="AQ151" s="1"/>
  <c r="AQ164" s="1"/>
  <c r="Y192" i="48"/>
  <c r="Z190" s="1"/>
  <c r="Y187"/>
  <c r="AT151"/>
  <c r="AT164" s="1"/>
  <c r="R164"/>
  <c r="AQ195" i="20"/>
  <c r="Y188" i="48" l="1"/>
  <c r="Y193" s="1"/>
  <c r="Y247"/>
  <c r="Y252" s="1"/>
  <c r="AR190" i="20"/>
  <c r="AR161"/>
  <c r="AR163" s="1"/>
  <c r="AR193" l="1"/>
  <c r="AR194" s="1"/>
  <c r="AR195" l="1"/>
  <c r="AR139"/>
  <c r="AR143" s="1"/>
  <c r="AR151" s="1"/>
  <c r="AR164" s="1"/>
  <c r="AS192"/>
  <c r="AS189"/>
  <c r="AS161" l="1"/>
  <c r="AS163" s="1"/>
  <c r="AS190"/>
  <c r="AS193" l="1"/>
  <c r="AS194" s="1"/>
  <c r="AT192" l="1"/>
  <c r="AS139"/>
  <c r="AS143" s="1"/>
  <c r="AS151" s="1"/>
  <c r="AS164" s="1"/>
  <c r="AT189"/>
  <c r="AS195"/>
  <c r="AT190" l="1"/>
  <c r="AT161"/>
  <c r="AT163" s="1"/>
  <c r="AT193" l="1"/>
  <c r="AT194" s="1"/>
  <c r="AU192" l="1"/>
  <c r="AT139"/>
  <c r="AT143" s="1"/>
  <c r="AT151" s="1"/>
  <c r="AT164" s="1"/>
  <c r="AU189"/>
  <c r="AT195"/>
  <c r="AU161" l="1"/>
  <c r="AU163" s="1"/>
  <c r="AU190"/>
  <c r="AU193" l="1"/>
  <c r="AU194" s="1"/>
  <c r="AU195" l="1"/>
  <c r="AU139"/>
  <c r="AU143" s="1"/>
  <c r="AU151" s="1"/>
  <c r="AU164" s="1"/>
  <c r="AV192"/>
  <c r="AV189"/>
  <c r="AV161" l="1"/>
  <c r="AV163" s="1"/>
  <c r="AV190"/>
  <c r="AV193" l="1"/>
  <c r="AV194" s="1"/>
  <c r="AV139" l="1"/>
  <c r="AV143" s="1"/>
  <c r="AV151" s="1"/>
  <c r="AV164" s="1"/>
  <c r="AW192"/>
  <c r="AW189"/>
  <c r="AV195"/>
  <c r="AW190" l="1"/>
  <c r="AW161"/>
  <c r="AW163" s="1"/>
  <c r="AW193" l="1"/>
  <c r="AW194" s="1"/>
  <c r="AW195" l="1"/>
  <c r="AW139"/>
  <c r="AW143" s="1"/>
  <c r="AW151" s="1"/>
  <c r="AW164" s="1"/>
  <c r="AX192"/>
  <c r="AX189"/>
  <c r="AX190" l="1"/>
  <c r="AX161"/>
  <c r="AX163" s="1"/>
  <c r="AX193" l="1"/>
  <c r="AX194" s="1"/>
  <c r="AX139" l="1"/>
  <c r="AX143" s="1"/>
  <c r="AX151" s="1"/>
  <c r="AX164" s="1"/>
  <c r="AY192"/>
  <c r="AY189"/>
  <c r="AX195"/>
  <c r="AY161" l="1"/>
  <c r="AY163" s="1"/>
  <c r="AY190"/>
  <c r="AY193" l="1"/>
  <c r="AY194" s="1"/>
  <c r="AY195" l="1"/>
  <c r="AZ189"/>
  <c r="AZ192"/>
  <c r="AY139"/>
  <c r="AY143" s="1"/>
  <c r="AY151" s="1"/>
  <c r="AY164" s="1"/>
  <c r="AZ190" l="1"/>
  <c r="AZ161"/>
  <c r="AZ163" s="1"/>
  <c r="AZ193" l="1"/>
  <c r="AZ194" s="1"/>
  <c r="AZ195" l="1"/>
  <c r="AZ139"/>
  <c r="AZ143" s="1"/>
  <c r="AZ151" s="1"/>
  <c r="AZ164" s="1"/>
  <c r="BA189"/>
  <c r="BA192"/>
  <c r="BA190" l="1"/>
  <c r="K189"/>
  <c r="BA161"/>
  <c r="BA163" s="1"/>
  <c r="J35" i="94" l="1"/>
  <c r="J30" s="1"/>
  <c r="J42" s="1"/>
  <c r="J45" s="1"/>
  <c r="Q101" i="22"/>
  <c r="S187" i="48"/>
  <c r="AU187" s="1"/>
  <c r="K190" i="20"/>
  <c r="J38" i="66"/>
  <c r="J39" s="1"/>
  <c r="K202" i="20"/>
  <c r="K211" s="1"/>
  <c r="K161"/>
  <c r="BA193"/>
  <c r="BA194" s="1"/>
  <c r="BA195" l="1"/>
  <c r="S161" i="48"/>
  <c r="J32" i="76"/>
  <c r="K163" i="20"/>
  <c r="BB189"/>
  <c r="BB192"/>
  <c r="BA139"/>
  <c r="BA143" s="1"/>
  <c r="BA151" s="1"/>
  <c r="BA164" s="1"/>
  <c r="S188" i="48"/>
  <c r="K193" i="20"/>
  <c r="Z161" i="48" l="1"/>
  <c r="Z163" s="1"/>
  <c r="AU161"/>
  <c r="AU188"/>
  <c r="J34" i="76"/>
  <c r="S163" i="48"/>
  <c r="AU163" s="1"/>
  <c r="K195" i="20"/>
  <c r="K194"/>
  <c r="S191" i="48"/>
  <c r="AU191" s="1"/>
  <c r="BB190" i="20"/>
  <c r="BB161"/>
  <c r="BB163" s="1"/>
  <c r="S193" i="48" l="1"/>
  <c r="K139" i="20"/>
  <c r="L192"/>
  <c r="T190" i="48" s="1"/>
  <c r="AV190" s="1"/>
  <c r="S192"/>
  <c r="AU192" s="1"/>
  <c r="BB193" i="20"/>
  <c r="BB194" s="1"/>
  <c r="AU193" i="48"/>
  <c r="BB195" i="20" l="1"/>
  <c r="S139" i="48"/>
  <c r="J12" i="76"/>
  <c r="K143" i="20"/>
  <c r="BB139"/>
  <c r="BB143" s="1"/>
  <c r="BB151" s="1"/>
  <c r="BB164" s="1"/>
  <c r="BC192"/>
  <c r="BC189"/>
  <c r="BC190" l="1"/>
  <c r="BC161"/>
  <c r="BC163" s="1"/>
  <c r="AU139" i="48"/>
  <c r="Z139"/>
  <c r="J15" i="76"/>
  <c r="S143" i="48"/>
  <c r="AU143" s="1"/>
  <c r="K151" i="20"/>
  <c r="J23" i="76" l="1"/>
  <c r="K164" i="20"/>
  <c r="S151" i="48"/>
  <c r="BC193" i="20"/>
  <c r="BC194" s="1"/>
  <c r="Z143" i="48"/>
  <c r="Z191"/>
  <c r="BC195" i="20" l="1"/>
  <c r="Z151" i="48"/>
  <c r="Z164" s="1"/>
  <c r="Z226"/>
  <c r="Z228" s="1"/>
  <c r="Z240" s="1"/>
  <c r="Z241" s="1"/>
  <c r="R3" i="18" s="1"/>
  <c r="Z192" i="48"/>
  <c r="AA190" s="1"/>
  <c r="Z187"/>
  <c r="AU151"/>
  <c r="AU164" s="1"/>
  <c r="S164"/>
  <c r="BD192" i="20"/>
  <c r="BC139"/>
  <c r="BC143" s="1"/>
  <c r="BC151" s="1"/>
  <c r="BC164" s="1"/>
  <c r="BD189"/>
  <c r="BD161" l="1"/>
  <c r="BD163" s="1"/>
  <c r="BD190"/>
  <c r="N105" i="22"/>
  <c r="C24" i="61"/>
  <c r="C23" s="1"/>
  <c r="I5" i="22"/>
  <c r="W24" i="61"/>
  <c r="W23" s="1"/>
  <c r="M24"/>
  <c r="M23" s="1"/>
  <c r="Z188" i="48"/>
  <c r="Z193" s="1"/>
  <c r="Z247"/>
  <c r="Z252" s="1"/>
  <c r="BD193" i="20" l="1"/>
  <c r="BD194" s="1"/>
  <c r="BE192" l="1"/>
  <c r="BE189"/>
  <c r="BD139"/>
  <c r="BD143" s="1"/>
  <c r="BD151" s="1"/>
  <c r="BD164" s="1"/>
  <c r="BD195"/>
  <c r="BE161" l="1"/>
  <c r="BE163" s="1"/>
  <c r="BE190"/>
  <c r="BE193" l="1"/>
  <c r="BE194" s="1"/>
  <c r="BE195" l="1"/>
  <c r="BF192"/>
  <c r="BE139"/>
  <c r="BE143" s="1"/>
  <c r="BE151" s="1"/>
  <c r="BE164" s="1"/>
  <c r="BF189"/>
  <c r="BF190" l="1"/>
  <c r="BF161"/>
  <c r="BF163" s="1"/>
  <c r="BF193" l="1"/>
  <c r="BF194" s="1"/>
  <c r="BG192" l="1"/>
  <c r="BF139"/>
  <c r="BF143" s="1"/>
  <c r="BF151" s="1"/>
  <c r="BF164" s="1"/>
  <c r="BG189"/>
  <c r="BF195"/>
  <c r="BG190" l="1"/>
  <c r="BG161"/>
  <c r="BG163" s="1"/>
  <c r="BG193" l="1"/>
  <c r="BG194" s="1"/>
  <c r="BG195" l="1"/>
  <c r="BH189"/>
  <c r="BG139"/>
  <c r="BG143" s="1"/>
  <c r="BG151" s="1"/>
  <c r="BG164" s="1"/>
  <c r="BH192"/>
  <c r="BH190" l="1"/>
  <c r="BH161"/>
  <c r="BH163" s="1"/>
  <c r="BH193" l="1"/>
  <c r="BH194" s="1"/>
  <c r="BH195" l="1"/>
  <c r="BH139"/>
  <c r="BH143" s="1"/>
  <c r="BH151" s="1"/>
  <c r="BH164" s="1"/>
  <c r="BI189"/>
  <c r="BI192"/>
  <c r="BI190" l="1"/>
  <c r="BI161"/>
  <c r="BI163" s="1"/>
  <c r="BI193" l="1"/>
  <c r="BI194" s="1"/>
  <c r="BI195" l="1"/>
  <c r="BJ192"/>
  <c r="BI139"/>
  <c r="BI143" s="1"/>
  <c r="BI151" s="1"/>
  <c r="BI164" s="1"/>
  <c r="BJ189"/>
  <c r="BJ190" l="1"/>
  <c r="BJ161"/>
  <c r="BJ163" s="1"/>
  <c r="BJ193" l="1"/>
  <c r="BJ194" s="1"/>
  <c r="BK192" l="1"/>
  <c r="BJ139"/>
  <c r="BJ143" s="1"/>
  <c r="BJ151" s="1"/>
  <c r="BJ164" s="1"/>
  <c r="BK189"/>
  <c r="BJ195"/>
  <c r="BK190" l="1"/>
  <c r="BK161"/>
  <c r="BK163" s="1"/>
  <c r="BK193" l="1"/>
  <c r="BK194" s="1"/>
  <c r="BK139" l="1"/>
  <c r="BK143" s="1"/>
  <c r="BK151" s="1"/>
  <c r="BK164" s="1"/>
  <c r="BL189"/>
  <c r="BL192"/>
  <c r="BK195"/>
  <c r="BL190" l="1"/>
  <c r="BL161"/>
  <c r="BL163" s="1"/>
  <c r="BL193" l="1"/>
  <c r="BL194" s="1"/>
  <c r="BL195" l="1"/>
  <c r="BL139"/>
  <c r="BL143" s="1"/>
  <c r="BL151" s="1"/>
  <c r="BL164" s="1"/>
  <c r="BM189"/>
  <c r="BM192"/>
  <c r="BM190" l="1"/>
  <c r="L189"/>
  <c r="BM161"/>
  <c r="BM163" s="1"/>
  <c r="BM193" l="1"/>
  <c r="BM194" s="1"/>
  <c r="K38" i="66"/>
  <c r="K39" s="1"/>
  <c r="L190" i="20"/>
  <c r="L161"/>
  <c r="K35" i="94"/>
  <c r="K30" s="1"/>
  <c r="K42" s="1"/>
  <c r="K45" s="1"/>
  <c r="L202" i="20"/>
  <c r="L211" s="1"/>
  <c r="T187" i="48"/>
  <c r="AV187" s="1"/>
  <c r="R101" i="22"/>
  <c r="BM195" i="20" l="1"/>
  <c r="K32" i="76"/>
  <c r="L163" i="20"/>
  <c r="T161" i="48"/>
  <c r="BN189" i="20"/>
  <c r="BM139"/>
  <c r="BM143" s="1"/>
  <c r="BM151" s="1"/>
  <c r="BM164" s="1"/>
  <c r="BN192"/>
  <c r="L193"/>
  <c r="T188" i="48"/>
  <c r="AV188" l="1"/>
  <c r="BN161" i="20"/>
  <c r="BN163" s="1"/>
  <c r="BN190"/>
  <c r="K34" i="76"/>
  <c r="T163" i="48"/>
  <c r="AV163" s="1"/>
  <c r="L195" i="20"/>
  <c r="T191" i="48"/>
  <c r="AV191" s="1"/>
  <c r="L194" i="20"/>
  <c r="AV161" i="48"/>
  <c r="AA161"/>
  <c r="AA163" s="1"/>
  <c r="BN193" i="20" l="1"/>
  <c r="BN194" s="1"/>
  <c r="L139"/>
  <c r="M192"/>
  <c r="U190" i="48" s="1"/>
  <c r="AW190" s="1"/>
  <c r="T192"/>
  <c r="AV192" s="1"/>
  <c r="AV193"/>
  <c r="T193"/>
  <c r="BN195" i="20" l="1"/>
  <c r="K12" i="76"/>
  <c r="T139" i="48"/>
  <c r="L143" i="20"/>
  <c r="BO192"/>
  <c r="BO189"/>
  <c r="BN139"/>
  <c r="BN143" s="1"/>
  <c r="BN151" s="1"/>
  <c r="BN164" s="1"/>
  <c r="BO161" l="1"/>
  <c r="BO163" s="1"/>
  <c r="BO190"/>
  <c r="AA139" i="48"/>
  <c r="AV139"/>
  <c r="K15" i="76"/>
  <c r="T143" i="48"/>
  <c r="AV143" s="1"/>
  <c r="L151" i="20"/>
  <c r="BO193" l="1"/>
  <c r="BO194" s="1"/>
  <c r="T151" i="48"/>
  <c r="K23" i="76"/>
  <c r="L164" i="20"/>
  <c r="AA191" i="48"/>
  <c r="AA143"/>
  <c r="AA151" s="1"/>
  <c r="AA164" s="1"/>
  <c r="BO195" i="20" l="1"/>
  <c r="BP192"/>
  <c r="BO139"/>
  <c r="BO143" s="1"/>
  <c r="BO151" s="1"/>
  <c r="BO164" s="1"/>
  <c r="BP189"/>
  <c r="AA192" i="48"/>
  <c r="AB190" s="1"/>
  <c r="AA187"/>
  <c r="AV151"/>
  <c r="AV164" s="1"/>
  <c r="T164"/>
  <c r="AA188" l="1"/>
  <c r="AA193" s="1"/>
  <c r="AA247"/>
  <c r="AA252" s="1"/>
  <c r="BP190" i="20"/>
  <c r="BP161"/>
  <c r="BP163" s="1"/>
  <c r="BP193" l="1"/>
  <c r="BP194" s="1"/>
  <c r="BP195" l="1"/>
  <c r="BP139"/>
  <c r="BP143" s="1"/>
  <c r="BP151" s="1"/>
  <c r="BP164" s="1"/>
  <c r="BQ189"/>
  <c r="BQ192"/>
  <c r="BQ190" l="1"/>
  <c r="BQ161"/>
  <c r="BQ163" s="1"/>
  <c r="BQ193" l="1"/>
  <c r="BQ194" s="1"/>
  <c r="BQ139" l="1"/>
  <c r="BQ143" s="1"/>
  <c r="BQ151" s="1"/>
  <c r="BQ164" s="1"/>
  <c r="BR189"/>
  <c r="BR192"/>
  <c r="BQ195"/>
  <c r="BR190" l="1"/>
  <c r="BR161"/>
  <c r="BR163" s="1"/>
  <c r="BR193" l="1"/>
  <c r="BR194" s="1"/>
  <c r="BR139" l="1"/>
  <c r="BR143" s="1"/>
  <c r="BR151" s="1"/>
  <c r="BR164" s="1"/>
  <c r="BS189"/>
  <c r="BS192"/>
  <c r="BR195"/>
  <c r="BS190" l="1"/>
  <c r="BS161"/>
  <c r="BS163" s="1"/>
  <c r="BS193" l="1"/>
  <c r="BS194" s="1"/>
  <c r="BS139" l="1"/>
  <c r="BS143" s="1"/>
  <c r="BS151" s="1"/>
  <c r="BS164" s="1"/>
  <c r="BT192"/>
  <c r="BT189"/>
  <c r="BS195"/>
  <c r="BT190" l="1"/>
  <c r="BT161"/>
  <c r="BT163" s="1"/>
  <c r="BT193" l="1"/>
  <c r="BT194" s="1"/>
  <c r="BU189" l="1"/>
  <c r="BT139"/>
  <c r="BT143" s="1"/>
  <c r="BT151" s="1"/>
  <c r="BT164" s="1"/>
  <c r="BU192"/>
  <c r="BT195"/>
  <c r="BU190" l="1"/>
  <c r="BU161"/>
  <c r="BU163" s="1"/>
  <c r="BU193" l="1"/>
  <c r="BU194" s="1"/>
  <c r="BU195" l="1"/>
  <c r="BV192"/>
  <c r="BU139"/>
  <c r="BU143" s="1"/>
  <c r="BU151" s="1"/>
  <c r="BU164" s="1"/>
  <c r="BV189"/>
  <c r="BV190" l="1"/>
  <c r="BV161"/>
  <c r="BV163" s="1"/>
  <c r="BV193" l="1"/>
  <c r="BV194" s="1"/>
  <c r="BV195" l="1"/>
  <c r="BW189"/>
  <c r="BV139"/>
  <c r="BV143" s="1"/>
  <c r="BV151" s="1"/>
  <c r="BV164" s="1"/>
  <c r="BW192"/>
  <c r="BW190" l="1"/>
  <c r="BW161"/>
  <c r="BW163" s="1"/>
  <c r="BW193" l="1"/>
  <c r="BW194" s="1"/>
  <c r="BX192" l="1"/>
  <c r="BW139"/>
  <c r="BW143" s="1"/>
  <c r="BW151" s="1"/>
  <c r="BW164" s="1"/>
  <c r="BX189"/>
  <c r="BW195"/>
  <c r="BX190" l="1"/>
  <c r="BX161"/>
  <c r="BX163" s="1"/>
  <c r="BX193" l="1"/>
  <c r="BX194" s="1"/>
  <c r="BY189" l="1"/>
  <c r="BY192"/>
  <c r="BX139"/>
  <c r="BX143" s="1"/>
  <c r="BX151" s="1"/>
  <c r="BX164" s="1"/>
  <c r="BX195"/>
  <c r="BY190" l="1"/>
  <c r="M189"/>
  <c r="BY161"/>
  <c r="BY163" s="1"/>
  <c r="L38" i="66" l="1"/>
  <c r="M190" i="20"/>
  <c r="S101" i="22"/>
  <c r="BZ189" i="20"/>
  <c r="U187" i="48"/>
  <c r="AW187" s="1"/>
  <c r="L35" i="94"/>
  <c r="M202" i="20"/>
  <c r="M211" s="1"/>
  <c r="M161"/>
  <c r="BY193"/>
  <c r="BY194" s="1"/>
  <c r="BY139" s="1"/>
  <c r="BY143" s="1"/>
  <c r="BY151" s="1"/>
  <c r="BY164" s="1"/>
  <c r="BY195" l="1"/>
  <c r="L39" i="66"/>
  <c r="N38"/>
  <c r="L30" i="94"/>
  <c r="N35"/>
  <c r="BZ190" i="20"/>
  <c r="U188" i="48"/>
  <c r="M193" i="20"/>
  <c r="M212"/>
  <c r="K212"/>
  <c r="I212"/>
  <c r="L212"/>
  <c r="I215"/>
  <c r="I214"/>
  <c r="J212"/>
  <c r="BZ161"/>
  <c r="L32" i="76"/>
  <c r="M163" i="20"/>
  <c r="U161" i="48"/>
  <c r="H215" i="20" l="1"/>
  <c r="H214"/>
  <c r="BZ193"/>
  <c r="M194"/>
  <c r="U191" i="48"/>
  <c r="AW191" s="1"/>
  <c r="AW161"/>
  <c r="AB161"/>
  <c r="AB163" s="1"/>
  <c r="BZ163" i="20"/>
  <c r="L34" i="76"/>
  <c r="U163" i="48"/>
  <c r="AW163" s="1"/>
  <c r="AW188"/>
  <c r="N30" i="94"/>
  <c r="L42"/>
  <c r="M195" i="20"/>
  <c r="AW193" i="48" l="1"/>
  <c r="U193"/>
  <c r="U192"/>
  <c r="AW192" s="1"/>
  <c r="M139" i="20"/>
  <c r="N42" i="94"/>
  <c r="G49"/>
  <c r="G48"/>
  <c r="R4" i="18" s="1"/>
  <c r="L45" i="94"/>
  <c r="N45" s="1"/>
  <c r="W38" i="61" l="1"/>
  <c r="W37" s="1"/>
  <c r="Q104" i="22"/>
  <c r="C38" i="61"/>
  <c r="C37" s="1"/>
  <c r="M38"/>
  <c r="M37" s="1"/>
  <c r="L12" i="76"/>
  <c r="U139" i="48"/>
  <c r="BZ139" i="20"/>
  <c r="M143"/>
  <c r="AB139" i="48" l="1"/>
  <c r="AW139"/>
  <c r="U143"/>
  <c r="AW143" s="1"/>
  <c r="M151" i="20"/>
  <c r="L15" i="76"/>
  <c r="BZ143" i="20"/>
  <c r="AB191" i="48" l="1"/>
  <c r="AB143"/>
  <c r="AB151" s="1"/>
  <c r="AB164" s="1"/>
  <c r="M164" i="20"/>
  <c r="BZ164" s="1"/>
  <c r="U151" i="48"/>
  <c r="BZ151" i="20"/>
  <c r="L23" i="76"/>
  <c r="AB192" i="48" l="1"/>
  <c r="AB187"/>
  <c r="U164"/>
  <c r="AW151"/>
  <c r="AW164" s="1"/>
  <c r="AB247" l="1"/>
  <c r="AB252" s="1"/>
  <c r="AB188"/>
  <c r="AB193" s="1"/>
  <c r="X253" l="1"/>
  <c r="Z253"/>
  <c r="X256"/>
  <c r="X255"/>
  <c r="R2" i="18" s="1"/>
  <c r="Y253" i="48"/>
  <c r="AB253"/>
  <c r="AA253"/>
  <c r="V256" l="1"/>
  <c r="V255"/>
  <c r="G37" i="77"/>
  <c r="M10" i="61"/>
  <c r="M9" s="1"/>
  <c r="I4" i="22"/>
  <c r="C10" i="61"/>
  <c r="C9" s="1"/>
  <c r="W10"/>
  <c r="W9" s="1"/>
  <c r="N104" i="22"/>
</calcChain>
</file>

<file path=xl/comments1.xml><?xml version="1.0" encoding="utf-8"?>
<comments xmlns="http://schemas.openxmlformats.org/spreadsheetml/2006/main">
  <authors>
    <author>qnguyen</author>
  </authors>
  <commentList>
    <comment ref="F5" authorId="0">
      <text>
        <r>
          <rPr>
            <sz val="8"/>
            <color indexed="81"/>
            <rFont val="Tahoma"/>
            <family val="2"/>
          </rPr>
          <t xml:space="preserve">11/01/10: when template is blank, variance is $1K for village spirit
</t>
        </r>
      </text>
    </comment>
  </commentList>
</comments>
</file>

<file path=xl/comments2.xml><?xml version="1.0" encoding="utf-8"?>
<comments xmlns="http://schemas.openxmlformats.org/spreadsheetml/2006/main">
  <authors>
    <author>Administrator</author>
    <author>qnguyen</author>
  </authors>
  <commentList>
    <comment ref="A9" authorId="0">
      <text>
        <r>
          <rPr>
            <sz val="10"/>
            <color indexed="81"/>
            <rFont val="Tahoma"/>
            <family val="2"/>
          </rPr>
          <t xml:space="preserve">Frequency: 3.0
</t>
        </r>
      </text>
    </comment>
    <comment ref="A10" authorId="0">
      <text>
        <r>
          <rPr>
            <sz val="10"/>
            <color indexed="81"/>
            <rFont val="Tahoma"/>
            <family val="2"/>
          </rPr>
          <t>Frequency: 4.3</t>
        </r>
      </text>
    </comment>
    <comment ref="L211" authorId="1">
      <text>
        <r>
          <rPr>
            <sz val="8"/>
            <color indexed="81"/>
            <rFont val="Tahoma"/>
            <family val="2"/>
          </rPr>
          <t xml:space="preserve">09/23/10: assume Reimb Freq = Yr5 Reimb Freq
</t>
        </r>
      </text>
    </comment>
    <comment ref="L212" authorId="1">
      <text>
        <r>
          <rPr>
            <sz val="8"/>
            <color indexed="81"/>
            <rFont val="Tahoma"/>
            <family val="2"/>
          </rPr>
          <t xml:space="preserve">09/23/10: assume Reimb Freq = Yr5 Reimb Freq
</t>
        </r>
      </text>
    </comment>
    <comment ref="L213" authorId="1">
      <text>
        <r>
          <rPr>
            <sz val="8"/>
            <color indexed="81"/>
            <rFont val="Tahoma"/>
            <family val="2"/>
          </rPr>
          <t xml:space="preserve">09/23/10: assume Reimb Freq = Yr5 Reimb Freq
</t>
        </r>
      </text>
    </comment>
    <comment ref="L214" authorId="1">
      <text>
        <r>
          <rPr>
            <sz val="8"/>
            <color indexed="81"/>
            <rFont val="Tahoma"/>
            <family val="2"/>
          </rPr>
          <t xml:space="preserve">09/23/10: assume Reimb Freq = Yr5 Reimb Freq
</t>
        </r>
      </text>
    </comment>
  </commentList>
</comments>
</file>

<file path=xl/comments3.xml><?xml version="1.0" encoding="utf-8"?>
<comments xmlns="http://schemas.openxmlformats.org/spreadsheetml/2006/main">
  <authors>
    <author>qnguyen</author>
  </authors>
  <commentList>
    <comment ref="Q9" authorId="0">
      <text>
        <r>
          <rPr>
            <sz val="10"/>
            <color indexed="81"/>
            <rFont val="Tahoma"/>
            <family val="2"/>
          </rPr>
          <t>NOTE: capacity on this tab needs to mirror capacity on tab [2.0]</t>
        </r>
      </text>
    </comment>
    <comment ref="AB9" authorId="0">
      <text>
        <r>
          <rPr>
            <sz val="10"/>
            <color indexed="81"/>
            <rFont val="Tahoma"/>
            <family val="2"/>
          </rPr>
          <t>NOTE: capacity on this tab needs to mirror capacity on tab [2.0]</t>
        </r>
      </text>
    </comment>
    <comment ref="Q49" authorId="0">
      <text>
        <r>
          <rPr>
            <sz val="10"/>
            <color indexed="81"/>
            <rFont val="Tahoma"/>
            <family val="2"/>
          </rPr>
          <t>NOTE: capacity on this tab needs to mirror capacity on tab [2.0]</t>
        </r>
      </text>
    </comment>
    <comment ref="AB49" authorId="0">
      <text>
        <r>
          <rPr>
            <sz val="10"/>
            <color indexed="81"/>
            <rFont val="Tahoma"/>
            <family val="2"/>
          </rPr>
          <t>NOTE: capacity on this tab needs to mirror capacity on tab [2.0]</t>
        </r>
      </text>
    </comment>
    <comment ref="Q88" authorId="0">
      <text>
        <r>
          <rPr>
            <sz val="10"/>
            <color indexed="81"/>
            <rFont val="Tahoma"/>
            <family val="2"/>
          </rPr>
          <t>NOTE: capacity on this tab needs to mirror capacity on tab [2.0]</t>
        </r>
      </text>
    </comment>
    <comment ref="AB88" authorId="0">
      <text>
        <r>
          <rPr>
            <sz val="10"/>
            <color indexed="81"/>
            <rFont val="Tahoma"/>
            <family val="2"/>
          </rPr>
          <t>NOTE: capacity on this tab needs to mirror capacity on tab [2.0]</t>
        </r>
      </text>
    </comment>
  </commentList>
</comments>
</file>

<file path=xl/comments4.xml><?xml version="1.0" encoding="utf-8"?>
<comments xmlns="http://schemas.openxmlformats.org/spreadsheetml/2006/main">
  <authors>
    <author>Administrator</author>
  </authors>
  <commentList>
    <comment ref="X35" authorId="0">
      <text>
        <r>
          <rPr>
            <sz val="10"/>
            <color indexed="81"/>
            <rFont val="Tahoma"/>
            <family val="2"/>
          </rPr>
          <t>(DON'T reduce to account for return of working cap)</t>
        </r>
      </text>
    </comment>
    <comment ref="G48" authorId="0">
      <text>
        <r>
          <rPr>
            <b/>
            <sz val="8"/>
            <color indexed="81"/>
            <rFont val="Tahoma"/>
            <family val="2"/>
          </rPr>
          <t>Administrator:</t>
        </r>
        <r>
          <rPr>
            <sz val="8"/>
            <color indexed="81"/>
            <rFont val="Tahoma"/>
            <family val="2"/>
          </rPr>
          <t xml:space="preserve">
from the actual model (this model exists only to display estimated monthly cash flows).</t>
        </r>
      </text>
    </comment>
    <comment ref="G51" authorId="0">
      <text>
        <r>
          <rPr>
            <sz val="8"/>
            <color indexed="81"/>
            <rFont val="Tahoma"/>
            <family val="2"/>
          </rPr>
          <t>11/01/10: confirm w/ JYoung re. what should go into cell G50</t>
        </r>
      </text>
    </comment>
    <comment ref="D69" authorId="0">
      <text>
        <r>
          <rPr>
            <b/>
            <sz val="8"/>
            <color indexed="81"/>
            <rFont val="Tahoma"/>
            <family val="2"/>
          </rPr>
          <t>Administrator:</t>
        </r>
        <r>
          <rPr>
            <sz val="8"/>
            <color indexed="81"/>
            <rFont val="Tahoma"/>
            <family val="2"/>
          </rPr>
          <t xml:space="preserve">
can we put a row at the bottom "Other ancillary cash flows" to show the MD fees explicitely?</t>
        </r>
      </text>
    </comment>
  </commentList>
</comments>
</file>

<file path=xl/comments5.xml><?xml version="1.0" encoding="utf-8"?>
<comments xmlns="http://schemas.openxmlformats.org/spreadsheetml/2006/main">
  <authors>
    <author>Administrator</author>
  </authors>
  <commentList>
    <comment ref="F32" authorId="0">
      <text>
        <r>
          <rPr>
            <sz val="8"/>
            <color indexed="81"/>
            <rFont val="Tahoma"/>
            <family val="2"/>
          </rPr>
          <t>MAKE SURE TO CARVEOUT PICA, which is now to be part of WC</t>
        </r>
      </text>
    </comment>
  </commentList>
</comments>
</file>

<file path=xl/comments6.xml><?xml version="1.0" encoding="utf-8"?>
<comments xmlns="http://schemas.openxmlformats.org/spreadsheetml/2006/main">
  <authors>
    <author>Administrator</author>
  </authors>
  <commentList>
    <comment ref="Q32" authorId="0">
      <text>
        <r>
          <rPr>
            <b/>
            <sz val="8"/>
            <color indexed="81"/>
            <rFont val="Tahoma"/>
            <family val="2"/>
          </rPr>
          <t>between 5% - 7%</t>
        </r>
      </text>
    </comment>
    <comment ref="H47" authorId="0">
      <text>
        <r>
          <rPr>
            <b/>
            <sz val="8"/>
            <color indexed="81"/>
            <rFont val="Tahoma"/>
            <family val="2"/>
          </rPr>
          <t>standard: 10%</t>
        </r>
      </text>
    </comment>
  </commentList>
</comments>
</file>

<file path=xl/comments7.xml><?xml version="1.0" encoding="utf-8"?>
<comments xmlns="http://schemas.openxmlformats.org/spreadsheetml/2006/main">
  <authors>
    <author>qnguyen</author>
    <author>Administrator</author>
  </authors>
  <commentList>
    <comment ref="R10" authorId="0">
      <text>
        <r>
          <rPr>
            <b/>
            <sz val="8"/>
            <color indexed="10"/>
            <rFont val="Tahoma"/>
            <family val="2"/>
          </rPr>
          <t>DO NOT REVISE CELL R10</t>
        </r>
        <r>
          <rPr>
            <sz val="8"/>
            <color indexed="81"/>
            <rFont val="Tahoma"/>
            <family val="2"/>
          </rPr>
          <t xml:space="preserve">
To change ownership, please go to [1Tab_Input] cell B32</t>
        </r>
      </text>
    </comment>
    <comment ref="AA11" authorId="0">
      <text>
        <r>
          <rPr>
            <sz val="8"/>
            <color indexed="81"/>
            <rFont val="Tahoma"/>
            <family val="2"/>
          </rPr>
          <t>07/25/11: per Tacoma, round up WC to the nearest thousand</t>
        </r>
      </text>
    </comment>
    <comment ref="R40" authorId="1">
      <text>
        <r>
          <rPr>
            <sz val="8"/>
            <color indexed="81"/>
            <rFont val="Tahoma"/>
            <family val="2"/>
          </rPr>
          <t>10/21/10
7x per Finn
(DON'T reduce to account for return of working cap)
02/11/11: per C.Mehta, set multiple to 5.0x</t>
        </r>
      </text>
    </comment>
  </commentList>
</comments>
</file>

<file path=xl/comments8.xml><?xml version="1.0" encoding="utf-8"?>
<comments xmlns="http://schemas.openxmlformats.org/spreadsheetml/2006/main">
  <authors>
    <author>Administrator</author>
  </authors>
  <commentList>
    <comment ref="R33" authorId="0">
      <text>
        <r>
          <rPr>
            <sz val="10"/>
            <color indexed="81"/>
            <rFont val="Tahoma"/>
            <family val="2"/>
          </rPr>
          <t>(DON'T reduce to account for return of working cap)</t>
        </r>
      </text>
    </comment>
  </commentList>
</comments>
</file>

<file path=xl/comments9.xml><?xml version="1.0" encoding="utf-8"?>
<comments xmlns="http://schemas.openxmlformats.org/spreadsheetml/2006/main">
  <authors>
    <author>qnguyen</author>
  </authors>
  <commentList>
    <comment ref="H68" authorId="0">
      <text>
        <r>
          <rPr>
            <sz val="8"/>
            <color indexed="81"/>
            <rFont val="Tahoma"/>
            <family val="2"/>
          </rPr>
          <t>cell B32 is where user enters in DVA's share of JV (if applicable)</t>
        </r>
      </text>
    </comment>
    <comment ref="L70" authorId="0">
      <text>
        <r>
          <rPr>
            <sz val="8"/>
            <color indexed="81"/>
            <rFont val="Tahoma"/>
            <family val="2"/>
          </rPr>
          <t>reflects financial information for the entire project</t>
        </r>
      </text>
    </comment>
    <comment ref="L71" authorId="0">
      <text>
        <r>
          <rPr>
            <sz val="8"/>
            <color indexed="81"/>
            <rFont val="Tahoma"/>
            <family val="2"/>
          </rPr>
          <t>reflects financial information for: 
- Parent(s)
- DN/EX/RE/RN
- Incremental</t>
        </r>
      </text>
    </comment>
    <comment ref="L72" authorId="0">
      <text>
        <r>
          <rPr>
            <sz val="8"/>
            <color indexed="81"/>
            <rFont val="Tahoma"/>
            <family val="2"/>
          </rPr>
          <t>this tab generates the SOR to be submitted to JCI/UGL</t>
        </r>
      </text>
    </comment>
  </commentList>
</comments>
</file>

<file path=xl/comments10.xml><?xml version="1.0" encoding="utf-8"?>
<comments xmlns="http://schemas.openxmlformats.org/spreadsheetml/2006/main">
  <authors>
    <author>qnguyen</author>
  </authors>
  <commentList>
    <comment ref="D10" authorId="0">
      <text>
        <r>
          <rPr>
            <sz val="10"/>
            <color indexed="81"/>
            <rFont val="Tahoma"/>
            <family val="2"/>
          </rPr>
          <t>Is this project Offensive / Defensive / Maintenance?   Offense: new market, growth/market growth, new MD.  Defense: Value Protection, Strategic Importance, Political.  Maintenance: growth/capacity.</t>
        </r>
      </text>
    </comment>
    <comment ref="C12" authorId="0">
      <text>
        <r>
          <rPr>
            <sz val="10"/>
            <color indexed="81"/>
            <rFont val="Tahoma"/>
            <family val="2"/>
          </rPr>
          <t>Describe the overall strategic rationale of the denovo project, highlighting key drivers, such as market capacity needs, physician relationships and competitive landscape.</t>
        </r>
      </text>
    </comment>
    <comment ref="D14" authorId="0">
      <text>
        <r>
          <rPr>
            <sz val="10"/>
            <color indexed="81"/>
            <rFont val="Tahoma"/>
            <family val="2"/>
          </rPr>
          <t>Describe the risk factors affecting your ability to achieve the build the denovo and achieve the modeled plan.</t>
        </r>
      </text>
    </comment>
    <comment ref="C16" authorId="0">
      <text>
        <r>
          <rPr>
            <sz val="10"/>
            <color indexed="81"/>
            <rFont val="Tahoma"/>
            <family val="2"/>
          </rPr>
          <t>Explain the impact of "not building" the DeNovo.  What would happen to the market?  Would you continue to grow due to existing capacity? 
What competitive issues could develop?  Would our competitors move in?</t>
        </r>
      </text>
    </comment>
    <comment ref="A22" authorId="0">
      <text>
        <r>
          <rPr>
            <sz val="10"/>
            <color indexed="81"/>
            <rFont val="Tahoma"/>
            <family val="2"/>
          </rPr>
          <t>List all applicable competitors (e.g., FMC, ARA, DSI, Liberty, Hospital, etc.)</t>
        </r>
      </text>
    </comment>
    <comment ref="C29" authorId="0">
      <text>
        <r>
          <rPr>
            <sz val="10"/>
            <color indexed="81"/>
            <rFont val="Tahoma"/>
            <family val="2"/>
          </rPr>
          <t>Name of Physician or Medical Group</t>
        </r>
      </text>
    </comment>
    <comment ref="C70" authorId="0">
      <text>
        <r>
          <rPr>
            <sz val="9"/>
            <color indexed="81"/>
            <rFont val="Tahoma"/>
            <family val="2"/>
          </rPr>
          <t>assumes Yr1 staffing = 1Q Yr1 staffing</t>
        </r>
      </text>
    </comment>
    <comment ref="C79" authorId="0">
      <text>
        <r>
          <rPr>
            <sz val="9"/>
            <color indexed="81"/>
            <rFont val="Tahoma"/>
            <family val="2"/>
          </rPr>
          <t>assumes Yr1 staffing = 1Q Yr1 staffing</t>
        </r>
      </text>
    </comment>
    <comment ref="C87" authorId="0">
      <text>
        <r>
          <rPr>
            <sz val="9"/>
            <color indexed="81"/>
            <rFont val="Tahoma"/>
            <family val="2"/>
          </rPr>
          <t>assumes Yr1 staffing = 1Q Yr1 staffing</t>
        </r>
      </text>
    </comment>
    <comment ref="C95" authorId="0">
      <text>
        <r>
          <rPr>
            <sz val="9"/>
            <color indexed="81"/>
            <rFont val="Tahoma"/>
            <family val="2"/>
          </rPr>
          <t>assumes Yr1 staffing = 1Q Yr1 staffing</t>
        </r>
      </text>
    </comment>
  </commentList>
</comments>
</file>

<file path=xl/comments11.xml><?xml version="1.0" encoding="utf-8"?>
<comments xmlns="http://schemas.openxmlformats.org/spreadsheetml/2006/main">
  <authors>
    <author>qnguyen</author>
  </authors>
  <commentList>
    <comment ref="E5" authorId="0">
      <text>
        <r>
          <rPr>
            <sz val="10"/>
            <color indexed="81"/>
            <rFont val="Tahoma"/>
            <family val="2"/>
          </rPr>
          <t>If a temporary number has been assigned by the Tacoma budget support team, DFA to enter number in this field</t>
        </r>
      </text>
    </comment>
    <comment ref="I6" authorId="0">
      <text>
        <r>
          <rPr>
            <sz val="10"/>
            <color indexed="81"/>
            <rFont val="Tahoma"/>
            <family val="2"/>
          </rPr>
          <t xml:space="preserve">Differs from Model's Yr3 COC due to variance in standard assumptions; see [VMM CoC] for details; </t>
        </r>
        <r>
          <rPr>
            <b/>
            <sz val="10"/>
            <color indexed="81"/>
            <rFont val="Tahoma"/>
            <family val="2"/>
          </rPr>
          <t>does not apply to Home Training centers</t>
        </r>
      </text>
    </comment>
    <comment ref="K10" authorId="0">
      <text>
        <r>
          <rPr>
            <sz val="9"/>
            <color indexed="81"/>
            <rFont val="Tahoma"/>
            <family val="2"/>
          </rPr>
          <t xml:space="preserve">Update </t>
        </r>
        <r>
          <rPr>
            <b/>
            <sz val="9"/>
            <color indexed="81"/>
            <rFont val="Tahoma"/>
            <family val="2"/>
          </rPr>
          <t>Revision Date</t>
        </r>
        <r>
          <rPr>
            <sz val="9"/>
            <color indexed="81"/>
            <rFont val="Tahoma"/>
            <family val="2"/>
          </rPr>
          <t xml:space="preserve"> if modifying model</t>
        </r>
      </text>
    </comment>
  </commentList>
</comments>
</file>

<file path=xl/comments12.xml><?xml version="1.0" encoding="utf-8"?>
<comments xmlns="http://schemas.openxmlformats.org/spreadsheetml/2006/main">
  <authors>
    <author>Administrator</author>
  </authors>
  <commentList>
    <comment ref="C276" authorId="0">
      <text>
        <r>
          <rPr>
            <b/>
            <sz val="10"/>
            <color indexed="81"/>
            <rFont val="Tahoma"/>
            <family val="2"/>
          </rPr>
          <t>Administrator:</t>
        </r>
        <r>
          <rPr>
            <sz val="10"/>
            <color indexed="81"/>
            <rFont val="Tahoma"/>
            <family val="2"/>
          </rPr>
          <t xml:space="preserve">
Management fee, need to apply mgt fee to parent to get incremental economics?</t>
        </r>
      </text>
    </comment>
  </commentList>
</comments>
</file>

<file path=xl/comments13.xml><?xml version="1.0" encoding="utf-8"?>
<comments xmlns="http://schemas.openxmlformats.org/spreadsheetml/2006/main">
  <authors>
    <author>PCatlett</author>
    <author>Administrator</author>
  </authors>
  <commentList>
    <comment ref="G24" authorId="0">
      <text>
        <r>
          <rPr>
            <sz val="9"/>
            <color indexed="81"/>
            <rFont val="Tahoma"/>
            <family val="2"/>
          </rPr>
          <t>Pharma costs should reflect 2011 YTD expenses</t>
        </r>
      </text>
    </comment>
    <comment ref="G25" authorId="0">
      <text>
        <r>
          <rPr>
            <sz val="9"/>
            <color indexed="81"/>
            <rFont val="Tahoma"/>
            <family val="2"/>
          </rPr>
          <t>Pharma costs should reflect 2011 YTD expenses</t>
        </r>
      </text>
    </comment>
    <comment ref="G26" authorId="0">
      <text>
        <r>
          <rPr>
            <sz val="9"/>
            <color indexed="81"/>
            <rFont val="Tahoma"/>
            <family val="2"/>
          </rPr>
          <t>Pharma costs should reflect 2011 YTD expenses</t>
        </r>
      </text>
    </comment>
    <comment ref="G31" authorId="0">
      <text>
        <r>
          <rPr>
            <sz val="9"/>
            <color indexed="81"/>
            <rFont val="Tahoma"/>
            <family val="2"/>
          </rPr>
          <t>Lab costs should reflect 2011 YTD expenses</t>
        </r>
      </text>
    </comment>
    <comment ref="G32" authorId="0">
      <text>
        <r>
          <rPr>
            <sz val="9"/>
            <color indexed="81"/>
            <rFont val="Tahoma"/>
            <family val="2"/>
          </rPr>
          <t>Lab costs should reflect 2011 YTD expenses</t>
        </r>
      </text>
    </comment>
    <comment ref="G60" authorId="0">
      <text>
        <r>
          <rPr>
            <sz val="9"/>
            <color indexed="81"/>
            <rFont val="Tahoma"/>
            <family val="2"/>
          </rPr>
          <t>MC RPT reflects 2011 YTD actuals</t>
        </r>
      </text>
    </comment>
    <comment ref="B130" authorId="1">
      <text>
        <r>
          <rPr>
            <b/>
            <sz val="10"/>
            <color indexed="81"/>
            <rFont val="Tahoma"/>
            <family val="2"/>
          </rPr>
          <t>Administrator:</t>
        </r>
        <r>
          <rPr>
            <sz val="10"/>
            <color indexed="81"/>
            <rFont val="Tahoma"/>
            <family val="2"/>
          </rPr>
          <t xml:space="preserve">
trace dependents to see if this is for HHD comps</t>
        </r>
      </text>
    </comment>
  </commentList>
</comments>
</file>

<file path=xl/comments14.xml><?xml version="1.0" encoding="utf-8"?>
<comments xmlns="http://schemas.openxmlformats.org/spreadsheetml/2006/main">
  <authors>
    <author>Administrator</author>
  </authors>
  <commentList>
    <comment ref="D3" authorId="0">
      <text>
        <r>
          <rPr>
            <b/>
            <sz val="8"/>
            <color indexed="81"/>
            <rFont val="Tahoma"/>
            <family val="2"/>
          </rPr>
          <t>Administrator:</t>
        </r>
        <r>
          <rPr>
            <sz val="8"/>
            <color indexed="81"/>
            <rFont val="Tahoma"/>
            <family val="2"/>
          </rPr>
          <t xml:space="preserve">
consolidated (don't need to breakout HHD like is necessary for Income Statement)</t>
        </r>
      </text>
    </comment>
  </commentList>
</comments>
</file>

<file path=xl/comments15.xml><?xml version="1.0" encoding="utf-8"?>
<comments xmlns="http://schemas.openxmlformats.org/spreadsheetml/2006/main">
  <authors>
    <author>qnguyen</author>
    <author>Administrator</author>
  </authors>
  <commentList>
    <comment ref="S1" authorId="0">
      <text>
        <r>
          <rPr>
            <sz val="10"/>
            <color indexed="81"/>
            <rFont val="Tahoma"/>
            <family val="2"/>
          </rPr>
          <t>Southbend Downtown #11032 JV DN 02-15-13 v7.0_PSA.xlsm</t>
        </r>
        <r>
          <rPr>
            <sz val="8"/>
            <color indexed="81"/>
            <rFont val="Tahoma"/>
            <family val="2"/>
          </rPr>
          <t xml:space="preserve">
</t>
        </r>
      </text>
    </comment>
    <comment ref="F8" authorId="0">
      <text>
        <r>
          <rPr>
            <sz val="10"/>
            <color indexed="81"/>
            <rFont val="Tahoma"/>
            <family val="2"/>
          </rPr>
          <t>If more than 1 parent should be included, then Total Stations should be the sum of HD stations at all parent centers.</t>
        </r>
      </text>
    </comment>
    <comment ref="G31" authorId="0">
      <text>
        <r>
          <rPr>
            <sz val="10"/>
            <color indexed="81"/>
            <rFont val="Tahoma"/>
            <family val="2"/>
          </rPr>
          <t>NOTE: capacity on this tab needs to mirror capacity on tab [Upload_Tx]</t>
        </r>
      </text>
    </comment>
    <comment ref="G37" authorId="0">
      <text>
        <r>
          <rPr>
            <sz val="10"/>
            <color indexed="81"/>
            <rFont val="Tahoma"/>
            <family val="2"/>
          </rPr>
          <t>NOTE: capacity on this tab needs to mirror capacity on tab [Upload_Tx]</t>
        </r>
      </text>
    </comment>
    <comment ref="F72" authorId="1">
      <text>
        <r>
          <rPr>
            <sz val="10"/>
            <color indexed="81"/>
            <rFont val="Tahoma"/>
            <family val="2"/>
          </rPr>
          <t>If patients from Parent(s) will be changing modality, enter in number of patients per modality</t>
        </r>
      </text>
    </comment>
  </commentList>
</comments>
</file>

<file path=xl/comments16.xml><?xml version="1.0" encoding="utf-8"?>
<comments xmlns="http://schemas.openxmlformats.org/spreadsheetml/2006/main">
  <authors>
    <author>Administrator</author>
  </authors>
  <commentList>
    <comment ref="B4" authorId="0">
      <text>
        <r>
          <rPr>
            <sz val="9"/>
            <color indexed="81"/>
            <rFont val="Tahoma"/>
            <family val="2"/>
          </rPr>
          <t>03.31.12</t>
        </r>
      </text>
    </comment>
    <comment ref="C4" authorId="0">
      <text>
        <r>
          <rPr>
            <sz val="9"/>
            <color indexed="81"/>
            <rFont val="Tahoma"/>
            <family val="2"/>
          </rPr>
          <t>09.12</t>
        </r>
      </text>
    </comment>
  </commentList>
</comments>
</file>

<file path=xl/comments17.xml><?xml version="1.0" encoding="utf-8"?>
<comments xmlns="http://schemas.openxmlformats.org/spreadsheetml/2006/main">
  <authors>
    <author>qnguyen</author>
    <author>PCatlett</author>
    <author>DaVita User</author>
    <author>Administrator</author>
  </authors>
  <commentList>
    <comment ref="U3" authorId="0">
      <text>
        <r>
          <rPr>
            <sz val="10"/>
            <color indexed="81"/>
            <rFont val="Tahoma"/>
            <family val="2"/>
          </rPr>
          <t xml:space="preserve">default is 2011 YTD
</t>
        </r>
        <r>
          <rPr>
            <b/>
            <sz val="10"/>
            <color indexed="81"/>
            <rFont val="Tahoma"/>
            <family val="2"/>
          </rPr>
          <t>DO NOT CHANGE</t>
        </r>
      </text>
    </comment>
    <comment ref="J6" authorId="0">
      <text>
        <r>
          <rPr>
            <sz val="10"/>
            <color indexed="81"/>
            <rFont val="Tahoma"/>
            <family val="2"/>
          </rPr>
          <t xml:space="preserve">06/08/12: Home Finance suggested rate = 5%
</t>
        </r>
      </text>
    </comment>
    <comment ref="J7" authorId="0">
      <text>
        <r>
          <rPr>
            <sz val="10"/>
            <color indexed="81"/>
            <rFont val="Tahoma"/>
            <family val="2"/>
          </rPr>
          <t>06/08/12: Home Finance suggested rate = 0%</t>
        </r>
      </text>
    </comment>
    <comment ref="W7" authorId="0">
      <text>
        <r>
          <rPr>
            <sz val="9"/>
            <color indexed="81"/>
            <rFont val="Tahoma"/>
            <family val="2"/>
          </rPr>
          <t>Leave Blank; orig. based on 101207 FY11 Bundled Mcare Rev.xls</t>
        </r>
      </text>
    </comment>
    <comment ref="H15" authorId="0">
      <text>
        <r>
          <rPr>
            <sz val="10"/>
            <color indexed="81"/>
            <rFont val="Tahoma"/>
            <family val="2"/>
          </rPr>
          <t>12/28/10: see reference file [101207 FY11 Bundled Mcare Rev.xls]</t>
        </r>
      </text>
    </comment>
    <comment ref="U47" authorId="0">
      <text>
        <r>
          <rPr>
            <sz val="10"/>
            <color indexed="81"/>
            <rFont val="Tahoma"/>
            <family val="2"/>
          </rPr>
          <t xml:space="preserve">11/05/12: TACOMA RPT for #0494, #1828 &amp; #5951 = $830.03 
</t>
        </r>
      </text>
    </comment>
    <comment ref="H66" authorId="0">
      <text>
        <r>
          <rPr>
            <sz val="10"/>
            <color indexed="81"/>
            <rFont val="Tahoma"/>
            <family val="2"/>
          </rPr>
          <t xml:space="preserve">As of 06/02/11, Year 1 for a DN would reflect 2012
</t>
        </r>
      </text>
    </comment>
    <comment ref="G68" authorId="0">
      <text>
        <r>
          <rPr>
            <sz val="10"/>
            <color indexed="81"/>
            <rFont val="Tahoma"/>
            <family val="2"/>
          </rPr>
          <t>12/05/13: constant number; DO NOT CHANGE</t>
        </r>
      </text>
    </comment>
    <comment ref="H69" authorId="1">
      <text>
        <r>
          <rPr>
            <sz val="9"/>
            <color indexed="81"/>
            <rFont val="Tahoma"/>
            <family val="2"/>
          </rPr>
          <t>12/16/13: assumes (0.25%) net cut in 2014
source: 131216 DeNovo Model Medicare Revenue Growth</t>
        </r>
      </text>
    </comment>
    <comment ref="I69" authorId="1">
      <text>
        <r>
          <rPr>
            <sz val="9"/>
            <color indexed="81"/>
            <rFont val="Tahoma"/>
            <family val="2"/>
          </rPr>
          <t>12/16/13: assumes (0.25%) net cut in 2014
source: 131216 DeNovo Model Medicare Revenue Growth</t>
        </r>
      </text>
    </comment>
    <comment ref="J69" authorId="1">
      <text>
        <r>
          <rPr>
            <sz val="9"/>
            <color indexed="81"/>
            <rFont val="Tahoma"/>
            <family val="2"/>
          </rPr>
          <t>12/16/13: assumes 0% net cut in 2014
source: 131216 DeNovo Model Medicare Revenue Growth</t>
        </r>
      </text>
    </comment>
    <comment ref="K69" authorId="1">
      <text>
        <r>
          <rPr>
            <sz val="9"/>
            <color indexed="81"/>
            <rFont val="Tahoma"/>
            <family val="2"/>
          </rPr>
          <t>12/16/13: assumes 0% net cut in 2014
source: 131216 DeNovo Model Medicare Revenue Growth</t>
        </r>
      </text>
    </comment>
    <comment ref="L69" authorId="1">
      <text>
        <r>
          <rPr>
            <sz val="9"/>
            <color indexed="81"/>
            <rFont val="Tahoma"/>
            <family val="2"/>
          </rPr>
          <t>12/16/13: assumes 2.00% net growth in 2018
source: 131216 DeNovo Model Medicare Revenue Growth</t>
        </r>
      </text>
    </comment>
    <comment ref="G76" authorId="2">
      <text>
        <r>
          <rPr>
            <sz val="10"/>
            <color indexed="81"/>
            <rFont val="Tahoma"/>
            <family val="2"/>
          </rPr>
          <t xml:space="preserve">Adjusters for number of months at 3.1% adjuster, and number at 0% adjuster
</t>
        </r>
        <r>
          <rPr>
            <b/>
            <sz val="10"/>
            <color indexed="81"/>
            <rFont val="Tahoma"/>
            <family val="2"/>
          </rPr>
          <t>08/31/11: set to 0% per Corp Finance</t>
        </r>
      </text>
    </comment>
    <comment ref="H76" authorId="2">
      <text>
        <r>
          <rPr>
            <sz val="10"/>
            <color indexed="81"/>
            <rFont val="Tahoma"/>
            <family val="2"/>
          </rPr>
          <t xml:space="preserve">Adjusters for number of months at 3.1% adjuster, and number at 0% adjuster
</t>
        </r>
        <r>
          <rPr>
            <b/>
            <sz val="10"/>
            <color indexed="81"/>
            <rFont val="Tahoma"/>
            <family val="2"/>
          </rPr>
          <t>08/31/11: set to 0% per Corp Finance</t>
        </r>
      </text>
    </comment>
    <comment ref="I76" authorId="2">
      <text>
        <r>
          <rPr>
            <sz val="10"/>
            <color indexed="81"/>
            <rFont val="Tahoma"/>
            <family val="2"/>
          </rPr>
          <t xml:space="preserve">Adjusters for number of months at 3.1% adjuster, and number at 0% adjuster
</t>
        </r>
        <r>
          <rPr>
            <b/>
            <sz val="10"/>
            <color indexed="81"/>
            <rFont val="Tahoma"/>
            <family val="2"/>
          </rPr>
          <t>08/31/11: set to 0% per Corp Finance</t>
        </r>
      </text>
    </comment>
    <comment ref="J76" authorId="2">
      <text>
        <r>
          <rPr>
            <sz val="10"/>
            <color indexed="81"/>
            <rFont val="Tahoma"/>
            <family val="2"/>
          </rPr>
          <t xml:space="preserve">Adjusters for number of months at 3.1% adjuster, and number at 0% adjuster
</t>
        </r>
        <r>
          <rPr>
            <b/>
            <sz val="10"/>
            <color indexed="81"/>
            <rFont val="Tahoma"/>
            <family val="2"/>
          </rPr>
          <t>08/31/11: set to 0% per Corp Finance</t>
        </r>
      </text>
    </comment>
    <comment ref="K76" authorId="2">
      <text>
        <r>
          <rPr>
            <sz val="10"/>
            <color indexed="81"/>
            <rFont val="Tahoma"/>
            <family val="2"/>
          </rPr>
          <t xml:space="preserve">Adjusters for number of months at 3.1% adjuster, and number at 0% adjuster
</t>
        </r>
        <r>
          <rPr>
            <b/>
            <sz val="10"/>
            <color indexed="81"/>
            <rFont val="Tahoma"/>
            <family val="2"/>
          </rPr>
          <t>08/31/11: set to 0% per Corp Finance</t>
        </r>
      </text>
    </comment>
    <comment ref="L76" authorId="2">
      <text>
        <r>
          <rPr>
            <sz val="10"/>
            <color indexed="81"/>
            <rFont val="Tahoma"/>
            <family val="2"/>
          </rPr>
          <t xml:space="preserve">Adjusters for number of months at 3.1% adjuster, and number at 0% adjuster
</t>
        </r>
        <r>
          <rPr>
            <b/>
            <sz val="10"/>
            <color indexed="81"/>
            <rFont val="Tahoma"/>
            <family val="2"/>
          </rPr>
          <t>08/31/11: set to 0% per Corp Finance</t>
        </r>
      </text>
    </comment>
    <comment ref="G80" authorId="1">
      <text>
        <r>
          <rPr>
            <sz val="9"/>
            <color indexed="81"/>
            <rFont val="Tahoma"/>
            <family val="2"/>
          </rPr>
          <t>Increase in onset incidence as % of tx population vs. parent</t>
        </r>
      </text>
    </comment>
    <comment ref="H80" authorId="1">
      <text>
        <r>
          <rPr>
            <sz val="9"/>
            <color indexed="81"/>
            <rFont val="Tahoma"/>
            <family val="2"/>
          </rPr>
          <t>Increase in onset incidence as % of tx population vs. parent</t>
        </r>
      </text>
    </comment>
    <comment ref="G83" authorId="1">
      <text>
        <r>
          <rPr>
            <sz val="9"/>
            <color indexed="81"/>
            <rFont val="Tahoma"/>
            <family val="2"/>
          </rPr>
          <t>Increase in comorbidity vs. parent facility</t>
        </r>
      </text>
    </comment>
    <comment ref="H83" authorId="1">
      <text>
        <r>
          <rPr>
            <sz val="9"/>
            <color indexed="81"/>
            <rFont val="Tahoma"/>
            <family val="2"/>
          </rPr>
          <t>Increase in comorbidity vs. parent facility</t>
        </r>
      </text>
    </comment>
    <comment ref="G102" authorId="1">
      <text>
        <r>
          <rPr>
            <sz val="9"/>
            <color indexed="81"/>
            <rFont val="Tahoma"/>
            <family val="2"/>
          </rPr>
          <t>Increase in onset incidence as % of tx population vs. parent</t>
        </r>
      </text>
    </comment>
    <comment ref="H102" authorId="1">
      <text>
        <r>
          <rPr>
            <sz val="9"/>
            <color indexed="81"/>
            <rFont val="Tahoma"/>
            <family val="2"/>
          </rPr>
          <t>Increase in onset incidence as % of tx population vs. parent</t>
        </r>
      </text>
    </comment>
    <comment ref="G105" authorId="1">
      <text>
        <r>
          <rPr>
            <sz val="9"/>
            <color indexed="81"/>
            <rFont val="Tahoma"/>
            <family val="2"/>
          </rPr>
          <t>Increase in comorbidity vs. parent facility</t>
        </r>
      </text>
    </comment>
    <comment ref="H105" authorId="1">
      <text>
        <r>
          <rPr>
            <sz val="9"/>
            <color indexed="81"/>
            <rFont val="Tahoma"/>
            <family val="2"/>
          </rPr>
          <t>Increase in comorbidity vs. parent facility</t>
        </r>
      </text>
    </comment>
    <comment ref="E132" authorId="3">
      <text>
        <r>
          <rPr>
            <sz val="8"/>
            <color indexed="81"/>
            <rFont val="Tahoma"/>
            <family val="2"/>
          </rPr>
          <t>see ADJUSTMENT below</t>
        </r>
      </text>
    </comment>
  </commentList>
</comments>
</file>

<file path=xl/comments18.xml><?xml version="1.0" encoding="utf-8"?>
<comments xmlns="http://schemas.openxmlformats.org/spreadsheetml/2006/main">
  <authors>
    <author>Administrator</author>
    <author>qnguyen</author>
  </authors>
  <commentList>
    <comment ref="T10" authorId="0">
      <text>
        <r>
          <rPr>
            <b/>
            <sz val="10"/>
            <color indexed="81"/>
            <rFont val="Tahoma"/>
            <family val="2"/>
          </rPr>
          <t>Administrator:</t>
        </r>
        <r>
          <rPr>
            <sz val="10"/>
            <color indexed="81"/>
            <rFont val="Tahoma"/>
            <family val="2"/>
          </rPr>
          <t xml:space="preserve">
75% of max on FMV</t>
        </r>
      </text>
    </comment>
    <comment ref="T33" authorId="1">
      <text>
        <r>
          <rPr>
            <sz val="10"/>
            <color indexed="81"/>
            <rFont val="Tahoma"/>
            <family val="2"/>
          </rPr>
          <t xml:space="preserve">39% is standard assumption for DeNovo's only; revise if project is </t>
        </r>
        <r>
          <rPr>
            <u/>
            <sz val="10"/>
            <color indexed="81"/>
            <rFont val="Tahoma"/>
            <family val="2"/>
          </rPr>
          <t>not</t>
        </r>
        <r>
          <rPr>
            <sz val="10"/>
            <color indexed="81"/>
            <rFont val="Tahoma"/>
            <family val="2"/>
          </rPr>
          <t xml:space="preserve"> a DN</t>
        </r>
      </text>
    </comment>
    <comment ref="T100" authorId="0">
      <text>
        <r>
          <rPr>
            <sz val="8"/>
            <color indexed="81"/>
            <rFont val="Tahoma"/>
            <family val="2"/>
          </rPr>
          <t xml:space="preserve">Standard Assumption: $2,000
</t>
        </r>
      </text>
    </comment>
  </commentList>
</comments>
</file>

<file path=xl/comments19.xml><?xml version="1.0" encoding="utf-8"?>
<comments xmlns="http://schemas.openxmlformats.org/spreadsheetml/2006/main">
  <authors>
    <author>qnguyen</author>
    <author>Administrator</author>
  </authors>
  <commentList>
    <comment ref="K9" authorId="0">
      <text>
        <r>
          <rPr>
            <sz val="10"/>
            <color indexed="81"/>
            <rFont val="Tahoma"/>
            <family val="2"/>
          </rPr>
          <t>count of Hemo Stations includes ISO station(s)</t>
        </r>
      </text>
    </comment>
    <comment ref="R16" authorId="0">
      <text>
        <r>
          <rPr>
            <sz val="10"/>
            <color indexed="81"/>
            <rFont val="Tahoma"/>
            <family val="2"/>
          </rPr>
          <t xml:space="preserve">Per Incremental Chronic Station
</t>
        </r>
      </text>
    </comment>
    <comment ref="E25" authorId="1">
      <text>
        <r>
          <rPr>
            <sz val="10"/>
            <color indexed="81"/>
            <rFont val="Tahoma"/>
            <family val="2"/>
          </rPr>
          <t xml:space="preserve">8/17/09: includes Back-up Generator
</t>
        </r>
      </text>
    </comment>
  </commentList>
</comments>
</file>

<file path=xl/comments20.xml><?xml version="1.0" encoding="utf-8"?>
<comments xmlns="http://schemas.openxmlformats.org/spreadsheetml/2006/main">
  <authors>
    <author>qnguyen</author>
    <author>DRosales</author>
  </authors>
  <commentList>
    <comment ref="A3" authorId="0">
      <text>
        <r>
          <rPr>
            <sz val="10"/>
            <color indexed="81"/>
            <rFont val="Tahoma"/>
            <family val="2"/>
          </rPr>
          <t>9/10/08: updated per email from B.Olsen, per IT (Team Enterprise update 08/08/08)
9/3/09: updated per email from S.Knight/Team Enterprise</t>
        </r>
      </text>
    </comment>
    <comment ref="A8" authorId="0">
      <text>
        <r>
          <rPr>
            <sz val="10"/>
            <color indexed="81"/>
            <rFont val="Tahoma"/>
            <family val="2"/>
          </rPr>
          <t>8/17/08: updated per email from B.Olsen, eliminate this line item</t>
        </r>
      </text>
    </comment>
    <comment ref="A9" authorId="0">
      <text>
        <r>
          <rPr>
            <sz val="10"/>
            <color indexed="81"/>
            <rFont val="Tahoma"/>
            <family val="2"/>
          </rPr>
          <t>9/10/08: updated per email from B.Olsen, per IT (Team Enterprise update 08/08/08)
9/3/09: updated per email from S.Knight/Team Enterprise</t>
        </r>
      </text>
    </comment>
    <comment ref="A10" authorId="0">
      <text>
        <r>
          <rPr>
            <sz val="10"/>
            <color indexed="81"/>
            <rFont val="Tahoma"/>
            <family val="2"/>
          </rPr>
          <t>9/10/08: updated per email from B.Olsen, per IT (Team Enterprise update 08/08/08)
9/3/09: updated per email from S.Knight/Team Enterprise</t>
        </r>
      </text>
    </comment>
    <comment ref="A13" authorId="0">
      <text>
        <r>
          <rPr>
            <sz val="10"/>
            <color indexed="81"/>
            <rFont val="Tahoma"/>
            <family val="2"/>
          </rPr>
          <t>7/15/08 updated per Brian Olsen; add $3800.00 to Task Code # 05.03 Acid Mixer, to compensate for the use of the new Fresenius Granuflo over the Rockwell mixer</t>
        </r>
      </text>
    </comment>
    <comment ref="A17" authorId="0">
      <text>
        <r>
          <rPr>
            <sz val="10"/>
            <color indexed="81"/>
            <rFont val="Tahoma"/>
            <family val="2"/>
          </rPr>
          <t>3/3/08 updated based on TeamGenesis Contracted Prices_09-27-2006.xls</t>
        </r>
      </text>
    </comment>
    <comment ref="A20" authorId="1">
      <text>
        <r>
          <rPr>
            <b/>
            <sz val="10"/>
            <color indexed="81"/>
            <rFont val="Tahoma"/>
            <family val="2"/>
          </rPr>
          <t>DRosales:</t>
        </r>
        <r>
          <rPr>
            <sz val="10"/>
            <color indexed="81"/>
            <rFont val="Tahoma"/>
            <family val="2"/>
          </rPr>
          <t xml:space="preserve">
2/24 REMOVE PER PM MANAGER MEETING HOUSTON.</t>
        </r>
      </text>
    </comment>
    <comment ref="A21" authorId="0">
      <text>
        <r>
          <rPr>
            <b/>
            <sz val="10"/>
            <color indexed="81"/>
            <rFont val="Tahoma"/>
            <family val="2"/>
          </rPr>
          <t xml:space="preserve">QNguyen: 
</t>
        </r>
        <r>
          <rPr>
            <sz val="10"/>
            <color indexed="81"/>
            <rFont val="Tahoma"/>
            <family val="2"/>
          </rPr>
          <t xml:space="preserve">per TeamGenesis Contracted Prices_09-27-2006.xls "1 per 10 stations (includes 6.03)"; $600/ea
</t>
        </r>
      </text>
    </comment>
    <comment ref="A22" authorId="0">
      <text>
        <r>
          <rPr>
            <b/>
            <sz val="10"/>
            <color indexed="81"/>
            <rFont val="Tahoma"/>
            <family val="2"/>
          </rPr>
          <t xml:space="preserve">QNguyen: 
</t>
        </r>
        <r>
          <rPr>
            <sz val="10"/>
            <color indexed="81"/>
            <rFont val="Tahoma"/>
            <family val="2"/>
          </rPr>
          <t xml:space="preserve">per TeamGenesis Contracted Prices_09-27-2006.xls, no need as this is included in 06.02
</t>
        </r>
      </text>
    </comment>
    <comment ref="A26" authorId="1">
      <text>
        <r>
          <rPr>
            <b/>
            <sz val="10"/>
            <color indexed="81"/>
            <rFont val="Tahoma"/>
            <family val="2"/>
          </rPr>
          <t>DRosales:</t>
        </r>
        <r>
          <rPr>
            <sz val="10"/>
            <color indexed="81"/>
            <rFont val="Tahoma"/>
            <family val="2"/>
          </rPr>
          <t xml:space="preserve">
2/24 REMOVE PER PM MANAGER MEETING HOUSTON. (6.07/6.08/6.09/6.10)</t>
        </r>
      </text>
    </comment>
    <comment ref="A32" authorId="0">
      <text>
        <r>
          <rPr>
            <b/>
            <sz val="10"/>
            <color indexed="81"/>
            <rFont val="Tahoma"/>
            <family val="2"/>
          </rPr>
          <t xml:space="preserve">QNguyen: 
</t>
        </r>
        <r>
          <rPr>
            <sz val="10"/>
            <color indexed="81"/>
            <rFont val="Tahoma"/>
            <family val="2"/>
          </rPr>
          <t xml:space="preserve">per TeamGenesis Contracted Prices_09-27-2006.xls "Per station + 2"; $500/station + 2 (*$500)
</t>
        </r>
      </text>
    </comment>
    <comment ref="A33" authorId="1">
      <text>
        <r>
          <rPr>
            <b/>
            <sz val="10"/>
            <color indexed="81"/>
            <rFont val="Tahoma"/>
            <family val="2"/>
          </rPr>
          <t>DRosales:</t>
        </r>
        <r>
          <rPr>
            <sz val="10"/>
            <color indexed="81"/>
            <rFont val="Tahoma"/>
            <family val="2"/>
          </rPr>
          <t xml:space="preserve">
2/24 REMOVE PER PM MANAGER MEETING HOUSTON.</t>
        </r>
      </text>
    </comment>
    <comment ref="A34" authorId="1">
      <text>
        <r>
          <rPr>
            <b/>
            <sz val="10"/>
            <color indexed="81"/>
            <rFont val="Tahoma"/>
            <family val="2"/>
          </rPr>
          <t>DRosales:</t>
        </r>
        <r>
          <rPr>
            <sz val="10"/>
            <color indexed="81"/>
            <rFont val="Tahoma"/>
            <family val="2"/>
          </rPr>
          <t xml:space="preserve">
2/24 REMOVE PER PM MANAGER MEETING HOUSTON.
3/3/08: per TeamGenesis Contracted Prices_09-27-2006.xls, "0-30 stations =2, 30+ stations =3" &amp; "**Bio-Med. team will construct"</t>
        </r>
      </text>
    </comment>
    <comment ref="A35" authorId="0">
      <text>
        <r>
          <rPr>
            <b/>
            <sz val="10"/>
            <color indexed="81"/>
            <rFont val="Tahoma"/>
            <family val="2"/>
          </rPr>
          <t xml:space="preserve">QNguyen: 
</t>
        </r>
        <r>
          <rPr>
            <sz val="10"/>
            <color indexed="81"/>
            <rFont val="Tahoma"/>
            <family val="2"/>
          </rPr>
          <t xml:space="preserve">per TeamGenesis Contracted Prices_09-27-2006.xls 
Renatron - 2 Station w/ Renaclear for 0-24 stations = $20,699.17
Renatron - 3 Station w/ 2 Renaclear for 25-32 stations = $31,419.54
Renatron - 4 Station for 33+ stations = $28,293.60
</t>
        </r>
      </text>
    </comment>
    <comment ref="A39" authorId="0">
      <text>
        <r>
          <rPr>
            <sz val="10"/>
            <color indexed="81"/>
            <rFont val="Tahoma"/>
            <family val="2"/>
          </rPr>
          <t>9/17/08: unit price increased per Purchasing</t>
        </r>
      </text>
    </comment>
    <comment ref="A41" authorId="0">
      <text>
        <r>
          <rPr>
            <sz val="10"/>
            <color indexed="81"/>
            <rFont val="Tahoma"/>
            <family val="2"/>
          </rPr>
          <t>3/3/08 updated based on TeamGenesis Contracted Prices_09-27-2006.xls</t>
        </r>
      </text>
    </comment>
    <comment ref="A56" authorId="0">
      <text>
        <r>
          <rPr>
            <b/>
            <sz val="10"/>
            <color indexed="81"/>
            <rFont val="Tahoma"/>
            <family val="2"/>
          </rPr>
          <t xml:space="preserve">QNguyen: 
</t>
        </r>
        <r>
          <rPr>
            <sz val="10"/>
            <color indexed="81"/>
            <rFont val="Tahoma"/>
            <family val="2"/>
          </rPr>
          <t>per TeamGenesis Contracted Prices_09-27-2006.xls "2 per facility"</t>
        </r>
      </text>
    </comment>
    <comment ref="A58" authorId="1">
      <text>
        <r>
          <rPr>
            <b/>
            <sz val="10"/>
            <color indexed="81"/>
            <rFont val="Tahoma"/>
            <family val="2"/>
          </rPr>
          <t>DRosales:</t>
        </r>
        <r>
          <rPr>
            <sz val="10"/>
            <color indexed="81"/>
            <rFont val="Tahoma"/>
            <family val="2"/>
          </rPr>
          <t xml:space="preserve">
2/24 REMOVE PER PM MANAGER MEETING HOUSTON.</t>
        </r>
      </text>
    </comment>
    <comment ref="A59" authorId="1">
      <text>
        <r>
          <rPr>
            <b/>
            <sz val="10"/>
            <color indexed="81"/>
            <rFont val="Tahoma"/>
            <family val="2"/>
          </rPr>
          <t>DRosales:</t>
        </r>
        <r>
          <rPr>
            <sz val="10"/>
            <color indexed="81"/>
            <rFont val="Tahoma"/>
            <family val="2"/>
          </rPr>
          <t xml:space="preserve">
2/24 REMOVE PER PM MANAGER MEETING HOUSTON.
3/3/08: per TeamGenesis Contracted Prices_09-27-2006.xls</t>
        </r>
      </text>
    </comment>
    <comment ref="A62" authorId="1">
      <text>
        <r>
          <rPr>
            <b/>
            <sz val="10"/>
            <color indexed="81"/>
            <rFont val="Tahoma"/>
            <family val="2"/>
          </rPr>
          <t>DRosales:</t>
        </r>
        <r>
          <rPr>
            <sz val="10"/>
            <color indexed="81"/>
            <rFont val="Tahoma"/>
            <family val="2"/>
          </rPr>
          <t xml:space="preserve">
2/24 REMOVE PER PM MANAGER MEETING HOUSTON.
3/3/08: per TeamGenesis Contracted Prices_09-27-2006.xls</t>
        </r>
      </text>
    </comment>
    <comment ref="A63" authorId="0">
      <text>
        <r>
          <rPr>
            <b/>
            <sz val="10"/>
            <color indexed="81"/>
            <rFont val="Tahoma"/>
            <family val="2"/>
          </rPr>
          <t xml:space="preserve">QNguyen: 
</t>
        </r>
        <r>
          <rPr>
            <sz val="10"/>
            <color indexed="81"/>
            <rFont val="Tahoma"/>
            <family val="2"/>
          </rPr>
          <t>per TeamGenesis Contracted Prices_09-27-2006.xls "2 per facility"</t>
        </r>
      </text>
    </comment>
    <comment ref="A72" authorId="0">
      <text>
        <r>
          <rPr>
            <b/>
            <sz val="10"/>
            <color indexed="81"/>
            <rFont val="Tahoma"/>
            <family val="2"/>
          </rPr>
          <t xml:space="preserve">QNguyen: 
</t>
        </r>
        <r>
          <rPr>
            <sz val="10"/>
            <color indexed="81"/>
            <rFont val="Tahoma"/>
            <family val="2"/>
          </rPr>
          <t>per TeamGenesis Contracted Prices_09-27-2006.xls "2 per facility"</t>
        </r>
      </text>
    </comment>
    <comment ref="A74" authorId="0">
      <text>
        <r>
          <rPr>
            <b/>
            <sz val="10"/>
            <color indexed="81"/>
            <rFont val="Tahoma"/>
            <family val="2"/>
          </rPr>
          <t xml:space="preserve">QNguyen: 
</t>
        </r>
        <r>
          <rPr>
            <sz val="10"/>
            <color indexed="81"/>
            <rFont val="Tahoma"/>
            <family val="2"/>
          </rPr>
          <t>per TeamGenesis Contracted Prices_09-27-2006.xls "&lt;= 12 stations = 4, &gt;12 stations = 6, regulatory specified"; $111.33/ea</t>
        </r>
      </text>
    </comment>
    <comment ref="A76" authorId="1">
      <text>
        <r>
          <rPr>
            <b/>
            <sz val="10"/>
            <color indexed="81"/>
            <rFont val="Tahoma"/>
            <family val="2"/>
          </rPr>
          <t>DRosales:</t>
        </r>
        <r>
          <rPr>
            <sz val="10"/>
            <color indexed="81"/>
            <rFont val="Tahoma"/>
            <family val="2"/>
          </rPr>
          <t xml:space="preserve">
2/24 REMOVE PER PM MANAGER MEETING HOUSTON. (9.06/9.07)</t>
        </r>
      </text>
    </comment>
    <comment ref="A80" authorId="0">
      <text>
        <r>
          <rPr>
            <b/>
            <sz val="10"/>
            <color indexed="81"/>
            <rFont val="Tahoma"/>
            <family val="2"/>
          </rPr>
          <t xml:space="preserve">QNguyen: 
</t>
        </r>
        <r>
          <rPr>
            <sz val="10"/>
            <color indexed="81"/>
            <rFont val="Tahoma"/>
            <family val="2"/>
          </rPr>
          <t>per TeamGenesis Contracted Prices_09-27-2006.xls "&lt;= 12 stations = 4, &gt;12 stations = 6, regulatory specified"; $111.33/ea</t>
        </r>
      </text>
    </comment>
    <comment ref="A89" authorId="1">
      <text>
        <r>
          <rPr>
            <b/>
            <sz val="10"/>
            <color indexed="81"/>
            <rFont val="Tahoma"/>
            <family val="2"/>
          </rPr>
          <t>DRosales:</t>
        </r>
        <r>
          <rPr>
            <sz val="10"/>
            <color indexed="81"/>
            <rFont val="Tahoma"/>
            <family val="2"/>
          </rPr>
          <t xml:space="preserve">
2/24 REMOVE PER PM MANAGER MEETING HOUSTON.</t>
        </r>
      </text>
    </comment>
    <comment ref="A90" authorId="0">
      <text>
        <r>
          <rPr>
            <b/>
            <sz val="10"/>
            <color indexed="81"/>
            <rFont val="Tahoma"/>
            <family val="2"/>
          </rPr>
          <t xml:space="preserve">QNguyen: 
</t>
        </r>
        <r>
          <rPr>
            <sz val="10"/>
            <color indexed="81"/>
            <rFont val="Tahoma"/>
            <family val="2"/>
          </rPr>
          <t>per TeamGenesis Contracted Prices_09-27-2006.xls "2 per facility"; $500/ea</t>
        </r>
      </text>
    </comment>
    <comment ref="A91" authorId="1">
      <text>
        <r>
          <rPr>
            <b/>
            <sz val="10"/>
            <color indexed="81"/>
            <rFont val="Tahoma"/>
            <family val="2"/>
          </rPr>
          <t>DRosales:</t>
        </r>
        <r>
          <rPr>
            <sz val="10"/>
            <color indexed="81"/>
            <rFont val="Tahoma"/>
            <family val="2"/>
          </rPr>
          <t xml:space="preserve">
2/24 REMOVE PER PM MANAGER MEETING HOUSTON.</t>
        </r>
      </text>
    </comment>
    <comment ref="A92" authorId="0">
      <text>
        <r>
          <rPr>
            <b/>
            <sz val="10"/>
            <color indexed="81"/>
            <rFont val="Tahoma"/>
            <family val="2"/>
          </rPr>
          <t xml:space="preserve">QNguyen: 
</t>
        </r>
        <r>
          <rPr>
            <sz val="10"/>
            <color indexed="81"/>
            <rFont val="Tahoma"/>
            <family val="2"/>
          </rPr>
          <t xml:space="preserve">per TeamGenesis Contracted Prices_09-27-2006.xls "1 per facility maintenance billed in areas at $ .009 per copy"  
Approx. cost does not  incl S &amp; H.  Maintenance begins at delivery, parts included -excludes paper
</t>
        </r>
      </text>
    </comment>
    <comment ref="A93" authorId="0">
      <text>
        <r>
          <rPr>
            <b/>
            <sz val="10"/>
            <color indexed="81"/>
            <rFont val="Tahoma"/>
            <family val="2"/>
          </rPr>
          <t xml:space="preserve">QNguyen: 
</t>
        </r>
        <r>
          <rPr>
            <sz val="10"/>
            <color indexed="81"/>
            <rFont val="Tahoma"/>
            <family val="2"/>
          </rPr>
          <t>per TeamGenesis Contracted Prices_09-27-2006.xls "1ncl. $250 for mantenance agreement, cabinet stand and addl toner. Freight &amp; tax not included"</t>
        </r>
      </text>
    </comment>
    <comment ref="A94" authorId="0">
      <text>
        <r>
          <rPr>
            <b/>
            <sz val="10"/>
            <color indexed="81"/>
            <rFont val="Tahoma"/>
            <family val="2"/>
          </rPr>
          <t xml:space="preserve">QNguyen: 
</t>
        </r>
        <r>
          <rPr>
            <sz val="10"/>
            <color indexed="81"/>
            <rFont val="Tahoma"/>
            <family val="2"/>
          </rPr>
          <t>per TeamGenesis Contracted Prices_09-27-2006.xls "Remove"</t>
        </r>
      </text>
    </comment>
    <comment ref="A95" authorId="0">
      <text>
        <r>
          <rPr>
            <sz val="10"/>
            <color indexed="81"/>
            <rFont val="Tahoma"/>
            <family val="2"/>
          </rPr>
          <t>9/10/08: updated per email from B.Olsen, per IT (Team Enterprise update 08/08/08)
9/3/09: updated per email from S.Knight/Team Enterprise</t>
        </r>
      </text>
    </comment>
  </commentList>
</comments>
</file>

<file path=xl/comments21.xml><?xml version="1.0" encoding="utf-8"?>
<comments xmlns="http://schemas.openxmlformats.org/spreadsheetml/2006/main">
  <authors>
    <author>qnguyen</author>
    <author>DRosales</author>
  </authors>
  <commentList>
    <comment ref="E1" authorId="0">
      <text>
        <r>
          <rPr>
            <sz val="10"/>
            <color indexed="81"/>
            <rFont val="Tahoma"/>
            <family val="2"/>
          </rPr>
          <t>01/15/10: 4400 SF per Alamo</t>
        </r>
        <r>
          <rPr>
            <sz val="8"/>
            <color indexed="81"/>
            <rFont val="Tahoma"/>
            <family val="2"/>
          </rPr>
          <t xml:space="preserve">
</t>
        </r>
      </text>
    </comment>
    <comment ref="I1" authorId="0">
      <text>
        <r>
          <rPr>
            <sz val="10"/>
            <color indexed="81"/>
            <rFont val="Tahoma"/>
            <family val="2"/>
          </rPr>
          <t>01/15/10: 5500 SF per Alamo</t>
        </r>
      </text>
    </comment>
    <comment ref="M1" authorId="0">
      <text>
        <r>
          <rPr>
            <sz val="10"/>
            <color indexed="81"/>
            <rFont val="Tahoma"/>
            <family val="2"/>
          </rPr>
          <t>01/15/10: 6000 SF per Alamo</t>
        </r>
      </text>
    </comment>
    <comment ref="Q1" authorId="0">
      <text>
        <r>
          <rPr>
            <sz val="10"/>
            <color indexed="81"/>
            <rFont val="Tahoma"/>
            <family val="2"/>
          </rPr>
          <t>01/15/10: 7000 SF per Alamo</t>
        </r>
      </text>
    </comment>
    <comment ref="U1" authorId="0">
      <text>
        <r>
          <rPr>
            <sz val="10"/>
            <color indexed="81"/>
            <rFont val="Tahoma"/>
            <family val="2"/>
          </rPr>
          <t>01/15/10: 7500 SF per Alamo</t>
        </r>
      </text>
    </comment>
    <comment ref="A3" authorId="0">
      <text>
        <r>
          <rPr>
            <sz val="10"/>
            <color indexed="81"/>
            <rFont val="Tahoma"/>
            <family val="2"/>
          </rPr>
          <t>9/10/08: updated per email from B.Olsen, per IT (Team Enterprise update 08/08/08)
9/3/09: updated per email from S.Knight/Team Enterprise</t>
        </r>
      </text>
    </comment>
    <comment ref="A8" authorId="0">
      <text>
        <r>
          <rPr>
            <sz val="10"/>
            <color indexed="81"/>
            <rFont val="Tahoma"/>
            <family val="2"/>
          </rPr>
          <t>8/17/08: updated per email from B.Olsen, eliminate this line item</t>
        </r>
      </text>
    </comment>
    <comment ref="A9" authorId="0">
      <text>
        <r>
          <rPr>
            <sz val="10"/>
            <color indexed="81"/>
            <rFont val="Tahoma"/>
            <family val="2"/>
          </rPr>
          <t>9/10/08: updated per email from B.Olsen, per IT (Team Enterprise update 08/08/08)
9/3/09: updated per email from S.Knight/Team Enterprise</t>
        </r>
      </text>
    </comment>
    <comment ref="A10" authorId="0">
      <text>
        <r>
          <rPr>
            <sz val="10"/>
            <color indexed="81"/>
            <rFont val="Tahoma"/>
            <family val="2"/>
          </rPr>
          <t>9/10/08: updated per email from B.Olsen, per IT (Team Enterprise update 08/08/08)
9/3/09: updated per email from S.Knight/Team Enterprise</t>
        </r>
      </text>
    </comment>
    <comment ref="A13" authorId="0">
      <text>
        <r>
          <rPr>
            <sz val="10"/>
            <color indexed="81"/>
            <rFont val="Tahoma"/>
            <family val="2"/>
          </rPr>
          <t>7/15/08 updated per Brian Olsen; add $3800.00 to Task Code # 05.03 Acid Mixer, to compensate for the use of the new Fresenius Granuflo over the Rockwell mixer</t>
        </r>
      </text>
    </comment>
    <comment ref="A17" authorId="0">
      <text>
        <r>
          <rPr>
            <sz val="10"/>
            <color indexed="81"/>
            <rFont val="Tahoma"/>
            <family val="2"/>
          </rPr>
          <t>3/3/08 updated based on TeamGenesis Contracted Prices_09-27-2006.xls</t>
        </r>
      </text>
    </comment>
    <comment ref="A20" authorId="1">
      <text>
        <r>
          <rPr>
            <b/>
            <sz val="10"/>
            <color indexed="81"/>
            <rFont val="Tahoma"/>
            <family val="2"/>
          </rPr>
          <t>DRosales:</t>
        </r>
        <r>
          <rPr>
            <sz val="10"/>
            <color indexed="81"/>
            <rFont val="Tahoma"/>
            <family val="2"/>
          </rPr>
          <t xml:space="preserve">
2/24 REMOVE PER PM MANAGER MEETING HOUSTON.</t>
        </r>
      </text>
    </comment>
    <comment ref="A21" authorId="0">
      <text>
        <r>
          <rPr>
            <b/>
            <sz val="10"/>
            <color indexed="81"/>
            <rFont val="Tahoma"/>
            <family val="2"/>
          </rPr>
          <t xml:space="preserve">QNguyen: 
</t>
        </r>
        <r>
          <rPr>
            <sz val="10"/>
            <color indexed="81"/>
            <rFont val="Tahoma"/>
            <family val="2"/>
          </rPr>
          <t xml:space="preserve">per TeamGenesis Contracted Prices_09-27-2006.xls "1 per 10 stations (includes 6.03)"; $600/ea
</t>
        </r>
      </text>
    </comment>
    <comment ref="A22" authorId="0">
      <text>
        <r>
          <rPr>
            <b/>
            <sz val="10"/>
            <color indexed="81"/>
            <rFont val="Tahoma"/>
            <family val="2"/>
          </rPr>
          <t xml:space="preserve">QNguyen: 
</t>
        </r>
        <r>
          <rPr>
            <sz val="10"/>
            <color indexed="81"/>
            <rFont val="Tahoma"/>
            <family val="2"/>
          </rPr>
          <t xml:space="preserve">per TeamGenesis Contracted Prices_09-27-2006.xls, no need as this is included in 06.02
</t>
        </r>
      </text>
    </comment>
    <comment ref="A26" authorId="1">
      <text>
        <r>
          <rPr>
            <b/>
            <sz val="10"/>
            <color indexed="81"/>
            <rFont val="Tahoma"/>
            <family val="2"/>
          </rPr>
          <t>DRosales:</t>
        </r>
        <r>
          <rPr>
            <sz val="10"/>
            <color indexed="81"/>
            <rFont val="Tahoma"/>
            <family val="2"/>
          </rPr>
          <t xml:space="preserve">
2/24 REMOVE PER PM MANAGER MEETING HOUSTON. (6.07/6.08/6.09/6.10)</t>
        </r>
      </text>
    </comment>
    <comment ref="A32" authorId="0">
      <text>
        <r>
          <rPr>
            <b/>
            <sz val="10"/>
            <color indexed="81"/>
            <rFont val="Tahoma"/>
            <family val="2"/>
          </rPr>
          <t xml:space="preserve">QNguyen: 
</t>
        </r>
        <r>
          <rPr>
            <sz val="10"/>
            <color indexed="81"/>
            <rFont val="Tahoma"/>
            <family val="2"/>
          </rPr>
          <t xml:space="preserve">per TeamGenesis Contracted Prices_09-27-2006.xls "Per station + 2"; $500/station + 2 (*$500)
</t>
        </r>
      </text>
    </comment>
    <comment ref="A33" authorId="1">
      <text>
        <r>
          <rPr>
            <b/>
            <sz val="10"/>
            <color indexed="81"/>
            <rFont val="Tahoma"/>
            <family val="2"/>
          </rPr>
          <t>DRosales:</t>
        </r>
        <r>
          <rPr>
            <sz val="10"/>
            <color indexed="81"/>
            <rFont val="Tahoma"/>
            <family val="2"/>
          </rPr>
          <t xml:space="preserve">
2/24 REMOVE PER PM MANAGER MEETING HOUSTON.</t>
        </r>
      </text>
    </comment>
    <comment ref="A34" authorId="1">
      <text>
        <r>
          <rPr>
            <b/>
            <sz val="10"/>
            <color indexed="81"/>
            <rFont val="Tahoma"/>
            <family val="2"/>
          </rPr>
          <t>DRosales:</t>
        </r>
        <r>
          <rPr>
            <sz val="10"/>
            <color indexed="81"/>
            <rFont val="Tahoma"/>
            <family val="2"/>
          </rPr>
          <t xml:space="preserve">
2/24 REMOVE PER PM MANAGER MEETING HOUSTON.
3/3/08: per TeamGenesis Contracted Prices_09-27-2006.xls, "0-30 stations =2, 30+ stations =3" &amp; "**Bio-Med. team will construct"</t>
        </r>
      </text>
    </comment>
    <comment ref="A35" authorId="0">
      <text>
        <r>
          <rPr>
            <b/>
            <sz val="10"/>
            <color indexed="81"/>
            <rFont val="Tahoma"/>
            <family val="2"/>
          </rPr>
          <t xml:space="preserve">QNguyen: 
</t>
        </r>
        <r>
          <rPr>
            <sz val="10"/>
            <color indexed="81"/>
            <rFont val="Tahoma"/>
            <family val="2"/>
          </rPr>
          <t xml:space="preserve">per TeamGenesis Contracted Prices_09-27-2006.xls 
Renatron - 2 Station w/ Renaclear for 0-24 stations = $20,699.17
Renatron - 3 Station w/ 2 Renaclear for 25-32 stations = $31,419.54
Renatron - 4 Station for 33+ stations = $28,293.60
</t>
        </r>
      </text>
    </comment>
    <comment ref="A39" authorId="0">
      <text>
        <r>
          <rPr>
            <sz val="10"/>
            <color indexed="81"/>
            <rFont val="Tahoma"/>
            <family val="2"/>
          </rPr>
          <t>9/17/08: unit price increased per Purchasing</t>
        </r>
      </text>
    </comment>
    <comment ref="A41" authorId="0">
      <text>
        <r>
          <rPr>
            <sz val="10"/>
            <color indexed="81"/>
            <rFont val="Tahoma"/>
            <family val="2"/>
          </rPr>
          <t>3/3/08 updated based on TeamGenesis Contracted Prices_09-27-2006.xls</t>
        </r>
      </text>
    </comment>
    <comment ref="A56" authorId="0">
      <text>
        <r>
          <rPr>
            <b/>
            <sz val="10"/>
            <color indexed="81"/>
            <rFont val="Tahoma"/>
            <family val="2"/>
          </rPr>
          <t xml:space="preserve">QNguyen: 
</t>
        </r>
        <r>
          <rPr>
            <sz val="10"/>
            <color indexed="81"/>
            <rFont val="Tahoma"/>
            <family val="2"/>
          </rPr>
          <t>per TeamGenesis Contracted Prices_09-27-2006.xls "2 per facility"</t>
        </r>
      </text>
    </comment>
    <comment ref="A58" authorId="1">
      <text>
        <r>
          <rPr>
            <b/>
            <sz val="10"/>
            <color indexed="81"/>
            <rFont val="Tahoma"/>
            <family val="2"/>
          </rPr>
          <t>DRosales:</t>
        </r>
        <r>
          <rPr>
            <sz val="10"/>
            <color indexed="81"/>
            <rFont val="Tahoma"/>
            <family val="2"/>
          </rPr>
          <t xml:space="preserve">
2/24 REMOVE PER PM MANAGER MEETING HOUSTON.</t>
        </r>
      </text>
    </comment>
    <comment ref="A59" authorId="1">
      <text>
        <r>
          <rPr>
            <b/>
            <sz val="10"/>
            <color indexed="81"/>
            <rFont val="Tahoma"/>
            <family val="2"/>
          </rPr>
          <t>DRosales:</t>
        </r>
        <r>
          <rPr>
            <sz val="10"/>
            <color indexed="81"/>
            <rFont val="Tahoma"/>
            <family val="2"/>
          </rPr>
          <t xml:space="preserve">
2/24 REMOVE PER PM MANAGER MEETING HOUSTON.
3/3/08: per TeamGenesis Contracted Prices_09-27-2006.xls</t>
        </r>
      </text>
    </comment>
    <comment ref="A62" authorId="1">
      <text>
        <r>
          <rPr>
            <b/>
            <sz val="10"/>
            <color indexed="81"/>
            <rFont val="Tahoma"/>
            <family val="2"/>
          </rPr>
          <t>DRosales:</t>
        </r>
        <r>
          <rPr>
            <sz val="10"/>
            <color indexed="81"/>
            <rFont val="Tahoma"/>
            <family val="2"/>
          </rPr>
          <t xml:space="preserve">
2/24 REMOVE PER PM MANAGER MEETING HOUSTON.
3/3/08: per TeamGenesis Contracted Prices_09-27-2006.xls</t>
        </r>
      </text>
    </comment>
    <comment ref="A63" authorId="0">
      <text>
        <r>
          <rPr>
            <b/>
            <sz val="10"/>
            <color indexed="81"/>
            <rFont val="Tahoma"/>
            <family val="2"/>
          </rPr>
          <t xml:space="preserve">QNguyen: 
</t>
        </r>
        <r>
          <rPr>
            <sz val="10"/>
            <color indexed="81"/>
            <rFont val="Tahoma"/>
            <family val="2"/>
          </rPr>
          <t>per TeamGenesis Contracted Prices_09-27-2006.xls "2 per facility"</t>
        </r>
      </text>
    </comment>
    <comment ref="A72" authorId="0">
      <text>
        <r>
          <rPr>
            <b/>
            <sz val="10"/>
            <color indexed="81"/>
            <rFont val="Tahoma"/>
            <family val="2"/>
          </rPr>
          <t xml:space="preserve">QNguyen: 
</t>
        </r>
        <r>
          <rPr>
            <sz val="10"/>
            <color indexed="81"/>
            <rFont val="Tahoma"/>
            <family val="2"/>
          </rPr>
          <t>per TeamGenesis Contracted Prices_09-27-2006.xls "2 per facility"</t>
        </r>
      </text>
    </comment>
    <comment ref="A74" authorId="0">
      <text>
        <r>
          <rPr>
            <b/>
            <sz val="10"/>
            <color indexed="81"/>
            <rFont val="Tahoma"/>
            <family val="2"/>
          </rPr>
          <t xml:space="preserve">QNguyen: 
</t>
        </r>
        <r>
          <rPr>
            <sz val="10"/>
            <color indexed="81"/>
            <rFont val="Tahoma"/>
            <family val="2"/>
          </rPr>
          <t>per TeamGenesis Contracted Prices_09-27-2006.xls "&lt;= 12 stations = 4, &gt;12 stations = 6, regulatory specified"; $111.33/ea</t>
        </r>
      </text>
    </comment>
    <comment ref="A76" authorId="1">
      <text>
        <r>
          <rPr>
            <b/>
            <sz val="10"/>
            <color indexed="81"/>
            <rFont val="Tahoma"/>
            <family val="2"/>
          </rPr>
          <t>DRosales:</t>
        </r>
        <r>
          <rPr>
            <sz val="10"/>
            <color indexed="81"/>
            <rFont val="Tahoma"/>
            <family val="2"/>
          </rPr>
          <t xml:space="preserve">
2/24 REMOVE PER PM MANAGER MEETING HOUSTON. (9.06/9.07)</t>
        </r>
      </text>
    </comment>
    <comment ref="A80" authorId="0">
      <text>
        <r>
          <rPr>
            <b/>
            <sz val="10"/>
            <color indexed="81"/>
            <rFont val="Tahoma"/>
            <family val="2"/>
          </rPr>
          <t xml:space="preserve">QNguyen: 
</t>
        </r>
        <r>
          <rPr>
            <sz val="10"/>
            <color indexed="81"/>
            <rFont val="Tahoma"/>
            <family val="2"/>
          </rPr>
          <t>per TeamGenesis Contracted Prices_09-27-2006.xls "&lt;= 12 stations = 4, &gt;12 stations = 6, regulatory specified"; $111.33/ea</t>
        </r>
      </text>
    </comment>
    <comment ref="A89" authorId="1">
      <text>
        <r>
          <rPr>
            <b/>
            <sz val="10"/>
            <color indexed="81"/>
            <rFont val="Tahoma"/>
            <family val="2"/>
          </rPr>
          <t>DRosales:</t>
        </r>
        <r>
          <rPr>
            <sz val="10"/>
            <color indexed="81"/>
            <rFont val="Tahoma"/>
            <family val="2"/>
          </rPr>
          <t xml:space="preserve">
2/24 REMOVE PER PM MANAGER MEETING HOUSTON.</t>
        </r>
      </text>
    </comment>
    <comment ref="A90" authorId="0">
      <text>
        <r>
          <rPr>
            <b/>
            <sz val="10"/>
            <color indexed="81"/>
            <rFont val="Tahoma"/>
            <family val="2"/>
          </rPr>
          <t xml:space="preserve">QNguyen: 
</t>
        </r>
        <r>
          <rPr>
            <sz val="10"/>
            <color indexed="81"/>
            <rFont val="Tahoma"/>
            <family val="2"/>
          </rPr>
          <t>per TeamGenesis Contracted Prices_09-27-2006.xls "2 per facility"; $500/ea</t>
        </r>
      </text>
    </comment>
    <comment ref="A91" authorId="1">
      <text>
        <r>
          <rPr>
            <b/>
            <sz val="10"/>
            <color indexed="81"/>
            <rFont val="Tahoma"/>
            <family val="2"/>
          </rPr>
          <t>DRosales:</t>
        </r>
        <r>
          <rPr>
            <sz val="10"/>
            <color indexed="81"/>
            <rFont val="Tahoma"/>
            <family val="2"/>
          </rPr>
          <t xml:space="preserve">
2/24 REMOVE PER PM MANAGER MEETING HOUSTON.</t>
        </r>
      </text>
    </comment>
    <comment ref="A92" authorId="0">
      <text>
        <r>
          <rPr>
            <b/>
            <sz val="10"/>
            <color indexed="81"/>
            <rFont val="Tahoma"/>
            <family val="2"/>
          </rPr>
          <t xml:space="preserve">QNguyen: 
</t>
        </r>
        <r>
          <rPr>
            <sz val="10"/>
            <color indexed="81"/>
            <rFont val="Tahoma"/>
            <family val="2"/>
          </rPr>
          <t xml:space="preserve">per TeamGenesis Contracted Prices_09-27-2006.xls "1 per facility maintenance billed in areas at $ .009 per copy"  
Approx. cost does not  incl S &amp; H.  Maintenance begins at delivery, parts included -excludes paper
</t>
        </r>
      </text>
    </comment>
    <comment ref="A93" authorId="0">
      <text>
        <r>
          <rPr>
            <b/>
            <sz val="10"/>
            <color indexed="81"/>
            <rFont val="Tahoma"/>
            <family val="2"/>
          </rPr>
          <t xml:space="preserve">QNguyen: 
</t>
        </r>
        <r>
          <rPr>
            <sz val="10"/>
            <color indexed="81"/>
            <rFont val="Tahoma"/>
            <family val="2"/>
          </rPr>
          <t>per TeamGenesis Contracted Prices_09-27-2006.xls "1ncl. $250 for mantenance agreement, cabinet stand and addl toner. Freight &amp; tax not included"</t>
        </r>
      </text>
    </comment>
    <comment ref="A94" authorId="0">
      <text>
        <r>
          <rPr>
            <b/>
            <sz val="10"/>
            <color indexed="81"/>
            <rFont val="Tahoma"/>
            <family val="2"/>
          </rPr>
          <t xml:space="preserve">QNguyen: 
</t>
        </r>
        <r>
          <rPr>
            <sz val="10"/>
            <color indexed="81"/>
            <rFont val="Tahoma"/>
            <family val="2"/>
          </rPr>
          <t>per TeamGenesis Contracted Prices_09-27-2006.xls "Remove"</t>
        </r>
      </text>
    </comment>
    <comment ref="A95" authorId="0">
      <text>
        <r>
          <rPr>
            <sz val="10"/>
            <color indexed="81"/>
            <rFont val="Tahoma"/>
            <family val="2"/>
          </rPr>
          <t>9/10/08: updated per email from B.Olsen, per IT (Team Enterprise update 08/08/08)
9/3/09: updated per email from S.Knight/Team Enterprise</t>
        </r>
      </text>
    </comment>
  </commentList>
</comments>
</file>

<file path=xl/comments22.xml><?xml version="1.0" encoding="utf-8"?>
<comments xmlns="http://schemas.openxmlformats.org/spreadsheetml/2006/main">
  <authors>
    <author>Administrator</author>
    <author>qnguyen</author>
    <author>DaVita User</author>
  </authors>
  <commentList>
    <comment ref="I84" authorId="0">
      <text>
        <r>
          <rPr>
            <sz val="8"/>
            <color indexed="81"/>
            <rFont val="Tahoma"/>
            <family val="2"/>
          </rPr>
          <t>1/18/08: includes $1K for Village Spirit</t>
        </r>
      </text>
    </comment>
    <comment ref="G88" authorId="1">
      <text>
        <r>
          <rPr>
            <sz val="8"/>
            <color indexed="81"/>
            <rFont val="Tahoma"/>
            <family val="2"/>
          </rPr>
          <t xml:space="preserve">fixed
</t>
        </r>
      </text>
    </comment>
    <comment ref="R88" authorId="0">
      <text>
        <r>
          <rPr>
            <b/>
            <sz val="10"/>
            <color indexed="81"/>
            <rFont val="Tahoma"/>
            <family val="2"/>
          </rPr>
          <t>Administrator:</t>
        </r>
        <r>
          <rPr>
            <sz val="10"/>
            <color indexed="81"/>
            <rFont val="Tahoma"/>
            <family val="2"/>
          </rPr>
          <t xml:space="preserve">
check machine cost formula</t>
        </r>
      </text>
    </comment>
    <comment ref="G89" authorId="1">
      <text>
        <r>
          <rPr>
            <sz val="8"/>
            <color indexed="81"/>
            <rFont val="Tahoma"/>
            <family val="2"/>
          </rPr>
          <t>per pt</t>
        </r>
      </text>
    </comment>
    <comment ref="G90" authorId="1">
      <text>
        <r>
          <rPr>
            <sz val="8"/>
            <color indexed="81"/>
            <rFont val="Tahoma"/>
            <family val="2"/>
          </rPr>
          <t>per pt per month</t>
        </r>
      </text>
    </comment>
    <comment ref="G91" authorId="1">
      <text>
        <r>
          <rPr>
            <sz val="8"/>
            <color indexed="81"/>
            <rFont val="Tahoma"/>
            <family val="2"/>
          </rPr>
          <t>per pt per month</t>
        </r>
      </text>
    </comment>
    <comment ref="E96" authorId="1">
      <text>
        <r>
          <rPr>
            <b/>
            <sz val="8"/>
            <color indexed="81"/>
            <rFont val="Tahoma"/>
            <family val="2"/>
          </rPr>
          <t>ties w/ Pre-G&amp;A EBITDA is you zero out row 93</t>
        </r>
      </text>
    </comment>
    <comment ref="F167" authorId="1">
      <text>
        <r>
          <rPr>
            <sz val="8"/>
            <color indexed="81"/>
            <rFont val="Tahoma"/>
            <family val="2"/>
          </rPr>
          <t>03/01/10: Minimum Cash Balance per JV Compliance Handbook (version 3) defined as 2 months of Rent + MD Fee + Operating Expenses</t>
        </r>
      </text>
    </comment>
    <comment ref="H169" authorId="1">
      <text>
        <r>
          <rPr>
            <sz val="8"/>
            <color indexed="81"/>
            <rFont val="Tahoma"/>
            <family val="2"/>
          </rPr>
          <t>08/24/10: removed Dev Fee per guidance from Corp Finance</t>
        </r>
      </text>
    </comment>
    <comment ref="F170" authorId="2">
      <text>
        <r>
          <rPr>
            <sz val="8"/>
            <color indexed="81"/>
            <rFont val="Tahoma"/>
            <family val="2"/>
          </rPr>
          <t xml:space="preserve">Yes = 0
No = 1
</t>
        </r>
      </text>
    </comment>
    <comment ref="H186" authorId="1">
      <text>
        <r>
          <rPr>
            <sz val="10"/>
            <color indexed="81"/>
            <rFont val="Tahoma"/>
            <family val="2"/>
          </rPr>
          <t>07/11/10: includes Dev Fee</t>
        </r>
      </text>
    </comment>
    <comment ref="J194" authorId="0">
      <text>
        <r>
          <rPr>
            <b/>
            <sz val="10"/>
            <color indexed="81"/>
            <rFont val="Tahoma"/>
            <family val="2"/>
          </rPr>
          <t>Administrator:</t>
        </r>
        <r>
          <rPr>
            <sz val="10"/>
            <color indexed="81"/>
            <rFont val="Tahoma"/>
            <family val="2"/>
          </rPr>
          <t xml:space="preserve">
change to look forward and find maximum deficit.  This will allow payout of excess cash after certification.</t>
        </r>
      </text>
    </comment>
    <comment ref="M203" authorId="0">
      <text>
        <r>
          <rPr>
            <b/>
            <sz val="10"/>
            <color indexed="81"/>
            <rFont val="Tahoma"/>
            <family val="2"/>
          </rPr>
          <t>Administrator:</t>
        </r>
        <r>
          <rPr>
            <sz val="10"/>
            <color indexed="81"/>
            <rFont val="Tahoma"/>
            <family val="2"/>
          </rPr>
          <t xml:space="preserve">
terminal value?</t>
        </r>
      </text>
    </comment>
    <comment ref="I206" authorId="0">
      <text>
        <r>
          <rPr>
            <b/>
            <sz val="8"/>
            <color indexed="81"/>
            <rFont val="Tahoma"/>
            <family val="2"/>
          </rPr>
          <t>Administrator:</t>
        </r>
        <r>
          <rPr>
            <sz val="8"/>
            <color indexed="81"/>
            <rFont val="Tahoma"/>
            <family val="2"/>
          </rPr>
          <t xml:space="preserve">
Mike Staffieri says TURN IT ON!</t>
        </r>
      </text>
    </comment>
    <comment ref="H207" authorId="0">
      <text>
        <r>
          <rPr>
            <b/>
            <sz val="8"/>
            <color indexed="81"/>
            <rFont val="Tahoma"/>
            <family val="2"/>
          </rPr>
          <t>Administrator:</t>
        </r>
        <r>
          <rPr>
            <sz val="8"/>
            <color indexed="81"/>
            <rFont val="Tahoma"/>
            <family val="2"/>
          </rPr>
          <t xml:space="preserve">
any DaVita expenses associated with this?  Assumes we break even on devlopment fee.  (DVA G&amp;A costs = development fee)</t>
        </r>
      </text>
    </comment>
    <comment ref="M253" authorId="0">
      <text>
        <r>
          <rPr>
            <sz val="10"/>
            <color indexed="81"/>
            <rFont val="Tahoma"/>
            <family val="2"/>
          </rPr>
          <t>Only for incremental pts</t>
        </r>
      </text>
    </comment>
    <comment ref="I265" authorId="1">
      <text>
        <r>
          <rPr>
            <sz val="8"/>
            <color indexed="81"/>
            <rFont val="Tahoma"/>
            <family val="2"/>
          </rPr>
          <t xml:space="preserve">10/14/10: now includes HHD depreciation
</t>
        </r>
      </text>
    </comment>
    <comment ref="H309" authorId="1">
      <text>
        <r>
          <rPr>
            <sz val="8"/>
            <color indexed="81"/>
            <rFont val="Tahoma"/>
            <family val="2"/>
          </rPr>
          <t xml:space="preserve">per Tax Group; 
do not change
</t>
        </r>
      </text>
    </comment>
    <comment ref="F316" authorId="1">
      <text>
        <r>
          <rPr>
            <b/>
            <sz val="8"/>
            <color indexed="81"/>
            <rFont val="Tahoma"/>
            <family val="2"/>
          </rPr>
          <t>what to do when extending for 10yrs?</t>
        </r>
        <r>
          <rPr>
            <sz val="8"/>
            <color indexed="81"/>
            <rFont val="Tahoma"/>
            <family val="2"/>
          </rPr>
          <t xml:space="preserve">
</t>
        </r>
      </text>
    </comment>
    <comment ref="G328" authorId="0">
      <text>
        <r>
          <rPr>
            <sz val="10"/>
            <color indexed="81"/>
            <rFont val="Arial"/>
            <family val="2"/>
          </rPr>
          <t>Standard Assumption:
- for WO: 50%
- for JV: 0%</t>
        </r>
      </text>
    </comment>
  </commentList>
</comments>
</file>

<file path=xl/comments23.xml><?xml version="1.0" encoding="utf-8"?>
<comments xmlns="http://schemas.openxmlformats.org/spreadsheetml/2006/main">
  <authors>
    <author>Queenie NGUYEN</author>
    <author>qnguyen</author>
    <author>Administrator</author>
  </authors>
  <commentList>
    <comment ref="P6" authorId="0">
      <text>
        <r>
          <rPr>
            <b/>
            <sz val="8"/>
            <color indexed="81"/>
            <rFont val="Tahoma"/>
            <family val="2"/>
          </rPr>
          <t>Pre-Opening</t>
        </r>
      </text>
    </comment>
    <comment ref="G88" authorId="1">
      <text>
        <r>
          <rPr>
            <sz val="8"/>
            <color indexed="81"/>
            <rFont val="Tahoma"/>
            <family val="2"/>
          </rPr>
          <t xml:space="preserve">fixed
</t>
        </r>
      </text>
    </comment>
    <comment ref="G89" authorId="1">
      <text>
        <r>
          <rPr>
            <sz val="8"/>
            <color indexed="81"/>
            <rFont val="Tahoma"/>
            <family val="2"/>
          </rPr>
          <t>per pt</t>
        </r>
      </text>
    </comment>
    <comment ref="J89" authorId="1">
      <text>
        <r>
          <rPr>
            <sz val="8"/>
            <color indexed="81"/>
            <rFont val="Tahoma"/>
            <family val="2"/>
          </rPr>
          <t xml:space="preserve">06/23/10: Yr1 One Time Opex will differ from v5.24 b/c old model didn't account for existing HHD pts at parent
</t>
        </r>
      </text>
    </comment>
    <comment ref="G90" authorId="1">
      <text>
        <r>
          <rPr>
            <sz val="8"/>
            <color indexed="81"/>
            <rFont val="Tahoma"/>
            <family val="2"/>
          </rPr>
          <t>per pt per month</t>
        </r>
      </text>
    </comment>
    <comment ref="G91" authorId="1">
      <text>
        <r>
          <rPr>
            <sz val="8"/>
            <color indexed="81"/>
            <rFont val="Tahoma"/>
            <family val="2"/>
          </rPr>
          <t>per pt per month</t>
        </r>
      </text>
    </comment>
    <comment ref="AX93" authorId="1">
      <text>
        <r>
          <rPr>
            <sz val="10"/>
            <color indexed="81"/>
            <rFont val="Tahoma"/>
            <family val="2"/>
          </rPr>
          <t>row 112 in tab [5.0 DVA Val_P-J_DN=100%]</t>
        </r>
      </text>
    </comment>
    <comment ref="E98" authorId="1">
      <text>
        <r>
          <rPr>
            <sz val="10"/>
            <color indexed="81"/>
            <rFont val="Tahoma"/>
            <family val="2"/>
          </rPr>
          <t xml:space="preserve">new line item
</t>
        </r>
      </text>
    </comment>
    <comment ref="E149" authorId="1">
      <text>
        <r>
          <rPr>
            <sz val="8"/>
            <color indexed="81"/>
            <rFont val="Tahoma"/>
            <family val="2"/>
          </rPr>
          <t xml:space="preserve">09/20/10: revised to account for amortization (row 98)
</t>
        </r>
      </text>
    </comment>
    <comment ref="J212" authorId="2">
      <text>
        <r>
          <rPr>
            <sz val="10"/>
            <color indexed="81"/>
            <rFont val="Tahoma"/>
            <family val="2"/>
          </rPr>
          <t>parent's mgmt fee replaces G&amp;A when parent is a JV</t>
        </r>
      </text>
    </comment>
    <comment ref="J216" authorId="2">
      <text>
        <r>
          <rPr>
            <sz val="10"/>
            <color indexed="81"/>
            <rFont val="Tahoma"/>
            <family val="2"/>
          </rPr>
          <t>parent's mgmt fee replaces G&amp;A when parent is a JV</t>
        </r>
      </text>
    </comment>
  </commentList>
</comments>
</file>

<file path=xl/comments24.xml><?xml version="1.0" encoding="utf-8"?>
<comments xmlns="http://schemas.openxmlformats.org/spreadsheetml/2006/main">
  <authors>
    <author>qnguyen</author>
  </authors>
  <commentList>
    <comment ref="F11" authorId="0">
      <text>
        <r>
          <rPr>
            <sz val="8"/>
            <color indexed="81"/>
            <rFont val="Tahoma"/>
            <family val="2"/>
          </rPr>
          <t>Model assumes 15 yrs</t>
        </r>
      </text>
    </comment>
  </commentList>
</comments>
</file>

<file path=xl/comments25.xml><?xml version="1.0" encoding="utf-8"?>
<comments xmlns="http://schemas.openxmlformats.org/spreadsheetml/2006/main">
  <authors>
    <author>qnguyen</author>
  </authors>
  <commentList>
    <comment ref="B15" authorId="0">
      <text>
        <r>
          <rPr>
            <sz val="8"/>
            <color indexed="81"/>
            <rFont val="Tahoma"/>
            <family val="2"/>
          </rPr>
          <t>enter in "X" if applicable</t>
        </r>
      </text>
    </comment>
    <comment ref="F15" authorId="0">
      <text>
        <r>
          <rPr>
            <sz val="8"/>
            <color indexed="81"/>
            <rFont val="Tahoma"/>
            <family val="2"/>
          </rPr>
          <t>enter in "X" if applicable</t>
        </r>
      </text>
    </comment>
    <comment ref="B17" authorId="0">
      <text>
        <r>
          <rPr>
            <sz val="8"/>
            <color indexed="81"/>
            <rFont val="Tahoma"/>
            <family val="2"/>
          </rPr>
          <t>enter in "X" if applicable</t>
        </r>
      </text>
    </comment>
    <comment ref="F17" authorId="0">
      <text>
        <r>
          <rPr>
            <sz val="8"/>
            <color indexed="81"/>
            <rFont val="Tahoma"/>
            <family val="2"/>
          </rPr>
          <t>enter in "X" if applicable</t>
        </r>
      </text>
    </comment>
    <comment ref="B19" authorId="0">
      <text>
        <r>
          <rPr>
            <sz val="8"/>
            <color indexed="81"/>
            <rFont val="Tahoma"/>
            <family val="2"/>
          </rPr>
          <t>enter in "X" if applicable</t>
        </r>
      </text>
    </comment>
    <comment ref="F19" authorId="0">
      <text>
        <r>
          <rPr>
            <sz val="8"/>
            <color indexed="81"/>
            <rFont val="Tahoma"/>
            <family val="2"/>
          </rPr>
          <t>enter in "X" if applicable</t>
        </r>
      </text>
    </comment>
    <comment ref="B21" authorId="0">
      <text>
        <r>
          <rPr>
            <sz val="8"/>
            <color indexed="81"/>
            <rFont val="Tahoma"/>
            <family val="2"/>
          </rPr>
          <t>enter in "X" if applicable</t>
        </r>
      </text>
    </comment>
    <comment ref="F21" authorId="0">
      <text>
        <r>
          <rPr>
            <sz val="8"/>
            <color indexed="81"/>
            <rFont val="Tahoma"/>
            <family val="2"/>
          </rPr>
          <t>enter in "X" if applicable</t>
        </r>
      </text>
    </comment>
    <comment ref="I21" authorId="0">
      <text>
        <r>
          <rPr>
            <sz val="8"/>
            <color indexed="81"/>
            <rFont val="Tahoma"/>
            <family val="2"/>
          </rPr>
          <t>enter in "X" if applicable</t>
        </r>
      </text>
    </comment>
    <comment ref="A35" authorId="0">
      <text>
        <r>
          <rPr>
            <sz val="8"/>
            <color indexed="81"/>
            <rFont val="Tahoma"/>
            <family val="2"/>
          </rPr>
          <t>excludes ISO station(s)</t>
        </r>
      </text>
    </comment>
    <comment ref="F38" authorId="0">
      <text>
        <r>
          <rPr>
            <sz val="8"/>
            <color indexed="81"/>
            <rFont val="Tahoma"/>
            <family val="2"/>
          </rPr>
          <t>enter in "X" if applicable</t>
        </r>
      </text>
    </comment>
    <comment ref="F40" authorId="0">
      <text>
        <r>
          <rPr>
            <sz val="8"/>
            <color indexed="81"/>
            <rFont val="Tahoma"/>
            <family val="2"/>
          </rPr>
          <t>enter in "X" if applicable</t>
        </r>
      </text>
    </comment>
  </commentList>
</comments>
</file>

<file path=xl/comments26.xml><?xml version="1.0" encoding="utf-8"?>
<comments xmlns="http://schemas.openxmlformats.org/spreadsheetml/2006/main">
  <authors>
    <author>Administrator</author>
  </authors>
  <commentList>
    <comment ref="G36" authorId="0">
      <text>
        <r>
          <rPr>
            <b/>
            <sz val="10"/>
            <color indexed="81"/>
            <rFont val="Tahoma"/>
            <family val="2"/>
          </rPr>
          <t>Administrator:</t>
        </r>
        <r>
          <rPr>
            <sz val="10"/>
            <color indexed="81"/>
            <rFont val="Tahoma"/>
            <family val="2"/>
          </rPr>
          <t xml:space="preserve">
pull assets of parent from Essbase too and use to calculate ROA</t>
        </r>
      </text>
    </comment>
  </commentList>
</comments>
</file>

<file path=xl/sharedStrings.xml><?xml version="1.0" encoding="utf-8"?>
<sst xmlns="http://schemas.openxmlformats.org/spreadsheetml/2006/main" count="23782" uniqueCount="4261">
  <si>
    <t>MINNESOTA</t>
  </si>
  <si>
    <t>MISSISSIPPI</t>
  </si>
  <si>
    <t>MISSOURI</t>
  </si>
  <si>
    <t>CON will continue to review major medical equipment exceeding $1MM</t>
  </si>
  <si>
    <t>MONTANA</t>
  </si>
  <si>
    <t>HD</t>
  </si>
  <si>
    <t>PD</t>
  </si>
  <si>
    <t>Total PD Patients</t>
  </si>
  <si>
    <t>Revenue / Tx</t>
  </si>
  <si>
    <t>Rev / Tx</t>
  </si>
  <si>
    <t>No</t>
  </si>
  <si>
    <t>CON State?</t>
  </si>
  <si>
    <t>Total G&amp;A</t>
  </si>
  <si>
    <t>Per InCenter Machine</t>
  </si>
  <si>
    <t>Per PD Machine</t>
  </si>
  <si>
    <t>Total Routine Capital</t>
  </si>
  <si>
    <t>Pemiscot</t>
  </si>
  <si>
    <t>St. Francois</t>
  </si>
  <si>
    <t>Belknap</t>
  </si>
  <si>
    <t>Merrimack</t>
  </si>
  <si>
    <t>Cibola</t>
  </si>
  <si>
    <t>Lea</t>
  </si>
  <si>
    <t>Los Alamos</t>
  </si>
  <si>
    <t>McKinley</t>
  </si>
  <si>
    <t>Mora</t>
  </si>
  <si>
    <t>Socorro</t>
  </si>
  <si>
    <t>Taos</t>
  </si>
  <si>
    <t>Valencia</t>
  </si>
  <si>
    <t>Dutchess</t>
  </si>
  <si>
    <t>Saratoga</t>
  </si>
  <si>
    <t>Ulster</t>
  </si>
  <si>
    <t>Bertie</t>
  </si>
  <si>
    <t>Columbus</t>
  </si>
  <si>
    <t>Edgecombe</t>
  </si>
  <si>
    <t>Gaston</t>
  </si>
  <si>
    <t>Vance</t>
  </si>
  <si>
    <t>Yadkin</t>
  </si>
  <si>
    <t>Belmont</t>
  </si>
  <si>
    <t>FA, Admin. Asst., Social Worker, Dietician, BioMed, Housekeeping</t>
  </si>
  <si>
    <t>Annual Rent, CAM &amp; Property Tax</t>
  </si>
  <si>
    <t>Commercial Revenue Per Treatment</t>
  </si>
  <si>
    <t>Ptr CF Rate of Return</t>
  </si>
  <si>
    <t>Inc PD Pts per Yr:</t>
  </si>
  <si>
    <t>Inc HHD Pts per Yr:</t>
  </si>
  <si>
    <t>Already included in calculation</t>
  </si>
  <si>
    <t>below capacity</t>
  </si>
  <si>
    <t>staffing competition</t>
  </si>
  <si>
    <t>If there are ROFR Issues, please explain situation and proposed solution</t>
  </si>
  <si>
    <t>Annual Salary ($)</t>
  </si>
  <si>
    <t>Fixed Staffing (FTE"s)</t>
  </si>
  <si>
    <t>Variable Staffing (FTE's)</t>
  </si>
  <si>
    <t>Shared Staffing (across modalities)</t>
  </si>
  <si>
    <t xml:space="preserve">   Total Capital Expended Yrs. 1-3</t>
  </si>
  <si>
    <t>Hours Per Treatment - Variable</t>
  </si>
  <si>
    <t>Hours Per Treatment - Fixed</t>
  </si>
  <si>
    <t>Hours Per Treatment - Total</t>
  </si>
  <si>
    <t>Mc Kean</t>
  </si>
  <si>
    <t>Mifflin</t>
  </si>
  <si>
    <t>Schuylkill</t>
  </si>
  <si>
    <t>Snyder</t>
  </si>
  <si>
    <t>Susquehanna</t>
  </si>
  <si>
    <t>Venango</t>
  </si>
  <si>
    <t>RI</t>
  </si>
  <si>
    <t>Bristol</t>
  </si>
  <si>
    <t>Newport</t>
  </si>
  <si>
    <t>Providence</t>
  </si>
  <si>
    <t>Abbeville</t>
  </si>
  <si>
    <t>Allendale</t>
  </si>
  <si>
    <t>Bamberg</t>
  </si>
  <si>
    <t>Barnwell</t>
  </si>
  <si>
    <t>Clarendon</t>
  </si>
  <si>
    <t>Colleton</t>
  </si>
  <si>
    <t>Darlington</t>
  </si>
  <si>
    <t>Dillon</t>
  </si>
  <si>
    <t>Georgetown</t>
  </si>
  <si>
    <t>Hampton</t>
  </si>
  <si>
    <t>Kershaw</t>
  </si>
  <si>
    <t>McCormick</t>
  </si>
  <si>
    <t>Marlboro</t>
  </si>
  <si>
    <t>Newberry</t>
  </si>
  <si>
    <t>Orangeburg</t>
  </si>
  <si>
    <t>Saluda</t>
  </si>
  <si>
    <t>Williamsburg</t>
  </si>
  <si>
    <t>Aurora</t>
  </si>
  <si>
    <t>Beadle</t>
  </si>
  <si>
    <t>Bennett</t>
  </si>
  <si>
    <t>Bon Homme</t>
  </si>
  <si>
    <t>Brookings</t>
  </si>
  <si>
    <t>Brule</t>
  </si>
  <si>
    <t>Charles Mix</t>
  </si>
  <si>
    <t>Partner Owership %</t>
  </si>
  <si>
    <t>1) Inputs are in blue font color.  Values calculated from formulas are in black.</t>
  </si>
  <si>
    <t>Revised:</t>
  </si>
  <si>
    <t>OK to make distributions?</t>
  </si>
  <si>
    <t>Dorchester</t>
  </si>
  <si>
    <t>Edgefield</t>
  </si>
  <si>
    <t>Florence</t>
  </si>
  <si>
    <t>Greenville</t>
  </si>
  <si>
    <t>Horry</t>
  </si>
  <si>
    <t>Spartanburg</t>
  </si>
  <si>
    <t>Sumter</t>
  </si>
  <si>
    <t>Archer</t>
  </si>
  <si>
    <t>Bell</t>
  </si>
  <si>
    <t>Income Statement (per Treatment)</t>
  </si>
  <si>
    <t>Total HHD Treatments</t>
  </si>
  <si>
    <t>Tx Frequency</t>
  </si>
  <si>
    <t>SWB $ per Treatment</t>
  </si>
  <si>
    <t>Notes:</t>
  </si>
  <si>
    <t>Check capacity issues before relying on scenario calculations.</t>
  </si>
  <si>
    <t>Associate</t>
  </si>
  <si>
    <t>Pearl River</t>
  </si>
  <si>
    <t>1. Project Description</t>
  </si>
  <si>
    <t>For Discussion Purposes Only</t>
  </si>
  <si>
    <t>TREATMENT SCHEDULE</t>
  </si>
  <si>
    <t>IN - CENTER</t>
  </si>
  <si>
    <t xml:space="preserve"> Year 1</t>
  </si>
  <si>
    <t xml:space="preserve"> Year 3</t>
  </si>
  <si>
    <t>Month</t>
  </si>
  <si>
    <t>Version Date:</t>
  </si>
  <si>
    <t>Model:</t>
  </si>
  <si>
    <t>Version #</t>
  </si>
  <si>
    <t>Relo/Exp or DeNovo</t>
  </si>
  <si>
    <t>Suggested Name for LLC</t>
  </si>
  <si>
    <t>Joint Venture?</t>
  </si>
  <si>
    <t>Lease Duration</t>
  </si>
  <si>
    <r>
      <t xml:space="preserve">Is HHD </t>
    </r>
    <r>
      <rPr>
        <b/>
        <sz val="10"/>
        <rFont val="Arial"/>
        <family val="2"/>
      </rPr>
      <t>parent</t>
    </r>
    <r>
      <rPr>
        <sz val="10"/>
        <rFont val="Arial"/>
        <family val="2"/>
      </rPr>
      <t xml:space="preserve"> a JV?</t>
    </r>
  </si>
  <si>
    <t>P&amp;L Pre-G&amp;A Operating Expense</t>
  </si>
  <si>
    <t>9290 - RTC-DVA Mgmt Service Allocation</t>
  </si>
  <si>
    <t>8999 - Direct Field Support</t>
  </si>
  <si>
    <t>New Expense Account</t>
  </si>
  <si>
    <t>P&amp;L Total Operating Expense</t>
  </si>
  <si>
    <t>P&amp;L Pre-G&amp;A EBITDA</t>
  </si>
  <si>
    <t>P&amp;L EBITDA</t>
  </si>
  <si>
    <t>P&amp;L EBIT</t>
  </si>
  <si>
    <t>Division:</t>
  </si>
  <si>
    <t>City</t>
  </si>
  <si>
    <t>State</t>
  </si>
  <si>
    <t>Center Name</t>
  </si>
  <si>
    <t>LOC Number</t>
  </si>
  <si>
    <t>Location Number*</t>
  </si>
  <si>
    <t>Commercial (total)</t>
  </si>
  <si>
    <t>02.03</t>
  </si>
  <si>
    <t>depreciation years (book)</t>
  </si>
  <si>
    <t>Patients &amp; Treatments - Parent(s)</t>
  </si>
  <si>
    <t>Patients &amp; Treatments - Denovo</t>
  </si>
  <si>
    <t>SPRT_0001</t>
  </si>
  <si>
    <t>Actual_Current</t>
  </si>
  <si>
    <t>Model</t>
  </si>
  <si>
    <t>DeNovo PD Tx</t>
  </si>
  <si>
    <t>TX_3030</t>
  </si>
  <si>
    <t>SUB_330</t>
  </si>
  <si>
    <t>DeNovo Hemo Rev.</t>
  </si>
  <si>
    <t>DeNovo PD Rev.</t>
  </si>
  <si>
    <t>FC_60</t>
  </si>
  <si>
    <t>SPRT_0000</t>
  </si>
  <si>
    <t>FC_78</t>
  </si>
  <si>
    <t>SUB_000</t>
  </si>
  <si>
    <t>Physician Fees</t>
  </si>
  <si>
    <t>Joint Venture Percent</t>
  </si>
  <si>
    <t>JV_Percent</t>
  </si>
  <si>
    <t>Pre-Opening Costs</t>
  </si>
  <si>
    <t>Pre_Opening</t>
  </si>
  <si>
    <t>PD Tx</t>
  </si>
  <si>
    <t>Hemo Rev.</t>
  </si>
  <si>
    <t>PD Rev.</t>
  </si>
  <si>
    <t>Hemo Tx</t>
  </si>
  <si>
    <t>* "Oops!" means audit is necessary.</t>
  </si>
  <si>
    <t>Secret Code: 1050</t>
  </si>
  <si>
    <t>/Tx</t>
  </si>
  <si>
    <t>DeNovo HHD Tx</t>
  </si>
  <si>
    <t>DeNovo HHD Rev.</t>
  </si>
  <si>
    <t>Other Variable Operating Expense (Hemo &amp; PD)</t>
  </si>
  <si>
    <t>Highlands</t>
  </si>
  <si>
    <t>Holmes</t>
  </si>
  <si>
    <t>Indian River</t>
  </si>
  <si>
    <t>Levy</t>
  </si>
  <si>
    <t>Emergency Evacuation Kit</t>
  </si>
  <si>
    <t>08.32</t>
  </si>
  <si>
    <t>Miscellaneous Clinical</t>
  </si>
  <si>
    <t>08.33</t>
  </si>
  <si>
    <t>Dialysis Chair - regular</t>
  </si>
  <si>
    <t>6. Market</t>
  </si>
  <si>
    <t>Cash collection delay</t>
  </si>
  <si>
    <t>09.01</t>
  </si>
  <si>
    <t>Dialysis Chair - oversized</t>
  </si>
  <si>
    <t>Foster</t>
  </si>
  <si>
    <t>Griggs</t>
  </si>
  <si>
    <t>Hettinger</t>
  </si>
  <si>
    <t>Kidder</t>
  </si>
  <si>
    <t>LaMoure</t>
  </si>
  <si>
    <t>McIntosh</t>
  </si>
  <si>
    <t>McKenzie</t>
  </si>
  <si>
    <t>Mountrail</t>
  </si>
  <si>
    <t>Oliver</t>
  </si>
  <si>
    <t>Pembina</t>
  </si>
  <si>
    <t>IRR TO DVA is correct</t>
  </si>
  <si>
    <t>Chesterfield</t>
  </si>
  <si>
    <t>Clarke</t>
  </si>
  <si>
    <t>Culpeper</t>
  </si>
  <si>
    <t>Dinwiddie</t>
  </si>
  <si>
    <t>Fairfax</t>
  </si>
  <si>
    <t>Fauquier</t>
  </si>
  <si>
    <t>Fluvanna</t>
  </si>
  <si>
    <t>Okeechobee</t>
  </si>
  <si>
    <t>Appling</t>
  </si>
  <si>
    <t>Atkinson</t>
  </si>
  <si>
    <t>Bacon</t>
  </si>
  <si>
    <t>Baker</t>
  </si>
  <si>
    <t>Banks</t>
  </si>
  <si>
    <t xml:space="preserve"> Year 5</t>
  </si>
  <si>
    <t>Beginning Patients</t>
  </si>
  <si>
    <t>Ending Patients</t>
  </si>
  <si>
    <t>Net New Patients</t>
  </si>
  <si>
    <t>Other Expenses</t>
  </si>
  <si>
    <t>Evans</t>
  </si>
  <si>
    <t>Fannin</t>
  </si>
  <si>
    <t>Floyd</t>
  </si>
  <si>
    <t>Gilmer</t>
  </si>
  <si>
    <t>Glascock</t>
  </si>
  <si>
    <t>Glynn</t>
  </si>
  <si>
    <t>Gordon</t>
  </si>
  <si>
    <t>Grady</t>
  </si>
  <si>
    <t>Habersham</t>
  </si>
  <si>
    <t>Hall</t>
  </si>
  <si>
    <t>Haralson</t>
  </si>
  <si>
    <t>Hart</t>
  </si>
  <si>
    <t>Heard</t>
  </si>
  <si>
    <t>Irwin</t>
  </si>
  <si>
    <t>Jeff Davis</t>
  </si>
  <si>
    <t>Lanier</t>
  </si>
  <si>
    <t>Laurens</t>
  </si>
  <si>
    <t>Long</t>
  </si>
  <si>
    <t>Lumpkin</t>
  </si>
  <si>
    <t>Meriwether</t>
  </si>
  <si>
    <t>Mitchell</t>
  </si>
  <si>
    <t>Murray</t>
  </si>
  <si>
    <t>Oglethorpe</t>
  </si>
  <si>
    <t>Rabun</t>
  </si>
  <si>
    <t>Schley</t>
  </si>
  <si>
    <t>Screven</t>
  </si>
  <si>
    <t>Stephens</t>
  </si>
  <si>
    <t>Stewart</t>
  </si>
  <si>
    <t>Talbot</t>
  </si>
  <si>
    <t>Tattnall</t>
  </si>
  <si>
    <t>Telfair</t>
  </si>
  <si>
    <t>Terrell</t>
  </si>
  <si>
    <t>Thomas</t>
  </si>
  <si>
    <t>Tift</t>
  </si>
  <si>
    <t>Berks</t>
  </si>
  <si>
    <t>Bucks</t>
  </si>
  <si>
    <t>Carbon</t>
  </si>
  <si>
    <t>Cumberland</t>
  </si>
  <si>
    <t>Dauphin</t>
  </si>
  <si>
    <t>Lebanon</t>
  </si>
  <si>
    <t>Lehigh</t>
  </si>
  <si>
    <t>Parent before DN</t>
  </si>
  <si>
    <t>Are there ROFR Issues?</t>
  </si>
  <si>
    <t>If yes, explain:</t>
  </si>
  <si>
    <t>If JV, type of JV</t>
  </si>
  <si>
    <t>JV</t>
  </si>
  <si>
    <t>If project will be a Joint Venture, JV is</t>
  </si>
  <si>
    <t>Year 1 MD Fee ($)</t>
  </si>
  <si>
    <t xml:space="preserve"> Year 1 Rent/SF ($)</t>
  </si>
  <si>
    <t># ICHD Stations @ Open</t>
  </si>
  <si>
    <t>Square Footage</t>
  </si>
  <si>
    <t>@ Open</t>
  </si>
  <si>
    <t>2850</t>
  </si>
  <si>
    <t>2730</t>
  </si>
  <si>
    <t>2750</t>
  </si>
  <si>
    <t>2790</t>
  </si>
  <si>
    <t>2820</t>
  </si>
  <si>
    <t>2860</t>
  </si>
  <si>
    <t>2855</t>
  </si>
  <si>
    <t>2780</t>
  </si>
  <si>
    <t>1711</t>
  </si>
  <si>
    <t>1713</t>
  </si>
  <si>
    <t>1715</t>
  </si>
  <si>
    <t>1773</t>
  </si>
  <si>
    <t>1772</t>
  </si>
  <si>
    <t>1775</t>
  </si>
  <si>
    <t>Intangible_Net</t>
  </si>
  <si>
    <t>1920</t>
  </si>
  <si>
    <t>1925</t>
  </si>
  <si>
    <t>1950</t>
  </si>
  <si>
    <t>1953</t>
  </si>
  <si>
    <t>1952</t>
  </si>
  <si>
    <t>1955</t>
  </si>
  <si>
    <t>1956</t>
  </si>
  <si>
    <t>1957</t>
  </si>
  <si>
    <t>1958</t>
  </si>
  <si>
    <t>1963</t>
  </si>
  <si>
    <t>1962</t>
  </si>
  <si>
    <t>1965</t>
  </si>
  <si>
    <t>1966</t>
  </si>
  <si>
    <t>1967</t>
  </si>
  <si>
    <t>1968</t>
  </si>
  <si>
    <t>1924</t>
  </si>
  <si>
    <t>1951</t>
  </si>
  <si>
    <t>1954</t>
  </si>
  <si>
    <t>1959</t>
  </si>
  <si>
    <t>1961</t>
  </si>
  <si>
    <t>1964</t>
  </si>
  <si>
    <t>1969</t>
  </si>
  <si>
    <t>2118</t>
  </si>
  <si>
    <t>2119</t>
  </si>
  <si>
    <t>2120</t>
  </si>
  <si>
    <t>2121</t>
  </si>
  <si>
    <t>2122</t>
  </si>
  <si>
    <t>2123</t>
  </si>
  <si>
    <t>2124</t>
  </si>
  <si>
    <t>2125</t>
  </si>
  <si>
    <t>Dent</t>
  </si>
  <si>
    <t>Dunklin</t>
  </si>
  <si>
    <t>Gasconade</t>
  </si>
  <si>
    <t>Candler</t>
  </si>
  <si>
    <t>Charlton</t>
  </si>
  <si>
    <t>Chattooga</t>
  </si>
  <si>
    <t>Clinch</t>
  </si>
  <si>
    <t>Colquitt</t>
  </si>
  <si>
    <t>Crisp</t>
  </si>
  <si>
    <t>Dawson</t>
  </si>
  <si>
    <t>Decatur</t>
  </si>
  <si>
    <t>Dodge</t>
  </si>
  <si>
    <t>Dooly</t>
  </si>
  <si>
    <t>Echols</t>
  </si>
  <si>
    <t>Emanuel</t>
  </si>
  <si>
    <t>Lynn</t>
  </si>
  <si>
    <t>McCulloch</t>
  </si>
  <si>
    <t>McMullen</t>
  </si>
  <si>
    <t>Matagorda</t>
  </si>
  <si>
    <t>Maverick</t>
  </si>
  <si>
    <t>Menard</t>
  </si>
  <si>
    <t>Montague</t>
  </si>
  <si>
    <t>Motley</t>
  </si>
  <si>
    <t>Nacogdoches</t>
  </si>
  <si>
    <t>Navarro</t>
  </si>
  <si>
    <t>Nolan</t>
  </si>
  <si>
    <t>Ochiltree</t>
  </si>
  <si>
    <t>Palo Pinto</t>
  </si>
  <si>
    <t>Parmer</t>
  </si>
  <si>
    <t>Pecos</t>
  </si>
  <si>
    <t>Rains</t>
  </si>
  <si>
    <t>Reagan</t>
  </si>
  <si>
    <t>Reeves</t>
  </si>
  <si>
    <t>Refugio</t>
  </si>
  <si>
    <t>Month 0</t>
  </si>
  <si>
    <t>Month 1</t>
  </si>
  <si>
    <t>Month 2</t>
  </si>
  <si>
    <t>Month 3</t>
  </si>
  <si>
    <t>Month 4</t>
  </si>
  <si>
    <t>Month 5</t>
  </si>
  <si>
    <t>Month 6</t>
  </si>
  <si>
    <t>Month 7</t>
  </si>
  <si>
    <t>Month 8</t>
  </si>
  <si>
    <t>Bossier</t>
  </si>
  <si>
    <t>Calcasieu</t>
  </si>
  <si>
    <t>San Saba</t>
  </si>
  <si>
    <t>Schleicher</t>
  </si>
  <si>
    <t>Scurry</t>
  </si>
  <si>
    <t>Shackelford</t>
  </si>
  <si>
    <t>Somervell</t>
  </si>
  <si>
    <t>Starr</t>
  </si>
  <si>
    <t>Sterling</t>
  </si>
  <si>
    <t>Sutton</t>
  </si>
  <si>
    <t>Swisher</t>
  </si>
  <si>
    <t>Terry</t>
  </si>
  <si>
    <t>Throckmorton</t>
  </si>
  <si>
    <t>Titus</t>
  </si>
  <si>
    <t>Tyler</t>
  </si>
  <si>
    <t>Upton</t>
  </si>
  <si>
    <t>Uvalde</t>
  </si>
  <si>
    <t>Val Verde</t>
  </si>
  <si>
    <t>Van Zandt</t>
  </si>
  <si>
    <t>Wharton</t>
  </si>
  <si>
    <t>Wilbarger</t>
  </si>
  <si>
    <t>Winkler</t>
  </si>
  <si>
    <t>Wise</t>
  </si>
  <si>
    <t>Yoakum</t>
  </si>
  <si>
    <t>Young</t>
  </si>
  <si>
    <t>Zapata</t>
  </si>
  <si>
    <t>Box Elder</t>
  </si>
  <si>
    <t>Cache</t>
  </si>
  <si>
    <t>Daggett</t>
  </si>
  <si>
    <t>Duchesne</t>
  </si>
  <si>
    <t>Emery</t>
  </si>
  <si>
    <t>Juab</t>
  </si>
  <si>
    <t>Millard</t>
  </si>
  <si>
    <t>Piute</t>
  </si>
  <si>
    <t>Rich</t>
  </si>
  <si>
    <t>Sanpete</t>
  </si>
  <si>
    <t>Windsor</t>
  </si>
  <si>
    <t>Accomack</t>
  </si>
  <si>
    <t>Amelia</t>
  </si>
  <si>
    <t>Appomattox</t>
  </si>
  <si>
    <t>Augusta</t>
  </si>
  <si>
    <t>Bland</t>
  </si>
  <si>
    <t>Trego</t>
  </si>
  <si>
    <t>Wabaunsee</t>
  </si>
  <si>
    <t>Wallace</t>
  </si>
  <si>
    <t>Woodson</t>
  </si>
  <si>
    <t>Ballard</t>
  </si>
  <si>
    <t>Barren</t>
  </si>
  <si>
    <t>Bath</t>
  </si>
  <si>
    <t>Boyle</t>
  </si>
  <si>
    <t>Bracken</t>
  </si>
  <si>
    <t>Breckinridge</t>
  </si>
  <si>
    <t>Calloway</t>
  </si>
  <si>
    <t>Carlisle</t>
  </si>
  <si>
    <t>Casey</t>
  </si>
  <si>
    <t>Edmonson</t>
  </si>
  <si>
    <t>Elliott</t>
  </si>
  <si>
    <t>Fleming</t>
  </si>
  <si>
    <t>Garrard</t>
  </si>
  <si>
    <t>Graves</t>
  </si>
  <si>
    <t>Green</t>
  </si>
  <si>
    <t>Hickman</t>
  </si>
  <si>
    <t>Hopkins</t>
  </si>
  <si>
    <t>Terminal value (c)</t>
  </si>
  <si>
    <t xml:space="preserve">Total cash flow </t>
  </si>
  <si>
    <t>Discount Rate</t>
  </si>
  <si>
    <t>Medical Director Fees (d)</t>
  </si>
  <si>
    <t>Total cash flow with MD fees</t>
  </si>
  <si>
    <t>growth</t>
  </si>
  <si>
    <t>Rate of Return</t>
  </si>
  <si>
    <t>NPV</t>
  </si>
  <si>
    <t>Working Capital Months</t>
  </si>
  <si>
    <t>Return on Investment</t>
  </si>
  <si>
    <t>Line of credit requirement (1/12 of year 1 expenses):</t>
  </si>
  <si>
    <t>1Tab_Input</t>
  </si>
  <si>
    <t>Overall Process</t>
  </si>
  <si>
    <t>Upon model approval (via standard or Exceptions process), facility # is requested from Tacoma (Sandy Nichols &amp; Brian Schrotenboer)</t>
  </si>
  <si>
    <t>NOTE: if model is a JV that requires a new legal entity, Legal Dept will provide (Laura Torres)</t>
  </si>
  <si>
    <t>Required documents:</t>
  </si>
  <si>
    <t>Tacoma generates facility # for a DN</t>
  </si>
  <si>
    <t>Project Initiation Memo, Approved model w/ facility # and Map --&gt; sent to DVP, ROD, PM, DFA, etc.</t>
  </si>
  <si>
    <t>Caddo</t>
  </si>
  <si>
    <t>Cimarron</t>
  </si>
  <si>
    <t>Coal</t>
  </si>
  <si>
    <t>Cotton</t>
  </si>
  <si>
    <t>Craig</t>
  </si>
  <si>
    <t>Dewey</t>
  </si>
  <si>
    <t>Garvin</t>
  </si>
  <si>
    <t>Greer</t>
  </si>
  <si>
    <t>Harmon</t>
  </si>
  <si>
    <t>Hughes</t>
  </si>
  <si>
    <t>Kay</t>
  </si>
  <si>
    <t>Kingfisher</t>
  </si>
  <si>
    <t>Latimer</t>
  </si>
  <si>
    <t>Le Flore</t>
  </si>
  <si>
    <t>Love</t>
  </si>
  <si>
    <t>McCurtain</t>
  </si>
  <si>
    <t>Major</t>
  </si>
  <si>
    <t>Mayes</t>
  </si>
  <si>
    <t>Muskogee</t>
  </si>
  <si>
    <t>Nowata</t>
  </si>
  <si>
    <t>Okfuskee</t>
  </si>
  <si>
    <t>Okmulgee</t>
  </si>
  <si>
    <t>Payne</t>
  </si>
  <si>
    <t>Pittsburg</t>
  </si>
  <si>
    <t>Pushmataha</t>
  </si>
  <si>
    <t>Roger Mills</t>
  </si>
  <si>
    <t>RT</t>
  </si>
  <si>
    <t>Cash Flow</t>
  </si>
  <si>
    <t>Govt</t>
  </si>
  <si>
    <t>Comm</t>
  </si>
  <si>
    <t>Parent - hemo &amp; PD</t>
  </si>
  <si>
    <t>Income Statement</t>
  </si>
  <si>
    <t>Yuma</t>
  </si>
  <si>
    <t>Craighead</t>
  </si>
  <si>
    <t>Miller</t>
  </si>
  <si>
    <t>Sebastian</t>
  </si>
  <si>
    <t>Weld</t>
  </si>
  <si>
    <t>Alachua</t>
  </si>
  <si>
    <t>Flagler</t>
  </si>
  <si>
    <t>Santa Rosa</t>
  </si>
  <si>
    <t>Bibb</t>
  </si>
  <si>
    <t>Miscellaneous Technical Tools</t>
  </si>
  <si>
    <t>06.12</t>
  </si>
  <si>
    <t>Miscellaneous Fittings, Tubing</t>
  </si>
  <si>
    <t>06.13</t>
  </si>
  <si>
    <t>DRS4</t>
  </si>
  <si>
    <t>07.01</t>
  </si>
  <si>
    <t>Fixtures</t>
  </si>
  <si>
    <t>Manual Reuse Station</t>
  </si>
  <si>
    <t>07.02</t>
  </si>
  <si>
    <t>Renatron</t>
  </si>
  <si>
    <t>07.03</t>
  </si>
  <si>
    <t>Rate of Return (d)</t>
  </si>
  <si>
    <t>Pre-Tax:</t>
  </si>
  <si>
    <t>Year of Buildout (enter 1-5)</t>
  </si>
  <si>
    <t>Pts to DeNovo</t>
  </si>
  <si>
    <t>Pts at Parent</t>
  </si>
  <si>
    <t>Bexar</t>
  </si>
  <si>
    <t>Bowie</t>
  </si>
  <si>
    <t>Brazoria</t>
  </si>
  <si>
    <t>Brazos</t>
  </si>
  <si>
    <t>Cameron</t>
  </si>
  <si>
    <t>Comal</t>
  </si>
  <si>
    <t>Coryell</t>
  </si>
  <si>
    <t>Galveston</t>
  </si>
  <si>
    <t>Grayson</t>
  </si>
  <si>
    <t>Gregg</t>
  </si>
  <si>
    <t>Guadalupe</t>
  </si>
  <si>
    <t>Hidalgo</t>
  </si>
  <si>
    <t>Lubbock</t>
  </si>
  <si>
    <t>Nueces</t>
  </si>
  <si>
    <t>Potter</t>
  </si>
  <si>
    <t>Randall</t>
  </si>
  <si>
    <t>Taylor</t>
  </si>
  <si>
    <t>Tom Green</t>
  </si>
  <si>
    <t>Upshur</t>
  </si>
  <si>
    <t>Webb</t>
  </si>
  <si>
    <t>Wichita</t>
  </si>
  <si>
    <t>Utah</t>
  </si>
  <si>
    <t>(4)
Total Chronic - Non-Government Payors - P&amp;L Total Equivalent Treatments</t>
  </si>
  <si>
    <t>(3)
Total Chronic - Government and Other Payors - P&amp;L Total Net Revenue</t>
  </si>
  <si>
    <t>Partner Levered Returns</t>
  </si>
  <si>
    <t>Partner Share of Investment</t>
  </si>
  <si>
    <t>HHD room(s)</t>
  </si>
  <si>
    <t>PD room(s)</t>
  </si>
  <si>
    <t>Torrance</t>
  </si>
  <si>
    <t>Other Liabilities</t>
  </si>
  <si>
    <t>Tax Calculation</t>
  </si>
  <si>
    <t>DeNovo CapEx</t>
  </si>
  <si>
    <t>CapEx and Depreciation</t>
  </si>
  <si>
    <t>Leasehold Improvements</t>
  </si>
  <si>
    <t>Fees/Services</t>
  </si>
  <si>
    <t>Equip/Fixtures/Furniture</t>
  </si>
  <si>
    <t>Douglas</t>
  </si>
  <si>
    <t>KY</t>
  </si>
  <si>
    <t>Boyd</t>
  </si>
  <si>
    <t>Carter</t>
  </si>
  <si>
    <t>Christian</t>
  </si>
  <si>
    <t>Daviess</t>
  </si>
  <si>
    <t>Greenup</t>
  </si>
  <si>
    <t>LA</t>
  </si>
  <si>
    <t>Acadia</t>
  </si>
  <si>
    <t>Ascension</t>
  </si>
  <si>
    <t>Pierce</t>
  </si>
  <si>
    <t>Spokane</t>
  </si>
  <si>
    <t>Whatcom</t>
  </si>
  <si>
    <t>Yakima</t>
  </si>
  <si>
    <t>WV</t>
  </si>
  <si>
    <t>Brooke</t>
  </si>
  <si>
    <t>Cabell</t>
  </si>
  <si>
    <t>Hancock</t>
  </si>
  <si>
    <t>Marshall</t>
  </si>
  <si>
    <t>Mineral</t>
  </si>
  <si>
    <t>Wayne</t>
  </si>
  <si>
    <t>Wood</t>
  </si>
  <si>
    <t>WI</t>
  </si>
  <si>
    <t>Chippewa</t>
  </si>
  <si>
    <t>Eau Claire</t>
  </si>
  <si>
    <t>Kenosha</t>
  </si>
  <si>
    <t>Rock</t>
  </si>
  <si>
    <t>Limestone</t>
  </si>
  <si>
    <t>Cash At Beginning of Period</t>
  </si>
  <si>
    <t>Cash at End of Period</t>
  </si>
  <si>
    <t>Investing:</t>
  </si>
  <si>
    <t>Distributions</t>
  </si>
  <si>
    <t>Projected Cash Flow</t>
  </si>
  <si>
    <t>Anchorage</t>
  </si>
  <si>
    <t>AZ</t>
  </si>
  <si>
    <t>Maricopa</t>
  </si>
  <si>
    <t>Mohave</t>
  </si>
  <si>
    <t>Pinal</t>
  </si>
  <si>
    <t>AR</t>
  </si>
  <si>
    <t>Crittenden</t>
  </si>
  <si>
    <t>Faulkner</t>
  </si>
  <si>
    <t>Lonoke</t>
  </si>
  <si>
    <t>Pulaski</t>
  </si>
  <si>
    <t>Cumulative Free Cash Flow</t>
  </si>
  <si>
    <t>Cash Needed at Startup</t>
  </si>
  <si>
    <t>Suffolk</t>
  </si>
  <si>
    <t>New York</t>
  </si>
  <si>
    <t>Queens</t>
  </si>
  <si>
    <t>Multnomah</t>
  </si>
  <si>
    <t>Tarrant</t>
  </si>
  <si>
    <t>Hopewell City</t>
  </si>
  <si>
    <t>Manassas Park City</t>
  </si>
  <si>
    <t>Martinsville City</t>
  </si>
  <si>
    <t>Petersburg City</t>
  </si>
  <si>
    <t>Milwaukee</t>
  </si>
  <si>
    <t>DC</t>
  </si>
  <si>
    <t>District of Columbia</t>
  </si>
  <si>
    <t>Broward</t>
  </si>
  <si>
    <t>Palm Beach</t>
  </si>
  <si>
    <t>Pinellas</t>
  </si>
  <si>
    <t>Skagway-Yakutat-Angoon</t>
  </si>
  <si>
    <t>Yellowstone National Park</t>
  </si>
  <si>
    <t>South Boston City</t>
  </si>
  <si>
    <t>Early</t>
  </si>
  <si>
    <t>DeBaca</t>
  </si>
  <si>
    <t>Real Estate Firm:</t>
  </si>
  <si>
    <t>DaVita Statement of Requirements (SOR)</t>
  </si>
  <si>
    <t>Section 1 - Type of Assistance Requested</t>
  </si>
  <si>
    <t>Market Rents Survey</t>
  </si>
  <si>
    <t>DeNovo/Acquisition</t>
  </si>
  <si>
    <t>Relocation/Acquisition</t>
  </si>
  <si>
    <t>Broker Opinion of Value (BOV)</t>
  </si>
  <si>
    <t>Lease Renewal - MDA Expiration Date:</t>
  </si>
  <si>
    <t>Lease Termination</t>
  </si>
  <si>
    <t>Section 2 - Confirmation of Parameters of Assignment</t>
  </si>
  <si>
    <t>Specific Geographic Boundary</t>
  </si>
  <si>
    <t>Number of Stations at Open</t>
  </si>
  <si>
    <t>Number of Stations at Buildout</t>
  </si>
  <si>
    <t>Year of Buildout</t>
  </si>
  <si>
    <t>Special Space Needs</t>
  </si>
  <si>
    <t>RD office space</t>
  </si>
  <si>
    <t>MD office space</t>
  </si>
  <si>
    <t>Center Ownership - Joint Venture?</t>
  </si>
  <si>
    <t>Under Consideration</t>
  </si>
  <si>
    <t>PSA confirmed</t>
  </si>
  <si>
    <t>FCA confirmed</t>
  </si>
  <si>
    <t>Exceptions Approved</t>
  </si>
  <si>
    <t>Pending Exceptions Approval</t>
  </si>
  <si>
    <t>Model Status:</t>
  </si>
  <si>
    <t>Section 3 - Local DaVita Contact Information</t>
  </si>
  <si>
    <t>Contact Name &amp; Title:</t>
  </si>
  <si>
    <t>Street Address:</t>
  </si>
  <si>
    <t>City, State, Zip:</t>
  </si>
  <si>
    <t>Fax:</t>
  </si>
  <si>
    <t>email:</t>
  </si>
  <si>
    <t>Section 4 - Transaction Delivery Team Contact Information</t>
  </si>
  <si>
    <t>Section 5 - Approvals</t>
  </si>
  <si>
    <t>Divisional Vice President</t>
  </si>
  <si>
    <t>Regional Operations Director</t>
  </si>
  <si>
    <t>Real Estate VP:</t>
  </si>
  <si>
    <t>PRELIMINARY MODEL INFORMATION</t>
  </si>
  <si>
    <t>COMPLIANCE REQUIREMENTS</t>
  </si>
  <si>
    <t>NO MODEL NECESSARY</t>
  </si>
  <si>
    <t>MODEL REQUIRED</t>
  </si>
  <si>
    <t xml:space="preserve">Is doctor potential landlord? </t>
  </si>
  <si>
    <t>Is the landlord a potential referral source?</t>
  </si>
  <si>
    <t>Doctor Approval of the site required prior to lease execution?</t>
  </si>
  <si>
    <t>Name</t>
  </si>
  <si>
    <t>Signature</t>
  </si>
  <si>
    <t>Branch</t>
  </si>
  <si>
    <t>Charlevoix</t>
  </si>
  <si>
    <t>Cheboygan</t>
  </si>
  <si>
    <t>Clare</t>
  </si>
  <si>
    <t>Gladwin</t>
  </si>
  <si>
    <t>Gogebic</t>
  </si>
  <si>
    <t>Grand Traverse</t>
  </si>
  <si>
    <t>Gratiot</t>
  </si>
  <si>
    <t>Hillsdale</t>
  </si>
  <si>
    <t>Houghton</t>
  </si>
  <si>
    <t>Huron</t>
  </si>
  <si>
    <t>Ionia</t>
  </si>
  <si>
    <t>Iosco</t>
  </si>
  <si>
    <t>Isabella</t>
  </si>
  <si>
    <t>Kalkaska</t>
  </si>
  <si>
    <t>Keweenaw</t>
  </si>
  <si>
    <t>Leelanau</t>
  </si>
  <si>
    <t>Luce</t>
  </si>
  <si>
    <t>Mackinac</t>
  </si>
  <si>
    <t>Manistee</t>
  </si>
  <si>
    <t>Marquette</t>
  </si>
  <si>
    <t>Mecosta</t>
  </si>
  <si>
    <t>Menominee</t>
  </si>
  <si>
    <t>Missaukee</t>
  </si>
  <si>
    <t>Montcalm</t>
  </si>
  <si>
    <t>Woodbury</t>
  </si>
  <si>
    <t>KS</t>
  </si>
  <si>
    <t>Assets:</t>
  </si>
  <si>
    <t>Prepaid Expenses &amp; Other</t>
  </si>
  <si>
    <t>Fixed Assets</t>
  </si>
  <si>
    <t>Investments</t>
  </si>
  <si>
    <t>Goodwill</t>
  </si>
  <si>
    <t>Accumulated Amortization Goodwill</t>
  </si>
  <si>
    <t>2715</t>
  </si>
  <si>
    <t>Interco_Rec</t>
  </si>
  <si>
    <t>2710</t>
  </si>
  <si>
    <t>2711</t>
  </si>
  <si>
    <t>2712</t>
  </si>
  <si>
    <t>2713</t>
  </si>
  <si>
    <t>2900</t>
  </si>
  <si>
    <t>2902</t>
  </si>
  <si>
    <t>2920</t>
  </si>
  <si>
    <t>2921</t>
  </si>
  <si>
    <t>2922</t>
  </si>
  <si>
    <t>2923</t>
  </si>
  <si>
    <t>2930</t>
  </si>
  <si>
    <t>2940</t>
  </si>
  <si>
    <t>2950</t>
  </si>
  <si>
    <t>2980</t>
  </si>
  <si>
    <t>2981</t>
  </si>
  <si>
    <t>2982</t>
  </si>
  <si>
    <t>2990</t>
  </si>
  <si>
    <t>2714</t>
  </si>
  <si>
    <t>1252</t>
  </si>
  <si>
    <t>1253</t>
  </si>
  <si>
    <t>Total Parents</t>
  </si>
  <si>
    <t>Other Current Assets</t>
  </si>
  <si>
    <t>Centre</t>
  </si>
  <si>
    <t>Erie</t>
  </si>
  <si>
    <t>Lycoming</t>
  </si>
  <si>
    <t>Mercer</t>
  </si>
  <si>
    <t>Pike</t>
  </si>
  <si>
    <t>TN</t>
  </si>
  <si>
    <t>Anderson</t>
  </si>
  <si>
    <t>Blount</t>
  </si>
  <si>
    <t>Chester</t>
  </si>
  <si>
    <t>Hamilton</t>
  </si>
  <si>
    <t>Hawkins</t>
  </si>
  <si>
    <t>Knox</t>
  </si>
  <si>
    <t>Cash Inflow / (Outflow)</t>
  </si>
  <si>
    <t>Cash Balance</t>
  </si>
  <si>
    <t>see MACRS schedule</t>
  </si>
  <si>
    <t>Recovery Year</t>
  </si>
  <si>
    <t>new line item</t>
  </si>
  <si>
    <t>FinishLevel</t>
  </si>
  <si>
    <t>Gold</t>
  </si>
  <si>
    <t>Fort Bend</t>
  </si>
  <si>
    <t>Harris</t>
  </si>
  <si>
    <t>Hays</t>
  </si>
  <si>
    <t>Hunt</t>
  </si>
  <si>
    <t>Liberty</t>
  </si>
  <si>
    <t>Management Fee / G&amp;A</t>
  </si>
  <si>
    <t>TX_3050</t>
  </si>
  <si>
    <t>x</t>
  </si>
  <si>
    <t>Monthly Opex - HHD</t>
  </si>
  <si>
    <t>One Time Opex - HHD</t>
  </si>
  <si>
    <t>In Center Patients</t>
  </si>
  <si>
    <t>Patients at Opening</t>
  </si>
  <si>
    <t>X</t>
  </si>
  <si>
    <t>Average</t>
  </si>
  <si>
    <t>D</t>
  </si>
  <si>
    <t>Upload Tx (from [2.0 Patients] and populates [Upload Detail])</t>
  </si>
  <si>
    <t>P</t>
  </si>
  <si>
    <t>HHD Other Fixed Operating Expenses</t>
  </si>
  <si>
    <t>SUB_350</t>
  </si>
  <si>
    <t>HHD One Time Opex</t>
  </si>
  <si>
    <t xml:space="preserve">HHD Monthly Opex </t>
  </si>
  <si>
    <t>HHD Other Controllable Expenses</t>
  </si>
  <si>
    <t>HHD Other Controll. Exp. (Pre-Opening)</t>
  </si>
  <si>
    <t>X10_00_1791</t>
  </si>
  <si>
    <t>Rockwall</t>
  </si>
  <si>
    <t>Smith</t>
  </si>
  <si>
    <t>Travis</t>
  </si>
  <si>
    <t>Victoria</t>
  </si>
  <si>
    <t>Waller</t>
  </si>
  <si>
    <t>UT</t>
  </si>
  <si>
    <t>Davis</t>
  </si>
  <si>
    <t>Salt Lake</t>
  </si>
  <si>
    <t>Weber</t>
  </si>
  <si>
    <t>VA</t>
  </si>
  <si>
    <t>Albemarle</t>
  </si>
  <si>
    <t>Arlington</t>
  </si>
  <si>
    <t>Botetourt</t>
  </si>
  <si>
    <t>Per In-Center Machine</t>
  </si>
  <si>
    <t>Terminal Value EBITDA Multiple (DON'T reduce to account for return of working cap)</t>
  </si>
  <si>
    <t>Simpson</t>
  </si>
  <si>
    <t>Todd</t>
  </si>
  <si>
    <t>Trigg</t>
  </si>
  <si>
    <t>Trimble</t>
  </si>
  <si>
    <t>Assumption</t>
  </si>
  <si>
    <t>Avoyelles</t>
  </si>
  <si>
    <t>Beauregard</t>
  </si>
  <si>
    <t>Catahoula</t>
  </si>
  <si>
    <t>Claiborne</t>
  </si>
  <si>
    <t>Concordia</t>
  </si>
  <si>
    <t>East Feliciana</t>
  </si>
  <si>
    <t>Iberia</t>
  </si>
  <si>
    <t>Jefferson Davis</t>
  </si>
  <si>
    <t>Natchitoches</t>
  </si>
  <si>
    <t>Pointe Coupee</t>
  </si>
  <si>
    <t>Red River</t>
  </si>
  <si>
    <t>Sabine</t>
  </si>
  <si>
    <t>Hillsborough</t>
  </si>
  <si>
    <t>Rockingham</t>
  </si>
  <si>
    <t>Strafford</t>
  </si>
  <si>
    <t>Catron</t>
  </si>
  <si>
    <t>Chenango</t>
  </si>
  <si>
    <t>Cortland</t>
  </si>
  <si>
    <t>St. Lawrence</t>
  </si>
  <si>
    <t>Seneca</t>
  </si>
  <si>
    <t>Tompkins</t>
  </si>
  <si>
    <t>Yates</t>
  </si>
  <si>
    <t>Alleghany</t>
  </si>
  <si>
    <t>Anson</t>
  </si>
  <si>
    <t>Ashe</t>
  </si>
  <si>
    <t>Avery</t>
  </si>
  <si>
    <t>Beaufort</t>
  </si>
  <si>
    <t>Bladen</t>
  </si>
  <si>
    <t>Carteret</t>
  </si>
  <si>
    <t>Caswell</t>
  </si>
  <si>
    <t>Chowan</t>
  </si>
  <si>
    <t>Ending Gross Fixed Assets</t>
  </si>
  <si>
    <t>(6)
Total Chronic - Non-Government Payors - P&amp;L Total Net Revenue</t>
  </si>
  <si>
    <t>(5)
=(4)/(6)</t>
  </si>
  <si>
    <t>(8)
=[(6)-(12)]/(7)</t>
  </si>
  <si>
    <t>(9)
=(7)*(8)</t>
  </si>
  <si>
    <t>Bad debt, external laboratory costs</t>
  </si>
  <si>
    <t>Start-up working capital (a)</t>
  </si>
  <si>
    <t>Development fee (b)</t>
  </si>
  <si>
    <t>Average Census</t>
  </si>
  <si>
    <t>Revenue per Treatment</t>
  </si>
  <si>
    <t>Operations - Partner's Share:</t>
  </si>
  <si>
    <t>Cash distribution adjustment</t>
  </si>
  <si>
    <t>Capital &amp; Investment - Partner's Share:</t>
  </si>
  <si>
    <t>2590</t>
  </si>
  <si>
    <t>1310</t>
  </si>
  <si>
    <t>1313</t>
  </si>
  <si>
    <t>1320</t>
  </si>
  <si>
    <t>1323</t>
  </si>
  <si>
    <t>1324</t>
  </si>
  <si>
    <t>1325</t>
  </si>
  <si>
    <t>1350</t>
  </si>
  <si>
    <t>1330</t>
  </si>
  <si>
    <t>1331</t>
  </si>
  <si>
    <t>1332</t>
  </si>
  <si>
    <t>Network Cabling</t>
  </si>
  <si>
    <t>Other</t>
  </si>
  <si>
    <t>Total Patients</t>
  </si>
  <si>
    <t>Salaries</t>
  </si>
  <si>
    <t>DCA:</t>
  </si>
  <si>
    <t>DSI:</t>
  </si>
  <si>
    <t>RVM:</t>
  </si>
  <si>
    <t>RCP:</t>
  </si>
  <si>
    <t>RSA/ASA:</t>
  </si>
  <si>
    <t>USRC:</t>
  </si>
  <si>
    <t>Hosp/Unv/Gov:</t>
  </si>
  <si>
    <t>Independent:</t>
  </si>
  <si>
    <t>Buckingham</t>
  </si>
  <si>
    <t>Caroline</t>
  </si>
  <si>
    <t>Dickenson</t>
  </si>
  <si>
    <t>Greensville</t>
  </si>
  <si>
    <t>King and Queen</t>
  </si>
  <si>
    <t>King William</t>
  </si>
  <si>
    <t>Lunenburg</t>
  </si>
  <si>
    <t>Northumberland</t>
  </si>
  <si>
    <t>Nottoway</t>
  </si>
  <si>
    <t>Patrick</t>
  </si>
  <si>
    <t>Charleston</t>
  </si>
  <si>
    <t>Monongalia</t>
  </si>
  <si>
    <t>Pleasants</t>
  </si>
  <si>
    <t>Preston</t>
  </si>
  <si>
    <t>Raleigh</t>
  </si>
  <si>
    <t>Ritchie</t>
  </si>
  <si>
    <t>Summers</t>
  </si>
  <si>
    <t>Tucker</t>
  </si>
  <si>
    <t>Wetzel</t>
  </si>
  <si>
    <t>Wirt</t>
  </si>
  <si>
    <t>Wyoming</t>
  </si>
  <si>
    <t>Barron</t>
  </si>
  <si>
    <t>Bayfield</t>
  </si>
  <si>
    <t>Burnett</t>
  </si>
  <si>
    <t>Door</t>
  </si>
  <si>
    <t>Fond du Lac</t>
  </si>
  <si>
    <t>Forest</t>
  </si>
  <si>
    <t>Green Lake</t>
  </si>
  <si>
    <t>Kewaunee</t>
  </si>
  <si>
    <t>Langlade</t>
  </si>
  <si>
    <t>Manitowoc</t>
  </si>
  <si>
    <t>Marinette</t>
  </si>
  <si>
    <t>Oconto</t>
  </si>
  <si>
    <t>Pepin</t>
  </si>
  <si>
    <t>Price</t>
  </si>
  <si>
    <t>Sawyer</t>
  </si>
  <si>
    <t>Shawano</t>
  </si>
  <si>
    <t>Trempealeau</t>
  </si>
  <si>
    <t>Vilas</t>
  </si>
  <si>
    <t>Washburn</t>
  </si>
  <si>
    <t>Waupaca</t>
  </si>
  <si>
    <t>Waushara</t>
  </si>
  <si>
    <t>Albany</t>
  </si>
  <si>
    <t>Converse</t>
  </si>
  <si>
    <t>Goshen</t>
  </si>
  <si>
    <t>Hot Springs</t>
  </si>
  <si>
    <t>Morrow</t>
  </si>
  <si>
    <t>Muskingum</t>
  </si>
  <si>
    <t>Preble</t>
  </si>
  <si>
    <t>Ross</t>
  </si>
  <si>
    <t>Sandusky</t>
  </si>
  <si>
    <t>Scioto</t>
  </si>
  <si>
    <t>Tuscarawas</t>
  </si>
  <si>
    <t>Van Wert</t>
  </si>
  <si>
    <t>Vinton</t>
  </si>
  <si>
    <t>Wyandot</t>
  </si>
  <si>
    <t>Alfalfa</t>
  </si>
  <si>
    <t>Atoka</t>
  </si>
  <si>
    <t>Beckham</t>
  </si>
  <si>
    <t>(1)
Total Chronic - Government and Other Payors - P&amp;L Total Equivalent Treatments</t>
  </si>
  <si>
    <t>Panola</t>
  </si>
  <si>
    <t>ProjectType</t>
  </si>
  <si>
    <t>Groundup</t>
  </si>
  <si>
    <t>ContructionType</t>
  </si>
  <si>
    <t>Model Output:</t>
  </si>
  <si>
    <t>Annualized</t>
  </si>
  <si>
    <t>Variable SWC</t>
  </si>
  <si>
    <t>Fixed SWC</t>
  </si>
  <si>
    <t>Contract</t>
  </si>
  <si>
    <t>Chronic PD Tx</t>
  </si>
  <si>
    <t>HH Tx</t>
  </si>
  <si>
    <t>Somerset</t>
  </si>
  <si>
    <t>Lease Buyout Cost</t>
  </si>
  <si>
    <t>Department</t>
  </si>
  <si>
    <t>Sp_Rptg</t>
  </si>
  <si>
    <t>Actual</t>
  </si>
  <si>
    <t>Sub_Acct</t>
  </si>
  <si>
    <t>Fin_Class</t>
  </si>
  <si>
    <t>Medication Cart</t>
  </si>
  <si>
    <t>08.13</t>
  </si>
  <si>
    <t>Defibrillator</t>
  </si>
  <si>
    <t>08.14</t>
  </si>
  <si>
    <t>EKG</t>
  </si>
  <si>
    <t>06.05</t>
  </si>
  <si>
    <t>Water Analysis Test Kit</t>
  </si>
  <si>
    <t>06.06</t>
  </si>
  <si>
    <t>Heat Block</t>
  </si>
  <si>
    <t>Patient Transfers (PD, transplant, etc)</t>
  </si>
  <si>
    <t>06.07</t>
  </si>
  <si>
    <t>Spill Kit</t>
  </si>
  <si>
    <t>06.08</t>
  </si>
  <si>
    <t>Respirator</t>
  </si>
  <si>
    <t>06.09</t>
  </si>
  <si>
    <t>Tool Chest - Portable</t>
  </si>
  <si>
    <t>06.10</t>
  </si>
  <si>
    <t>Parts Storage Cart</t>
  </si>
  <si>
    <t>06.11</t>
  </si>
  <si>
    <t>Kenton</t>
  </si>
  <si>
    <t>Oldham</t>
  </si>
  <si>
    <t>Pendleton</t>
  </si>
  <si>
    <t>Loudon</t>
  </si>
  <si>
    <t>Marion</t>
  </si>
  <si>
    <t>Sevier</t>
  </si>
  <si>
    <t>Niobrara</t>
  </si>
  <si>
    <t>Sublette</t>
  </si>
  <si>
    <t>Sweetwater</t>
  </si>
  <si>
    <t>Washakie</t>
  </si>
  <si>
    <t>Weston</t>
  </si>
  <si>
    <t>Fresno</t>
  </si>
  <si>
    <t>Kern</t>
  </si>
  <si>
    <t>Madera</t>
  </si>
  <si>
    <t>Marin</t>
  </si>
  <si>
    <t>Merced</t>
  </si>
  <si>
    <t>Napa</t>
  </si>
  <si>
    <t>Placer</t>
  </si>
  <si>
    <t>San Mateo</t>
  </si>
  <si>
    <t>Santa Clara</t>
  </si>
  <si>
    <t>Stanislaus</t>
  </si>
  <si>
    <t>Yuba</t>
  </si>
  <si>
    <t>Costilla</t>
  </si>
  <si>
    <t>Mesa</t>
  </si>
  <si>
    <t>New Haven</t>
  </si>
  <si>
    <t>Gadsden</t>
  </si>
  <si>
    <t>Sangamon</t>
  </si>
  <si>
    <t>Jessamine</t>
  </si>
  <si>
    <t>Owsley</t>
  </si>
  <si>
    <t>Wolfe</t>
  </si>
  <si>
    <t>Baltimore City</t>
  </si>
  <si>
    <t>Berkshire</t>
  </si>
  <si>
    <t>Hampden</t>
  </si>
  <si>
    <t>Quitman</t>
  </si>
  <si>
    <t>Sharkey</t>
  </si>
  <si>
    <t>Reynolds</t>
  </si>
  <si>
    <t>Chaves</t>
  </si>
  <si>
    <t>Dona Ana</t>
  </si>
  <si>
    <t>Luna</t>
  </si>
  <si>
    <t>Quay</t>
  </si>
  <si>
    <t>Rio Arriba</t>
  </si>
  <si>
    <t>Maury</t>
  </si>
  <si>
    <t>Obion</t>
  </si>
  <si>
    <t>Overton</t>
  </si>
  <si>
    <t>Pickett</t>
  </si>
  <si>
    <t>Rhea</t>
  </si>
  <si>
    <t>Roane</t>
  </si>
  <si>
    <t>Sequatchie</t>
  </si>
  <si>
    <t>Trousdale</t>
  </si>
  <si>
    <t>Weakley</t>
  </si>
  <si>
    <t>Andrews</t>
  </si>
  <si>
    <t>Angelina</t>
  </si>
  <si>
    <t>Aransas</t>
  </si>
  <si>
    <t>Atascosa</t>
  </si>
  <si>
    <t>Austin</t>
  </si>
  <si>
    <t>Bailey</t>
  </si>
  <si>
    <t>Bandera</t>
  </si>
  <si>
    <t>Baylor</t>
  </si>
  <si>
    <t>Bee</t>
  </si>
  <si>
    <t>Borden</t>
  </si>
  <si>
    <t>Brewster</t>
  </si>
  <si>
    <t>Briscoe</t>
  </si>
  <si>
    <t>Burnet</t>
  </si>
  <si>
    <t>Callahan</t>
  </si>
  <si>
    <t>9200 - G &amp; A Allocation Corporate</t>
  </si>
  <si>
    <t>St. Clair</t>
  </si>
  <si>
    <t>Shelby</t>
  </si>
  <si>
    <t>AK</t>
  </si>
  <si>
    <t>NEBRASKA</t>
  </si>
  <si>
    <t>NEVADA</t>
  </si>
  <si>
    <t>NEW HAMPSHIRE</t>
  </si>
  <si>
    <t>?</t>
  </si>
  <si>
    <t>Cottle</t>
  </si>
  <si>
    <t>Dallam</t>
  </si>
  <si>
    <t>Falls</t>
  </si>
  <si>
    <t>Kaufman</t>
  </si>
  <si>
    <t>McLennan</t>
  </si>
  <si>
    <t>Parker</t>
  </si>
  <si>
    <t>San Patricio</t>
  </si>
  <si>
    <t>Stonewall</t>
  </si>
  <si>
    <t>Willacy</t>
  </si>
  <si>
    <t>Tooele</t>
  </si>
  <si>
    <t>Uintah</t>
  </si>
  <si>
    <t>Outagamie</t>
  </si>
  <si>
    <t>Sauk</t>
  </si>
  <si>
    <t>Denver</t>
  </si>
  <si>
    <t>Hartford</t>
  </si>
  <si>
    <t>Prince George's</t>
  </si>
  <si>
    <t>Norfolk</t>
  </si>
  <si>
    <t>Payette</t>
  </si>
  <si>
    <t>Power</t>
  </si>
  <si>
    <t>Shoshone</t>
  </si>
  <si>
    <t>Teton</t>
  </si>
  <si>
    <t>Twin Falls</t>
  </si>
  <si>
    <t>Valley</t>
  </si>
  <si>
    <t>Bond</t>
  </si>
  <si>
    <t>Bureau</t>
  </si>
  <si>
    <t>Coles</t>
  </si>
  <si>
    <t>De Witt</t>
  </si>
  <si>
    <t>Edgar</t>
  </si>
  <si>
    <t>Edwards</t>
  </si>
  <si>
    <t>Ford</t>
  </si>
  <si>
    <t>Hardin</t>
  </si>
  <si>
    <t>Kanawha</t>
  </si>
  <si>
    <t>Calumet</t>
  </si>
  <si>
    <t>La Crosse</t>
  </si>
  <si>
    <t>Marathon</t>
  </si>
  <si>
    <t>Ozaukee</t>
  </si>
  <si>
    <t>Racine</t>
  </si>
  <si>
    <t>St. Croix</t>
  </si>
  <si>
    <t>Sheboygan</t>
  </si>
  <si>
    <t>Waukesha</t>
  </si>
  <si>
    <t>WY</t>
  </si>
  <si>
    <t>Laramie</t>
  </si>
  <si>
    <t>Natrona</t>
  </si>
  <si>
    <t>Coconino</t>
  </si>
  <si>
    <t>PICA</t>
  </si>
  <si>
    <t>Toombs</t>
  </si>
  <si>
    <t>Towns</t>
  </si>
  <si>
    <t>Treutlen</t>
  </si>
  <si>
    <t>Troup</t>
  </si>
  <si>
    <t>Turner</t>
  </si>
  <si>
    <t>Upson</t>
  </si>
  <si>
    <t>Ware</t>
  </si>
  <si>
    <t>Webster</t>
  </si>
  <si>
    <t>Wheeler</t>
  </si>
  <si>
    <t>Whitfield</t>
  </si>
  <si>
    <t>Wilcox</t>
  </si>
  <si>
    <t>Wilkes</t>
  </si>
  <si>
    <t>Wilkinson</t>
  </si>
  <si>
    <t>Worth</t>
  </si>
  <si>
    <t>Kalawao</t>
  </si>
  <si>
    <t>Kauai</t>
  </si>
  <si>
    <t>Bear Lake</t>
  </si>
  <si>
    <t>Benewah</t>
  </si>
  <si>
    <t>Bingham</t>
  </si>
  <si>
    <t>Blaine</t>
  </si>
  <si>
    <t>Boise</t>
  </si>
  <si>
    <t>Bonner</t>
  </si>
  <si>
    <t>Offensive -- Attract new MD's</t>
  </si>
  <si>
    <t>Camp</t>
  </si>
  <si>
    <t>Carson</t>
  </si>
  <si>
    <t>Castro</t>
  </si>
  <si>
    <t>Childress</t>
  </si>
  <si>
    <t>Cochran</t>
  </si>
  <si>
    <t>Coke</t>
  </si>
  <si>
    <t>Collingsworth</t>
  </si>
  <si>
    <t>Colorado</t>
  </si>
  <si>
    <t>Concho</t>
  </si>
  <si>
    <t>Cooke</t>
  </si>
  <si>
    <t>Crane</t>
  </si>
  <si>
    <t>Crosby</t>
  </si>
  <si>
    <t>Culberson</t>
  </si>
  <si>
    <t>Deaf Smith</t>
  </si>
  <si>
    <t>DeWitt</t>
  </si>
  <si>
    <t>Dickens</t>
  </si>
  <si>
    <t>Donley</t>
  </si>
  <si>
    <t>Duval</t>
  </si>
  <si>
    <t>Equipment/</t>
  </si>
  <si>
    <t>Reuse</t>
  </si>
  <si>
    <t>Communi-</t>
  </si>
  <si>
    <t>cations</t>
  </si>
  <si>
    <t>Platinum</t>
  </si>
  <si>
    <t>Other:</t>
  </si>
  <si>
    <t>DFA Name:</t>
  </si>
  <si>
    <t>TD Name:</t>
  </si>
  <si>
    <t>Ferry</t>
  </si>
  <si>
    <t xml:space="preserve">Med (Clinical) Stool - </t>
  </si>
  <si>
    <t>Refrigerator</t>
  </si>
  <si>
    <t>Year 1</t>
  </si>
  <si>
    <t>Year 2</t>
  </si>
  <si>
    <t>Partnership Balance Sheet</t>
  </si>
  <si>
    <t>Projected Entity Balance Sheet</t>
  </si>
  <si>
    <t>8630 - Rental Real Estate Tax</t>
  </si>
  <si>
    <t>Variable Salary and Wage Financial Classes</t>
  </si>
  <si>
    <t>Total Salaries Wages &amp; Overtime</t>
  </si>
  <si>
    <t>BIOMED FC</t>
  </si>
  <si>
    <t>Fixed Salary Wage Financial Class</t>
  </si>
  <si>
    <t>Total Benefits and Taxes</t>
  </si>
  <si>
    <t>Sal &amp; Wage Contract</t>
  </si>
  <si>
    <t>P&amp;L Total Medical Supplies</t>
  </si>
  <si>
    <t>Area Presence</t>
  </si>
  <si>
    <t>Template revised:</t>
  </si>
  <si>
    <t>Variable Salaries &amp; Wages/Tx</t>
  </si>
  <si>
    <t>Hayes</t>
  </si>
  <si>
    <t>Hitchcock</t>
  </si>
  <si>
    <t>Hooker</t>
  </si>
  <si>
    <t>Kearney</t>
  </si>
  <si>
    <t>Keith</t>
  </si>
  <si>
    <t>Keya Paha</t>
  </si>
  <si>
    <t>Kimball</t>
  </si>
  <si>
    <t>Loup</t>
  </si>
  <si>
    <t>Merrick</t>
  </si>
  <si>
    <t>Morrill</t>
  </si>
  <si>
    <t>Nance</t>
  </si>
  <si>
    <t>Nuckolls</t>
  </si>
  <si>
    <t>Otoe</t>
  </si>
  <si>
    <t>Perkins</t>
  </si>
  <si>
    <t>Red Willow</t>
  </si>
  <si>
    <t>Richardson</t>
  </si>
  <si>
    <t>Saunders</t>
  </si>
  <si>
    <t>Scotts Bluff</t>
  </si>
  <si>
    <t>Thayer</t>
  </si>
  <si>
    <t>Thurston</t>
  </si>
  <si>
    <t>Churchill</t>
  </si>
  <si>
    <t>Elko</t>
  </si>
  <si>
    <t>Esmeralda</t>
  </si>
  <si>
    <t>Eureka</t>
  </si>
  <si>
    <t>Lander</t>
  </si>
  <si>
    <t>Pershing</t>
  </si>
  <si>
    <t>6900 - Centralized Services</t>
  </si>
  <si>
    <t>Total Laboratory Expense</t>
  </si>
  <si>
    <t>8850 - Other Equipment Expense (non-controllable)</t>
  </si>
  <si>
    <t>Other Operating Expenses Less Bad Debt</t>
  </si>
  <si>
    <t>P&amp;L Total Other Operating Expense</t>
  </si>
  <si>
    <t>Baca</t>
  </si>
  <si>
    <t>Bent</t>
  </si>
  <si>
    <t>Chaffee</t>
  </si>
  <si>
    <t>Cheyenne</t>
  </si>
  <si>
    <t>Clear Creek</t>
  </si>
  <si>
    <t>Crowley</t>
  </si>
  <si>
    <t>Custer</t>
  </si>
  <si>
    <t>Delta</t>
  </si>
  <si>
    <t>Dolores</t>
  </si>
  <si>
    <t>Eagle</t>
  </si>
  <si>
    <t>Returns</t>
  </si>
  <si>
    <t>Market return on assets without denovo</t>
  </si>
  <si>
    <t>Treatments &amp; Revenue Details</t>
  </si>
  <si>
    <t>De Novo Cannabilization of Parent(s)</t>
  </si>
  <si>
    <t>Denovo IRR (incremental)</t>
  </si>
  <si>
    <t>Center &amp; Expense Assumptions</t>
  </si>
  <si>
    <t>Elbert</t>
  </si>
  <si>
    <t>Fremont</t>
  </si>
  <si>
    <t>Gilpin</t>
  </si>
  <si>
    <t>Grand</t>
  </si>
  <si>
    <t>Gunnison</t>
  </si>
  <si>
    <t>Hinsdale</t>
  </si>
  <si>
    <t>Huerfano</t>
  </si>
  <si>
    <t>Kiowa</t>
  </si>
  <si>
    <t>Kit Carson</t>
  </si>
  <si>
    <t>La Plata</t>
  </si>
  <si>
    <t>Las Animas</t>
  </si>
  <si>
    <t>Moffat</t>
  </si>
  <si>
    <t>Montezuma</t>
  </si>
  <si>
    <t>Montrose</t>
  </si>
  <si>
    <t>Otero</t>
  </si>
  <si>
    <t>Ouray</t>
  </si>
  <si>
    <t>Park</t>
  </si>
  <si>
    <t>Phillips</t>
  </si>
  <si>
    <t>Pitkin</t>
  </si>
  <si>
    <t>Prowers</t>
  </si>
  <si>
    <t>Rio Blanco</t>
  </si>
  <si>
    <t>Routt</t>
  </si>
  <si>
    <t>Saguache</t>
  </si>
  <si>
    <t>San Juan</t>
  </si>
  <si>
    <t>San Miguel</t>
  </si>
  <si>
    <t>Teller</t>
  </si>
  <si>
    <t>CT</t>
  </si>
  <si>
    <t>Litchfield</t>
  </si>
  <si>
    <t>New London</t>
  </si>
  <si>
    <t>Tolland</t>
  </si>
  <si>
    <t>Windham</t>
  </si>
  <si>
    <t>Bradford</t>
  </si>
  <si>
    <t>Citrus</t>
  </si>
  <si>
    <t>De Soto</t>
  </si>
  <si>
    <t>Dixie</t>
  </si>
  <si>
    <t>Gilchrist</t>
  </si>
  <si>
    <t>Glades</t>
  </si>
  <si>
    <t>Gulf</t>
  </si>
  <si>
    <t>Hardee</t>
  </si>
  <si>
    <t>Hendry</t>
  </si>
  <si>
    <t>Tax Depreciation</t>
  </si>
  <si>
    <t>depreciation years (tax)</t>
  </si>
  <si>
    <t>+ Y3 Incr Net W/C</t>
  </si>
  <si>
    <t>Tax Amortization</t>
  </si>
  <si>
    <t>100% Interest</t>
  </si>
  <si>
    <t>Tax Rate</t>
  </si>
  <si>
    <t>Yolo</t>
  </si>
  <si>
    <t>Pasco</t>
  </si>
  <si>
    <t>St. Louis City</t>
  </si>
  <si>
    <t>Fairfax City</t>
  </si>
  <si>
    <t>Falls Church City</t>
  </si>
  <si>
    <t>Richmond City</t>
  </si>
  <si>
    <t>Dane</t>
  </si>
  <si>
    <t>Cochise</t>
  </si>
  <si>
    <t>Pima</t>
  </si>
  <si>
    <t>Santa Cruz</t>
  </si>
  <si>
    <t>Chicot</t>
  </si>
  <si>
    <t>Conway</t>
  </si>
  <si>
    <t>Desha</t>
  </si>
  <si>
    <t>Garland</t>
  </si>
  <si>
    <t>Nevada</t>
  </si>
  <si>
    <t>Commercial &gt; $750</t>
  </si>
  <si>
    <t>Revenue per Tx</t>
  </si>
  <si>
    <t>Total Non-Government</t>
  </si>
  <si>
    <t>DeNovo IS</t>
  </si>
  <si>
    <t>Assumed Ending Patients</t>
  </si>
  <si>
    <t>LTM TXs</t>
  </si>
  <si>
    <t>Fiscal Intermediary</t>
  </si>
  <si>
    <t>(Supplemental Info: Total Cash Collections)</t>
  </si>
  <si>
    <t>Oxford</t>
  </si>
  <si>
    <t>Sagadahoc</t>
  </si>
  <si>
    <t>Waldo</t>
  </si>
  <si>
    <t>Garrett</t>
  </si>
  <si>
    <t>St. Mary's</t>
  </si>
  <si>
    <t>Wicomico</t>
  </si>
  <si>
    <t>Worcester</t>
  </si>
  <si>
    <t>MA</t>
  </si>
  <si>
    <t>Barnstable</t>
  </si>
  <si>
    <t>Dukes</t>
  </si>
  <si>
    <t>Nantucket</t>
  </si>
  <si>
    <t>Alcona</t>
  </si>
  <si>
    <t>change in MCB</t>
  </si>
  <si>
    <t>TI Credit</t>
  </si>
  <si>
    <t>Rent after TI credit</t>
  </si>
  <si>
    <t>EBITDA Margin for the DaVita region (for last twelve months):</t>
  </si>
  <si>
    <t>Type =</t>
  </si>
  <si>
    <t>Warning: Do not insert Rows or Columns on this Spreadsheet</t>
  </si>
  <si>
    <t>County &amp; State</t>
  </si>
  <si>
    <t>Bain Study -- Raw Data</t>
  </si>
  <si>
    <t>Bottineau</t>
  </si>
  <si>
    <t>Bowman</t>
  </si>
  <si>
    <t>Cavalier</t>
  </si>
  <si>
    <t>Dickey</t>
  </si>
  <si>
    <t>Divide</t>
  </si>
  <si>
    <t>Dunn</t>
  </si>
  <si>
    <t>Eddy</t>
  </si>
  <si>
    <t>Emmons</t>
  </si>
  <si>
    <t>GA cost to DVA</t>
  </si>
  <si>
    <t>Net CF to DVA</t>
  </si>
  <si>
    <t>Burt</t>
  </si>
  <si>
    <t>Cherry</t>
  </si>
  <si>
    <t>Colfax</t>
  </si>
  <si>
    <t>Cuming</t>
  </si>
  <si>
    <t>Dawes</t>
  </si>
  <si>
    <t>Deuel</t>
  </si>
  <si>
    <t>Dixon</t>
  </si>
  <si>
    <t>Butte</t>
  </si>
  <si>
    <t>Camas</t>
  </si>
  <si>
    <t>Caribou</t>
  </si>
  <si>
    <t>Cassia</t>
  </si>
  <si>
    <t>Clearwater</t>
  </si>
  <si>
    <t>Gem</t>
  </si>
  <si>
    <t>Gooding</t>
  </si>
  <si>
    <t>Idaho</t>
  </si>
  <si>
    <t>Jerome</t>
  </si>
  <si>
    <t>Kootenai</t>
  </si>
  <si>
    <t>Latah</t>
  </si>
  <si>
    <t>Lemhi</t>
  </si>
  <si>
    <t>Minidoka</t>
  </si>
  <si>
    <t>Nez Perce</t>
  </si>
  <si>
    <t>Oneida</t>
  </si>
  <si>
    <t>Owyhee</t>
  </si>
  <si>
    <t>Accounts Payable &amp; Accrued Expenses</t>
  </si>
  <si>
    <t>Sullivan</t>
  </si>
  <si>
    <t>Unicoi</t>
  </si>
  <si>
    <t>Union</t>
  </si>
  <si>
    <t>WA</t>
  </si>
  <si>
    <t>Franklin</t>
  </si>
  <si>
    <t>Kitsap</t>
  </si>
  <si>
    <t>P&amp;L Chronic Calcijex Units</t>
  </si>
  <si>
    <t>P&amp;L Chronic Zemplar Units</t>
  </si>
  <si>
    <t>P&amp;L Chronic Tx Revenue</t>
  </si>
  <si>
    <t>P&amp;L Home_Tx_Revenue</t>
  </si>
  <si>
    <t>P&amp;L Acute Tx Revenue</t>
  </si>
  <si>
    <t>3099 - Cost Settlement Revenue</t>
  </si>
  <si>
    <t>P&amp;L Misclassified Treatment Revenue</t>
  </si>
  <si>
    <t>P&amp;L Total Treatment Revenue</t>
  </si>
  <si>
    <t>Total Clinic Visit Revenue</t>
  </si>
  <si>
    <t>Total Laboratory Revenue</t>
  </si>
  <si>
    <t>Total Other Ancillar Revenue</t>
  </si>
  <si>
    <t>Ancillary Supply Revenue</t>
  </si>
  <si>
    <t>P&amp;L Gross Patient Revenue</t>
  </si>
  <si>
    <t>Total Contract Allowance</t>
  </si>
  <si>
    <t>P&amp;L Net Patient Revenue</t>
  </si>
  <si>
    <t>Total Other Income</t>
  </si>
  <si>
    <t>New Revenue Account</t>
  </si>
  <si>
    <t>1822</t>
  </si>
  <si>
    <t>1823</t>
  </si>
  <si>
    <t>1824</t>
  </si>
  <si>
    <t>1825</t>
  </si>
  <si>
    <t>1826</t>
  </si>
  <si>
    <t>1830</t>
  </si>
  <si>
    <t>1840</t>
  </si>
  <si>
    <t>1860</t>
  </si>
  <si>
    <t>1897</t>
  </si>
  <si>
    <t>1899</t>
  </si>
  <si>
    <t>1861</t>
  </si>
  <si>
    <t>1862</t>
  </si>
  <si>
    <t>1863</t>
  </si>
  <si>
    <t>1865</t>
  </si>
  <si>
    <t>1870</t>
  </si>
  <si>
    <t>1871</t>
  </si>
  <si>
    <t>1872</t>
  </si>
  <si>
    <t>1873</t>
  </si>
  <si>
    <t>1874</t>
  </si>
  <si>
    <t>1875</t>
  </si>
  <si>
    <t>1876</t>
  </si>
  <si>
    <t>1880</t>
  </si>
  <si>
    <t>1885</t>
  </si>
  <si>
    <t>1890</t>
  </si>
  <si>
    <t>Diapure Machine</t>
  </si>
  <si>
    <t>08.34</t>
  </si>
  <si>
    <t>Patient Lift</t>
  </si>
  <si>
    <t>08.02</t>
  </si>
  <si>
    <t>Scale (tx)</t>
  </si>
  <si>
    <t>08.03</t>
  </si>
  <si>
    <t>Scale (PD)</t>
  </si>
  <si>
    <t>08.04</t>
  </si>
  <si>
    <t>per tx</t>
  </si>
  <si>
    <t>START-UP COSTS:</t>
  </si>
  <si>
    <t>RETURN ON INVESTMENT (d)</t>
  </si>
  <si>
    <t>RATE OF RETURN (d)</t>
  </si>
  <si>
    <t>CON requirement does not apply to ESRD</t>
  </si>
  <si>
    <t>NEW JERSEY</t>
  </si>
  <si>
    <t>Track record indicates review process takes approx. 4-5 mos for approval</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</si>
  <si>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</si>
  <si>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</si>
  <si>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</si>
  <si>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</si>
  <si>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</si>
  <si>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</si>
  <si>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</si>
  <si>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</si>
  <si>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</si>
  <si>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</si>
  <si>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</si>
  <si>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</si>
  <si>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</si>
  <si>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</si>
  <si>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</si>
  <si>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 xml:space="preserve">VIRGINIA </t>
  </si>
  <si>
    <t>WASHINGTON</t>
  </si>
  <si>
    <t>WEST VIRGINIA</t>
  </si>
  <si>
    <t>WISCONSIN</t>
  </si>
  <si>
    <t>WYOMING</t>
  </si>
  <si>
    <t>AMERICAN SAMOA</t>
  </si>
  <si>
    <t>AS</t>
  </si>
  <si>
    <t>FEDERATED STATES OF MICRONESIA</t>
  </si>
  <si>
    <t>FM</t>
  </si>
  <si>
    <t xml:space="preserve">GUAM </t>
  </si>
  <si>
    <t>GU</t>
  </si>
  <si>
    <t>MARSHALL ISLANDS</t>
  </si>
  <si>
    <t>MH</t>
  </si>
  <si>
    <t>NORTHERN MARIANA ISLANDS</t>
  </si>
  <si>
    <t>MP</t>
  </si>
  <si>
    <t>PALAU</t>
  </si>
  <si>
    <t>PW</t>
  </si>
  <si>
    <t>PUERTO RICO</t>
  </si>
  <si>
    <t>1.0 Summary</t>
  </si>
  <si>
    <t>1.1 Parents</t>
  </si>
  <si>
    <t>1.2 OmniTot</t>
  </si>
  <si>
    <t>The scenario calculations don't include any incremental staffing or other expense which may or may not be necessary for incremental patients.</t>
  </si>
  <si>
    <t>1/0</t>
  </si>
  <si>
    <t>PD Census</t>
  </si>
  <si>
    <t>HHD Census</t>
  </si>
  <si>
    <t>Incremental: 5-yr cash flow / capital</t>
  </si>
  <si>
    <t>Incremental: 5-yr EBITDA / capital</t>
  </si>
  <si>
    <t>Onslow</t>
  </si>
  <si>
    <t>Pitt</t>
  </si>
  <si>
    <t>Other Controllable</t>
  </si>
  <si>
    <t>Working Capital</t>
  </si>
  <si>
    <t>IRR</t>
  </si>
  <si>
    <t>Leasehold Improvements Total</t>
  </si>
  <si>
    <t>Story</t>
  </si>
  <si>
    <t>Tama</t>
  </si>
  <si>
    <t>Wapello</t>
  </si>
  <si>
    <t>Winnebago</t>
  </si>
  <si>
    <t>Winneshiek</t>
  </si>
  <si>
    <t>Atchison</t>
  </si>
  <si>
    <t>Barber</t>
  </si>
  <si>
    <t>Incremental Div. G&amp;A/Tx</t>
  </si>
  <si>
    <t>Corp. &amp; Div. G&amp;A:</t>
  </si>
  <si>
    <t>Incremental</t>
  </si>
  <si>
    <t>Architecture and Eng. Costs</t>
  </si>
  <si>
    <t>DeNovo - Cannibalization = Incremental Value</t>
  </si>
  <si>
    <t>If Parent is a JV:</t>
  </si>
  <si>
    <t>Enter LTM Avg Mgmt Fee:</t>
  </si>
  <si>
    <t>Revenue Growth %</t>
  </si>
  <si>
    <t>&lt;-- assumes Mgmt Fee as TBD % of Revenue.  As Revenue +/-, Mgmt Fees +/-</t>
  </si>
  <si>
    <t>hemo &amp; PD</t>
  </si>
  <si>
    <t>HHD</t>
  </si>
  <si>
    <t>&lt;-- enter annual mgmt fee escalator if applicable</t>
  </si>
  <si>
    <t>Cash</t>
  </si>
  <si>
    <t>Accounts Receivable</t>
  </si>
  <si>
    <t>Inventory</t>
  </si>
  <si>
    <t>Total Current Assets</t>
  </si>
  <si>
    <t>Gross Fixed Assets</t>
  </si>
  <si>
    <t>Accumulated Depreciation</t>
  </si>
  <si>
    <t>Net Fixed Assets</t>
  </si>
  <si>
    <t>Other Assets</t>
  </si>
  <si>
    <t>Total Assets</t>
  </si>
  <si>
    <t>Assets</t>
  </si>
  <si>
    <t>Liabilities &amp; Shareholders' Equity</t>
  </si>
  <si>
    <t>Payroll Payable</t>
  </si>
  <si>
    <t>Accounts Payable &amp; Accured Expenses</t>
  </si>
  <si>
    <t>Line of Credit</t>
  </si>
  <si>
    <t>Total Liabilities</t>
  </si>
  <si>
    <t>Paid-in Capital &amp; Retained Earnings</t>
  </si>
  <si>
    <t>Total Liabilities &amp; Shareholders' Equity</t>
  </si>
  <si>
    <t>Days Receivable</t>
  </si>
  <si>
    <t>P&amp;L Total Salary Wages and Benefits</t>
  </si>
  <si>
    <t>6300 - EPO Expense</t>
  </si>
  <si>
    <t>6301 - EPO Rebate</t>
  </si>
  <si>
    <t>6302 - Procrit Expense</t>
  </si>
  <si>
    <t>Barton</t>
  </si>
  <si>
    <t>Bourbon</t>
  </si>
  <si>
    <t>Chase</t>
  </si>
  <si>
    <t>Cloud</t>
  </si>
  <si>
    <t>Coffey</t>
  </si>
  <si>
    <t>Cowley</t>
  </si>
  <si>
    <t>Doniphan</t>
  </si>
  <si>
    <t>Elk</t>
  </si>
  <si>
    <t>Ellsworth</t>
  </si>
  <si>
    <t>Finney</t>
  </si>
  <si>
    <t>Geary</t>
  </si>
  <si>
    <t>Gove</t>
  </si>
  <si>
    <t>Gray</t>
  </si>
  <si>
    <t>Greeley</t>
  </si>
  <si>
    <t>Greenwood</t>
  </si>
  <si>
    <t>Harper</t>
  </si>
  <si>
    <t>Haskell</t>
  </si>
  <si>
    <t>Hodgeman</t>
  </si>
  <si>
    <t>Jewell</t>
  </si>
  <si>
    <t>Date</t>
  </si>
  <si>
    <t>DaVita Drivers</t>
  </si>
  <si>
    <t>Sustainable Growth</t>
  </si>
  <si>
    <t>Competitors</t>
  </si>
  <si>
    <t>Doctor Relationship / Practice</t>
  </si>
  <si>
    <t>Kearny</t>
  </si>
  <si>
    <t>Kingman</t>
  </si>
  <si>
    <t>Labette</t>
  </si>
  <si>
    <t>McPherson</t>
  </si>
  <si>
    <t>Meade</t>
  </si>
  <si>
    <t>Nemaha</t>
  </si>
  <si>
    <t>Neosho</t>
  </si>
  <si>
    <t>Ness</t>
  </si>
  <si>
    <t>Norton</t>
  </si>
  <si>
    <t>Osborne</t>
  </si>
  <si>
    <t>Pawnee</t>
  </si>
  <si>
    <t>Pratt</t>
  </si>
  <si>
    <t>Staffing Summary</t>
  </si>
  <si>
    <t>De Novo</t>
  </si>
  <si>
    <t>Rawlins</t>
  </si>
  <si>
    <t>Reno</t>
  </si>
  <si>
    <t>Republic</t>
  </si>
  <si>
    <t>Presque Isle</t>
  </si>
  <si>
    <t>Roscommon</t>
  </si>
  <si>
    <t>Sanilac</t>
  </si>
  <si>
    <t>Schoolcraft</t>
  </si>
  <si>
    <t>Shiawassee</t>
  </si>
  <si>
    <t>Tuscola</t>
  </si>
  <si>
    <t>Wexford</t>
  </si>
  <si>
    <t>Aitkin</t>
  </si>
  <si>
    <t>Becker</t>
  </si>
  <si>
    <t>Beltrami</t>
  </si>
  <si>
    <t>Big Stone</t>
  </si>
  <si>
    <t>Blue Earth</t>
  </si>
  <si>
    <t>Carlton</t>
  </si>
  <si>
    <t>Cottonwood</t>
  </si>
  <si>
    <t>Crow Wing</t>
  </si>
  <si>
    <t>Faribault</t>
  </si>
  <si>
    <t>Fillmore</t>
  </si>
  <si>
    <t>Freeborn</t>
  </si>
  <si>
    <t>Goodhue</t>
  </si>
  <si>
    <t>Hubbard</t>
  </si>
  <si>
    <t>Itasca</t>
  </si>
  <si>
    <t>Kanabec</t>
  </si>
  <si>
    <t>Kandiyohi</t>
  </si>
  <si>
    <t>Kittson</t>
  </si>
  <si>
    <t>Koochiching</t>
  </si>
  <si>
    <t>Lac qui Parle</t>
  </si>
  <si>
    <t>Lake of the Woods</t>
  </si>
  <si>
    <t>Le Sueur</t>
  </si>
  <si>
    <t>McLeod</t>
  </si>
  <si>
    <t>Mahnomen</t>
  </si>
  <si>
    <t>Meeker</t>
  </si>
  <si>
    <t>Mille Lacs</t>
  </si>
  <si>
    <t>Morrison</t>
  </si>
  <si>
    <t>Mower</t>
  </si>
  <si>
    <t>Nicollet</t>
  </si>
  <si>
    <t>Nobles</t>
  </si>
  <si>
    <t>Norman</t>
  </si>
  <si>
    <t>Otter Tail</t>
  </si>
  <si>
    <t>Pine</t>
  </si>
  <si>
    <t>Pipestone</t>
  </si>
  <si>
    <t>Red Lake</t>
  </si>
  <si>
    <t>Redwood</t>
  </si>
  <si>
    <t>Renville</t>
  </si>
  <si>
    <t>Roseau</t>
  </si>
  <si>
    <t>Sibley</t>
  </si>
  <si>
    <t>Steele</t>
  </si>
  <si>
    <t>Swift</t>
  </si>
  <si>
    <t>Traverse</t>
  </si>
  <si>
    <t>Wabasha</t>
  </si>
  <si>
    <t>Wadena</t>
  </si>
  <si>
    <t>Waseca</t>
  </si>
  <si>
    <t>Watonwan</t>
  </si>
  <si>
    <t>Wilkin</t>
  </si>
  <si>
    <t>Winona</t>
  </si>
  <si>
    <t>Whiteside</t>
  </si>
  <si>
    <t>Tenant Improvement</t>
  </si>
  <si>
    <t>MDA</t>
  </si>
  <si>
    <t>Medical Director Agreement</t>
  </si>
  <si>
    <t>TIC</t>
  </si>
  <si>
    <t>Tenant Improvement Credit</t>
  </si>
  <si>
    <t>Yr3 COC</t>
  </si>
  <si>
    <t>Year 3 Cash-On-Cash</t>
  </si>
  <si>
    <t>Commonly Used Acronyms</t>
  </si>
  <si>
    <t>SOR</t>
  </si>
  <si>
    <t>Statement of Requirements</t>
  </si>
  <si>
    <t>Internal Rate of Return</t>
  </si>
  <si>
    <t>Meds All-Refrigerator (Tx)</t>
  </si>
  <si>
    <t>Meds All-Refrigerator (PD)</t>
  </si>
  <si>
    <t>created by Kelley Haghighi on June 24, 2009</t>
  </si>
  <si>
    <t>Model Call is scheduled with Division DN Approval Committee</t>
  </si>
  <si>
    <t>DTDAC</t>
  </si>
  <si>
    <t>Dream Team DeNovo Approval Committee</t>
  </si>
  <si>
    <t>TGDAC</t>
  </si>
  <si>
    <t>Team Galaxy DeNovo Approval Committee</t>
  </si>
  <si>
    <t>TFDAC</t>
  </si>
  <si>
    <t>Team Fusion DeNovo Approval Committee</t>
  </si>
  <si>
    <t>TDAC</t>
  </si>
  <si>
    <t>Trailblazers DeNovo Approval Committee</t>
  </si>
  <si>
    <t>TADAC</t>
  </si>
  <si>
    <t>Team Avanti DeNovo Approval Committee</t>
  </si>
  <si>
    <t>RE</t>
  </si>
  <si>
    <t>Renovation</t>
  </si>
  <si>
    <t>Earnings Before Interest &amp; Taxes</t>
  </si>
  <si>
    <t>Return on Investment (d)</t>
  </si>
  <si>
    <t>Capacity Utilization</t>
  </si>
  <si>
    <t>Current Pts</t>
  </si>
  <si>
    <t>LTM Tx's</t>
  </si>
  <si>
    <t>Pts from Parent</t>
  </si>
  <si>
    <t>New Pts @ Opening</t>
  </si>
  <si>
    <t>DeNovo HHD Pts - Govt</t>
  </si>
  <si>
    <t>DeNovo HHD Pts - Comm</t>
  </si>
  <si>
    <t>DeNovo HHD Tx w/Clawback - Govt</t>
  </si>
  <si>
    <t>DeNovo HHD Tx w/Clawback - Comm</t>
  </si>
  <si>
    <t>Yr1</t>
  </si>
  <si>
    <t>Yr1 - Yr2</t>
  </si>
  <si>
    <t>Yr2 - Yr3</t>
  </si>
  <si>
    <t>Yr3 - Yr4</t>
  </si>
  <si>
    <t>Yr4 - Yr5</t>
  </si>
  <si>
    <t>Yr5</t>
  </si>
  <si>
    <t>revenue</t>
  </si>
  <si>
    <t>expenses</t>
  </si>
  <si>
    <t>village spirit</t>
  </si>
  <si>
    <t>ebitda + mgmt fee</t>
  </si>
  <si>
    <t>Parent after DN</t>
  </si>
  <si>
    <t>Parent Facility after DN</t>
  </si>
  <si>
    <t>&lt;-- should be 0 in month 11</t>
  </si>
  <si>
    <t>Parent Facility before DN = Market w/o DN</t>
  </si>
  <si>
    <t>Iberville</t>
  </si>
  <si>
    <t>Morehouse</t>
  </si>
  <si>
    <t>Pt_Census_Center_REG_PD</t>
  </si>
  <si>
    <t>Total Chronic</t>
  </si>
  <si>
    <t>Government and Other Payors</t>
  </si>
  <si>
    <t>Non-Government Payors</t>
  </si>
  <si>
    <t>P&amp;L Total Net Revenue</t>
  </si>
  <si>
    <t>Pt Care Tech</t>
  </si>
  <si>
    <t>Set up Tech</t>
  </si>
  <si>
    <t>ReUse Tech</t>
  </si>
  <si>
    <t>Total Training</t>
  </si>
  <si>
    <t>3105 - EPO</t>
  </si>
  <si>
    <t>3110 - Calcijex</t>
  </si>
  <si>
    <t>3119 - Hectorol</t>
  </si>
  <si>
    <t>3112 - Zemplar</t>
  </si>
  <si>
    <t>3111 - Infed</t>
  </si>
  <si>
    <t>3114 - Ferrlecit</t>
  </si>
  <si>
    <t>3115 - Venofer</t>
  </si>
  <si>
    <t>3106 - Procrit</t>
  </si>
  <si>
    <t>Other Pharmacy Revenue</t>
  </si>
  <si>
    <t>Total PD</t>
  </si>
  <si>
    <t>Total Clinic Visits Subaccts</t>
  </si>
  <si>
    <t>For HHD Center (Expenses), use:</t>
  </si>
  <si>
    <t>For In-Center &amp; PD (Expenses), use:</t>
  </si>
  <si>
    <t>For HHD Center (Rev/tx), use:</t>
  </si>
  <si>
    <t>Total Home Hemo</t>
  </si>
  <si>
    <t>Pt_Census_Center_REG_HomeHemo</t>
  </si>
  <si>
    <t>Other Operat. Exp.</t>
  </si>
  <si>
    <t>Groundup vs. Buildout?</t>
  </si>
  <si>
    <t>Year 3 Cash on Cash</t>
  </si>
  <si>
    <t>Capital</t>
    <phoneticPr fontId="0" type="noConversion"/>
  </si>
  <si>
    <t>TIC available?</t>
  </si>
  <si>
    <t>TIC options</t>
  </si>
  <si>
    <t>Upfront</t>
  </si>
  <si>
    <t>Minimum cash</t>
  </si>
  <si>
    <t>McHenry</t>
  </si>
  <si>
    <t>Macon</t>
  </si>
  <si>
    <t>Peoria</t>
  </si>
  <si>
    <t>Rock Island</t>
  </si>
  <si>
    <t>Tazewell</t>
  </si>
  <si>
    <t>Will</t>
  </si>
  <si>
    <t>DaVita development fee margin</t>
  </si>
  <si>
    <t>Tax depreciation</t>
  </si>
  <si>
    <t>De Novo EBITDA (DaVita share)</t>
  </si>
  <si>
    <t>De Novo cannibalized EBITDA</t>
  </si>
  <si>
    <t>Assumed interest</t>
  </si>
  <si>
    <t>Pre-tax earnings</t>
  </si>
  <si>
    <t>Taxes</t>
  </si>
  <si>
    <t>(apply DaVita's corporate debt/equity ratio to the de novo?)</t>
  </si>
  <si>
    <t>(reviewed by Steve Grieger &amp; Jeannie Oh)</t>
  </si>
  <si>
    <t>Development fee margin</t>
  </si>
  <si>
    <t>Year 1 Bonus depreciation for furniture &amp; equipment</t>
  </si>
  <si>
    <t>Woodford</t>
  </si>
  <si>
    <t>Adams</t>
  </si>
  <si>
    <t>Boone</t>
  </si>
  <si>
    <t>For In-Center &amp; PD (Pharma Expenses), use:</t>
  </si>
  <si>
    <t>2011 YTD</t>
  </si>
  <si>
    <t>Pharma Costs / Tx</t>
  </si>
  <si>
    <t>6387 - Hectorol Expense</t>
  </si>
  <si>
    <t>6655 - Hectorol Rebate</t>
  </si>
  <si>
    <t>P&amp;L Oral Vitamin D Expense</t>
  </si>
  <si>
    <t>Village Health Medical Supply Costs</t>
  </si>
  <si>
    <t>Medical Supplies/Tx (ex. Pharma)</t>
  </si>
  <si>
    <t>Pharma Costs</t>
  </si>
  <si>
    <t>For In-Center &amp; PD (Govt Rev/tx), use:</t>
  </si>
  <si>
    <t>Proposed Bundled Rate</t>
  </si>
  <si>
    <t>In Use</t>
  </si>
  <si>
    <t>Field Total Laboratory Expense</t>
  </si>
  <si>
    <t>Other Variable OpEx (ex. Labs)</t>
  </si>
  <si>
    <t>Other Variable OpEx/Tx (ex. Labs)</t>
  </si>
  <si>
    <t>Lab Costs</t>
  </si>
  <si>
    <t>Lab Costs / Tx</t>
  </si>
  <si>
    <t>For In-Center &amp; PD (Lab Costs), use:</t>
  </si>
  <si>
    <t>Incremental Incidence Adjustment  / Tx</t>
  </si>
  <si>
    <t>Incremental Onset Incidence at DeNovo (vs. Parent)</t>
  </si>
  <si>
    <t>Comorbidity RPT / Tx Adjustment</t>
  </si>
  <si>
    <t>Baseline RPTs</t>
  </si>
  <si>
    <t>Baseline Estimate</t>
  </si>
  <si>
    <t>% Growth Rate</t>
  </si>
  <si>
    <t>Implied Multiplier</t>
  </si>
  <si>
    <t>Implied Increase in RPT</t>
  </si>
  <si>
    <t>Case Mix Adjustments</t>
  </si>
  <si>
    <t>Total Comorbidity Adjustment / Tx vs. Baseline</t>
  </si>
  <si>
    <t>Medicare</t>
  </si>
  <si>
    <t>Medicare RPT Calculation</t>
  </si>
  <si>
    <t>Other Government and Other Payors RPT</t>
  </si>
  <si>
    <t>Total Other Government / Other Payors Tx</t>
  </si>
  <si>
    <t>Total Medicare Tx</t>
  </si>
  <si>
    <t>Total Tx</t>
  </si>
  <si>
    <t>Treatment Weighted Government and Other Payors RPT</t>
  </si>
  <si>
    <t>Medicare Revenue / Tx Assumptions</t>
  </si>
  <si>
    <t>Government (Incl. Medicare)</t>
  </si>
  <si>
    <t>Government (ex. Medicare)</t>
  </si>
  <si>
    <t>Medicare (ex. Medicare)</t>
  </si>
  <si>
    <t>Medicare RPT Estimate</t>
  </si>
  <si>
    <t>FACTOR</t>
  </si>
  <si>
    <t>Ann Factor</t>
  </si>
  <si>
    <t>%</t>
  </si>
  <si>
    <t># of Yrs</t>
  </si>
  <si>
    <t>-TI Depre</t>
  </si>
  <si>
    <t>-FF&amp;E Depre</t>
  </si>
  <si>
    <t>-Taxes</t>
  </si>
  <si>
    <t>Earnings After Taxes</t>
  </si>
  <si>
    <t>+TI Depre</t>
  </si>
  <si>
    <t>+FF&amp;E Depre</t>
  </si>
  <si>
    <t>After Tax Cash Flow</t>
  </si>
  <si>
    <t>Capital Spending</t>
  </si>
  <si>
    <t>Current Working Capital</t>
  </si>
  <si>
    <t>Total Capital Expended</t>
  </si>
  <si>
    <t>Detailed Assumptions:</t>
  </si>
  <si>
    <t># of Projects</t>
  </si>
  <si>
    <t>Total ACT CAPEX excl Divested Ctr(s)</t>
  </si>
  <si>
    <t>Total Diagnostics</t>
  </si>
  <si>
    <t>Other Controllable Misc Expense with Bus Settlements</t>
  </si>
  <si>
    <t>Net change in debt</t>
  </si>
  <si>
    <t>Cash (paid to) received from partners</t>
  </si>
  <si>
    <t>Net cash used in financing activities</t>
  </si>
  <si>
    <t>Net change in cash</t>
  </si>
  <si>
    <t>Cash at beginning of period</t>
  </si>
  <si>
    <t>Cash at end of period</t>
  </si>
  <si>
    <t>check 0</t>
  </si>
  <si>
    <t>Accounts payable</t>
  </si>
  <si>
    <t>Balance Sheet Drivers:</t>
  </si>
  <si>
    <t>Capital expenditures</t>
  </si>
  <si>
    <t>Salaries, Wages and Benefits</t>
  </si>
  <si>
    <t>Management Fee</t>
  </si>
  <si>
    <t>Total Other</t>
  </si>
  <si>
    <t>Amortization</t>
  </si>
  <si>
    <t>Check 0</t>
  </si>
  <si>
    <t>Income Statement (per tx)</t>
  </si>
  <si>
    <t>Total Treatments</t>
  </si>
  <si>
    <t>Total Rev/Tx</t>
  </si>
  <si>
    <t>Ptr Cash Flow</t>
  </si>
  <si>
    <t>Estimated After-Tax Cash Flow</t>
  </si>
  <si>
    <t>Operations:</t>
  </si>
  <si>
    <t>Edmunds</t>
  </si>
  <si>
    <t>Fall River</t>
  </si>
  <si>
    <t>Faulk</t>
  </si>
  <si>
    <t>Gregory</t>
  </si>
  <si>
    <t>Haakon</t>
  </si>
  <si>
    <t>Hamlin</t>
  </si>
  <si>
    <t>Hand</t>
  </si>
  <si>
    <t>Hanson</t>
  </si>
  <si>
    <t>Harding</t>
  </si>
  <si>
    <t>Hutchinson</t>
  </si>
  <si>
    <t>Jerauld</t>
  </si>
  <si>
    <t>Kingsbury</t>
  </si>
  <si>
    <t>Lyman</t>
  </si>
  <si>
    <t>McCook</t>
  </si>
  <si>
    <t>Mellette</t>
  </si>
  <si>
    <t>Miner</t>
  </si>
  <si>
    <t>Moody</t>
  </si>
  <si>
    <t>Roberts</t>
  </si>
  <si>
    <t>Sanborn</t>
  </si>
  <si>
    <t>Spink</t>
  </si>
  <si>
    <t>Stanley</t>
  </si>
  <si>
    <t>Sully</t>
  </si>
  <si>
    <t>Tripp</t>
  </si>
  <si>
    <t>Walworth</t>
  </si>
  <si>
    <t>Yankton</t>
  </si>
  <si>
    <t>Ziebach</t>
  </si>
  <si>
    <t>Bledsoe</t>
  </si>
  <si>
    <t>Cannon</t>
  </si>
  <si>
    <t>Cocke</t>
  </si>
  <si>
    <t>Crockett</t>
  </si>
  <si>
    <t>Dyer</t>
  </si>
  <si>
    <t>Fentress</t>
  </si>
  <si>
    <t>Giles</t>
  </si>
  <si>
    <t>Grainger</t>
  </si>
  <si>
    <t>Hamblen</t>
  </si>
  <si>
    <t>Years to Amortize Development Fee for</t>
  </si>
  <si>
    <t>years</t>
  </si>
  <si>
    <t>Patients &amp; Treatments</t>
  </si>
  <si>
    <t>Patients &amp; Treatments - Parent Facilities</t>
  </si>
  <si>
    <t>Chronic Staffing</t>
  </si>
  <si>
    <t>PD Staffing</t>
  </si>
  <si>
    <t>Staffing</t>
  </si>
  <si>
    <t>Drug Revenue</t>
  </si>
  <si>
    <t>Rev/Tx</t>
  </si>
  <si>
    <t>Comm rev/tx&lt;$750</t>
  </si>
  <si>
    <t>Comm rev/tx&gt;$750</t>
  </si>
  <si>
    <t>Last Period with Financial Data</t>
  </si>
  <si>
    <t>Balance Sheet</t>
  </si>
  <si>
    <t>Cash Flow Statement</t>
  </si>
  <si>
    <t>NPV @ 12%</t>
  </si>
  <si>
    <t>One-Time OpEx / Pt</t>
  </si>
  <si>
    <t>Medical Supplies / Pt / Month</t>
  </si>
  <si>
    <t>Other Controllable / Pt / Month</t>
  </si>
  <si>
    <t>Pre-open</t>
  </si>
  <si>
    <t>Pre-opening months</t>
  </si>
  <si>
    <t>Total Benefits &amp; Taxes</t>
  </si>
  <si>
    <t>Variable Hours</t>
  </si>
  <si>
    <t>Fixed Hours</t>
  </si>
  <si>
    <t>Total Hours</t>
  </si>
  <si>
    <t>Per tx &amp; other metrics:</t>
  </si>
  <si>
    <t>EBITDA per tx</t>
  </si>
  <si>
    <t>EBIT per tx</t>
  </si>
  <si>
    <t>EBITDA as % of revenue</t>
  </si>
  <si>
    <t>Net revenue per tx</t>
  </si>
  <si>
    <t>Owner</t>
  </si>
  <si>
    <t>01.06</t>
  </si>
  <si>
    <t>01.07</t>
  </si>
  <si>
    <t>Legal Fees</t>
  </si>
  <si>
    <t>CON Expense</t>
  </si>
  <si>
    <t>Network Cabling (includes data and phone)</t>
  </si>
  <si>
    <t>Dialysate Meter- D 2</t>
  </si>
  <si>
    <t>Water Test Kit</t>
  </si>
  <si>
    <t>Drain Box and Fittings</t>
  </si>
  <si>
    <t>Reuse Pre-Clean Station</t>
  </si>
  <si>
    <t xml:space="preserve">Patient Lift W Accessories </t>
  </si>
  <si>
    <t>Defibrillator - Automated</t>
  </si>
  <si>
    <t>EKG - Eclipse LE2</t>
  </si>
  <si>
    <t>Mobile BP Module(s) rolling</t>
  </si>
  <si>
    <t>Refrigerator Thermometer</t>
  </si>
  <si>
    <t xml:space="preserve">Dialysis Chair - regular </t>
  </si>
  <si>
    <t xml:space="preserve">Dialysis Chair - oversized </t>
  </si>
  <si>
    <t>Management Fee Margin</t>
  </si>
  <si>
    <t>Management Fee Pre-tax Margin</t>
  </si>
  <si>
    <t>(tax calculated elsewhere)</t>
  </si>
  <si>
    <t>08.30</t>
  </si>
  <si>
    <t>Infectious Waste Hampers</t>
  </si>
  <si>
    <t>08.31</t>
  </si>
  <si>
    <t>Per Patient Per Month Figures</t>
  </si>
  <si>
    <t>% of Start-Up CapEx</t>
  </si>
  <si>
    <t>HHD Parent</t>
  </si>
  <si>
    <t>Additional CapEx</t>
  </si>
  <si>
    <t>NA</t>
  </si>
  <si>
    <t>Lease vs. Buy</t>
  </si>
  <si>
    <t>Lease</t>
  </si>
  <si>
    <t>Buy</t>
  </si>
  <si>
    <t>Totals</t>
  </si>
  <si>
    <t>Total Capex</t>
  </si>
  <si>
    <t xml:space="preserve">Capex Depreciation </t>
  </si>
  <si>
    <t>One Time Opex</t>
  </si>
  <si>
    <t>Sales Tax</t>
  </si>
  <si>
    <t>Home Hemo Machines</t>
  </si>
  <si>
    <t>InCenter Machines</t>
  </si>
  <si>
    <t>Monthly Opex</t>
  </si>
  <si>
    <t>Annual Turnover</t>
  </si>
  <si>
    <t>Annual Cost Increase</t>
  </si>
  <si>
    <t>Routine Capital Requirements</t>
  </si>
  <si>
    <t>Revenue / Tx and Reimbursement Frequency</t>
  </si>
  <si>
    <t>(% of Var. &amp; Fixed Sal. &amp; Wages)</t>
  </si>
  <si>
    <t>Benefit &amp; Taxes</t>
  </si>
  <si>
    <t>Fixed Sal. &amp; Wage</t>
  </si>
  <si>
    <t>Var. Sal. &amp; Wage/Tx</t>
  </si>
  <si>
    <t>Salaries, Wages &amp; Benefits (SWB) Assumptions:</t>
  </si>
  <si>
    <t>SW&amp;B (Pre-Opening)</t>
  </si>
  <si>
    <t xml:space="preserve">Other Controllable Expenses (Pre-Opening) </t>
  </si>
  <si>
    <t>Depreciation and Amortization</t>
  </si>
  <si>
    <t>Number of PD Training Rooms</t>
  </si>
  <si>
    <t>Government</t>
  </si>
  <si>
    <t>Commercial</t>
  </si>
  <si>
    <t>FMC (Baby K)</t>
  </si>
  <si>
    <t>(c) Before tax considerations</t>
  </si>
  <si>
    <t>(d) Includes Medical Director Expense</t>
  </si>
  <si>
    <t>Terminal value (a) (b)</t>
  </si>
  <si>
    <t>(b) Includes return of working capital</t>
  </si>
  <si>
    <t>Partner Returns (pre-tax):</t>
  </si>
  <si>
    <t>Cash Paid to (Received from) Partners</t>
  </si>
  <si>
    <t>Monthly Costs</t>
  </si>
  <si>
    <t>Drug Costs</t>
  </si>
  <si>
    <t>One Time OpEx</t>
  </si>
  <si>
    <t>Monthly OpEx</t>
  </si>
  <si>
    <t>Pacific</t>
  </si>
  <si>
    <t>Pend Oreille</t>
  </si>
  <si>
    <t>Skagit</t>
  </si>
  <si>
    <t>Skamania</t>
  </si>
  <si>
    <t>Wahkiakum</t>
  </si>
  <si>
    <t>Walla Walla</t>
  </si>
  <si>
    <t>Whitman</t>
  </si>
  <si>
    <t>Braxton</t>
  </si>
  <si>
    <t>Focus group costs</t>
  </si>
  <si>
    <t>MicroCenter?</t>
  </si>
  <si>
    <t>Relocation</t>
  </si>
  <si>
    <t>Expansion</t>
  </si>
  <si>
    <t>Census Assumptions</t>
  </si>
  <si>
    <t>Reimbursement Assumptions</t>
  </si>
  <si>
    <t>Expense Assumptions</t>
  </si>
  <si>
    <t>DSS &amp; Local Antenna System (6 Channel / 10 Channel)</t>
  </si>
  <si>
    <t xml:space="preserve">Bi-carb Drying Racks </t>
  </si>
  <si>
    <t>Lab All-Refrigerator</t>
  </si>
  <si>
    <t xml:space="preserve">Microwave </t>
  </si>
  <si>
    <t>Year 0</t>
  </si>
  <si>
    <t>DeNovo</t>
  </si>
  <si>
    <t>Station Boxes and Fittings</t>
  </si>
  <si>
    <t>If assumptions for DeNovo differ from parent, note key differences below:</t>
  </si>
  <si>
    <t>ROFR Issues</t>
  </si>
  <si>
    <t>Retrieve from:</t>
  </si>
  <si>
    <t>Development Fee</t>
  </si>
  <si>
    <t>04.08</t>
  </si>
  <si>
    <t>Chairside Snappy - Server</t>
  </si>
  <si>
    <t>Chairside Snappy - Machine</t>
  </si>
  <si>
    <t>04.09</t>
  </si>
  <si>
    <t>Permit Fees</t>
  </si>
  <si>
    <t>DVA Market Presence</t>
  </si>
  <si>
    <t>Parent Capacity</t>
  </si>
  <si>
    <t>Category</t>
  </si>
  <si>
    <t>Comm1 Prevalence</t>
  </si>
  <si>
    <t># of ESRD pts in market</t>
  </si>
  <si>
    <t>rofr</t>
  </si>
  <si>
    <t>comm1</t>
  </si>
  <si>
    <t>strong</t>
  </si>
  <si>
    <t>medium</t>
  </si>
  <si>
    <t>Lounge</t>
  </si>
  <si>
    <t>Storage</t>
  </si>
  <si>
    <t>Office</t>
  </si>
  <si>
    <t>Business</t>
  </si>
  <si>
    <t>General</t>
  </si>
  <si>
    <t>Less: Landlord Contribution</t>
  </si>
  <si>
    <t>Cost /</t>
  </si>
  <si>
    <t>Unit</t>
  </si>
  <si>
    <t>Market without De Novo</t>
  </si>
  <si>
    <t>Market with DeNovo</t>
  </si>
  <si>
    <t>The De Novo</t>
  </si>
  <si>
    <t>De Novo Incremental</t>
  </si>
  <si>
    <t>Cash Collections</t>
  </si>
  <si>
    <t>Hampshire</t>
  </si>
  <si>
    <t>Hardy</t>
  </si>
  <si>
    <t>Mingo</t>
  </si>
  <si>
    <t>2.0 Patients</t>
  </si>
  <si>
    <t>2.1 Reimbursement</t>
  </si>
  <si>
    <t>2.2 Staffing</t>
  </si>
  <si>
    <t>2.3 Expenses</t>
  </si>
  <si>
    <t>3. CapEx</t>
  </si>
  <si>
    <t>4. Scenarios</t>
  </si>
  <si>
    <t>Lab Refrigerator</t>
  </si>
  <si>
    <t>08.05</t>
  </si>
  <si>
    <t>Lab Freezer</t>
  </si>
  <si>
    <t>08.06</t>
  </si>
  <si>
    <t>Meds Refrigerator (tx)</t>
  </si>
  <si>
    <t>08.07</t>
  </si>
  <si>
    <t>EPO Refrigerator (tx)</t>
  </si>
  <si>
    <t>08.08</t>
  </si>
  <si>
    <t>Meds Refrigerator (PD)</t>
  </si>
  <si>
    <t>08.09</t>
  </si>
  <si>
    <t>Microwave (PD)</t>
  </si>
  <si>
    <t>08.10</t>
  </si>
  <si>
    <t>Ice Machine</t>
  </si>
  <si>
    <t>08.11</t>
  </si>
  <si>
    <t>Crash Cart</t>
  </si>
  <si>
    <t>08.12</t>
  </si>
  <si>
    <t>St. Helena</t>
  </si>
  <si>
    <t>St. Mary</t>
  </si>
  <si>
    <t>Vernon</t>
  </si>
  <si>
    <t>West Carroll</t>
  </si>
  <si>
    <t>West Feliciana</t>
  </si>
  <si>
    <t>Winn</t>
  </si>
  <si>
    <t>ME</t>
  </si>
  <si>
    <t>Androscoggin</t>
  </si>
  <si>
    <t>Yellow Medicine</t>
  </si>
  <si>
    <t>Alcorn</t>
  </si>
  <si>
    <t>Amite</t>
  </si>
  <si>
    <t>Copiah</t>
  </si>
  <si>
    <t>George</t>
  </si>
  <si>
    <t>Yr 1</t>
  </si>
  <si>
    <t>Yr 2</t>
  </si>
  <si>
    <t>Yr 3</t>
  </si>
  <si>
    <t>Yr 4</t>
  </si>
  <si>
    <t>Bronze</t>
  </si>
  <si>
    <t>Silver</t>
  </si>
  <si>
    <t>TBD</t>
  </si>
  <si>
    <t>Year of Buildout:</t>
  </si>
  <si>
    <t>change to account for BS items, tie into financial statements?</t>
  </si>
  <si>
    <t>Base Case Census:</t>
  </si>
  <si>
    <t>(equals cannibalized EBIT less assumed tax)</t>
  </si>
  <si>
    <t>Westmoreland</t>
  </si>
  <si>
    <t>York</t>
  </si>
  <si>
    <t>SC</t>
  </si>
  <si>
    <t>Lexington</t>
  </si>
  <si>
    <t>SD</t>
  </si>
  <si>
    <t>Minnehaha</t>
  </si>
  <si>
    <t>Pennington</t>
  </si>
  <si>
    <t>Cheatham</t>
  </si>
  <si>
    <t>Dickson</t>
  </si>
  <si>
    <t>Biomed. Tech.</t>
  </si>
  <si>
    <t>ADM</t>
  </si>
  <si>
    <t>MSW</t>
  </si>
  <si>
    <t>RD</t>
  </si>
  <si>
    <t>Adm. Asst.</t>
  </si>
  <si>
    <t>Housekeeper</t>
  </si>
  <si>
    <t>Gross Interiors (permit included)</t>
  </si>
  <si>
    <t>Gross MBBI (permit included)</t>
  </si>
  <si>
    <t>Furniture/Fixtures/Equipment Total</t>
  </si>
  <si>
    <t>Gross Leasehold Improvements</t>
  </si>
  <si>
    <t>Scenario</t>
  </si>
  <si>
    <t>Contract Wages</t>
  </si>
  <si>
    <t>Other Operating Expense Assumptions:</t>
  </si>
  <si>
    <t>Des Moines</t>
  </si>
  <si>
    <t>Dickinson</t>
  </si>
  <si>
    <t>Emmet</t>
  </si>
  <si>
    <t>Guthrie</t>
  </si>
  <si>
    <t>Humboldt</t>
  </si>
  <si>
    <t>Ida</t>
  </si>
  <si>
    <t>Iowa</t>
  </si>
  <si>
    <t>Keokuk</t>
  </si>
  <si>
    <t>Kossuth</t>
  </si>
  <si>
    <t>Louisa</t>
  </si>
  <si>
    <t>Lucas</t>
  </si>
  <si>
    <t>Lyon</t>
  </si>
  <si>
    <t>Mahaska</t>
  </si>
  <si>
    <t>Mills</t>
  </si>
  <si>
    <t>Monona</t>
  </si>
  <si>
    <t>Muscatine</t>
  </si>
  <si>
    <t>O'Brien</t>
  </si>
  <si>
    <t>Osceola</t>
  </si>
  <si>
    <t>Page</t>
  </si>
  <si>
    <t>Palo Alto</t>
  </si>
  <si>
    <t>Plymouth</t>
  </si>
  <si>
    <t>Pocahontas</t>
  </si>
  <si>
    <t>Poweshiek</t>
  </si>
  <si>
    <t>Ringgold</t>
  </si>
  <si>
    <t>Sac</t>
  </si>
  <si>
    <t>Sioux</t>
  </si>
  <si>
    <t>Total Revenue</t>
  </si>
  <si>
    <t>Missed Treatments</t>
  </si>
  <si>
    <t>RN</t>
  </si>
  <si>
    <t>PCT</t>
  </si>
  <si>
    <t>LVN</t>
  </si>
  <si>
    <t>Conductivity Meter</t>
  </si>
  <si>
    <t>06.02</t>
  </si>
  <si>
    <t>Dialysate Meter</t>
  </si>
  <si>
    <t>06.03</t>
  </si>
  <si>
    <t>Projected Cash Flow &amp; Returns</t>
  </si>
  <si>
    <t>STATE</t>
  </si>
  <si>
    <t>COUNTY</t>
  </si>
  <si>
    <t>AL</t>
  </si>
  <si>
    <t>Autauga</t>
  </si>
  <si>
    <t>Baldwin</t>
  </si>
  <si>
    <t>Calhoun</t>
  </si>
  <si>
    <t>Colbert</t>
  </si>
  <si>
    <t>Dale</t>
  </si>
  <si>
    <t>Elmore</t>
  </si>
  <si>
    <t>Etowah</t>
  </si>
  <si>
    <t>Houston</t>
  </si>
  <si>
    <t>Lauderdale</t>
  </si>
  <si>
    <t>Lawrence</t>
  </si>
  <si>
    <t>Lee</t>
  </si>
  <si>
    <t>Mobile</t>
  </si>
  <si>
    <t>Montgomery</t>
  </si>
  <si>
    <t>Morgan</t>
  </si>
  <si>
    <t>Russell</t>
  </si>
  <si>
    <t>Tuscaloosa</t>
  </si>
  <si>
    <t>DE</t>
  </si>
  <si>
    <t>Kent</t>
  </si>
  <si>
    <t>IL</t>
  </si>
  <si>
    <t>Kankakee</t>
  </si>
  <si>
    <t>IN</t>
  </si>
  <si>
    <t>Clay</t>
  </si>
  <si>
    <t>Clinton</t>
  </si>
  <si>
    <t>Delaware</t>
  </si>
  <si>
    <t>Lake</t>
  </si>
  <si>
    <t>Monroe</t>
  </si>
  <si>
    <t>Porter</t>
  </si>
  <si>
    <t>Tippecanoe</t>
  </si>
  <si>
    <t>Vermillion</t>
  </si>
  <si>
    <t>Vigo</t>
  </si>
  <si>
    <t>IA</t>
  </si>
  <si>
    <t>Black Hawk</t>
  </si>
  <si>
    <t>Hardeman</t>
  </si>
  <si>
    <t>Humphreys</t>
  </si>
  <si>
    <t>Mcminn</t>
  </si>
  <si>
    <t>Return on Capital Chart</t>
  </si>
  <si>
    <t>Date completed:</t>
  </si>
  <si>
    <t>First fiscal month:</t>
  </si>
  <si>
    <t>Items tested: EBITDA (Pre-G&amp;A)</t>
  </si>
  <si>
    <t xml:space="preserve">Item </t>
  </si>
  <si>
    <t>DN</t>
  </si>
  <si>
    <t>Project</t>
  </si>
  <si>
    <t>Parent</t>
  </si>
  <si>
    <t>Monthly Machine Supply &amp; Other Costs</t>
  </si>
  <si>
    <t>Patient Mix</t>
  </si>
  <si>
    <t>LeaseBuy</t>
  </si>
  <si>
    <t>Lease Analysis</t>
  </si>
  <si>
    <t>One-time Costs</t>
  </si>
  <si>
    <t>Capital Expenditure per patient</t>
  </si>
  <si>
    <t>Sales Tax Rate</t>
  </si>
  <si>
    <t>Codington</t>
  </si>
  <si>
    <t>Davison</t>
  </si>
  <si>
    <t>Day</t>
  </si>
  <si>
    <t>On</t>
  </si>
  <si>
    <t>Off</t>
  </si>
  <si>
    <t>Year 3 COC</t>
  </si>
  <si>
    <t>DaVita Returns:</t>
  </si>
  <si>
    <t>Rev/tx</t>
  </si>
  <si>
    <t>Consolidated</t>
  </si>
  <si>
    <t>Census</t>
  </si>
  <si>
    <t>In-center</t>
  </si>
  <si>
    <t>Operating Expenses</t>
  </si>
  <si>
    <t>OpEx per tx</t>
  </si>
  <si>
    <t>Prince Edward</t>
  </si>
  <si>
    <t>Rappahannock</t>
  </si>
  <si>
    <t>Rockbridge</t>
  </si>
  <si>
    <t>Shenandoah</t>
  </si>
  <si>
    <t>Smyth</t>
  </si>
  <si>
    <t>Southampton</t>
  </si>
  <si>
    <t>Wythe</t>
  </si>
  <si>
    <t>Buena Vista City</t>
  </si>
  <si>
    <t>Clifton Forge City</t>
  </si>
  <si>
    <t>Emporia City</t>
  </si>
  <si>
    <t>East Baton Rouge</t>
  </si>
  <si>
    <t>Lafayette</t>
  </si>
  <si>
    <t>Lafourche</t>
  </si>
  <si>
    <t>Livingston</t>
  </si>
  <si>
    <t>Ouachita</t>
  </si>
  <si>
    <t>Rapides</t>
  </si>
  <si>
    <t>St. Charles</t>
  </si>
  <si>
    <t>St. John the Baptist</t>
  </si>
  <si>
    <t>St. Landry</t>
  </si>
  <si>
    <t>St. Martin</t>
  </si>
  <si>
    <t>St. Tammany</t>
  </si>
  <si>
    <t>Terrebonne</t>
  </si>
  <si>
    <t>West Baton Rouge</t>
  </si>
  <si>
    <t>MD</t>
  </si>
  <si>
    <t>Allegany</t>
  </si>
  <si>
    <t>Washington</t>
  </si>
  <si>
    <t>MI</t>
  </si>
  <si>
    <t>Bay</t>
  </si>
  <si>
    <t>Berrien</t>
  </si>
  <si>
    <t>Genesee</t>
  </si>
  <si>
    <t>Kalamazoo</t>
  </si>
  <si>
    <t>Midland</t>
  </si>
  <si>
    <t>Saginaw</t>
  </si>
  <si>
    <t>Newaygo</t>
  </si>
  <si>
    <t>Oceana</t>
  </si>
  <si>
    <t>Fit with other Facilities</t>
  </si>
  <si>
    <t>Operating Division:</t>
  </si>
  <si>
    <t>Address:</t>
  </si>
  <si>
    <t>Legal Owner or Partner:</t>
  </si>
  <si>
    <t>Total Rent/Sq. Ft.</t>
  </si>
  <si>
    <t>&lt;---- Please use Comments to document cost rationales</t>
  </si>
  <si>
    <t>PSA</t>
  </si>
  <si>
    <t>FCA</t>
  </si>
  <si>
    <t>CAGR</t>
  </si>
  <si>
    <t>ROFR</t>
  </si>
  <si>
    <t xml:space="preserve">NOTE: the DN Approval process involves 2 steps: </t>
  </si>
  <si>
    <t>a) PSA: Preliminary Search Approval = JCI/UGL to engage in site search</t>
  </si>
  <si>
    <t>b) FCA: Financial Commitment Approval = Lease is executed</t>
  </si>
  <si>
    <t>If Yr3 COC &amp; DVA IRR meet thresholds, model is usually approved by Division DN Approval Committee (PSA)</t>
  </si>
  <si>
    <t>Mover</t>
  </si>
  <si>
    <t>01.05</t>
  </si>
  <si>
    <t>Construction</t>
  </si>
  <si>
    <t>02.01</t>
  </si>
  <si>
    <t>02.02</t>
  </si>
  <si>
    <t>Electric</t>
  </si>
  <si>
    <t>03.01</t>
  </si>
  <si>
    <t>03.02</t>
  </si>
  <si>
    <t>Gas</t>
  </si>
  <si>
    <t>03.03</t>
  </si>
  <si>
    <t>Water (tap fee)</t>
  </si>
  <si>
    <t>03.04</t>
  </si>
  <si>
    <t>Sewer (impact fee)</t>
  </si>
  <si>
    <t>03.05</t>
  </si>
  <si>
    <t>Cable</t>
  </si>
  <si>
    <t>03.06</t>
  </si>
  <si>
    <t>Telephone System</t>
  </si>
  <si>
    <t>04.01</t>
  </si>
  <si>
    <t>04.02</t>
  </si>
  <si>
    <t>Emergency Call System</t>
  </si>
  <si>
    <t>04.03</t>
  </si>
  <si>
    <t>Security System</t>
  </si>
  <si>
    <t>04.04</t>
  </si>
  <si>
    <t>TV System (w/ VCR)</t>
  </si>
  <si>
    <t>04.05</t>
  </si>
  <si>
    <t>DSS System</t>
  </si>
  <si>
    <t>04.06</t>
  </si>
  <si>
    <t>R/O System</t>
  </si>
  <si>
    <t>05.01</t>
  </si>
  <si>
    <t>Home Hemo Clawback</t>
  </si>
  <si>
    <t>Revenue per tx projections -- current model</t>
  </si>
  <si>
    <t>Commerical &lt; $750</t>
  </si>
  <si>
    <t>Juniata</t>
  </si>
  <si>
    <t>Total DeNovo Capital</t>
  </si>
  <si>
    <t>Capital</t>
  </si>
  <si>
    <t>Model Expiration Date:</t>
  </si>
  <si>
    <t>Yes / No</t>
  </si>
  <si>
    <t>Yes</t>
  </si>
  <si>
    <t>P&amp;L Total Equivalent Treatments</t>
  </si>
  <si>
    <t>Net Building Rent</t>
  </si>
  <si>
    <t>8620 - CAM Charges</t>
  </si>
  <si>
    <t>0</t>
  </si>
  <si>
    <t>Facsimile</t>
  </si>
  <si>
    <t>TV System</t>
  </si>
  <si>
    <t>Dialysis Machine (2 w/ OLC)</t>
  </si>
  <si>
    <t>Scale {Tx}</t>
  </si>
  <si>
    <t>Lab All-Freezer</t>
  </si>
  <si>
    <t>Meds All-Refrigerator</t>
  </si>
  <si>
    <t>4800 - Bad Debt Provision</t>
  </si>
  <si>
    <t>Total Net Building Rent</t>
  </si>
  <si>
    <t>Hocking</t>
  </si>
  <si>
    <t>Meigs</t>
  </si>
  <si>
    <t>Year 3</t>
  </si>
  <si>
    <t>Year 4</t>
  </si>
  <si>
    <t>Year 5</t>
  </si>
  <si>
    <t>Net Revenue</t>
  </si>
  <si>
    <t>Revenue</t>
  </si>
  <si>
    <t>Other Intangibles</t>
  </si>
  <si>
    <t>Accum Amort Other Intangibles</t>
  </si>
  <si>
    <t>Total assets</t>
  </si>
  <si>
    <t>Liabilities and Equity</t>
  </si>
  <si>
    <t>Accounts Payable</t>
  </si>
  <si>
    <t>Accrued Payroll</t>
  </si>
  <si>
    <t>Other Accrued Liabilities</t>
  </si>
  <si>
    <t>Total Current Liabilities</t>
  </si>
  <si>
    <t>Other Long-Term Liability</t>
  </si>
  <si>
    <t>Owner Contributions and Distributions</t>
  </si>
  <si>
    <t>Retained Earnings</t>
  </si>
  <si>
    <t>Equity</t>
  </si>
  <si>
    <t>Total Liabilities and Due to Parent</t>
  </si>
  <si>
    <t>a) For preliminary analysis, complete:</t>
  </si>
  <si>
    <t>Refrigerator (lounge)</t>
  </si>
  <si>
    <t>10.01</t>
  </si>
  <si>
    <t>Microwave (lounge)</t>
  </si>
  <si>
    <t>Burke</t>
  </si>
  <si>
    <t>Catawba</t>
  </si>
  <si>
    <t>Nash</t>
  </si>
  <si>
    <t>New Hanover</t>
  </si>
  <si>
    <t>PD census:</t>
  </si>
  <si>
    <t>HHD census:</t>
  </si>
  <si>
    <t>Rent comps obtained?</t>
  </si>
  <si>
    <t>months</t>
  </si>
  <si>
    <t>OwnerPartner</t>
  </si>
  <si>
    <t>Partner</t>
  </si>
  <si>
    <t>Fresenius:</t>
  </si>
  <si>
    <t>DCI:</t>
  </si>
  <si>
    <t>Liberty:</t>
  </si>
  <si>
    <t>ARA:</t>
  </si>
  <si>
    <t>RAI:</t>
  </si>
  <si>
    <t>NRA:</t>
  </si>
  <si>
    <t>Satellite:</t>
  </si>
  <si>
    <t>Existing DVA Relationship (MD, JV partner)?</t>
  </si>
  <si>
    <t>Rebates and Volume Discounts</t>
  </si>
  <si>
    <t>8765 - Vendor Discounts</t>
  </si>
  <si>
    <t>8755 - Purchasing Variance</t>
  </si>
  <si>
    <t>9999 - Miss-Classified Medical Supplies</t>
  </si>
  <si>
    <t>P&amp;L Total Other Medical Expenses</t>
  </si>
  <si>
    <t>Machine Repair &amp; Maintenance</t>
  </si>
  <si>
    <t>6620 - RO Supply</t>
  </si>
  <si>
    <t>Total Reuse</t>
  </si>
  <si>
    <t>Total Machine Repair &amp; Maintenance</t>
  </si>
  <si>
    <t>Facility Maintenance &amp; Repair</t>
  </si>
  <si>
    <t>Utilities Expense</t>
  </si>
  <si>
    <t>Telephone Expense</t>
  </si>
  <si>
    <t>Other Purchased Services</t>
  </si>
  <si>
    <t>Office Supplies &amp; Other Minor Equipment</t>
  </si>
  <si>
    <t>Travel &amp; Entertainment</t>
  </si>
  <si>
    <t>Total Freight and Postage</t>
  </si>
  <si>
    <t>Equipment Rental</t>
  </si>
  <si>
    <t>Methodology</t>
  </si>
  <si>
    <r>
      <t xml:space="preserve">2) Sheets requiring DFA/ROD/DVP input/review are colored </t>
    </r>
    <r>
      <rPr>
        <sz val="8"/>
        <color indexed="48"/>
        <rFont val="Arial"/>
        <family val="2"/>
      </rPr>
      <t>light blue</t>
    </r>
    <r>
      <rPr>
        <sz val="8"/>
        <rFont val="Arial"/>
        <family val="2"/>
      </rPr>
      <t>:</t>
    </r>
  </si>
  <si>
    <t>b) For formal review &amp; approval, complete:</t>
  </si>
  <si>
    <t>4) General rule of thumb: assumptions should be based upon figures for the Parent(s).</t>
  </si>
  <si>
    <t>NOTE: Please contact Deal Depot to request a Transaction Director after formal approval of a JV model.</t>
  </si>
  <si>
    <t>Model Worksheets</t>
  </si>
  <si>
    <t>Tips</t>
  </si>
  <si>
    <t>Contract_Allow</t>
  </si>
  <si>
    <t>1280</t>
  </si>
  <si>
    <t>1290</t>
  </si>
  <si>
    <t>1291</t>
  </si>
  <si>
    <t>1292</t>
  </si>
  <si>
    <t>1293</t>
  </si>
  <si>
    <t>1294</t>
  </si>
  <si>
    <t>1295</t>
  </si>
  <si>
    <t>1296</t>
  </si>
  <si>
    <t>1297</t>
  </si>
  <si>
    <t>1359</t>
  </si>
  <si>
    <t>1298</t>
  </si>
  <si>
    <t>1299</t>
  </si>
  <si>
    <t>Inventories</t>
  </si>
  <si>
    <t>Prepaid</t>
  </si>
  <si>
    <t>1590</t>
  </si>
  <si>
    <t>1550</t>
  </si>
  <si>
    <t>1551</t>
  </si>
  <si>
    <t>DVA Ownership (if &lt; 100%)</t>
  </si>
  <si>
    <t>Workbook Code: 1075</t>
    <phoneticPr fontId="0" type="noConversion"/>
  </si>
  <si>
    <t>Parent Capacity and Growth without DeNovo</t>
  </si>
  <si>
    <t>Floor Pallets</t>
  </si>
  <si>
    <t>Timeclock System</t>
  </si>
  <si>
    <t>Tillman</t>
  </si>
  <si>
    <t>Washita</t>
  </si>
  <si>
    <t>Woods</t>
  </si>
  <si>
    <t>Woodward</t>
  </si>
  <si>
    <t>Clatsop</t>
  </si>
  <si>
    <t>Coos</t>
  </si>
  <si>
    <t>Crook</t>
  </si>
  <si>
    <t>Curry</t>
  </si>
  <si>
    <t>Deschutes</t>
  </si>
  <si>
    <t>Gilliam</t>
  </si>
  <si>
    <t>Harney</t>
  </si>
  <si>
    <t>Hood River</t>
  </si>
  <si>
    <t>Josephine</t>
  </si>
  <si>
    <t>Klamath</t>
  </si>
  <si>
    <t>Malheur</t>
  </si>
  <si>
    <t>Tillamook</t>
  </si>
  <si>
    <t>Umatilla</t>
  </si>
  <si>
    <t>Wallowa</t>
  </si>
  <si>
    <t>Wasco</t>
  </si>
  <si>
    <t>Armstrong</t>
  </si>
  <si>
    <t>Clarion</t>
  </si>
  <si>
    <t>Clearfield</t>
  </si>
  <si>
    <t>Huntingdon</t>
  </si>
  <si>
    <t>Indiana</t>
  </si>
  <si>
    <t>Davie</t>
  </si>
  <si>
    <t>Durham</t>
  </si>
  <si>
    <t>Guilford</t>
  </si>
  <si>
    <t>Johnston</t>
  </si>
  <si>
    <t>Mecklenburg</t>
  </si>
  <si>
    <t>Randolph</t>
  </si>
  <si>
    <t>Rowan</t>
  </si>
  <si>
    <t>Canyon</t>
  </si>
  <si>
    <t>Cook</t>
  </si>
  <si>
    <t>DuPage</t>
  </si>
  <si>
    <t>Grundy</t>
  </si>
  <si>
    <t>Jersey</t>
  </si>
  <si>
    <t>Kane</t>
  </si>
  <si>
    <t>Kendall</t>
  </si>
  <si>
    <t>(12)
Sub_Acct - Fin_Class - High Pay Private Hemo Revenue - GT 750</t>
  </si>
  <si>
    <t>(11)
=(12)/(10)</t>
  </si>
  <si>
    <t>Chronic Patients</t>
  </si>
  <si>
    <t>PD Patients</t>
  </si>
  <si>
    <t>Home Hemo Patients</t>
  </si>
  <si>
    <t>DaVita management fee margin</t>
  </si>
  <si>
    <t># of Treatments (Government)</t>
  </si>
  <si>
    <t>P&amp;L Direct Medical Costs</t>
  </si>
  <si>
    <t>P&amp;L Dialyzers</t>
  </si>
  <si>
    <t>Blood Units &amp; Transportation</t>
  </si>
  <si>
    <t>M74</t>
  </si>
  <si>
    <t>M75</t>
  </si>
  <si>
    <t>M76</t>
  </si>
  <si>
    <t>M114</t>
  </si>
  <si>
    <t>M118</t>
  </si>
  <si>
    <t>M78</t>
  </si>
  <si>
    <t>M79</t>
  </si>
  <si>
    <t>M82</t>
  </si>
  <si>
    <t>M117</t>
  </si>
  <si>
    <t>M88</t>
  </si>
  <si>
    <t>M89</t>
  </si>
  <si>
    <t>M90</t>
  </si>
  <si>
    <t>M91</t>
  </si>
  <si>
    <t>Dearborn</t>
  </si>
  <si>
    <t>De Kalb</t>
  </si>
  <si>
    <t>Elkhart</t>
  </si>
  <si>
    <t>Hendricks</t>
  </si>
  <si>
    <t>Howard</t>
  </si>
  <si>
    <t>Huntington</t>
  </si>
  <si>
    <t>Johnson</t>
  </si>
  <si>
    <t>Ohio</t>
  </si>
  <si>
    <t>Posey</t>
  </si>
  <si>
    <t>St. Joseph</t>
  </si>
  <si>
    <t>Tipton</t>
  </si>
  <si>
    <t>Vanderburgh</t>
  </si>
  <si>
    <t>Warrick</t>
  </si>
  <si>
    <t>Wells</t>
  </si>
  <si>
    <t>Whitley</t>
  </si>
  <si>
    <t>Dallas</t>
  </si>
  <si>
    <t>Linn</t>
  </si>
  <si>
    <t>Pottawattamie</t>
  </si>
  <si>
    <t>Scott</t>
  </si>
  <si>
    <t>Warren</t>
  </si>
  <si>
    <t>Butler</t>
  </si>
  <si>
    <t>Harvey</t>
  </si>
  <si>
    <t>Leavenworth</t>
  </si>
  <si>
    <t>Miami</t>
  </si>
  <si>
    <t>Sedgwick</t>
  </si>
  <si>
    <t>Shawnee</t>
  </si>
  <si>
    <t>Wyandotte</t>
  </si>
  <si>
    <t>Bullitt</t>
  </si>
  <si>
    <t>Campbell</t>
  </si>
  <si>
    <t>Gallatin</t>
  </si>
  <si>
    <t>Grant</t>
  </si>
  <si>
    <t>Henderson</t>
  </si>
  <si>
    <t>Housekeeping/Inventory</t>
  </si>
  <si>
    <t>2550</t>
  </si>
  <si>
    <t>2571</t>
  </si>
  <si>
    <t>2580</t>
  </si>
  <si>
    <t>2821</t>
  </si>
  <si>
    <t>2826</t>
  </si>
  <si>
    <t>2827</t>
  </si>
  <si>
    <t>2828</t>
  </si>
  <si>
    <t>2829</t>
  </si>
  <si>
    <t>2830</t>
  </si>
  <si>
    <t>2760</t>
  </si>
  <si>
    <t>2764</t>
  </si>
  <si>
    <t>2770</t>
  </si>
  <si>
    <t>2775</t>
  </si>
  <si>
    <t>Electrical Analyzer/Tester</t>
  </si>
  <si>
    <t>06.01</t>
  </si>
  <si>
    <t>Equipment</t>
  </si>
  <si>
    <t>Current Market Profitability</t>
  </si>
  <si>
    <t>Terminal value</t>
  </si>
  <si>
    <t>Development fee</t>
  </si>
  <si>
    <t>In-Center</t>
  </si>
  <si>
    <t>Instructions: Complete fields in blue below, then goto worksheet 1.2 and choose menu item Essbase | Retrieve.  Connect to the OmniTot database.  If you receive an error or don't have access, contact Duncan Fisher or Cheri Garcia.</t>
  </si>
  <si>
    <t>Rate Cap</t>
  </si>
  <si>
    <t>Concentrate Pumps</t>
  </si>
  <si>
    <t>05.05</t>
  </si>
  <si>
    <t>Drum Dolly</t>
  </si>
  <si>
    <t>05.06</t>
  </si>
  <si>
    <t>Central Bi-carb System</t>
  </si>
  <si>
    <t>05.07</t>
  </si>
  <si>
    <t>Bi-carb Mixer</t>
  </si>
  <si>
    <t>05.08</t>
  </si>
  <si>
    <t>Bi-carb Drying Racks</t>
  </si>
  <si>
    <t>05.09</t>
  </si>
  <si>
    <t>Bio-Medical</t>
  </si>
  <si>
    <t>100% to DVA</t>
  </si>
  <si>
    <t>100% incurred by  DVA</t>
  </si>
  <si>
    <t>McNairy</t>
  </si>
  <si>
    <t>ILLINOIS</t>
  </si>
  <si>
    <t>INDIANA</t>
  </si>
  <si>
    <t>IOWA</t>
  </si>
  <si>
    <t>KANSAS</t>
  </si>
  <si>
    <t>KENTUCKY</t>
  </si>
  <si>
    <t>DeNovo plans must be reviewed</t>
  </si>
  <si>
    <t>LOUISIANA</t>
  </si>
  <si>
    <t>MAINE</t>
  </si>
  <si>
    <t>MARYLAND</t>
  </si>
  <si>
    <t>MASSACHUSETTS</t>
  </si>
  <si>
    <t>CORI Forms must be submitted for initial or CHOWs</t>
  </si>
  <si>
    <t>MICHIGAN</t>
  </si>
  <si>
    <t>1891</t>
  </si>
  <si>
    <t>1892</t>
  </si>
  <si>
    <t>1893</t>
  </si>
  <si>
    <t>PPE_Net</t>
  </si>
  <si>
    <t>1710</t>
  </si>
  <si>
    <t>Other Ancillary Sal &amp; Wage</t>
  </si>
  <si>
    <t>P&amp;L Total Salary and Wage</t>
  </si>
  <si>
    <t>P&amp;L Contract Salary and Wage</t>
  </si>
  <si>
    <t>P&amp;L Salary Wage and Contract</t>
  </si>
  <si>
    <t>Comm1 Hemo Equivalent Tx - GT 750</t>
  </si>
  <si>
    <t>Comm1 Hemo Revenue - GT 750</t>
  </si>
  <si>
    <t>Comm1 PD Equivalent Tx - GT 750</t>
  </si>
  <si>
    <t>Comm1 PD Revenue - GT 750</t>
  </si>
  <si>
    <t>6011 - Sal &amp; Wage Contract</t>
  </si>
  <si>
    <t>Drug Cost assumptions as of 12/31/09</t>
  </si>
  <si>
    <t>add'l $7K for HHD</t>
  </si>
  <si>
    <r>
      <t>HHD Parent</t>
    </r>
    <r>
      <rPr>
        <sz val="10"/>
        <rFont val="Arial"/>
        <family val="2"/>
      </rPr>
      <t xml:space="preserve"> DVA Own %:</t>
    </r>
  </si>
  <si>
    <t>month delay</t>
  </si>
  <si>
    <t>(Assumes Hemo &amp; PD parent to be the same with same ownership structure)</t>
  </si>
  <si>
    <t>Chronic &amp; PD Parents</t>
  </si>
  <si>
    <t>HHD Parents</t>
  </si>
  <si>
    <t>Kennebec</t>
  </si>
  <si>
    <t>Penobscot</t>
  </si>
  <si>
    <t>Piscataquis</t>
  </si>
  <si>
    <t>Ingham</t>
  </si>
  <si>
    <t>Washtenaw</t>
  </si>
  <si>
    <t>Attala</t>
  </si>
  <si>
    <t>Bolivar</t>
  </si>
  <si>
    <t>Coahoma</t>
  </si>
  <si>
    <t>Leflore</t>
  </si>
  <si>
    <t>Noxubee</t>
  </si>
  <si>
    <t>Tallahatchie</t>
  </si>
  <si>
    <t>Yalobusha</t>
  </si>
  <si>
    <t>Yazoo</t>
  </si>
  <si>
    <t>Eastland</t>
  </si>
  <si>
    <t>Erath</t>
  </si>
  <si>
    <t>Fisher</t>
  </si>
  <si>
    <t>Foard</t>
  </si>
  <si>
    <t>Freestone</t>
  </si>
  <si>
    <t>Frio</t>
  </si>
  <si>
    <t>Gaines</t>
  </si>
  <si>
    <t>Garza</t>
  </si>
  <si>
    <t>Gillespie</t>
  </si>
  <si>
    <t>Glasscock</t>
  </si>
  <si>
    <t>Goliad</t>
  </si>
  <si>
    <t>Gonzales</t>
  </si>
  <si>
    <t>Grimes</t>
  </si>
  <si>
    <t>Hansford</t>
  </si>
  <si>
    <t>Hartley</t>
  </si>
  <si>
    <t>Hemphill</t>
  </si>
  <si>
    <t>Hockley</t>
  </si>
  <si>
    <t>Hudspeth</t>
  </si>
  <si>
    <t>Irion</t>
  </si>
  <si>
    <t>Jack</t>
  </si>
  <si>
    <t>Jim Hogg</t>
  </si>
  <si>
    <t>Jim Wells</t>
  </si>
  <si>
    <t>Karnes</t>
  </si>
  <si>
    <t>Kenedy</t>
  </si>
  <si>
    <t>Kerr</t>
  </si>
  <si>
    <t>Kimble</t>
  </si>
  <si>
    <t>Kleberg</t>
  </si>
  <si>
    <t>Lamb</t>
  </si>
  <si>
    <t>Lavaca</t>
  </si>
  <si>
    <t>Leon</t>
  </si>
  <si>
    <t>Lipscomb</t>
  </si>
  <si>
    <t>Live Oak</t>
  </si>
  <si>
    <t>Llano</t>
  </si>
  <si>
    <t>Loving</t>
  </si>
  <si>
    <t>EPO</t>
  </si>
  <si>
    <t>Calcium</t>
  </si>
  <si>
    <t>Iron</t>
  </si>
  <si>
    <t>Total Drugs</t>
  </si>
  <si>
    <t>&lt;&lt;--Calculated on machine costs tab</t>
  </si>
  <si>
    <t>NxStage</t>
  </si>
  <si>
    <t>Medical Supplies/Pt/Month</t>
  </si>
  <si>
    <t>Other Controllable/Pt/Month</t>
  </si>
  <si>
    <r>
      <t>Cannibalization = Parent</t>
    </r>
    <r>
      <rPr>
        <vertAlign val="subscript"/>
        <sz val="8"/>
        <rFont val="Arial"/>
        <family val="2"/>
      </rPr>
      <t>w/o</t>
    </r>
    <r>
      <rPr>
        <sz val="8"/>
        <rFont val="Arial"/>
        <family val="2"/>
      </rPr>
      <t xml:space="preserve"> - Parent</t>
    </r>
    <r>
      <rPr>
        <vertAlign val="subscript"/>
        <sz val="8"/>
        <rFont val="Arial"/>
        <family val="2"/>
      </rPr>
      <t>w/</t>
    </r>
  </si>
  <si>
    <r>
      <t>DeNovo - (Parent</t>
    </r>
    <r>
      <rPr>
        <b/>
        <vertAlign val="subscript"/>
        <sz val="8"/>
        <rFont val="Arial"/>
        <family val="2"/>
      </rPr>
      <t>w/o</t>
    </r>
    <r>
      <rPr>
        <b/>
        <sz val="8"/>
        <rFont val="Arial"/>
        <family val="2"/>
      </rPr>
      <t xml:space="preserve"> - Parent</t>
    </r>
    <r>
      <rPr>
        <b/>
        <vertAlign val="subscript"/>
        <sz val="8"/>
        <rFont val="Arial"/>
        <family val="2"/>
      </rPr>
      <t>w/</t>
    </r>
    <r>
      <rPr>
        <b/>
        <sz val="8"/>
        <rFont val="Arial"/>
        <family val="2"/>
      </rPr>
      <t>) = Incremental Value</t>
    </r>
  </si>
  <si>
    <r>
      <t>Parent</t>
    </r>
    <r>
      <rPr>
        <vertAlign val="subscript"/>
        <sz val="8"/>
        <rFont val="Arial"/>
        <family val="2"/>
      </rPr>
      <t>w/o</t>
    </r>
    <r>
      <rPr>
        <sz val="8"/>
        <rFont val="Arial"/>
        <family val="2"/>
      </rPr>
      <t xml:space="preserve"> = Parent facility without DeNovo in area</t>
    </r>
  </si>
  <si>
    <r>
      <t>Parent</t>
    </r>
    <r>
      <rPr>
        <vertAlign val="subscript"/>
        <sz val="8"/>
        <rFont val="Arial"/>
        <family val="2"/>
      </rPr>
      <t>w/</t>
    </r>
    <r>
      <rPr>
        <sz val="8"/>
        <rFont val="Arial"/>
        <family val="2"/>
      </rPr>
      <t xml:space="preserve"> = Parent facility with DeNovo operating in area</t>
    </r>
  </si>
  <si>
    <t>Reimbursement Freq</t>
  </si>
  <si>
    <t># of Treatments</t>
  </si>
  <si>
    <t>Joint Costs</t>
  </si>
  <si>
    <t xml:space="preserve">In-Center and PD </t>
  </si>
  <si>
    <t xml:space="preserve">Home Hemo </t>
  </si>
  <si>
    <t>Lackawanna</t>
  </si>
  <si>
    <t>Larue</t>
  </si>
  <si>
    <t>Laurel</t>
  </si>
  <si>
    <t>Lewis</t>
  </si>
  <si>
    <t>McCracken</t>
  </si>
  <si>
    <t>McLean</t>
  </si>
  <si>
    <t>Menifee</t>
  </si>
  <si>
    <t>Metcalfe</t>
  </si>
  <si>
    <t>Muhlenberg</t>
  </si>
  <si>
    <t>Nelson</t>
  </si>
  <si>
    <t>Nicholas</t>
  </si>
  <si>
    <t>Powell</t>
  </si>
  <si>
    <t>Rockcastle</t>
  </si>
  <si>
    <t>Comparables:</t>
  </si>
  <si>
    <t>Patient / Census Assumptions</t>
  </si>
  <si>
    <t>Monthly Projections - Yr1</t>
  </si>
  <si>
    <t>Gross Revenues</t>
  </si>
  <si>
    <t>Total Cash Collections</t>
  </si>
  <si>
    <t>Expenses</t>
  </si>
  <si>
    <r>
      <t xml:space="preserve">Is </t>
    </r>
    <r>
      <rPr>
        <b/>
        <sz val="10"/>
        <rFont val="Arial"/>
        <family val="2"/>
      </rPr>
      <t>parent</t>
    </r>
    <r>
      <rPr>
        <sz val="10"/>
        <rFont val="Arial"/>
        <family val="2"/>
      </rPr>
      <t xml:space="preserve"> a Joint Venture?</t>
    </r>
  </si>
  <si>
    <r>
      <t>Parent</t>
    </r>
    <r>
      <rPr>
        <sz val="10"/>
        <rFont val="Arial"/>
        <family val="2"/>
      </rPr>
      <t xml:space="preserve"> DVA Ownership:</t>
    </r>
  </si>
  <si>
    <t>Total CapEx</t>
  </si>
  <si>
    <t>Total With Annual Increase and Benefits/Taxes</t>
  </si>
  <si>
    <t>Annual Rent/Sq. Ft.</t>
  </si>
  <si>
    <t>Isolation Stations</t>
  </si>
  <si>
    <t>Required line of credit:</t>
  </si>
  <si>
    <t>Line of redit requirement (1/12 of year 1 expenses):</t>
  </si>
  <si>
    <t>Doddridge</t>
  </si>
  <si>
    <t>Greenbrier</t>
  </si>
  <si>
    <t>Wasatch</t>
  </si>
  <si>
    <t>VT</t>
  </si>
  <si>
    <t>Addison</t>
  </si>
  <si>
    <t>Caledonia</t>
  </si>
  <si>
    <t>Chittenden</t>
  </si>
  <si>
    <t>Grand Isle</t>
  </si>
  <si>
    <t>Lamoille</t>
  </si>
  <si>
    <t>Orleans</t>
  </si>
  <si>
    <t>Rutland</t>
  </si>
  <si>
    <t>source: 4146_001.pdf (from Jeannie Oh)</t>
  </si>
  <si>
    <t>MACRS Depreciation Table for Personal Business Property</t>
  </si>
  <si>
    <t>EPO, Ferrlecit, Infed, Venofer, Zemplar, Calcijex, other drugs (e.g. Carnitor, Hepparin, etc.), dialyzers, chronic supplies (e.g. bloodlines, concentrate, needles, etc.), PD supplies</t>
  </si>
  <si>
    <t>from P&amp;L Line Items 01-18-08.doc</t>
  </si>
  <si>
    <t>Approved Project w/ fac # is added to TG Tracking database</t>
  </si>
  <si>
    <t>Once lease draft is prepared for final approval, PSA model is re-run for lease parameters and latest Essbase data</t>
  </si>
  <si>
    <t>NOTE: If model falls below either threshold, then an Exceptions Approval call is required so that model can be approved by COO &amp; CFO</t>
  </si>
  <si>
    <t>Once FCA is confirmed, Lease is to be signed and construction should start imminently</t>
  </si>
  <si>
    <t>Estimated Income Tax Liability</t>
  </si>
  <si>
    <t>Estimated Post Tax</t>
  </si>
  <si>
    <t>DeNovo EBITDA</t>
  </si>
  <si>
    <t>On / Off</t>
  </si>
  <si>
    <t>Parent Facilities</t>
  </si>
  <si>
    <t>Machine Expense Assumptions</t>
  </si>
  <si>
    <t>Leasehold Improvemt. Credits</t>
  </si>
  <si>
    <t>Per</t>
  </si>
  <si>
    <t>At Startup</t>
  </si>
  <si>
    <t>Incremental At Build-out</t>
  </si>
  <si>
    <t>Capital Detail</t>
  </si>
  <si>
    <t>Life Safety Systems</t>
  </si>
  <si>
    <t>Chng in Min Cash Balance</t>
  </si>
  <si>
    <t>Putnam</t>
  </si>
  <si>
    <t>Rockland</t>
  </si>
  <si>
    <t>Schoharie</t>
  </si>
  <si>
    <t>Westchester</t>
  </si>
  <si>
    <t>NC</t>
  </si>
  <si>
    <t>Alamance</t>
  </si>
  <si>
    <t>Buncombe</t>
  </si>
  <si>
    <t>Cabarrus</t>
  </si>
  <si>
    <t>Currituck</t>
  </si>
  <si>
    <t>Davidson</t>
  </si>
  <si>
    <t>Broome</t>
  </si>
  <si>
    <t>Cayuga</t>
  </si>
  <si>
    <t>Chautauqua</t>
  </si>
  <si>
    <t>Chemung</t>
  </si>
  <si>
    <t>Herkimer</t>
  </si>
  <si>
    <t>Madison</t>
  </si>
  <si>
    <t>Onondaga</t>
  </si>
  <si>
    <t>Orange</t>
  </si>
  <si>
    <t>Oswego</t>
  </si>
  <si>
    <t>Tioga</t>
  </si>
  <si>
    <t>ND</t>
  </si>
  <si>
    <t>Burleigh</t>
  </si>
  <si>
    <t>Grand Forks</t>
  </si>
  <si>
    <t>Morton</t>
  </si>
  <si>
    <t>OH</t>
  </si>
  <si>
    <t>Allen</t>
  </si>
  <si>
    <t>Auglaize</t>
  </si>
  <si>
    <t>Carroll</t>
  </si>
  <si>
    <t>Columbiana</t>
  </si>
  <si>
    <t>Crawford</t>
  </si>
  <si>
    <t>Jefferson</t>
  </si>
  <si>
    <t>Mahoning</t>
  </si>
  <si>
    <t>Richland</t>
  </si>
  <si>
    <t>Stark</t>
  </si>
  <si>
    <t>Trumbull</t>
  </si>
  <si>
    <t>OK</t>
  </si>
  <si>
    <t>Canadian</t>
  </si>
  <si>
    <t>Cleveland</t>
  </si>
  <si>
    <t>Comanche</t>
  </si>
  <si>
    <t>Amount to Finance (%)</t>
  </si>
  <si>
    <t>Partner Cash Contribution</t>
  </si>
  <si>
    <t>Partner Finance</t>
  </si>
  <si>
    <t>Debt Terms</t>
  </si>
  <si>
    <t>Interest Rate</t>
  </si>
  <si>
    <t>Term (in years)</t>
  </si>
  <si>
    <t>Cash Flows</t>
  </si>
  <si>
    <t>No Financing</t>
  </si>
  <si>
    <t>With Financing</t>
  </si>
  <si>
    <t>Adjustments (for financing)</t>
  </si>
  <si>
    <t>Amount Financed</t>
  </si>
  <si>
    <t>Interest Expense</t>
  </si>
  <si>
    <t>Principle Payment</t>
  </si>
  <si>
    <t>Debt Balance</t>
  </si>
  <si>
    <t>Partner CF (Financed)</t>
  </si>
  <si>
    <t>Beginning of Term</t>
  </si>
  <si>
    <t>End of Term</t>
  </si>
  <si>
    <t>Interest Payment</t>
  </si>
  <si>
    <t>Fixed Staffing (Chronic, PD, &amp; Home Hemo)</t>
  </si>
  <si>
    <t>MD Fees</t>
  </si>
  <si>
    <t>CAM</t>
  </si>
  <si>
    <t>Prop Tax</t>
  </si>
  <si>
    <t>Amherst</t>
  </si>
  <si>
    <t>Bedford</t>
  </si>
  <si>
    <t>Pittsylvania</t>
  </si>
  <si>
    <t>Bristol City</t>
  </si>
  <si>
    <t>Net change in cash (c) (d)</t>
  </si>
  <si>
    <t>10.02</t>
  </si>
  <si>
    <t>Dishwasher</t>
  </si>
  <si>
    <t>10.03</t>
  </si>
  <si>
    <t>Coffee Machine (lounge)</t>
  </si>
  <si>
    <t>10.04</t>
  </si>
  <si>
    <t>Toaster Oven (lounge)</t>
  </si>
  <si>
    <t>10.05</t>
  </si>
  <si>
    <t>Lockers</t>
  </si>
  <si>
    <t>10.06</t>
  </si>
  <si>
    <t>Supply Cart</t>
  </si>
  <si>
    <t>11.01</t>
  </si>
  <si>
    <t>Shelving</t>
  </si>
  <si>
    <t>11.02</t>
  </si>
  <si>
    <t>Hand Dolly</t>
  </si>
  <si>
    <t>11.03</t>
  </si>
  <si>
    <t>Flatbed Truck (hand)</t>
  </si>
  <si>
    <t>11.04</t>
  </si>
  <si>
    <t>Utility Cart</t>
  </si>
  <si>
    <t>11.05</t>
  </si>
  <si>
    <t>Floor Palates</t>
  </si>
  <si>
    <t>11.06</t>
  </si>
  <si>
    <t>Linen Cart</t>
  </si>
  <si>
    <t>11.07</t>
  </si>
  <si>
    <t>Copier</t>
  </si>
  <si>
    <t>13.01</t>
  </si>
  <si>
    <t>Facsimlie</t>
  </si>
  <si>
    <t>13.02</t>
  </si>
  <si>
    <t>Timeclock</t>
  </si>
  <si>
    <t>13.03</t>
  </si>
  <si>
    <t>Computer System</t>
  </si>
  <si>
    <t>13.04</t>
  </si>
  <si>
    <t>Imprinter</t>
  </si>
  <si>
    <t>13.07</t>
  </si>
  <si>
    <t>Office Furniture</t>
  </si>
  <si>
    <t>14.01</t>
  </si>
  <si>
    <t>Artwork/Plants</t>
  </si>
  <si>
    <t>14.02</t>
  </si>
  <si>
    <t>Window Blinds/Curtains</t>
  </si>
  <si>
    <t>14.04</t>
  </si>
  <si>
    <t>Clock</t>
  </si>
  <si>
    <t>14.06</t>
  </si>
  <si>
    <t>Signage</t>
  </si>
  <si>
    <t>Interior</t>
  </si>
  <si>
    <t>15.01</t>
  </si>
  <si>
    <t>Exterior</t>
  </si>
  <si>
    <t>15.02</t>
  </si>
  <si>
    <t>Project:</t>
  </si>
  <si>
    <t>Variable Salary &amp; Wage</t>
  </si>
  <si>
    <t>Fixed Salary &amp; Wage</t>
  </si>
  <si>
    <t>Benefits &amp; Taxes</t>
  </si>
  <si>
    <t>Contract Wage</t>
  </si>
  <si>
    <t>Medical Director:</t>
  </si>
  <si>
    <t>Region:</t>
  </si>
  <si>
    <t>City:</t>
  </si>
  <si>
    <t>Regional Director:</t>
  </si>
  <si>
    <t>Cost</t>
  </si>
  <si>
    <t>Market:</t>
  </si>
  <si>
    <t>Depreciation Annual</t>
  </si>
  <si>
    <t>Amortization Annual</t>
  </si>
  <si>
    <t>Shipping &amp; Taxes</t>
  </si>
  <si>
    <t>assumed w/in $</t>
  </si>
  <si>
    <t>Facility #:</t>
  </si>
  <si>
    <t>04.07</t>
  </si>
  <si>
    <t>Fire Alarm System</t>
  </si>
  <si>
    <t>Revision Date:</t>
  </si>
  <si>
    <t>Stokes</t>
  </si>
  <si>
    <t>Wake</t>
  </si>
  <si>
    <t>Ashtabula</t>
  </si>
  <si>
    <t>Brown</t>
  </si>
  <si>
    <t>Clermont</t>
  </si>
  <si>
    <t>Cuyahoga</t>
  </si>
  <si>
    <t>Fairfield</t>
  </si>
  <si>
    <t>Fulton</t>
  </si>
  <si>
    <t>Geauga</t>
  </si>
  <si>
    <t>Greene</t>
  </si>
  <si>
    <t>Actual Results May Differ Substantially From This Forecast</t>
  </si>
  <si>
    <t xml:space="preserve">Initial </t>
  </si>
  <si>
    <t>Partner %</t>
  </si>
  <si>
    <t>Investment</t>
  </si>
  <si>
    <t>Total Cost</t>
  </si>
  <si>
    <t>Pre-Mgt Fee</t>
  </si>
  <si>
    <t>Post-Mgt Fee</t>
  </si>
  <si>
    <t>DaVita cash flows</t>
  </si>
  <si>
    <t>Cash flows with midyear convention</t>
  </si>
  <si>
    <t>DaVita tax rate</t>
  </si>
  <si>
    <t>COMM1 Patients</t>
  </si>
  <si>
    <t>COMM1 Compression</t>
  </si>
  <si>
    <t>Exp. COMM1 %</t>
  </si>
  <si>
    <t>Expected COMM1% (by county):</t>
  </si>
  <si>
    <t>Dev Fee is below standard range; Deal Depot approval needed</t>
  </si>
  <si>
    <t>Mgmt Fee delineates from standard; Deal Depot approval needed</t>
  </si>
  <si>
    <t>FMV Request</t>
  </si>
  <si>
    <t>Introduction: DeNovo Financial Model Template</t>
  </si>
  <si>
    <r>
      <t xml:space="preserve">3) Double-check inputs in </t>
    </r>
    <r>
      <rPr>
        <sz val="8"/>
        <color indexed="12"/>
        <rFont val="Arial"/>
        <family val="2"/>
      </rPr>
      <t>blue</t>
    </r>
    <r>
      <rPr>
        <sz val="8"/>
        <rFont val="Arial"/>
        <family val="2"/>
      </rPr>
      <t xml:space="preserve"> font color as they are your assumptions for the financial model</t>
    </r>
  </si>
  <si>
    <t>Phone:</t>
  </si>
  <si>
    <t>Days Inventory</t>
  </si>
  <si>
    <t>05.02</t>
  </si>
  <si>
    <t>Dry Acid System</t>
  </si>
  <si>
    <t>05.03</t>
  </si>
  <si>
    <t>Concentrate Tanks</t>
  </si>
  <si>
    <t>05.04</t>
  </si>
  <si>
    <t>Yr 5</t>
  </si>
  <si>
    <t>Position</t>
  </si>
  <si>
    <t>= typical DVA minimum standard</t>
  </si>
  <si>
    <t>Chronic</t>
  </si>
  <si>
    <t>% Growth</t>
  </si>
  <si>
    <t>Mortality Assumption</t>
  </si>
  <si>
    <t>Market Drivers</t>
  </si>
  <si>
    <t>M107</t>
  </si>
  <si>
    <t>DEPT_401</t>
  </si>
  <si>
    <t>SUB_001</t>
  </si>
  <si>
    <t>FC_01</t>
  </si>
  <si>
    <t>DEPT_402</t>
  </si>
  <si>
    <t>SUB_002</t>
  </si>
  <si>
    <t>FC_02</t>
  </si>
  <si>
    <t>SPRT_0002</t>
  </si>
  <si>
    <t>DEPT_403</t>
  </si>
  <si>
    <t>SUB_003</t>
  </si>
  <si>
    <t>FC_03</t>
  </si>
  <si>
    <t>SPRT_0003</t>
  </si>
  <si>
    <t>DEPT_404</t>
  </si>
  <si>
    <t>SUB_004</t>
  </si>
  <si>
    <t>FC_04</t>
  </si>
  <si>
    <t>SPRT_0004</t>
  </si>
  <si>
    <t>DEPT_405</t>
  </si>
  <si>
    <t>SUB_005</t>
  </si>
  <si>
    <t>FC_05</t>
  </si>
  <si>
    <t>SPRT_0005</t>
  </si>
  <si>
    <t>DEPT_406</t>
  </si>
  <si>
    <t>SUB_006</t>
  </si>
  <si>
    <t>FC_06</t>
  </si>
  <si>
    <t>SPRT_0006</t>
  </si>
  <si>
    <t>DEPT_407</t>
  </si>
  <si>
    <t>SUB_007</t>
  </si>
  <si>
    <t>FC_07</t>
  </si>
  <si>
    <t>SPRT_0007</t>
  </si>
  <si>
    <t>DEPT_408</t>
  </si>
  <si>
    <t>SUB_008</t>
  </si>
  <si>
    <t>FC_08</t>
  </si>
  <si>
    <t>SPRT_0008</t>
  </si>
  <si>
    <t>Bonneville</t>
  </si>
  <si>
    <t>Boundary</t>
  </si>
  <si>
    <t>Baltimore</t>
  </si>
  <si>
    <t>Calvert</t>
  </si>
  <si>
    <t>Cecil</t>
  </si>
  <si>
    <t>Charles</t>
  </si>
  <si>
    <t>Frederick</t>
  </si>
  <si>
    <t>Harford</t>
  </si>
  <si>
    <t>Queen Anne's</t>
  </si>
  <si>
    <t>Allegan</t>
  </si>
  <si>
    <t>Eaton</t>
  </si>
  <si>
    <t>Lapeer</t>
  </si>
  <si>
    <t>Lenawee</t>
  </si>
  <si>
    <t>Macomb</t>
  </si>
  <si>
    <t>Muskegon</t>
  </si>
  <si>
    <t>Oakland</t>
  </si>
  <si>
    <t>Ottawa</t>
  </si>
  <si>
    <t>Anoka</t>
  </si>
  <si>
    <t>Carver</t>
  </si>
  <si>
    <t>Chisago</t>
  </si>
  <si>
    <t>Hennepin</t>
  </si>
  <si>
    <t>Isanti</t>
  </si>
  <si>
    <t>Olmsted</t>
  </si>
  <si>
    <t>Ramsey</t>
  </si>
  <si>
    <t>Rice</t>
  </si>
  <si>
    <t>Riley</t>
  </si>
  <si>
    <t>Rooks</t>
  </si>
  <si>
    <t>Seward</t>
  </si>
  <si>
    <t>Sheridan</t>
  </si>
  <si>
    <t>Sherman</t>
  </si>
  <si>
    <t>Stanton</t>
  </si>
  <si>
    <t>Stevens</t>
  </si>
  <si>
    <t>Chariton</t>
  </si>
  <si>
    <t>Cole</t>
  </si>
  <si>
    <t>Cooper</t>
  </si>
  <si>
    <t>Gentry</t>
  </si>
  <si>
    <t>Hickory</t>
  </si>
  <si>
    <t>Holt</t>
  </si>
  <si>
    <t>Howell</t>
  </si>
  <si>
    <t>Laclede</t>
  </si>
  <si>
    <t>McDonald</t>
  </si>
  <si>
    <t>Maries</t>
  </si>
  <si>
    <t>Moniteau</t>
  </si>
  <si>
    <t>New Madrid</t>
  </si>
  <si>
    <t>Nodaway</t>
  </si>
  <si>
    <t>Oregon</t>
  </si>
  <si>
    <t>Ozark</t>
  </si>
  <si>
    <t>Pettis</t>
  </si>
  <si>
    <t>Phelps</t>
  </si>
  <si>
    <t>Ralls</t>
  </si>
  <si>
    <t>Ste. Genevieve</t>
  </si>
  <si>
    <t>Scotland</t>
  </si>
  <si>
    <t>Shannon</t>
  </si>
  <si>
    <t>Stoddard</t>
  </si>
  <si>
    <t>Taney</t>
  </si>
  <si>
    <t>Texas</t>
  </si>
  <si>
    <t>Beaverhead</t>
  </si>
  <si>
    <t>Big Horn</t>
  </si>
  <si>
    <t>Broadwater</t>
  </si>
  <si>
    <t>Chouteau</t>
  </si>
  <si>
    <t>Daniels</t>
  </si>
  <si>
    <t>Deer Lodge</t>
  </si>
  <si>
    <t>Fallon</t>
  </si>
  <si>
    <t>Fergus</t>
  </si>
  <si>
    <t>Flathead</t>
  </si>
  <si>
    <t>Glacier</t>
  </si>
  <si>
    <t>Golden Valley</t>
  </si>
  <si>
    <t>Granite</t>
  </si>
  <si>
    <t>Hill</t>
  </si>
  <si>
    <t>Judith Basin</t>
  </si>
  <si>
    <t>Lewis and Clark</t>
  </si>
  <si>
    <t>Mc Cone</t>
  </si>
  <si>
    <t>Meagher</t>
  </si>
  <si>
    <t>Musselshell</t>
  </si>
  <si>
    <t>Petroleum</t>
  </si>
  <si>
    <t>Pondera</t>
  </si>
  <si>
    <t>Powder River</t>
  </si>
  <si>
    <t>Ravalli</t>
  </si>
  <si>
    <t>Roosevelt</t>
  </si>
  <si>
    <t>Rosebud</t>
  </si>
  <si>
    <t>Sanders</t>
  </si>
  <si>
    <t>Bartholomew</t>
  </si>
  <si>
    <t>Blackford</t>
  </si>
  <si>
    <t>Dubois</t>
  </si>
  <si>
    <t>Fountain</t>
  </si>
  <si>
    <t>Gibson</t>
  </si>
  <si>
    <t>Jay</t>
  </si>
  <si>
    <t>Jennings</t>
  </si>
  <si>
    <t>Kosciusko</t>
  </si>
  <si>
    <t>Lagrange</t>
  </si>
  <si>
    <t>La Porte</t>
  </si>
  <si>
    <t>Noble</t>
  </si>
  <si>
    <t>Owen</t>
  </si>
  <si>
    <t>Parke</t>
  </si>
  <si>
    <t>Ripley</t>
  </si>
  <si>
    <t>Rush</t>
  </si>
  <si>
    <t>Spencer</t>
  </si>
  <si>
    <t>Starke</t>
  </si>
  <si>
    <t>Steuben</t>
  </si>
  <si>
    <t>Switzerland</t>
  </si>
  <si>
    <t>Adair</t>
  </si>
  <si>
    <t>Allamakee</t>
  </si>
  <si>
    <t>Appanoose</t>
  </si>
  <si>
    <t>Audubon</t>
  </si>
  <si>
    <t>Bremer</t>
  </si>
  <si>
    <t>Buchanan</t>
  </si>
  <si>
    <t>Buena Vista</t>
  </si>
  <si>
    <t>Cedar</t>
  </si>
  <si>
    <t>Cerro Gordo</t>
  </si>
  <si>
    <t>Chickasaw</t>
  </si>
  <si>
    <t>Clayton</t>
  </si>
  <si>
    <t>Ben Hill</t>
  </si>
  <si>
    <t>Bleckley</t>
  </si>
  <si>
    <t>EX</t>
  </si>
  <si>
    <t>Accounts receivable</t>
  </si>
  <si>
    <t>Capital &amp; investment:</t>
  </si>
  <si>
    <t>Start-up working cash</t>
  </si>
  <si>
    <t>Interest charge</t>
  </si>
  <si>
    <t>Start-up capital expenditures</t>
  </si>
  <si>
    <t>Total cash flow (c) (d)</t>
  </si>
  <si>
    <t>Deal Analysis</t>
  </si>
  <si>
    <t>Storey</t>
  </si>
  <si>
    <t>White Pine</t>
  </si>
  <si>
    <t>Carson City</t>
  </si>
  <si>
    <t>NH</t>
  </si>
  <si>
    <t>Cheshire</t>
  </si>
  <si>
    <t>Grafton</t>
  </si>
  <si>
    <t>6700 - Laundry &amp; Linen</t>
  </si>
  <si>
    <t>8580 - Pt Transportation</t>
  </si>
  <si>
    <t>8730 - Dues and Subscriptions</t>
  </si>
  <si>
    <t>Contributions &amp; PAC</t>
  </si>
  <si>
    <t>8740 - Patient Premiums</t>
  </si>
  <si>
    <t>add'l $1200 for HHD</t>
  </si>
  <si>
    <t>Year3 Cash-on-Cash (Annualized)</t>
  </si>
  <si>
    <t>Dimmit</t>
  </si>
  <si>
    <t>Kinney</t>
  </si>
  <si>
    <t>Presidio</t>
  </si>
  <si>
    <t>Real</t>
  </si>
  <si>
    <t>Zavala</t>
  </si>
  <si>
    <t>Covington City</t>
  </si>
  <si>
    <t>Norton City</t>
  </si>
  <si>
    <t>DeNovo Hemo Tx</t>
  </si>
  <si>
    <t>DEPT_400</t>
  </si>
  <si>
    <t>TX_3010</t>
  </si>
  <si>
    <t>SUB_300</t>
  </si>
  <si>
    <t>FC_00</t>
  </si>
  <si>
    <t>Pontotoc</t>
  </si>
  <si>
    <t>Prentiss</t>
  </si>
  <si>
    <t>Sunflower</t>
  </si>
  <si>
    <t>All Parents</t>
  </si>
  <si>
    <t>PR</t>
  </si>
  <si>
    <t>VIRGIN ISLANDS</t>
  </si>
  <si>
    <t>VI</t>
  </si>
  <si>
    <t>JCI</t>
  </si>
  <si>
    <t>JCI/UGL</t>
  </si>
  <si>
    <t>UGL</t>
  </si>
  <si>
    <t>Goochland</t>
  </si>
  <si>
    <t>Hanover</t>
  </si>
  <si>
    <t>Henrico</t>
  </si>
  <si>
    <t>Isle of Wight</t>
  </si>
  <si>
    <t>James City</t>
  </si>
  <si>
    <t>King George</t>
  </si>
  <si>
    <t>Loudoun</t>
  </si>
  <si>
    <t>Anne Arundel</t>
  </si>
  <si>
    <t>CF from OPS</t>
  </si>
  <si>
    <t>+ CapEx</t>
  </si>
  <si>
    <t>- Taxes</t>
  </si>
  <si>
    <t>Pre-Tax Earnings</t>
  </si>
  <si>
    <t>Yr. 3 After-Tax Cashflow to Capital</t>
  </si>
  <si>
    <t>Incr Working Capital (Yrs. 1-3)</t>
  </si>
  <si>
    <t>Tate</t>
  </si>
  <si>
    <t>Include?</t>
  </si>
  <si>
    <t>Tippah</t>
  </si>
  <si>
    <t>Tishomingo</t>
  </si>
  <si>
    <t>Tunica</t>
  </si>
  <si>
    <t>Walthall</t>
  </si>
  <si>
    <t>Audrain</t>
  </si>
  <si>
    <t>Bates</t>
  </si>
  <si>
    <t>Bollinger</t>
  </si>
  <si>
    <t>Callaway</t>
  </si>
  <si>
    <t>Cape Girardeau</t>
  </si>
  <si>
    <t>1.3 OmniBal</t>
  </si>
  <si>
    <t>2.4 HHD (expenses)</t>
  </si>
  <si>
    <t>5. Financials</t>
  </si>
  <si>
    <t>Stations</t>
  </si>
  <si>
    <t>Parent Capacity Utilization:</t>
  </si>
  <si>
    <t>Rentable Sq Ft:</t>
  </si>
  <si>
    <t>Annual Rent / Sq Ft:</t>
  </si>
  <si>
    <t>Total Rent / Sq Ft:</t>
  </si>
  <si>
    <t>new (replaces G&amp;A)</t>
  </si>
  <si>
    <t>Nurses, PCT, Set-up techs, reuse techs, training</t>
  </si>
  <si>
    <t>Annual Fixed Salaries &amp; Wage</t>
  </si>
  <si>
    <t>08.15</t>
  </si>
  <si>
    <t>Ambubag</t>
  </si>
  <si>
    <t>08.16</t>
  </si>
  <si>
    <t>Suction Machine</t>
  </si>
  <si>
    <t>08.17</t>
  </si>
  <si>
    <t>Oxygen Equipment</t>
  </si>
  <si>
    <t>08.18</t>
  </si>
  <si>
    <t>Infusion Pump</t>
  </si>
  <si>
    <t>08.19</t>
  </si>
  <si>
    <t>IV Pole</t>
  </si>
  <si>
    <t>08.20</t>
  </si>
  <si>
    <t>ACT Tester</t>
  </si>
  <si>
    <t>08.21</t>
  </si>
  <si>
    <t>Glucometer</t>
  </si>
  <si>
    <t>08.22</t>
  </si>
  <si>
    <t>Thermometer</t>
  </si>
  <si>
    <t>08.23</t>
  </si>
  <si>
    <t>Stethescope</t>
  </si>
  <si>
    <t>08.24</t>
  </si>
  <si>
    <t>Laryngoscope</t>
  </si>
  <si>
    <t>San Benito</t>
  </si>
  <si>
    <t>Sierra</t>
  </si>
  <si>
    <t>Siskiyou</t>
  </si>
  <si>
    <t>Tehama</t>
  </si>
  <si>
    <t>Trinity</t>
  </si>
  <si>
    <t>Tuolumne</t>
  </si>
  <si>
    <t>Archuleta</t>
  </si>
  <si>
    <t>Divisional Vice President:</t>
  </si>
  <si>
    <t>Amortized</t>
  </si>
  <si>
    <t>Variable Staffing</t>
  </si>
  <si>
    <t>Benefits &amp; Taxes @</t>
  </si>
  <si>
    <t>Aleutians West</t>
  </si>
  <si>
    <t>Bethel</t>
  </si>
  <si>
    <t>Bristol Bay</t>
  </si>
  <si>
    <t>Dillingham</t>
  </si>
  <si>
    <t>Fairbanks North Star</t>
  </si>
  <si>
    <t>Haines</t>
  </si>
  <si>
    <t>Juneau</t>
  </si>
  <si>
    <t>Kenai Peninsula</t>
  </si>
  <si>
    <t>Ketchikan Gateway</t>
  </si>
  <si>
    <t>Kodiak Island</t>
  </si>
  <si>
    <t>Lake and Peninsula</t>
  </si>
  <si>
    <t>Matanuska-Susitna</t>
  </si>
  <si>
    <t>Nome</t>
  </si>
  <si>
    <t>North Slope</t>
  </si>
  <si>
    <t>Northwest Arctic</t>
  </si>
  <si>
    <t>Prince of Wales-Outer Ket</t>
  </si>
  <si>
    <t>Sitka</t>
  </si>
  <si>
    <t>Southeast Fairbanks</t>
  </si>
  <si>
    <t>Valdez-Cordova</t>
  </si>
  <si>
    <t>Wade Hampton</t>
  </si>
  <si>
    <t>Wrangell-Petersburg</t>
  </si>
  <si>
    <t>Yukon-Koyukuk</t>
  </si>
  <si>
    <t>Apache</t>
  </si>
  <si>
    <t>Gila</t>
  </si>
  <si>
    <t>Graham</t>
  </si>
  <si>
    <t>Greenlee</t>
  </si>
  <si>
    <t>La Paz</t>
  </si>
  <si>
    <t>Navajo</t>
  </si>
  <si>
    <t>Yavapai</t>
  </si>
  <si>
    <t>Arkansas</t>
  </si>
  <si>
    <t>Ashley</t>
  </si>
  <si>
    <t>Baxter</t>
  </si>
  <si>
    <t>Bradley</t>
  </si>
  <si>
    <t>Cross</t>
  </si>
  <si>
    <t>Drew</t>
  </si>
  <si>
    <t>Hempstead</t>
  </si>
  <si>
    <t>Hot Spring</t>
  </si>
  <si>
    <t>Independence</t>
  </si>
  <si>
    <t>Izard</t>
  </si>
  <si>
    <t>Little River</t>
  </si>
  <si>
    <t>Mississippi</t>
  </si>
  <si>
    <t>Poinsett</t>
  </si>
  <si>
    <t>Pope</t>
  </si>
  <si>
    <t>Prairie</t>
  </si>
  <si>
    <t>Stone</t>
  </si>
  <si>
    <t>White</t>
  </si>
  <si>
    <t>Yell</t>
  </si>
  <si>
    <t>Alpine</t>
  </si>
  <si>
    <t>Amador</t>
  </si>
  <si>
    <t>Calaveras</t>
  </si>
  <si>
    <t>Colusa</t>
  </si>
  <si>
    <t>Del Norte</t>
  </si>
  <si>
    <t>Inyo</t>
  </si>
  <si>
    <t>Lassen</t>
  </si>
  <si>
    <t>Mariposa</t>
  </si>
  <si>
    <t>Mendocino</t>
  </si>
  <si>
    <t>Modoc</t>
  </si>
  <si>
    <t>Mono</t>
  </si>
  <si>
    <t>Plumas</t>
  </si>
  <si>
    <t>Charles City</t>
  </si>
  <si>
    <t>Intangibles and Amortization</t>
  </si>
  <si>
    <t>amortization years (tax)</t>
  </si>
  <si>
    <t>(reviewed by Jeannie Oh)</t>
  </si>
  <si>
    <t>Intangible Asset</t>
  </si>
  <si>
    <t>Tax Amorrization</t>
  </si>
  <si>
    <t>Tax amortization</t>
  </si>
  <si>
    <t>Sherburne</t>
  </si>
  <si>
    <t>Wright</t>
  </si>
  <si>
    <t>MS</t>
  </si>
  <si>
    <t>DeSoto</t>
  </si>
  <si>
    <t>Cass</t>
  </si>
  <si>
    <t>Lincoln</t>
  </si>
  <si>
    <t>Platte</t>
  </si>
  <si>
    <t>Ray</t>
  </si>
  <si>
    <t>Lancaster</t>
  </si>
  <si>
    <t>Sarpy</t>
  </si>
  <si>
    <t>NV</t>
  </si>
  <si>
    <t>Clark</t>
  </si>
  <si>
    <t>Nye</t>
  </si>
  <si>
    <t>Washoe</t>
  </si>
  <si>
    <t>Gross Fixed Assets, tax basis, net of Bonus Depreciation</t>
  </si>
  <si>
    <t>Bonus Depreciation</t>
  </si>
  <si>
    <t>1333</t>
  </si>
  <si>
    <t>1340</t>
  </si>
  <si>
    <t>1351</t>
  </si>
  <si>
    <t>1363</t>
  </si>
  <si>
    <t>1375</t>
  </si>
  <si>
    <t>1575</t>
  </si>
  <si>
    <t>1810</t>
  </si>
  <si>
    <t>1811</t>
  </si>
  <si>
    <t>1812</t>
  </si>
  <si>
    <t>1813</t>
  </si>
  <si>
    <t>1815</t>
  </si>
  <si>
    <t>1820</t>
  </si>
  <si>
    <t>1821</t>
  </si>
  <si>
    <t>Licking</t>
  </si>
  <si>
    <t>Lorain</t>
  </si>
  <si>
    <t>Medina</t>
  </si>
  <si>
    <t>Pickaway</t>
  </si>
  <si>
    <t>Portage</t>
  </si>
  <si>
    <t>Summit</t>
  </si>
  <si>
    <t>Creek</t>
  </si>
  <si>
    <t>Osage</t>
  </si>
  <si>
    <t>Rogers</t>
  </si>
  <si>
    <t>Tulsa</t>
  </si>
  <si>
    <t>Wagoner</t>
  </si>
  <si>
    <t>Clackamas</t>
  </si>
  <si>
    <t>Columbia</t>
  </si>
  <si>
    <t>Yamhill</t>
  </si>
  <si>
    <t>Allegheny</t>
  </si>
  <si>
    <t>Beaver</t>
  </si>
  <si>
    <t>DVA's share of aftertax CF</t>
  </si>
  <si>
    <t>Mgt Fee to DVA</t>
  </si>
  <si>
    <t>DVA's share of Capital</t>
  </si>
  <si>
    <t>DVA only coc</t>
  </si>
  <si>
    <t>only if it's a JV</t>
  </si>
  <si>
    <t>Silver Bow</t>
  </si>
  <si>
    <t>Stillwater</t>
  </si>
  <si>
    <t>Sweet Grass</t>
  </si>
  <si>
    <t>Toole</t>
  </si>
  <si>
    <t>Treasure</t>
  </si>
  <si>
    <t>Wheatland</t>
  </si>
  <si>
    <t>Wibaux</t>
  </si>
  <si>
    <t>Antelope</t>
  </si>
  <si>
    <t>Arthur</t>
  </si>
  <si>
    <t>Banner</t>
  </si>
  <si>
    <t>Box Butte</t>
  </si>
  <si>
    <t>Buffalo</t>
  </si>
  <si>
    <t>Brantley</t>
  </si>
  <si>
    <t>Brooks</t>
  </si>
  <si>
    <t>Bulloch</t>
  </si>
  <si>
    <t>Capital Spending (Yrs. 1-3)</t>
  </si>
  <si>
    <t>Interest</t>
  </si>
  <si>
    <t>Lease Payment</t>
  </si>
  <si>
    <t>Project Manager:</t>
  </si>
  <si>
    <t>02.07</t>
  </si>
  <si>
    <t>Parent Facilities after opening of DeNovo</t>
  </si>
  <si>
    <t>&lt;-- assumes Mgmt Fee as TBD % of Revenue.  As Revenue +/-, Mgmt Fees +/-.  Exception: Yr3; assumes escalator</t>
  </si>
  <si>
    <t>Saline</t>
  </si>
  <si>
    <t>CA</t>
  </si>
  <si>
    <t>Monterey</t>
  </si>
  <si>
    <t>CO</t>
  </si>
  <si>
    <t>Boulder</t>
  </si>
  <si>
    <t>El Paso</t>
  </si>
  <si>
    <t>Plaquemines</t>
  </si>
  <si>
    <t>St. Bernard</t>
  </si>
  <si>
    <t>St. James</t>
  </si>
  <si>
    <t>Tangipahoa</t>
  </si>
  <si>
    <t>Tensas</t>
  </si>
  <si>
    <t>Aroostook</t>
  </si>
  <si>
    <t>Q1</t>
  </si>
  <si>
    <t>Q2</t>
  </si>
  <si>
    <t>Q3</t>
  </si>
  <si>
    <t>Q4</t>
  </si>
  <si>
    <t>Parent / Mkt</t>
  </si>
  <si>
    <t>Cannibalized cash flows</t>
  </si>
  <si>
    <t>Offensive -- Comm. Payor Capacity Expansion:</t>
  </si>
  <si>
    <t>Defensive -- Public Policy (Political)</t>
  </si>
  <si>
    <t>Salaries, Wages &amp; Benefits</t>
  </si>
  <si>
    <t>Y1</t>
  </si>
  <si>
    <t>Y2</t>
  </si>
  <si>
    <t>Y3</t>
  </si>
  <si>
    <t>Y4</t>
  </si>
  <si>
    <t>Y5</t>
  </si>
  <si>
    <t>FTEs</t>
  </si>
  <si>
    <t>Total Salaries</t>
  </si>
  <si>
    <t>Salary</t>
  </si>
  <si>
    <t>Fixed Staffing</t>
  </si>
  <si>
    <t>Benefits and Taxes @</t>
  </si>
  <si>
    <t>Target Zip Code:</t>
  </si>
  <si>
    <t>Last 12 Months</t>
  </si>
  <si>
    <t>Last 3 Months</t>
  </si>
  <si>
    <t>Jan</t>
  </si>
  <si>
    <t>Inputs (Do not delete and do not change):</t>
  </si>
  <si>
    <t>Incremental PD Rev/Tx:</t>
  </si>
  <si>
    <t>Incremental HHD Rev/Tx:</t>
  </si>
  <si>
    <t>Feb</t>
  </si>
  <si>
    <t>Mar</t>
  </si>
  <si>
    <t>Apr</t>
  </si>
  <si>
    <t>May</t>
  </si>
  <si>
    <t>Jun</t>
  </si>
  <si>
    <t>Jul</t>
  </si>
  <si>
    <t>Aug</t>
  </si>
  <si>
    <t>Sep</t>
  </si>
  <si>
    <t>Oct</t>
  </si>
  <si>
    <t>Nov</t>
  </si>
  <si>
    <t>Dec</t>
  </si>
  <si>
    <t>Machine Acquisition Cost</t>
  </si>
  <si>
    <t>RO System</t>
  </si>
  <si>
    <t>Census (Government)</t>
  </si>
  <si>
    <t>Patient Home Modifications</t>
  </si>
  <si>
    <t>Lease Rate</t>
  </si>
  <si>
    <t>Model Sensitivity</t>
  </si>
  <si>
    <t>Drug Cost (per month)</t>
  </si>
  <si>
    <t>Mathews</t>
  </si>
  <si>
    <t>New Kent</t>
  </si>
  <si>
    <t>Powhatan</t>
  </si>
  <si>
    <t>Prince George</t>
  </si>
  <si>
    <t>Prince William</t>
  </si>
  <si>
    <t>Roanoke</t>
  </si>
  <si>
    <t>Spotsylvania</t>
  </si>
  <si>
    <t>Stafford</t>
  </si>
  <si>
    <t>Alexandria City</t>
  </si>
  <si>
    <t>Charlottesville City</t>
  </si>
  <si>
    <t>Chesapeake City</t>
  </si>
  <si>
    <t>Colonial Heights City</t>
  </si>
  <si>
    <t>Hampton City</t>
  </si>
  <si>
    <t>Manassas City</t>
  </si>
  <si>
    <t>Newport News City</t>
  </si>
  <si>
    <t>Norfolk City</t>
  </si>
  <si>
    <t>Poquoson City</t>
  </si>
  <si>
    <t>Portsmouth City</t>
  </si>
  <si>
    <t>Roanoke City</t>
  </si>
  <si>
    <t>Salem City</t>
  </si>
  <si>
    <t>Suffolk City</t>
  </si>
  <si>
    <t>Virginia Beach City</t>
  </si>
  <si>
    <t>Island</t>
  </si>
  <si>
    <t>King</t>
  </si>
  <si>
    <t>Snohomish</t>
  </si>
  <si>
    <t>Berkeley</t>
  </si>
  <si>
    <t>If Defensive, # years remaining on MDA:</t>
  </si>
  <si>
    <t>Defensive -- Protection (Existing Patients/MD):</t>
  </si>
  <si>
    <t>PD:</t>
  </si>
  <si>
    <t>HHD:</t>
  </si>
  <si>
    <t>In-center:</t>
  </si>
  <si>
    <t>Doctor / Group Name:</t>
  </si>
  <si>
    <t>Existing / New</t>
  </si>
  <si>
    <t>New</t>
  </si>
  <si>
    <t>Existing</t>
  </si>
  <si>
    <t>Is MD also the landlord?</t>
  </si>
  <si>
    <t>DVA Own %:</t>
  </si>
  <si>
    <t>Current Shifts at Parent:</t>
  </si>
  <si>
    <t>estimate</t>
  </si>
  <si>
    <t>Franklin City</t>
  </si>
  <si>
    <t>Harrisonburg City</t>
  </si>
  <si>
    <t>Lexington City</t>
  </si>
  <si>
    <t>Radford City</t>
  </si>
  <si>
    <t>Staunton City</t>
  </si>
  <si>
    <t>Waynesboro City</t>
  </si>
  <si>
    <t>Winchester City</t>
  </si>
  <si>
    <t>Asotin</t>
  </si>
  <si>
    <t>Chelan</t>
  </si>
  <si>
    <t>P&amp;L Chronic Tx</t>
  </si>
  <si>
    <t>P&amp;L Home Tx</t>
  </si>
  <si>
    <t>P&amp;L Non Acute Tx</t>
  </si>
  <si>
    <t>P&amp;L Acute Tx</t>
  </si>
  <si>
    <t>New TX Account</t>
  </si>
  <si>
    <t>P&amp;L Chronic EPO Units</t>
  </si>
  <si>
    <t>P&amp;L Home EPO Units</t>
  </si>
  <si>
    <t>P&amp;L Other EPO Units</t>
  </si>
  <si>
    <t>Salary Growth Rate:</t>
  </si>
  <si>
    <t>Total Variable Staffing</t>
  </si>
  <si>
    <t>Key Assumptions:</t>
  </si>
  <si>
    <t>P&amp;L Chronic Salary and Wage</t>
  </si>
  <si>
    <t>P&amp;L Home Salary and Wage</t>
  </si>
  <si>
    <t>P&amp;L Acute Salary and Wage</t>
  </si>
  <si>
    <t>Admin Sal &amp; Wage</t>
  </si>
  <si>
    <t>Lab Sal &amp; Wage</t>
  </si>
  <si>
    <t>Pharmacy Sal &amp; Wage</t>
  </si>
  <si>
    <t>08.25</t>
  </si>
  <si>
    <t>Opthalmoscope</t>
  </si>
  <si>
    <t>08.26</t>
  </si>
  <si>
    <t>Centrifuge</t>
  </si>
  <si>
    <t>08.27</t>
  </si>
  <si>
    <t>Incubator</t>
  </si>
  <si>
    <t>08.28</t>
  </si>
  <si>
    <t>Ultrsonic Mini Doppler</t>
  </si>
  <si>
    <t>08.29</t>
  </si>
  <si>
    <t>Mobile BP Module(s)</t>
  </si>
  <si>
    <t>Luzerne</t>
  </si>
  <si>
    <t>Corson</t>
  </si>
  <si>
    <t>Blanco</t>
  </si>
  <si>
    <t>Bosque</t>
  </si>
  <si>
    <t>Burleson</t>
  </si>
  <si>
    <t>Coleman</t>
  </si>
  <si>
    <t>Runnels</t>
  </si>
  <si>
    <t>Rusk</t>
  </si>
  <si>
    <t>San Augustine</t>
  </si>
  <si>
    <t>San Jacinto</t>
  </si>
  <si>
    <t>Dundy</t>
  </si>
  <si>
    <t>Frontier</t>
  </si>
  <si>
    <t>Furnas</t>
  </si>
  <si>
    <t>Gage</t>
  </si>
  <si>
    <t>Garden</t>
  </si>
  <si>
    <t>Gosper</t>
  </si>
  <si>
    <t>Harlan</t>
  </si>
  <si>
    <t>Capacity</t>
  </si>
  <si>
    <t>Sum</t>
  </si>
  <si>
    <t>% of Capacity (avg)</t>
  </si>
  <si>
    <t>Craven</t>
  </si>
  <si>
    <t>Dare</t>
  </si>
  <si>
    <t>Duplin</t>
  </si>
  <si>
    <t>Gates</t>
  </si>
  <si>
    <t>Granville</t>
  </si>
  <si>
    <t>Halifax</t>
  </si>
  <si>
    <t>Harnett</t>
  </si>
  <si>
    <t>Haywood</t>
  </si>
  <si>
    <t>Hertford</t>
  </si>
  <si>
    <t>Hoke</t>
  </si>
  <si>
    <t>Hyde</t>
  </si>
  <si>
    <t>Iredell</t>
  </si>
  <si>
    <t>Lenoir</t>
  </si>
  <si>
    <t>Mc Dowell</t>
  </si>
  <si>
    <t>Moore</t>
  </si>
  <si>
    <t>Pamlico</t>
  </si>
  <si>
    <t>Pasquotank</t>
  </si>
  <si>
    <t>Pender</t>
  </si>
  <si>
    <t>Perquimans</t>
  </si>
  <si>
    <t>Person</t>
  </si>
  <si>
    <t>Robeson</t>
  </si>
  <si>
    <t>Sampson</t>
  </si>
  <si>
    <t>Stanly</t>
  </si>
  <si>
    <t>Surry</t>
  </si>
  <si>
    <t>Swain</t>
  </si>
  <si>
    <t>Transylvania</t>
  </si>
  <si>
    <t>Tyrrell</t>
  </si>
  <si>
    <t>Watauga</t>
  </si>
  <si>
    <t>Yancey</t>
  </si>
  <si>
    <t>Barnes</t>
  </si>
  <si>
    <t>Benson</t>
  </si>
  <si>
    <t>Billings</t>
  </si>
  <si>
    <t>Taxes:</t>
  </si>
  <si>
    <t>Book:</t>
  </si>
  <si>
    <t>Northampton</t>
  </si>
  <si>
    <t>Perry</t>
  </si>
  <si>
    <t>R/O TDS Water Meter</t>
  </si>
  <si>
    <t>06.04</t>
  </si>
  <si>
    <t>Air Test Kit</t>
  </si>
  <si>
    <t>Catoosa</t>
  </si>
  <si>
    <t>Chattahoochee</t>
  </si>
  <si>
    <t>Dade</t>
  </si>
  <si>
    <t>Dougherty</t>
  </si>
  <si>
    <t>Jones</t>
  </si>
  <si>
    <t>McDuffie</t>
  </si>
  <si>
    <t>Muscogee</t>
  </si>
  <si>
    <t>Oconee</t>
  </si>
  <si>
    <t>Peach</t>
  </si>
  <si>
    <t>Richmond</t>
  </si>
  <si>
    <t>Twiggs</t>
  </si>
  <si>
    <t>Walker</t>
  </si>
  <si>
    <t>Bannock</t>
  </si>
  <si>
    <t>Forrest</t>
  </si>
  <si>
    <t>Harrison</t>
  </si>
  <si>
    <t>Hinds</t>
  </si>
  <si>
    <t>Lamar</t>
  </si>
  <si>
    <t>Rankin</t>
  </si>
  <si>
    <t>Bernalillo</t>
  </si>
  <si>
    <t>Sandoval</t>
  </si>
  <si>
    <t>Alexander</t>
  </si>
  <si>
    <t>Brunswick</t>
  </si>
  <si>
    <t>Grays Harbor</t>
  </si>
  <si>
    <t>Kittitas</t>
  </si>
  <si>
    <t>Klickitat</t>
  </si>
  <si>
    <t>Okanogan</t>
  </si>
  <si>
    <r>
      <t xml:space="preserve">Machine &amp; facility repair &amp; maintenance, reuse supplies, utilities, telephone, office supplies &amp; minor equipment, T&amp;E, other purchased services (e.g. advertising, employee procurement costs, etc.), freight &amp; postage, equipment rental, dues &amp; subscriptions, contributions+ </t>
    </r>
    <r>
      <rPr>
        <b/>
        <sz val="12"/>
        <color indexed="12"/>
        <rFont val="Times New Roman"/>
        <family val="1"/>
      </rPr>
      <t xml:space="preserve">Village Spirit (one time $1K) </t>
    </r>
  </si>
  <si>
    <t>DeNovo Census</t>
  </si>
  <si>
    <t>DeNovo Staffing</t>
  </si>
  <si>
    <t>ICHD</t>
  </si>
  <si>
    <t>MWF Shift(s)</t>
  </si>
  <si>
    <t>TTS Shift(s)</t>
  </si>
  <si>
    <t>PD Room(s)</t>
  </si>
  <si>
    <t>HHD Room(s)</t>
  </si>
  <si>
    <t>DeNovo Project Drivers</t>
  </si>
  <si>
    <t>DeNovo Parameters</t>
  </si>
  <si>
    <t>Patients from Parent Center(s) to opt for DeNovo</t>
  </si>
  <si>
    <t>Rationale &amp; Strategic Importance:</t>
  </si>
  <si>
    <t>Risks:</t>
  </si>
  <si>
    <t>Impact/Likely Outcome if DVA Does Not Build Denovo:</t>
  </si>
  <si>
    <t>Area SCG %</t>
  </si>
  <si>
    <t>Primary Target Zip Code</t>
  </si>
  <si>
    <t>Target Medical Director</t>
  </si>
  <si>
    <t>Doctor Relationship</t>
  </si>
  <si>
    <t>DEVELOPMENT COSTING WORKSHEET</t>
  </si>
  <si>
    <t>(hook-up)</t>
  </si>
  <si>
    <t>Utilities</t>
  </si>
  <si>
    <t>Treatment</t>
  </si>
  <si>
    <t>Water</t>
  </si>
  <si>
    <t>Services /</t>
  </si>
  <si>
    <t>Fees</t>
  </si>
  <si>
    <t>Furniture /</t>
  </si>
  <si>
    <t>Garfield</t>
  </si>
  <si>
    <t>Logan</t>
  </si>
  <si>
    <t>McClain</t>
  </si>
  <si>
    <t>Oklahoma</t>
  </si>
  <si>
    <t>Pottawatomie</t>
  </si>
  <si>
    <t>Sequoyah</t>
  </si>
  <si>
    <t>OR</t>
  </si>
  <si>
    <t>Jackson</t>
  </si>
  <si>
    <t>Lane</t>
  </si>
  <si>
    <t>PA</t>
  </si>
  <si>
    <t>Blair</t>
  </si>
  <si>
    <t>Cambria</t>
  </si>
  <si>
    <t>&lt;-- Conservative Assumption: Mgmt Fee @ Parent w/ DN = w/o DN</t>
  </si>
  <si>
    <t>6305 - Aranesp Expense</t>
  </si>
  <si>
    <t>6310 - Calcijex Expense</t>
  </si>
  <si>
    <t>6320 - Infed Expense</t>
  </si>
  <si>
    <t>6330 - Ferrelicit Expense</t>
  </si>
  <si>
    <t>6335 - Venofer Expense</t>
  </si>
  <si>
    <t>6652 - Venofer Rebate</t>
  </si>
  <si>
    <t>6325 - Zemplar Expense</t>
  </si>
  <si>
    <t>6653 - Zemplar Rebates</t>
  </si>
  <si>
    <t>Iroquois</t>
  </si>
  <si>
    <t>Jo Daviess</t>
  </si>
  <si>
    <t>La Salle</t>
  </si>
  <si>
    <t>McDonough</t>
  </si>
  <si>
    <t>Macoupin</t>
  </si>
  <si>
    <t>Mason</t>
  </si>
  <si>
    <t>Massac</t>
  </si>
  <si>
    <t>Moultrie</t>
  </si>
  <si>
    <t>Piatt</t>
  </si>
  <si>
    <t>Schuyler</t>
  </si>
  <si>
    <t>Stephenson</t>
  </si>
  <si>
    <t>Vermilion</t>
  </si>
  <si>
    <t>Wabash</t>
  </si>
  <si>
    <t>Renaclear</t>
  </si>
  <si>
    <t>07.04</t>
  </si>
  <si>
    <t>Dialyzer Racks</t>
  </si>
  <si>
    <t>07.05</t>
  </si>
  <si>
    <t>Reuse Refrigerator</t>
  </si>
  <si>
    <t>07.06</t>
  </si>
  <si>
    <t>Clinical</t>
  </si>
  <si>
    <t>Dialysis Machine</t>
  </si>
  <si>
    <t>08.01</t>
  </si>
  <si>
    <t>Change in Minimum cash</t>
  </si>
  <si>
    <t>Days Payable</t>
  </si>
  <si>
    <t>Days Payroll</t>
  </si>
  <si>
    <t>Minimum Cash Balance</t>
  </si>
  <si>
    <t>P&amp;L NonAcute EPO Units</t>
  </si>
  <si>
    <t>P&amp;L Chronic Infed Units</t>
  </si>
  <si>
    <t>P&amp;L Chronic Ferrlecit Units</t>
  </si>
  <si>
    <t>P&amp;L Chronic Venofer Units</t>
  </si>
  <si>
    <t>State (2-digit abbreviation):</t>
  </si>
  <si>
    <t>County:</t>
  </si>
  <si>
    <t>St. Francis</t>
  </si>
  <si>
    <t>Searcy</t>
  </si>
  <si>
    <t>Sharp</t>
  </si>
  <si>
    <t>Woodruff</t>
  </si>
  <si>
    <t>El Dorado</t>
  </si>
  <si>
    <t>Glenn</t>
  </si>
  <si>
    <t>Imperial</t>
  </si>
  <si>
    <t>Kings</t>
  </si>
  <si>
    <t>San Luis Obispo</t>
  </si>
  <si>
    <t>Santa Barbara</t>
  </si>
  <si>
    <t>Shasta</t>
  </si>
  <si>
    <t>Sutter</t>
  </si>
  <si>
    <t>Tulare</t>
  </si>
  <si>
    <t>Alamosa</t>
  </si>
  <si>
    <t>Arapahoe</t>
  </si>
  <si>
    <t>Conejos</t>
  </si>
  <si>
    <t>Pueblo</t>
  </si>
  <si>
    <t>Rio Grande</t>
  </si>
  <si>
    <t>Brevard</t>
  </si>
  <si>
    <t>Hernando</t>
  </si>
  <si>
    <t>Manatee</t>
  </si>
  <si>
    <t>Sarasota</t>
  </si>
  <si>
    <t>Suwannee</t>
  </si>
  <si>
    <t>Volusia</t>
  </si>
  <si>
    <t>Wakulla</t>
  </si>
  <si>
    <t>Barrow</t>
  </si>
  <si>
    <t>Butts</t>
  </si>
  <si>
    <t>Jenkins</t>
  </si>
  <si>
    <t>Van Buren</t>
  </si>
  <si>
    <t>MN</t>
  </si>
  <si>
    <t>Benton</t>
  </si>
  <si>
    <t>Polk</t>
  </si>
  <si>
    <t>St. Louis</t>
  </si>
  <si>
    <t>Stearns</t>
  </si>
  <si>
    <t>MO</t>
  </si>
  <si>
    <t>Andrew</t>
  </si>
  <si>
    <t>Jasper</t>
  </si>
  <si>
    <t>Newton</t>
  </si>
  <si>
    <t>MT</t>
  </si>
  <si>
    <t>Cascade</t>
  </si>
  <si>
    <t>Missoula</t>
  </si>
  <si>
    <t>Yellowstone</t>
  </si>
  <si>
    <t>NE</t>
  </si>
  <si>
    <t>Dakota</t>
  </si>
  <si>
    <t>NJ</t>
  </si>
  <si>
    <t>Hudson</t>
  </si>
  <si>
    <t>NY</t>
  </si>
  <si>
    <t>Spalding</t>
  </si>
  <si>
    <t>Taliaferro</t>
  </si>
  <si>
    <t>Hawaii</t>
  </si>
  <si>
    <t>Maui</t>
  </si>
  <si>
    <t>Ogle</t>
  </si>
  <si>
    <t>Dubuque</t>
  </si>
  <si>
    <t>Breathitt</t>
  </si>
  <si>
    <t>Estill</t>
  </si>
  <si>
    <t>Knott</t>
  </si>
  <si>
    <t>Leslie</t>
  </si>
  <si>
    <t>Letcher</t>
  </si>
  <si>
    <t>McCreary</t>
  </si>
  <si>
    <t>Magoffin</t>
  </si>
  <si>
    <t>Bienville</t>
  </si>
  <si>
    <t>East Carroll</t>
  </si>
  <si>
    <t>Evangeline</t>
  </si>
  <si>
    <t>EBITDA per Tx</t>
  </si>
  <si>
    <t>DaVita Valuation</t>
  </si>
  <si>
    <t>DaVita Ownership %:</t>
  </si>
  <si>
    <t>DaVita share of cash flows</t>
  </si>
  <si>
    <t>Incremental cash flows:</t>
  </si>
  <si>
    <t>Management fee margin</t>
  </si>
  <si>
    <t>Summary</t>
  </si>
  <si>
    <t>Months</t>
  </si>
  <si>
    <t>CompPeriod</t>
  </si>
  <si>
    <t>Parent Selection</t>
  </si>
  <si>
    <t>(month)</t>
  </si>
  <si>
    <t>(year)</t>
  </si>
  <si>
    <t>Task</t>
  </si>
  <si>
    <t>SWC:</t>
  </si>
  <si>
    <t>Ogemaw</t>
  </si>
  <si>
    <t>Ontonagon</t>
  </si>
  <si>
    <t>Oscoda</t>
  </si>
  <si>
    <t>Otsego</t>
  </si>
  <si>
    <t>If model remains above Yr3 COC &amp; DVA IRR thresholds (and has not decreased in returns significantly), then FCA is confirmed</t>
  </si>
  <si>
    <t>BLIP</t>
  </si>
  <si>
    <t>BOV</t>
  </si>
  <si>
    <t>CKD</t>
  </si>
  <si>
    <t>CUP</t>
  </si>
  <si>
    <t>FI</t>
  </si>
  <si>
    <t>MBBI</t>
  </si>
  <si>
    <t>MOB</t>
  </si>
  <si>
    <t>SCG</t>
  </si>
  <si>
    <t>R/O</t>
  </si>
  <si>
    <t>TI</t>
  </si>
  <si>
    <t>Common Area Management</t>
  </si>
  <si>
    <t>Compound Annual Growth Rate</t>
  </si>
  <si>
    <t>Chronic Kidney Disease</t>
  </si>
  <si>
    <t>Conditional Use Permit</t>
  </si>
  <si>
    <t>Medical Office Building</t>
  </si>
  <si>
    <t>Same Center Growth</t>
  </si>
  <si>
    <t>Patient Initial Census Adjustment</t>
  </si>
  <si>
    <t>Reverse Osmosis</t>
  </si>
  <si>
    <t>Right of First Refusal</t>
  </si>
  <si>
    <t>Financial Commitment Approval</t>
  </si>
  <si>
    <t>Preliminary Search Approval</t>
  </si>
  <si>
    <t>ESRD</t>
  </si>
  <si>
    <t>End Stage Renal Disease</t>
  </si>
  <si>
    <t>L&amp;C</t>
  </si>
  <si>
    <t>Licensure and Certification</t>
  </si>
  <si>
    <t>CON</t>
  </si>
  <si>
    <t>Certificate of Need</t>
  </si>
  <si>
    <t>Business License Info Packet</t>
  </si>
  <si>
    <t>Broker Opinion of Value</t>
  </si>
  <si>
    <t>Minimum Base Building Improvements</t>
  </si>
  <si>
    <t>Fiscal Intermediaries</t>
  </si>
  <si>
    <t>Total Expenses</t>
  </si>
  <si>
    <t>Frequency of TX</t>
  </si>
  <si>
    <t>Home Hemo</t>
  </si>
  <si>
    <t>InCenter and PD</t>
  </si>
  <si>
    <t>Growth Rate</t>
  </si>
  <si>
    <t>Other Expenses - HHD</t>
  </si>
  <si>
    <t>Management Fee Margin Calculation</t>
  </si>
  <si>
    <t>Corporate G&amp;A - HHD</t>
  </si>
  <si>
    <t>Division G&amp;A - HHD</t>
  </si>
  <si>
    <t>G&amp;A</t>
  </si>
  <si>
    <t>G&amp;A per Treatment</t>
  </si>
  <si>
    <t>Medical Supplies - HHD</t>
  </si>
  <si>
    <t>Projected DeNovo Income Statement</t>
  </si>
  <si>
    <t>Total SWB</t>
  </si>
  <si>
    <t>EBIT</t>
  </si>
  <si>
    <t>EBITDA</t>
  </si>
  <si>
    <t>Treatments</t>
  </si>
  <si>
    <t>Cattaraugus</t>
  </si>
  <si>
    <t>Niagara</t>
  </si>
  <si>
    <t>Ontario</t>
  </si>
  <si>
    <t>Rensselaer</t>
  </si>
  <si>
    <t>Schenectady</t>
  </si>
  <si>
    <t>Montour</t>
  </si>
  <si>
    <t>Philadelphia</t>
  </si>
  <si>
    <t>Hood</t>
  </si>
  <si>
    <t>Lampasas</t>
  </si>
  <si>
    <t>Milam</t>
  </si>
  <si>
    <t>Bennington</t>
  </si>
  <si>
    <t>Bedford City</t>
  </si>
  <si>
    <t>Fredericksburg City</t>
  </si>
  <si>
    <t>Galax City</t>
  </si>
  <si>
    <t>Williamsburg City</t>
  </si>
  <si>
    <t>Cowlitz</t>
  </si>
  <si>
    <t>McDowell</t>
  </si>
  <si>
    <t>Uinta</t>
  </si>
  <si>
    <t>Alameda</t>
  </si>
  <si>
    <t>Contra Costa</t>
  </si>
  <si>
    <t>Los Angeles</t>
  </si>
  <si>
    <t>Riverside</t>
  </si>
  <si>
    <t>Sacramento</t>
  </si>
  <si>
    <t>San Bernardino</t>
  </si>
  <si>
    <t>San Diego</t>
  </si>
  <si>
    <t>San Francisco</t>
  </si>
  <si>
    <t>San Joaquin</t>
  </si>
  <si>
    <t>Solano</t>
  </si>
  <si>
    <t>Sonoma</t>
  </si>
  <si>
    <t>Ventura</t>
  </si>
  <si>
    <t>Total Amorrization</t>
  </si>
  <si>
    <t>amortization years (book)</t>
  </si>
  <si>
    <t>Building rent (less any rental income earned), CAM charges, real estate taxes</t>
  </si>
  <si>
    <t>Annual Medical Director Fee</t>
  </si>
  <si>
    <t>Annual Other Fixed Operating</t>
  </si>
  <si>
    <t>Cumulative</t>
  </si>
  <si>
    <t>State/Possession</t>
  </si>
  <si>
    <t>Abbreviation</t>
  </si>
  <si>
    <t>CON?</t>
  </si>
  <si>
    <t>Comments (Licensure &amp; Certification)</t>
  </si>
  <si>
    <t>ALABAMA</t>
  </si>
  <si>
    <t>in rural areas, up to 10 stations can obtain an exemption</t>
  </si>
  <si>
    <t>ALASKA</t>
  </si>
  <si>
    <t>Unknown</t>
  </si>
  <si>
    <t xml:space="preserve">ARIZONA </t>
  </si>
  <si>
    <t>ARKANSAS</t>
  </si>
  <si>
    <t>Market without denovo</t>
  </si>
  <si>
    <t>The denovo</t>
  </si>
  <si>
    <t>The denovo -- cannibalization</t>
  </si>
  <si>
    <t>The denovo -- total</t>
  </si>
  <si>
    <t>The denovo -- incremental</t>
  </si>
  <si>
    <t>Market with denovo</t>
  </si>
  <si>
    <t>Capital employed for incremental</t>
  </si>
  <si>
    <t>Net cash flow</t>
  </si>
  <si>
    <t>5-year</t>
  </si>
  <si>
    <t>For chart:</t>
  </si>
  <si>
    <t>low</t>
  </si>
  <si>
    <t>high</t>
  </si>
  <si>
    <t>Market w/o denovo</t>
  </si>
  <si>
    <t>Market w denovo</t>
  </si>
  <si>
    <t>cannibalization</t>
  </si>
  <si>
    <t>incremental</t>
  </si>
  <si>
    <t>Larimer</t>
  </si>
  <si>
    <t>New Castle</t>
  </si>
  <si>
    <t>FL</t>
  </si>
  <si>
    <t>Charlotte</t>
  </si>
  <si>
    <t>Collier</t>
  </si>
  <si>
    <t>Martin</t>
  </si>
  <si>
    <t>Okaloosa</t>
  </si>
  <si>
    <t>St. Johns</t>
  </si>
  <si>
    <t>St. Lucie</t>
  </si>
  <si>
    <t>Seminole</t>
  </si>
  <si>
    <t>GA</t>
  </si>
  <si>
    <t>Bartow</t>
  </si>
  <si>
    <t>Bryan</t>
  </si>
  <si>
    <t>Chatham</t>
  </si>
  <si>
    <t>Notes: ___ SF/stn + __ PD rooms</t>
  </si>
  <si>
    <t>Atlantic</t>
  </si>
  <si>
    <t>Bergen</t>
  </si>
  <si>
    <t>Burlington</t>
  </si>
  <si>
    <t>Camden</t>
  </si>
  <si>
    <t>Cape May</t>
  </si>
  <si>
    <t>Essex</t>
  </si>
  <si>
    <t>Gloucester</t>
  </si>
  <si>
    <t>Hunterdon</t>
  </si>
  <si>
    <t>Middlesex</t>
  </si>
  <si>
    <t>Monmouth</t>
  </si>
  <si>
    <t>Morris</t>
  </si>
  <si>
    <t>Ocean</t>
  </si>
  <si>
    <t>Passaic</t>
  </si>
  <si>
    <t>Salem</t>
  </si>
  <si>
    <t>Sussex</t>
  </si>
  <si>
    <t>NM</t>
  </si>
  <si>
    <t>Santa Fe</t>
  </si>
  <si>
    <t>Bronx</t>
  </si>
  <si>
    <t>Nassau</t>
  </si>
  <si>
    <t>LE_XXXX</t>
  </si>
  <si>
    <r>
      <t xml:space="preserve">Step 1: Please input </t>
    </r>
    <r>
      <rPr>
        <b/>
        <sz val="10"/>
        <color indexed="12"/>
        <rFont val="Arial"/>
        <family val="2"/>
      </rPr>
      <t>BLUE</t>
    </r>
    <r>
      <rPr>
        <b/>
        <sz val="10"/>
        <rFont val="Arial"/>
        <family val="2"/>
      </rPr>
      <t>-fonted cells:</t>
    </r>
  </si>
  <si>
    <t>Step 2: Set "First fiscal month" to 11 and stress test upload values:</t>
  </si>
  <si>
    <t>Step 3: Set "First fiscal month" to the month after completion date.</t>
  </si>
  <si>
    <r>
      <t xml:space="preserve">(Valid Value Range: </t>
    </r>
    <r>
      <rPr>
        <sz val="8"/>
        <color indexed="10"/>
        <rFont val="Arial"/>
        <family val="2"/>
      </rPr>
      <t>2-13)</t>
    </r>
  </si>
  <si>
    <t>Center</t>
  </si>
  <si>
    <t>Legal</t>
  </si>
  <si>
    <t>DEPT</t>
  </si>
  <si>
    <t>Account</t>
  </si>
  <si>
    <t>SUB</t>
  </si>
  <si>
    <t>FC</t>
  </si>
  <si>
    <t>SPRT</t>
  </si>
  <si>
    <t>Version</t>
  </si>
  <si>
    <t>Year</t>
  </si>
  <si>
    <t>JAN</t>
  </si>
  <si>
    <t>FEB</t>
  </si>
  <si>
    <t>MAR</t>
  </si>
  <si>
    <t>APR</t>
  </si>
  <si>
    <t>MAY</t>
  </si>
  <si>
    <t>JUN</t>
  </si>
  <si>
    <t>JUL</t>
  </si>
  <si>
    <t>AUG</t>
  </si>
  <si>
    <t>SEP</t>
  </si>
  <si>
    <t>OCT</t>
  </si>
  <si>
    <t>NOV</t>
  </si>
  <si>
    <t>DEC</t>
  </si>
  <si>
    <t>Aiken</t>
  </si>
  <si>
    <t>Month 9</t>
  </si>
  <si>
    <t>Month 10</t>
  </si>
  <si>
    <t>Month 11</t>
  </si>
  <si>
    <t>Month 12</t>
  </si>
  <si>
    <t>2126</t>
  </si>
  <si>
    <t>2127</t>
  </si>
  <si>
    <t>2128</t>
  </si>
  <si>
    <t>2135</t>
  </si>
  <si>
    <t>2145</t>
  </si>
  <si>
    <t>2149</t>
  </si>
  <si>
    <t>Fees/Services Total</t>
  </si>
  <si>
    <t>TOTAL</t>
  </si>
  <si>
    <t>Growth</t>
  </si>
  <si>
    <t>Patients</t>
  </si>
  <si>
    <t>MWF Shift</t>
  </si>
  <si>
    <t>TTS Shifts</t>
  </si>
  <si>
    <t>Include incremental lab economics?</t>
  </si>
  <si>
    <t>Include management fee margin?</t>
  </si>
  <si>
    <t>Assumed taxes</t>
  </si>
  <si>
    <t>Staffing Competition</t>
  </si>
  <si>
    <t>FFE @ startup</t>
  </si>
  <si>
    <t>Routine CapEx Yr1</t>
  </si>
  <si>
    <t>Routine CapEx Yr2</t>
  </si>
  <si>
    <t>Routine CapEx Yr3</t>
  </si>
  <si>
    <t>Routine CapEx Yr4</t>
  </si>
  <si>
    <t>Routine CapEx Yr5</t>
  </si>
  <si>
    <t>Taxes &amp; Licenses</t>
  </si>
  <si>
    <t>Insurance Expense</t>
  </si>
  <si>
    <t>Field Total Other Operating Expense</t>
  </si>
  <si>
    <t>Total G&amp;A Allocation</t>
  </si>
  <si>
    <t>Depreciation Expense</t>
  </si>
  <si>
    <t>Amortization Expense</t>
  </si>
  <si>
    <t>Total CAPX</t>
  </si>
  <si>
    <t>Administrator</t>
  </si>
  <si>
    <t>Total Salaries &amp; Contract Wages</t>
  </si>
  <si>
    <t>Soc Work</t>
  </si>
  <si>
    <t>Dietician</t>
  </si>
  <si>
    <t>Admin asst</t>
  </si>
  <si>
    <t>Total of Other Drugs</t>
  </si>
  <si>
    <t>Lab pre-tax EBIT per tx (assumes equals pre-tax cash flow)</t>
  </si>
  <si>
    <t>Medical Supplies/Tx</t>
  </si>
  <si>
    <t>Other Controllable/Tx</t>
  </si>
  <si>
    <t>Other Controllable Expenses</t>
  </si>
  <si>
    <t>Medical Supplies</t>
  </si>
  <si>
    <t>Rent</t>
  </si>
  <si>
    <t>Medical Director Fees</t>
  </si>
  <si>
    <t>Other Fixed Operat. Exp.</t>
  </si>
  <si>
    <t>Other Var. Op. Exp./Tx</t>
  </si>
  <si>
    <t>CAM/Sq. Ft.</t>
  </si>
  <si>
    <t>Property Tax/Sq. Ft.</t>
  </si>
  <si>
    <t>Sq. Ft.</t>
  </si>
  <si>
    <t>Total Rent</t>
  </si>
  <si>
    <t>Corporate G&amp;A/Tx</t>
  </si>
  <si>
    <t>Divisional G&amp;A/Tx</t>
  </si>
  <si>
    <t>Incremental Corp. G&amp;A/Tx</t>
  </si>
  <si>
    <t>2150</t>
  </si>
  <si>
    <t>2151</t>
  </si>
  <si>
    <t>2160</t>
  </si>
  <si>
    <t>2299</t>
  </si>
  <si>
    <t>2300</t>
  </si>
  <si>
    <t>2301</t>
  </si>
  <si>
    <t>2200</t>
  </si>
  <si>
    <t>2201</t>
  </si>
  <si>
    <t>2207</t>
  </si>
  <si>
    <t>2208</t>
  </si>
  <si>
    <t>2240</t>
  </si>
  <si>
    <t>2242</t>
  </si>
  <si>
    <t>2244</t>
  </si>
  <si>
    <t>2129</t>
  </si>
  <si>
    <t>2131</t>
  </si>
  <si>
    <t>2132</t>
  </si>
  <si>
    <t>2133</t>
  </si>
  <si>
    <t>2136</t>
  </si>
  <si>
    <t>2202</t>
  </si>
  <si>
    <t>2205</t>
  </si>
  <si>
    <t>2206</t>
  </si>
  <si>
    <t>2220</t>
  </si>
  <si>
    <t>2221</t>
  </si>
  <si>
    <t>2222</t>
  </si>
  <si>
    <t>2227</t>
  </si>
  <si>
    <t>2243</t>
  </si>
  <si>
    <t>2245</t>
  </si>
  <si>
    <t>2246</t>
  </si>
  <si>
    <t>2247</t>
  </si>
  <si>
    <t>2248</t>
  </si>
  <si>
    <t>2250</t>
  </si>
  <si>
    <t>2251</t>
  </si>
  <si>
    <t>2252</t>
  </si>
  <si>
    <t>2254</t>
  </si>
  <si>
    <t>2260</t>
  </si>
  <si>
    <t>2265</t>
  </si>
  <si>
    <t>2270</t>
  </si>
  <si>
    <t>2272</t>
  </si>
  <si>
    <t>2273</t>
  </si>
  <si>
    <t>2400</t>
  </si>
  <si>
    <t>2410</t>
  </si>
  <si>
    <t>2411</t>
  </si>
  <si>
    <t>2420</t>
  </si>
  <si>
    <t>2423</t>
  </si>
  <si>
    <t>2425</t>
  </si>
  <si>
    <t>2427</t>
  </si>
  <si>
    <t>2431</t>
  </si>
  <si>
    <t>2432</t>
  </si>
  <si>
    <t>2433</t>
  </si>
  <si>
    <t>2434</t>
  </si>
  <si>
    <t>2440</t>
  </si>
  <si>
    <t>2450</t>
  </si>
  <si>
    <t>2459</t>
  </si>
  <si>
    <t>2460</t>
  </si>
  <si>
    <t>2510</t>
  </si>
  <si>
    <t>2530</t>
  </si>
  <si>
    <t xml:space="preserve">Monthly Depreciation </t>
  </si>
  <si>
    <t>Assumes 7 year straight line depreciation</t>
  </si>
  <si>
    <t>Other Fixed Operating Expenses (Hemo &amp; PD)</t>
  </si>
  <si>
    <t>HHD Tx</t>
  </si>
  <si>
    <t>HHD Rev.</t>
  </si>
  <si>
    <r>
      <t xml:space="preserve">Medical Supplies </t>
    </r>
    <r>
      <rPr>
        <sz val="10"/>
        <color indexed="10"/>
        <rFont val="Arial"/>
        <family val="2"/>
      </rPr>
      <t>(Hemo &amp; PD)</t>
    </r>
  </si>
  <si>
    <r>
      <t xml:space="preserve">Other Controllable </t>
    </r>
    <r>
      <rPr>
        <sz val="10"/>
        <color indexed="10"/>
        <rFont val="Arial"/>
        <family val="2"/>
      </rPr>
      <t>(Hemo &amp; PD)</t>
    </r>
  </si>
  <si>
    <r>
      <t>Other Fixed Operating Expenses</t>
    </r>
    <r>
      <rPr>
        <sz val="10"/>
        <color indexed="10"/>
        <rFont val="Arial"/>
        <family val="2"/>
      </rPr>
      <t xml:space="preserve"> (Hemo &amp; PD)</t>
    </r>
  </si>
  <si>
    <t>Strategy (Offensive / Defensive):</t>
  </si>
  <si>
    <t>DaVita Market Presence:</t>
  </si>
  <si>
    <t>Competitor Presence:</t>
  </si>
  <si>
    <t>Offensive -- New Market:</t>
  </si>
  <si>
    <t>Offensive -- CON/ Speed to Market:</t>
  </si>
  <si>
    <t>Offensive -- Growth / Capacity Constraint:</t>
  </si>
  <si>
    <t>Offensive -- Growth / Area Presence:</t>
  </si>
  <si>
    <t>Yr 3 COC</t>
  </si>
  <si>
    <t># of ESRD patients in DeNovo's zip code:</t>
  </si>
  <si>
    <t>Area SCG %:</t>
  </si>
  <si>
    <t>Clallam</t>
  </si>
  <si>
    <t xml:space="preserve">CALIFORNIA </t>
  </si>
  <si>
    <t xml:space="preserve">COLORADO </t>
  </si>
  <si>
    <t>CONNECTICUT</t>
  </si>
  <si>
    <t>DELAWARE</t>
  </si>
  <si>
    <t>DISTRICT OF COLUMBIA</t>
  </si>
  <si>
    <t>FLORIDA</t>
  </si>
  <si>
    <t>GEORGIA</t>
  </si>
  <si>
    <t>HAWAII</t>
  </si>
  <si>
    <t>IDAHO</t>
  </si>
  <si>
    <t>Development Fee = % of Hard &amp; Soft Costs for Cap. Detail @ Startup x JV%</t>
  </si>
  <si>
    <t>PD Missed Treatment %</t>
  </si>
  <si>
    <t>minimal</t>
  </si>
  <si>
    <t>new</t>
  </si>
  <si>
    <t>existing</t>
  </si>
  <si>
    <t>associate (no DVA MDA)</t>
  </si>
  <si>
    <t>market presence</t>
  </si>
  <si>
    <t>majority</t>
  </si>
  <si>
    <t>50%</t>
  </si>
  <si>
    <t>minority</t>
  </si>
  <si>
    <t>none</t>
  </si>
  <si>
    <t>parent capacity</t>
  </si>
  <si>
    <t>over capacity</t>
  </si>
  <si>
    <t>nearing capacity</t>
  </si>
  <si>
    <t>Professional fees, taxes &amp; licenses, insurance</t>
  </si>
  <si>
    <t>P&amp;L Total Other Controllable Expense</t>
  </si>
  <si>
    <t>Professional Fees</t>
  </si>
  <si>
    <t>Date:</t>
  </si>
  <si>
    <t>Facility Number:</t>
  </si>
  <si>
    <t>Populate yellow cells, then click Export to New Workbook:</t>
  </si>
  <si>
    <t>Project Name:</t>
  </si>
  <si>
    <t>ROD Name:</t>
  </si>
  <si>
    <t>ROD Phone:</t>
  </si>
  <si>
    <t>Size in Square Feet:</t>
  </si>
  <si>
    <t>Buildout/Groundup?</t>
  </si>
  <si>
    <t>CON State:</t>
  </si>
  <si>
    <t>Medical Director Agreement Signed</t>
  </si>
  <si>
    <t>a. ESRD Map (from Nancy Wheeler)</t>
  </si>
  <si>
    <t>b. Completed SOR (see tab [FMV Request])</t>
  </si>
  <si>
    <t>c. MS Streets &amp; Trips Map (from JCI/UGL)</t>
  </si>
  <si>
    <t>FMV</t>
  </si>
  <si>
    <t>Fair Market Value</t>
  </si>
  <si>
    <t>6) Remember to update the Revision Date on "1.0 Summary" worksheet whenever you make a change to the model.</t>
  </si>
  <si>
    <t>7) Joint Venture worksheets are colored sea green; optional: hide these worksheets if model is WO.</t>
  </si>
  <si>
    <r>
      <t xml:space="preserve">8) </t>
    </r>
    <r>
      <rPr>
        <b/>
        <i/>
        <sz val="8"/>
        <rFont val="Arial"/>
        <family val="2"/>
      </rPr>
      <t>Project Managers</t>
    </r>
    <r>
      <rPr>
        <sz val="8"/>
        <rFont val="Arial"/>
        <family val="2"/>
      </rPr>
      <t xml:space="preserve"> input and review all capital expenditure budget for worksheet "3. CapEx".</t>
    </r>
  </si>
  <si>
    <t>5) Go to Tools/Options and set Calculation to "Automatic except tables"</t>
  </si>
  <si>
    <t>NOTE: To update [4.Scenarios], press F9</t>
  </si>
  <si>
    <t>Txs (Hide if WO)</t>
  </si>
  <si>
    <t>PtrIS (Hide if WO)</t>
  </si>
  <si>
    <t>PtrBS (Hide if WO)</t>
  </si>
  <si>
    <t>PtrCF (Hide if WO)</t>
  </si>
  <si>
    <t>PtrCF OUTPUT (Hide if WO)</t>
  </si>
  <si>
    <t>BO</t>
  </si>
  <si>
    <t>Build-Out</t>
  </si>
  <si>
    <t>Ground-Up</t>
  </si>
  <si>
    <t>TD</t>
  </si>
  <si>
    <t>Transaction Director (Deal Depot)</t>
  </si>
  <si>
    <t>9) Should you have any questions, please contact Queenie Nguyen (310-536-2652), Ben Chiu (310-536-2497) or Tony Lee (949-930-6913).</t>
  </si>
  <si>
    <t>Grenada</t>
  </si>
  <si>
    <t>Issaquena</t>
  </si>
  <si>
    <t>Itawamba</t>
  </si>
  <si>
    <t>Kemper</t>
  </si>
  <si>
    <t>Leake</t>
  </si>
  <si>
    <t>Neshoba</t>
  </si>
  <si>
    <t>Oktibbeha</t>
  </si>
  <si>
    <t>Depreciation &amp; Amortization</t>
  </si>
  <si>
    <t>Net change in working capital items:</t>
  </si>
  <si>
    <t>Net Cash from operations</t>
  </si>
  <si>
    <t>Capital Employed Chart</t>
  </si>
  <si>
    <t>Incremental EBIT from lab</t>
  </si>
  <si>
    <t>Other adjustments</t>
  </si>
  <si>
    <t>Earnings before interest &amp; taxes</t>
  </si>
  <si>
    <t>Depreciation &amp; amortization</t>
  </si>
  <si>
    <t>Other Variable Operating/Tx</t>
  </si>
  <si>
    <t>Nocturnal:</t>
  </si>
  <si>
    <t>(10)
Sub_Acct - Fin_Class - High Pay Private Hemo Equivalent Tx - GT 750</t>
  </si>
  <si>
    <t>(2)
=(3)/(1)</t>
  </si>
  <si>
    <t>(7)
=(4)-(10)</t>
  </si>
  <si>
    <t>Cherokee</t>
  </si>
  <si>
    <t>Cobb</t>
  </si>
  <si>
    <t>Coweta</t>
  </si>
  <si>
    <t>DeKalb</t>
  </si>
  <si>
    <t>Effingham</t>
  </si>
  <si>
    <t>Fayette</t>
  </si>
  <si>
    <t>Forsyth</t>
  </si>
  <si>
    <t>Gwinnett</t>
  </si>
  <si>
    <t>Henry</t>
  </si>
  <si>
    <t>Paulding</t>
  </si>
  <si>
    <t>Pickens</t>
  </si>
  <si>
    <t>Rockdale</t>
  </si>
  <si>
    <t>Walton</t>
  </si>
  <si>
    <t>HI</t>
  </si>
  <si>
    <t>Honolulu</t>
  </si>
  <si>
    <t>ID</t>
  </si>
  <si>
    <t>Ada</t>
  </si>
  <si>
    <t>Danville City</t>
  </si>
  <si>
    <t>Lynchburg City</t>
  </si>
  <si>
    <t>Barbour</t>
  </si>
  <si>
    <t>Bullock</t>
  </si>
  <si>
    <t>Chilton</t>
  </si>
  <si>
    <t>Choctaw</t>
  </si>
  <si>
    <t>Cleburne</t>
  </si>
  <si>
    <t>Coffee</t>
  </si>
  <si>
    <t>Conecuh</t>
  </si>
  <si>
    <t>Coosa</t>
  </si>
  <si>
    <t>Covington</t>
  </si>
  <si>
    <t>Crenshaw</t>
  </si>
  <si>
    <t>Cullman</t>
  </si>
  <si>
    <t>Escambia</t>
  </si>
  <si>
    <t>Geneva</t>
  </si>
  <si>
    <t>Hale</t>
  </si>
  <si>
    <t>Lowndes</t>
  </si>
  <si>
    <t>Marengo</t>
  </si>
  <si>
    <t>Talladega</t>
  </si>
  <si>
    <t>Tallapoosa</t>
  </si>
  <si>
    <t>Winston</t>
  </si>
  <si>
    <t>Aleutians East</t>
  </si>
  <si>
    <t>Labor Hours</t>
  </si>
  <si>
    <t>Pt_Census_Center_REG_Chronic</t>
  </si>
  <si>
    <t>Robertson</t>
  </si>
  <si>
    <t>Rutherford</t>
  </si>
  <si>
    <t>Sumner</t>
  </si>
  <si>
    <t>Williamson</t>
  </si>
  <si>
    <t>Wilson</t>
  </si>
  <si>
    <t>TX</t>
  </si>
  <si>
    <t>Bastrop</t>
  </si>
  <si>
    <t>Caldwell</t>
  </si>
  <si>
    <t>Chambers</t>
  </si>
  <si>
    <t>Collin</t>
  </si>
  <si>
    <t>Denton</t>
  </si>
  <si>
    <t>Ector</t>
  </si>
  <si>
    <t>Ellis</t>
  </si>
  <si>
    <t>Montmorency</t>
  </si>
  <si>
    <t>Run Time</t>
  </si>
  <si>
    <t>Tx</t>
  </si>
  <si>
    <t>Hrs Per Week</t>
  </si>
  <si>
    <t>Hours</t>
  </si>
  <si>
    <t>Productivity Ratio</t>
  </si>
  <si>
    <t>Type:</t>
  </si>
  <si>
    <t>Oracle#:</t>
  </si>
  <si>
    <t>Ownership:</t>
  </si>
  <si>
    <t>Legal #:</t>
  </si>
  <si>
    <t>Management Fee (% of revenue)</t>
  </si>
  <si>
    <t>Other Fixed Operating Expenses</t>
  </si>
  <si>
    <t>Other Variable Operating Expense</t>
  </si>
  <si>
    <t>Depreciation</t>
  </si>
  <si>
    <t>Square Footage:</t>
  </si>
  <si>
    <t xml:space="preserve">Task </t>
  </si>
  <si>
    <t xml:space="preserve"> </t>
  </si>
  <si>
    <t>Number</t>
  </si>
  <si>
    <t>Total</t>
  </si>
  <si>
    <t>Per Station</t>
  </si>
  <si>
    <t>#</t>
  </si>
  <si>
    <t>Comments/BDP</t>
  </si>
  <si>
    <t>01.04</t>
  </si>
  <si>
    <t>09.02</t>
  </si>
  <si>
    <t>Task Stool</t>
  </si>
  <si>
    <t>09.03</t>
  </si>
  <si>
    <t>Privacy Screen</t>
  </si>
  <si>
    <t>09.04</t>
  </si>
  <si>
    <t>Exam Table</t>
  </si>
  <si>
    <t>09.05</t>
  </si>
  <si>
    <t>Training Table</t>
  </si>
  <si>
    <t>09.06</t>
  </si>
  <si>
    <t>Exam Light</t>
  </si>
  <si>
    <t>09.07</t>
  </si>
  <si>
    <t>Chart Rack</t>
  </si>
  <si>
    <t>09.08</t>
  </si>
  <si>
    <t>Wheelchair</t>
  </si>
  <si>
    <t>09.09</t>
  </si>
  <si>
    <t>DVA Valuation ( [(DN*DVAOwnership)+ Parent after DN *pshare] - Market before DN*pshare)</t>
  </si>
  <si>
    <t>DN Cannib of Parent(s) = [Market before DN - Parent(s) after DN] * pshare</t>
  </si>
  <si>
    <t>Buildout</t>
  </si>
  <si>
    <t>Ransom</t>
  </si>
  <si>
    <t>Rolette</t>
  </si>
  <si>
    <t>Sargent</t>
  </si>
  <si>
    <t>Slope</t>
  </si>
  <si>
    <t>Stutsman</t>
  </si>
  <si>
    <t>Towner</t>
  </si>
  <si>
    <t>Traill</t>
  </si>
  <si>
    <t>Walsh</t>
  </si>
  <si>
    <t>Ward</t>
  </si>
  <si>
    <t>Williams</t>
  </si>
  <si>
    <t>Ashland</t>
  </si>
  <si>
    <t>Athens</t>
  </si>
  <si>
    <t>Champaign</t>
  </si>
  <si>
    <t>Coshocton</t>
  </si>
  <si>
    <t>Darke</t>
  </si>
  <si>
    <t>Defiance</t>
  </si>
  <si>
    <t>Gallia</t>
  </si>
  <si>
    <t>Guernsey</t>
  </si>
  <si>
    <t>Highland</t>
  </si>
  <si>
    <t>Alger</t>
  </si>
  <si>
    <t>Alpena</t>
  </si>
  <si>
    <t>Antrim</t>
  </si>
  <si>
    <t>Arenac</t>
  </si>
  <si>
    <t>Baraga</t>
  </si>
  <si>
    <t>Barry</t>
  </si>
  <si>
    <t>Benzie</t>
  </si>
  <si>
    <t>YTD Plan Pre G&amp;A EBITDA</t>
  </si>
  <si>
    <t>TAX AFFECT on Mgmt Fee</t>
  </si>
  <si>
    <t>initial CapEx (excludes Dev Fee)</t>
  </si>
  <si>
    <t>VMM - Yr 3 COC</t>
  </si>
  <si>
    <t>1-Proposed bundled rate, 2- 2011 YTD (default)</t>
  </si>
  <si>
    <t>Net Cash Flow</t>
  </si>
  <si>
    <t>Transition Adjuster</t>
  </si>
  <si>
    <t>Pre-Adjuster Parent RPT</t>
  </si>
  <si>
    <t>After-Adjuster Parent RPT</t>
  </si>
  <si>
    <t>2011 YTD of Parent</t>
  </si>
  <si>
    <t>Integrated</t>
  </si>
  <si>
    <t>Home Only</t>
  </si>
  <si>
    <t>&lt;-- suggested selection</t>
  </si>
  <si>
    <t>&lt;-- enter RPT</t>
  </si>
  <si>
    <t>Essbase</t>
  </si>
  <si>
    <t>Step</t>
  </si>
  <si>
    <t>Responsibility</t>
  </si>
  <si>
    <t>Phone</t>
  </si>
  <si>
    <t>Email</t>
  </si>
  <si>
    <t>ROD/DFA</t>
  </si>
  <si>
    <t>Provides parent center name and ID numbers</t>
  </si>
  <si>
    <t>Whether home modality only; if yes, is it PD, HHD, or both?</t>
  </si>
  <si>
    <t>Andrew Knox</t>
  </si>
  <si>
    <t>(303)405-2177</t>
  </si>
  <si>
    <t>andrew.knox@davita.com</t>
  </si>
  <si>
    <t>Cell U43 on Tab 2.1 = Integrated</t>
  </si>
  <si>
    <t>Cell U43 on Tab 2.1 = Home Only</t>
  </si>
  <si>
    <t>Total Time Elapsed w/o Exceptions: ~ 1 Week</t>
  </si>
  <si>
    <t>*If 3 months or more elapses between delivery of RPT number and QN final denovo model scrubbing, repeat this process to verify RPT assumptions have not changed</t>
  </si>
  <si>
    <t>If Integrated center (defined as any center that includes ICHD w/ or w/o PD/HHD)</t>
  </si>
  <si>
    <t>If Home Only center (defined as any center that excludes ICHD)</t>
  </si>
  <si>
    <r>
      <t xml:space="preserve">ROD works with DFA to populate the initial DeNovo Model* --&gt; </t>
    </r>
    <r>
      <rPr>
        <b/>
        <sz val="8"/>
        <rFont val="Arial"/>
        <family val="2"/>
      </rPr>
      <t>see next tab [Process Flow]</t>
    </r>
  </si>
  <si>
    <t>1.) ROD/DFA contacts Andrew Knox (AK)</t>
  </si>
  <si>
    <t>Distribution List: ROD/DFA, Queenie Nguyen (QN), Bryan Parker, Chitra Goswami</t>
  </si>
  <si>
    <t>Calculation of Interest for Joint Venture</t>
  </si>
  <si>
    <r>
      <t>A.</t>
    </r>
    <r>
      <rPr>
        <sz val="7"/>
        <rFont val="Times New Roman"/>
        <family val="1"/>
      </rPr>
      <t xml:space="preserve">     </t>
    </r>
    <r>
      <rPr>
        <sz val="12"/>
        <rFont val="Arial"/>
        <family val="2"/>
      </rPr>
      <t>Denovo Interests</t>
    </r>
  </si>
  <si>
    <r>
      <t>1.</t>
    </r>
    <r>
      <rPr>
        <sz val="7"/>
        <rFont val="Times New Roman"/>
        <family val="1"/>
      </rPr>
      <t xml:space="preserve">      </t>
    </r>
    <r>
      <rPr>
        <sz val="12"/>
        <rFont val="Arial"/>
        <family val="2"/>
      </rPr>
      <t xml:space="preserve">DVA shall charge interest at the prime rate on the funds it extends for the build out and </t>
    </r>
  </si>
  <si>
    <t>working capital needs of the denovo prior to formation as a JV denovo.</t>
  </si>
  <si>
    <r>
      <t>B.</t>
    </r>
    <r>
      <rPr>
        <sz val="7"/>
        <rFont val="Times New Roman"/>
        <family val="1"/>
      </rPr>
      <t xml:space="preserve">     </t>
    </r>
    <r>
      <rPr>
        <sz val="12"/>
        <rFont val="Arial"/>
        <family val="2"/>
      </rPr>
      <t>Denovo Contribution Schedule</t>
    </r>
  </si>
  <si>
    <r>
      <t>1.</t>
    </r>
    <r>
      <rPr>
        <sz val="7"/>
        <rFont val="Times New Roman"/>
        <family val="1"/>
      </rPr>
      <t xml:space="preserve">      </t>
    </r>
    <r>
      <rPr>
        <sz val="12"/>
        <rFont val="Arial"/>
        <family val="2"/>
      </rPr>
      <t>Construction contributions are:</t>
    </r>
  </si>
  <si>
    <t>Amount</t>
  </si>
  <si>
    <t>Date Needed</t>
  </si>
  <si>
    <r>
      <t>a)</t>
    </r>
    <r>
      <rPr>
        <sz val="7"/>
        <rFont val="Times New Roman"/>
        <family val="1"/>
      </rPr>
      <t xml:space="preserve">     </t>
    </r>
    <r>
      <rPr>
        <sz val="12"/>
        <rFont val="Arial"/>
        <family val="2"/>
      </rPr>
      <t> 15% upon Agreement execution;</t>
    </r>
  </si>
  <si>
    <r>
      <t>b)</t>
    </r>
    <r>
      <rPr>
        <sz val="7"/>
        <rFont val="Times New Roman"/>
        <family val="1"/>
      </rPr>
      <t xml:space="preserve">     </t>
    </r>
    <r>
      <rPr>
        <sz val="12"/>
        <rFont val="Arial"/>
        <family val="2"/>
      </rPr>
      <t> 50% - 30 days after start of construction;</t>
    </r>
  </si>
  <si>
    <r>
      <t>c)</t>
    </r>
    <r>
      <rPr>
        <sz val="7"/>
        <rFont val="Times New Roman"/>
        <family val="1"/>
      </rPr>
      <t xml:space="preserve">      </t>
    </r>
    <r>
      <rPr>
        <sz val="12"/>
        <rFont val="Arial"/>
        <family val="2"/>
      </rPr>
      <t> 25% - 90 days after start of construction;</t>
    </r>
  </si>
  <si>
    <r>
      <t>d)</t>
    </r>
    <r>
      <rPr>
        <sz val="7"/>
        <rFont val="Times New Roman"/>
        <family val="1"/>
      </rPr>
      <t xml:space="preserve">     </t>
    </r>
    <r>
      <rPr>
        <sz val="12"/>
        <rFont val="Arial"/>
        <family val="2"/>
      </rPr>
      <t xml:space="preserve"> 10% - 30 days after Certificate of Occupancy. </t>
    </r>
  </si>
  <si>
    <r>
      <t>2.</t>
    </r>
    <r>
      <rPr>
        <sz val="7"/>
        <rFont val="Times New Roman"/>
        <family val="1"/>
      </rPr>
      <t xml:space="preserve">      </t>
    </r>
    <r>
      <rPr>
        <sz val="12"/>
        <rFont val="Arial"/>
        <family val="2"/>
      </rPr>
      <t>Working Capital Contribution are:</t>
    </r>
  </si>
  <si>
    <r>
      <t>a)</t>
    </r>
    <r>
      <rPr>
        <sz val="7"/>
        <rFont val="Times New Roman"/>
        <family val="1"/>
      </rPr>
      <t xml:space="preserve">     </t>
    </r>
    <r>
      <rPr>
        <sz val="12"/>
        <rFont val="Arial"/>
        <family val="2"/>
      </rPr>
      <t> 15% - at start of construction;</t>
    </r>
  </si>
  <si>
    <r>
      <t>b)</t>
    </r>
    <r>
      <rPr>
        <sz val="7"/>
        <rFont val="Times New Roman"/>
        <family val="1"/>
      </rPr>
      <t xml:space="preserve">     </t>
    </r>
    <r>
      <rPr>
        <sz val="12"/>
        <rFont val="Arial"/>
        <family val="2"/>
      </rPr>
      <t> 50% - 30 days after Certificate of Occupany;</t>
    </r>
  </si>
  <si>
    <r>
      <t>c)</t>
    </r>
    <r>
      <rPr>
        <sz val="7"/>
        <rFont val="Times New Roman"/>
        <family val="1"/>
      </rPr>
      <t xml:space="preserve">     </t>
    </r>
    <r>
      <rPr>
        <sz val="12"/>
        <rFont val="Arial"/>
        <family val="2"/>
      </rPr>
      <t xml:space="preserve"> 35% - 30 days after projected date of first dialysis treatment. </t>
    </r>
  </si>
  <si>
    <t>Prime Rate:</t>
  </si>
  <si>
    <t>Percentage owned by Partner</t>
  </si>
  <si>
    <t>Date of JV formation:</t>
  </si>
  <si>
    <t>Construction Costs:</t>
  </si>
  <si>
    <t>Date of Agreement Execution</t>
  </si>
  <si>
    <t>Date of start of Construction</t>
  </si>
  <si>
    <t>Projected Date of Certificate of Occupancy</t>
  </si>
  <si>
    <t>Projected Date of First Dialysis Treatment</t>
  </si>
  <si>
    <t>Pro-Rata</t>
  </si>
  <si>
    <t>Interest Charge from Construction</t>
  </si>
  <si>
    <t>Interest Charge from Working Capital</t>
  </si>
  <si>
    <t>Total Interest Charge (as of JV formation date)</t>
  </si>
  <si>
    <t>Development Fee:</t>
  </si>
  <si>
    <t>Working Capital:</t>
  </si>
  <si>
    <t>Pre G&amp;A EBITDA</t>
  </si>
  <si>
    <t>-G&amp;A</t>
  </si>
  <si>
    <t>Cumulative Maintenance Capital</t>
  </si>
  <si>
    <r>
      <t>Cash-on-Cash Return</t>
    </r>
    <r>
      <rPr>
        <vertAlign val="superscript"/>
        <sz val="12"/>
        <rFont val="Tahoma"/>
        <family val="2"/>
      </rPr>
      <t>1</t>
    </r>
  </si>
  <si>
    <r>
      <rPr>
        <vertAlign val="superscript"/>
        <sz val="8"/>
        <rFont val="Tahoma"/>
        <family val="2"/>
      </rPr>
      <t>1</t>
    </r>
    <r>
      <rPr>
        <sz val="8"/>
        <rFont val="Tahoma"/>
        <family val="2"/>
      </rPr>
      <t xml:space="preserve"> VMM CoC return will differ from Model CoC return in Tab 6 because the VMM CoC does not include DaVIta profit on mgmt fee for a JV and assumes a standard cost for working capital, maintenance capex and depreciation, on a per station basis.  Both calculations assume a standard G&amp;A per tx, but these standards are different between the VMM CoC and the Model CoC calculations.</t>
    </r>
  </si>
  <si>
    <t>Total Actual Incremental WC/project</t>
  </si>
  <si>
    <t>&lt;-- do not change</t>
  </si>
  <si>
    <t>excludes ISO station(s)</t>
  </si>
  <si>
    <t>State:</t>
  </si>
  <si>
    <t>proposed solution(s)</t>
  </si>
  <si>
    <t>ROFR Issue(s)?</t>
  </si>
  <si>
    <t xml:space="preserve">Describe ROFR issue(s) and </t>
  </si>
  <si>
    <t>Section 6 - Forward a copy of this worksheet to:</t>
  </si>
  <si>
    <t>email</t>
  </si>
  <si>
    <t>SWC $ per Treatment</t>
  </si>
  <si>
    <t>SWC: payroll dollars (sal, wage &amp; contract)</t>
  </si>
  <si>
    <t>SWB: sal, wag &amp; benefits (incl payroll taxes, benefits, etc.)</t>
  </si>
  <si>
    <t>Per Room</t>
  </si>
  <si>
    <t>Subtotal: Home Training Rooms (PD &amp; HHD)</t>
  </si>
  <si>
    <t>Before</t>
  </si>
  <si>
    <t>After</t>
  </si>
  <si>
    <t>PD/HHD</t>
  </si>
  <si>
    <t>Optional</t>
  </si>
  <si>
    <t>Champion (Dialysis Chair-Reg)</t>
  </si>
  <si>
    <t>Scope Tech (Dialysis Chair-Reg)</t>
  </si>
  <si>
    <t>Lazy Boy (Dialysis Chair-Reg)</t>
  </si>
  <si>
    <t>square feet per chronic station</t>
  </si>
  <si>
    <t>Per Chronic</t>
  </si>
  <si>
    <t>Station</t>
  </si>
  <si>
    <t>Calculation of Terminal Value</t>
  </si>
  <si>
    <t>assuming joint venture.</t>
  </si>
  <si>
    <t>Mgmt Fees (% - actual)</t>
  </si>
  <si>
    <t>Per Tx</t>
  </si>
  <si>
    <t>Incr. Tx.</t>
  </si>
  <si>
    <t>Total Inc.  G&amp;A</t>
  </si>
  <si>
    <t>Difference</t>
  </si>
  <si>
    <t>Revised EBITDA</t>
  </si>
  <si>
    <t xml:space="preserve">The adjusted EBITDA figure calculation </t>
  </si>
  <si>
    <t>in the terminal value is used to normalize</t>
  </si>
  <si>
    <t xml:space="preserve">DaVita returns when increasing </t>
  </si>
  <si>
    <t>mgmt fees and the corresponding impact.</t>
  </si>
  <si>
    <t>Home Program CapEx Costs</t>
  </si>
  <si>
    <t>@ Startup</t>
  </si>
  <si>
    <t>Total (Startup + Buildout)</t>
  </si>
  <si>
    <t>Total Units</t>
  </si>
  <si>
    <t>Per SF</t>
  </si>
  <si>
    <t>@ Buildout</t>
  </si>
  <si>
    <t>Home</t>
  </si>
  <si>
    <t>SF/Training Room</t>
  </si>
  <si>
    <t>970 - Champion (Dialysis Chair-Reg)</t>
  </si>
  <si>
    <t>DO NOT CHANGE</t>
  </si>
  <si>
    <t>ISO Station(s) @ Startup:</t>
  </si>
  <si>
    <t># ISO Station(s)</t>
  </si>
  <si>
    <t>1 is default value</t>
  </si>
  <si>
    <t>Budget Temp #:</t>
  </si>
  <si>
    <t>Non-Government</t>
  </si>
  <si>
    <t>Non-Government Mix</t>
  </si>
  <si>
    <t>NOTE: if project assumes constant non-Govt Mix throughout Yrs 1-5, use this section as guidance for data input in rows 73-87 above</t>
  </si>
  <si>
    <t>Non-Govt Mix Yrs1-5</t>
  </si>
  <si>
    <t>Non-Govt</t>
  </si>
  <si>
    <t>ICHD Missed Treatment %</t>
  </si>
  <si>
    <t>Non-Govt (rev/tx &lt; $750)</t>
  </si>
  <si>
    <t>Non-Govt (rev/tx &gt; $750)</t>
  </si>
  <si>
    <t>TACOMA NON-GOVT RPT DATA</t>
  </si>
  <si>
    <t>ICHD:</t>
  </si>
  <si>
    <t>ICHD Staffing</t>
  </si>
  <si>
    <t>HHD Staffing</t>
  </si>
  <si>
    <t>ICHD Census</t>
  </si>
  <si>
    <t>Total ICHD Patients</t>
  </si>
  <si>
    <t>Total HHD Patients</t>
  </si>
  <si>
    <t>Incremental ICHD Rev/Tx:</t>
  </si>
  <si>
    <t>Inc ICHD Pts per Yr:</t>
  </si>
  <si>
    <t>ICHD census:</t>
  </si>
  <si>
    <t>Census (Non-Government)</t>
  </si>
  <si>
    <t>Total ICHD &amp; PD Treatments</t>
  </si>
  <si>
    <t>Medical Supplies - ICHD &amp; PD</t>
  </si>
  <si>
    <t>Other ICHD &amp; PD expenses</t>
  </si>
  <si>
    <t>Other Expenses - ICHD &amp; PD</t>
  </si>
  <si>
    <t>Corporate G&amp;A - ICHD &amp; PD</t>
  </si>
  <si>
    <t>Division G&amp;A - ICHD &amp; PD</t>
  </si>
  <si>
    <t>ICHD Machines</t>
  </si>
  <si>
    <t>HHD Machines</t>
  </si>
  <si>
    <t># of Treatments (Non-Government)</t>
  </si>
  <si>
    <r>
      <t>Number of ICHD Stations</t>
    </r>
    <r>
      <rPr>
        <sz val="10"/>
        <rFont val="Arial"/>
        <family val="2"/>
      </rPr>
      <t>:</t>
    </r>
  </si>
  <si>
    <t>Number of HHD Training Rooms</t>
  </si>
  <si>
    <t>ICHD Stations @ Startup:</t>
  </si>
  <si>
    <t>ICHD Stations @ Buildout:</t>
  </si>
  <si>
    <t>PD Training Rooms</t>
  </si>
  <si>
    <t>HHD Training Rooms</t>
  </si>
  <si>
    <t>ICHD Capacity</t>
  </si>
  <si>
    <t xml:space="preserve">ICHD &amp; PD </t>
  </si>
  <si>
    <r>
      <t xml:space="preserve">DeNovo Non-Government RPT Process Flow </t>
    </r>
    <r>
      <rPr>
        <sz val="16"/>
        <color indexed="8"/>
        <rFont val="Calibri"/>
        <family val="2"/>
      </rPr>
      <t>(Prior to Submission to QN for Scrubbing*)</t>
    </r>
  </si>
  <si>
    <t>2.) AK distributes relevant Non-Government RPT number</t>
  </si>
  <si>
    <t>Enter Non-Govt RPT in cell U47 on Tab [2.1 Reimburse]</t>
  </si>
  <si>
    <t>Enter Non-Govt PD and HHD RPT in cells U52 and U57, respectively, on Tab [2.1 Reimburse]</t>
  </si>
  <si>
    <t>7522 - Legal Settlements</t>
  </si>
  <si>
    <t>For In-Center &amp; PD (Non-Govt Rev/tx), use:</t>
  </si>
  <si>
    <t>note: enter RPT = Scrubbed RPT data from Tacoma</t>
  </si>
  <si>
    <t>RPT</t>
  </si>
  <si>
    <t>HHD Missed Treatment %</t>
  </si>
  <si>
    <t>* Enter 5-digit location number (e.g. "00789" instead of "0789")</t>
  </si>
  <si>
    <t>(Note: after completing this worksheet, run Essbase retrieve on worksheets 1.2 &amp; 1.3)</t>
  </si>
  <si>
    <t>Total Time Elapsed w/ Exceptions: ~ 3 Weeks</t>
  </si>
  <si>
    <r>
      <t>3.</t>
    </r>
    <r>
      <rPr>
        <sz val="12"/>
        <rFont val="Times New Roman"/>
        <family val="1"/>
      </rPr>
      <t xml:space="preserve">      </t>
    </r>
    <r>
      <rPr>
        <sz val="12"/>
        <rFont val="Arial"/>
        <family val="2"/>
      </rPr>
      <t>Development Fee Contribution are:</t>
    </r>
  </si>
  <si>
    <r>
      <t>a)</t>
    </r>
    <r>
      <rPr>
        <sz val="7"/>
        <rFont val="Times New Roman"/>
        <family val="1"/>
      </rPr>
      <t xml:space="preserve">     </t>
    </r>
    <r>
      <rPr>
        <sz val="12"/>
        <rFont val="Arial"/>
        <family val="2"/>
      </rPr>
      <t> 30% - at start of construction;</t>
    </r>
  </si>
  <si>
    <r>
      <t>b)</t>
    </r>
    <r>
      <rPr>
        <sz val="7"/>
        <rFont val="Times New Roman"/>
        <family val="1"/>
      </rPr>
      <t xml:space="preserve">     </t>
    </r>
    <r>
      <rPr>
        <sz val="12"/>
        <rFont val="Arial"/>
        <family val="2"/>
      </rPr>
      <t> 40% - at Certificate of Occupany;</t>
    </r>
  </si>
  <si>
    <r>
      <t>c)</t>
    </r>
    <r>
      <rPr>
        <sz val="7"/>
        <rFont val="Times New Roman"/>
        <family val="1"/>
      </rPr>
      <t xml:space="preserve">     </t>
    </r>
    <r>
      <rPr>
        <sz val="12"/>
        <rFont val="Arial"/>
        <family val="2"/>
      </rPr>
      <t xml:space="preserve"> 30% - at first dialysis treatment. </t>
    </r>
  </si>
  <si>
    <t>Interest Charge from Development Fee</t>
  </si>
  <si>
    <t>ICHD Stations</t>
  </si>
  <si>
    <t>v6.0 to v7.0: RPT</t>
  </si>
  <si>
    <t>11/22/11 to 03/28/12: [JV Pmnt Sched] wrt Dev Fee</t>
  </si>
  <si>
    <t>Heritage Prototype Target Square Footage per Station Criteria</t>
  </si>
  <si>
    <t>Basic Station Count</t>
  </si>
  <si>
    <t>Increase Factors S.F.</t>
  </si>
  <si>
    <t>Target</t>
  </si>
  <si>
    <t>S.F.</t>
  </si>
  <si>
    <t>Storage/Misc</t>
  </si>
  <si>
    <t>Conference</t>
  </si>
  <si>
    <t>Business Office</t>
  </si>
  <si>
    <t>Toilets</t>
  </si>
  <si>
    <t>S.F. (Rounded)</t>
  </si>
  <si>
    <t>HT per Room*</t>
  </si>
  <si>
    <t>add 140 S.F.</t>
  </si>
  <si>
    <t>"</t>
  </si>
  <si>
    <t>* For free standing Home Training Programs, the Square Footage will increase, based on the DaVita Home Training Facility Design Standards.</t>
  </si>
  <si>
    <t>00494</t>
  </si>
  <si>
    <t>01828</t>
  </si>
  <si>
    <t>Michigan City</t>
  </si>
  <si>
    <t>Michigan City PD</t>
  </si>
  <si>
    <t>05951</t>
  </si>
  <si>
    <t>WO</t>
  </si>
  <si>
    <t>stns; 2 MWF&amp;TTS</t>
  </si>
  <si>
    <t>Southbend Downtown</t>
  </si>
  <si>
    <t>Heartland</t>
  </si>
  <si>
    <t>R-06</t>
  </si>
  <si>
    <t>Mark Bratland</t>
  </si>
  <si>
    <t>612-347-6200</t>
  </si>
  <si>
    <t>Dave Schrader</t>
  </si>
  <si>
    <t>636-448-4380</t>
  </si>
  <si>
    <t>John Coglianese</t>
  </si>
  <si>
    <t>219-769-1464</t>
  </si>
  <si>
    <t>South Bend</t>
  </si>
  <si>
    <t>St. Joseph, IN</t>
  </si>
  <si>
    <t>=VLOOKUP($A4,qry_07.xls!$E$2:$J$65536,2,0)</t>
  </si>
  <si>
    <t>qry_09-10_KY-IN-IL-OH_11302011.xls (filepath: \\Davita.corp\Files\CBO\LAX\QDrive\Shared\Common\Data_Resources\Prevalence_history)</t>
  </si>
  <si>
    <t>Zip Code</t>
  </si>
  <si>
    <t>ESRD Pop.</t>
  </si>
  <si>
    <t>DVA Pts</t>
  </si>
  <si>
    <t>09-03</t>
  </si>
  <si>
    <t>03-05</t>
  </si>
  <si>
    <t>03-06</t>
  </si>
  <si>
    <t>05-07</t>
  </si>
  <si>
    <t>12-08</t>
  </si>
  <si>
    <t>10-09</t>
  </si>
  <si>
    <t>03-10</t>
  </si>
  <si>
    <t>02-11</t>
  </si>
  <si>
    <t>11-11</t>
  </si>
  <si>
    <t>46628</t>
  </si>
  <si>
    <t>46556</t>
  </si>
  <si>
    <t>46637</t>
  </si>
  <si>
    <t>46635</t>
  </si>
  <si>
    <t>46530</t>
  </si>
  <si>
    <t>46544</t>
  </si>
  <si>
    <t>46545</t>
  </si>
  <si>
    <t>46615</t>
  </si>
  <si>
    <t>46617</t>
  </si>
  <si>
    <t>46616</t>
  </si>
  <si>
    <t>46601</t>
  </si>
  <si>
    <t>46613</t>
  </si>
  <si>
    <t>46619</t>
  </si>
  <si>
    <t>46614</t>
  </si>
  <si>
    <t>delta</t>
  </si>
  <si>
    <t>&lt;-- CAGR for target zip codes</t>
  </si>
  <si>
    <t>PV</t>
  </si>
  <si>
    <t>t</t>
  </si>
  <si>
    <t>FV</t>
  </si>
  <si>
    <t>incremental pts over 5 years</t>
  </si>
  <si>
    <t>incremental pts over 5 years @ 5368 South Bend West DN</t>
  </si>
  <si>
    <t>incremental pts over 5 years @ 5369 Mishawaka DN</t>
  </si>
  <si>
    <t>SouthBendIN_11262012.pdf</t>
  </si>
  <si>
    <t>46561</t>
  </si>
  <si>
    <t>NPV (d)</t>
  </si>
  <si>
    <t>Demetrius Menezes</t>
  </si>
  <si>
    <t>TF657?</t>
  </si>
  <si>
    <t>WPS</t>
  </si>
  <si>
    <t>100990-Goodale Dialysis, LLC</t>
  </si>
  <si>
    <t>Jerry O'Keefe</t>
  </si>
  <si>
    <t>Joseph Brunink</t>
  </si>
  <si>
    <t>616-514-7350</t>
  </si>
  <si>
    <t>A.Youngdale / Bruck Elias</t>
  </si>
  <si>
    <t>Lakeshore</t>
  </si>
  <si>
    <t>R-03</t>
  </si>
  <si>
    <t>Field Total Equivalent Tx - DOS</t>
  </si>
  <si>
    <t>Field Net Revenue</t>
  </si>
  <si>
    <t>current</t>
  </si>
  <si>
    <t>DVA IRR</t>
  </si>
  <si>
    <t>Ptr CF RoR</t>
  </si>
  <si>
    <t>Term (yrs)</t>
  </si>
  <si>
    <t>Year 6</t>
  </si>
  <si>
    <t>Year 7</t>
  </si>
  <si>
    <t>Year 8</t>
  </si>
  <si>
    <t>Year 9</t>
  </si>
  <si>
    <t>Year 10</t>
  </si>
  <si>
    <t>Rent/SF</t>
  </si>
  <si>
    <t>OpEx/SF</t>
  </si>
  <si>
    <t>Total Rent/SF</t>
  </si>
  <si>
    <t>Annual Rent</t>
  </si>
  <si>
    <t>Southbend Downtown #11032 JV DN 02-15-13 v7.0_PSA.xlsm</t>
  </si>
  <si>
    <t>Graphics/Artwork</t>
  </si>
  <si>
    <t>11/30/12: scrubbed OPS' model (11.21.12_Southbend Downtown_DeNovo Template v7 0 2012-03-31.xlsx); PICA is N/A. 02/15/13: TFDAC confirmed PSA (A.Hix) w/ Yr3 COC=18.0%, DVA IRR=28.7%, Ptr CF RoR=26.8% (2.13.13_DRAFT Southbend Downtown JV DN 11-30-12_v7.0.xls). 10/02/13: updated PSA model for 08/13 esb, 07/15/13 sequestration guidance from Corp Fin &amp; Medicare / gov’t revenue estimates now include secondary payments in baseline assumptions
01/03/14: updated previous model for 11/13 esb, 12/16/13 sequestration guidance from Corp Fin</t>
  </si>
  <si>
    <t>FA was 1 across the board.   Wont we need to add CC hrs to support such a large patient population?</t>
  </si>
  <si>
    <t>AA was .8 in YR2 and 1 in 3 - 5.   Not enough?</t>
  </si>
  <si>
    <t>Versions</t>
  </si>
  <si>
    <t>Lakeshore Region 3</t>
  </si>
  <si>
    <t>Lakeshore Division</t>
  </si>
  <si>
    <t>05369 - Mishawaka</t>
  </si>
</sst>
</file>

<file path=xl/styles.xml><?xml version="1.0" encoding="utf-8"?>
<styleSheet xmlns="http://schemas.openxmlformats.org/spreadsheetml/2006/main">
  <numFmts count="40">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_(* \(#,##0\);_(* &quot;-&quot;??_);_(@_)"/>
    <numFmt numFmtId="165" formatCode="0.0%"/>
    <numFmt numFmtId="166" formatCode="mmmm\ d\,\ yyyy"/>
    <numFmt numFmtId="167" formatCode="dd\-mmm\-yy_)"/>
    <numFmt numFmtId="168" formatCode="0_)"/>
    <numFmt numFmtId="169" formatCode="&quot;$&quot;#,##0.0_);\(&quot;$&quot;#,##0.0\)"/>
    <numFmt numFmtId="170" formatCode="&quot;$&quot;#,##0"/>
    <numFmt numFmtId="171" formatCode="0.00_);\(0.00\)"/>
    <numFmt numFmtId="172" formatCode="0_);\(0\)"/>
    <numFmt numFmtId="173" formatCode="[&lt;=9999999]###\-####;\(###\)\ ###\-####"/>
    <numFmt numFmtId="174" formatCode="_(&quot;$&quot;* #,##0_);_(&quot;$&quot;* \(#,##0\);_(&quot;$&quot;* &quot;-&quot;??_);_(@_)"/>
    <numFmt numFmtId="175" formatCode="_(* #,##0.0_);_(* \(#,##0.0\);_(* &quot;-&quot;??_);_(@_)"/>
    <numFmt numFmtId="176" formatCode="&quot;$&quot;#,##0.00"/>
    <numFmt numFmtId="177" formatCode="mm\-yyyy"/>
    <numFmt numFmtId="178" formatCode="0.0_);[Red]\(0.0\)"/>
    <numFmt numFmtId="179" formatCode="&quot;Month &quot;0"/>
    <numFmt numFmtId="180" formatCode="0.0&quot;x&quot;"/>
    <numFmt numFmtId="181" formatCode="&quot;Year &quot;0"/>
    <numFmt numFmtId="182" formatCode="0.0"/>
    <numFmt numFmtId="183" formatCode="&quot;M&quot;0"/>
    <numFmt numFmtId="184" formatCode="#,##0.0"/>
    <numFmt numFmtId="185" formatCode="mm/dd/yy;@"/>
    <numFmt numFmtId="186" formatCode="&quot;$&quot;#,##0_);&quot;(&quot;&quot;$&quot;#,##0&quot;)&quot;;&quot;–&quot;_)"/>
    <numFmt numFmtId="187" formatCode="#,##0_);&quot;(&quot;#,##0&quot;)&quot;;&quot;–&quot;_)"/>
    <numFmt numFmtId="188" formatCode="#,##0.0_);\(#,##0.0\)"/>
    <numFmt numFmtId="189" formatCode="&quot;Year&quot;#"/>
    <numFmt numFmtId="190" formatCode="#."/>
    <numFmt numFmtId="191" formatCode="&quot;YEAR&quot;\ 0"/>
    <numFmt numFmtId="192" formatCode="#,##0.0%_);\(#,##0.0%\)"/>
    <numFmt numFmtId="193" formatCode="#,##0.000_);\(#,##0.000\)"/>
    <numFmt numFmtId="194" formatCode="#,##0.00%_);\(#,##0.00%\)"/>
    <numFmt numFmtId="195" formatCode="0.000%"/>
  </numFmts>
  <fonts count="148">
    <font>
      <sz val="10"/>
      <name val="Arial"/>
      <family val="2"/>
    </font>
    <font>
      <sz val="10"/>
      <name val="Arial"/>
      <family val="2"/>
    </font>
    <font>
      <b/>
      <sz val="10"/>
      <name val="Arial"/>
      <family val="2"/>
    </font>
    <font>
      <sz val="10"/>
      <name val="Arial"/>
      <family val="2"/>
    </font>
    <font>
      <sz val="12"/>
      <name val="Arial"/>
      <family val="2"/>
    </font>
    <font>
      <b/>
      <sz val="12"/>
      <name val="Arial"/>
      <family val="2"/>
    </font>
    <font>
      <sz val="8"/>
      <name val="Times New Roman"/>
      <family val="1"/>
    </font>
    <font>
      <u/>
      <sz val="10"/>
      <name val="Arial"/>
      <family val="2"/>
    </font>
    <font>
      <sz val="10"/>
      <color indexed="12"/>
      <name val="Arial"/>
      <family val="2"/>
    </font>
    <font>
      <b/>
      <i/>
      <sz val="10"/>
      <name val="Arial"/>
      <family val="2"/>
    </font>
    <font>
      <b/>
      <sz val="10"/>
      <color indexed="12"/>
      <name val="Arial"/>
      <family val="2"/>
    </font>
    <font>
      <b/>
      <sz val="10"/>
      <color indexed="14"/>
      <name val="Arial"/>
      <family val="2"/>
    </font>
    <font>
      <b/>
      <sz val="12"/>
      <color indexed="14"/>
      <name val="Arial"/>
      <family val="2"/>
    </font>
    <font>
      <sz val="10"/>
      <color indexed="20"/>
      <name val="Arial"/>
      <family val="2"/>
    </font>
    <font>
      <sz val="10"/>
      <color indexed="61"/>
      <name val="Arial"/>
      <family val="2"/>
    </font>
    <font>
      <b/>
      <sz val="10"/>
      <color indexed="61"/>
      <name val="Arial"/>
      <family val="2"/>
    </font>
    <font>
      <sz val="10"/>
      <color indexed="10"/>
      <name val="Arial"/>
      <family val="2"/>
    </font>
    <font>
      <u/>
      <sz val="10"/>
      <color indexed="12"/>
      <name val="Arial"/>
      <family val="2"/>
    </font>
    <font>
      <sz val="8"/>
      <name val="Arial"/>
      <family val="2"/>
    </font>
    <font>
      <b/>
      <sz val="8"/>
      <color indexed="10"/>
      <name val="Arial"/>
      <family val="2"/>
    </font>
    <font>
      <sz val="8"/>
      <color indexed="10"/>
      <name val="Arial"/>
      <family val="2"/>
    </font>
    <font>
      <b/>
      <sz val="8"/>
      <color indexed="12"/>
      <name val="Arial"/>
      <family val="2"/>
    </font>
    <font>
      <sz val="10"/>
      <color indexed="22"/>
      <name val="Arial"/>
      <family val="2"/>
    </font>
    <font>
      <b/>
      <sz val="10"/>
      <color indexed="81"/>
      <name val="Tahoma"/>
      <family val="2"/>
    </font>
    <font>
      <sz val="10"/>
      <color indexed="81"/>
      <name val="Tahoma"/>
      <family val="2"/>
    </font>
    <font>
      <sz val="10"/>
      <color indexed="8"/>
      <name val="Arial"/>
      <family val="2"/>
    </font>
    <font>
      <sz val="8"/>
      <color indexed="81"/>
      <name val="Tahoma"/>
      <family val="2"/>
    </font>
    <font>
      <b/>
      <sz val="8"/>
      <color indexed="81"/>
      <name val="Tahoma"/>
      <family val="2"/>
    </font>
    <font>
      <strike/>
      <sz val="10"/>
      <name val="Arial"/>
      <family val="2"/>
    </font>
    <font>
      <b/>
      <sz val="11"/>
      <color indexed="16"/>
      <name val="Times New Roman"/>
      <family val="1"/>
    </font>
    <font>
      <sz val="10"/>
      <name val="Arial"/>
      <family val="2"/>
    </font>
    <font>
      <sz val="10"/>
      <color indexed="10"/>
      <name val="Arial"/>
      <family val="2"/>
    </font>
    <font>
      <sz val="8"/>
      <name val="Arial"/>
      <family val="2"/>
    </font>
    <font>
      <sz val="10"/>
      <name val="Tahoma"/>
      <family val="2"/>
    </font>
    <font>
      <sz val="10"/>
      <color indexed="9"/>
      <name val="Arial"/>
      <family val="2"/>
    </font>
    <font>
      <sz val="10"/>
      <name val="Arial"/>
      <family val="2"/>
    </font>
    <font>
      <sz val="8"/>
      <name val="Arial"/>
      <family val="2"/>
    </font>
    <font>
      <sz val="10"/>
      <color indexed="9"/>
      <name val="Arial"/>
      <family val="2"/>
    </font>
    <font>
      <sz val="10"/>
      <color indexed="12"/>
      <name val="Arial"/>
      <family val="2"/>
    </font>
    <font>
      <sz val="8"/>
      <color indexed="12"/>
      <name val="Arial"/>
      <family val="2"/>
    </font>
    <font>
      <sz val="8"/>
      <name val="Tahoma"/>
      <family val="2"/>
    </font>
    <font>
      <b/>
      <sz val="8"/>
      <name val="Arial"/>
      <family val="2"/>
    </font>
    <font>
      <b/>
      <sz val="8"/>
      <color indexed="21"/>
      <name val="Arial"/>
      <family val="2"/>
    </font>
    <font>
      <b/>
      <u/>
      <sz val="8"/>
      <name val="Arial"/>
      <family val="2"/>
    </font>
    <font>
      <u/>
      <sz val="8"/>
      <name val="Arial"/>
      <family val="2"/>
    </font>
    <font>
      <i/>
      <sz val="8"/>
      <name val="Arial"/>
      <family val="2"/>
    </font>
    <font>
      <b/>
      <i/>
      <sz val="8"/>
      <name val="Arial"/>
      <family val="2"/>
    </font>
    <font>
      <i/>
      <sz val="8"/>
      <color indexed="10"/>
      <name val="Arial"/>
      <family val="2"/>
    </font>
    <font>
      <sz val="10"/>
      <name val="Arial"/>
      <family val="2"/>
    </font>
    <font>
      <sz val="8"/>
      <color indexed="55"/>
      <name val="Arial"/>
      <family val="2"/>
    </font>
    <font>
      <vertAlign val="subscript"/>
      <sz val="8"/>
      <name val="Arial"/>
      <family val="2"/>
    </font>
    <font>
      <b/>
      <vertAlign val="subscript"/>
      <sz val="8"/>
      <name val="Arial"/>
      <family val="2"/>
    </font>
    <font>
      <sz val="10"/>
      <name val="Arial"/>
      <family val="2"/>
    </font>
    <font>
      <sz val="8"/>
      <color indexed="22"/>
      <name val="Arial"/>
      <family val="2"/>
    </font>
    <font>
      <b/>
      <sz val="8"/>
      <color indexed="20"/>
      <name val="Arial"/>
      <family val="2"/>
    </font>
    <font>
      <sz val="10"/>
      <color indexed="14"/>
      <name val="Arial"/>
      <family val="2"/>
    </font>
    <font>
      <sz val="10"/>
      <name val="Arial"/>
      <family val="2"/>
    </font>
    <font>
      <b/>
      <sz val="8"/>
      <color indexed="53"/>
      <name val="Arial"/>
      <family val="2"/>
    </font>
    <font>
      <b/>
      <sz val="9"/>
      <name val="Arial"/>
      <family val="2"/>
    </font>
    <font>
      <b/>
      <i/>
      <sz val="10"/>
      <color indexed="9"/>
      <name val="Arial"/>
      <family val="2"/>
    </font>
    <font>
      <b/>
      <sz val="10"/>
      <color indexed="30"/>
      <name val="Arial"/>
      <family val="2"/>
    </font>
    <font>
      <b/>
      <sz val="22"/>
      <color indexed="54"/>
      <name val="Times New Roman"/>
      <family val="1"/>
    </font>
    <font>
      <u val="double"/>
      <sz val="8"/>
      <name val="Arial"/>
      <family val="2"/>
    </font>
    <font>
      <b/>
      <sz val="14"/>
      <name val="Arial"/>
      <family val="2"/>
    </font>
    <font>
      <b/>
      <sz val="10"/>
      <color indexed="10"/>
      <name val="Arial"/>
      <family val="2"/>
    </font>
    <font>
      <sz val="14"/>
      <name val="Arial"/>
      <family val="2"/>
    </font>
    <font>
      <i/>
      <sz val="10"/>
      <name val="Arial"/>
      <family val="2"/>
    </font>
    <font>
      <sz val="10"/>
      <name val="Arial"/>
      <family val="2"/>
    </font>
    <font>
      <sz val="7"/>
      <name val="Arial"/>
      <family val="2"/>
    </font>
    <font>
      <sz val="16"/>
      <name val="Arial"/>
      <family val="2"/>
    </font>
    <font>
      <b/>
      <u/>
      <sz val="10"/>
      <name val="Arial"/>
      <family val="2"/>
    </font>
    <font>
      <b/>
      <sz val="14"/>
      <color indexed="54"/>
      <name val="Arial"/>
      <family val="2"/>
    </font>
    <font>
      <sz val="10"/>
      <color indexed="81"/>
      <name val="Arial"/>
      <family val="2"/>
    </font>
    <font>
      <sz val="8"/>
      <color indexed="48"/>
      <name val="Arial"/>
      <family val="2"/>
    </font>
    <font>
      <sz val="8"/>
      <color indexed="45"/>
      <name val="Arial"/>
      <family val="2"/>
    </font>
    <font>
      <sz val="7"/>
      <color indexed="10"/>
      <name val="Arial"/>
      <family val="2"/>
    </font>
    <font>
      <u/>
      <sz val="10"/>
      <color indexed="81"/>
      <name val="Tahom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17"/>
      <name val="Arial"/>
      <family val="2"/>
    </font>
    <font>
      <sz val="9"/>
      <name val="Arial"/>
      <family val="2"/>
    </font>
    <font>
      <b/>
      <sz val="12"/>
      <name val="Times New Roman"/>
      <family val="1"/>
    </font>
    <font>
      <sz val="12"/>
      <name val="Times New Roman"/>
      <family val="1"/>
    </font>
    <font>
      <sz val="10"/>
      <name val="Times New Roman"/>
      <family val="1"/>
    </font>
    <font>
      <b/>
      <sz val="12"/>
      <color indexed="12"/>
      <name val="Times New Roman"/>
      <family val="1"/>
    </font>
    <font>
      <sz val="8"/>
      <color indexed="9"/>
      <name val="Arial"/>
      <family val="2"/>
    </font>
    <font>
      <sz val="8"/>
      <color indexed="8"/>
      <name val="Arial"/>
      <family val="2"/>
    </font>
    <font>
      <sz val="9"/>
      <color indexed="81"/>
      <name val="Tahoma"/>
      <family val="2"/>
    </font>
    <font>
      <b/>
      <sz val="9"/>
      <color indexed="81"/>
      <name val="Tahoma"/>
      <family val="2"/>
    </font>
    <font>
      <i/>
      <sz val="10"/>
      <color indexed="12"/>
      <name val="Arial"/>
      <family val="2"/>
    </font>
    <font>
      <i/>
      <sz val="10"/>
      <color indexed="17"/>
      <name val="Arial"/>
      <family val="2"/>
    </font>
    <font>
      <b/>
      <sz val="10"/>
      <color indexed="17"/>
      <name val="Arial"/>
      <family val="2"/>
    </font>
    <font>
      <b/>
      <sz val="10"/>
      <color indexed="12"/>
      <name val="Arial"/>
      <family val="2"/>
    </font>
    <font>
      <sz val="10"/>
      <color indexed="12"/>
      <name val="Arial"/>
      <family val="2"/>
    </font>
    <font>
      <b/>
      <sz val="10"/>
      <color indexed="9"/>
      <name val="Arial"/>
      <family val="2"/>
    </font>
    <font>
      <sz val="16"/>
      <name val="Tahoma"/>
      <family val="2"/>
    </font>
    <font>
      <b/>
      <sz val="12"/>
      <color indexed="10"/>
      <name val="Arial"/>
      <family val="2"/>
    </font>
    <font>
      <b/>
      <sz val="12"/>
      <name val="Tahoma"/>
      <family val="2"/>
    </font>
    <font>
      <sz val="11"/>
      <color indexed="17"/>
      <name val="Tahoma"/>
      <family val="2"/>
    </font>
    <font>
      <sz val="12"/>
      <name val="Tahoma"/>
      <family val="2"/>
    </font>
    <font>
      <vertAlign val="superscript"/>
      <sz val="12"/>
      <name val="Tahoma"/>
      <family val="2"/>
    </font>
    <font>
      <u/>
      <sz val="10"/>
      <name val="Tahoma"/>
      <family val="2"/>
    </font>
    <font>
      <sz val="10"/>
      <color indexed="17"/>
      <name val="Tahoma"/>
      <family val="2"/>
    </font>
    <font>
      <sz val="10"/>
      <color indexed="12"/>
      <name val="Tahoma"/>
      <family val="2"/>
    </font>
    <font>
      <sz val="16"/>
      <color indexed="8"/>
      <name val="Calibri"/>
      <family val="2"/>
    </font>
    <font>
      <sz val="7"/>
      <name val="Times New Roman"/>
      <family val="1"/>
    </font>
    <font>
      <i/>
      <sz val="9"/>
      <name val="Arial"/>
      <family val="2"/>
    </font>
    <font>
      <vertAlign val="superscript"/>
      <sz val="8"/>
      <name val="Tahoma"/>
      <family val="2"/>
    </font>
    <font>
      <u val="singleAccounting"/>
      <sz val="8"/>
      <name val="Arial"/>
      <family val="2"/>
    </font>
    <font>
      <b/>
      <sz val="8"/>
      <color indexed="10"/>
      <name val="Tahoma"/>
      <family val="2"/>
    </font>
    <font>
      <sz val="10"/>
      <color theme="0" tint="-0.14999847407452621"/>
      <name val="Arial"/>
      <family val="2"/>
    </font>
    <font>
      <sz val="12"/>
      <color rgb="FF0070C0"/>
      <name val="Arial"/>
      <family val="2"/>
    </font>
    <font>
      <sz val="10"/>
      <color rgb="FF00B050"/>
      <name val="Arial"/>
      <family val="2"/>
    </font>
    <font>
      <sz val="12"/>
      <color rgb="FF00B050"/>
      <name val="Arial"/>
      <family val="2"/>
    </font>
    <font>
      <sz val="10"/>
      <color rgb="FF0070C0"/>
      <name val="Arial"/>
      <family val="2"/>
    </font>
    <font>
      <sz val="10"/>
      <color theme="0"/>
      <name val="Arial"/>
      <family val="2"/>
    </font>
    <font>
      <sz val="24"/>
      <color theme="1"/>
      <name val="Calibri"/>
      <family val="2"/>
      <scheme val="minor"/>
    </font>
    <font>
      <b/>
      <u/>
      <sz val="12"/>
      <color theme="1"/>
      <name val="Calibri"/>
      <family val="2"/>
      <scheme val="minor"/>
    </font>
    <font>
      <u/>
      <sz val="11"/>
      <color theme="1"/>
      <name val="Calibri"/>
      <family val="2"/>
      <scheme val="minor"/>
    </font>
    <font>
      <b/>
      <sz val="11"/>
      <color theme="1"/>
      <name val="Calibri"/>
      <family val="2"/>
      <scheme val="minor"/>
    </font>
    <font>
      <sz val="10"/>
      <name val="Calibri"/>
      <family val="2"/>
      <scheme val="minor"/>
    </font>
    <font>
      <u/>
      <sz val="11"/>
      <color theme="10"/>
      <name val="Calibri"/>
      <family val="2"/>
      <scheme val="minor"/>
    </font>
    <font>
      <sz val="11"/>
      <name val="Calibri"/>
      <family val="2"/>
      <scheme val="minor"/>
    </font>
    <font>
      <sz val="9"/>
      <color rgb="FF0070C0"/>
      <name val="Arial"/>
      <family val="2"/>
    </font>
    <font>
      <sz val="10"/>
      <color theme="1"/>
      <name val="Arial"/>
      <family val="2"/>
    </font>
    <font>
      <b/>
      <sz val="10"/>
      <color theme="1"/>
      <name val="Arial"/>
      <family val="2"/>
    </font>
    <font>
      <sz val="10"/>
      <color rgb="FF0000FF"/>
      <name val="Arial"/>
      <family val="2"/>
    </font>
    <font>
      <sz val="10"/>
      <color rgb="FF0033CC"/>
      <name val="Arial"/>
      <family val="2"/>
    </font>
    <font>
      <b/>
      <sz val="8"/>
      <color theme="2"/>
      <name val="Arial"/>
      <family val="2"/>
    </font>
    <font>
      <sz val="8"/>
      <color theme="2"/>
      <name val="Arial"/>
      <family val="2"/>
    </font>
    <font>
      <sz val="10"/>
      <color rgb="FF3333FF"/>
      <name val="Arial"/>
      <family val="2"/>
    </font>
    <font>
      <b/>
      <sz val="10"/>
      <color rgb="FF0070C0"/>
      <name val="Arial"/>
      <family val="2"/>
    </font>
    <font>
      <sz val="10"/>
      <color rgb="FF008000"/>
      <name val="Arial"/>
      <family val="2"/>
    </font>
  </fonts>
  <fills count="4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54"/>
        <bgColor indexed="64"/>
      </patternFill>
    </fill>
    <fill>
      <patternFill patternType="solid">
        <fgColor indexed="43"/>
        <bgColor indexed="64"/>
      </patternFill>
    </fill>
    <fill>
      <patternFill patternType="solid">
        <fgColor indexed="42"/>
        <bgColor indexed="64"/>
      </patternFill>
    </fill>
    <fill>
      <patternFill patternType="solid">
        <fgColor indexed="22"/>
        <bgColor indexed="64"/>
      </patternFill>
    </fill>
    <fill>
      <patternFill patternType="solid">
        <fgColor indexed="41"/>
        <bgColor indexed="64"/>
      </patternFill>
    </fill>
    <fill>
      <patternFill patternType="solid">
        <fgColor indexed="47"/>
        <bgColor indexed="64"/>
      </patternFill>
    </fill>
    <fill>
      <patternFill patternType="solid">
        <fgColor indexed="40"/>
        <bgColor indexed="64"/>
      </patternFill>
    </fill>
    <fill>
      <patternFill patternType="solid">
        <fgColor indexed="15"/>
        <bgColor indexed="64"/>
      </patternFill>
    </fill>
    <fill>
      <patternFill patternType="solid">
        <fgColor indexed="46"/>
        <bgColor indexed="64"/>
      </patternFill>
    </fill>
    <fill>
      <patternFill patternType="solid">
        <fgColor indexed="44"/>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31"/>
        <bgColor indexed="64"/>
      </patternFill>
    </fill>
    <fill>
      <patternFill patternType="solid">
        <fgColor indexed="49"/>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bgColor indexed="64"/>
      </patternFill>
    </fill>
    <fill>
      <patternFill patternType="solid">
        <fgColor theme="7" tint="0.79998168889431442"/>
        <bgColor indexed="64"/>
      </patternFill>
    </fill>
    <fill>
      <patternFill patternType="solid">
        <fgColor rgb="FFCCCCFF"/>
        <bgColor indexed="64"/>
      </patternFill>
    </fill>
    <fill>
      <patternFill patternType="solid">
        <fgColor rgb="FFFFFF99"/>
        <bgColor indexed="64"/>
      </patternFill>
    </fill>
    <fill>
      <patternFill patternType="solid">
        <fgColor rgb="FFFFFF00"/>
        <bgColor indexed="64"/>
      </patternFill>
    </fill>
    <fill>
      <patternFill patternType="solid">
        <fgColor rgb="FFCCFFCC"/>
        <bgColor indexed="64"/>
      </patternFill>
    </fill>
    <fill>
      <patternFill patternType="solid">
        <fgColor theme="0" tint="-0.499984740745262"/>
        <bgColor indexed="64"/>
      </patternFill>
    </fill>
  </fills>
  <borders count="20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top style="thin">
        <color indexed="62"/>
      </top>
      <bottom style="double">
        <color indexed="62"/>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top style="thin">
        <color indexed="64"/>
      </top>
      <bottom style="double">
        <color indexed="64"/>
      </bottom>
      <diagonal/>
    </border>
    <border>
      <left/>
      <right/>
      <top/>
      <bottom style="double">
        <color indexed="64"/>
      </bottom>
      <diagonal/>
    </border>
    <border>
      <left style="medium">
        <color indexed="64"/>
      </left>
      <right/>
      <top/>
      <bottom/>
      <diagonal/>
    </border>
    <border>
      <left/>
      <right style="thin">
        <color indexed="22"/>
      </right>
      <top/>
      <bottom/>
      <diagonal/>
    </border>
    <border>
      <left style="thin">
        <color indexed="22"/>
      </left>
      <right style="medium">
        <color indexed="64"/>
      </right>
      <top/>
      <bottom/>
      <diagonal/>
    </border>
    <border>
      <left style="thin">
        <color indexed="64"/>
      </left>
      <right style="thin">
        <color indexed="64"/>
      </right>
      <top style="thin">
        <color indexed="22"/>
      </top>
      <bottom style="dotted">
        <color indexed="64"/>
      </bottom>
      <diagonal/>
    </border>
    <border>
      <left/>
      <right style="thin">
        <color indexed="22"/>
      </right>
      <top/>
      <bottom style="thin">
        <color indexed="22"/>
      </bottom>
      <diagonal/>
    </border>
    <border>
      <left/>
      <right style="thin">
        <color indexed="22"/>
      </right>
      <top style="thin">
        <color indexed="22"/>
      </top>
      <bottom style="dotted">
        <color indexed="64"/>
      </bottom>
      <diagonal/>
    </border>
    <border>
      <left style="thin">
        <color indexed="64"/>
      </left>
      <right style="thin">
        <color indexed="22"/>
      </right>
      <top style="thin">
        <color indexed="22"/>
      </top>
      <bottom style="medium">
        <color indexed="64"/>
      </bottom>
      <diagonal/>
    </border>
    <border>
      <left style="thin">
        <color indexed="64"/>
      </left>
      <right/>
      <top style="thin">
        <color indexed="64"/>
      </top>
      <bottom/>
      <diagonal/>
    </border>
    <border>
      <left style="thin">
        <color indexed="64"/>
      </left>
      <right style="thin">
        <color indexed="64"/>
      </right>
      <top style="thin">
        <color indexed="22"/>
      </top>
      <bottom/>
      <diagonal/>
    </border>
    <border>
      <left style="hair">
        <color indexed="64"/>
      </left>
      <right/>
      <top/>
      <bottom/>
      <diagonal/>
    </border>
    <border>
      <left style="hair">
        <color indexed="64"/>
      </left>
      <right/>
      <top/>
      <bottom style="thin">
        <color indexed="64"/>
      </bottom>
      <diagonal/>
    </border>
    <border>
      <left/>
      <right style="hair">
        <color indexed="64"/>
      </right>
      <top/>
      <bottom/>
      <diagonal/>
    </border>
    <border>
      <left/>
      <right style="hair">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style="thin">
        <color indexed="22"/>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22"/>
      </right>
      <top style="medium">
        <color indexed="64"/>
      </top>
      <bottom style="thin">
        <color indexed="22"/>
      </bottom>
      <diagonal/>
    </border>
    <border>
      <left style="thin">
        <color indexed="64"/>
      </left>
      <right style="thin">
        <color indexed="22"/>
      </right>
      <top style="thin">
        <color indexed="22"/>
      </top>
      <bottom style="thin">
        <color indexed="22"/>
      </bottom>
      <diagonal/>
    </border>
    <border>
      <left style="thin">
        <color indexed="64"/>
      </left>
      <right style="thin">
        <color indexed="22"/>
      </right>
      <top style="thin">
        <color indexed="22"/>
      </top>
      <bottom/>
      <diagonal/>
    </border>
    <border>
      <left style="thin">
        <color indexed="64"/>
      </left>
      <right style="thin">
        <color indexed="22"/>
      </right>
      <top style="thin">
        <color indexed="64"/>
      </top>
      <bottom style="thin">
        <color indexed="22"/>
      </bottom>
      <diagonal/>
    </border>
    <border>
      <left style="thin">
        <color indexed="64"/>
      </left>
      <right style="thin">
        <color indexed="22"/>
      </right>
      <top style="thin">
        <color indexed="22"/>
      </top>
      <bottom style="thin">
        <color indexed="64"/>
      </bottom>
      <diagonal/>
    </border>
    <border>
      <left/>
      <right/>
      <top style="medium">
        <color indexed="64"/>
      </top>
      <bottom style="thin">
        <color indexed="22"/>
      </bottom>
      <diagonal/>
    </border>
    <border>
      <left/>
      <right/>
      <top style="thin">
        <color indexed="22"/>
      </top>
      <bottom style="thin">
        <color indexed="22"/>
      </bottom>
      <diagonal/>
    </border>
    <border>
      <left/>
      <right/>
      <top style="thin">
        <color indexed="22"/>
      </top>
      <bottom/>
      <diagonal/>
    </border>
    <border>
      <left/>
      <right/>
      <top style="thin">
        <color indexed="64"/>
      </top>
      <bottom style="thin">
        <color indexed="22"/>
      </bottom>
      <diagonal/>
    </border>
    <border>
      <left/>
      <right/>
      <top style="thin">
        <color indexed="22"/>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thin">
        <color indexed="22"/>
      </top>
      <bottom style="thin">
        <color indexed="22"/>
      </bottom>
      <diagonal/>
    </border>
    <border>
      <left/>
      <right style="medium">
        <color indexed="64"/>
      </right>
      <top style="thin">
        <color indexed="22"/>
      </top>
      <bottom/>
      <diagonal/>
    </border>
    <border>
      <left style="medium">
        <color indexed="64"/>
      </left>
      <right/>
      <top style="thin">
        <color indexed="64"/>
      </top>
      <bottom/>
      <diagonal/>
    </border>
    <border>
      <left/>
      <right style="medium">
        <color indexed="64"/>
      </right>
      <top style="thin">
        <color indexed="64"/>
      </top>
      <bottom style="thin">
        <color indexed="22"/>
      </bottom>
      <diagonal/>
    </border>
    <border>
      <left style="medium">
        <color indexed="64"/>
      </left>
      <right/>
      <top/>
      <bottom style="thin">
        <color indexed="64"/>
      </bottom>
      <diagonal/>
    </border>
    <border>
      <left/>
      <right style="medium">
        <color indexed="64"/>
      </right>
      <top style="thin">
        <color indexed="22"/>
      </top>
      <bottom style="thin">
        <color indexed="64"/>
      </bottom>
      <diagonal/>
    </border>
    <border>
      <left style="thin">
        <color indexed="64"/>
      </left>
      <right style="thin">
        <color indexed="64"/>
      </right>
      <top style="thin">
        <color indexed="22"/>
      </top>
      <bottom style="medium">
        <color indexed="64"/>
      </bottom>
      <diagonal/>
    </border>
    <border>
      <left/>
      <right/>
      <top style="thin">
        <color indexed="22"/>
      </top>
      <bottom style="medium">
        <color indexed="64"/>
      </bottom>
      <diagonal/>
    </border>
    <border>
      <left/>
      <right style="medium">
        <color indexed="64"/>
      </right>
      <top style="thin">
        <color indexed="22"/>
      </top>
      <bottom style="medium">
        <color indexed="64"/>
      </bottom>
      <diagonal/>
    </border>
    <border>
      <left style="thin">
        <color indexed="22"/>
      </left>
      <right style="thin">
        <color indexed="22"/>
      </right>
      <top style="thin">
        <color indexed="22"/>
      </top>
      <bottom/>
      <diagonal/>
    </border>
    <border>
      <left style="thin">
        <color indexed="22"/>
      </left>
      <right style="thin">
        <color indexed="22"/>
      </right>
      <top style="medium">
        <color indexed="64"/>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style="thin">
        <color indexed="64"/>
      </right>
      <top style="thin">
        <color indexed="22"/>
      </top>
      <bottom/>
      <diagonal/>
    </border>
    <border>
      <left style="thin">
        <color indexed="22"/>
      </left>
      <right style="thin">
        <color indexed="64"/>
      </right>
      <top style="thin">
        <color indexed="64"/>
      </top>
      <bottom style="thin">
        <color indexed="22"/>
      </bottom>
      <diagonal/>
    </border>
    <border>
      <left style="thin">
        <color indexed="22"/>
      </left>
      <right style="thin">
        <color indexed="64"/>
      </right>
      <top style="thin">
        <color indexed="22"/>
      </top>
      <bottom style="thin">
        <color indexed="64"/>
      </bottom>
      <diagonal/>
    </border>
    <border>
      <left/>
      <right style="medium">
        <color indexed="64"/>
      </right>
      <top/>
      <bottom/>
      <diagonal/>
    </border>
    <border>
      <left style="thin">
        <color indexed="22"/>
      </left>
      <right style="thin">
        <color indexed="64"/>
      </right>
      <top style="thin">
        <color indexed="22"/>
      </top>
      <bottom style="medium">
        <color indexed="64"/>
      </bottom>
      <diagonal/>
    </border>
    <border>
      <left style="thin">
        <color indexed="22"/>
      </left>
      <right style="thin">
        <color indexed="22"/>
      </right>
      <top style="thin">
        <color indexed="22"/>
      </top>
      <bottom style="medium">
        <color indexed="64"/>
      </bottom>
      <diagonal/>
    </border>
    <border>
      <left style="thin">
        <color indexed="22"/>
      </left>
      <right style="thin">
        <color indexed="64"/>
      </right>
      <top style="medium">
        <color indexed="64"/>
      </top>
      <bottom style="thin">
        <color indexed="22"/>
      </bottom>
      <diagonal/>
    </border>
    <border>
      <left/>
      <right/>
      <top/>
      <bottom style="dotted">
        <color indexed="64"/>
      </bottom>
      <diagonal/>
    </border>
    <border>
      <left/>
      <right style="thin">
        <color indexed="64"/>
      </right>
      <top/>
      <bottom style="dotted">
        <color indexed="64"/>
      </bottom>
      <diagonal/>
    </border>
    <border>
      <left style="thin">
        <color indexed="64"/>
      </left>
      <right style="thin">
        <color indexed="64"/>
      </right>
      <top/>
      <bottom style="dotted">
        <color indexed="64"/>
      </bottom>
      <diagonal/>
    </border>
    <border>
      <left style="thin">
        <color indexed="22"/>
      </left>
      <right style="thin">
        <color indexed="22"/>
      </right>
      <top/>
      <bottom/>
      <diagonal/>
    </border>
    <border>
      <left style="thin">
        <color indexed="64"/>
      </left>
      <right style="thin">
        <color indexed="22"/>
      </right>
      <top/>
      <bottom style="medium">
        <color indexed="64"/>
      </bottom>
      <diagonal/>
    </border>
    <border>
      <left style="thin">
        <color indexed="22"/>
      </left>
      <right style="thin">
        <color indexed="22"/>
      </right>
      <top/>
      <bottom style="medium">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22"/>
      </left>
      <right/>
      <top/>
      <bottom/>
      <diagonal/>
    </border>
    <border>
      <left style="thin">
        <color indexed="22"/>
      </left>
      <right/>
      <top style="thin">
        <color indexed="22"/>
      </top>
      <bottom style="dotted">
        <color indexed="64"/>
      </bottom>
      <diagonal/>
    </border>
    <border>
      <left style="thin">
        <color indexed="64"/>
      </left>
      <right style="thin">
        <color indexed="64"/>
      </right>
      <top style="hair">
        <color indexed="64"/>
      </top>
      <bottom style="thin">
        <color indexed="22"/>
      </bottom>
      <diagonal/>
    </border>
    <border>
      <left/>
      <right style="thin">
        <color indexed="22"/>
      </right>
      <top style="thin">
        <color indexed="22"/>
      </top>
      <bottom/>
      <diagonal/>
    </border>
    <border>
      <left style="thin">
        <color indexed="22"/>
      </left>
      <right/>
      <top style="thin">
        <color indexed="22"/>
      </top>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right style="thin">
        <color indexed="22"/>
      </right>
      <top style="hair">
        <color indexed="64"/>
      </top>
      <bottom style="thin">
        <color indexed="22"/>
      </bottom>
      <diagonal/>
    </border>
    <border>
      <left style="thin">
        <color indexed="22"/>
      </left>
      <right style="thin">
        <color indexed="22"/>
      </right>
      <top style="hair">
        <color indexed="64"/>
      </top>
      <bottom style="thin">
        <color indexed="22"/>
      </bottom>
      <diagonal/>
    </border>
    <border>
      <left style="thin">
        <color indexed="22"/>
      </left>
      <right/>
      <top style="hair">
        <color indexed="64"/>
      </top>
      <bottom style="thin">
        <color indexed="22"/>
      </bottom>
      <diagonal/>
    </border>
    <border>
      <left style="thin">
        <color indexed="22"/>
      </left>
      <right style="medium">
        <color indexed="64"/>
      </right>
      <top style="hair">
        <color indexed="64"/>
      </top>
      <bottom style="thin">
        <color indexed="22"/>
      </bottom>
      <diagonal/>
    </border>
    <border>
      <left style="thin">
        <color indexed="22"/>
      </left>
      <right style="medium">
        <color indexed="64"/>
      </right>
      <top style="thin">
        <color indexed="22"/>
      </top>
      <bottom/>
      <diagonal/>
    </border>
    <border>
      <left style="thin">
        <color indexed="22"/>
      </left>
      <right style="medium">
        <color indexed="64"/>
      </right>
      <top style="thin">
        <color indexed="22"/>
      </top>
      <bottom style="dotted">
        <color indexed="64"/>
      </bottom>
      <diagonal/>
    </border>
    <border>
      <left style="thin">
        <color indexed="22"/>
      </left>
      <right style="thin">
        <color indexed="22"/>
      </right>
      <top/>
      <bottom style="thin">
        <color indexed="22"/>
      </bottom>
      <diagonal/>
    </border>
    <border>
      <left style="thin">
        <color indexed="22"/>
      </left>
      <right style="medium">
        <color indexed="64"/>
      </right>
      <top/>
      <bottom style="thin">
        <color indexed="22"/>
      </bottom>
      <diagonal/>
    </border>
    <border>
      <left/>
      <right style="thin">
        <color indexed="22"/>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style="thin">
        <color indexed="64"/>
      </left>
      <right style="thin">
        <color indexed="64"/>
      </right>
      <top style="dotted">
        <color indexed="64"/>
      </top>
      <bottom style="medium">
        <color indexed="64"/>
      </bottom>
      <diagonal/>
    </border>
    <border>
      <left/>
      <right style="thin">
        <color indexed="22"/>
      </right>
      <top/>
      <bottom style="thin">
        <color indexed="64"/>
      </bottom>
      <diagonal/>
    </border>
    <border>
      <left/>
      <right style="thin">
        <color indexed="22"/>
      </right>
      <top style="thin">
        <color indexed="64"/>
      </top>
      <bottom style="double">
        <color indexed="64"/>
      </bottom>
      <diagonal/>
    </border>
    <border>
      <left style="thin">
        <color indexed="22"/>
      </left>
      <right style="thin">
        <color indexed="22"/>
      </right>
      <top style="thin">
        <color indexed="22"/>
      </top>
      <bottom style="dotted">
        <color indexed="64"/>
      </bottom>
      <diagonal/>
    </border>
    <border>
      <left style="hair">
        <color indexed="64"/>
      </left>
      <right/>
      <top style="thin">
        <color indexed="64"/>
      </top>
      <bottom/>
      <diagonal/>
    </border>
    <border>
      <left/>
      <right style="hair">
        <color indexed="64"/>
      </right>
      <top style="thin">
        <color indexed="64"/>
      </top>
      <bottom/>
      <diagonal/>
    </border>
    <border>
      <left style="thin">
        <color indexed="22"/>
      </left>
      <right/>
      <top style="thin">
        <color indexed="64"/>
      </top>
      <bottom/>
      <diagonal/>
    </border>
    <border>
      <left/>
      <right style="thin">
        <color indexed="22"/>
      </right>
      <top style="thin">
        <color indexed="64"/>
      </top>
      <bottom/>
      <diagonal/>
    </border>
    <border>
      <left style="thin">
        <color indexed="22"/>
      </left>
      <right/>
      <top/>
      <bottom style="thin">
        <color indexed="64"/>
      </bottom>
      <diagonal/>
    </border>
    <border>
      <left/>
      <right style="thin">
        <color indexed="22"/>
      </right>
      <top style="thin">
        <color indexed="22"/>
      </top>
      <bottom style="thin">
        <color indexed="22"/>
      </bottom>
      <diagonal/>
    </border>
    <border>
      <left/>
      <right style="thin">
        <color indexed="22"/>
      </right>
      <top style="thin">
        <color indexed="22"/>
      </top>
      <bottom style="thin">
        <color indexed="64"/>
      </bottom>
      <diagonal/>
    </border>
    <border>
      <left style="thin">
        <color indexed="22"/>
      </left>
      <right/>
      <top style="thin">
        <color indexed="22"/>
      </top>
      <bottom style="thin">
        <color indexed="22"/>
      </bottom>
      <diagonal/>
    </border>
    <border>
      <left style="thin">
        <color indexed="22"/>
      </left>
      <right/>
      <top style="thin">
        <color indexed="22"/>
      </top>
      <bottom style="thin">
        <color indexed="64"/>
      </bottom>
      <diagonal/>
    </border>
    <border>
      <left style="thin">
        <color indexed="22"/>
      </left>
      <right/>
      <top/>
      <bottom style="thin">
        <color indexed="22"/>
      </bottom>
      <diagonal/>
    </border>
    <border>
      <left/>
      <right/>
      <top/>
      <bottom style="thin">
        <color indexed="22"/>
      </bottom>
      <diagonal/>
    </border>
    <border>
      <left style="thin">
        <color indexed="22"/>
      </left>
      <right/>
      <top style="thin">
        <color indexed="64"/>
      </top>
      <bottom style="double">
        <color indexed="64"/>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style="thin">
        <color indexed="64"/>
      </left>
      <right style="thin">
        <color indexed="64"/>
      </right>
      <top style="thin">
        <color indexed="64"/>
      </top>
      <bottom/>
      <diagonal/>
    </border>
    <border>
      <left style="hair">
        <color indexed="64"/>
      </left>
      <right/>
      <top/>
      <bottom style="double">
        <color indexed="64"/>
      </bottom>
      <diagonal/>
    </border>
    <border>
      <left/>
      <right style="hair">
        <color indexed="64"/>
      </right>
      <top/>
      <bottom style="double">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bottom style="thin">
        <color indexed="22"/>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style="medium">
        <color indexed="64"/>
      </right>
      <top style="medium">
        <color indexed="64"/>
      </top>
      <bottom style="thin">
        <color indexed="22"/>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thick">
        <color indexed="64"/>
      </bottom>
      <diagonal/>
    </border>
    <border>
      <left/>
      <right style="thick">
        <color indexed="64"/>
      </right>
      <top/>
      <bottom style="thick">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22"/>
      </right>
      <top style="hair">
        <color indexed="64"/>
      </top>
      <bottom style="hair">
        <color indexed="64"/>
      </bottom>
      <diagonal/>
    </border>
    <border>
      <left style="hair">
        <color indexed="64"/>
      </left>
      <right style="thin">
        <color indexed="22"/>
      </right>
      <top style="hair">
        <color indexed="64"/>
      </top>
      <bottom style="thin">
        <color indexed="64"/>
      </bottom>
      <diagonal/>
    </border>
    <border>
      <left style="thin">
        <color indexed="22"/>
      </left>
      <right/>
      <top style="medium">
        <color indexed="64"/>
      </top>
      <bottom style="thin">
        <color indexed="22"/>
      </bottom>
      <diagonal/>
    </border>
    <border>
      <left/>
      <right style="thin">
        <color indexed="22"/>
      </right>
      <top style="medium">
        <color indexed="64"/>
      </top>
      <bottom style="thin">
        <color indexed="22"/>
      </bottom>
      <diagonal/>
    </border>
    <border>
      <left style="dashed">
        <color indexed="64"/>
      </left>
      <right style="dashed">
        <color indexed="64"/>
      </right>
      <top/>
      <bottom style="dashed">
        <color indexed="64"/>
      </bottom>
      <diagonal/>
    </border>
    <border>
      <left style="dashed">
        <color indexed="64"/>
      </left>
      <right style="dashed">
        <color indexed="64"/>
      </right>
      <top style="dashed">
        <color indexed="64"/>
      </top>
      <bottom style="dashed">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style="medium">
        <color indexed="64"/>
      </right>
      <top style="medium">
        <color indexed="64"/>
      </top>
      <bottom style="thin">
        <color indexed="22"/>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22"/>
      </left>
      <right style="thin">
        <color indexed="64"/>
      </right>
      <top/>
      <bottom style="thin">
        <color indexed="22"/>
      </bottom>
      <diagonal/>
    </border>
    <border>
      <left style="thin">
        <color indexed="64"/>
      </left>
      <right/>
      <top style="medium">
        <color indexed="64"/>
      </top>
      <bottom style="thin">
        <color indexed="64"/>
      </bottom>
      <diagonal/>
    </border>
    <border>
      <left style="thin">
        <color indexed="64"/>
      </left>
      <right/>
      <top style="medium">
        <color indexed="64"/>
      </top>
      <bottom style="thin">
        <color indexed="22"/>
      </bottom>
      <diagonal/>
    </border>
    <border>
      <left style="thin">
        <color indexed="64"/>
      </left>
      <right/>
      <top style="thin">
        <color indexed="22"/>
      </top>
      <bottom style="thin">
        <color indexed="22"/>
      </bottom>
      <diagonal/>
    </border>
    <border>
      <left style="thin">
        <color indexed="64"/>
      </left>
      <right/>
      <top style="thin">
        <color indexed="22"/>
      </top>
      <bottom/>
      <diagonal/>
    </border>
    <border>
      <left style="thin">
        <color indexed="64"/>
      </left>
      <right/>
      <top style="thin">
        <color indexed="64"/>
      </top>
      <bottom style="thin">
        <color indexed="22"/>
      </bottom>
      <diagonal/>
    </border>
    <border>
      <left style="thin">
        <color indexed="64"/>
      </left>
      <right/>
      <top style="thin">
        <color indexed="22"/>
      </top>
      <bottom style="thin">
        <color indexed="64"/>
      </bottom>
      <diagonal/>
    </border>
    <border>
      <left style="thin">
        <color indexed="64"/>
      </left>
      <right/>
      <top style="thin">
        <color indexed="22"/>
      </top>
      <bottom style="medium">
        <color indexed="64"/>
      </bottom>
      <diagonal/>
    </border>
    <border>
      <left style="hair">
        <color indexed="64"/>
      </left>
      <right style="hair">
        <color indexed="64"/>
      </right>
      <top style="thin">
        <color indexed="64"/>
      </top>
      <bottom style="hair">
        <color indexed="64"/>
      </bottom>
      <diagonal/>
    </border>
    <border>
      <left style="medium">
        <color indexed="64"/>
      </left>
      <right style="thin">
        <color indexed="64"/>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medium">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theme="0" tint="-0.24994659260841701"/>
      </left>
      <right style="thin">
        <color theme="0" tint="-0.24994659260841701"/>
      </right>
      <top style="medium">
        <color indexed="64"/>
      </top>
      <bottom style="thin">
        <color indexed="22"/>
      </bottom>
      <diagonal/>
    </border>
    <border>
      <left style="thin">
        <color theme="0" tint="-0.24994659260841701"/>
      </left>
      <right style="thin">
        <color theme="0" tint="-0.24994659260841701"/>
      </right>
      <top style="thin">
        <color indexed="22"/>
      </top>
      <bottom style="thin">
        <color indexed="22"/>
      </bottom>
      <diagonal/>
    </border>
    <border>
      <left style="thin">
        <color theme="0" tint="-0.24994659260841701"/>
      </left>
      <right style="thin">
        <color theme="0" tint="-0.24994659260841701"/>
      </right>
      <top style="thin">
        <color indexed="22"/>
      </top>
      <bottom/>
      <diagonal/>
    </border>
    <border>
      <left style="thin">
        <color theme="0" tint="-0.24994659260841701"/>
      </left>
      <right style="thin">
        <color theme="0" tint="-0.24994659260841701"/>
      </right>
      <top style="thin">
        <color indexed="64"/>
      </top>
      <bottom style="thin">
        <color indexed="22"/>
      </bottom>
      <diagonal/>
    </border>
    <border>
      <left style="thin">
        <color theme="0" tint="-0.24994659260841701"/>
      </left>
      <right style="thin">
        <color theme="0" tint="-0.24994659260841701"/>
      </right>
      <top style="thin">
        <color indexed="22"/>
      </top>
      <bottom style="thin">
        <color indexed="64"/>
      </bottom>
      <diagonal/>
    </border>
    <border>
      <left style="thin">
        <color theme="0" tint="-0.24994659260841701"/>
      </left>
      <right style="thin">
        <color theme="0" tint="-0.24994659260841701"/>
      </right>
      <top style="thin">
        <color indexed="22"/>
      </top>
      <bottom style="medium">
        <color indexed="64"/>
      </bottom>
      <diagonal/>
    </border>
    <border>
      <left style="thin">
        <color theme="0" tint="-0.24994659260841701"/>
      </left>
      <right style="thin">
        <color indexed="64"/>
      </right>
      <top style="medium">
        <color indexed="64"/>
      </top>
      <bottom style="thin">
        <color indexed="22"/>
      </bottom>
      <diagonal/>
    </border>
    <border>
      <left style="thin">
        <color theme="0" tint="-0.24994659260841701"/>
      </left>
      <right style="thin">
        <color indexed="64"/>
      </right>
      <top style="thin">
        <color indexed="22"/>
      </top>
      <bottom style="thin">
        <color indexed="22"/>
      </bottom>
      <diagonal/>
    </border>
    <border>
      <left style="thin">
        <color theme="0" tint="-0.24994659260841701"/>
      </left>
      <right style="thin">
        <color indexed="64"/>
      </right>
      <top style="thin">
        <color indexed="22"/>
      </top>
      <bottom/>
      <diagonal/>
    </border>
    <border>
      <left style="thin">
        <color theme="0" tint="-0.24994659260841701"/>
      </left>
      <right style="thin">
        <color indexed="64"/>
      </right>
      <top style="thin">
        <color indexed="64"/>
      </top>
      <bottom style="thin">
        <color indexed="22"/>
      </bottom>
      <diagonal/>
    </border>
    <border>
      <left style="thin">
        <color theme="0" tint="-0.24994659260841701"/>
      </left>
      <right style="thin">
        <color indexed="64"/>
      </right>
      <top style="thin">
        <color indexed="22"/>
      </top>
      <bottom style="thin">
        <color indexed="64"/>
      </bottom>
      <diagonal/>
    </border>
    <border>
      <left style="thin">
        <color theme="0" tint="-0.24994659260841701"/>
      </left>
      <right style="thin">
        <color indexed="64"/>
      </right>
      <top style="thin">
        <color indexed="22"/>
      </top>
      <bottom style="medium">
        <color indexed="64"/>
      </bottom>
      <diagonal/>
    </border>
  </borders>
  <cellStyleXfs count="66">
    <xf numFmtId="0" fontId="0" fillId="0" borderId="0"/>
    <xf numFmtId="0" fontId="77" fillId="2" borderId="0" applyNumberFormat="0" applyBorder="0" applyAlignment="0" applyProtection="0"/>
    <xf numFmtId="0" fontId="77" fillId="3" borderId="0" applyNumberFormat="0" applyBorder="0" applyAlignment="0" applyProtection="0"/>
    <xf numFmtId="0" fontId="77" fillId="4" borderId="0" applyNumberFormat="0" applyBorder="0" applyAlignment="0" applyProtection="0"/>
    <xf numFmtId="0" fontId="77" fillId="5" borderId="0" applyNumberFormat="0" applyBorder="0" applyAlignment="0" applyProtection="0"/>
    <xf numFmtId="0" fontId="77" fillId="6" borderId="0" applyNumberFormat="0" applyBorder="0" applyAlignment="0" applyProtection="0"/>
    <xf numFmtId="0" fontId="77" fillId="7" borderId="0" applyNumberFormat="0" applyBorder="0" applyAlignment="0" applyProtection="0"/>
    <xf numFmtId="0" fontId="77" fillId="8" borderId="0" applyNumberFormat="0" applyBorder="0" applyAlignment="0" applyProtection="0"/>
    <xf numFmtId="0" fontId="77" fillId="9" borderId="0" applyNumberFormat="0" applyBorder="0" applyAlignment="0" applyProtection="0"/>
    <xf numFmtId="0" fontId="77" fillId="10" borderId="0" applyNumberFormat="0" applyBorder="0" applyAlignment="0" applyProtection="0"/>
    <xf numFmtId="0" fontId="77" fillId="5" borderId="0" applyNumberFormat="0" applyBorder="0" applyAlignment="0" applyProtection="0"/>
    <xf numFmtId="0" fontId="77" fillId="8" borderId="0" applyNumberFormat="0" applyBorder="0" applyAlignment="0" applyProtection="0"/>
    <xf numFmtId="0" fontId="77" fillId="11" borderId="0" applyNumberFormat="0" applyBorder="0" applyAlignment="0" applyProtection="0"/>
    <xf numFmtId="0" fontId="78" fillId="12" borderId="0" applyNumberFormat="0" applyBorder="0" applyAlignment="0" applyProtection="0"/>
    <xf numFmtId="0" fontId="78" fillId="9" borderId="0" applyNumberFormat="0" applyBorder="0" applyAlignment="0" applyProtection="0"/>
    <xf numFmtId="0" fontId="78" fillId="10" borderId="0" applyNumberFormat="0" applyBorder="0" applyAlignment="0" applyProtection="0"/>
    <xf numFmtId="0" fontId="78" fillId="13" borderId="0" applyNumberFormat="0" applyBorder="0" applyAlignment="0" applyProtection="0"/>
    <xf numFmtId="0" fontId="78" fillId="14" borderId="0" applyNumberFormat="0" applyBorder="0" applyAlignment="0" applyProtection="0"/>
    <xf numFmtId="0" fontId="78" fillId="15" borderId="0" applyNumberFormat="0" applyBorder="0" applyAlignment="0" applyProtection="0"/>
    <xf numFmtId="0" fontId="78" fillId="16" borderId="0" applyNumberFormat="0" applyBorder="0" applyAlignment="0" applyProtection="0"/>
    <xf numFmtId="0" fontId="78" fillId="17" borderId="0" applyNumberFormat="0" applyBorder="0" applyAlignment="0" applyProtection="0"/>
    <xf numFmtId="0" fontId="78" fillId="18" borderId="0" applyNumberFormat="0" applyBorder="0" applyAlignment="0" applyProtection="0"/>
    <xf numFmtId="0" fontId="78" fillId="13" borderId="0" applyNumberFormat="0" applyBorder="0" applyAlignment="0" applyProtection="0"/>
    <xf numFmtId="0" fontId="78" fillId="14" borderId="0" applyNumberFormat="0" applyBorder="0" applyAlignment="0" applyProtection="0"/>
    <xf numFmtId="0" fontId="78" fillId="19" borderId="0" applyNumberFormat="0" applyBorder="0" applyAlignment="0" applyProtection="0"/>
    <xf numFmtId="0" fontId="79" fillId="3" borderId="0" applyNumberFormat="0" applyBorder="0" applyAlignment="0" applyProtection="0"/>
    <xf numFmtId="0" fontId="80" fillId="20" borderId="1" applyNumberFormat="0" applyAlignment="0" applyProtection="0"/>
    <xf numFmtId="0" fontId="81" fillId="21" borderId="2"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4" fontId="3" fillId="0" borderId="0" applyFont="0" applyFill="0" applyBorder="0" applyAlignment="0" applyProtection="0"/>
    <xf numFmtId="0" fontId="82" fillId="0" borderId="0" applyNumberFormat="0" applyFill="0" applyBorder="0" applyAlignment="0" applyProtection="0"/>
    <xf numFmtId="0" fontId="83" fillId="4" borderId="0" applyNumberFormat="0" applyBorder="0" applyAlignment="0" applyProtection="0"/>
    <xf numFmtId="0" fontId="84" fillId="0" borderId="3" applyNumberFormat="0" applyFill="0" applyAlignment="0" applyProtection="0"/>
    <xf numFmtId="0" fontId="85" fillId="0" borderId="4" applyNumberFormat="0" applyFill="0" applyAlignment="0" applyProtection="0"/>
    <xf numFmtId="0" fontId="86" fillId="0" borderId="5" applyNumberFormat="0" applyFill="0" applyAlignment="0" applyProtection="0"/>
    <xf numFmtId="0" fontId="86" fillId="0" borderId="0" applyNumberFormat="0" applyFill="0" applyBorder="0" applyAlignment="0" applyProtection="0"/>
    <xf numFmtId="0" fontId="17" fillId="0" borderId="0" applyNumberFormat="0" applyFill="0" applyBorder="0" applyAlignment="0" applyProtection="0">
      <alignment vertical="top"/>
      <protection locked="0"/>
    </xf>
    <xf numFmtId="0" fontId="87" fillId="7" borderId="1" applyNumberFormat="0" applyAlignment="0" applyProtection="0"/>
    <xf numFmtId="0" fontId="88" fillId="0" borderId="6" applyNumberFormat="0" applyFill="0" applyAlignment="0" applyProtection="0"/>
    <xf numFmtId="0" fontId="89" fillId="22" borderId="0" applyNumberFormat="0" applyBorder="0" applyAlignment="0" applyProtection="0"/>
    <xf numFmtId="0" fontId="33" fillId="0" borderId="0"/>
    <xf numFmtId="0" fontId="35" fillId="0" borderId="0"/>
    <xf numFmtId="0" fontId="35" fillId="0" borderId="0"/>
    <xf numFmtId="0" fontId="35" fillId="0" borderId="0"/>
    <xf numFmtId="0" fontId="1" fillId="0" borderId="0"/>
    <xf numFmtId="0" fontId="4" fillId="0" borderId="0"/>
    <xf numFmtId="0" fontId="35" fillId="0" borderId="0"/>
    <xf numFmtId="0" fontId="35" fillId="0" borderId="0"/>
    <xf numFmtId="0" fontId="35" fillId="0" borderId="0"/>
    <xf numFmtId="0" fontId="1" fillId="23" borderId="7" applyNumberFormat="0" applyFont="0" applyAlignment="0" applyProtection="0"/>
    <xf numFmtId="0" fontId="90" fillId="20" borderId="8" applyNumberFormat="0" applyAlignment="0" applyProtection="0"/>
    <xf numFmtId="40" fontId="25" fillId="24" borderId="0">
      <alignment horizontal="right"/>
    </xf>
    <xf numFmtId="0" fontId="59" fillId="25" borderId="0">
      <alignment horizontal="right"/>
    </xf>
    <xf numFmtId="0" fontId="29" fillId="24" borderId="9"/>
    <xf numFmtId="0" fontId="60" fillId="0" borderId="0" applyBorder="0">
      <alignment horizontal="centerContinuous"/>
    </xf>
    <xf numFmtId="0" fontId="61" fillId="0" borderId="0" applyBorder="0">
      <alignment horizontal="centerContinuous"/>
    </xf>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91" fillId="0" borderId="0" applyNumberFormat="0" applyFill="0" applyBorder="0" applyAlignment="0" applyProtection="0"/>
    <xf numFmtId="0" fontId="92" fillId="0" borderId="10" applyNumberFormat="0" applyFill="0" applyAlignment="0" applyProtection="0"/>
    <xf numFmtId="0" fontId="93" fillId="0" borderId="0" applyNumberFormat="0" applyFill="0" applyBorder="0" applyAlignment="0" applyProtection="0"/>
  </cellStyleXfs>
  <cellXfs count="3155">
    <xf numFmtId="0" fontId="0" fillId="0" borderId="0" xfId="0"/>
    <xf numFmtId="0" fontId="0" fillId="0" borderId="0" xfId="0" applyBorder="1"/>
    <xf numFmtId="0" fontId="2" fillId="0" borderId="0" xfId="0" applyFont="1"/>
    <xf numFmtId="0" fontId="0" fillId="0" borderId="0" xfId="0" applyFill="1"/>
    <xf numFmtId="0" fontId="0" fillId="26" borderId="0" xfId="0" applyFill="1"/>
    <xf numFmtId="0" fontId="0" fillId="0" borderId="11" xfId="0" applyBorder="1" applyAlignment="1">
      <alignment horizontal="center"/>
    </xf>
    <xf numFmtId="0" fontId="0" fillId="27" borderId="0" xfId="0" applyFill="1"/>
    <xf numFmtId="37" fontId="8" fillId="0" borderId="0" xfId="0" applyNumberFormat="1" applyFont="1" applyFill="1" applyBorder="1" applyAlignment="1" applyProtection="1">
      <protection locked="0"/>
    </xf>
    <xf numFmtId="0" fontId="2" fillId="0" borderId="12" xfId="0" applyFont="1" applyBorder="1" applyAlignment="1">
      <alignment horizontal="center"/>
    </xf>
    <xf numFmtId="0" fontId="2" fillId="0" borderId="13" xfId="0" applyFont="1" applyBorder="1" applyAlignment="1">
      <alignment horizontal="center"/>
    </xf>
    <xf numFmtId="0" fontId="0" fillId="0" borderId="14" xfId="0" applyBorder="1"/>
    <xf numFmtId="0" fontId="2" fillId="0" borderId="15" xfId="0" applyFont="1" applyBorder="1"/>
    <xf numFmtId="0" fontId="2" fillId="0" borderId="16" xfId="0" applyFont="1" applyBorder="1"/>
    <xf numFmtId="0" fontId="2" fillId="0" borderId="17" xfId="0" applyFont="1" applyBorder="1"/>
    <xf numFmtId="0" fontId="2" fillId="0" borderId="14" xfId="0" applyFont="1" applyBorder="1" applyAlignment="1">
      <alignment horizontal="center"/>
    </xf>
    <xf numFmtId="0" fontId="18" fillId="0" borderId="15" xfId="0" applyFont="1" applyBorder="1" applyAlignment="1">
      <alignment horizontal="center"/>
    </xf>
    <xf numFmtId="0" fontId="18" fillId="0" borderId="16" xfId="0" applyFont="1" applyBorder="1" applyAlignment="1">
      <alignment horizontal="center"/>
    </xf>
    <xf numFmtId="0" fontId="2" fillId="0" borderId="18" xfId="0" applyFont="1" applyBorder="1" applyAlignment="1">
      <alignment horizontal="center"/>
    </xf>
    <xf numFmtId="0" fontId="18" fillId="0" borderId="19" xfId="0" applyFont="1" applyBorder="1" applyAlignment="1">
      <alignment horizontal="center"/>
    </xf>
    <xf numFmtId="0" fontId="18" fillId="0" borderId="20" xfId="0" applyFont="1"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2" fillId="0" borderId="24" xfId="0" applyFont="1" applyBorder="1" applyAlignment="1">
      <alignment horizontal="center"/>
    </xf>
    <xf numFmtId="0" fontId="0" fillId="0" borderId="25" xfId="0" applyBorder="1" applyAlignment="1">
      <alignment horizontal="center"/>
    </xf>
    <xf numFmtId="0" fontId="2" fillId="0" borderId="26" xfId="0" applyFont="1" applyBorder="1" applyAlignment="1">
      <alignment horizontal="center"/>
    </xf>
    <xf numFmtId="0" fontId="2" fillId="0" borderId="19" xfId="0" applyFont="1" applyBorder="1" applyAlignment="1">
      <alignment horizontal="center"/>
    </xf>
    <xf numFmtId="0" fontId="2" fillId="0" borderId="20" xfId="0" applyFont="1" applyBorder="1" applyAlignment="1">
      <alignment horizontal="center"/>
    </xf>
    <xf numFmtId="0" fontId="19" fillId="0" borderId="0" xfId="0" applyFont="1" applyFill="1" applyBorder="1" applyAlignment="1">
      <alignment horizontal="left" indent="4"/>
    </xf>
    <xf numFmtId="0" fontId="21" fillId="0" borderId="16" xfId="0" applyFont="1" applyBorder="1" applyAlignment="1">
      <alignment horizontal="center"/>
    </xf>
    <xf numFmtId="14" fontId="21" fillId="0" borderId="16" xfId="0" applyNumberFormat="1" applyFont="1" applyBorder="1" applyAlignment="1">
      <alignment horizontal="center"/>
    </xf>
    <xf numFmtId="0" fontId="21" fillId="0" borderId="17" xfId="0" applyFont="1" applyBorder="1" applyAlignment="1">
      <alignment horizontal="center"/>
    </xf>
    <xf numFmtId="9" fontId="18" fillId="0" borderId="16" xfId="59" applyFont="1" applyBorder="1" applyAlignment="1">
      <alignment horizontal="center"/>
    </xf>
    <xf numFmtId="9" fontId="21" fillId="0" borderId="19" xfId="59" applyFont="1" applyBorder="1" applyAlignment="1">
      <alignment horizontal="center"/>
    </xf>
    <xf numFmtId="0" fontId="22" fillId="28" borderId="0" xfId="0" applyFont="1" applyFill="1"/>
    <xf numFmtId="0" fontId="0" fillId="28" borderId="0" xfId="0" applyFill="1"/>
    <xf numFmtId="37" fontId="0" fillId="0" borderId="0" xfId="0" applyNumberFormat="1" applyFill="1" applyBorder="1" applyProtection="1"/>
    <xf numFmtId="37" fontId="8" fillId="0" borderId="0" xfId="59" applyNumberFormat="1" applyFont="1" applyFill="1" applyBorder="1" applyAlignment="1" applyProtection="1">
      <alignment horizontal="right"/>
    </xf>
    <xf numFmtId="0" fontId="2" fillId="0" borderId="27" xfId="47" applyFont="1" applyFill="1" applyBorder="1" applyAlignment="1" applyProtection="1">
      <alignment horizontal="center"/>
    </xf>
    <xf numFmtId="0" fontId="5" fillId="0" borderId="0" xfId="0" applyFont="1" applyFill="1" applyBorder="1"/>
    <xf numFmtId="37" fontId="3" fillId="0" borderId="0" xfId="0" applyNumberFormat="1" applyFont="1" applyFill="1" applyBorder="1" applyProtection="1"/>
    <xf numFmtId="0" fontId="2" fillId="0" borderId="0" xfId="0" applyFont="1" applyBorder="1"/>
    <xf numFmtId="37" fontId="30" fillId="0" borderId="0" xfId="0" applyNumberFormat="1" applyFont="1" applyFill="1" applyBorder="1" applyProtection="1"/>
    <xf numFmtId="37" fontId="8" fillId="0" borderId="28" xfId="59" applyNumberFormat="1" applyFont="1" applyFill="1" applyBorder="1" applyAlignment="1" applyProtection="1">
      <alignment horizontal="right"/>
    </xf>
    <xf numFmtId="37" fontId="8" fillId="26" borderId="29" xfId="0" applyNumberFormat="1" applyFont="1" applyFill="1" applyBorder="1" applyAlignment="1" applyProtection="1">
      <alignment horizontal="right"/>
      <protection locked="0"/>
    </xf>
    <xf numFmtId="0" fontId="1" fillId="0" borderId="0" xfId="0" applyFont="1"/>
    <xf numFmtId="0" fontId="3" fillId="0" borderId="0" xfId="0" applyFont="1" applyProtection="1"/>
    <xf numFmtId="37" fontId="3" fillId="0" borderId="0" xfId="0" applyNumberFormat="1" applyFont="1" applyFill="1" applyBorder="1" applyAlignment="1" applyProtection="1">
      <alignment horizontal="right"/>
    </xf>
    <xf numFmtId="0" fontId="8" fillId="0" borderId="0" xfId="0" applyFont="1" applyBorder="1" applyProtection="1"/>
    <xf numFmtId="0" fontId="28" fillId="0" borderId="0" xfId="0" applyFont="1" applyBorder="1" applyProtection="1"/>
    <xf numFmtId="0" fontId="3" fillId="0" borderId="0" xfId="0" applyFont="1" applyFill="1" applyBorder="1" applyProtection="1"/>
    <xf numFmtId="165" fontId="30" fillId="0" borderId="0" xfId="59" applyNumberFormat="1" applyFont="1" applyFill="1" applyBorder="1" applyAlignment="1" applyProtection="1">
      <alignment horizontal="right"/>
    </xf>
    <xf numFmtId="37" fontId="30" fillId="0" borderId="0" xfId="0" applyNumberFormat="1" applyFont="1" applyFill="1" applyBorder="1" applyAlignment="1" applyProtection="1">
      <alignment horizontal="right"/>
    </xf>
    <xf numFmtId="172" fontId="7" fillId="0" borderId="0" xfId="28" applyNumberFormat="1" applyFont="1" applyFill="1" applyBorder="1" applyAlignment="1" applyProtection="1">
      <alignment horizontal="center"/>
    </xf>
    <xf numFmtId="172" fontId="3" fillId="0" borderId="0" xfId="28" applyNumberFormat="1" applyFont="1" applyFill="1" applyBorder="1" applyAlignment="1" applyProtection="1">
      <alignment horizontal="center"/>
    </xf>
    <xf numFmtId="38" fontId="2" fillId="0" borderId="27" xfId="47" applyNumberFormat="1" applyFont="1" applyFill="1" applyBorder="1" applyAlignment="1" applyProtection="1">
      <alignment horizontal="center"/>
    </xf>
    <xf numFmtId="0" fontId="3" fillId="29" borderId="0" xfId="0" applyFont="1" applyFill="1" applyProtection="1"/>
    <xf numFmtId="164" fontId="30" fillId="0" borderId="0" xfId="28" applyNumberFormat="1" applyFont="1" applyFill="1" applyBorder="1" applyProtection="1"/>
    <xf numFmtId="0" fontId="1" fillId="24" borderId="0" xfId="28" applyNumberFormat="1" applyFont="1" applyFill="1" applyBorder="1" applyAlignment="1" applyProtection="1">
      <alignment vertical="top" wrapText="1"/>
      <protection locked="0"/>
    </xf>
    <xf numFmtId="0" fontId="1" fillId="24" borderId="9" xfId="28" applyNumberFormat="1" applyFont="1" applyFill="1" applyBorder="1" applyAlignment="1" applyProtection="1">
      <alignment vertical="top" wrapText="1"/>
      <protection locked="0"/>
    </xf>
    <xf numFmtId="0" fontId="0" fillId="0" borderId="0" xfId="0" applyAlignment="1"/>
    <xf numFmtId="0" fontId="2" fillId="0" borderId="30" xfId="0" applyFont="1" applyBorder="1" applyAlignment="1">
      <alignment horizontal="centerContinuous"/>
    </xf>
    <xf numFmtId="0" fontId="0" fillId="0" borderId="30" xfId="0" applyBorder="1" applyAlignment="1">
      <alignment horizontal="centerContinuous"/>
    </xf>
    <xf numFmtId="164" fontId="35" fillId="0" borderId="0" xfId="28" applyNumberFormat="1" applyFont="1"/>
    <xf numFmtId="164" fontId="2" fillId="0" borderId="0" xfId="28" applyNumberFormat="1" applyFont="1"/>
    <xf numFmtId="164" fontId="2" fillId="0" borderId="0" xfId="28" applyNumberFormat="1" applyFont="1" applyAlignment="1" applyProtection="1">
      <alignment horizontal="centerContinuous"/>
    </xf>
    <xf numFmtId="164" fontId="35" fillId="0" borderId="0" xfId="28" applyNumberFormat="1" applyFont="1" applyAlignment="1" applyProtection="1">
      <alignment horizontal="centerContinuous"/>
    </xf>
    <xf numFmtId="164" fontId="35" fillId="0" borderId="0" xfId="28" applyNumberFormat="1" applyFont="1" applyAlignment="1">
      <alignment horizontal="centerContinuous"/>
    </xf>
    <xf numFmtId="164" fontId="35" fillId="0" borderId="0" xfId="28" applyNumberFormat="1" applyFont="1" applyAlignment="1" applyProtection="1">
      <alignment horizontal="right"/>
    </xf>
    <xf numFmtId="165" fontId="37" fillId="0" borderId="0" xfId="28" applyNumberFormat="1" applyFont="1"/>
    <xf numFmtId="170" fontId="35" fillId="0" borderId="31" xfId="28" quotePrefix="1" applyNumberFormat="1" applyFont="1" applyBorder="1" applyAlignment="1" applyProtection="1">
      <alignment horizontal="right"/>
    </xf>
    <xf numFmtId="170" fontId="35" fillId="0" borderId="32" xfId="28" quotePrefix="1" applyNumberFormat="1" applyFont="1" applyBorder="1" applyAlignment="1" applyProtection="1">
      <alignment horizontal="right"/>
    </xf>
    <xf numFmtId="170" fontId="35" fillId="0" borderId="11" xfId="28" quotePrefix="1" applyNumberFormat="1" applyFont="1" applyBorder="1" applyAlignment="1" applyProtection="1">
      <alignment horizontal="right"/>
    </xf>
    <xf numFmtId="170" fontId="35" fillId="0" borderId="32" xfId="28" applyNumberFormat="1" applyFont="1" applyBorder="1" applyAlignment="1" applyProtection="1">
      <alignment horizontal="right"/>
    </xf>
    <xf numFmtId="164" fontId="2" fillId="0" borderId="0" xfId="28" applyNumberFormat="1" applyFont="1" applyProtection="1"/>
    <xf numFmtId="165" fontId="37" fillId="0" borderId="0" xfId="28" applyNumberFormat="1" applyFont="1" applyAlignment="1" applyProtection="1">
      <alignment horizontal="right"/>
    </xf>
    <xf numFmtId="170" fontId="10" fillId="0" borderId="32" xfId="28" applyNumberFormat="1" applyFont="1" applyBorder="1" applyAlignment="1" applyProtection="1">
      <alignment horizontal="right"/>
    </xf>
    <xf numFmtId="170" fontId="35" fillId="0" borderId="0" xfId="28" applyNumberFormat="1" applyFont="1" applyBorder="1" applyAlignment="1" applyProtection="1">
      <alignment horizontal="right"/>
    </xf>
    <xf numFmtId="164" fontId="2" fillId="0" borderId="0" xfId="28" applyNumberFormat="1" applyFont="1" applyAlignment="1" applyProtection="1">
      <alignment horizontal="right"/>
    </xf>
    <xf numFmtId="165" fontId="1" fillId="0" borderId="0" xfId="59" applyNumberFormat="1" applyFont="1" applyBorder="1" applyAlignment="1" applyProtection="1">
      <alignment horizontal="right"/>
    </xf>
    <xf numFmtId="164" fontId="35" fillId="0" borderId="33" xfId="28" applyNumberFormat="1" applyFont="1" applyBorder="1" applyAlignment="1" applyProtection="1">
      <alignment horizontal="right"/>
    </xf>
    <xf numFmtId="164" fontId="10" fillId="0" borderId="31" xfId="28" applyNumberFormat="1" applyFont="1" applyBorder="1" applyAlignment="1" applyProtection="1">
      <alignment horizontal="right"/>
    </xf>
    <xf numFmtId="164" fontId="35" fillId="0" borderId="0" xfId="28" applyNumberFormat="1" applyFont="1" applyProtection="1"/>
    <xf numFmtId="164" fontId="35" fillId="0" borderId="34" xfId="28" applyNumberFormat="1" applyFont="1" applyBorder="1" applyAlignment="1" applyProtection="1">
      <alignment horizontal="right"/>
    </xf>
    <xf numFmtId="170" fontId="38" fillId="0" borderId="32" xfId="28" applyNumberFormat="1" applyFont="1" applyBorder="1" applyAlignment="1" applyProtection="1">
      <alignment horizontal="right"/>
    </xf>
    <xf numFmtId="164" fontId="35" fillId="0" borderId="31" xfId="28" applyNumberFormat="1" applyFont="1" applyBorder="1" applyAlignment="1" applyProtection="1">
      <alignment horizontal="right"/>
    </xf>
    <xf numFmtId="1" fontId="1" fillId="0" borderId="0" xfId="0" applyNumberFormat="1" applyFont="1" applyBorder="1"/>
    <xf numFmtId="165" fontId="0" fillId="0" borderId="0" xfId="0" applyNumberFormat="1" applyFill="1" applyBorder="1" applyProtection="1"/>
    <xf numFmtId="0" fontId="1" fillId="0" borderId="27" xfId="47" applyFont="1" applyFill="1" applyBorder="1" applyAlignment="1">
      <alignment horizontal="center" vertical="center"/>
    </xf>
    <xf numFmtId="0" fontId="4" fillId="0" borderId="27" xfId="0" applyFont="1" applyFill="1" applyBorder="1" applyAlignment="1">
      <alignment horizontal="center" vertical="center"/>
    </xf>
    <xf numFmtId="0" fontId="1" fillId="0" borderId="0" xfId="47" applyFont="1" applyFill="1" applyBorder="1" applyAlignment="1">
      <alignment wrapText="1"/>
    </xf>
    <xf numFmtId="0" fontId="1" fillId="0" borderId="0" xfId="0" quotePrefix="1" applyFont="1" applyFill="1" applyBorder="1" applyAlignment="1">
      <alignment horizontal="center"/>
    </xf>
    <xf numFmtId="0" fontId="4" fillId="0" borderId="0" xfId="0" applyFont="1" applyFill="1" applyBorder="1"/>
    <xf numFmtId="0" fontId="1" fillId="0" borderId="0" xfId="47" applyFont="1" applyFill="1" applyBorder="1"/>
    <xf numFmtId="0" fontId="4" fillId="0" borderId="0" xfId="0" applyFont="1" applyFill="1" applyBorder="1" applyAlignment="1"/>
    <xf numFmtId="0" fontId="1" fillId="0" borderId="0" xfId="47" applyFont="1" applyFill="1" applyBorder="1" applyAlignment="1"/>
    <xf numFmtId="0" fontId="1" fillId="27" borderId="0" xfId="0" quotePrefix="1" applyFont="1" applyFill="1"/>
    <xf numFmtId="0" fontId="16" fillId="0" borderId="0" xfId="0" quotePrefix="1" applyFont="1"/>
    <xf numFmtId="0" fontId="16" fillId="0" borderId="0" xfId="0" applyFont="1"/>
    <xf numFmtId="0" fontId="1" fillId="0" borderId="0" xfId="0" applyFont="1" applyAlignment="1">
      <alignment vertical="center" wrapText="1"/>
    </xf>
    <xf numFmtId="0" fontId="8" fillId="0" borderId="0" xfId="0" applyFont="1" applyAlignment="1">
      <alignment horizontal="right"/>
    </xf>
    <xf numFmtId="0" fontId="8" fillId="26" borderId="0" xfId="0" applyFont="1" applyFill="1" applyAlignment="1">
      <alignment horizontal="right"/>
    </xf>
    <xf numFmtId="0" fontId="16" fillId="27" borderId="0" xfId="0" applyFont="1" applyFill="1"/>
    <xf numFmtId="9" fontId="0" fillId="0" borderId="0" xfId="0" applyNumberFormat="1"/>
    <xf numFmtId="0" fontId="8" fillId="0" borderId="0" xfId="0" applyFont="1"/>
    <xf numFmtId="164" fontId="0" fillId="0" borderId="0" xfId="28" applyNumberFormat="1" applyFont="1"/>
    <xf numFmtId="0" fontId="0" fillId="29" borderId="0" xfId="0" applyFill="1"/>
    <xf numFmtId="0" fontId="8" fillId="0" borderId="0" xfId="0" applyFont="1" applyBorder="1" applyProtection="1">
      <protection locked="0"/>
    </xf>
    <xf numFmtId="165" fontId="8" fillId="0" borderId="0" xfId="0" applyNumberFormat="1" applyFont="1" applyBorder="1" applyProtection="1">
      <protection locked="0"/>
    </xf>
    <xf numFmtId="0" fontId="18" fillId="0" borderId="0" xfId="0" applyFont="1"/>
    <xf numFmtId="0" fontId="18" fillId="0" borderId="35" xfId="0" applyFont="1" applyBorder="1"/>
    <xf numFmtId="0" fontId="18" fillId="0" borderId="36" xfId="0" applyFont="1" applyBorder="1"/>
    <xf numFmtId="0" fontId="18" fillId="0" borderId="29" xfId="0" applyFont="1" applyBorder="1"/>
    <xf numFmtId="0" fontId="1" fillId="0" borderId="0" xfId="28" applyNumberFormat="1"/>
    <xf numFmtId="0" fontId="1" fillId="0" borderId="0" xfId="28" applyNumberFormat="1" applyAlignment="1">
      <alignment horizontal="right"/>
    </xf>
    <xf numFmtId="0" fontId="1" fillId="29" borderId="0" xfId="28" applyNumberFormat="1" applyFill="1"/>
    <xf numFmtId="0" fontId="1" fillId="29" borderId="0" xfId="28" applyNumberFormat="1" applyFill="1" applyProtection="1"/>
    <xf numFmtId="0" fontId="12" fillId="29" borderId="0" xfId="0" applyNumberFormat="1" applyFont="1" applyFill="1" applyProtection="1"/>
    <xf numFmtId="0" fontId="1" fillId="0" borderId="0" xfId="28" applyNumberFormat="1" applyAlignment="1" applyProtection="1">
      <alignment horizontal="left"/>
    </xf>
    <xf numFmtId="0" fontId="1" fillId="0" borderId="0" xfId="28" applyNumberFormat="1" applyAlignment="1" applyProtection="1">
      <alignment horizontal="right"/>
    </xf>
    <xf numFmtId="0" fontId="1" fillId="0" borderId="0" xfId="28" applyNumberFormat="1" applyProtection="1"/>
    <xf numFmtId="0" fontId="1" fillId="0" borderId="0" xfId="28" applyNumberFormat="1" applyAlignment="1"/>
    <xf numFmtId="0" fontId="1" fillId="0" borderId="0" xfId="28" applyNumberFormat="1" applyAlignment="1" applyProtection="1"/>
    <xf numFmtId="0" fontId="1" fillId="0" borderId="0" xfId="28" applyNumberFormat="1" applyFont="1" applyBorder="1" applyProtection="1"/>
    <xf numFmtId="0" fontId="1" fillId="0" borderId="0" xfId="28" applyNumberFormat="1" applyBorder="1" applyProtection="1"/>
    <xf numFmtId="0" fontId="2" fillId="24" borderId="33" xfId="28" applyNumberFormat="1" applyFont="1" applyFill="1" applyBorder="1" applyAlignment="1" applyProtection="1"/>
    <xf numFmtId="0" fontId="1" fillId="24" borderId="0" xfId="28" applyNumberFormat="1" applyFill="1" applyBorder="1" applyAlignment="1" applyProtection="1"/>
    <xf numFmtId="0" fontId="1" fillId="24" borderId="9" xfId="28" applyNumberFormat="1" applyFill="1" applyBorder="1" applyAlignment="1" applyProtection="1"/>
    <xf numFmtId="0" fontId="1" fillId="24" borderId="33" xfId="28" applyNumberFormat="1" applyFont="1" applyFill="1" applyBorder="1" applyAlignment="1" applyProtection="1">
      <protection locked="0"/>
    </xf>
    <xf numFmtId="0" fontId="1" fillId="24" borderId="0" xfId="28" quotePrefix="1" applyNumberFormat="1" applyFont="1" applyFill="1" applyBorder="1" applyAlignment="1" applyProtection="1"/>
    <xf numFmtId="0" fontId="1" fillId="24" borderId="9" xfId="28" applyNumberFormat="1" applyFill="1" applyBorder="1" applyAlignment="1" applyProtection="1">
      <protection locked="0"/>
    </xf>
    <xf numFmtId="0" fontId="1" fillId="0" borderId="0" xfId="28" applyNumberFormat="1" applyBorder="1" applyProtection="1">
      <protection locked="0"/>
    </xf>
    <xf numFmtId="0" fontId="1" fillId="24" borderId="0" xfId="28" applyNumberFormat="1" applyFont="1" applyFill="1" applyBorder="1" applyAlignment="1" applyProtection="1">
      <alignment vertical="center"/>
      <protection locked="0"/>
    </xf>
    <xf numFmtId="0" fontId="1" fillId="24" borderId="0" xfId="28" applyNumberFormat="1" applyFill="1" applyBorder="1" applyAlignment="1" applyProtection="1">
      <protection locked="0"/>
    </xf>
    <xf numFmtId="0" fontId="2" fillId="24" borderId="33" xfId="28" applyNumberFormat="1" applyFont="1" applyFill="1" applyBorder="1" applyAlignment="1" applyProtection="1">
      <protection locked="0"/>
    </xf>
    <xf numFmtId="0" fontId="1" fillId="0" borderId="0" xfId="28" applyNumberFormat="1" applyProtection="1">
      <protection locked="0"/>
    </xf>
    <xf numFmtId="0" fontId="1" fillId="24" borderId="0" xfId="28" applyNumberFormat="1" applyFill="1"/>
    <xf numFmtId="0" fontId="2" fillId="24" borderId="31" xfId="28" applyNumberFormat="1" applyFont="1" applyFill="1" applyBorder="1" applyAlignment="1" applyProtection="1">
      <alignment horizontal="centerContinuous"/>
    </xf>
    <xf numFmtId="0" fontId="2" fillId="24" borderId="32" xfId="28" applyNumberFormat="1" applyFont="1" applyFill="1" applyBorder="1" applyAlignment="1" applyProtection="1">
      <alignment horizontal="centerContinuous"/>
    </xf>
    <xf numFmtId="0" fontId="2" fillId="24" borderId="11" xfId="28" applyNumberFormat="1" applyFont="1" applyFill="1" applyBorder="1" applyAlignment="1" applyProtection="1">
      <alignment horizontal="centerContinuous"/>
    </xf>
    <xf numFmtId="0" fontId="2" fillId="0" borderId="31" xfId="28" applyNumberFormat="1" applyFont="1" applyBorder="1" applyAlignment="1" applyProtection="1">
      <alignment horizontal="centerContinuous"/>
    </xf>
    <xf numFmtId="0" fontId="2" fillId="0" borderId="32" xfId="28" applyNumberFormat="1" applyFont="1" applyBorder="1" applyAlignment="1" applyProtection="1">
      <alignment horizontal="centerContinuous"/>
    </xf>
    <xf numFmtId="0" fontId="2" fillId="0" borderId="11" xfId="28" applyNumberFormat="1" applyFont="1" applyBorder="1" applyAlignment="1" applyProtection="1">
      <alignment horizontal="centerContinuous"/>
    </xf>
    <xf numFmtId="0" fontId="1" fillId="24" borderId="33" xfId="28" applyNumberFormat="1" applyFont="1" applyFill="1" applyBorder="1" applyAlignment="1" applyProtection="1"/>
    <xf numFmtId="0" fontId="1" fillId="24" borderId="0" xfId="28" applyNumberFormat="1" applyFont="1" applyFill="1" applyBorder="1" applyAlignment="1" applyProtection="1">
      <alignment vertical="top"/>
      <protection locked="0"/>
    </xf>
    <xf numFmtId="0" fontId="1" fillId="24" borderId="9" xfId="28" applyNumberFormat="1" applyFont="1" applyFill="1" applyBorder="1" applyAlignment="1" applyProtection="1">
      <alignment vertical="top"/>
      <protection locked="0"/>
    </xf>
    <xf numFmtId="0" fontId="1" fillId="0" borderId="0" xfId="28" applyNumberFormat="1" applyBorder="1" applyAlignment="1" applyProtection="1">
      <protection locked="0"/>
    </xf>
    <xf numFmtId="165" fontId="1" fillId="24" borderId="0" xfId="28" applyNumberFormat="1" applyFont="1" applyFill="1" applyBorder="1" applyAlignment="1" applyProtection="1">
      <alignment vertical="top"/>
      <protection locked="0"/>
    </xf>
    <xf numFmtId="0" fontId="1" fillId="24" borderId="0" xfId="28" applyNumberFormat="1" applyFont="1" applyFill="1" applyBorder="1" applyAlignment="1" applyProtection="1">
      <alignment horizontal="left" vertical="top"/>
      <protection locked="0"/>
    </xf>
    <xf numFmtId="165" fontId="2" fillId="0" borderId="37" xfId="59" applyNumberFormat="1" applyFont="1" applyBorder="1" applyAlignment="1" applyProtection="1">
      <alignment horizontal="right"/>
    </xf>
    <xf numFmtId="165" fontId="2" fillId="0" borderId="37" xfId="59" applyNumberFormat="1" applyFont="1" applyBorder="1" applyAlignment="1" applyProtection="1"/>
    <xf numFmtId="170" fontId="2" fillId="0" borderId="37" xfId="28" applyNumberFormat="1" applyFont="1" applyBorder="1" applyAlignment="1" applyProtection="1">
      <alignment horizontal="right"/>
    </xf>
    <xf numFmtId="0" fontId="1" fillId="24" borderId="0" xfId="0" applyNumberFormat="1" applyFont="1" applyFill="1" applyAlignment="1" applyProtection="1"/>
    <xf numFmtId="0" fontId="8" fillId="24" borderId="0" xfId="28" applyNumberFormat="1" applyFont="1" applyFill="1" applyBorder="1" applyAlignment="1" applyProtection="1">
      <alignment horizontal="left" vertical="top"/>
      <protection locked="0"/>
    </xf>
    <xf numFmtId="0" fontId="1" fillId="0" borderId="0" xfId="28" applyNumberFormat="1" applyFont="1" applyProtection="1"/>
    <xf numFmtId="0" fontId="1" fillId="0" borderId="0" xfId="28" applyNumberFormat="1" applyFont="1"/>
    <xf numFmtId="0" fontId="1" fillId="24" borderId="0" xfId="28" applyNumberFormat="1" applyFont="1" applyFill="1" applyBorder="1" applyAlignment="1" applyProtection="1"/>
    <xf numFmtId="0" fontId="1" fillId="0" borderId="9" xfId="28" applyNumberFormat="1" applyBorder="1"/>
    <xf numFmtId="0" fontId="2" fillId="0" borderId="0" xfId="28" applyNumberFormat="1" applyFont="1" applyProtection="1"/>
    <xf numFmtId="0" fontId="5" fillId="0" borderId="0" xfId="28" applyNumberFormat="1" applyFont="1" applyBorder="1" applyAlignment="1" applyProtection="1">
      <alignment horizontal="center"/>
    </xf>
    <xf numFmtId="0" fontId="1" fillId="29" borderId="0" xfId="28" applyNumberFormat="1" applyFill="1" applyAlignment="1"/>
    <xf numFmtId="0" fontId="5" fillId="0" borderId="0" xfId="28" applyNumberFormat="1" applyFont="1" applyBorder="1" applyAlignment="1" applyProtection="1"/>
    <xf numFmtId="0" fontId="2" fillId="0" borderId="0" xfId="28" applyNumberFormat="1" applyFont="1" applyBorder="1" applyAlignment="1" applyProtection="1"/>
    <xf numFmtId="165" fontId="1" fillId="0" borderId="0" xfId="28" applyNumberFormat="1" applyFont="1" applyBorder="1" applyAlignment="1" applyProtection="1">
      <alignment horizontal="left"/>
    </xf>
    <xf numFmtId="0" fontId="8" fillId="24" borderId="9" xfId="28" applyNumberFormat="1" applyFont="1" applyFill="1" applyBorder="1" applyAlignment="1" applyProtection="1">
      <alignment horizontal="left" vertical="top"/>
      <protection locked="0"/>
    </xf>
    <xf numFmtId="0" fontId="1" fillId="24" borderId="33" xfId="28" applyNumberFormat="1" applyFont="1" applyFill="1" applyBorder="1" applyAlignment="1" applyProtection="1">
      <alignment horizontal="left" vertical="top"/>
      <protection locked="0"/>
    </xf>
    <xf numFmtId="0" fontId="8" fillId="24" borderId="30" xfId="28" applyNumberFormat="1" applyFont="1" applyFill="1" applyBorder="1" applyAlignment="1" applyProtection="1">
      <alignment horizontal="center" vertical="top"/>
      <protection locked="0"/>
    </xf>
    <xf numFmtId="170" fontId="2" fillId="0" borderId="0" xfId="28" applyNumberFormat="1" applyFont="1" applyBorder="1" applyAlignment="1" applyProtection="1">
      <alignment horizontal="right"/>
    </xf>
    <xf numFmtId="0" fontId="2" fillId="0" borderId="0" xfId="28" applyNumberFormat="1" applyFont="1" applyFill="1" applyBorder="1" applyAlignment="1" applyProtection="1"/>
    <xf numFmtId="0" fontId="2" fillId="29" borderId="0" xfId="0" applyNumberFormat="1" applyFont="1" applyFill="1" applyAlignment="1" applyProtection="1">
      <alignment horizontal="left"/>
    </xf>
    <xf numFmtId="14" fontId="1" fillId="29" borderId="0" xfId="28" applyNumberFormat="1" applyFill="1" applyAlignment="1" applyProtection="1">
      <alignment horizontal="left"/>
    </xf>
    <xf numFmtId="0" fontId="2" fillId="29" borderId="0" xfId="0" applyNumberFormat="1" applyFont="1" applyFill="1" applyAlignment="1" applyProtection="1">
      <alignment horizontal="right"/>
    </xf>
    <xf numFmtId="0" fontId="8" fillId="24" borderId="32" xfId="28" applyNumberFormat="1" applyFont="1" applyFill="1" applyBorder="1" applyAlignment="1" applyProtection="1">
      <alignment horizontal="center" vertical="top"/>
      <protection locked="0"/>
    </xf>
    <xf numFmtId="0" fontId="1" fillId="24" borderId="0" xfId="28" applyNumberFormat="1" applyFont="1" applyFill="1" applyBorder="1" applyAlignment="1" applyProtection="1">
      <alignment horizontal="right" vertical="top"/>
      <protection locked="0"/>
    </xf>
    <xf numFmtId="0" fontId="0" fillId="0" borderId="0" xfId="0" applyAlignment="1">
      <alignment horizontal="left" vertical="top"/>
    </xf>
    <xf numFmtId="0" fontId="1" fillId="29" borderId="0" xfId="0" applyFont="1" applyFill="1" applyAlignment="1" applyProtection="1"/>
    <xf numFmtId="0" fontId="3" fillId="0" borderId="0" xfId="0" applyFont="1" applyAlignment="1" applyProtection="1"/>
    <xf numFmtId="0" fontId="30" fillId="0" borderId="0" xfId="0" applyFont="1" applyAlignment="1" applyProtection="1"/>
    <xf numFmtId="0" fontId="30" fillId="0" borderId="0" xfId="0" applyFont="1" applyBorder="1" applyAlignment="1" applyProtection="1"/>
    <xf numFmtId="0" fontId="3" fillId="29" borderId="0" xfId="0" applyFont="1" applyFill="1" applyAlignment="1" applyProtection="1"/>
    <xf numFmtId="0" fontId="8" fillId="24" borderId="38" xfId="28" applyNumberFormat="1" applyFont="1" applyFill="1" applyBorder="1" applyAlignment="1" applyProtection="1">
      <alignment horizontal="center" vertical="top"/>
      <protection locked="0"/>
    </xf>
    <xf numFmtId="0" fontId="8" fillId="24" borderId="11" xfId="28" applyNumberFormat="1" applyFont="1" applyFill="1" applyBorder="1" applyAlignment="1" applyProtection="1">
      <alignment horizontal="center" vertical="top"/>
      <protection locked="0"/>
    </xf>
    <xf numFmtId="0" fontId="2" fillId="0" borderId="0" xfId="28" applyNumberFormat="1" applyFont="1" applyAlignment="1">
      <alignment horizontal="right"/>
    </xf>
    <xf numFmtId="0" fontId="2" fillId="0" borderId="0" xfId="28" applyNumberFormat="1" applyFont="1" applyAlignment="1" applyProtection="1">
      <alignment horizontal="right"/>
    </xf>
    <xf numFmtId="0" fontId="36" fillId="0" borderId="0" xfId="50" applyFont="1"/>
    <xf numFmtId="0" fontId="36" fillId="0" borderId="0" xfId="50" applyFont="1" applyAlignment="1">
      <alignment wrapText="1"/>
    </xf>
    <xf numFmtId="0" fontId="36" fillId="0" borderId="0" xfId="50" applyNumberFormat="1" applyFont="1"/>
    <xf numFmtId="10" fontId="36" fillId="0" borderId="0" xfId="50" applyNumberFormat="1" applyFont="1" applyAlignment="1">
      <alignment horizontal="right"/>
    </xf>
    <xf numFmtId="0" fontId="1" fillId="24" borderId="9" xfId="28" applyNumberFormat="1" applyFont="1" applyFill="1" applyBorder="1" applyAlignment="1" applyProtection="1">
      <alignment horizontal="center" vertical="top"/>
      <protection locked="0"/>
    </xf>
    <xf numFmtId="0" fontId="2" fillId="24" borderId="0" xfId="28" applyNumberFormat="1" applyFont="1" applyFill="1" applyBorder="1" applyAlignment="1" applyProtection="1">
      <alignment vertical="top"/>
      <protection locked="0"/>
    </xf>
    <xf numFmtId="0" fontId="36" fillId="0" borderId="0" xfId="50" applyNumberFormat="1" applyFont="1" applyAlignment="1">
      <alignment horizontal="right"/>
    </xf>
    <xf numFmtId="5" fontId="18" fillId="0" borderId="0" xfId="48" applyNumberFormat="1" applyFont="1"/>
    <xf numFmtId="0" fontId="32" fillId="0" borderId="0" xfId="0" applyFont="1"/>
    <xf numFmtId="164" fontId="42" fillId="27" borderId="0" xfId="28" applyNumberFormat="1" applyFont="1" applyFill="1" applyBorder="1"/>
    <xf numFmtId="5" fontId="18" fillId="27" borderId="0" xfId="48" applyNumberFormat="1" applyFont="1" applyFill="1"/>
    <xf numFmtId="5" fontId="41" fillId="0" borderId="0" xfId="48" applyNumberFormat="1" applyFont="1" applyBorder="1"/>
    <xf numFmtId="5" fontId="18" fillId="0" borderId="0" xfId="48" applyNumberFormat="1" applyFont="1" applyProtection="1"/>
    <xf numFmtId="5" fontId="18" fillId="0" borderId="0" xfId="48" applyNumberFormat="1" applyFont="1" applyBorder="1"/>
    <xf numFmtId="37" fontId="18" fillId="0" borderId="0" xfId="48" applyNumberFormat="1" applyFont="1" applyBorder="1" applyProtection="1"/>
    <xf numFmtId="41" fontId="18" fillId="0" borderId="9" xfId="48" applyNumberFormat="1" applyFont="1" applyBorder="1" applyAlignment="1">
      <alignment horizontal="center"/>
    </xf>
    <xf numFmtId="37" fontId="18" fillId="0" borderId="9" xfId="48" applyNumberFormat="1" applyFont="1" applyFill="1" applyBorder="1" applyProtection="1"/>
    <xf numFmtId="5" fontId="18" fillId="0" borderId="0" xfId="48" quotePrefix="1" applyNumberFormat="1" applyFont="1"/>
    <xf numFmtId="37" fontId="18" fillId="0" borderId="30" xfId="48" applyNumberFormat="1" applyFont="1" applyFill="1" applyBorder="1" applyProtection="1"/>
    <xf numFmtId="37" fontId="18" fillId="0" borderId="38" xfId="48" applyNumberFormat="1" applyFont="1" applyFill="1" applyBorder="1" applyProtection="1"/>
    <xf numFmtId="41" fontId="18" fillId="0" borderId="39" xfId="48" applyNumberFormat="1" applyFont="1" applyBorder="1" applyProtection="1"/>
    <xf numFmtId="5" fontId="18" fillId="27" borderId="0" xfId="48" applyNumberFormat="1" applyFont="1" applyFill="1" applyAlignment="1"/>
    <xf numFmtId="5" fontId="18" fillId="0" borderId="0" xfId="48" applyNumberFormat="1" applyFont="1" applyAlignment="1"/>
    <xf numFmtId="5" fontId="18" fillId="0" borderId="0" xfId="48" applyNumberFormat="1" applyFont="1" applyAlignment="1" applyProtection="1"/>
    <xf numFmtId="0" fontId="18" fillId="0" borderId="0" xfId="0" applyFont="1" applyAlignment="1"/>
    <xf numFmtId="5" fontId="44" fillId="0" borderId="0" xfId="48" applyNumberFormat="1" applyFont="1" applyAlignment="1"/>
    <xf numFmtId="5" fontId="41" fillId="0" borderId="30" xfId="48" quotePrefix="1" applyNumberFormat="1" applyFont="1" applyBorder="1" applyAlignment="1"/>
    <xf numFmtId="5" fontId="18" fillId="0" borderId="30" xfId="48" applyNumberFormat="1" applyFont="1" applyBorder="1" applyAlignment="1">
      <alignment horizontal="right"/>
    </xf>
    <xf numFmtId="5" fontId="18" fillId="0" borderId="0" xfId="48" applyNumberFormat="1" applyFont="1" applyBorder="1" applyAlignment="1"/>
    <xf numFmtId="5" fontId="18" fillId="0" borderId="30" xfId="48" applyNumberFormat="1" applyFont="1" applyBorder="1" applyAlignment="1">
      <alignment horizontal="center"/>
    </xf>
    <xf numFmtId="5" fontId="18" fillId="0" borderId="0" xfId="48" applyNumberFormat="1" applyFont="1" applyBorder="1" applyAlignment="1">
      <alignment vertical="center"/>
    </xf>
    <xf numFmtId="41" fontId="18" fillId="0" borderId="0" xfId="48" applyNumberFormat="1" applyFont="1" applyBorder="1" applyAlignment="1">
      <alignment vertical="center"/>
    </xf>
    <xf numFmtId="41" fontId="18" fillId="0" borderId="0" xfId="48" applyNumberFormat="1" applyFont="1" applyBorder="1" applyAlignment="1"/>
    <xf numFmtId="41" fontId="18" fillId="0" borderId="0" xfId="48" applyNumberFormat="1" applyFont="1" applyAlignment="1">
      <alignment vertical="center"/>
    </xf>
    <xf numFmtId="5" fontId="18" fillId="0" borderId="0" xfId="48" applyNumberFormat="1" applyFont="1" applyAlignment="1">
      <alignment vertical="center"/>
    </xf>
    <xf numFmtId="41" fontId="18" fillId="0" borderId="0" xfId="48" applyNumberFormat="1" applyFont="1" applyAlignment="1"/>
    <xf numFmtId="41" fontId="18" fillId="0" borderId="30" xfId="48" applyNumberFormat="1" applyFont="1" applyBorder="1" applyAlignment="1">
      <alignment vertical="center"/>
    </xf>
    <xf numFmtId="5" fontId="18" fillId="0" borderId="0" xfId="48" applyNumberFormat="1" applyFont="1" applyBorder="1" applyAlignment="1" applyProtection="1">
      <alignment vertical="center"/>
    </xf>
    <xf numFmtId="5" fontId="18" fillId="0" borderId="0" xfId="48" applyNumberFormat="1" applyFont="1" applyFill="1" applyBorder="1" applyAlignment="1" applyProtection="1">
      <alignment vertical="center"/>
    </xf>
    <xf numFmtId="5" fontId="41" fillId="0" borderId="0" xfId="48" applyNumberFormat="1" applyFont="1" applyFill="1" applyBorder="1" applyAlignment="1" applyProtection="1">
      <alignment vertical="center"/>
    </xf>
    <xf numFmtId="5" fontId="41" fillId="0" borderId="0" xfId="48" applyNumberFormat="1" applyFont="1" applyAlignment="1">
      <alignment vertical="center"/>
    </xf>
    <xf numFmtId="5" fontId="45" fillId="0" borderId="0" xfId="48" quotePrefix="1" applyNumberFormat="1" applyFont="1" applyAlignment="1"/>
    <xf numFmtId="5" fontId="41" fillId="0" borderId="0" xfId="48" applyNumberFormat="1" applyFont="1" applyBorder="1" applyAlignment="1"/>
    <xf numFmtId="5" fontId="18" fillId="0" borderId="0" xfId="48" applyNumberFormat="1" applyFont="1" applyFill="1" applyAlignment="1"/>
    <xf numFmtId="5" fontId="47" fillId="0" borderId="0" xfId="48" quotePrefix="1" applyNumberFormat="1" applyFont="1" applyFill="1" applyAlignment="1"/>
    <xf numFmtId="5" fontId="41" fillId="0" borderId="0" xfId="48" applyNumberFormat="1" applyFont="1" applyAlignment="1"/>
    <xf numFmtId="14" fontId="18" fillId="0" borderId="0" xfId="48" applyNumberFormat="1" applyFont="1" applyFill="1" applyAlignment="1"/>
    <xf numFmtId="180" fontId="18" fillId="0" borderId="40" xfId="28" applyNumberFormat="1" applyFont="1" applyFill="1" applyBorder="1" applyAlignment="1" applyProtection="1">
      <alignment vertical="center"/>
    </xf>
    <xf numFmtId="165" fontId="18" fillId="0" borderId="38" xfId="59" applyNumberFormat="1" applyFont="1" applyFill="1" applyBorder="1" applyAlignment="1" applyProtection="1">
      <alignment vertical="center"/>
    </xf>
    <xf numFmtId="41" fontId="18" fillId="27" borderId="0" xfId="48" applyNumberFormat="1" applyFont="1" applyFill="1" applyAlignment="1"/>
    <xf numFmtId="41" fontId="41" fillId="0" borderId="0" xfId="48" quotePrefix="1" applyNumberFormat="1" applyFont="1" applyBorder="1" applyAlignment="1"/>
    <xf numFmtId="41" fontId="18" fillId="0" borderId="0" xfId="48" applyNumberFormat="1" applyFont="1" applyBorder="1" applyAlignment="1">
      <alignment horizontal="center"/>
    </xf>
    <xf numFmtId="41" fontId="18" fillId="0" borderId="0" xfId="0" applyNumberFormat="1" applyFont="1" applyAlignment="1"/>
    <xf numFmtId="41" fontId="18" fillId="0" borderId="0" xfId="48" quotePrefix="1" applyNumberFormat="1" applyFont="1" applyBorder="1" applyAlignment="1">
      <alignment vertical="center"/>
    </xf>
    <xf numFmtId="41" fontId="44" fillId="0" borderId="0" xfId="48" applyNumberFormat="1" applyFont="1" applyBorder="1" applyAlignment="1">
      <alignment vertical="center"/>
    </xf>
    <xf numFmtId="41" fontId="18" fillId="0" borderId="0" xfId="48" applyNumberFormat="1" applyFont="1" applyAlignment="1" applyProtection="1">
      <alignment vertical="center"/>
    </xf>
    <xf numFmtId="41" fontId="18" fillId="0" borderId="0" xfId="48" applyNumberFormat="1" applyFont="1" applyBorder="1" applyAlignment="1" applyProtection="1">
      <alignment vertical="center"/>
    </xf>
    <xf numFmtId="42" fontId="18" fillId="27" borderId="0" xfId="48" applyNumberFormat="1" applyFont="1" applyFill="1" applyAlignment="1"/>
    <xf numFmtId="42" fontId="18" fillId="0" borderId="0" xfId="48" applyNumberFormat="1" applyFont="1" applyAlignment="1"/>
    <xf numFmtId="42" fontId="18" fillId="0" borderId="0" xfId="48" applyNumberFormat="1" applyFont="1" applyBorder="1" applyAlignment="1">
      <alignment vertical="center"/>
    </xf>
    <xf numFmtId="42" fontId="18" fillId="0" borderId="0" xfId="48" applyNumberFormat="1" applyFont="1" applyBorder="1" applyAlignment="1"/>
    <xf numFmtId="42" fontId="18" fillId="0" borderId="0" xfId="0" applyNumberFormat="1" applyFont="1" applyAlignment="1"/>
    <xf numFmtId="42" fontId="18" fillId="0" borderId="41" xfId="48" applyNumberFormat="1" applyFont="1" applyBorder="1" applyAlignment="1">
      <alignment vertical="center"/>
    </xf>
    <xf numFmtId="165" fontId="41" fillId="0" borderId="38" xfId="59" applyNumberFormat="1" applyFont="1" applyFill="1" applyBorder="1" applyAlignment="1" applyProtection="1">
      <alignment vertical="center"/>
    </xf>
    <xf numFmtId="42" fontId="41" fillId="0" borderId="42" xfId="48" applyNumberFormat="1" applyFont="1" applyBorder="1" applyAlignment="1">
      <alignment vertical="center"/>
    </xf>
    <xf numFmtId="37" fontId="8" fillId="0" borderId="40" xfId="0" applyNumberFormat="1" applyFont="1" applyFill="1" applyBorder="1" applyAlignment="1" applyProtection="1">
      <alignment horizontal="left"/>
    </xf>
    <xf numFmtId="37" fontId="8" fillId="26" borderId="36" xfId="0" applyNumberFormat="1" applyFont="1" applyFill="1" applyBorder="1" applyAlignment="1" applyProtection="1">
      <alignment horizontal="right"/>
      <protection locked="0"/>
    </xf>
    <xf numFmtId="37" fontId="2" fillId="0" borderId="27" xfId="0" applyNumberFormat="1" applyFont="1" applyFill="1" applyBorder="1" applyAlignment="1" applyProtection="1"/>
    <xf numFmtId="0" fontId="30" fillId="0" borderId="0" xfId="0" applyFont="1" applyProtection="1"/>
    <xf numFmtId="0" fontId="30" fillId="29" borderId="0" xfId="0" applyFont="1" applyFill="1" applyProtection="1"/>
    <xf numFmtId="0" fontId="30" fillId="29" borderId="0" xfId="0" applyFont="1" applyFill="1" applyAlignment="1" applyProtection="1"/>
    <xf numFmtId="0" fontId="3" fillId="0" borderId="0" xfId="0" applyFont="1" applyBorder="1" applyAlignment="1" applyProtection="1">
      <alignment horizontal="center"/>
    </xf>
    <xf numFmtId="0" fontId="30" fillId="0" borderId="0" xfId="0" applyFont="1" applyFill="1" applyBorder="1" applyAlignment="1" applyProtection="1">
      <alignment horizontal="right"/>
    </xf>
    <xf numFmtId="0" fontId="30" fillId="29" borderId="0" xfId="0" applyFont="1" applyFill="1" applyAlignment="1" applyProtection="1">
      <alignment horizontal="center"/>
    </xf>
    <xf numFmtId="38" fontId="30" fillId="29" borderId="0" xfId="0" applyNumberFormat="1" applyFont="1" applyFill="1" applyAlignment="1" applyProtection="1">
      <alignment horizontal="center"/>
    </xf>
    <xf numFmtId="0" fontId="30" fillId="0" borderId="0" xfId="0" applyFont="1" applyAlignment="1" applyProtection="1">
      <alignment horizontal="center"/>
      <protection locked="0"/>
    </xf>
    <xf numFmtId="38" fontId="30" fillId="0" borderId="0" xfId="0" applyNumberFormat="1" applyFont="1" applyAlignment="1" applyProtection="1">
      <alignment horizontal="center"/>
      <protection locked="0"/>
    </xf>
    <xf numFmtId="0" fontId="30" fillId="0" borderId="0" xfId="47" applyFont="1" applyBorder="1" applyProtection="1"/>
    <xf numFmtId="0" fontId="30" fillId="0" borderId="0" xfId="0" applyFont="1" applyBorder="1" applyAlignment="1" applyProtection="1">
      <alignment horizontal="center"/>
    </xf>
    <xf numFmtId="172" fontId="30" fillId="0" borderId="0" xfId="28" applyNumberFormat="1" applyFont="1" applyFill="1" applyBorder="1" applyAlignment="1" applyProtection="1">
      <alignment horizontal="center"/>
    </xf>
    <xf numFmtId="0" fontId="30" fillId="0" borderId="27" xfId="47" applyFont="1" applyBorder="1" applyProtection="1"/>
    <xf numFmtId="0" fontId="30" fillId="0" borderId="0" xfId="0" quotePrefix="1" applyFont="1" applyBorder="1" applyAlignment="1" applyProtection="1">
      <alignment horizontal="center"/>
    </xf>
    <xf numFmtId="0" fontId="3" fillId="0" borderId="0" xfId="0" applyFont="1" applyAlignment="1" applyProtection="1">
      <alignment horizontal="center"/>
    </xf>
    <xf numFmtId="38" fontId="3" fillId="0" borderId="0" xfId="0" applyNumberFormat="1" applyFont="1" applyAlignment="1" applyProtection="1">
      <alignment horizontal="center"/>
    </xf>
    <xf numFmtId="174" fontId="3" fillId="0" borderId="0" xfId="0" applyNumberFormat="1" applyFont="1" applyProtection="1"/>
    <xf numFmtId="0" fontId="3" fillId="29" borderId="0" xfId="0" applyFont="1" applyFill="1" applyAlignment="1" applyProtection="1">
      <alignment horizontal="center"/>
    </xf>
    <xf numFmtId="38" fontId="3" fillId="29" borderId="0" xfId="0" applyNumberFormat="1" applyFont="1" applyFill="1" applyAlignment="1" applyProtection="1">
      <alignment horizontal="center"/>
    </xf>
    <xf numFmtId="0" fontId="18" fillId="0" borderId="35" xfId="0" applyFont="1" applyBorder="1" applyAlignment="1">
      <alignment horizontal="left"/>
    </xf>
    <xf numFmtId="0" fontId="18" fillId="0" borderId="36" xfId="0" applyFont="1" applyBorder="1" applyAlignment="1">
      <alignment horizontal="left"/>
    </xf>
    <xf numFmtId="0" fontId="18" fillId="0" borderId="29" xfId="0" applyFont="1" applyBorder="1" applyAlignment="1">
      <alignment horizontal="left"/>
    </xf>
    <xf numFmtId="0" fontId="3" fillId="0" borderId="0" xfId="0" applyFont="1" applyBorder="1" applyAlignment="1" applyProtection="1"/>
    <xf numFmtId="37" fontId="30" fillId="0" borderId="0" xfId="0" applyNumberFormat="1" applyFont="1" applyBorder="1" applyAlignment="1" applyProtection="1"/>
    <xf numFmtId="0" fontId="30" fillId="0" borderId="0" xfId="0" applyFont="1" applyFill="1" applyBorder="1" applyAlignment="1" applyProtection="1"/>
    <xf numFmtId="0" fontId="3" fillId="0" borderId="0" xfId="0" applyFont="1" applyFill="1" applyBorder="1" applyAlignment="1" applyProtection="1"/>
    <xf numFmtId="0" fontId="15" fillId="29" borderId="0" xfId="0" applyFont="1" applyFill="1" applyAlignment="1" applyProtection="1"/>
    <xf numFmtId="0" fontId="30" fillId="0" borderId="0" xfId="0" applyFont="1" applyAlignment="1" applyProtection="1">
      <protection locked="0"/>
    </xf>
    <xf numFmtId="0" fontId="3" fillId="0" borderId="0" xfId="47" applyFont="1" applyBorder="1" applyAlignment="1" applyProtection="1"/>
    <xf numFmtId="0" fontId="2" fillId="0" borderId="0" xfId="47" applyFont="1" applyBorder="1" applyAlignment="1" applyProtection="1"/>
    <xf numFmtId="0" fontId="13" fillId="0" borderId="0" xfId="47" applyFont="1" applyBorder="1" applyAlignment="1" applyProtection="1"/>
    <xf numFmtId="0" fontId="30" fillId="0" borderId="0" xfId="47" quotePrefix="1" applyFont="1" applyBorder="1" applyAlignment="1" applyProtection="1"/>
    <xf numFmtId="0" fontId="30" fillId="0" borderId="0" xfId="47" applyFont="1" applyBorder="1" applyAlignment="1" applyProtection="1"/>
    <xf numFmtId="0" fontId="2" fillId="0" borderId="27" xfId="47" applyFont="1" applyFill="1" applyBorder="1" applyAlignment="1" applyProtection="1"/>
    <xf numFmtId="0" fontId="11" fillId="29" borderId="0" xfId="0" quotePrefix="1" applyFont="1" applyFill="1" applyAlignment="1" applyProtection="1"/>
    <xf numFmtId="0" fontId="18" fillId="0" borderId="0" xfId="0" applyFont="1" applyAlignment="1" applyProtection="1"/>
    <xf numFmtId="0" fontId="18" fillId="0" borderId="0" xfId="0" applyFont="1" applyAlignment="1" applyProtection="1">
      <alignment horizontal="right"/>
    </xf>
    <xf numFmtId="0" fontId="18" fillId="0" borderId="30" xfId="0" applyFont="1" applyBorder="1" applyAlignment="1">
      <alignment horizontal="center"/>
    </xf>
    <xf numFmtId="0" fontId="18" fillId="0" borderId="30" xfId="0" applyFont="1" applyBorder="1" applyAlignment="1"/>
    <xf numFmtId="0" fontId="18" fillId="0" borderId="0" xfId="0" applyFont="1" applyBorder="1" applyAlignment="1" applyProtection="1"/>
    <xf numFmtId="0" fontId="18" fillId="0" borderId="39" xfId="0" applyFont="1" applyBorder="1" applyAlignment="1" applyProtection="1"/>
    <xf numFmtId="0" fontId="18" fillId="0" borderId="30" xfId="0" applyFont="1" applyBorder="1" applyAlignment="1" applyProtection="1"/>
    <xf numFmtId="0" fontId="18" fillId="0" borderId="0" xfId="0" quotePrefix="1" applyFont="1" applyBorder="1" applyAlignment="1" applyProtection="1"/>
    <xf numFmtId="0" fontId="43" fillId="0" borderId="0" xfId="0" quotePrefix="1" applyFont="1" applyBorder="1" applyAlignment="1" applyProtection="1"/>
    <xf numFmtId="0" fontId="18" fillId="0" borderId="0" xfId="0" applyFont="1" applyFill="1" applyAlignment="1" applyProtection="1"/>
    <xf numFmtId="0" fontId="18" fillId="0" borderId="0" xfId="0" quotePrefix="1" applyFont="1" applyFill="1" applyBorder="1" applyAlignment="1" applyProtection="1"/>
    <xf numFmtId="0" fontId="41" fillId="0" borderId="0" xfId="0" quotePrefix="1" applyFont="1" applyFill="1" applyBorder="1" applyAlignment="1" applyProtection="1"/>
    <xf numFmtId="37" fontId="18" fillId="0" borderId="0" xfId="0" applyNumberFormat="1" applyFont="1" applyFill="1" applyAlignment="1" applyProtection="1"/>
    <xf numFmtId="0" fontId="18" fillId="0" borderId="0" xfId="0" applyFont="1" applyFill="1" applyBorder="1" applyAlignment="1" applyProtection="1"/>
    <xf numFmtId="0" fontId="41" fillId="0" borderId="0" xfId="0" quotePrefix="1" applyFont="1" applyBorder="1" applyAlignment="1" applyProtection="1"/>
    <xf numFmtId="9" fontId="18" fillId="0" borderId="0" xfId="59" applyFont="1" applyFill="1" applyBorder="1" applyAlignment="1" applyProtection="1"/>
    <xf numFmtId="9" fontId="18" fillId="0" borderId="0" xfId="59" quotePrefix="1" applyFont="1" applyBorder="1" applyAlignment="1" applyProtection="1"/>
    <xf numFmtId="9" fontId="18" fillId="0" borderId="0" xfId="59" applyFont="1" applyBorder="1" applyAlignment="1" applyProtection="1"/>
    <xf numFmtId="9" fontId="18" fillId="0" borderId="0" xfId="59" applyFont="1" applyFill="1" applyAlignment="1" applyProtection="1"/>
    <xf numFmtId="9" fontId="18" fillId="0" borderId="0" xfId="59" applyFont="1" applyAlignment="1" applyProtection="1"/>
    <xf numFmtId="37" fontId="18" fillId="0" borderId="0" xfId="0" quotePrefix="1" applyNumberFormat="1" applyFont="1" applyFill="1" applyBorder="1" applyAlignment="1" applyProtection="1"/>
    <xf numFmtId="37" fontId="43" fillId="0" borderId="0" xfId="0" quotePrefix="1" applyNumberFormat="1" applyFont="1" applyFill="1" applyBorder="1" applyAlignment="1" applyProtection="1"/>
    <xf numFmtId="37" fontId="18" fillId="0" borderId="0" xfId="0" applyNumberFormat="1" applyFont="1" applyFill="1" applyBorder="1" applyAlignment="1" applyProtection="1"/>
    <xf numFmtId="37" fontId="18" fillId="24" borderId="0" xfId="0" applyNumberFormat="1" applyFont="1" applyFill="1" applyBorder="1" applyAlignment="1" applyProtection="1"/>
    <xf numFmtId="37" fontId="18" fillId="24" borderId="0" xfId="0" applyNumberFormat="1" applyFont="1" applyFill="1" applyAlignment="1" applyProtection="1"/>
    <xf numFmtId="37" fontId="41" fillId="0" borderId="0" xfId="0" quotePrefix="1" applyNumberFormat="1" applyFont="1" applyFill="1" applyBorder="1" applyAlignment="1" applyProtection="1"/>
    <xf numFmtId="0" fontId="18" fillId="0" borderId="0" xfId="0" applyFont="1" applyFill="1" applyAlignment="1"/>
    <xf numFmtId="0" fontId="41" fillId="0" borderId="43" xfId="0" quotePrefix="1" applyFont="1" applyBorder="1" applyAlignment="1" applyProtection="1"/>
    <xf numFmtId="37" fontId="18" fillId="0" borderId="0" xfId="31" applyNumberFormat="1" applyFont="1" applyFill="1" applyBorder="1" applyAlignment="1" applyProtection="1">
      <alignment horizontal="right"/>
    </xf>
    <xf numFmtId="3" fontId="18" fillId="0" borderId="0" xfId="0" applyNumberFormat="1" applyFont="1" applyBorder="1" applyAlignment="1" applyProtection="1"/>
    <xf numFmtId="0" fontId="18" fillId="0" borderId="0" xfId="0" quotePrefix="1" applyFont="1" applyBorder="1" applyAlignment="1" applyProtection="1">
      <alignment horizontal="center"/>
    </xf>
    <xf numFmtId="37" fontId="18" fillId="0" borderId="0" xfId="31" applyNumberFormat="1" applyFont="1" applyFill="1" applyBorder="1" applyAlignment="1" applyProtection="1"/>
    <xf numFmtId="0" fontId="40" fillId="0" borderId="0" xfId="43" quotePrefix="1" applyFont="1" applyFill="1" applyBorder="1" applyAlignment="1" applyProtection="1"/>
    <xf numFmtId="5" fontId="18" fillId="0" borderId="0" xfId="31" applyNumberFormat="1" applyFont="1" applyFill="1" applyBorder="1" applyAlignment="1" applyProtection="1"/>
    <xf numFmtId="37" fontId="18" fillId="0" borderId="0" xfId="0" applyNumberFormat="1" applyFont="1" applyAlignment="1" applyProtection="1"/>
    <xf numFmtId="0" fontId="18" fillId="26" borderId="0" xfId="0" applyFont="1" applyFill="1"/>
    <xf numFmtId="0" fontId="41" fillId="0" borderId="31" xfId="0" applyFont="1" applyBorder="1"/>
    <xf numFmtId="0" fontId="41" fillId="0" borderId="32" xfId="0" applyFont="1" applyBorder="1"/>
    <xf numFmtId="0" fontId="41" fillId="0" borderId="11" xfId="0" applyFont="1" applyBorder="1"/>
    <xf numFmtId="0" fontId="18" fillId="0" borderId="0" xfId="0" quotePrefix="1" applyFont="1"/>
    <xf numFmtId="0" fontId="2" fillId="0" borderId="27" xfId="0" applyFont="1" applyBorder="1" applyAlignment="1">
      <alignment horizontal="centerContinuous"/>
    </xf>
    <xf numFmtId="165" fontId="8" fillId="26" borderId="44" xfId="31" applyNumberFormat="1" applyFont="1" applyFill="1" applyBorder="1" applyAlignment="1" applyProtection="1">
      <protection locked="0"/>
    </xf>
    <xf numFmtId="165" fontId="8" fillId="26" borderId="45" xfId="31" applyNumberFormat="1" applyFont="1" applyFill="1" applyBorder="1" applyAlignment="1" applyProtection="1">
      <protection locked="0"/>
    </xf>
    <xf numFmtId="178" fontId="8" fillId="26" borderId="46" xfId="28" applyNumberFormat="1" applyFont="1" applyFill="1" applyBorder="1" applyAlignment="1" applyProtection="1">
      <protection locked="0"/>
    </xf>
    <xf numFmtId="0" fontId="39" fillId="0" borderId="0" xfId="0" applyFont="1" applyBorder="1" applyAlignment="1" applyProtection="1">
      <alignment horizontal="right"/>
      <protection locked="0"/>
    </xf>
    <xf numFmtId="174" fontId="8" fillId="26" borderId="47" xfId="31" applyNumberFormat="1" applyFont="1" applyFill="1" applyBorder="1" applyAlignment="1" applyProtection="1">
      <protection locked="0"/>
    </xf>
    <xf numFmtId="175" fontId="8" fillId="26" borderId="48" xfId="28" applyNumberFormat="1" applyFont="1" applyFill="1" applyBorder="1" applyAlignment="1" applyProtection="1">
      <protection locked="0"/>
    </xf>
    <xf numFmtId="175" fontId="8" fillId="26" borderId="49" xfId="28" applyNumberFormat="1" applyFont="1" applyFill="1" applyBorder="1" applyAlignment="1" applyProtection="1">
      <protection locked="0"/>
    </xf>
    <xf numFmtId="0" fontId="1" fillId="0" borderId="0" xfId="0" applyFont="1" applyBorder="1" applyAlignment="1" applyProtection="1"/>
    <xf numFmtId="0" fontId="3" fillId="29" borderId="0" xfId="0" applyFont="1" applyFill="1" applyBorder="1" applyAlignment="1" applyProtection="1"/>
    <xf numFmtId="0" fontId="30" fillId="29" borderId="0" xfId="0" applyFont="1" applyFill="1" applyBorder="1" applyAlignment="1" applyProtection="1"/>
    <xf numFmtId="164" fontId="30" fillId="0" borderId="0" xfId="28" applyNumberFormat="1" applyFont="1" applyBorder="1" applyAlignment="1" applyProtection="1"/>
    <xf numFmtId="5" fontId="3" fillId="0" borderId="0" xfId="28" applyNumberFormat="1" applyFont="1" applyBorder="1" applyAlignment="1" applyProtection="1"/>
    <xf numFmtId="164" fontId="3" fillId="0" borderId="0" xfId="28" applyNumberFormat="1" applyFont="1" applyBorder="1" applyAlignment="1" applyProtection="1"/>
    <xf numFmtId="0" fontId="2" fillId="0" borderId="0" xfId="0" applyFont="1" applyBorder="1" applyAlignment="1" applyProtection="1"/>
    <xf numFmtId="9" fontId="30" fillId="0" borderId="0" xfId="59" applyFont="1" applyBorder="1" applyAlignment="1" applyProtection="1"/>
    <xf numFmtId="5" fontId="30" fillId="0" borderId="0" xfId="28" applyNumberFormat="1" applyFont="1" applyBorder="1" applyAlignment="1" applyProtection="1"/>
    <xf numFmtId="7" fontId="30" fillId="0" borderId="0" xfId="28" applyNumberFormat="1" applyFont="1" applyBorder="1" applyAlignment="1" applyProtection="1"/>
    <xf numFmtId="37" fontId="2" fillId="0" borderId="0" xfId="28" applyNumberFormat="1" applyFont="1" applyFill="1"/>
    <xf numFmtId="37" fontId="1" fillId="0" borderId="0" xfId="28" applyNumberFormat="1" applyFill="1"/>
    <xf numFmtId="37" fontId="1" fillId="0" borderId="30" xfId="28" applyNumberFormat="1" applyFont="1" applyFill="1" applyBorder="1" applyAlignment="1">
      <alignment horizontal="center"/>
    </xf>
    <xf numFmtId="37" fontId="1" fillId="0" borderId="0" xfId="28" applyNumberFormat="1" applyFont="1" applyFill="1" applyBorder="1" applyAlignment="1">
      <alignment horizontal="center"/>
    </xf>
    <xf numFmtId="37" fontId="1" fillId="0" borderId="0" xfId="28" applyNumberFormat="1" applyFont="1" applyFill="1"/>
    <xf numFmtId="37" fontId="1" fillId="0" borderId="0" xfId="28" quotePrefix="1" applyNumberFormat="1" applyFont="1" applyFill="1"/>
    <xf numFmtId="37" fontId="1" fillId="0" borderId="50" xfId="28" applyNumberFormat="1" applyFont="1" applyFill="1" applyBorder="1"/>
    <xf numFmtId="165" fontId="1" fillId="0" borderId="40" xfId="28" applyNumberFormat="1" applyFill="1" applyBorder="1"/>
    <xf numFmtId="37" fontId="1" fillId="0" borderId="34" xfId="28" applyNumberFormat="1" applyFont="1" applyFill="1" applyBorder="1"/>
    <xf numFmtId="165" fontId="1" fillId="0" borderId="38" xfId="28" applyNumberFormat="1" applyFill="1" applyBorder="1"/>
    <xf numFmtId="0" fontId="1" fillId="24" borderId="0" xfId="28" applyNumberFormat="1" applyFont="1" applyFill="1"/>
    <xf numFmtId="38" fontId="1" fillId="0" borderId="0" xfId="28" applyNumberFormat="1" applyFill="1"/>
    <xf numFmtId="178" fontId="8" fillId="0" borderId="51" xfId="28" applyNumberFormat="1" applyFont="1" applyFill="1" applyBorder="1" applyAlignment="1" applyProtection="1">
      <protection locked="0"/>
    </xf>
    <xf numFmtId="41" fontId="18" fillId="26" borderId="0" xfId="0" applyNumberFormat="1" applyFont="1" applyFill="1"/>
    <xf numFmtId="41" fontId="18" fillId="0" borderId="0" xfId="0" applyNumberFormat="1" applyFont="1"/>
    <xf numFmtId="41" fontId="18" fillId="0" borderId="30" xfId="0" applyNumberFormat="1" applyFont="1" applyBorder="1" applyAlignment="1">
      <alignment horizontal="centerContinuous"/>
    </xf>
    <xf numFmtId="41" fontId="18" fillId="0" borderId="0" xfId="0" applyNumberFormat="1" applyFont="1" applyAlignment="1">
      <alignment horizontal="right"/>
    </xf>
    <xf numFmtId="42" fontId="18" fillId="26" borderId="0" xfId="0" applyNumberFormat="1" applyFont="1" applyFill="1"/>
    <xf numFmtId="42" fontId="18" fillId="0" borderId="0" xfId="0" applyNumberFormat="1" applyFont="1"/>
    <xf numFmtId="41" fontId="18" fillId="0" borderId="30" xfId="0" applyNumberFormat="1" applyFont="1" applyBorder="1"/>
    <xf numFmtId="41" fontId="18" fillId="26" borderId="0" xfId="0" applyNumberFormat="1" applyFont="1" applyFill="1" applyBorder="1"/>
    <xf numFmtId="41" fontId="18" fillId="0" borderId="0" xfId="0" applyNumberFormat="1" applyFont="1" applyBorder="1"/>
    <xf numFmtId="42" fontId="18" fillId="26" borderId="0" xfId="0" applyNumberFormat="1" applyFont="1" applyFill="1" applyBorder="1"/>
    <xf numFmtId="42" fontId="18" fillId="0" borderId="0" xfId="0" applyNumberFormat="1" applyFont="1" applyBorder="1"/>
    <xf numFmtId="42" fontId="18" fillId="0" borderId="41" xfId="0" applyNumberFormat="1" applyFont="1" applyBorder="1"/>
    <xf numFmtId="14" fontId="18" fillId="0" borderId="0" xfId="0" applyNumberFormat="1" applyFont="1" applyAlignment="1">
      <alignment horizontal="left"/>
    </xf>
    <xf numFmtId="0" fontId="18" fillId="27" borderId="0" xfId="0" applyFont="1" applyFill="1"/>
    <xf numFmtId="0" fontId="18" fillId="0" borderId="30" xfId="0" applyFont="1" applyBorder="1"/>
    <xf numFmtId="0" fontId="18" fillId="0" borderId="0" xfId="0" applyFont="1" applyBorder="1"/>
    <xf numFmtId="0" fontId="41" fillId="0" borderId="0" xfId="0" applyFont="1"/>
    <xf numFmtId="0" fontId="18" fillId="29" borderId="0" xfId="0" applyFont="1" applyFill="1"/>
    <xf numFmtId="0" fontId="18" fillId="0" borderId="39" xfId="0" applyFont="1" applyBorder="1"/>
    <xf numFmtId="0" fontId="18" fillId="0" borderId="52" xfId="0" applyFont="1" applyBorder="1" applyAlignment="1">
      <alignment horizontal="right"/>
    </xf>
    <xf numFmtId="0" fontId="18" fillId="0" borderId="53" xfId="0" applyFont="1" applyBorder="1" applyAlignment="1">
      <alignment horizontal="right"/>
    </xf>
    <xf numFmtId="0" fontId="18" fillId="0" borderId="0" xfId="0" applyFont="1" applyBorder="1" applyAlignment="1">
      <alignment horizontal="right"/>
    </xf>
    <xf numFmtId="0" fontId="18" fillId="0" borderId="54" xfId="0" applyFont="1" applyBorder="1" applyAlignment="1">
      <alignment horizontal="right"/>
    </xf>
    <xf numFmtId="0" fontId="18" fillId="0" borderId="30" xfId="0" applyFont="1" applyBorder="1" applyAlignment="1">
      <alignment horizontal="right"/>
    </xf>
    <xf numFmtId="0" fontId="18" fillId="0" borderId="55" xfId="0" applyFont="1" applyBorder="1" applyAlignment="1">
      <alignment horizontal="right"/>
    </xf>
    <xf numFmtId="0" fontId="18" fillId="0" borderId="52" xfId="0" quotePrefix="1" applyFont="1" applyBorder="1" applyAlignment="1">
      <alignment horizontal="right"/>
    </xf>
    <xf numFmtId="0" fontId="18" fillId="0" borderId="0" xfId="0" quotePrefix="1" applyFont="1" applyBorder="1" applyAlignment="1">
      <alignment horizontal="right"/>
    </xf>
    <xf numFmtId="0" fontId="18" fillId="0" borderId="54" xfId="0" quotePrefix="1" applyFont="1" applyBorder="1" applyAlignment="1">
      <alignment horizontal="right"/>
    </xf>
    <xf numFmtId="3" fontId="18" fillId="0" borderId="0" xfId="0" applyNumberFormat="1" applyFont="1" applyAlignment="1">
      <alignment horizontal="right"/>
    </xf>
    <xf numFmtId="3" fontId="18" fillId="0" borderId="0" xfId="0" quotePrefix="1" applyNumberFormat="1" applyFont="1" applyAlignment="1">
      <alignment horizontal="right"/>
    </xf>
    <xf numFmtId="0" fontId="39" fillId="26" borderId="56" xfId="0" applyFont="1" applyFill="1" applyBorder="1"/>
    <xf numFmtId="0" fontId="18" fillId="0" borderId="7" xfId="0" applyFont="1" applyFill="1" applyBorder="1"/>
    <xf numFmtId="0" fontId="39" fillId="26" borderId="7" xfId="0" applyFont="1" applyFill="1" applyBorder="1"/>
    <xf numFmtId="0" fontId="18" fillId="0" borderId="57" xfId="0" applyFont="1" applyFill="1" applyBorder="1"/>
    <xf numFmtId="0" fontId="39" fillId="26" borderId="57" xfId="0" applyFont="1" applyFill="1" applyBorder="1"/>
    <xf numFmtId="3" fontId="18" fillId="0" borderId="0" xfId="0" applyNumberFormat="1" applyFont="1" applyBorder="1"/>
    <xf numFmtId="0" fontId="1" fillId="0" borderId="0" xfId="0" applyFont="1" applyFill="1" applyProtection="1"/>
    <xf numFmtId="0" fontId="30" fillId="0" borderId="0" xfId="0" applyFont="1" applyFill="1" applyProtection="1"/>
    <xf numFmtId="164" fontId="30" fillId="29" borderId="0" xfId="28" applyNumberFormat="1" applyFont="1" applyFill="1" applyProtection="1"/>
    <xf numFmtId="0" fontId="30" fillId="0" borderId="0" xfId="0" applyFont="1" applyFill="1" applyBorder="1" applyProtection="1"/>
    <xf numFmtId="0" fontId="48" fillId="0" borderId="0" xfId="0" applyFont="1" applyProtection="1"/>
    <xf numFmtId="164" fontId="48" fillId="29" borderId="0" xfId="28" applyNumberFormat="1" applyFont="1" applyFill="1" applyProtection="1"/>
    <xf numFmtId="0" fontId="48" fillId="0" borderId="0" xfId="0" applyFont="1" applyFill="1" applyBorder="1" applyProtection="1"/>
    <xf numFmtId="37" fontId="48" fillId="0" borderId="0" xfId="0" applyNumberFormat="1" applyFont="1" applyFill="1" applyBorder="1" applyAlignment="1" applyProtection="1">
      <alignment horizontal="right"/>
    </xf>
    <xf numFmtId="0" fontId="3" fillId="0" borderId="0" xfId="0" applyFont="1" applyFill="1" applyProtection="1"/>
    <xf numFmtId="0" fontId="30" fillId="0" borderId="0" xfId="0" applyFont="1" applyBorder="1" applyProtection="1"/>
    <xf numFmtId="0" fontId="30" fillId="0" borderId="0" xfId="0" applyFont="1"/>
    <xf numFmtId="5" fontId="41" fillId="0" borderId="0" xfId="48" applyNumberFormat="1" applyFont="1" applyBorder="1" applyAlignment="1">
      <alignment horizontal="right"/>
    </xf>
    <xf numFmtId="5" fontId="41" fillId="0" borderId="0" xfId="48" applyNumberFormat="1" applyFont="1" applyAlignment="1">
      <alignment horizontal="right"/>
    </xf>
    <xf numFmtId="165" fontId="3" fillId="0" borderId="0" xfId="59" applyNumberFormat="1" applyFont="1" applyFill="1" applyBorder="1" applyAlignment="1" applyProtection="1">
      <alignment horizontal="right"/>
    </xf>
    <xf numFmtId="164" fontId="3" fillId="29" borderId="0" xfId="28" applyNumberFormat="1" applyFont="1" applyFill="1" applyProtection="1"/>
    <xf numFmtId="0" fontId="30" fillId="0" borderId="39" xfId="0" applyFont="1" applyBorder="1" applyProtection="1"/>
    <xf numFmtId="0" fontId="30" fillId="0" borderId="0" xfId="0" applyNumberFormat="1" applyFont="1" applyBorder="1" applyProtection="1"/>
    <xf numFmtId="0" fontId="48" fillId="0" borderId="0" xfId="0" applyFont="1" applyBorder="1" applyProtection="1"/>
    <xf numFmtId="0" fontId="30" fillId="0" borderId="30" xfId="0" applyFont="1" applyBorder="1" applyProtection="1"/>
    <xf numFmtId="5" fontId="30" fillId="0" borderId="0" xfId="0" applyNumberFormat="1" applyFont="1" applyBorder="1" applyProtection="1"/>
    <xf numFmtId="0" fontId="30" fillId="26" borderId="0" xfId="0" applyFont="1" applyFill="1" applyBorder="1" applyProtection="1"/>
    <xf numFmtId="7" fontId="30" fillId="0" borderId="0" xfId="0" applyNumberFormat="1" applyFont="1" applyBorder="1" applyProtection="1"/>
    <xf numFmtId="170" fontId="30" fillId="0" borderId="0" xfId="0" applyNumberFormat="1" applyFont="1" applyBorder="1" applyProtection="1"/>
    <xf numFmtId="9" fontId="34" fillId="0" borderId="0" xfId="59" applyFont="1" applyFill="1" applyBorder="1" applyProtection="1"/>
    <xf numFmtId="9" fontId="34" fillId="0" borderId="0" xfId="59" applyFont="1" applyBorder="1" applyProtection="1"/>
    <xf numFmtId="174" fontId="30" fillId="0" borderId="0" xfId="31" applyNumberFormat="1" applyFont="1" applyBorder="1" applyProtection="1"/>
    <xf numFmtId="5" fontId="30" fillId="0" borderId="0" xfId="0" applyNumberFormat="1" applyFont="1" applyFill="1" applyBorder="1" applyProtection="1"/>
    <xf numFmtId="169" fontId="30" fillId="0" borderId="0" xfId="0" applyNumberFormat="1" applyFont="1" applyFill="1" applyBorder="1" applyProtection="1"/>
    <xf numFmtId="169" fontId="30" fillId="0" borderId="0" xfId="0" applyNumberFormat="1" applyFont="1" applyBorder="1" applyProtection="1"/>
    <xf numFmtId="44" fontId="30" fillId="0" borderId="0" xfId="31" applyFont="1" applyFill="1" applyBorder="1" applyProtection="1"/>
    <xf numFmtId="37" fontId="30" fillId="24" borderId="0" xfId="0" applyNumberFormat="1" applyFont="1" applyFill="1" applyBorder="1" applyProtection="1"/>
    <xf numFmtId="9" fontId="30" fillId="0" borderId="0" xfId="59" applyFont="1" applyFill="1" applyBorder="1" applyAlignment="1" applyProtection="1">
      <alignment horizontal="center"/>
      <protection locked="0"/>
    </xf>
    <xf numFmtId="41" fontId="18" fillId="30" borderId="0" xfId="0" applyNumberFormat="1" applyFont="1" applyFill="1"/>
    <xf numFmtId="0" fontId="2" fillId="0" borderId="58" xfId="47" applyFont="1" applyFill="1" applyBorder="1" applyAlignment="1" applyProtection="1">
      <alignment horizontal="center"/>
    </xf>
    <xf numFmtId="0" fontId="30" fillId="0" borderId="39" xfId="47" applyFont="1" applyBorder="1" applyAlignment="1" applyProtection="1"/>
    <xf numFmtId="0" fontId="14" fillId="0" borderId="30" xfId="47" applyFont="1" applyBorder="1" applyAlignment="1" applyProtection="1"/>
    <xf numFmtId="0" fontId="30" fillId="0" borderId="30" xfId="47" applyFont="1" applyBorder="1" applyProtection="1"/>
    <xf numFmtId="0" fontId="30" fillId="0" borderId="39" xfId="47" applyFont="1" applyBorder="1" applyProtection="1"/>
    <xf numFmtId="0" fontId="30" fillId="0" borderId="59" xfId="0" quotePrefix="1" applyFont="1" applyBorder="1" applyAlignment="1" applyProtection="1">
      <alignment horizontal="center"/>
    </xf>
    <xf numFmtId="0" fontId="30" fillId="0" borderId="60" xfId="0" quotePrefix="1" applyFont="1" applyBorder="1" applyAlignment="1" applyProtection="1">
      <alignment horizontal="center"/>
    </xf>
    <xf numFmtId="0" fontId="30" fillId="0" borderId="51" xfId="0" quotePrefix="1" applyFont="1" applyBorder="1" applyAlignment="1" applyProtection="1">
      <alignment horizontal="center"/>
    </xf>
    <xf numFmtId="0" fontId="30" fillId="0" borderId="61" xfId="0" quotePrefix="1" applyFont="1" applyBorder="1" applyAlignment="1" applyProtection="1">
      <alignment horizontal="center"/>
    </xf>
    <xf numFmtId="0" fontId="30" fillId="0" borderId="62" xfId="0" quotePrefix="1" applyFont="1" applyBorder="1" applyAlignment="1" applyProtection="1">
      <alignment horizontal="center"/>
    </xf>
    <xf numFmtId="0" fontId="2" fillId="0" borderId="63" xfId="47" applyFont="1" applyFill="1" applyBorder="1" applyAlignment="1" applyProtection="1">
      <alignment horizontal="center"/>
    </xf>
    <xf numFmtId="0" fontId="2" fillId="0" borderId="64" xfId="47" applyFont="1" applyFill="1" applyBorder="1" applyAlignment="1" applyProtection="1">
      <alignment horizontal="center"/>
    </xf>
    <xf numFmtId="0" fontId="8" fillId="24" borderId="65" xfId="0" quotePrefix="1" applyFont="1" applyFill="1" applyBorder="1" applyAlignment="1" applyProtection="1">
      <alignment horizontal="center"/>
    </xf>
    <xf numFmtId="0" fontId="8" fillId="24" borderId="66" xfId="0" quotePrefix="1" applyFont="1" applyFill="1" applyBorder="1" applyAlignment="1" applyProtection="1">
      <alignment horizontal="center"/>
    </xf>
    <xf numFmtId="0" fontId="8" fillId="24" borderId="67" xfId="0" quotePrefix="1" applyFont="1" applyFill="1" applyBorder="1" applyAlignment="1" applyProtection="1">
      <alignment horizontal="center"/>
    </xf>
    <xf numFmtId="0" fontId="8" fillId="24" borderId="68" xfId="0" quotePrefix="1" applyFont="1" applyFill="1" applyBorder="1" applyAlignment="1" applyProtection="1">
      <alignment horizontal="center"/>
    </xf>
    <xf numFmtId="0" fontId="8" fillId="24" borderId="69" xfId="0" quotePrefix="1" applyFont="1" applyFill="1" applyBorder="1" applyAlignment="1" applyProtection="1">
      <alignment horizontal="center"/>
    </xf>
    <xf numFmtId="0" fontId="8" fillId="26" borderId="68" xfId="0" quotePrefix="1" applyNumberFormat="1" applyFont="1" applyFill="1" applyBorder="1" applyAlignment="1" applyProtection="1">
      <alignment horizontal="center"/>
      <protection locked="0"/>
    </xf>
    <xf numFmtId="0" fontId="8" fillId="26" borderId="66" xfId="0" quotePrefix="1" applyNumberFormat="1" applyFont="1" applyFill="1" applyBorder="1" applyAlignment="1" applyProtection="1">
      <alignment horizontal="center"/>
      <protection locked="0"/>
    </xf>
    <xf numFmtId="0" fontId="8" fillId="26" borderId="69" xfId="0" quotePrefix="1" applyNumberFormat="1" applyFont="1" applyFill="1" applyBorder="1" applyAlignment="1" applyProtection="1">
      <alignment horizontal="center"/>
      <protection locked="0"/>
    </xf>
    <xf numFmtId="44" fontId="30" fillId="0" borderId="70" xfId="31" applyFont="1" applyBorder="1" applyAlignment="1" applyProtection="1"/>
    <xf numFmtId="44" fontId="30" fillId="0" borderId="71" xfId="31" applyFont="1" applyBorder="1" applyAlignment="1" applyProtection="1"/>
    <xf numFmtId="44" fontId="30" fillId="0" borderId="72" xfId="31" applyFont="1" applyBorder="1" applyAlignment="1" applyProtection="1"/>
    <xf numFmtId="44" fontId="30" fillId="0" borderId="73" xfId="31" applyFont="1" applyBorder="1" applyAlignment="1" applyProtection="1"/>
    <xf numFmtId="44" fontId="30" fillId="0" borderId="74" xfId="31" applyFont="1" applyBorder="1" applyAlignment="1" applyProtection="1"/>
    <xf numFmtId="44" fontId="30" fillId="0" borderId="71" xfId="31" applyFont="1" applyBorder="1" applyProtection="1"/>
    <xf numFmtId="44" fontId="30" fillId="0" borderId="74" xfId="31" applyFont="1" applyBorder="1" applyProtection="1"/>
    <xf numFmtId="44" fontId="30" fillId="0" borderId="73" xfId="31" applyFont="1" applyBorder="1" applyProtection="1"/>
    <xf numFmtId="0" fontId="2" fillId="0" borderId="14" xfId="47" applyFont="1" applyFill="1" applyBorder="1" applyAlignment="1" applyProtection="1"/>
    <xf numFmtId="0" fontId="2" fillId="0" borderId="12" xfId="47" applyFont="1" applyFill="1" applyBorder="1" applyAlignment="1" applyProtection="1">
      <alignment horizontal="center"/>
    </xf>
    <xf numFmtId="0" fontId="2" fillId="0" borderId="75" xfId="47" applyFont="1" applyFill="1" applyBorder="1" applyAlignment="1" applyProtection="1">
      <alignment horizontal="center"/>
    </xf>
    <xf numFmtId="0" fontId="2" fillId="0" borderId="28" xfId="47" applyFont="1" applyFill="1" applyBorder="1" applyAlignment="1" applyProtection="1">
      <alignment horizontal="center"/>
    </xf>
    <xf numFmtId="0" fontId="2" fillId="0" borderId="24" xfId="47" applyFont="1" applyFill="1" applyBorder="1" applyAlignment="1" applyProtection="1">
      <alignment horizontal="center"/>
    </xf>
    <xf numFmtId="0" fontId="2" fillId="0" borderId="76" xfId="47" applyFont="1" applyFill="1" applyBorder="1" applyAlignment="1" applyProtection="1">
      <alignment horizontal="centerContinuous"/>
    </xf>
    <xf numFmtId="0" fontId="2" fillId="0" borderId="77" xfId="47" applyFont="1" applyFill="1" applyBorder="1" applyAlignment="1" applyProtection="1"/>
    <xf numFmtId="0" fontId="2" fillId="0" borderId="78" xfId="47" applyFont="1" applyFill="1" applyBorder="1" applyAlignment="1" applyProtection="1">
      <alignment horizontal="centerContinuous"/>
    </xf>
    <xf numFmtId="0" fontId="30" fillId="0" borderId="43" xfId="47" applyFont="1" applyBorder="1" applyAlignment="1" applyProtection="1"/>
    <xf numFmtId="44" fontId="30" fillId="29" borderId="79" xfId="31" applyFont="1" applyFill="1" applyBorder="1" applyAlignment="1" applyProtection="1">
      <protection locked="0"/>
    </xf>
    <xf numFmtId="44" fontId="30" fillId="29" borderId="80" xfId="31" applyFont="1" applyFill="1" applyBorder="1" applyAlignment="1" applyProtection="1">
      <protection locked="0"/>
    </xf>
    <xf numFmtId="0" fontId="30" fillId="0" borderId="81" xfId="47" applyFont="1" applyBorder="1" applyAlignment="1" applyProtection="1"/>
    <xf numFmtId="44" fontId="30" fillId="29" borderId="82" xfId="31" applyFont="1" applyFill="1" applyBorder="1" applyAlignment="1" applyProtection="1">
      <protection locked="0"/>
    </xf>
    <xf numFmtId="0" fontId="30" fillId="0" borderId="83" xfId="47" applyFont="1" applyBorder="1" applyAlignment="1" applyProtection="1"/>
    <xf numFmtId="44" fontId="30" fillId="29" borderId="84" xfId="31" applyFont="1" applyFill="1" applyBorder="1" applyAlignment="1" applyProtection="1">
      <protection locked="0"/>
    </xf>
    <xf numFmtId="44" fontId="30" fillId="29" borderId="79" xfId="31" applyFont="1" applyFill="1" applyBorder="1" applyProtection="1">
      <protection locked="0"/>
    </xf>
    <xf numFmtId="0" fontId="30" fillId="0" borderId="43" xfId="47" applyFont="1" applyBorder="1" applyProtection="1"/>
    <xf numFmtId="0" fontId="30" fillId="0" borderId="83" xfId="47" applyFont="1" applyBorder="1" applyProtection="1"/>
    <xf numFmtId="44" fontId="30" fillId="29" borderId="84" xfId="31" applyFont="1" applyFill="1" applyBorder="1" applyProtection="1">
      <protection locked="0"/>
    </xf>
    <xf numFmtId="0" fontId="30" fillId="0" borderId="81" xfId="47" applyFont="1" applyBorder="1" applyProtection="1"/>
    <xf numFmtId="44" fontId="30" fillId="29" borderId="82" xfId="31" applyFont="1" applyFill="1" applyBorder="1" applyProtection="1">
      <protection locked="0"/>
    </xf>
    <xf numFmtId="44" fontId="30" fillId="29" borderId="79" xfId="31" quotePrefix="1" applyFont="1" applyFill="1" applyBorder="1" applyProtection="1">
      <protection locked="0"/>
    </xf>
    <xf numFmtId="0" fontId="30" fillId="0" borderId="43" xfId="0" applyFont="1" applyBorder="1" applyProtection="1"/>
    <xf numFmtId="0" fontId="30" fillId="0" borderId="77" xfId="47" applyFont="1" applyBorder="1" applyProtection="1"/>
    <xf numFmtId="0" fontId="30" fillId="0" borderId="85" xfId="0" quotePrefix="1" applyFont="1" applyBorder="1" applyAlignment="1" applyProtection="1">
      <alignment horizontal="center"/>
    </xf>
    <xf numFmtId="0" fontId="8" fillId="26" borderId="49" xfId="0" quotePrefix="1" applyNumberFormat="1" applyFont="1" applyFill="1" applyBorder="1" applyAlignment="1" applyProtection="1">
      <alignment horizontal="center"/>
      <protection locked="0"/>
    </xf>
    <xf numFmtId="44" fontId="30" fillId="0" borderId="86" xfId="31" applyFont="1" applyBorder="1" applyProtection="1"/>
    <xf numFmtId="44" fontId="30" fillId="29" borderId="87" xfId="31" applyFont="1" applyFill="1" applyBorder="1" applyProtection="1">
      <protection locked="0"/>
    </xf>
    <xf numFmtId="41" fontId="8" fillId="26" borderId="7" xfId="31" applyNumberFormat="1" applyFont="1" applyFill="1" applyBorder="1" applyAlignment="1" applyProtection="1">
      <protection locked="0"/>
    </xf>
    <xf numFmtId="41" fontId="8" fillId="26" borderId="88" xfId="31" applyNumberFormat="1" applyFont="1" applyFill="1" applyBorder="1" applyAlignment="1" applyProtection="1">
      <protection locked="0"/>
    </xf>
    <xf numFmtId="41" fontId="8" fillId="26" borderId="7" xfId="31" applyNumberFormat="1" applyFont="1" applyFill="1" applyBorder="1" applyAlignment="1" applyProtection="1">
      <alignment horizontal="center"/>
      <protection locked="0"/>
    </xf>
    <xf numFmtId="41" fontId="30" fillId="0" borderId="56" xfId="31" applyNumberFormat="1" applyFont="1" applyBorder="1" applyAlignment="1" applyProtection="1"/>
    <xf numFmtId="41" fontId="30" fillId="0" borderId="7" xfId="31" applyNumberFormat="1" applyFont="1" applyBorder="1" applyProtection="1"/>
    <xf numFmtId="41" fontId="30" fillId="0" borderId="57" xfId="31" applyNumberFormat="1" applyFont="1" applyBorder="1" applyProtection="1"/>
    <xf numFmtId="41" fontId="30" fillId="0" borderId="56" xfId="31" applyNumberFormat="1" applyFont="1" applyBorder="1" applyProtection="1"/>
    <xf numFmtId="0" fontId="8" fillId="0" borderId="0" xfId="0" quotePrefix="1" applyNumberFormat="1" applyFont="1" applyFill="1" applyBorder="1" applyAlignment="1" applyProtection="1">
      <alignment horizontal="center"/>
      <protection locked="0"/>
    </xf>
    <xf numFmtId="42" fontId="8" fillId="0" borderId="0" xfId="31" applyNumberFormat="1" applyFont="1" applyFill="1" applyBorder="1" applyAlignment="1" applyProtection="1">
      <alignment horizontal="center"/>
      <protection locked="0"/>
    </xf>
    <xf numFmtId="0" fontId="2" fillId="0" borderId="27" xfId="0" applyFont="1" applyBorder="1" applyAlignment="1" applyProtection="1">
      <alignment horizontal="centerContinuous"/>
    </xf>
    <xf numFmtId="42" fontId="8" fillId="26" borderId="89" xfId="31" applyNumberFormat="1" applyFont="1" applyFill="1" applyBorder="1" applyAlignment="1" applyProtection="1">
      <protection locked="0"/>
    </xf>
    <xf numFmtId="43" fontId="30" fillId="0" borderId="7" xfId="31" applyNumberFormat="1" applyFont="1" applyBorder="1" applyAlignment="1" applyProtection="1"/>
    <xf numFmtId="43" fontId="30" fillId="0" borderId="88" xfId="31" applyNumberFormat="1" applyFont="1" applyBorder="1" applyAlignment="1" applyProtection="1"/>
    <xf numFmtId="43" fontId="8" fillId="0" borderId="56" xfId="31" applyNumberFormat="1" applyFont="1" applyBorder="1" applyAlignment="1" applyProtection="1">
      <protection locked="0"/>
    </xf>
    <xf numFmtId="43" fontId="8" fillId="0" borderId="57" xfId="31" applyNumberFormat="1" applyFont="1" applyBorder="1" applyAlignment="1" applyProtection="1">
      <protection locked="0"/>
    </xf>
    <xf numFmtId="43" fontId="30" fillId="0" borderId="56" xfId="31" applyNumberFormat="1" applyFont="1" applyBorder="1" applyAlignment="1" applyProtection="1"/>
    <xf numFmtId="43" fontId="30" fillId="0" borderId="7" xfId="31" applyNumberFormat="1" applyFont="1" applyBorder="1" applyProtection="1"/>
    <xf numFmtId="43" fontId="30" fillId="0" borderId="57" xfId="31" applyNumberFormat="1" applyFont="1" applyBorder="1" applyProtection="1"/>
    <xf numFmtId="43" fontId="30" fillId="0" borderId="56" xfId="31" applyNumberFormat="1" applyFont="1" applyBorder="1" applyProtection="1"/>
    <xf numFmtId="44" fontId="30" fillId="0" borderId="89" xfId="31" applyNumberFormat="1" applyFont="1" applyBorder="1" applyAlignment="1" applyProtection="1"/>
    <xf numFmtId="43" fontId="30" fillId="0" borderId="90" xfId="31" applyNumberFormat="1" applyFont="1" applyBorder="1" applyAlignment="1" applyProtection="1"/>
    <xf numFmtId="43" fontId="30" fillId="0" borderId="91" xfId="31" applyNumberFormat="1" applyFont="1" applyBorder="1" applyAlignment="1" applyProtection="1"/>
    <xf numFmtId="43" fontId="30" fillId="0" borderId="92" xfId="31" applyNumberFormat="1" applyFont="1" applyBorder="1" applyAlignment="1" applyProtection="1"/>
    <xf numFmtId="43" fontId="30" fillId="0" borderId="93" xfId="31" applyNumberFormat="1" applyFont="1" applyBorder="1" applyAlignment="1" applyProtection="1"/>
    <xf numFmtId="43" fontId="30" fillId="0" borderId="90" xfId="31" applyNumberFormat="1" applyFont="1" applyBorder="1" applyProtection="1"/>
    <xf numFmtId="43" fontId="30" fillId="0" borderId="93" xfId="31" applyNumberFormat="1" applyFont="1" applyBorder="1" applyProtection="1"/>
    <xf numFmtId="43" fontId="30" fillId="0" borderId="92" xfId="31" applyNumberFormat="1" applyFont="1" applyBorder="1" applyProtection="1"/>
    <xf numFmtId="0" fontId="1" fillId="29" borderId="0" xfId="0" applyFont="1" applyFill="1" applyProtection="1"/>
    <xf numFmtId="0" fontId="1" fillId="0" borderId="0" xfId="0" applyFont="1" applyProtection="1"/>
    <xf numFmtId="176" fontId="1" fillId="0" borderId="0" xfId="31" applyNumberFormat="1" applyFont="1" applyFill="1" applyBorder="1" applyProtection="1"/>
    <xf numFmtId="44" fontId="13" fillId="0" borderId="0" xfId="31" applyFont="1" applyFill="1" applyBorder="1" applyProtection="1"/>
    <xf numFmtId="176" fontId="30" fillId="0" borderId="0" xfId="31" applyNumberFormat="1" applyFont="1" applyFill="1" applyBorder="1" applyProtection="1"/>
    <xf numFmtId="0" fontId="2" fillId="0" borderId="14" xfId="47" applyFont="1" applyBorder="1" applyAlignment="1" applyProtection="1"/>
    <xf numFmtId="0" fontId="3" fillId="0" borderId="28" xfId="47" applyFont="1" applyBorder="1" applyAlignment="1" applyProtection="1"/>
    <xf numFmtId="0" fontId="3" fillId="0" borderId="28" xfId="0" applyFont="1" applyBorder="1" applyAlignment="1" applyProtection="1"/>
    <xf numFmtId="0" fontId="3" fillId="0" borderId="28" xfId="0" applyFont="1" applyBorder="1" applyAlignment="1" applyProtection="1">
      <alignment horizontal="center"/>
    </xf>
    <xf numFmtId="38" fontId="3" fillId="0" borderId="28" xfId="0" applyNumberFormat="1" applyFont="1" applyBorder="1" applyAlignment="1" applyProtection="1">
      <alignment horizontal="center"/>
    </xf>
    <xf numFmtId="37" fontId="2" fillId="0" borderId="28" xfId="0" applyNumberFormat="1" applyFont="1" applyBorder="1" applyAlignment="1" applyProtection="1"/>
    <xf numFmtId="0" fontId="2" fillId="0" borderId="28" xfId="47" applyFont="1" applyBorder="1" applyAlignment="1" applyProtection="1"/>
    <xf numFmtId="0" fontId="2" fillId="0" borderId="43" xfId="47" applyFont="1" applyBorder="1" applyAlignment="1" applyProtection="1"/>
    <xf numFmtId="0" fontId="2" fillId="0" borderId="94" xfId="47" applyFont="1" applyBorder="1" applyAlignment="1" applyProtection="1"/>
    <xf numFmtId="0" fontId="3" fillId="0" borderId="43" xfId="47" applyFont="1" applyBorder="1" applyAlignment="1" applyProtection="1"/>
    <xf numFmtId="0" fontId="30" fillId="0" borderId="94" xfId="47" applyFont="1" applyBorder="1" applyAlignment="1" applyProtection="1"/>
    <xf numFmtId="44" fontId="30" fillId="0" borderId="94" xfId="31" applyFont="1" applyFill="1" applyBorder="1" applyProtection="1">
      <protection locked="0"/>
    </xf>
    <xf numFmtId="0" fontId="1" fillId="0" borderId="43" xfId="47" applyFont="1" applyBorder="1" applyProtection="1"/>
    <xf numFmtId="0" fontId="1" fillId="0" borderId="0" xfId="0" applyFont="1" applyBorder="1" applyProtection="1"/>
    <xf numFmtId="44" fontId="1" fillId="0" borderId="94" xfId="31" applyFont="1" applyFill="1" applyBorder="1" applyProtection="1"/>
    <xf numFmtId="44" fontId="30" fillId="0" borderId="94" xfId="31" applyFont="1" applyFill="1" applyBorder="1" applyProtection="1"/>
    <xf numFmtId="0" fontId="30" fillId="0" borderId="43" xfId="47" applyFont="1" applyFill="1" applyBorder="1" applyAlignment="1" applyProtection="1">
      <alignment horizontal="right"/>
    </xf>
    <xf numFmtId="0" fontId="30" fillId="0" borderId="43" xfId="47" applyFont="1" applyFill="1" applyBorder="1" applyProtection="1"/>
    <xf numFmtId="0" fontId="3" fillId="0" borderId="77" xfId="0" applyFont="1" applyBorder="1" applyProtection="1"/>
    <xf numFmtId="0" fontId="3" fillId="0" borderId="27" xfId="0" applyFont="1" applyBorder="1" applyProtection="1"/>
    <xf numFmtId="0" fontId="3" fillId="0" borderId="27" xfId="0" applyFont="1" applyBorder="1" applyAlignment="1" applyProtection="1">
      <alignment horizontal="center"/>
    </xf>
    <xf numFmtId="38" fontId="3" fillId="0" borderId="27" xfId="0" applyNumberFormat="1" applyFont="1" applyBorder="1" applyAlignment="1" applyProtection="1">
      <alignment horizontal="center"/>
    </xf>
    <xf numFmtId="0" fontId="3" fillId="0" borderId="78" xfId="0" applyFont="1" applyBorder="1" applyProtection="1"/>
    <xf numFmtId="43" fontId="30" fillId="0" borderId="95" xfId="31" applyNumberFormat="1" applyFont="1" applyBorder="1" applyProtection="1"/>
    <xf numFmtId="0" fontId="1" fillId="0" borderId="0" xfId="47" applyNumberFormat="1" applyFont="1" applyFill="1" applyBorder="1" applyAlignment="1" applyProtection="1">
      <alignment horizontal="left"/>
    </xf>
    <xf numFmtId="0" fontId="1" fillId="0" borderId="0" xfId="0" quotePrefix="1" applyNumberFormat="1" applyFont="1" applyBorder="1" applyAlignment="1" applyProtection="1">
      <alignment horizontal="center"/>
    </xf>
    <xf numFmtId="0" fontId="1" fillId="0" borderId="0" xfId="31" applyNumberFormat="1" applyFont="1" applyBorder="1" applyAlignment="1" applyProtection="1">
      <alignment horizontal="center"/>
    </xf>
    <xf numFmtId="0" fontId="13" fillId="0" borderId="0" xfId="31" applyNumberFormat="1" applyFont="1" applyFill="1" applyBorder="1" applyProtection="1"/>
    <xf numFmtId="0" fontId="30" fillId="0" borderId="0" xfId="0" quotePrefix="1" applyNumberFormat="1" applyFont="1" applyBorder="1" applyAlignment="1" applyProtection="1">
      <alignment horizontal="center"/>
    </xf>
    <xf numFmtId="0" fontId="30" fillId="0" borderId="0" xfId="31" applyNumberFormat="1" applyFont="1" applyBorder="1" applyAlignment="1" applyProtection="1">
      <alignment horizontal="center"/>
    </xf>
    <xf numFmtId="0" fontId="30" fillId="0" borderId="0" xfId="47" applyNumberFormat="1" applyFont="1" applyFill="1" applyBorder="1" applyAlignment="1" applyProtection="1">
      <alignment horizontal="left"/>
    </xf>
    <xf numFmtId="0" fontId="30" fillId="0" borderId="0" xfId="47" applyNumberFormat="1" applyFont="1" applyFill="1" applyBorder="1" applyAlignment="1" applyProtection="1">
      <alignment horizontal="right"/>
    </xf>
    <xf numFmtId="0" fontId="30" fillId="0" borderId="0" xfId="47" applyNumberFormat="1" applyFont="1" applyFill="1" applyBorder="1" applyAlignment="1" applyProtection="1">
      <alignment horizontal="center"/>
    </xf>
    <xf numFmtId="0" fontId="1" fillId="0" borderId="0" xfId="31" applyNumberFormat="1" applyFont="1" applyFill="1" applyBorder="1" applyProtection="1"/>
    <xf numFmtId="0" fontId="1" fillId="0" borderId="30" xfId="47" applyFont="1" applyBorder="1" applyAlignment="1" applyProtection="1"/>
    <xf numFmtId="41" fontId="30" fillId="0" borderId="96" xfId="31" applyNumberFormat="1" applyFont="1" applyBorder="1" applyProtection="1"/>
    <xf numFmtId="43" fontId="30" fillId="0" borderId="96" xfId="31" applyNumberFormat="1" applyFont="1" applyBorder="1" applyProtection="1"/>
    <xf numFmtId="41" fontId="30" fillId="0" borderId="0" xfId="31" applyNumberFormat="1" applyFont="1" applyFill="1" applyBorder="1" applyProtection="1"/>
    <xf numFmtId="41" fontId="30" fillId="0" borderId="30" xfId="31" applyNumberFormat="1" applyFont="1" applyFill="1" applyBorder="1" applyProtection="1"/>
    <xf numFmtId="43" fontId="30" fillId="0" borderId="30" xfId="31" applyNumberFormat="1" applyFont="1" applyFill="1" applyBorder="1" applyProtection="1"/>
    <xf numFmtId="43" fontId="30" fillId="0" borderId="0" xfId="31" applyNumberFormat="1" applyFont="1" applyFill="1" applyBorder="1" applyProtection="1"/>
    <xf numFmtId="42" fontId="1" fillId="0" borderId="0" xfId="31" applyNumberFormat="1" applyFont="1" applyFill="1" applyBorder="1" applyProtection="1"/>
    <xf numFmtId="44" fontId="1" fillId="0" borderId="0" xfId="31" applyNumberFormat="1" applyFont="1" applyFill="1" applyBorder="1" applyProtection="1"/>
    <xf numFmtId="0" fontId="2" fillId="0" borderId="28" xfId="47" applyFont="1" applyFill="1" applyBorder="1" applyAlignment="1" applyProtection="1"/>
    <xf numFmtId="0" fontId="1" fillId="0" borderId="65" xfId="0" quotePrefix="1" applyFont="1" applyFill="1" applyBorder="1" applyAlignment="1" applyProtection="1">
      <alignment horizontal="center"/>
    </xf>
    <xf numFmtId="0" fontId="1" fillId="0" borderId="89" xfId="31" applyNumberFormat="1" applyFont="1" applyFill="1" applyBorder="1" applyAlignment="1" applyProtection="1">
      <alignment horizontal="center"/>
    </xf>
    <xf numFmtId="42" fontId="1" fillId="0" borderId="89" xfId="31" applyNumberFormat="1" applyFont="1" applyFill="1" applyBorder="1" applyAlignment="1" applyProtection="1">
      <protection locked="0"/>
    </xf>
    <xf numFmtId="44" fontId="1" fillId="0" borderId="89" xfId="31" applyNumberFormat="1" applyFont="1" applyFill="1" applyBorder="1" applyAlignment="1" applyProtection="1"/>
    <xf numFmtId="44" fontId="1" fillId="0" borderId="97" xfId="31" applyNumberFormat="1" applyFont="1" applyFill="1" applyBorder="1" applyAlignment="1" applyProtection="1"/>
    <xf numFmtId="0" fontId="1" fillId="0" borderId="66" xfId="0" quotePrefix="1" applyFont="1" applyFill="1" applyBorder="1" applyAlignment="1" applyProtection="1">
      <alignment horizontal="center"/>
    </xf>
    <xf numFmtId="41" fontId="1" fillId="0" borderId="7" xfId="31" applyNumberFormat="1" applyFont="1" applyFill="1" applyBorder="1" applyAlignment="1" applyProtection="1">
      <alignment horizontal="center"/>
    </xf>
    <xf numFmtId="41" fontId="1" fillId="0" borderId="7" xfId="31" applyNumberFormat="1" applyFont="1" applyFill="1" applyBorder="1" applyAlignment="1" applyProtection="1">
      <protection locked="0"/>
    </xf>
    <xf numFmtId="43" fontId="1" fillId="0" borderId="7" xfId="31" applyNumberFormat="1" applyFont="1" applyFill="1" applyBorder="1" applyAlignment="1" applyProtection="1"/>
    <xf numFmtId="43" fontId="1" fillId="0" borderId="90" xfId="31" applyNumberFormat="1" applyFont="1" applyFill="1" applyBorder="1" applyAlignment="1" applyProtection="1"/>
    <xf numFmtId="0" fontId="1" fillId="0" borderId="67" xfId="0" quotePrefix="1" applyFont="1" applyFill="1" applyBorder="1" applyAlignment="1" applyProtection="1">
      <alignment horizontal="center"/>
    </xf>
    <xf numFmtId="41" fontId="1" fillId="0" borderId="88" xfId="31" applyNumberFormat="1" applyFont="1" applyFill="1" applyBorder="1" applyAlignment="1" applyProtection="1">
      <alignment horizontal="center"/>
    </xf>
    <xf numFmtId="41" fontId="1" fillId="0" borderId="88" xfId="31" applyNumberFormat="1" applyFont="1" applyFill="1" applyBorder="1" applyAlignment="1" applyProtection="1">
      <protection locked="0"/>
    </xf>
    <xf numFmtId="43" fontId="1" fillId="0" borderId="88" xfId="31" applyNumberFormat="1" applyFont="1" applyFill="1" applyBorder="1" applyAlignment="1" applyProtection="1"/>
    <xf numFmtId="43" fontId="1" fillId="0" borderId="91" xfId="31" applyNumberFormat="1" applyFont="1" applyFill="1" applyBorder="1" applyAlignment="1" applyProtection="1"/>
    <xf numFmtId="0" fontId="1" fillId="0" borderId="68" xfId="0" quotePrefix="1" applyFont="1" applyFill="1" applyBorder="1" applyAlignment="1" applyProtection="1">
      <alignment horizontal="center"/>
    </xf>
    <xf numFmtId="41" fontId="1" fillId="0" borderId="56" xfId="31" applyNumberFormat="1" applyFont="1" applyFill="1" applyBorder="1" applyAlignment="1" applyProtection="1">
      <alignment horizontal="center"/>
    </xf>
    <xf numFmtId="41" fontId="1" fillId="0" borderId="56" xfId="31" applyNumberFormat="1" applyFont="1" applyFill="1" applyBorder="1" applyAlignment="1" applyProtection="1">
      <protection locked="0"/>
    </xf>
    <xf numFmtId="43" fontId="1" fillId="0" borderId="56" xfId="31" applyNumberFormat="1" applyFont="1" applyFill="1" applyBorder="1" applyAlignment="1" applyProtection="1">
      <protection locked="0"/>
    </xf>
    <xf numFmtId="43" fontId="1" fillId="0" borderId="92" xfId="31" applyNumberFormat="1" applyFont="1" applyFill="1" applyBorder="1" applyAlignment="1" applyProtection="1"/>
    <xf numFmtId="41" fontId="1" fillId="0" borderId="7" xfId="31" applyNumberFormat="1" applyFont="1" applyFill="1" applyBorder="1" applyAlignment="1" applyProtection="1">
      <alignment horizontal="center"/>
      <protection locked="0"/>
    </xf>
    <xf numFmtId="0" fontId="1" fillId="0" borderId="69" xfId="0" quotePrefix="1" applyFont="1" applyFill="1" applyBorder="1" applyAlignment="1" applyProtection="1">
      <alignment horizontal="center"/>
    </xf>
    <xf numFmtId="41" fontId="1" fillId="0" borderId="57" xfId="31" applyNumberFormat="1" applyFont="1" applyFill="1" applyBorder="1" applyAlignment="1" applyProtection="1">
      <alignment horizontal="center"/>
    </xf>
    <xf numFmtId="41" fontId="1" fillId="0" borderId="57" xfId="31" applyNumberFormat="1" applyFont="1" applyFill="1" applyBorder="1" applyAlignment="1" applyProtection="1">
      <protection locked="0"/>
    </xf>
    <xf numFmtId="43" fontId="1" fillId="0" borderId="57" xfId="31" applyNumberFormat="1" applyFont="1" applyFill="1" applyBorder="1" applyAlignment="1" applyProtection="1">
      <protection locked="0"/>
    </xf>
    <xf numFmtId="43" fontId="1" fillId="0" borderId="93" xfId="31" applyNumberFormat="1" applyFont="1" applyFill="1" applyBorder="1" applyAlignment="1" applyProtection="1"/>
    <xf numFmtId="0" fontId="1" fillId="0" borderId="68" xfId="0" quotePrefix="1" applyNumberFormat="1" applyFont="1" applyFill="1" applyBorder="1" applyAlignment="1" applyProtection="1">
      <alignment horizontal="center"/>
      <protection locked="0"/>
    </xf>
    <xf numFmtId="42" fontId="1" fillId="0" borderId="56" xfId="31" applyNumberFormat="1" applyFont="1" applyFill="1" applyBorder="1" applyAlignment="1" applyProtection="1">
      <alignment horizontal="center"/>
      <protection locked="0"/>
    </xf>
    <xf numFmtId="41" fontId="1" fillId="0" borderId="56" xfId="31" applyNumberFormat="1" applyFont="1" applyFill="1" applyBorder="1" applyAlignment="1" applyProtection="1"/>
    <xf numFmtId="43" fontId="1" fillId="0" borderId="56" xfId="31" applyNumberFormat="1" applyFont="1" applyFill="1" applyBorder="1" applyAlignment="1" applyProtection="1"/>
    <xf numFmtId="0" fontId="1" fillId="0" borderId="66" xfId="0" quotePrefix="1" applyNumberFormat="1" applyFont="1" applyFill="1" applyBorder="1" applyAlignment="1" applyProtection="1">
      <alignment horizontal="center"/>
      <protection locked="0"/>
    </xf>
    <xf numFmtId="41" fontId="1" fillId="0" borderId="7" xfId="31" applyNumberFormat="1" applyFont="1" applyFill="1" applyBorder="1" applyProtection="1"/>
    <xf numFmtId="43" fontId="1" fillId="0" borderId="7" xfId="31" applyNumberFormat="1" applyFont="1" applyFill="1" applyBorder="1" applyProtection="1"/>
    <xf numFmtId="43" fontId="1" fillId="0" borderId="90" xfId="31" applyNumberFormat="1" applyFont="1" applyFill="1" applyBorder="1" applyProtection="1"/>
    <xf numFmtId="0" fontId="1" fillId="0" borderId="69" xfId="0" quotePrefix="1" applyNumberFormat="1" applyFont="1" applyFill="1" applyBorder="1" applyAlignment="1" applyProtection="1">
      <alignment horizontal="center"/>
      <protection locked="0"/>
    </xf>
    <xf numFmtId="41" fontId="1" fillId="0" borderId="57" xfId="31" applyNumberFormat="1" applyFont="1" applyFill="1" applyBorder="1" applyAlignment="1" applyProtection="1">
      <alignment horizontal="center"/>
      <protection locked="0"/>
    </xf>
    <xf numFmtId="41" fontId="1" fillId="0" borderId="57" xfId="31" applyNumberFormat="1" applyFont="1" applyFill="1" applyBorder="1" applyProtection="1"/>
    <xf numFmtId="43" fontId="1" fillId="0" borderId="57" xfId="31" applyNumberFormat="1" applyFont="1" applyFill="1" applyBorder="1" applyProtection="1"/>
    <xf numFmtId="43" fontId="1" fillId="0" borderId="93" xfId="31" applyNumberFormat="1" applyFont="1" applyFill="1" applyBorder="1" applyProtection="1"/>
    <xf numFmtId="41" fontId="1" fillId="0" borderId="56" xfId="31" applyNumberFormat="1" applyFont="1" applyFill="1" applyBorder="1" applyAlignment="1" applyProtection="1">
      <alignment horizontal="center"/>
      <protection locked="0"/>
    </xf>
    <xf numFmtId="41" fontId="1" fillId="0" borderId="56" xfId="31" applyNumberFormat="1" applyFont="1" applyFill="1" applyBorder="1" applyProtection="1"/>
    <xf numFmtId="43" fontId="1" fillId="0" borderId="56" xfId="31" applyNumberFormat="1" applyFont="1" applyFill="1" applyBorder="1" applyProtection="1"/>
    <xf numFmtId="43" fontId="1" fillId="0" borderId="92" xfId="31" applyNumberFormat="1" applyFont="1" applyFill="1" applyBorder="1" applyProtection="1"/>
    <xf numFmtId="172" fontId="1" fillId="0" borderId="66" xfId="0" quotePrefix="1" applyNumberFormat="1" applyFont="1" applyFill="1" applyBorder="1" applyAlignment="1" applyProtection="1">
      <alignment horizontal="center"/>
      <protection locked="0"/>
    </xf>
    <xf numFmtId="0" fontId="1" fillId="0" borderId="69" xfId="0" quotePrefix="1" applyNumberFormat="1" applyFont="1" applyFill="1" applyBorder="1" applyAlignment="1" applyProtection="1">
      <alignment horizontal="center"/>
    </xf>
    <xf numFmtId="0" fontId="1" fillId="0" borderId="49" xfId="0" quotePrefix="1" applyNumberFormat="1" applyFont="1" applyFill="1" applyBorder="1" applyAlignment="1" applyProtection="1">
      <alignment horizontal="center"/>
      <protection locked="0"/>
    </xf>
    <xf numFmtId="41" fontId="1" fillId="0" borderId="96" xfId="31" applyNumberFormat="1" applyFont="1" applyFill="1" applyBorder="1" applyAlignment="1" applyProtection="1">
      <alignment horizontal="center"/>
      <protection locked="0"/>
    </xf>
    <xf numFmtId="41" fontId="1" fillId="0" borderId="96" xfId="31" applyNumberFormat="1" applyFont="1" applyFill="1" applyBorder="1" applyProtection="1"/>
    <xf numFmtId="43" fontId="1" fillId="0" borderId="96" xfId="31" applyNumberFormat="1" applyFont="1" applyFill="1" applyBorder="1" applyProtection="1"/>
    <xf numFmtId="43" fontId="1" fillId="0" borderId="95" xfId="31" applyNumberFormat="1" applyFont="1" applyFill="1" applyBorder="1" applyProtection="1"/>
    <xf numFmtId="37" fontId="1" fillId="0" borderId="28" xfId="0" applyNumberFormat="1" applyFont="1" applyBorder="1" applyAlignment="1" applyProtection="1"/>
    <xf numFmtId="0" fontId="1" fillId="0" borderId="28" xfId="47" applyFont="1" applyBorder="1" applyAlignment="1" applyProtection="1"/>
    <xf numFmtId="37" fontId="1" fillId="0" borderId="0" xfId="0" applyNumberFormat="1" applyFont="1" applyBorder="1" applyAlignment="1" applyProtection="1"/>
    <xf numFmtId="0" fontId="1" fillId="0" borderId="0" xfId="47" applyFont="1" applyBorder="1" applyAlignment="1" applyProtection="1"/>
    <xf numFmtId="38" fontId="3" fillId="0" borderId="0" xfId="0" applyNumberFormat="1" applyFont="1" applyBorder="1" applyAlignment="1" applyProtection="1">
      <alignment horizontal="center"/>
    </xf>
    <xf numFmtId="0" fontId="1" fillId="0" borderId="0" xfId="47" applyFont="1" applyBorder="1" applyAlignment="1" applyProtection="1">
      <alignment horizontal="right"/>
    </xf>
    <xf numFmtId="37" fontId="2" fillId="0" borderId="0" xfId="0" applyNumberFormat="1" applyFont="1" applyBorder="1" applyAlignment="1" applyProtection="1"/>
    <xf numFmtId="0" fontId="1" fillId="0" borderId="94" xfId="47" applyFont="1" applyBorder="1" applyAlignment="1" applyProtection="1"/>
    <xf numFmtId="37" fontId="30" fillId="0" borderId="0" xfId="0" applyNumberFormat="1" applyFont="1" applyFill="1" applyBorder="1" applyAlignment="1" applyProtection="1"/>
    <xf numFmtId="165" fontId="30" fillId="0" borderId="0" xfId="0" applyNumberFormat="1" applyFont="1" applyFill="1" applyBorder="1" applyAlignment="1" applyProtection="1"/>
    <xf numFmtId="172" fontId="2" fillId="0" borderId="27" xfId="28" applyNumberFormat="1" applyFont="1" applyFill="1" applyBorder="1" applyAlignment="1" applyProtection="1">
      <alignment horizontal="centerContinuous"/>
    </xf>
    <xf numFmtId="0" fontId="2" fillId="0" borderId="27" xfId="47" applyFont="1" applyBorder="1" applyAlignment="1" applyProtection="1">
      <alignment horizontal="centerContinuous"/>
    </xf>
    <xf numFmtId="0" fontId="2" fillId="0" borderId="0" xfId="0" applyFont="1" applyBorder="1" applyAlignment="1" applyProtection="1">
      <alignment horizontal="center"/>
    </xf>
    <xf numFmtId="172" fontId="2" fillId="0" borderId="0" xfId="28" applyNumberFormat="1" applyFont="1" applyFill="1" applyBorder="1" applyAlignment="1" applyProtection="1">
      <alignment horizontal="center"/>
    </xf>
    <xf numFmtId="5" fontId="18" fillId="0" borderId="39" xfId="48" applyNumberFormat="1" applyFont="1" applyBorder="1"/>
    <xf numFmtId="5" fontId="18" fillId="0" borderId="40" xfId="48" applyNumberFormat="1" applyFont="1" applyBorder="1" applyAlignment="1">
      <alignment horizontal="center"/>
    </xf>
    <xf numFmtId="5" fontId="44" fillId="0" borderId="0" xfId="48" applyNumberFormat="1" applyFont="1" applyBorder="1" applyAlignment="1">
      <alignment horizontal="center"/>
    </xf>
    <xf numFmtId="5" fontId="44" fillId="0" borderId="9" xfId="48" applyNumberFormat="1" applyFont="1" applyBorder="1" applyAlignment="1">
      <alignment horizontal="center"/>
    </xf>
    <xf numFmtId="165" fontId="18" fillId="0" borderId="0" xfId="59" applyNumberFormat="1" applyFont="1" applyBorder="1" applyProtection="1"/>
    <xf numFmtId="41" fontId="18" fillId="0" borderId="40" xfId="48" applyNumberFormat="1" applyFont="1" applyBorder="1" applyProtection="1"/>
    <xf numFmtId="5" fontId="18" fillId="0" borderId="30" xfId="48" applyNumberFormat="1" applyFont="1" applyBorder="1"/>
    <xf numFmtId="5" fontId="18" fillId="0" borderId="30" xfId="48" applyNumberFormat="1" applyFont="1" applyBorder="1" applyProtection="1"/>
    <xf numFmtId="5" fontId="18" fillId="0" borderId="38" xfId="48" applyNumberFormat="1" applyFont="1" applyBorder="1"/>
    <xf numFmtId="41" fontId="53" fillId="0" borderId="0" xfId="48" applyNumberFormat="1" applyFont="1" applyBorder="1" applyAlignment="1">
      <alignment vertical="center"/>
    </xf>
    <xf numFmtId="49" fontId="39" fillId="26" borderId="56" xfId="0" applyNumberFormat="1" applyFont="1" applyFill="1" applyBorder="1" applyAlignment="1">
      <alignment horizontal="center"/>
    </xf>
    <xf numFmtId="49" fontId="39" fillId="26" borderId="7" xfId="0" applyNumberFormat="1" applyFont="1" applyFill="1" applyBorder="1" applyAlignment="1">
      <alignment horizontal="center"/>
    </xf>
    <xf numFmtId="49" fontId="39" fillId="26" borderId="57" xfId="0" applyNumberFormat="1" applyFont="1" applyFill="1" applyBorder="1" applyAlignment="1">
      <alignment horizontal="center"/>
    </xf>
    <xf numFmtId="0" fontId="18" fillId="26" borderId="0" xfId="0" applyFont="1" applyFill="1" applyBorder="1"/>
    <xf numFmtId="164" fontId="54" fillId="26" borderId="0" xfId="28" applyNumberFormat="1" applyFont="1" applyFill="1" applyBorder="1"/>
    <xf numFmtId="0" fontId="18" fillId="0" borderId="0" xfId="0" applyFont="1" applyFill="1" applyBorder="1"/>
    <xf numFmtId="164" fontId="18" fillId="0" borderId="0" xfId="28" applyNumberFormat="1" applyFont="1"/>
    <xf numFmtId="0" fontId="18" fillId="0" borderId="0" xfId="0" applyFont="1" applyFill="1"/>
    <xf numFmtId="0" fontId="18" fillId="0" borderId="0" xfId="0" applyFont="1" applyBorder="1" applyAlignment="1">
      <alignment horizontal="center"/>
    </xf>
    <xf numFmtId="164" fontId="18" fillId="0" borderId="30" xfId="28" applyNumberFormat="1" applyFont="1" applyBorder="1" applyAlignment="1">
      <alignment horizontal="right"/>
    </xf>
    <xf numFmtId="179" fontId="18" fillId="0" borderId="0" xfId="28" applyNumberFormat="1" applyFont="1" applyFill="1" applyBorder="1" applyAlignment="1">
      <alignment horizontal="right"/>
    </xf>
    <xf numFmtId="179" fontId="18" fillId="0" borderId="0" xfId="0" applyNumberFormat="1" applyFont="1" applyAlignment="1">
      <alignment horizontal="right"/>
    </xf>
    <xf numFmtId="5" fontId="18" fillId="0" borderId="0" xfId="0" applyNumberFormat="1" applyFont="1"/>
    <xf numFmtId="42" fontId="18" fillId="0" borderId="0" xfId="28" applyNumberFormat="1" applyFont="1" applyBorder="1" applyAlignment="1">
      <alignment horizontal="right"/>
    </xf>
    <xf numFmtId="0" fontId="32" fillId="0" borderId="0" xfId="0" applyFont="1" applyBorder="1"/>
    <xf numFmtId="43" fontId="18" fillId="0" borderId="0" xfId="0" applyNumberFormat="1" applyFont="1" applyBorder="1"/>
    <xf numFmtId="164" fontId="18" fillId="0" borderId="30" xfId="28" applyNumberFormat="1" applyFont="1" applyBorder="1"/>
    <xf numFmtId="41" fontId="18" fillId="0" borderId="0" xfId="28" applyNumberFormat="1" applyFont="1" applyFill="1" applyBorder="1"/>
    <xf numFmtId="41" fontId="18" fillId="0" borderId="0" xfId="28" applyNumberFormat="1" applyFont="1"/>
    <xf numFmtId="41" fontId="53" fillId="0" borderId="0" xfId="0" applyNumberFormat="1" applyFont="1"/>
    <xf numFmtId="42" fontId="53" fillId="0" borderId="0" xfId="0" applyNumberFormat="1" applyFont="1"/>
    <xf numFmtId="41" fontId="18" fillId="0" borderId="0" xfId="0" applyNumberFormat="1" applyFont="1" applyBorder="1" applyAlignment="1">
      <alignment horizontal="center"/>
    </xf>
    <xf numFmtId="41" fontId="53" fillId="0" borderId="0" xfId="0" applyNumberFormat="1" applyFont="1" applyBorder="1"/>
    <xf numFmtId="41" fontId="41" fillId="0" borderId="0" xfId="0" applyNumberFormat="1" applyFont="1" applyBorder="1"/>
    <xf numFmtId="165" fontId="18" fillId="0" borderId="0" xfId="0" applyNumberFormat="1" applyFont="1" applyBorder="1"/>
    <xf numFmtId="41" fontId="18" fillId="0" borderId="0" xfId="0" applyNumberFormat="1" applyFont="1" applyBorder="1" applyAlignment="1">
      <alignment horizontal="left" indent="1"/>
    </xf>
    <xf numFmtId="41" fontId="18" fillId="0" borderId="0" xfId="0" applyNumberFormat="1" applyFont="1" applyFill="1" applyBorder="1"/>
    <xf numFmtId="41" fontId="18" fillId="0" borderId="39" xfId="0" applyNumberFormat="1" applyFont="1" applyBorder="1"/>
    <xf numFmtId="165" fontId="18" fillId="0" borderId="0" xfId="0" applyNumberFormat="1" applyFont="1"/>
    <xf numFmtId="0" fontId="20" fillId="0" borderId="0" xfId="0" applyFont="1" applyBorder="1"/>
    <xf numFmtId="0" fontId="18" fillId="0" borderId="0" xfId="0" applyNumberFormat="1" applyFont="1"/>
    <xf numFmtId="0" fontId="18" fillId="26" borderId="0" xfId="0" applyNumberFormat="1" applyFont="1" applyFill="1"/>
    <xf numFmtId="0" fontId="41" fillId="26" borderId="0" xfId="0" applyNumberFormat="1" applyFont="1" applyFill="1"/>
    <xf numFmtId="0" fontId="41" fillId="0" borderId="0" xfId="0" applyNumberFormat="1" applyFont="1"/>
    <xf numFmtId="0" fontId="18" fillId="0" borderId="0" xfId="0" applyNumberFormat="1" applyFont="1" applyBorder="1"/>
    <xf numFmtId="0" fontId="18" fillId="26" borderId="0" xfId="0" applyNumberFormat="1" applyFont="1" applyFill="1" applyBorder="1"/>
    <xf numFmtId="41" fontId="18" fillId="0" borderId="41" xfId="48" applyNumberFormat="1" applyFont="1" applyBorder="1" applyAlignment="1">
      <alignment vertical="center"/>
    </xf>
    <xf numFmtId="5" fontId="41" fillId="0" borderId="0" xfId="48" applyNumberFormat="1" applyFont="1" applyAlignment="1">
      <alignment horizontal="centerContinuous"/>
    </xf>
    <xf numFmtId="0" fontId="18" fillId="0" borderId="0" xfId="0" applyFont="1" applyAlignment="1">
      <alignment horizontal="centerContinuous"/>
    </xf>
    <xf numFmtId="41" fontId="41" fillId="0" borderId="0" xfId="48" applyNumberFormat="1" applyFont="1" applyBorder="1" applyAlignment="1"/>
    <xf numFmtId="41" fontId="18" fillId="0" borderId="0" xfId="48" quotePrefix="1" applyNumberFormat="1" applyFont="1" applyBorder="1" applyAlignment="1"/>
    <xf numFmtId="41" fontId="41" fillId="0" borderId="0" xfId="48" applyNumberFormat="1" applyFont="1" applyBorder="1" applyAlignment="1">
      <alignment vertical="center"/>
    </xf>
    <xf numFmtId="41" fontId="18" fillId="0" borderId="39" xfId="48" applyNumberFormat="1" applyFont="1" applyBorder="1" applyAlignment="1">
      <alignment vertical="center"/>
    </xf>
    <xf numFmtId="165" fontId="8" fillId="0" borderId="9" xfId="59" applyNumberFormat="1" applyFont="1" applyFill="1" applyBorder="1" applyAlignment="1" applyProtection="1">
      <alignment horizontal="right"/>
      <protection locked="0"/>
    </xf>
    <xf numFmtId="0" fontId="3" fillId="29" borderId="0" xfId="0" applyFont="1" applyFill="1" applyBorder="1" applyProtection="1"/>
    <xf numFmtId="37" fontId="0" fillId="29" borderId="0" xfId="0" applyNumberFormat="1" applyFill="1" applyBorder="1" applyProtection="1"/>
    <xf numFmtId="0" fontId="30" fillId="29" borderId="0" xfId="0" applyNumberFormat="1" applyFont="1" applyFill="1" applyBorder="1" applyAlignment="1" applyProtection="1">
      <alignment horizontal="right"/>
    </xf>
    <xf numFmtId="0" fontId="48" fillId="29" borderId="0" xfId="0" applyFont="1" applyFill="1" applyProtection="1"/>
    <xf numFmtId="172" fontId="8" fillId="0" borderId="0" xfId="0" applyNumberFormat="1" applyFont="1" applyFill="1" applyBorder="1" applyAlignment="1" applyProtection="1">
      <alignment horizontal="left"/>
      <protection locked="0"/>
    </xf>
    <xf numFmtId="37" fontId="16" fillId="0" borderId="0" xfId="0" applyNumberFormat="1" applyFont="1" applyFill="1" applyBorder="1" applyProtection="1"/>
    <xf numFmtId="6" fontId="30" fillId="0" borderId="0" xfId="28" applyNumberFormat="1" applyFont="1" applyFill="1" applyBorder="1" applyProtection="1"/>
    <xf numFmtId="6" fontId="30" fillId="0" borderId="0" xfId="0" applyNumberFormat="1" applyFont="1" applyFill="1" applyBorder="1" applyProtection="1"/>
    <xf numFmtId="164" fontId="56" fillId="0" borderId="0" xfId="28" applyNumberFormat="1" applyFont="1" applyFill="1" applyBorder="1" applyProtection="1"/>
    <xf numFmtId="165" fontId="8" fillId="0" borderId="0" xfId="0" applyNumberFormat="1" applyFont="1" applyFill="1" applyBorder="1" applyProtection="1">
      <protection locked="0"/>
    </xf>
    <xf numFmtId="165" fontId="30" fillId="0" borderId="0" xfId="0" applyNumberFormat="1" applyFont="1" applyBorder="1" applyProtection="1"/>
    <xf numFmtId="165" fontId="8" fillId="0" borderId="0" xfId="0" applyNumberFormat="1" applyFont="1" applyFill="1" applyBorder="1" applyProtection="1"/>
    <xf numFmtId="165" fontId="8" fillId="26" borderId="0" xfId="0" applyNumberFormat="1" applyFont="1" applyFill="1" applyBorder="1" applyProtection="1">
      <protection locked="0"/>
    </xf>
    <xf numFmtId="165" fontId="8" fillId="0" borderId="0" xfId="0" applyNumberFormat="1" applyFont="1" applyBorder="1" applyProtection="1"/>
    <xf numFmtId="165" fontId="48" fillId="0" borderId="0" xfId="0" applyNumberFormat="1" applyFont="1" applyFill="1" applyBorder="1" applyProtection="1"/>
    <xf numFmtId="165" fontId="48" fillId="0" borderId="0" xfId="0" applyNumberFormat="1" applyFont="1" applyBorder="1" applyProtection="1"/>
    <xf numFmtId="0" fontId="30" fillId="0" borderId="0" xfId="0" quotePrefix="1" applyFont="1" applyBorder="1" applyProtection="1"/>
    <xf numFmtId="165" fontId="13" fillId="0" borderId="0" xfId="0" applyNumberFormat="1" applyFont="1" applyFill="1" applyBorder="1" applyProtection="1"/>
    <xf numFmtId="165" fontId="13" fillId="0" borderId="0" xfId="0" applyNumberFormat="1" applyFont="1" applyBorder="1" applyProtection="1"/>
    <xf numFmtId="165" fontId="30" fillId="0" borderId="0" xfId="0" applyNumberFormat="1" applyFont="1" applyFill="1" applyBorder="1" applyProtection="1"/>
    <xf numFmtId="165" fontId="8" fillId="0" borderId="0" xfId="59" applyNumberFormat="1" applyFont="1" applyFill="1" applyBorder="1" applyAlignment="1" applyProtection="1">
      <alignment horizontal="center"/>
      <protection locked="0"/>
    </xf>
    <xf numFmtId="164" fontId="1" fillId="29" borderId="0" xfId="28" applyNumberFormat="1" applyFont="1" applyFill="1" applyBorder="1" applyProtection="1"/>
    <xf numFmtId="0" fontId="30" fillId="29" borderId="0" xfId="0" applyFont="1" applyFill="1" applyBorder="1" applyProtection="1"/>
    <xf numFmtId="37" fontId="30" fillId="29" borderId="0" xfId="0" applyNumberFormat="1" applyFont="1" applyFill="1" applyBorder="1" applyProtection="1"/>
    <xf numFmtId="37" fontId="55" fillId="29" borderId="0" xfId="0" applyNumberFormat="1" applyFont="1" applyFill="1" applyBorder="1" applyProtection="1"/>
    <xf numFmtId="0" fontId="56" fillId="29" borderId="0" xfId="0" applyFont="1" applyFill="1" applyBorder="1" applyProtection="1"/>
    <xf numFmtId="164" fontId="56" fillId="29" borderId="0" xfId="28" applyNumberFormat="1" applyFont="1" applyFill="1" applyBorder="1" applyProtection="1"/>
    <xf numFmtId="0" fontId="56" fillId="0" borderId="0" xfId="0" applyFont="1" applyBorder="1" applyProtection="1"/>
    <xf numFmtId="0" fontId="56" fillId="0" borderId="0" xfId="0" applyFont="1" applyFill="1" applyBorder="1" applyProtection="1"/>
    <xf numFmtId="0" fontId="30" fillId="0" borderId="0" xfId="0" applyNumberFormat="1" applyFont="1" applyFill="1" applyBorder="1" applyAlignment="1" applyProtection="1"/>
    <xf numFmtId="177" fontId="30" fillId="0" borderId="0" xfId="0" applyNumberFormat="1" applyFont="1" applyFill="1" applyBorder="1" applyProtection="1"/>
    <xf numFmtId="164" fontId="30" fillId="29" borderId="0" xfId="28" applyNumberFormat="1" applyFont="1" applyFill="1" applyBorder="1" applyProtection="1"/>
    <xf numFmtId="0" fontId="8" fillId="0" borderId="0" xfId="0" applyNumberFormat="1" applyFont="1" applyFill="1" applyBorder="1" applyAlignment="1" applyProtection="1"/>
    <xf numFmtId="0" fontId="30" fillId="0" borderId="0" xfId="0" applyFont="1" applyBorder="1" applyAlignment="1" applyProtection="1">
      <alignment horizontal="right"/>
    </xf>
    <xf numFmtId="164" fontId="48" fillId="29" borderId="0" xfId="28" applyNumberFormat="1" applyFont="1" applyFill="1" applyBorder="1" applyProtection="1"/>
    <xf numFmtId="164" fontId="48" fillId="0" borderId="0" xfId="28" applyNumberFormat="1" applyFont="1" applyFill="1" applyBorder="1" applyProtection="1"/>
    <xf numFmtId="164" fontId="30" fillId="29" borderId="0" xfId="28" quotePrefix="1" applyNumberFormat="1" applyFont="1" applyFill="1" applyBorder="1" applyProtection="1"/>
    <xf numFmtId="42" fontId="30" fillId="0" borderId="0" xfId="31" applyNumberFormat="1" applyFont="1" applyBorder="1" applyProtection="1"/>
    <xf numFmtId="6" fontId="30" fillId="0" borderId="0" xfId="31" applyNumberFormat="1" applyFont="1" applyBorder="1" applyProtection="1"/>
    <xf numFmtId="0" fontId="2" fillId="0" borderId="30" xfId="0" applyFont="1" applyBorder="1" applyAlignment="1" applyProtection="1">
      <alignment horizontal="center"/>
    </xf>
    <xf numFmtId="0" fontId="1" fillId="0" borderId="0" xfId="0" applyFont="1" applyFill="1" applyBorder="1" applyAlignment="1" applyProtection="1">
      <alignment horizontal="centerContinuous"/>
    </xf>
    <xf numFmtId="0" fontId="2" fillId="0" borderId="0" xfId="0" applyFont="1" applyBorder="1" applyAlignment="1" applyProtection="1">
      <alignment horizontal="centerContinuous"/>
    </xf>
    <xf numFmtId="0" fontId="3" fillId="0" borderId="0" xfId="0" applyFont="1" applyBorder="1" applyAlignment="1" applyProtection="1">
      <alignment horizontal="centerContinuous"/>
    </xf>
    <xf numFmtId="3" fontId="3" fillId="0" borderId="0" xfId="0" applyNumberFormat="1" applyFont="1" applyBorder="1" applyAlignment="1" applyProtection="1">
      <alignment horizontal="centerContinuous"/>
    </xf>
    <xf numFmtId="0" fontId="8" fillId="0" borderId="0" xfId="0" applyFont="1" applyFill="1" applyBorder="1" applyAlignment="1" applyProtection="1">
      <alignment horizontal="centerContinuous"/>
    </xf>
    <xf numFmtId="0" fontId="30" fillId="0" borderId="0" xfId="0" applyFont="1" applyBorder="1" applyAlignment="1" applyProtection="1">
      <alignment horizontal="centerContinuous"/>
    </xf>
    <xf numFmtId="0" fontId="8" fillId="0" borderId="0" xfId="0" applyFont="1" applyFill="1" applyBorder="1" applyAlignment="1" applyProtection="1"/>
    <xf numFmtId="1" fontId="3" fillId="0" borderId="0" xfId="28" applyNumberFormat="1" applyFont="1" applyFill="1" applyBorder="1" applyAlignment="1" applyProtection="1">
      <alignment horizontal="center"/>
    </xf>
    <xf numFmtId="171" fontId="30" fillId="0" borderId="0" xfId="28" applyNumberFormat="1" applyFont="1" applyBorder="1" applyAlignment="1" applyProtection="1"/>
    <xf numFmtId="171" fontId="30" fillId="0" borderId="0" xfId="0" applyNumberFormat="1" applyFont="1" applyBorder="1" applyAlignment="1" applyProtection="1"/>
    <xf numFmtId="1" fontId="30" fillId="0" borderId="0" xfId="28" applyNumberFormat="1" applyFont="1" applyFill="1" applyBorder="1" applyAlignment="1" applyProtection="1">
      <alignment horizontal="center"/>
    </xf>
    <xf numFmtId="171" fontId="3" fillId="0" borderId="0" xfId="28" applyNumberFormat="1" applyFont="1" applyBorder="1" applyAlignment="1" applyProtection="1"/>
    <xf numFmtId="0" fontId="30" fillId="0" borderId="0" xfId="0" quotePrefix="1" applyFont="1" applyBorder="1" applyAlignment="1" applyProtection="1"/>
    <xf numFmtId="0" fontId="52" fillId="29" borderId="0" xfId="0" applyFont="1" applyFill="1" applyBorder="1" applyAlignment="1" applyProtection="1"/>
    <xf numFmtId="0" fontId="52" fillId="0" borderId="0" xfId="0" applyFont="1" applyBorder="1" applyAlignment="1" applyProtection="1"/>
    <xf numFmtId="0" fontId="52" fillId="0" borderId="0" xfId="0" applyFont="1" applyFill="1" applyBorder="1" applyAlignment="1" applyProtection="1"/>
    <xf numFmtId="9" fontId="3" fillId="0" borderId="0" xfId="0" applyNumberFormat="1" applyFont="1" applyFill="1" applyBorder="1" applyAlignment="1" applyProtection="1">
      <alignment horizontal="center"/>
    </xf>
    <xf numFmtId="7" fontId="3" fillId="0" borderId="0" xfId="28" applyNumberFormat="1" applyFont="1" applyBorder="1" applyAlignment="1" applyProtection="1"/>
    <xf numFmtId="180" fontId="39" fillId="29" borderId="0" xfId="48" applyNumberFormat="1" applyFont="1" applyFill="1" applyProtection="1">
      <protection locked="0"/>
    </xf>
    <xf numFmtId="0" fontId="8" fillId="26" borderId="0" xfId="0" applyFont="1" applyFill="1" applyBorder="1" applyProtection="1">
      <protection locked="0"/>
    </xf>
    <xf numFmtId="37" fontId="3" fillId="0" borderId="0" xfId="0" applyNumberFormat="1" applyFont="1" applyFill="1" applyBorder="1" applyAlignment="1" applyProtection="1"/>
    <xf numFmtId="0" fontId="3" fillId="0" borderId="30" xfId="0" applyFont="1" applyBorder="1" applyAlignment="1" applyProtection="1">
      <alignment horizontal="center"/>
    </xf>
    <xf numFmtId="0" fontId="3" fillId="0" borderId="30" xfId="0" applyFont="1" applyBorder="1" applyAlignment="1" applyProtection="1">
      <alignment horizontal="centerContinuous"/>
    </xf>
    <xf numFmtId="0" fontId="8" fillId="0" borderId="39" xfId="0" applyFont="1" applyFill="1" applyBorder="1" applyAlignment="1" applyProtection="1">
      <protection locked="0"/>
    </xf>
    <xf numFmtId="164" fontId="8" fillId="0" borderId="39" xfId="28" applyNumberFormat="1" applyFont="1" applyFill="1" applyBorder="1" applyAlignment="1" applyProtection="1">
      <protection locked="0"/>
    </xf>
    <xf numFmtId="0" fontId="30" fillId="0" borderId="39" xfId="0" applyFont="1" applyFill="1" applyBorder="1" applyAlignment="1" applyProtection="1"/>
    <xf numFmtId="1" fontId="1" fillId="0" borderId="0" xfId="0" applyNumberFormat="1" applyFont="1" applyBorder="1" applyAlignment="1" applyProtection="1">
      <alignment horizontal="center"/>
    </xf>
    <xf numFmtId="0" fontId="1" fillId="0" borderId="0" xfId="0" applyFont="1" applyFill="1" applyBorder="1" applyAlignment="1" applyProtection="1"/>
    <xf numFmtId="0" fontId="3" fillId="0" borderId="0" xfId="0" applyFont="1" applyFill="1" applyBorder="1" applyAlignment="1" applyProtection="1">
      <alignment horizontal="left" indent="1"/>
    </xf>
    <xf numFmtId="182" fontId="3" fillId="0" borderId="0" xfId="0" applyNumberFormat="1" applyFont="1" applyBorder="1" applyAlignment="1" applyProtection="1"/>
    <xf numFmtId="0" fontId="3" fillId="0" borderId="32" xfId="0" applyFont="1" applyBorder="1" applyAlignment="1" applyProtection="1">
      <alignment horizontal="centerContinuous"/>
    </xf>
    <xf numFmtId="0" fontId="3" fillId="0" borderId="30" xfId="0" applyFont="1" applyBorder="1" applyAlignment="1" applyProtection="1"/>
    <xf numFmtId="37" fontId="30" fillId="0" borderId="0" xfId="28" applyNumberFormat="1" applyFont="1" applyBorder="1" applyAlignment="1" applyProtection="1"/>
    <xf numFmtId="181" fontId="35" fillId="0" borderId="30" xfId="49" applyNumberFormat="1" applyFont="1" applyBorder="1" applyAlignment="1">
      <alignment horizontal="center"/>
    </xf>
    <xf numFmtId="9" fontId="8" fillId="0" borderId="0" xfId="59" applyFont="1" applyFill="1" applyBorder="1" applyAlignment="1" applyProtection="1">
      <protection locked="0"/>
    </xf>
    <xf numFmtId="182" fontId="8" fillId="0" borderId="39" xfId="28" applyNumberFormat="1" applyFont="1" applyFill="1" applyBorder="1" applyAlignment="1" applyProtection="1">
      <protection locked="0"/>
    </xf>
    <xf numFmtId="41" fontId="30" fillId="0" borderId="0" xfId="28" applyNumberFormat="1" applyFont="1" applyBorder="1" applyAlignment="1" applyProtection="1"/>
    <xf numFmtId="42" fontId="30" fillId="0" borderId="0" xfId="28" applyNumberFormat="1" applyFont="1" applyBorder="1" applyAlignment="1" applyProtection="1"/>
    <xf numFmtId="41" fontId="30" fillId="0" borderId="39" xfId="28" applyNumberFormat="1" applyFont="1" applyFill="1" applyBorder="1" applyAlignment="1" applyProtection="1"/>
    <xf numFmtId="41" fontId="3" fillId="0" borderId="0" xfId="28" applyNumberFormat="1" applyFont="1" applyBorder="1" applyAlignment="1" applyProtection="1"/>
    <xf numFmtId="41" fontId="30" fillId="0" borderId="30" xfId="28" applyNumberFormat="1" applyFont="1" applyBorder="1" applyAlignment="1" applyProtection="1"/>
    <xf numFmtId="42" fontId="30" fillId="0" borderId="0" xfId="0" applyNumberFormat="1" applyFont="1" applyBorder="1" applyAlignment="1" applyProtection="1"/>
    <xf numFmtId="41" fontId="30" fillId="0" borderId="30" xfId="59" applyNumberFormat="1" applyFont="1" applyBorder="1" applyAlignment="1" applyProtection="1"/>
    <xf numFmtId="0" fontId="1" fillId="0" borderId="0" xfId="0" applyNumberFormat="1" applyFont="1" applyFill="1" applyBorder="1" applyAlignment="1" applyProtection="1"/>
    <xf numFmtId="0" fontId="1" fillId="0" borderId="39" xfId="0" applyNumberFormat="1" applyFont="1" applyFill="1" applyBorder="1" applyAlignment="1" applyProtection="1">
      <protection locked="0"/>
    </xf>
    <xf numFmtId="0" fontId="1" fillId="0" borderId="39" xfId="28" applyNumberFormat="1" applyFont="1" applyFill="1" applyBorder="1" applyAlignment="1" applyProtection="1">
      <protection locked="0"/>
    </xf>
    <xf numFmtId="0" fontId="8" fillId="0" borderId="39" xfId="28" applyNumberFormat="1" applyFont="1" applyFill="1" applyBorder="1" applyAlignment="1" applyProtection="1">
      <protection locked="0"/>
    </xf>
    <xf numFmtId="0" fontId="30" fillId="0" borderId="39" xfId="0" applyNumberFormat="1" applyFont="1" applyFill="1" applyBorder="1" applyAlignment="1" applyProtection="1"/>
    <xf numFmtId="0" fontId="1" fillId="0" borderId="0" xfId="0" applyNumberFormat="1" applyFont="1" applyFill="1" applyBorder="1" applyAlignment="1" applyProtection="1">
      <protection locked="0"/>
    </xf>
    <xf numFmtId="0" fontId="1" fillId="0" borderId="0" xfId="0" applyNumberFormat="1" applyFont="1" applyBorder="1" applyAlignment="1" applyProtection="1"/>
    <xf numFmtId="0" fontId="3" fillId="0" borderId="0" xfId="0" applyNumberFormat="1" applyFont="1" applyBorder="1" applyAlignment="1" applyProtection="1"/>
    <xf numFmtId="0" fontId="30" fillId="0" borderId="0" xfId="0" applyNumberFormat="1" applyFont="1" applyBorder="1" applyAlignment="1" applyProtection="1"/>
    <xf numFmtId="0" fontId="30" fillId="0" borderId="0" xfId="0" applyNumberFormat="1" applyFont="1" applyFill="1" applyBorder="1" applyAlignment="1" applyProtection="1">
      <alignment horizontal="right"/>
    </xf>
    <xf numFmtId="0" fontId="1" fillId="0" borderId="0" xfId="0" applyNumberFormat="1" applyFont="1" applyBorder="1" applyAlignment="1" applyProtection="1">
      <alignment horizontal="right"/>
    </xf>
    <xf numFmtId="165" fontId="8" fillId="0" borderId="0" xfId="0" applyNumberFormat="1" applyFont="1" applyFill="1" applyBorder="1" applyAlignment="1" applyProtection="1"/>
    <xf numFmtId="182" fontId="8" fillId="29" borderId="0" xfId="0" applyNumberFormat="1" applyFont="1" applyFill="1" applyBorder="1" applyAlignment="1" applyProtection="1">
      <protection locked="0"/>
    </xf>
    <xf numFmtId="182" fontId="1" fillId="0" borderId="39" xfId="28" applyNumberFormat="1" applyFont="1" applyFill="1" applyBorder="1" applyAlignment="1" applyProtection="1">
      <protection locked="0"/>
    </xf>
    <xf numFmtId="182" fontId="1" fillId="0" borderId="0" xfId="0" applyNumberFormat="1" applyFont="1" applyBorder="1" applyAlignment="1" applyProtection="1"/>
    <xf numFmtId="165" fontId="1" fillId="0" borderId="0" xfId="0" applyNumberFormat="1" applyFont="1" applyFill="1" applyBorder="1" applyAlignment="1" applyProtection="1"/>
    <xf numFmtId="0" fontId="2" fillId="0" borderId="0" xfId="0" applyFont="1" applyFill="1" applyBorder="1" applyAlignment="1" applyProtection="1"/>
    <xf numFmtId="37" fontId="30" fillId="0" borderId="30" xfId="0" applyNumberFormat="1" applyFont="1" applyBorder="1" applyAlignment="1" applyProtection="1"/>
    <xf numFmtId="37" fontId="30" fillId="0" borderId="0" xfId="28" applyNumberFormat="1" applyFont="1" applyFill="1" applyBorder="1" applyAlignment="1" applyProtection="1"/>
    <xf numFmtId="37" fontId="3" fillId="0" borderId="0" xfId="28" applyNumberFormat="1" applyFont="1" applyFill="1" applyBorder="1" applyAlignment="1" applyProtection="1"/>
    <xf numFmtId="0" fontId="30" fillId="0" borderId="0" xfId="0" applyFont="1" applyBorder="1" applyAlignment="1"/>
    <xf numFmtId="37" fontId="3" fillId="0" borderId="0" xfId="0" applyNumberFormat="1" applyFont="1" applyFill="1" applyAlignment="1" applyProtection="1"/>
    <xf numFmtId="37" fontId="48" fillId="0" borderId="0" xfId="0" applyNumberFormat="1" applyFont="1" applyFill="1" applyAlignment="1" applyProtection="1">
      <alignment horizontal="right"/>
    </xf>
    <xf numFmtId="165" fontId="48" fillId="0" borderId="0" xfId="59" applyNumberFormat="1" applyFont="1" applyFill="1" applyAlignment="1" applyProtection="1">
      <alignment horizontal="right"/>
    </xf>
    <xf numFmtId="37" fontId="30" fillId="29" borderId="0" xfId="0" applyNumberFormat="1" applyFont="1" applyFill="1" applyAlignment="1" applyProtection="1">
      <alignment horizontal="right"/>
    </xf>
    <xf numFmtId="37" fontId="3" fillId="0" borderId="0" xfId="0" applyNumberFormat="1" applyFont="1" applyFill="1" applyAlignment="1" applyProtection="1">
      <alignment horizontal="right"/>
    </xf>
    <xf numFmtId="37" fontId="48" fillId="0" borderId="0" xfId="0" applyNumberFormat="1" applyFont="1" applyFill="1" applyAlignment="1" applyProtection="1"/>
    <xf numFmtId="37" fontId="48" fillId="0" borderId="36" xfId="0" applyNumberFormat="1" applyFont="1" applyFill="1" applyBorder="1" applyAlignment="1" applyProtection="1">
      <alignment horizontal="center"/>
    </xf>
    <xf numFmtId="37" fontId="48" fillId="24" borderId="0" xfId="0" applyNumberFormat="1" applyFont="1" applyFill="1" applyAlignment="1" applyProtection="1"/>
    <xf numFmtId="37" fontId="48" fillId="0" borderId="0" xfId="0" applyNumberFormat="1" applyFont="1" applyFill="1" applyBorder="1" applyAlignment="1" applyProtection="1"/>
    <xf numFmtId="37" fontId="30" fillId="0" borderId="0" xfId="0" applyNumberFormat="1" applyFont="1" applyFill="1" applyAlignment="1" applyProtection="1">
      <alignment horizontal="right"/>
    </xf>
    <xf numFmtId="37" fontId="30" fillId="0" borderId="0" xfId="0" applyNumberFormat="1" applyFont="1" applyFill="1" applyAlignment="1" applyProtection="1"/>
    <xf numFmtId="37" fontId="48" fillId="24" borderId="0" xfId="0" applyNumberFormat="1" applyFont="1" applyFill="1" applyAlignment="1" applyProtection="1">
      <alignment horizontal="right"/>
    </xf>
    <xf numFmtId="37" fontId="48" fillId="0" borderId="31" xfId="0" applyNumberFormat="1" applyFont="1" applyFill="1" applyBorder="1" applyAlignment="1" applyProtection="1"/>
    <xf numFmtId="0" fontId="48" fillId="0" borderId="27" xfId="0" applyFont="1" applyBorder="1" applyAlignment="1" applyProtection="1"/>
    <xf numFmtId="37" fontId="48" fillId="0" borderId="31" xfId="0" quotePrefix="1" applyNumberFormat="1" applyFont="1" applyFill="1" applyBorder="1" applyAlignment="1" applyProtection="1">
      <alignment horizontal="centerContinuous"/>
    </xf>
    <xf numFmtId="37" fontId="48" fillId="0" borderId="32" xfId="0" quotePrefix="1" applyNumberFormat="1" applyFont="1" applyFill="1" applyBorder="1" applyAlignment="1" applyProtection="1">
      <alignment horizontal="centerContinuous"/>
    </xf>
    <xf numFmtId="37" fontId="48" fillId="0" borderId="11" xfId="0" quotePrefix="1" applyNumberFormat="1" applyFont="1" applyFill="1" applyBorder="1" applyAlignment="1" applyProtection="1">
      <alignment horizontal="centerContinuous"/>
    </xf>
    <xf numFmtId="37" fontId="48" fillId="0" borderId="29" xfId="0" applyNumberFormat="1" applyFont="1" applyFill="1" applyBorder="1" applyAlignment="1" applyProtection="1">
      <alignment horizontal="center"/>
    </xf>
    <xf numFmtId="0" fontId="18" fillId="0" borderId="0" xfId="0" applyNumberFormat="1" applyFont="1" applyBorder="1" applyAlignment="1">
      <alignment horizontal="right"/>
    </xf>
    <xf numFmtId="41" fontId="30" fillId="0" borderId="0" xfId="0" applyNumberFormat="1" applyFont="1" applyBorder="1" applyAlignment="1" applyProtection="1"/>
    <xf numFmtId="165" fontId="30" fillId="0" borderId="0" xfId="0" applyNumberFormat="1" applyFont="1" applyBorder="1" applyAlignment="1" applyProtection="1"/>
    <xf numFmtId="0" fontId="1" fillId="0" borderId="0" xfId="0" applyNumberFormat="1" applyFont="1" applyFill="1" applyAlignment="1" applyProtection="1">
      <alignment horizontal="left"/>
    </xf>
    <xf numFmtId="0" fontId="18" fillId="0" borderId="0" xfId="28" applyNumberFormat="1" applyFont="1" applyFill="1" applyBorder="1"/>
    <xf numFmtId="37" fontId="30" fillId="29" borderId="0" xfId="0" applyNumberFormat="1" applyFont="1" applyFill="1" applyAlignment="1" applyProtection="1"/>
    <xf numFmtId="37" fontId="3" fillId="24" borderId="0" xfId="0" applyNumberFormat="1" applyFont="1" applyFill="1" applyAlignment="1" applyProtection="1"/>
    <xf numFmtId="37" fontId="2" fillId="0" borderId="0" xfId="0" applyNumberFormat="1" applyFont="1" applyFill="1" applyAlignment="1" applyProtection="1"/>
    <xf numFmtId="37" fontId="3" fillId="29" borderId="0" xfId="0" applyNumberFormat="1" applyFont="1" applyFill="1" applyAlignment="1" applyProtection="1"/>
    <xf numFmtId="37" fontId="30" fillId="24" borderId="0" xfId="0" applyNumberFormat="1" applyFont="1" applyFill="1" applyAlignment="1" applyProtection="1"/>
    <xf numFmtId="37" fontId="48" fillId="0" borderId="11" xfId="0" applyNumberFormat="1" applyFont="1" applyFill="1" applyBorder="1" applyAlignment="1" applyProtection="1"/>
    <xf numFmtId="0" fontId="2" fillId="0" borderId="0" xfId="0" applyFont="1" applyAlignment="1" applyProtection="1"/>
    <xf numFmtId="0" fontId="48" fillId="0" borderId="27" xfId="0" applyFont="1" applyBorder="1" applyAlignment="1" applyProtection="1">
      <alignment horizontal="center" wrapText="1"/>
    </xf>
    <xf numFmtId="0" fontId="48" fillId="0" borderId="0" xfId="0" applyFont="1" applyAlignment="1" applyProtection="1"/>
    <xf numFmtId="0" fontId="48" fillId="0" borderId="0" xfId="0" applyFont="1" applyBorder="1" applyAlignment="1" applyProtection="1"/>
    <xf numFmtId="0" fontId="48" fillId="24" borderId="27" xfId="0" applyFont="1" applyFill="1" applyBorder="1" applyAlignment="1" applyProtection="1">
      <alignment horizontal="center" wrapText="1"/>
    </xf>
    <xf numFmtId="0" fontId="3" fillId="0" borderId="0" xfId="0" applyFont="1" applyFill="1" applyAlignment="1" applyProtection="1"/>
    <xf numFmtId="0" fontId="48" fillId="0" borderId="27" xfId="0" applyFont="1" applyBorder="1" applyAlignment="1" applyProtection="1">
      <alignment horizontal="center"/>
    </xf>
    <xf numFmtId="183" fontId="48" fillId="0" borderId="30" xfId="0" applyNumberFormat="1" applyFont="1" applyFill="1" applyBorder="1" applyAlignment="1" applyProtection="1"/>
    <xf numFmtId="0" fontId="48" fillId="0" borderId="30" xfId="0" applyFont="1" applyFill="1" applyBorder="1" applyAlignment="1" applyProtection="1">
      <alignment horizontal="right"/>
    </xf>
    <xf numFmtId="0" fontId="48" fillId="0" borderId="0" xfId="0" applyFont="1" applyFill="1" applyAlignment="1" applyProtection="1"/>
    <xf numFmtId="0" fontId="48" fillId="0" borderId="0" xfId="0" applyFont="1" applyAlignment="1" applyProtection="1">
      <alignment horizontal="right"/>
    </xf>
    <xf numFmtId="1" fontId="8" fillId="26" borderId="9" xfId="0" applyNumberFormat="1" applyFont="1" applyFill="1" applyBorder="1" applyAlignment="1" applyProtection="1">
      <alignment horizontal="center"/>
      <protection locked="0"/>
    </xf>
    <xf numFmtId="0" fontId="30" fillId="0" borderId="35" xfId="0" applyFont="1" applyFill="1" applyBorder="1" applyAlignment="1" applyProtection="1">
      <alignment horizontal="right"/>
    </xf>
    <xf numFmtId="0" fontId="30" fillId="0" borderId="0" xfId="0" applyFont="1" applyFill="1" applyAlignment="1" applyProtection="1"/>
    <xf numFmtId="0" fontId="48" fillId="0" borderId="98" xfId="0" applyFont="1" applyBorder="1" applyAlignment="1" applyProtection="1">
      <alignment horizontal="right"/>
    </xf>
    <xf numFmtId="0" fontId="48" fillId="0" borderId="99" xfId="0" applyFont="1" applyFill="1" applyBorder="1" applyAlignment="1" applyProtection="1">
      <alignment horizontal="center"/>
    </xf>
    <xf numFmtId="9" fontId="48" fillId="0" borderId="9" xfId="0" applyNumberFormat="1" applyFont="1" applyFill="1" applyBorder="1" applyAlignment="1" applyProtection="1">
      <alignment horizontal="center"/>
      <protection locked="0"/>
    </xf>
    <xf numFmtId="9" fontId="48" fillId="0" borderId="44" xfId="0" applyNumberFormat="1" applyFont="1" applyFill="1" applyBorder="1" applyAlignment="1" applyProtection="1">
      <alignment horizontal="center"/>
      <protection locked="0"/>
    </xf>
    <xf numFmtId="9" fontId="48" fillId="0" borderId="101" xfId="0" applyNumberFormat="1" applyFont="1" applyFill="1" applyBorder="1" applyAlignment="1" applyProtection="1">
      <alignment horizontal="center"/>
      <protection locked="0"/>
    </xf>
    <xf numFmtId="0" fontId="48" fillId="0" borderId="27" xfId="0" applyFont="1" applyBorder="1" applyAlignment="1" applyProtection="1">
      <alignment horizontal="right"/>
    </xf>
    <xf numFmtId="9" fontId="48" fillId="0" borderId="64" xfId="0" applyNumberFormat="1" applyFont="1" applyFill="1" applyBorder="1" applyAlignment="1" applyProtection="1">
      <alignment horizontal="center"/>
    </xf>
    <xf numFmtId="9" fontId="48" fillId="0" borderId="102" xfId="0" applyNumberFormat="1" applyFont="1" applyFill="1" applyBorder="1" applyAlignment="1" applyProtection="1">
      <alignment horizontal="center"/>
    </xf>
    <xf numFmtId="9" fontId="48" fillId="0" borderId="103" xfId="0" applyNumberFormat="1" applyFont="1" applyFill="1" applyBorder="1" applyAlignment="1" applyProtection="1">
      <alignment horizontal="center"/>
    </xf>
    <xf numFmtId="0" fontId="48" fillId="0" borderId="0" xfId="0" applyFont="1" applyBorder="1" applyAlignment="1" applyProtection="1">
      <alignment horizontal="right"/>
    </xf>
    <xf numFmtId="1" fontId="48" fillId="0" borderId="0" xfId="0" applyNumberFormat="1" applyFont="1" applyBorder="1" applyAlignment="1" applyProtection="1">
      <alignment horizontal="center"/>
    </xf>
    <xf numFmtId="165" fontId="48" fillId="0" borderId="27" xfId="0" applyNumberFormat="1" applyFont="1" applyBorder="1" applyAlignment="1" applyProtection="1">
      <alignment horizontal="center"/>
    </xf>
    <xf numFmtId="1" fontId="48" fillId="0" borderId="9" xfId="0" applyNumberFormat="1" applyFont="1" applyFill="1" applyBorder="1" applyAlignment="1" applyProtection="1">
      <alignment horizontal="center"/>
      <protection locked="0"/>
    </xf>
    <xf numFmtId="1" fontId="48" fillId="0" borderId="0" xfId="0" applyNumberFormat="1" applyFont="1" applyAlignment="1" applyProtection="1">
      <alignment horizontal="center"/>
      <protection locked="0"/>
    </xf>
    <xf numFmtId="0" fontId="3" fillId="0" borderId="53" xfId="0" applyFont="1" applyFill="1" applyBorder="1" applyAlignment="1" applyProtection="1">
      <alignment horizontal="centerContinuous"/>
    </xf>
    <xf numFmtId="0" fontId="3" fillId="0" borderId="30" xfId="0" applyFont="1" applyFill="1" applyBorder="1" applyAlignment="1" applyProtection="1">
      <alignment horizontal="centerContinuous"/>
    </xf>
    <xf numFmtId="0" fontId="3" fillId="0" borderId="55" xfId="0" applyFont="1" applyFill="1" applyBorder="1" applyAlignment="1" applyProtection="1">
      <alignment horizontal="centerContinuous"/>
    </xf>
    <xf numFmtId="183" fontId="48" fillId="0" borderId="104" xfId="0" applyNumberFormat="1" applyFont="1" applyFill="1" applyBorder="1" applyAlignment="1" applyProtection="1"/>
    <xf numFmtId="183" fontId="48" fillId="0" borderId="32" xfId="0" applyNumberFormat="1" applyFont="1" applyFill="1" applyBorder="1" applyAlignment="1" applyProtection="1"/>
    <xf numFmtId="183" fontId="48" fillId="0" borderId="105" xfId="0" applyNumberFormat="1" applyFont="1" applyFill="1" applyBorder="1" applyAlignment="1" applyProtection="1"/>
    <xf numFmtId="0" fontId="22" fillId="0" borderId="0" xfId="0" applyFont="1" applyFill="1" applyAlignment="1" applyProtection="1"/>
    <xf numFmtId="182" fontId="22" fillId="0" borderId="0" xfId="0" applyNumberFormat="1" applyFont="1" applyFill="1" applyAlignment="1" applyProtection="1"/>
    <xf numFmtId="37" fontId="48" fillId="0" borderId="40" xfId="0" applyNumberFormat="1" applyFont="1" applyFill="1" applyBorder="1" applyAlignment="1" applyProtection="1">
      <alignment horizontal="right"/>
    </xf>
    <xf numFmtId="0" fontId="48" fillId="24" borderId="0" xfId="0" applyNumberFormat="1" applyFont="1" applyFill="1" applyAlignment="1" applyProtection="1"/>
    <xf numFmtId="0" fontId="48" fillId="0" borderId="0" xfId="0" applyNumberFormat="1" applyFont="1" applyFill="1" applyAlignment="1" applyProtection="1"/>
    <xf numFmtId="0" fontId="48" fillId="29" borderId="0" xfId="0" applyNumberFormat="1" applyFont="1" applyFill="1" applyAlignment="1" applyProtection="1"/>
    <xf numFmtId="0" fontId="48" fillId="0" borderId="0" xfId="0" applyNumberFormat="1" applyFont="1" applyFill="1" applyBorder="1" applyAlignment="1" applyProtection="1"/>
    <xf numFmtId="0" fontId="48" fillId="0" borderId="0" xfId="0" applyNumberFormat="1" applyFont="1" applyAlignment="1" applyProtection="1">
      <protection locked="0"/>
    </xf>
    <xf numFmtId="0" fontId="48" fillId="0" borderId="0" xfId="0" applyNumberFormat="1" applyFont="1" applyFill="1" applyAlignment="1" applyProtection="1">
      <alignment horizontal="right"/>
    </xf>
    <xf numFmtId="0" fontId="48" fillId="0" borderId="0" xfId="0" applyNumberFormat="1" applyFont="1" applyAlignment="1" applyProtection="1">
      <alignment horizontal="right"/>
      <protection locked="0"/>
    </xf>
    <xf numFmtId="0" fontId="48" fillId="0" borderId="0" xfId="0" applyNumberFormat="1" applyFont="1" applyAlignment="1" applyProtection="1"/>
    <xf numFmtId="0" fontId="48" fillId="0" borderId="28" xfId="0" applyNumberFormat="1" applyFont="1" applyBorder="1" applyAlignment="1" applyProtection="1"/>
    <xf numFmtId="0" fontId="48" fillId="0" borderId="0" xfId="0" applyNumberFormat="1" applyFont="1" applyBorder="1" applyAlignment="1" applyProtection="1"/>
    <xf numFmtId="0" fontId="48" fillId="0" borderId="0" xfId="0" applyNumberFormat="1" applyFont="1" applyAlignment="1" applyProtection="1">
      <alignment horizontal="center"/>
      <protection locked="0"/>
    </xf>
    <xf numFmtId="0" fontId="30" fillId="29" borderId="0" xfId="0" applyNumberFormat="1" applyFont="1" applyFill="1" applyAlignment="1" applyProtection="1"/>
    <xf numFmtId="0" fontId="30" fillId="24" borderId="0" xfId="0" applyNumberFormat="1" applyFont="1" applyFill="1" applyAlignment="1" applyProtection="1"/>
    <xf numFmtId="0" fontId="3" fillId="0" borderId="0" xfId="0" applyNumberFormat="1" applyFont="1" applyAlignment="1" applyProtection="1"/>
    <xf numFmtId="0" fontId="1" fillId="0" borderId="0" xfId="0" applyNumberFormat="1" applyFont="1" applyFill="1" applyAlignment="1" applyProtection="1"/>
    <xf numFmtId="0" fontId="1" fillId="29" borderId="0" xfId="0" applyNumberFormat="1" applyFont="1" applyFill="1" applyAlignment="1" applyProtection="1"/>
    <xf numFmtId="0" fontId="1" fillId="0" borderId="0" xfId="0" applyNumberFormat="1" applyFont="1" applyAlignment="1" applyProtection="1"/>
    <xf numFmtId="0" fontId="3" fillId="0" borderId="0" xfId="0" applyFont="1" applyBorder="1" applyAlignment="1" applyProtection="1">
      <alignment horizontal="right"/>
    </xf>
    <xf numFmtId="0" fontId="3" fillId="0" borderId="0" xfId="0" applyFont="1" applyAlignment="1"/>
    <xf numFmtId="0" fontId="3" fillId="0" borderId="0" xfId="0" applyFont="1" applyFill="1" applyBorder="1" applyAlignment="1" applyProtection="1">
      <alignment horizontal="right"/>
    </xf>
    <xf numFmtId="165" fontId="8" fillId="26" borderId="35" xfId="31" applyNumberFormat="1" applyFont="1" applyFill="1" applyBorder="1" applyAlignment="1" applyProtection="1">
      <protection locked="0"/>
    </xf>
    <xf numFmtId="0" fontId="39" fillId="0" borderId="98" xfId="0" applyFont="1" applyBorder="1" applyAlignment="1" applyProtection="1">
      <alignment horizontal="right"/>
      <protection locked="0"/>
    </xf>
    <xf numFmtId="165" fontId="8" fillId="26" borderId="106" xfId="31" applyNumberFormat="1" applyFont="1" applyFill="1" applyBorder="1" applyAlignment="1" applyProtection="1">
      <protection locked="0"/>
    </xf>
    <xf numFmtId="37" fontId="1" fillId="0" borderId="0" xfId="0" applyNumberFormat="1" applyFont="1" applyFill="1" applyAlignment="1" applyProtection="1"/>
    <xf numFmtId="37" fontId="1" fillId="0" borderId="0" xfId="0" applyNumberFormat="1" applyFont="1" applyFill="1" applyAlignment="1" applyProtection="1">
      <alignment horizontal="right"/>
    </xf>
    <xf numFmtId="165" fontId="1" fillId="0" borderId="0" xfId="59" applyNumberFormat="1" applyFont="1" applyFill="1" applyAlignment="1" applyProtection="1">
      <alignment horizontal="right"/>
    </xf>
    <xf numFmtId="37" fontId="2" fillId="0" borderId="14" xfId="0" applyNumberFormat="1" applyFont="1" applyFill="1" applyBorder="1" applyAlignment="1" applyProtection="1"/>
    <xf numFmtId="37" fontId="3" fillId="0" borderId="28" xfId="0" applyNumberFormat="1" applyFont="1" applyFill="1" applyBorder="1" applyAlignment="1" applyProtection="1"/>
    <xf numFmtId="165" fontId="30" fillId="0" borderId="28" xfId="59" applyNumberFormat="1" applyFont="1" applyFill="1" applyBorder="1" applyAlignment="1" applyProtection="1">
      <alignment horizontal="right"/>
    </xf>
    <xf numFmtId="37" fontId="30" fillId="0" borderId="28" xfId="0" applyNumberFormat="1" applyFont="1" applyFill="1" applyBorder="1" applyAlignment="1" applyProtection="1"/>
    <xf numFmtId="37" fontId="30" fillId="0" borderId="43" xfId="0" applyNumberFormat="1" applyFont="1" applyFill="1" applyBorder="1" applyAlignment="1" applyProtection="1"/>
    <xf numFmtId="37" fontId="30" fillId="0" borderId="77" xfId="0" applyNumberFormat="1" applyFont="1" applyFill="1" applyBorder="1" applyAlignment="1" applyProtection="1"/>
    <xf numFmtId="37" fontId="3" fillId="0" borderId="27" xfId="0" applyNumberFormat="1" applyFont="1" applyFill="1" applyBorder="1" applyAlignment="1" applyProtection="1">
      <alignment horizontal="right"/>
    </xf>
    <xf numFmtId="165" fontId="3" fillId="0" borderId="27" xfId="59" applyNumberFormat="1" applyFont="1" applyFill="1" applyBorder="1" applyAlignment="1" applyProtection="1">
      <alignment horizontal="right"/>
    </xf>
    <xf numFmtId="37" fontId="3" fillId="0" borderId="27" xfId="0" applyNumberFormat="1" applyFont="1" applyFill="1" applyBorder="1" applyAlignment="1" applyProtection="1"/>
    <xf numFmtId="37" fontId="3" fillId="0" borderId="28" xfId="0" applyNumberFormat="1" applyFont="1" applyFill="1" applyBorder="1" applyAlignment="1" applyProtection="1">
      <alignment horizontal="right"/>
    </xf>
    <xf numFmtId="37" fontId="3" fillId="0" borderId="76" xfId="0" applyNumberFormat="1" applyFont="1" applyFill="1" applyBorder="1" applyAlignment="1" applyProtection="1"/>
    <xf numFmtId="37" fontId="3" fillId="0" borderId="43" xfId="0" applyNumberFormat="1" applyFont="1" applyFill="1" applyBorder="1" applyAlignment="1" applyProtection="1"/>
    <xf numFmtId="37" fontId="3" fillId="0" borderId="94" xfId="0" applyNumberFormat="1" applyFont="1" applyFill="1" applyBorder="1" applyAlignment="1" applyProtection="1"/>
    <xf numFmtId="0" fontId="3" fillId="0" borderId="43" xfId="0" applyFont="1" applyBorder="1" applyAlignment="1" applyProtection="1"/>
    <xf numFmtId="0" fontId="30" fillId="0" borderId="28" xfId="0" applyFont="1" applyBorder="1" applyAlignment="1" applyProtection="1">
      <alignment horizontal="right"/>
    </xf>
    <xf numFmtId="164" fontId="30" fillId="0" borderId="35" xfId="28" applyNumberFormat="1" applyFont="1" applyFill="1" applyBorder="1" applyAlignment="1" applyProtection="1">
      <alignment horizontal="right"/>
      <protection locked="0"/>
    </xf>
    <xf numFmtId="0" fontId="30" fillId="0" borderId="75" xfId="0" applyFont="1" applyBorder="1" applyAlignment="1" applyProtection="1"/>
    <xf numFmtId="0" fontId="30" fillId="0" borderId="76" xfId="0" applyFont="1" applyBorder="1" applyAlignment="1" applyProtection="1"/>
    <xf numFmtId="0" fontId="30" fillId="0" borderId="43" xfId="0" applyFont="1" applyBorder="1" applyAlignment="1" applyProtection="1"/>
    <xf numFmtId="165" fontId="8" fillId="0" borderId="33" xfId="59" applyNumberFormat="1" applyFont="1" applyFill="1" applyBorder="1" applyAlignment="1" applyProtection="1">
      <protection locked="0"/>
    </xf>
    <xf numFmtId="0" fontId="30" fillId="0" borderId="94" xfId="0" applyFont="1" applyBorder="1" applyAlignment="1" applyProtection="1"/>
    <xf numFmtId="0" fontId="30" fillId="0" borderId="98" xfId="0" applyFont="1" applyBorder="1" applyAlignment="1" applyProtection="1">
      <alignment horizontal="right"/>
    </xf>
    <xf numFmtId="0" fontId="30" fillId="0" borderId="100" xfId="0" applyFont="1" applyFill="1" applyBorder="1" applyAlignment="1" applyProtection="1">
      <alignment horizontal="right"/>
    </xf>
    <xf numFmtId="0" fontId="30" fillId="0" borderId="33" xfId="0" applyFont="1" applyBorder="1" applyAlignment="1" applyProtection="1"/>
    <xf numFmtId="174" fontId="30" fillId="0" borderId="108" xfId="31" applyNumberFormat="1" applyFont="1" applyFill="1" applyBorder="1" applyAlignment="1" applyProtection="1">
      <protection locked="0"/>
    </xf>
    <xf numFmtId="175" fontId="8" fillId="0" borderId="33" xfId="28" applyNumberFormat="1" applyFont="1" applyFill="1" applyBorder="1" applyAlignment="1" applyProtection="1"/>
    <xf numFmtId="174" fontId="8" fillId="0" borderId="94" xfId="31" applyNumberFormat="1" applyFont="1" applyFill="1" applyBorder="1" applyAlignment="1" applyProtection="1"/>
    <xf numFmtId="174" fontId="8" fillId="0" borderId="0" xfId="31" applyNumberFormat="1" applyFont="1" applyFill="1" applyBorder="1" applyAlignment="1" applyProtection="1"/>
    <xf numFmtId="175" fontId="30" fillId="0" borderId="109" xfId="28" applyNumberFormat="1" applyFont="1" applyFill="1" applyBorder="1" applyAlignment="1" applyProtection="1"/>
    <xf numFmtId="0" fontId="30" fillId="0" borderId="111" xfId="0" applyFont="1" applyBorder="1" applyAlignment="1" applyProtection="1">
      <alignment horizontal="right"/>
    </xf>
    <xf numFmtId="0" fontId="30" fillId="0" borderId="112" xfId="0" applyFont="1" applyFill="1" applyBorder="1" applyAlignment="1" applyProtection="1">
      <alignment horizontal="right"/>
    </xf>
    <xf numFmtId="174" fontId="30" fillId="0" borderId="113" xfId="31" applyNumberFormat="1" applyFont="1" applyFill="1" applyBorder="1" applyAlignment="1" applyProtection="1"/>
    <xf numFmtId="174" fontId="30" fillId="0" borderId="114" xfId="31" applyNumberFormat="1" applyFont="1" applyFill="1" applyBorder="1" applyAlignment="1" applyProtection="1"/>
    <xf numFmtId="175" fontId="8" fillId="0" borderId="33" xfId="28" applyNumberFormat="1" applyFont="1" applyFill="1" applyBorder="1" applyAlignment="1" applyProtection="1">
      <protection locked="0"/>
    </xf>
    <xf numFmtId="174" fontId="8" fillId="0" borderId="94" xfId="31" applyNumberFormat="1" applyFont="1" applyFill="1" applyBorder="1" applyAlignment="1" applyProtection="1">
      <protection locked="0"/>
    </xf>
    <xf numFmtId="164" fontId="30" fillId="0" borderId="35" xfId="28" applyNumberFormat="1" applyFont="1" applyFill="1" applyBorder="1" applyAlignment="1" applyProtection="1">
      <alignment horizontal="right"/>
    </xf>
    <xf numFmtId="174" fontId="30" fillId="0" borderId="116" xfId="31" applyNumberFormat="1" applyFont="1" applyFill="1" applyBorder="1" applyAlignment="1" applyProtection="1"/>
    <xf numFmtId="175" fontId="8" fillId="0" borderId="0" xfId="28" applyNumberFormat="1" applyFont="1" applyFill="1" applyBorder="1" applyAlignment="1" applyProtection="1">
      <protection locked="0"/>
    </xf>
    <xf numFmtId="175" fontId="30" fillId="0" borderId="117" xfId="28" applyNumberFormat="1" applyFont="1" applyFill="1" applyBorder="1" applyAlignment="1" applyProtection="1"/>
    <xf numFmtId="37" fontId="30" fillId="29" borderId="0" xfId="0" applyNumberFormat="1" applyFont="1" applyFill="1" applyBorder="1" applyAlignment="1" applyProtection="1"/>
    <xf numFmtId="164" fontId="30" fillId="0" borderId="28" xfId="28" applyNumberFormat="1" applyFont="1" applyFill="1" applyBorder="1" applyAlignment="1" applyProtection="1">
      <alignment horizontal="right"/>
      <protection locked="0"/>
    </xf>
    <xf numFmtId="0" fontId="30" fillId="0" borderId="28" xfId="0" applyFont="1" applyFill="1" applyBorder="1" applyAlignment="1" applyProtection="1">
      <alignment horizontal="right"/>
    </xf>
    <xf numFmtId="174" fontId="30" fillId="0" borderId="28" xfId="31" applyNumberFormat="1" applyFont="1" applyFill="1" applyBorder="1" applyAlignment="1" applyProtection="1">
      <protection locked="0"/>
    </xf>
    <xf numFmtId="174" fontId="30" fillId="0" borderId="28" xfId="31" applyNumberFormat="1" applyFont="1" applyFill="1" applyBorder="1" applyAlignment="1" applyProtection="1"/>
    <xf numFmtId="0" fontId="30" fillId="0" borderId="28" xfId="0" applyFont="1" applyBorder="1" applyAlignment="1" applyProtection="1"/>
    <xf numFmtId="165" fontId="8" fillId="0" borderId="12" xfId="59" applyNumberFormat="1" applyFont="1" applyFill="1" applyBorder="1" applyAlignment="1" applyProtection="1">
      <protection locked="0"/>
    </xf>
    <xf numFmtId="165" fontId="8" fillId="0" borderId="35" xfId="59" applyNumberFormat="1" applyFont="1" applyFill="1" applyBorder="1" applyAlignment="1" applyProtection="1">
      <protection locked="0"/>
    </xf>
    <xf numFmtId="0" fontId="30" fillId="0" borderId="98" xfId="0" applyFont="1" applyFill="1" applyBorder="1" applyAlignment="1" applyProtection="1">
      <alignment horizontal="right"/>
    </xf>
    <xf numFmtId="0" fontId="30" fillId="0" borderId="35" xfId="0" applyFont="1" applyBorder="1" applyAlignment="1" applyProtection="1"/>
    <xf numFmtId="165" fontId="8" fillId="26" borderId="46" xfId="59" applyNumberFormat="1" applyFont="1" applyFill="1" applyBorder="1" applyAlignment="1" applyProtection="1">
      <protection locked="0"/>
    </xf>
    <xf numFmtId="0" fontId="30" fillId="0" borderId="27" xfId="0" applyFont="1" applyBorder="1" applyAlignment="1" applyProtection="1">
      <alignment horizontal="right"/>
    </xf>
    <xf numFmtId="0" fontId="30" fillId="0" borderId="64" xfId="0" applyFont="1" applyFill="1" applyBorder="1" applyAlignment="1" applyProtection="1">
      <alignment horizontal="right"/>
    </xf>
    <xf numFmtId="0" fontId="30" fillId="0" borderId="58" xfId="0" applyFont="1" applyFill="1" applyBorder="1" applyAlignment="1" applyProtection="1">
      <alignment horizontal="right"/>
    </xf>
    <xf numFmtId="0" fontId="16" fillId="0" borderId="94" xfId="0" applyFont="1" applyBorder="1" applyAlignment="1" applyProtection="1"/>
    <xf numFmtId="0" fontId="16" fillId="0" borderId="0" xfId="0" applyFont="1" applyAlignment="1" applyProtection="1"/>
    <xf numFmtId="0" fontId="30" fillId="0" borderId="27" xfId="0" applyFont="1" applyFill="1" applyBorder="1" applyAlignment="1" applyProtection="1">
      <alignment horizontal="right"/>
    </xf>
    <xf numFmtId="0" fontId="30" fillId="0" borderId="123" xfId="0" applyFont="1" applyBorder="1" applyAlignment="1" applyProtection="1"/>
    <xf numFmtId="0" fontId="30" fillId="0" borderId="78" xfId="0" applyFont="1" applyBorder="1" applyAlignment="1" applyProtection="1"/>
    <xf numFmtId="165" fontId="30" fillId="0" borderId="0" xfId="59" applyNumberFormat="1" applyFont="1" applyFill="1" applyAlignment="1" applyProtection="1">
      <alignment horizontal="right"/>
    </xf>
    <xf numFmtId="0" fontId="30" fillId="0" borderId="0" xfId="0" applyFont="1" applyAlignment="1"/>
    <xf numFmtId="165" fontId="3" fillId="0" borderId="0" xfId="59" applyNumberFormat="1" applyFont="1" applyFill="1" applyAlignment="1" applyProtection="1">
      <alignment horizontal="right"/>
    </xf>
    <xf numFmtId="37" fontId="3" fillId="24" borderId="0" xfId="0" applyNumberFormat="1" applyFont="1" applyFill="1" applyAlignment="1" applyProtection="1">
      <alignment horizontal="right"/>
    </xf>
    <xf numFmtId="0" fontId="2" fillId="0" borderId="43" xfId="0" applyFont="1" applyBorder="1" applyAlignment="1" applyProtection="1"/>
    <xf numFmtId="0" fontId="3" fillId="0" borderId="27" xfId="0" applyFont="1" applyBorder="1" applyAlignment="1" applyProtection="1"/>
    <xf numFmtId="0" fontId="3" fillId="0" borderId="27" xfId="0" applyFont="1" applyFill="1" applyBorder="1" applyAlignment="1" applyProtection="1"/>
    <xf numFmtId="0" fontId="3" fillId="0" borderId="78" xfId="0" applyFont="1" applyBorder="1" applyAlignment="1" applyProtection="1">
      <alignment horizontal="center"/>
    </xf>
    <xf numFmtId="0" fontId="3" fillId="0" borderId="14" xfId="0" applyFont="1" applyBorder="1" applyAlignment="1" applyProtection="1"/>
    <xf numFmtId="0" fontId="3" fillId="0" borderId="12" xfId="0" applyFont="1" applyFill="1" applyBorder="1" applyAlignment="1" applyProtection="1">
      <alignment horizontal="right"/>
    </xf>
    <xf numFmtId="0" fontId="3" fillId="0" borderId="75" xfId="0" applyFont="1" applyBorder="1" applyAlignment="1" applyProtection="1"/>
    <xf numFmtId="0" fontId="3" fillId="0" borderId="76" xfId="0" applyFont="1" applyBorder="1" applyAlignment="1" applyProtection="1"/>
    <xf numFmtId="0" fontId="3" fillId="0" borderId="94" xfId="0" applyFont="1" applyBorder="1" applyAlignment="1" applyProtection="1"/>
    <xf numFmtId="0" fontId="2" fillId="0" borderId="77" xfId="0" applyFont="1" applyBorder="1" applyAlignment="1" applyProtection="1"/>
    <xf numFmtId="179" fontId="18" fillId="0" borderId="44" xfId="0" applyNumberFormat="1" applyFont="1" applyBorder="1" applyAlignment="1">
      <alignment horizontal="right"/>
    </xf>
    <xf numFmtId="41" fontId="18" fillId="0" borderId="44" xfId="28" applyNumberFormat="1" applyFont="1" applyBorder="1"/>
    <xf numFmtId="41" fontId="18" fillId="0" borderId="44" xfId="0" applyNumberFormat="1" applyFont="1" applyBorder="1"/>
    <xf numFmtId="42" fontId="18" fillId="0" borderId="44" xfId="0" applyNumberFormat="1" applyFont="1" applyBorder="1"/>
    <xf numFmtId="41" fontId="18" fillId="0" borderId="124" xfId="0" applyNumberFormat="1" applyFont="1" applyBorder="1"/>
    <xf numFmtId="42" fontId="18" fillId="0" borderId="125" xfId="0" applyNumberFormat="1" applyFont="1" applyBorder="1"/>
    <xf numFmtId="41" fontId="53" fillId="0" borderId="44" xfId="0" applyNumberFormat="1" applyFont="1" applyBorder="1"/>
    <xf numFmtId="41" fontId="53" fillId="0" borderId="0" xfId="0" applyNumberFormat="1" applyFont="1" applyAlignment="1">
      <alignment horizontal="right"/>
    </xf>
    <xf numFmtId="166" fontId="18" fillId="0" borderId="30" xfId="28" applyNumberFormat="1" applyFont="1" applyFill="1" applyBorder="1" applyAlignment="1">
      <alignment horizontal="left"/>
    </xf>
    <xf numFmtId="41" fontId="18" fillId="0" borderId="0" xfId="0" applyNumberFormat="1" applyFont="1" applyFill="1"/>
    <xf numFmtId="41" fontId="18" fillId="0" borderId="30" xfId="0" applyNumberFormat="1" applyFont="1" applyFill="1" applyBorder="1"/>
    <xf numFmtId="0" fontId="41" fillId="0" borderId="0" xfId="0" applyFont="1" applyAlignment="1">
      <alignment horizontal="centerContinuous"/>
    </xf>
    <xf numFmtId="0" fontId="39" fillId="0" borderId="0" xfId="0" applyFont="1" applyFill="1"/>
    <xf numFmtId="0" fontId="18" fillId="0" borderId="0" xfId="48" applyNumberFormat="1" applyFont="1" applyAlignment="1">
      <alignment vertical="center"/>
    </xf>
    <xf numFmtId="0" fontId="42" fillId="27" borderId="0" xfId="28" applyNumberFormat="1" applyFont="1" applyFill="1" applyBorder="1"/>
    <xf numFmtId="0" fontId="18" fillId="27" borderId="0" xfId="48" applyNumberFormat="1" applyFont="1" applyFill="1"/>
    <xf numFmtId="0" fontId="18" fillId="0" borderId="0" xfId="48" applyNumberFormat="1" applyFont="1"/>
    <xf numFmtId="0" fontId="41" fillId="0" borderId="0" xfId="48" applyNumberFormat="1" applyFont="1" applyBorder="1"/>
    <xf numFmtId="0" fontId="43" fillId="0" borderId="50" xfId="48" applyNumberFormat="1" applyFont="1" applyBorder="1" applyAlignment="1">
      <alignment horizontal="left"/>
    </xf>
    <xf numFmtId="0" fontId="18" fillId="0" borderId="39" xfId="48" applyNumberFormat="1" applyFont="1" applyBorder="1"/>
    <xf numFmtId="0" fontId="18" fillId="0" borderId="33" xfId="48" applyNumberFormat="1" applyFont="1" applyBorder="1"/>
    <xf numFmtId="0" fontId="18" fillId="0" borderId="0" xfId="48" applyNumberFormat="1" applyFont="1" applyBorder="1"/>
    <xf numFmtId="0" fontId="41" fillId="0" borderId="33" xfId="48" applyNumberFormat="1" applyFont="1" applyBorder="1"/>
    <xf numFmtId="0" fontId="18" fillId="0" borderId="34" xfId="28" applyNumberFormat="1" applyFont="1" applyBorder="1" applyProtection="1"/>
    <xf numFmtId="0" fontId="18" fillId="0" borderId="30" xfId="48" applyNumberFormat="1" applyFont="1" applyBorder="1"/>
    <xf numFmtId="0" fontId="18" fillId="0" borderId="0" xfId="48" applyNumberFormat="1" applyFont="1" applyAlignment="1"/>
    <xf numFmtId="0" fontId="18" fillId="27" borderId="0" xfId="48" applyNumberFormat="1" applyFont="1" applyFill="1" applyAlignment="1"/>
    <xf numFmtId="0" fontId="41" fillId="0" borderId="30" xfId="48" quotePrefix="1" applyNumberFormat="1" applyFont="1" applyBorder="1" applyAlignment="1"/>
    <xf numFmtId="0" fontId="41" fillId="0" borderId="0" xfId="48" quotePrefix="1" applyNumberFormat="1" applyFont="1" applyBorder="1" applyAlignment="1"/>
    <xf numFmtId="0" fontId="18" fillId="0" borderId="0" xfId="48" applyNumberFormat="1" applyFont="1" applyBorder="1" applyAlignment="1"/>
    <xf numFmtId="0" fontId="18" fillId="0" borderId="0" xfId="48" applyNumberFormat="1" applyFont="1" applyBorder="1" applyAlignment="1">
      <alignment vertical="center"/>
    </xf>
    <xf numFmtId="0" fontId="18" fillId="0" borderId="0" xfId="48" quotePrefix="1" applyNumberFormat="1" applyFont="1" applyBorder="1" applyAlignment="1">
      <alignment vertical="center"/>
    </xf>
    <xf numFmtId="0" fontId="53" fillId="0" borderId="0" xfId="48" applyNumberFormat="1" applyFont="1" applyBorder="1" applyAlignment="1">
      <alignment vertical="center"/>
    </xf>
    <xf numFmtId="0" fontId="53" fillId="0" borderId="0" xfId="48" quotePrefix="1" applyNumberFormat="1" applyFont="1" applyBorder="1" applyAlignment="1">
      <alignment vertical="center"/>
    </xf>
    <xf numFmtId="0" fontId="41" fillId="0" borderId="0" xfId="48" applyNumberFormat="1" applyFont="1" applyBorder="1" applyAlignment="1">
      <alignment vertical="center"/>
    </xf>
    <xf numFmtId="0" fontId="18" fillId="0" borderId="50" xfId="48" applyNumberFormat="1" applyFont="1" applyFill="1" applyBorder="1" applyAlignment="1">
      <alignment vertical="center"/>
    </xf>
    <xf numFmtId="0" fontId="18" fillId="0" borderId="39" xfId="48" applyNumberFormat="1" applyFont="1" applyFill="1" applyBorder="1" applyAlignment="1">
      <alignment vertical="center"/>
    </xf>
    <xf numFmtId="0" fontId="41" fillId="0" borderId="34" xfId="48" applyNumberFormat="1" applyFont="1" applyFill="1" applyBorder="1" applyAlignment="1">
      <alignment vertical="center"/>
    </xf>
    <xf numFmtId="0" fontId="41" fillId="0" borderId="30" xfId="48" applyNumberFormat="1" applyFont="1" applyFill="1" applyBorder="1" applyAlignment="1">
      <alignment vertical="center"/>
    </xf>
    <xf numFmtId="0" fontId="18" fillId="0" borderId="0" xfId="48" applyNumberFormat="1" applyFont="1" applyFill="1" applyBorder="1" applyAlignment="1">
      <alignment vertical="center"/>
    </xf>
    <xf numFmtId="0" fontId="18" fillId="0" borderId="0" xfId="48" applyNumberFormat="1" applyFont="1" applyFill="1" applyAlignment="1"/>
    <xf numFmtId="42" fontId="18" fillId="0" borderId="42" xfId="0" applyNumberFormat="1" applyFont="1" applyBorder="1"/>
    <xf numFmtId="3" fontId="18" fillId="0" borderId="54" xfId="0" applyNumberFormat="1" applyFont="1" applyBorder="1" applyAlignment="1">
      <alignment horizontal="right"/>
    </xf>
    <xf numFmtId="3" fontId="18" fillId="0" borderId="54" xfId="0" quotePrefix="1" applyNumberFormat="1" applyFont="1" applyBorder="1" applyAlignment="1">
      <alignment horizontal="right"/>
    </xf>
    <xf numFmtId="172" fontId="48" fillId="0" borderId="0" xfId="0" applyNumberFormat="1" applyFont="1" applyFill="1" applyAlignment="1" applyProtection="1">
      <alignment horizontal="center"/>
      <protection locked="0"/>
    </xf>
    <xf numFmtId="172" fontId="48" fillId="0" borderId="98" xfId="0" applyNumberFormat="1" applyFont="1" applyFill="1" applyBorder="1" applyAlignment="1" applyProtection="1">
      <alignment horizontal="center"/>
    </xf>
    <xf numFmtId="172" fontId="48" fillId="0" borderId="27" xfId="0" applyNumberFormat="1" applyFont="1" applyFill="1" applyBorder="1" applyAlignment="1" applyProtection="1">
      <alignment horizontal="center"/>
    </xf>
    <xf numFmtId="172" fontId="48" fillId="0" borderId="0" xfId="0" applyNumberFormat="1" applyFont="1" applyBorder="1" applyAlignment="1" applyProtection="1">
      <alignment horizontal="center"/>
    </xf>
    <xf numFmtId="172" fontId="48" fillId="0" borderId="27" xfId="0" applyNumberFormat="1" applyFont="1" applyBorder="1" applyAlignment="1" applyProtection="1">
      <alignment horizontal="center"/>
    </xf>
    <xf numFmtId="172" fontId="48" fillId="0" borderId="0" xfId="0" applyNumberFormat="1" applyFont="1" applyAlignment="1" applyProtection="1"/>
    <xf numFmtId="172" fontId="3" fillId="0" borderId="0" xfId="0" applyNumberFormat="1" applyFont="1" applyAlignment="1" applyProtection="1"/>
    <xf numFmtId="172" fontId="48" fillId="0" borderId="27" xfId="0" applyNumberFormat="1" applyFont="1" applyBorder="1" applyAlignment="1" applyProtection="1">
      <alignment horizontal="center" wrapText="1"/>
    </xf>
    <xf numFmtId="172" fontId="8" fillId="26" borderId="0" xfId="0" applyNumberFormat="1" applyFont="1" applyFill="1" applyAlignment="1" applyProtection="1">
      <alignment horizontal="center"/>
      <protection locked="0"/>
    </xf>
    <xf numFmtId="172" fontId="48" fillId="0" borderId="98" xfId="0" applyNumberFormat="1" applyFont="1" applyFill="1" applyBorder="1" applyAlignment="1" applyProtection="1">
      <alignment horizontal="right"/>
    </xf>
    <xf numFmtId="172" fontId="48" fillId="0" borderId="0" xfId="0" applyNumberFormat="1" applyFont="1" applyFill="1" applyAlignment="1" applyProtection="1">
      <alignment horizontal="right"/>
      <protection locked="0"/>
    </xf>
    <xf numFmtId="172" fontId="48" fillId="0" borderId="27" xfId="0" applyNumberFormat="1" applyFont="1" applyFill="1" applyBorder="1" applyAlignment="1" applyProtection="1">
      <alignment horizontal="right"/>
    </xf>
    <xf numFmtId="172" fontId="48" fillId="0" borderId="0" xfId="0" applyNumberFormat="1" applyFont="1" applyFill="1" applyBorder="1" applyAlignment="1" applyProtection="1">
      <alignment horizontal="center"/>
      <protection locked="0"/>
    </xf>
    <xf numFmtId="172" fontId="48" fillId="0" borderId="0" xfId="0" applyNumberFormat="1" applyFont="1" applyAlignment="1" applyProtection="1">
      <alignment horizontal="center"/>
      <protection locked="0"/>
    </xf>
    <xf numFmtId="172" fontId="8" fillId="26" borderId="47" xfId="0" applyNumberFormat="1" applyFont="1" applyFill="1" applyBorder="1" applyAlignment="1" applyProtection="1">
      <alignment horizontal="center"/>
      <protection locked="0"/>
    </xf>
    <xf numFmtId="172" fontId="8" fillId="26" borderId="119" xfId="0" applyNumberFormat="1" applyFont="1" applyFill="1" applyBorder="1" applyAlignment="1" applyProtection="1">
      <alignment horizontal="center"/>
      <protection locked="0"/>
    </xf>
    <xf numFmtId="172" fontId="48" fillId="0" borderId="48" xfId="0" applyNumberFormat="1" applyFont="1" applyFill="1" applyBorder="1" applyAlignment="1" applyProtection="1">
      <alignment horizontal="center"/>
    </xf>
    <xf numFmtId="172" fontId="48" fillId="0" borderId="126" xfId="0" applyNumberFormat="1" applyFont="1" applyFill="1" applyBorder="1" applyAlignment="1" applyProtection="1">
      <alignment horizontal="center"/>
    </xf>
    <xf numFmtId="172" fontId="48" fillId="24" borderId="48" xfId="0" applyNumberFormat="1" applyFont="1" applyFill="1" applyBorder="1" applyAlignment="1" applyProtection="1">
      <alignment horizontal="center"/>
    </xf>
    <xf numFmtId="0" fontId="3" fillId="0" borderId="0" xfId="0" applyNumberFormat="1" applyFont="1" applyFill="1" applyAlignment="1" applyProtection="1">
      <alignment horizontal="right"/>
    </xf>
    <xf numFmtId="0" fontId="48" fillId="0" borderId="35" xfId="0" quotePrefix="1" applyNumberFormat="1" applyFont="1" applyFill="1" applyBorder="1" applyAlignment="1" applyProtection="1">
      <alignment horizontal="center"/>
    </xf>
    <xf numFmtId="0" fontId="48" fillId="0" borderId="0" xfId="0" quotePrefix="1" applyNumberFormat="1" applyFont="1" applyFill="1" applyBorder="1" applyAlignment="1" applyProtection="1">
      <alignment horizontal="center"/>
    </xf>
    <xf numFmtId="0" fontId="48" fillId="0" borderId="27" xfId="0" applyNumberFormat="1" applyFont="1" applyBorder="1" applyAlignment="1" applyProtection="1"/>
    <xf numFmtId="0" fontId="30" fillId="0" borderId="35" xfId="0" applyNumberFormat="1" applyFont="1" applyFill="1" applyBorder="1" applyAlignment="1" applyProtection="1">
      <alignment horizontal="right"/>
    </xf>
    <xf numFmtId="0" fontId="48" fillId="0" borderId="100" xfId="0" applyNumberFormat="1" applyFont="1" applyFill="1" applyBorder="1" applyAlignment="1" applyProtection="1">
      <alignment horizontal="right"/>
    </xf>
    <xf numFmtId="0" fontId="48" fillId="0" borderId="35" xfId="0" applyNumberFormat="1" applyFont="1" applyFill="1" applyBorder="1" applyAlignment="1" applyProtection="1">
      <alignment horizontal="right"/>
    </xf>
    <xf numFmtId="0" fontId="48" fillId="0" borderId="58" xfId="0" applyNumberFormat="1" applyFont="1" applyFill="1" applyBorder="1" applyAlignment="1" applyProtection="1">
      <alignment horizontal="right"/>
    </xf>
    <xf numFmtId="0" fontId="48" fillId="0" borderId="35" xfId="0" applyNumberFormat="1" applyFont="1" applyBorder="1" applyAlignment="1" applyProtection="1">
      <alignment horizontal="right"/>
    </xf>
    <xf numFmtId="0" fontId="48" fillId="0" borderId="100" xfId="0" applyNumberFormat="1" applyFont="1" applyBorder="1" applyAlignment="1" applyProtection="1">
      <alignment horizontal="right"/>
    </xf>
    <xf numFmtId="0" fontId="30" fillId="0" borderId="35" xfId="0" applyNumberFormat="1" applyFont="1" applyBorder="1" applyAlignment="1" applyProtection="1">
      <alignment horizontal="right"/>
    </xf>
    <xf numFmtId="0" fontId="48" fillId="24" borderId="0" xfId="0" applyNumberFormat="1" applyFont="1" applyFill="1" applyAlignment="1" applyProtection="1">
      <alignment horizontal="right"/>
    </xf>
    <xf numFmtId="1" fontId="30" fillId="0" borderId="0" xfId="0" applyNumberFormat="1" applyFont="1" applyFill="1" applyBorder="1" applyAlignment="1" applyProtection="1"/>
    <xf numFmtId="1" fontId="30" fillId="0" borderId="127" xfId="0" applyNumberFormat="1" applyFont="1" applyFill="1" applyBorder="1" applyAlignment="1" applyProtection="1"/>
    <xf numFmtId="1" fontId="30" fillId="0" borderId="39" xfId="0" applyNumberFormat="1" applyFont="1" applyFill="1" applyBorder="1" applyAlignment="1" applyProtection="1"/>
    <xf numFmtId="1" fontId="30" fillId="0" borderId="128" xfId="0" applyNumberFormat="1" applyFont="1" applyFill="1" applyBorder="1" applyAlignment="1" applyProtection="1"/>
    <xf numFmtId="1" fontId="48" fillId="0" borderId="0" xfId="0" applyNumberFormat="1" applyFont="1" applyFill="1" applyBorder="1" applyAlignment="1" applyProtection="1"/>
    <xf numFmtId="1" fontId="48" fillId="0" borderId="52" xfId="0" applyNumberFormat="1" applyFont="1" applyFill="1" applyBorder="1" applyAlignment="1" applyProtection="1"/>
    <xf numFmtId="1" fontId="48" fillId="0" borderId="54" xfId="0" applyNumberFormat="1" applyFont="1" applyFill="1" applyBorder="1" applyAlignment="1" applyProtection="1"/>
    <xf numFmtId="1" fontId="30" fillId="0" borderId="52" xfId="0" applyNumberFormat="1" applyFont="1" applyFill="1" applyBorder="1" applyAlignment="1" applyProtection="1"/>
    <xf numFmtId="1" fontId="30" fillId="0" borderId="54" xfId="0" applyNumberFormat="1" applyFont="1" applyFill="1" applyBorder="1" applyAlignment="1" applyProtection="1"/>
    <xf numFmtId="1" fontId="48" fillId="0" borderId="53" xfId="0" applyNumberFormat="1" applyFont="1" applyFill="1" applyBorder="1" applyAlignment="1" applyProtection="1"/>
    <xf numFmtId="1" fontId="48" fillId="0" borderId="30" xfId="0" applyNumberFormat="1" applyFont="1" applyFill="1" applyBorder="1" applyAlignment="1" applyProtection="1"/>
    <xf numFmtId="1" fontId="48" fillId="0" borderId="55" xfId="0" applyNumberFormat="1" applyFont="1" applyFill="1" applyBorder="1" applyAlignment="1" applyProtection="1"/>
    <xf numFmtId="41" fontId="53" fillId="26" borderId="0" xfId="0" applyNumberFormat="1" applyFont="1" applyFill="1"/>
    <xf numFmtId="0" fontId="32" fillId="26" borderId="0" xfId="0" applyFont="1" applyFill="1"/>
    <xf numFmtId="0" fontId="57" fillId="29" borderId="0" xfId="28" applyNumberFormat="1" applyFont="1" applyFill="1" applyBorder="1"/>
    <xf numFmtId="3" fontId="18" fillId="0" borderId="52" xfId="0" applyNumberFormat="1" applyFont="1" applyBorder="1" applyAlignment="1">
      <alignment horizontal="right"/>
    </xf>
    <xf numFmtId="3" fontId="18" fillId="0" borderId="52" xfId="0" quotePrefix="1" applyNumberFormat="1" applyFont="1" applyBorder="1" applyAlignment="1">
      <alignment horizontal="right"/>
    </xf>
    <xf numFmtId="37" fontId="18" fillId="0" borderId="0" xfId="0" applyNumberFormat="1" applyFont="1" applyFill="1" applyBorder="1" applyProtection="1"/>
    <xf numFmtId="165" fontId="18" fillId="0" borderId="0" xfId="0" applyNumberFormat="1" applyFont="1" applyFill="1" applyBorder="1" applyProtection="1"/>
    <xf numFmtId="0" fontId="39" fillId="26" borderId="36" xfId="0" applyFont="1" applyFill="1" applyBorder="1" applyAlignment="1" applyProtection="1">
      <alignment horizontal="left"/>
    </xf>
    <xf numFmtId="37" fontId="2" fillId="0" borderId="0" xfId="0" applyNumberFormat="1" applyFont="1" applyFill="1" applyBorder="1" applyAlignment="1" applyProtection="1">
      <alignment horizontal="right"/>
    </xf>
    <xf numFmtId="14" fontId="1" fillId="0" borderId="9" xfId="0" applyNumberFormat="1" applyFont="1" applyFill="1" applyBorder="1" applyAlignment="1" applyProtection="1">
      <alignment horizontal="center"/>
    </xf>
    <xf numFmtId="37" fontId="8" fillId="0" borderId="0" xfId="0" applyNumberFormat="1" applyFont="1" applyFill="1" applyBorder="1" applyAlignment="1" applyProtection="1">
      <alignment horizontal="left"/>
    </xf>
    <xf numFmtId="0" fontId="16" fillId="0" borderId="0" xfId="28" applyNumberFormat="1" applyFont="1" applyBorder="1" applyAlignment="1" applyProtection="1">
      <alignment horizontal="right"/>
    </xf>
    <xf numFmtId="37" fontId="2" fillId="0" borderId="35" xfId="0" applyNumberFormat="1" applyFont="1" applyFill="1" applyBorder="1" applyAlignment="1" applyProtection="1">
      <alignment horizontal="right"/>
    </xf>
    <xf numFmtId="37" fontId="2" fillId="0" borderId="0" xfId="0" applyNumberFormat="1" applyFont="1" applyFill="1" applyBorder="1" applyProtection="1"/>
    <xf numFmtId="37" fontId="1" fillId="0" borderId="33" xfId="0" applyNumberFormat="1" applyFont="1" applyFill="1" applyBorder="1" applyAlignment="1" applyProtection="1"/>
    <xf numFmtId="0" fontId="3" fillId="0" borderId="0" xfId="0" applyNumberFormat="1" applyFont="1" applyProtection="1"/>
    <xf numFmtId="0" fontId="30" fillId="0" borderId="0" xfId="0" applyNumberFormat="1" applyFont="1" applyProtection="1"/>
    <xf numFmtId="0" fontId="1" fillId="0" borderId="0" xfId="28" applyNumberFormat="1" applyFont="1" applyFill="1" applyProtection="1"/>
    <xf numFmtId="0" fontId="8" fillId="0" borderId="0" xfId="28" applyNumberFormat="1" applyFont="1" applyFill="1" applyProtection="1"/>
    <xf numFmtId="0" fontId="48" fillId="0" borderId="0" xfId="0" applyNumberFormat="1" applyFont="1" applyProtection="1"/>
    <xf numFmtId="14" fontId="8" fillId="0" borderId="40" xfId="0" applyNumberFormat="1" applyFont="1" applyFill="1" applyBorder="1" applyAlignment="1" applyProtection="1">
      <alignment horizontal="center"/>
      <protection locked="0"/>
    </xf>
    <xf numFmtId="0" fontId="30" fillId="0" borderId="0" xfId="0" applyFont="1" applyFill="1" applyBorder="1" applyAlignment="1"/>
    <xf numFmtId="0" fontId="8" fillId="0" borderId="35" xfId="0" applyFont="1" applyFill="1" applyBorder="1" applyAlignment="1" applyProtection="1">
      <alignment horizontal="center"/>
      <protection locked="0"/>
    </xf>
    <xf numFmtId="0" fontId="8" fillId="0" borderId="36" xfId="0" applyFont="1" applyFill="1" applyBorder="1" applyAlignment="1" applyProtection="1">
      <alignment horizontal="center"/>
      <protection locked="0"/>
    </xf>
    <xf numFmtId="37" fontId="18" fillId="0" borderId="0" xfId="0" applyNumberFormat="1" applyFont="1" applyFill="1" applyAlignment="1"/>
    <xf numFmtId="37" fontId="18" fillId="0" borderId="0" xfId="0" quotePrefix="1" applyNumberFormat="1" applyFont="1" applyFill="1" applyAlignment="1"/>
    <xf numFmtId="49" fontId="18" fillId="0" borderId="7" xfId="0" applyNumberFormat="1" applyFont="1" applyFill="1" applyBorder="1" applyAlignment="1">
      <alignment horizontal="center"/>
    </xf>
    <xf numFmtId="49" fontId="18" fillId="0" borderId="57" xfId="0" applyNumberFormat="1" applyFont="1" applyFill="1" applyBorder="1" applyAlignment="1">
      <alignment horizontal="center"/>
    </xf>
    <xf numFmtId="49" fontId="18" fillId="0" borderId="56" xfId="0" applyNumberFormat="1" applyFont="1" applyFill="1" applyBorder="1" applyAlignment="1">
      <alignment horizontal="center"/>
    </xf>
    <xf numFmtId="39" fontId="18" fillId="0" borderId="0" xfId="0" applyNumberFormat="1" applyFont="1" applyFill="1" applyAlignment="1" applyProtection="1"/>
    <xf numFmtId="39" fontId="18" fillId="0" borderId="30" xfId="0" quotePrefix="1" applyNumberFormat="1" applyFont="1" applyFill="1" applyBorder="1" applyAlignment="1" applyProtection="1">
      <alignment horizontal="center" wrapText="1"/>
    </xf>
    <xf numFmtId="39" fontId="18" fillId="0" borderId="30" xfId="0" applyNumberFormat="1" applyFont="1" applyFill="1" applyBorder="1" applyAlignment="1" applyProtection="1">
      <alignment horizontal="center"/>
    </xf>
    <xf numFmtId="37" fontId="18" fillId="0" borderId="0" xfId="28" applyNumberFormat="1" applyFont="1" applyFill="1" applyBorder="1" applyAlignment="1" applyProtection="1"/>
    <xf numFmtId="37" fontId="41" fillId="0" borderId="0" xfId="0" quotePrefix="1" applyNumberFormat="1" applyFont="1" applyFill="1" applyAlignment="1" applyProtection="1"/>
    <xf numFmtId="0" fontId="18" fillId="0" borderId="30" xfId="0" applyFont="1" applyFill="1" applyBorder="1" applyAlignment="1" applyProtection="1">
      <alignment horizontal="centerContinuous"/>
    </xf>
    <xf numFmtId="39" fontId="18" fillId="0" borderId="30" xfId="0" applyNumberFormat="1" applyFont="1" applyFill="1" applyBorder="1" applyAlignment="1" applyProtection="1">
      <alignment horizontal="centerContinuous"/>
    </xf>
    <xf numFmtId="172" fontId="34" fillId="0" borderId="98" xfId="0" applyNumberFormat="1" applyFont="1" applyFill="1" applyBorder="1" applyAlignment="1" applyProtection="1">
      <alignment horizontal="center"/>
    </xf>
    <xf numFmtId="0" fontId="30" fillId="0" borderId="129" xfId="0" applyFont="1" applyFill="1" applyBorder="1" applyAlignment="1" applyProtection="1">
      <alignment horizontal="center"/>
    </xf>
    <xf numFmtId="0" fontId="30" fillId="0" borderId="39" xfId="0" applyFont="1" applyFill="1" applyBorder="1" applyAlignment="1" applyProtection="1">
      <alignment horizontal="center"/>
    </xf>
    <xf numFmtId="0" fontId="30" fillId="0" borderId="130" xfId="0" applyFont="1" applyFill="1" applyBorder="1" applyAlignment="1" applyProtection="1">
      <alignment horizontal="center"/>
    </xf>
    <xf numFmtId="0" fontId="2" fillId="0" borderId="131" xfId="0" applyFont="1" applyBorder="1" applyAlignment="1" applyProtection="1">
      <alignment horizontal="center"/>
    </xf>
    <xf numFmtId="0" fontId="2" fillId="0" borderId="124" xfId="0" applyFont="1" applyBorder="1" applyAlignment="1" applyProtection="1">
      <alignment horizontal="center"/>
    </xf>
    <xf numFmtId="0" fontId="30" fillId="0" borderId="106" xfId="0" applyFont="1" applyBorder="1" applyProtection="1"/>
    <xf numFmtId="0" fontId="30" fillId="0" borderId="44" xfId="0" applyFont="1" applyBorder="1" applyProtection="1"/>
    <xf numFmtId="5" fontId="8" fillId="0" borderId="106" xfId="31" applyNumberFormat="1" applyFont="1" applyFill="1" applyBorder="1" applyAlignment="1" applyProtection="1">
      <alignment horizontal="right"/>
      <protection locked="0"/>
    </xf>
    <xf numFmtId="5" fontId="30" fillId="0" borderId="44" xfId="0" applyNumberFormat="1" applyFont="1" applyBorder="1" applyProtection="1"/>
    <xf numFmtId="165" fontId="30" fillId="0" borderId="44" xfId="0" applyNumberFormat="1" applyFont="1" applyBorder="1" applyProtection="1"/>
    <xf numFmtId="7" fontId="8" fillId="0" borderId="106" xfId="59" applyNumberFormat="1" applyFont="1" applyFill="1" applyBorder="1" applyAlignment="1" applyProtection="1">
      <alignment horizontal="right"/>
      <protection locked="0"/>
    </xf>
    <xf numFmtId="7" fontId="30" fillId="0" borderId="106" xfId="0" applyNumberFormat="1" applyFont="1" applyFill="1" applyBorder="1" applyAlignment="1" applyProtection="1">
      <alignment horizontal="right"/>
      <protection locked="0"/>
    </xf>
    <xf numFmtId="0" fontId="30" fillId="0" borderId="106" xfId="0" applyFont="1" applyBorder="1" applyProtection="1">
      <protection locked="0"/>
    </xf>
    <xf numFmtId="37" fontId="8" fillId="0" borderId="106" xfId="59" applyNumberFormat="1" applyFont="1" applyFill="1" applyBorder="1" applyAlignment="1" applyProtection="1">
      <alignment horizontal="right"/>
      <protection locked="0"/>
    </xf>
    <xf numFmtId="0" fontId="30" fillId="0" borderId="106" xfId="0" applyFont="1" applyFill="1" applyBorder="1" applyProtection="1"/>
    <xf numFmtId="0" fontId="48" fillId="0" borderId="44" xfId="0" applyFont="1" applyBorder="1" applyProtection="1"/>
    <xf numFmtId="165" fontId="8" fillId="0" borderId="106" xfId="0" applyNumberFormat="1" applyFont="1" applyFill="1" applyBorder="1" applyProtection="1"/>
    <xf numFmtId="37" fontId="30" fillId="0" borderId="106" xfId="0" applyNumberFormat="1" applyFont="1" applyFill="1" applyBorder="1" applyProtection="1"/>
    <xf numFmtId="37" fontId="30" fillId="0" borderId="44" xfId="0" applyNumberFormat="1" applyFont="1" applyFill="1" applyBorder="1" applyProtection="1"/>
    <xf numFmtId="169" fontId="8" fillId="0" borderId="106" xfId="31" applyNumberFormat="1" applyFont="1" applyFill="1" applyBorder="1" applyAlignment="1" applyProtection="1">
      <alignment horizontal="right"/>
      <protection locked="0"/>
    </xf>
    <xf numFmtId="169" fontId="30" fillId="0" borderId="44" xfId="0" applyNumberFormat="1" applyFont="1" applyBorder="1" applyProtection="1"/>
    <xf numFmtId="5" fontId="8" fillId="0" borderId="106" xfId="31" applyNumberFormat="1" applyFont="1" applyFill="1" applyBorder="1" applyAlignment="1" applyProtection="1">
      <alignment horizontal="right"/>
    </xf>
    <xf numFmtId="165" fontId="30" fillId="0" borderId="44" xfId="0" applyNumberFormat="1" applyFont="1" applyFill="1" applyBorder="1" applyProtection="1"/>
    <xf numFmtId="0" fontId="1" fillId="0" borderId="44" xfId="0" applyFont="1" applyFill="1" applyBorder="1" applyAlignment="1" applyProtection="1">
      <alignment horizontal="centerContinuous"/>
    </xf>
    <xf numFmtId="0" fontId="48" fillId="0" borderId="106" xfId="0" applyFont="1" applyBorder="1" applyProtection="1"/>
    <xf numFmtId="5" fontId="30" fillId="0" borderId="106" xfId="31" applyNumberFormat="1" applyFont="1" applyFill="1" applyBorder="1" applyAlignment="1" applyProtection="1">
      <alignment horizontal="right"/>
      <protection locked="0"/>
    </xf>
    <xf numFmtId="0" fontId="30" fillId="0" borderId="44" xfId="0" applyFont="1" applyFill="1" applyBorder="1" applyProtection="1"/>
    <xf numFmtId="5" fontId="30" fillId="0" borderId="44" xfId="0" applyNumberFormat="1" applyFont="1" applyFill="1" applyBorder="1" applyProtection="1"/>
    <xf numFmtId="169" fontId="30" fillId="0" borderId="44" xfId="0" applyNumberFormat="1" applyFont="1" applyFill="1" applyBorder="1" applyProtection="1"/>
    <xf numFmtId="5" fontId="8" fillId="0" borderId="106" xfId="31" applyNumberFormat="1" applyFont="1" applyFill="1" applyBorder="1" applyAlignment="1" applyProtection="1">
      <alignment horizontal="center"/>
      <protection locked="0"/>
    </xf>
    <xf numFmtId="37" fontId="30" fillId="24" borderId="44" xfId="0" applyNumberFormat="1" applyFont="1" applyFill="1" applyBorder="1" applyProtection="1"/>
    <xf numFmtId="0" fontId="30" fillId="0" borderId="39" xfId="0" applyFont="1" applyBorder="1" applyAlignment="1" applyProtection="1">
      <alignment horizontal="center"/>
    </xf>
    <xf numFmtId="0" fontId="30" fillId="0" borderId="130" xfId="0" applyFont="1" applyBorder="1" applyAlignment="1" applyProtection="1">
      <alignment horizontal="center"/>
    </xf>
    <xf numFmtId="0" fontId="28" fillId="0" borderId="44" xfId="0" applyFont="1" applyBorder="1" applyProtection="1"/>
    <xf numFmtId="0" fontId="30" fillId="26" borderId="44" xfId="0" applyFont="1" applyFill="1" applyBorder="1" applyProtection="1"/>
    <xf numFmtId="6" fontId="30" fillId="0" borderId="44" xfId="28" applyNumberFormat="1" applyFont="1" applyFill="1" applyBorder="1" applyProtection="1"/>
    <xf numFmtId="6" fontId="30" fillId="0" borderId="44" xfId="0" applyNumberFormat="1" applyFont="1" applyFill="1" applyBorder="1" applyProtection="1"/>
    <xf numFmtId="170" fontId="30" fillId="0" borderId="44" xfId="0" applyNumberFormat="1" applyFont="1" applyBorder="1" applyProtection="1"/>
    <xf numFmtId="9" fontId="34" fillId="0" borderId="44" xfId="59" applyFont="1" applyBorder="1" applyProtection="1"/>
    <xf numFmtId="165" fontId="48" fillId="0" borderId="44" xfId="0" applyNumberFormat="1" applyFont="1" applyBorder="1" applyProtection="1"/>
    <xf numFmtId="174" fontId="30" fillId="0" borderId="44" xfId="31" applyNumberFormat="1" applyFont="1" applyBorder="1" applyProtection="1"/>
    <xf numFmtId="41" fontId="53" fillId="26" borderId="0" xfId="0" applyNumberFormat="1" applyFont="1" applyFill="1" applyBorder="1"/>
    <xf numFmtId="0" fontId="8" fillId="24" borderId="0" xfId="28" applyNumberFormat="1" applyFont="1" applyFill="1" applyBorder="1" applyAlignment="1" applyProtection="1">
      <alignment horizontal="center" vertical="top"/>
      <protection locked="0"/>
    </xf>
    <xf numFmtId="0" fontId="18" fillId="0" borderId="0" xfId="28" applyNumberFormat="1" applyFont="1"/>
    <xf numFmtId="0" fontId="18" fillId="0" borderId="0" xfId="28" applyNumberFormat="1" applyFont="1" applyBorder="1"/>
    <xf numFmtId="0" fontId="18" fillId="0" borderId="0" xfId="28" applyNumberFormat="1" applyFont="1" applyBorder="1" applyAlignment="1">
      <alignment horizontal="right"/>
    </xf>
    <xf numFmtId="0" fontId="18" fillId="0" borderId="0" xfId="0" applyNumberFormat="1" applyFont="1" applyFill="1" applyBorder="1"/>
    <xf numFmtId="0" fontId="18" fillId="0" borderId="44" xfId="28" applyNumberFormat="1" applyFont="1" applyBorder="1"/>
    <xf numFmtId="0" fontId="41" fillId="0" borderId="0" xfId="0" applyNumberFormat="1" applyFont="1" applyBorder="1"/>
    <xf numFmtId="0" fontId="18" fillId="0" borderId="30" xfId="0" applyNumberFormat="1" applyFont="1" applyBorder="1"/>
    <xf numFmtId="0" fontId="18" fillId="0" borderId="44" xfId="28" applyNumberFormat="1" applyFont="1" applyFill="1" applyBorder="1"/>
    <xf numFmtId="0" fontId="32" fillId="26" borderId="0" xfId="0" applyNumberFormat="1" applyFont="1" applyFill="1" applyBorder="1"/>
    <xf numFmtId="0" fontId="32" fillId="0" borderId="0" xfId="28" applyNumberFormat="1" applyFont="1" applyBorder="1"/>
    <xf numFmtId="3" fontId="18" fillId="0" borderId="0" xfId="28" applyNumberFormat="1" applyFont="1"/>
    <xf numFmtId="3" fontId="18" fillId="26" borderId="0" xfId="0" applyNumberFormat="1" applyFont="1" applyFill="1" applyBorder="1"/>
    <xf numFmtId="3" fontId="18" fillId="0" borderId="0" xfId="28" applyNumberFormat="1" applyFont="1" applyBorder="1"/>
    <xf numFmtId="3" fontId="18" fillId="0" borderId="0" xfId="28" applyNumberFormat="1" applyFont="1" applyBorder="1" applyAlignment="1">
      <alignment horizontal="right"/>
    </xf>
    <xf numFmtId="3" fontId="18" fillId="0" borderId="0" xfId="0" applyNumberFormat="1" applyFont="1" applyFill="1" applyBorder="1"/>
    <xf numFmtId="3" fontId="18" fillId="0" borderId="44" xfId="28" applyNumberFormat="1" applyFont="1" applyBorder="1" applyAlignment="1">
      <alignment horizontal="right"/>
    </xf>
    <xf numFmtId="3" fontId="18" fillId="0" borderId="44" xfId="28" applyNumberFormat="1" applyFont="1" applyBorder="1"/>
    <xf numFmtId="184" fontId="18" fillId="0" borderId="0" xfId="28" applyNumberFormat="1" applyFont="1"/>
    <xf numFmtId="184" fontId="18" fillId="26" borderId="0" xfId="0" applyNumberFormat="1" applyFont="1" applyFill="1" applyBorder="1"/>
    <xf numFmtId="184" fontId="18" fillId="0" borderId="0" xfId="0" applyNumberFormat="1" applyFont="1" applyBorder="1"/>
    <xf numFmtId="184" fontId="18" fillId="0" borderId="0" xfId="28" applyNumberFormat="1" applyFont="1" applyBorder="1"/>
    <xf numFmtId="184" fontId="18" fillId="0" borderId="0" xfId="28" applyNumberFormat="1" applyFont="1" applyBorder="1" applyAlignment="1">
      <alignment horizontal="right"/>
    </xf>
    <xf numFmtId="184" fontId="18" fillId="0" borderId="0" xfId="0" applyNumberFormat="1" applyFont="1" applyFill="1" applyBorder="1"/>
    <xf numFmtId="184" fontId="18" fillId="0" borderId="0" xfId="0" applyNumberFormat="1" applyFont="1"/>
    <xf numFmtId="184" fontId="18" fillId="0" borderId="44" xfId="28" applyNumberFormat="1" applyFont="1" applyBorder="1"/>
    <xf numFmtId="165" fontId="18" fillId="0" borderId="0" xfId="28" applyNumberFormat="1" applyFont="1"/>
    <xf numFmtId="165" fontId="18" fillId="26" borderId="0" xfId="0" applyNumberFormat="1" applyFont="1" applyFill="1" applyBorder="1"/>
    <xf numFmtId="165" fontId="18" fillId="0" borderId="0" xfId="28" applyNumberFormat="1" applyFont="1" applyBorder="1"/>
    <xf numFmtId="165" fontId="18" fillId="0" borderId="30" xfId="59" applyNumberFormat="1" applyFont="1" applyBorder="1" applyAlignment="1">
      <alignment horizontal="right"/>
    </xf>
    <xf numFmtId="165" fontId="18" fillId="0" borderId="0" xfId="0" applyNumberFormat="1" applyFont="1" applyFill="1" applyBorder="1"/>
    <xf numFmtId="165" fontId="18" fillId="0" borderId="44" xfId="28" applyNumberFormat="1" applyFont="1" applyBorder="1"/>
    <xf numFmtId="3" fontId="53" fillId="0" borderId="0" xfId="0" applyNumberFormat="1" applyFont="1" applyBorder="1"/>
    <xf numFmtId="42" fontId="18" fillId="0" borderId="0" xfId="28" applyNumberFormat="1" applyFont="1" applyBorder="1"/>
    <xf numFmtId="42" fontId="18" fillId="0" borderId="0" xfId="0" applyNumberFormat="1" applyFont="1" applyFill="1" applyBorder="1"/>
    <xf numFmtId="42" fontId="18" fillId="0" borderId="0" xfId="28" applyNumberFormat="1" applyFont="1" applyFill="1" applyBorder="1"/>
    <xf numFmtId="42" fontId="18" fillId="0" borderId="44" xfId="28" applyNumberFormat="1" applyFont="1" applyFill="1" applyBorder="1"/>
    <xf numFmtId="42" fontId="53" fillId="0" borderId="0" xfId="0" applyNumberFormat="1" applyFont="1" applyBorder="1"/>
    <xf numFmtId="42" fontId="32" fillId="0" borderId="0" xfId="28" applyNumberFormat="1" applyFont="1" applyBorder="1"/>
    <xf numFmtId="170" fontId="18" fillId="0" borderId="0" xfId="28" applyNumberFormat="1" applyFont="1" applyBorder="1"/>
    <xf numFmtId="170" fontId="18" fillId="26" borderId="0" xfId="0" applyNumberFormat="1" applyFont="1" applyFill="1" applyBorder="1"/>
    <xf numFmtId="170" fontId="18" fillId="0" borderId="0" xfId="0" applyNumberFormat="1" applyFont="1" applyBorder="1"/>
    <xf numFmtId="170" fontId="18" fillId="0" borderId="30" xfId="31" applyNumberFormat="1" applyFont="1" applyBorder="1" applyAlignment="1">
      <alignment horizontal="right"/>
    </xf>
    <xf numFmtId="170" fontId="18" fillId="0" borderId="0" xfId="0" applyNumberFormat="1" applyFont="1" applyFill="1" applyBorder="1"/>
    <xf numFmtId="170" fontId="18" fillId="0" borderId="44" xfId="28" applyNumberFormat="1" applyFont="1" applyBorder="1"/>
    <xf numFmtId="3" fontId="18" fillId="0" borderId="30" xfId="28" applyNumberFormat="1" applyFont="1" applyBorder="1" applyAlignment="1">
      <alignment horizontal="right"/>
    </xf>
    <xf numFmtId="170" fontId="18" fillId="0" borderId="0" xfId="31" applyNumberFormat="1" applyFont="1" applyBorder="1" applyAlignment="1">
      <alignment horizontal="right"/>
    </xf>
    <xf numFmtId="41" fontId="18" fillId="28" borderId="30" xfId="0" applyNumberFormat="1" applyFont="1" applyFill="1" applyBorder="1"/>
    <xf numFmtId="0" fontId="18" fillId="0" borderId="0" xfId="0" applyNumberFormat="1" applyFont="1" applyAlignment="1">
      <alignment horizontal="center"/>
    </xf>
    <xf numFmtId="0" fontId="18" fillId="0" borderId="30" xfId="0" applyNumberFormat="1" applyFont="1" applyBorder="1" applyAlignment="1">
      <alignment horizontal="center"/>
    </xf>
    <xf numFmtId="0" fontId="18" fillId="0" borderId="0" xfId="0" applyNumberFormat="1" applyFont="1" applyFill="1"/>
    <xf numFmtId="0" fontId="18" fillId="0" borderId="30" xfId="0" applyNumberFormat="1" applyFont="1" applyBorder="1" applyAlignment="1">
      <alignment horizontal="right"/>
    </xf>
    <xf numFmtId="0" fontId="18" fillId="0" borderId="39" xfId="0" applyNumberFormat="1" applyFont="1" applyBorder="1"/>
    <xf numFmtId="0" fontId="18" fillId="0" borderId="50" xfId="0" applyFont="1" applyFill="1" applyBorder="1" applyAlignment="1" applyProtection="1"/>
    <xf numFmtId="0" fontId="18" fillId="0" borderId="33" xfId="0" applyFont="1" applyFill="1" applyBorder="1" applyAlignment="1" applyProtection="1"/>
    <xf numFmtId="0" fontId="18" fillId="0" borderId="34" xfId="0" applyFont="1" applyFill="1" applyBorder="1" applyAlignment="1" applyProtection="1"/>
    <xf numFmtId="0" fontId="39" fillId="26" borderId="61" xfId="0" applyFont="1" applyFill="1" applyBorder="1" applyAlignment="1" applyProtection="1"/>
    <xf numFmtId="0" fontId="18" fillId="0" borderId="50" xfId="0" applyFont="1" applyBorder="1"/>
    <xf numFmtId="0" fontId="18" fillId="0" borderId="40" xfId="0" applyFont="1" applyBorder="1" applyAlignment="1" applyProtection="1">
      <alignment horizontal="left"/>
    </xf>
    <xf numFmtId="0" fontId="18" fillId="0" borderId="33" xfId="0" applyFont="1" applyBorder="1"/>
    <xf numFmtId="0" fontId="18" fillId="0" borderId="9" xfId="0" applyFont="1" applyBorder="1" applyAlignment="1">
      <alignment horizontal="left"/>
    </xf>
    <xf numFmtId="0" fontId="18" fillId="0" borderId="34" xfId="0" applyFont="1" applyBorder="1"/>
    <xf numFmtId="0" fontId="18" fillId="0" borderId="38" xfId="0" applyFont="1" applyBorder="1" applyAlignment="1">
      <alignment horizontal="left"/>
    </xf>
    <xf numFmtId="0" fontId="39" fillId="26" borderId="40" xfId="0" applyFont="1" applyFill="1" applyBorder="1" applyAlignment="1" applyProtection="1">
      <protection locked="0"/>
    </xf>
    <xf numFmtId="0" fontId="39" fillId="26" borderId="9" xfId="0" applyFont="1" applyFill="1" applyBorder="1" applyAlignment="1" applyProtection="1">
      <protection locked="0"/>
    </xf>
    <xf numFmtId="0" fontId="39" fillId="26" borderId="38" xfId="0" applyFont="1" applyFill="1" applyBorder="1" applyAlignment="1" applyProtection="1">
      <protection locked="0"/>
    </xf>
    <xf numFmtId="0" fontId="18" fillId="0" borderId="30" xfId="0" quotePrefix="1" applyFont="1" applyBorder="1" applyAlignment="1">
      <alignment horizontal="centerContinuous"/>
    </xf>
    <xf numFmtId="0" fontId="18" fillId="0" borderId="55" xfId="0" quotePrefix="1" applyFont="1" applyBorder="1" applyAlignment="1">
      <alignment horizontal="centerContinuous"/>
    </xf>
    <xf numFmtId="3" fontId="18" fillId="0" borderId="127" xfId="0" quotePrefix="1" applyNumberFormat="1" applyFont="1" applyBorder="1" applyAlignment="1">
      <alignment horizontal="right"/>
    </xf>
    <xf numFmtId="0" fontId="18" fillId="0" borderId="33" xfId="0" applyFont="1" applyBorder="1" applyAlignment="1" applyProtection="1"/>
    <xf numFmtId="0" fontId="18" fillId="0" borderId="9" xfId="0" applyFont="1" applyBorder="1" applyAlignment="1" applyProtection="1"/>
    <xf numFmtId="0" fontId="18" fillId="0" borderId="34" xfId="0" applyFont="1" applyBorder="1" applyAlignment="1" applyProtection="1"/>
    <xf numFmtId="0" fontId="18" fillId="0" borderId="38" xfId="0" applyFont="1" applyBorder="1" applyAlignment="1" applyProtection="1"/>
    <xf numFmtId="0" fontId="18" fillId="0" borderId="0" xfId="0" applyFont="1" applyBorder="1" applyAlignment="1" applyProtection="1">
      <alignment horizontal="left"/>
    </xf>
    <xf numFmtId="0" fontId="18" fillId="0" borderId="30" xfId="0" applyFont="1" applyBorder="1" applyAlignment="1" applyProtection="1">
      <alignment horizontal="left"/>
    </xf>
    <xf numFmtId="0" fontId="3" fillId="24" borderId="7" xfId="0" applyFont="1" applyFill="1" applyBorder="1" applyAlignment="1" applyProtection="1">
      <protection locked="0"/>
    </xf>
    <xf numFmtId="182" fontId="1" fillId="0" borderId="7" xfId="28" applyNumberFormat="1" applyFont="1" applyFill="1" applyBorder="1" applyAlignment="1" applyProtection="1">
      <protection locked="0"/>
    </xf>
    <xf numFmtId="0" fontId="30" fillId="24" borderId="7" xfId="0" applyFont="1" applyFill="1" applyBorder="1" applyAlignment="1" applyProtection="1">
      <protection locked="0"/>
    </xf>
    <xf numFmtId="0" fontId="8" fillId="26" borderId="7" xfId="0" applyFont="1" applyFill="1" applyBorder="1" applyAlignment="1" applyProtection="1">
      <protection locked="0"/>
    </xf>
    <xf numFmtId="0" fontId="8" fillId="26" borderId="57" xfId="0" applyFont="1" applyFill="1" applyBorder="1" applyAlignment="1" applyProtection="1">
      <protection locked="0"/>
    </xf>
    <xf numFmtId="182" fontId="1" fillId="0" borderId="57" xfId="28" applyNumberFormat="1" applyFont="1" applyFill="1" applyBorder="1" applyAlignment="1" applyProtection="1">
      <protection locked="0"/>
    </xf>
    <xf numFmtId="42" fontId="30" fillId="0" borderId="132" xfId="28" applyNumberFormat="1" applyFont="1" applyBorder="1" applyAlignment="1" applyProtection="1"/>
    <xf numFmtId="42" fontId="30" fillId="0" borderId="7" xfId="28" applyNumberFormat="1" applyFont="1" applyBorder="1" applyAlignment="1" applyProtection="1"/>
    <xf numFmtId="41" fontId="30" fillId="0" borderId="132" xfId="28" applyNumberFormat="1" applyFont="1" applyBorder="1" applyAlignment="1" applyProtection="1"/>
    <xf numFmtId="41" fontId="30" fillId="0" borderId="7" xfId="28" applyNumberFormat="1" applyFont="1" applyBorder="1" applyAlignment="1" applyProtection="1"/>
    <xf numFmtId="41" fontId="30" fillId="0" borderId="133" xfId="28" applyNumberFormat="1" applyFont="1" applyBorder="1" applyAlignment="1" applyProtection="1"/>
    <xf numFmtId="41" fontId="30" fillId="0" borderId="57" xfId="28" applyNumberFormat="1" applyFont="1" applyBorder="1" applyAlignment="1" applyProtection="1"/>
    <xf numFmtId="0" fontId="30" fillId="0" borderId="134" xfId="0" applyFont="1" applyBorder="1" applyAlignment="1" applyProtection="1"/>
    <xf numFmtId="0" fontId="30" fillId="0" borderId="135" xfId="0" applyFont="1" applyBorder="1" applyAlignment="1" applyProtection="1"/>
    <xf numFmtId="182" fontId="1" fillId="0" borderId="132" xfId="28" applyNumberFormat="1" applyFont="1" applyFill="1" applyBorder="1" applyAlignment="1" applyProtection="1">
      <protection locked="0"/>
    </xf>
    <xf numFmtId="0" fontId="3" fillId="0" borderId="31" xfId="0" applyFont="1" applyBorder="1" applyAlignment="1" applyProtection="1">
      <alignment horizontal="center"/>
    </xf>
    <xf numFmtId="0" fontId="3" fillId="0" borderId="32" xfId="0" applyFont="1" applyBorder="1" applyAlignment="1" applyProtection="1">
      <alignment horizontal="center"/>
    </xf>
    <xf numFmtId="0" fontId="3" fillId="0" borderId="11" xfId="0" applyFont="1" applyBorder="1" applyAlignment="1" applyProtection="1">
      <alignment horizontal="center"/>
    </xf>
    <xf numFmtId="0" fontId="8" fillId="24" borderId="7" xfId="0" applyFont="1" applyFill="1" applyBorder="1" applyAlignment="1" applyProtection="1">
      <protection locked="0"/>
    </xf>
    <xf numFmtId="0" fontId="8" fillId="0" borderId="7" xfId="0" applyFont="1" applyFill="1" applyBorder="1" applyAlignment="1" applyProtection="1">
      <protection locked="0"/>
    </xf>
    <xf numFmtId="0" fontId="8" fillId="0" borderId="57" xfId="0" applyFont="1" applyFill="1" applyBorder="1" applyAlignment="1" applyProtection="1">
      <protection locked="0"/>
    </xf>
    <xf numFmtId="0" fontId="1" fillId="0" borderId="7" xfId="0" applyFont="1" applyFill="1" applyBorder="1" applyAlignment="1" applyProtection="1">
      <protection locked="0"/>
    </xf>
    <xf numFmtId="0" fontId="1" fillId="0" borderId="88" xfId="0" applyFont="1" applyFill="1" applyBorder="1" applyAlignment="1" applyProtection="1">
      <protection locked="0"/>
    </xf>
    <xf numFmtId="182" fontId="1" fillId="0" borderId="88" xfId="28" applyNumberFormat="1" applyFont="1" applyFill="1" applyBorder="1" applyAlignment="1" applyProtection="1">
      <protection locked="0"/>
    </xf>
    <xf numFmtId="41" fontId="30" fillId="0" borderId="88" xfId="28" applyNumberFormat="1" applyFont="1" applyBorder="1" applyAlignment="1" applyProtection="1"/>
    <xf numFmtId="42" fontId="1" fillId="0" borderId="134" xfId="28" applyNumberFormat="1" applyFont="1" applyFill="1" applyBorder="1" applyAlignment="1" applyProtection="1">
      <protection locked="0"/>
    </xf>
    <xf numFmtId="41" fontId="1" fillId="0" borderId="134" xfId="28" applyNumberFormat="1" applyFont="1" applyFill="1" applyBorder="1" applyAlignment="1" applyProtection="1">
      <protection locked="0"/>
    </xf>
    <xf numFmtId="41" fontId="1" fillId="0" borderId="110" xfId="28" applyNumberFormat="1" applyFont="1" applyFill="1" applyBorder="1" applyAlignment="1" applyProtection="1">
      <protection locked="0"/>
    </xf>
    <xf numFmtId="182" fontId="1" fillId="0" borderId="109" xfId="28" applyNumberFormat="1" applyFont="1" applyFill="1" applyBorder="1" applyAlignment="1" applyProtection="1">
      <protection locked="0"/>
    </xf>
    <xf numFmtId="182" fontId="1" fillId="0" borderId="66" xfId="28" applyNumberFormat="1" applyFont="1" applyFill="1" applyBorder="1" applyAlignment="1" applyProtection="1">
      <protection locked="0"/>
    </xf>
    <xf numFmtId="182" fontId="1" fillId="0" borderId="90" xfId="28" applyNumberFormat="1" applyFont="1" applyFill="1" applyBorder="1" applyAlignment="1" applyProtection="1">
      <protection locked="0"/>
    </xf>
    <xf numFmtId="182" fontId="1" fillId="0" borderId="69" xfId="28" applyNumberFormat="1" applyFont="1" applyFill="1" applyBorder="1" applyAlignment="1" applyProtection="1">
      <protection locked="0"/>
    </xf>
    <xf numFmtId="182" fontId="1" fillId="0" borderId="93" xfId="28" applyNumberFormat="1" applyFont="1" applyFill="1" applyBorder="1" applyAlignment="1" applyProtection="1">
      <protection locked="0"/>
    </xf>
    <xf numFmtId="0" fontId="30" fillId="0" borderId="110" xfId="0" applyFont="1" applyBorder="1" applyAlignment="1" applyProtection="1"/>
    <xf numFmtId="0" fontId="0" fillId="0" borderId="0" xfId="0" applyAlignment="1">
      <alignment horizontal="centerContinuous"/>
    </xf>
    <xf numFmtId="0" fontId="16" fillId="0" borderId="0" xfId="0" applyFont="1" applyAlignment="1">
      <alignment horizontal="centerContinuous"/>
    </xf>
    <xf numFmtId="0" fontId="49" fillId="0" borderId="0" xfId="0" quotePrefix="1" applyFont="1" applyAlignment="1">
      <alignment horizontal="right"/>
    </xf>
    <xf numFmtId="0" fontId="49" fillId="0" borderId="56" xfId="0" applyFont="1" applyFill="1" applyBorder="1"/>
    <xf numFmtId="0" fontId="49" fillId="0" borderId="7" xfId="0" applyFont="1" applyFill="1" applyBorder="1"/>
    <xf numFmtId="0" fontId="49" fillId="0" borderId="88" xfId="0" applyFont="1" applyFill="1" applyBorder="1"/>
    <xf numFmtId="0" fontId="49" fillId="0" borderId="30" xfId="0" quotePrefix="1" applyFont="1" applyBorder="1" applyAlignment="1">
      <alignment horizontal="right"/>
    </xf>
    <xf numFmtId="0" fontId="49" fillId="0" borderId="119" xfId="0" applyFont="1" applyFill="1" applyBorder="1"/>
    <xf numFmtId="0" fontId="49" fillId="0" borderId="57" xfId="0" applyFont="1" applyFill="1" applyBorder="1"/>
    <xf numFmtId="9" fontId="18" fillId="0" borderId="0" xfId="0" applyNumberFormat="1" applyFont="1"/>
    <xf numFmtId="0" fontId="30" fillId="0" borderId="110" xfId="0" applyFont="1" applyFill="1" applyBorder="1" applyProtection="1"/>
    <xf numFmtId="0" fontId="30" fillId="0" borderId="72" xfId="0" applyFont="1" applyBorder="1" applyProtection="1"/>
    <xf numFmtId="5" fontId="8" fillId="0" borderId="110" xfId="31" applyNumberFormat="1" applyFont="1" applyFill="1" applyBorder="1" applyAlignment="1" applyProtection="1">
      <alignment horizontal="right"/>
      <protection locked="0"/>
    </xf>
    <xf numFmtId="5" fontId="30" fillId="0" borderId="72" xfId="0" applyNumberFormat="1" applyFont="1" applyBorder="1" applyProtection="1"/>
    <xf numFmtId="5" fontId="30" fillId="0" borderId="109" xfId="0" applyNumberFormat="1" applyFont="1" applyBorder="1" applyProtection="1"/>
    <xf numFmtId="0" fontId="30" fillId="0" borderId="136" xfId="0" applyFont="1" applyFill="1" applyBorder="1" applyProtection="1"/>
    <xf numFmtId="0" fontId="30" fillId="0" borderId="137" xfId="0" applyFont="1" applyBorder="1" applyProtection="1"/>
    <xf numFmtId="0" fontId="30" fillId="0" borderId="136" xfId="0" applyFont="1" applyBorder="1" applyProtection="1"/>
    <xf numFmtId="165" fontId="30" fillId="0" borderId="137" xfId="0" applyNumberFormat="1" applyFont="1" applyBorder="1" applyProtection="1"/>
    <xf numFmtId="165" fontId="30" fillId="0" borderId="47" xfId="0" applyNumberFormat="1" applyFont="1" applyBorder="1" applyProtection="1"/>
    <xf numFmtId="0" fontId="30" fillId="0" borderId="110" xfId="0" applyFont="1" applyBorder="1" applyProtection="1"/>
    <xf numFmtId="0" fontId="30" fillId="0" borderId="72" xfId="0" applyFont="1" applyFill="1" applyBorder="1" applyProtection="1"/>
    <xf numFmtId="0" fontId="30" fillId="0" borderId="109" xfId="0" applyFont="1" applyBorder="1" applyProtection="1"/>
    <xf numFmtId="165" fontId="8" fillId="0" borderId="137" xfId="0" applyNumberFormat="1" applyFont="1" applyFill="1" applyBorder="1" applyProtection="1"/>
    <xf numFmtId="37" fontId="30" fillId="0" borderId="136" xfId="0" applyNumberFormat="1" applyFont="1" applyFill="1" applyBorder="1" applyProtection="1"/>
    <xf numFmtId="37" fontId="30" fillId="0" borderId="137" xfId="0" applyNumberFormat="1" applyFont="1" applyFill="1" applyBorder="1" applyProtection="1"/>
    <xf numFmtId="37" fontId="30" fillId="0" borderId="47" xfId="0" applyNumberFormat="1" applyFont="1" applyFill="1" applyBorder="1" applyProtection="1"/>
    <xf numFmtId="0" fontId="30" fillId="0" borderId="137" xfId="0" applyFont="1" applyFill="1" applyBorder="1" applyProtection="1"/>
    <xf numFmtId="5" fontId="8" fillId="0" borderId="136" xfId="31" applyNumberFormat="1" applyFont="1" applyFill="1" applyBorder="1" applyAlignment="1" applyProtection="1">
      <alignment horizontal="right"/>
    </xf>
    <xf numFmtId="165" fontId="13" fillId="0" borderId="137" xfId="0" applyNumberFormat="1" applyFont="1" applyFill="1" applyBorder="1" applyProtection="1"/>
    <xf numFmtId="165" fontId="30" fillId="0" borderId="137" xfId="0" applyNumberFormat="1" applyFont="1" applyFill="1" applyBorder="1" applyProtection="1"/>
    <xf numFmtId="165" fontId="30" fillId="0" borderId="47" xfId="0" applyNumberFormat="1" applyFont="1" applyFill="1" applyBorder="1" applyProtection="1"/>
    <xf numFmtId="37" fontId="30" fillId="0" borderId="110" xfId="0" applyNumberFormat="1" applyFont="1" applyFill="1" applyBorder="1" applyProtection="1"/>
    <xf numFmtId="37" fontId="30" fillId="0" borderId="72" xfId="0" applyNumberFormat="1" applyFont="1" applyFill="1" applyBorder="1" applyProtection="1"/>
    <xf numFmtId="37" fontId="30" fillId="0" borderId="109" xfId="0" applyNumberFormat="1" applyFont="1" applyFill="1" applyBorder="1" applyProtection="1"/>
    <xf numFmtId="37" fontId="30" fillId="24" borderId="106" xfId="0" applyNumberFormat="1" applyFont="1" applyFill="1" applyBorder="1" applyProtection="1"/>
    <xf numFmtId="0" fontId="41" fillId="0" borderId="0" xfId="28" applyNumberFormat="1" applyFont="1" applyBorder="1"/>
    <xf numFmtId="170" fontId="18" fillId="0" borderId="30" xfId="0" applyNumberFormat="1" applyFont="1" applyBorder="1"/>
    <xf numFmtId="170" fontId="18" fillId="0" borderId="30" xfId="28" applyNumberFormat="1" applyFont="1" applyBorder="1"/>
    <xf numFmtId="170" fontId="18" fillId="0" borderId="124" xfId="28" applyNumberFormat="1" applyFont="1" applyBorder="1"/>
    <xf numFmtId="179" fontId="18" fillId="0" borderId="106" xfId="0" applyNumberFormat="1" applyFont="1" applyBorder="1" applyAlignment="1">
      <alignment horizontal="right"/>
    </xf>
    <xf numFmtId="0" fontId="18" fillId="0" borderId="106" xfId="0" applyNumberFormat="1" applyFont="1" applyBorder="1"/>
    <xf numFmtId="3" fontId="18" fillId="0" borderId="106" xfId="28" applyNumberFormat="1" applyFont="1" applyBorder="1" applyAlignment="1">
      <alignment horizontal="right"/>
    </xf>
    <xf numFmtId="184" fontId="18" fillId="0" borderId="106" xfId="0" applyNumberFormat="1" applyFont="1" applyBorder="1"/>
    <xf numFmtId="165" fontId="18" fillId="0" borderId="106" xfId="0" applyNumberFormat="1" applyFont="1" applyBorder="1"/>
    <xf numFmtId="3" fontId="18" fillId="0" borderId="106" xfId="0" applyNumberFormat="1" applyFont="1" applyBorder="1"/>
    <xf numFmtId="170" fontId="18" fillId="0" borderId="131" xfId="0" applyNumberFormat="1" applyFont="1" applyBorder="1"/>
    <xf numFmtId="42" fontId="18" fillId="0" borderId="106" xfId="28" applyNumberFormat="1" applyFont="1" applyBorder="1"/>
    <xf numFmtId="42" fontId="18" fillId="0" borderId="106" xfId="0" applyNumberFormat="1" applyFont="1" applyBorder="1"/>
    <xf numFmtId="41" fontId="18" fillId="0" borderId="106" xfId="28" applyNumberFormat="1" applyFont="1" applyBorder="1"/>
    <xf numFmtId="170" fontId="18" fillId="0" borderId="106" xfId="0" applyNumberFormat="1" applyFont="1" applyBorder="1"/>
    <xf numFmtId="41" fontId="18" fillId="0" borderId="106" xfId="0" applyNumberFormat="1" applyFont="1" applyBorder="1"/>
    <xf numFmtId="41" fontId="18" fillId="0" borderId="131" xfId="0" applyNumberFormat="1" applyFont="1" applyBorder="1"/>
    <xf numFmtId="42" fontId="18" fillId="0" borderId="138" xfId="0" applyNumberFormat="1" applyFont="1" applyBorder="1"/>
    <xf numFmtId="41" fontId="53" fillId="0" borderId="106" xfId="0" applyNumberFormat="1" applyFont="1" applyBorder="1"/>
    <xf numFmtId="0" fontId="2" fillId="0" borderId="0" xfId="0" applyNumberFormat="1" applyFont="1" applyFill="1" applyAlignment="1" applyProtection="1">
      <alignment horizontal="centerContinuous"/>
    </xf>
    <xf numFmtId="37" fontId="48" fillId="0" borderId="0" xfId="0" applyNumberFormat="1" applyFont="1" applyFill="1" applyAlignment="1" applyProtection="1">
      <alignment horizontal="centerContinuous"/>
    </xf>
    <xf numFmtId="37" fontId="2" fillId="0" borderId="0" xfId="0" applyNumberFormat="1" applyFont="1" applyFill="1" applyAlignment="1" applyProtection="1">
      <alignment horizontal="centerContinuous"/>
    </xf>
    <xf numFmtId="37" fontId="3" fillId="0" borderId="0" xfId="0" applyNumberFormat="1" applyFont="1" applyFill="1" applyAlignment="1" applyProtection="1">
      <alignment horizontal="centerContinuous"/>
    </xf>
    <xf numFmtId="0" fontId="3" fillId="0" borderId="0" xfId="0" applyNumberFormat="1" applyFont="1" applyFill="1" applyAlignment="1" applyProtection="1">
      <alignment horizontal="centerContinuous"/>
    </xf>
    <xf numFmtId="0" fontId="1" fillId="0" borderId="0" xfId="0" applyNumberFormat="1" applyFont="1" applyFill="1" applyAlignment="1" applyProtection="1">
      <alignment horizontal="centerContinuous"/>
    </xf>
    <xf numFmtId="165" fontId="18" fillId="30" borderId="0" xfId="0" applyNumberFormat="1" applyFont="1" applyFill="1"/>
    <xf numFmtId="165" fontId="18" fillId="0" borderId="0" xfId="59" applyNumberFormat="1" applyFont="1" applyFill="1" applyBorder="1" applyAlignment="1" applyProtection="1">
      <alignment horizontal="center"/>
    </xf>
    <xf numFmtId="165" fontId="18" fillId="0" borderId="0" xfId="59" applyNumberFormat="1" applyFont="1" applyBorder="1" applyAlignment="1" applyProtection="1">
      <alignment horizontal="center"/>
    </xf>
    <xf numFmtId="0" fontId="18" fillId="0" borderId="34" xfId="48" applyNumberFormat="1" applyFont="1" applyFill="1" applyBorder="1" applyAlignment="1">
      <alignment vertical="center"/>
    </xf>
    <xf numFmtId="0" fontId="18" fillId="0" borderId="30" xfId="48" applyNumberFormat="1" applyFont="1" applyFill="1" applyBorder="1" applyAlignment="1">
      <alignment vertical="center"/>
    </xf>
    <xf numFmtId="0" fontId="41" fillId="0" borderId="0" xfId="48" applyNumberFormat="1" applyFont="1" applyFill="1" applyBorder="1" applyAlignment="1">
      <alignment vertical="center"/>
    </xf>
    <xf numFmtId="0" fontId="18" fillId="0" borderId="0" xfId="48" quotePrefix="1" applyNumberFormat="1" applyFont="1" applyAlignment="1"/>
    <xf numFmtId="5" fontId="20" fillId="0" borderId="0" xfId="48" quotePrefix="1" applyNumberFormat="1" applyFont="1" applyFill="1" applyAlignment="1"/>
    <xf numFmtId="5" fontId="32" fillId="0" borderId="0" xfId="48" applyNumberFormat="1" applyFont="1" applyAlignment="1"/>
    <xf numFmtId="165" fontId="39" fillId="29" borderId="0" xfId="59" applyNumberFormat="1" applyFont="1" applyFill="1" applyBorder="1" applyAlignment="1" applyProtection="1">
      <alignment horizontal="center"/>
    </xf>
    <xf numFmtId="0" fontId="36" fillId="0" borderId="0" xfId="46" applyFont="1"/>
    <xf numFmtId="37" fontId="36" fillId="0" borderId="0" xfId="46" applyNumberFormat="1" applyFont="1" applyAlignment="1">
      <alignment horizontal="right"/>
    </xf>
    <xf numFmtId="0" fontId="36" fillId="0" borderId="0" xfId="46" applyNumberFormat="1" applyFont="1"/>
    <xf numFmtId="0" fontId="18" fillId="0" borderId="0" xfId="46" applyNumberFormat="1" applyFont="1" applyFill="1" applyBorder="1"/>
    <xf numFmtId="0" fontId="18" fillId="0" borderId="0" xfId="46" applyNumberFormat="1" applyFont="1" applyFill="1" applyBorder="1" applyAlignment="1">
      <alignment horizontal="right"/>
    </xf>
    <xf numFmtId="0" fontId="18" fillId="0" borderId="0" xfId="46" applyFont="1" applyFill="1" applyBorder="1"/>
    <xf numFmtId="37" fontId="18" fillId="0" borderId="0" xfId="46" applyNumberFormat="1" applyFont="1" applyFill="1" applyBorder="1" applyAlignment="1">
      <alignment horizontal="right"/>
    </xf>
    <xf numFmtId="0" fontId="18" fillId="0" borderId="0" xfId="46" quotePrefix="1" applyNumberFormat="1" applyFont="1" applyFill="1" applyBorder="1"/>
    <xf numFmtId="0" fontId="18" fillId="0" borderId="0" xfId="46" quotePrefix="1" applyNumberFormat="1" applyFont="1" applyFill="1" applyBorder="1" applyAlignment="1">
      <alignment horizontal="right"/>
    </xf>
    <xf numFmtId="0" fontId="18" fillId="0" borderId="0" xfId="46" quotePrefix="1" applyFont="1" applyFill="1" applyBorder="1"/>
    <xf numFmtId="37" fontId="18" fillId="0" borderId="0" xfId="46" quotePrefix="1" applyNumberFormat="1" applyFont="1" applyFill="1" applyBorder="1" applyAlignment="1">
      <alignment horizontal="right"/>
    </xf>
    <xf numFmtId="0" fontId="53" fillId="0" borderId="0" xfId="0" applyNumberFormat="1" applyFont="1"/>
    <xf numFmtId="0" fontId="53" fillId="26" borderId="0" xfId="0" applyNumberFormat="1" applyFont="1" applyFill="1"/>
    <xf numFmtId="0" fontId="41" fillId="0" borderId="0" xfId="46" applyFont="1"/>
    <xf numFmtId="0" fontId="30" fillId="0" borderId="47" xfId="0" applyFont="1" applyFill="1" applyBorder="1" applyProtection="1"/>
    <xf numFmtId="165" fontId="18" fillId="0" borderId="0" xfId="59" applyNumberFormat="1" applyFont="1" applyBorder="1" applyAlignment="1">
      <alignment horizontal="right"/>
    </xf>
    <xf numFmtId="0" fontId="1" fillId="0" borderId="106" xfId="0" applyFont="1" applyFill="1" applyBorder="1" applyAlignment="1" applyProtection="1"/>
    <xf numFmtId="0" fontId="30" fillId="0" borderId="110" xfId="0" applyFont="1" applyBorder="1" applyAlignment="1" applyProtection="1">
      <alignment horizontal="centerContinuous"/>
    </xf>
    <xf numFmtId="0" fontId="30" fillId="0" borderId="72" xfId="0" applyFont="1" applyBorder="1" applyAlignment="1" applyProtection="1">
      <alignment horizontal="centerContinuous"/>
    </xf>
    <xf numFmtId="0" fontId="30" fillId="0" borderId="109" xfId="0" applyFont="1" applyBorder="1" applyAlignment="1" applyProtection="1">
      <alignment horizontal="centerContinuous"/>
    </xf>
    <xf numFmtId="165" fontId="1" fillId="0" borderId="0" xfId="0" applyNumberFormat="1" applyFont="1" applyBorder="1" applyProtection="1"/>
    <xf numFmtId="5" fontId="30" fillId="0" borderId="132" xfId="28" applyNumberFormat="1" applyFont="1" applyBorder="1" applyAlignment="1" applyProtection="1"/>
    <xf numFmtId="42" fontId="18" fillId="0" borderId="41" xfId="0" applyNumberFormat="1" applyFont="1" applyFill="1" applyBorder="1"/>
    <xf numFmtId="181" fontId="3" fillId="0" borderId="0" xfId="0" applyNumberFormat="1" applyFont="1" applyBorder="1" applyAlignment="1" applyProtection="1">
      <alignment horizontal="centerContinuous"/>
    </xf>
    <xf numFmtId="181" fontId="35" fillId="0" borderId="31" xfId="49" applyNumberFormat="1" applyFont="1" applyBorder="1" applyAlignment="1">
      <alignment horizontal="center"/>
    </xf>
    <xf numFmtId="181" fontId="35" fillId="0" borderId="32" xfId="49" applyNumberFormat="1" applyFont="1" applyBorder="1" applyAlignment="1">
      <alignment horizontal="center"/>
    </xf>
    <xf numFmtId="181" fontId="35" fillId="0" borderId="11" xfId="49" applyNumberFormat="1" applyFont="1" applyBorder="1" applyAlignment="1">
      <alignment horizontal="center"/>
    </xf>
    <xf numFmtId="5" fontId="30" fillId="0" borderId="66" xfId="28" applyNumberFormat="1" applyFont="1" applyBorder="1" applyAlignment="1" applyProtection="1"/>
    <xf numFmtId="5" fontId="30" fillId="0" borderId="139" xfId="28" applyNumberFormat="1" applyFont="1" applyBorder="1" applyAlignment="1" applyProtection="1"/>
    <xf numFmtId="41" fontId="30" fillId="0" borderId="66" xfId="28" applyNumberFormat="1" applyFont="1" applyBorder="1" applyAlignment="1" applyProtection="1"/>
    <xf numFmtId="41" fontId="30" fillId="0" borderId="139" xfId="28" applyNumberFormat="1" applyFont="1" applyBorder="1" applyAlignment="1" applyProtection="1"/>
    <xf numFmtId="41" fontId="30" fillId="0" borderId="69" xfId="28" applyNumberFormat="1" applyFont="1" applyBorder="1" applyAlignment="1" applyProtection="1"/>
    <xf numFmtId="41" fontId="30" fillId="0" borderId="140" xfId="28" applyNumberFormat="1" applyFont="1" applyBorder="1" applyAlignment="1" applyProtection="1"/>
    <xf numFmtId="165" fontId="30" fillId="0" borderId="137" xfId="0" applyNumberFormat="1" applyFont="1" applyFill="1" applyBorder="1" applyAlignment="1" applyProtection="1">
      <alignment horizontal="right"/>
    </xf>
    <xf numFmtId="7" fontId="8" fillId="0" borderId="0" xfId="59" applyNumberFormat="1" applyFont="1" applyFill="1" applyBorder="1" applyAlignment="1" applyProtection="1">
      <alignment horizontal="right"/>
      <protection locked="0"/>
    </xf>
    <xf numFmtId="7" fontId="30" fillId="0" borderId="0" xfId="0" applyNumberFormat="1" applyFont="1" applyFill="1" applyBorder="1" applyAlignment="1" applyProtection="1">
      <alignment horizontal="right"/>
      <protection locked="0"/>
    </xf>
    <xf numFmtId="0" fontId="30" fillId="0" borderId="0" xfId="0" applyFont="1" applyBorder="1" applyProtection="1">
      <protection locked="0"/>
    </xf>
    <xf numFmtId="5" fontId="30" fillId="0" borderId="0" xfId="0" applyNumberFormat="1" applyFont="1" applyBorder="1" applyProtection="1">
      <protection locked="0"/>
    </xf>
    <xf numFmtId="5" fontId="8" fillId="26" borderId="0" xfId="31" applyNumberFormat="1" applyFont="1" applyFill="1" applyBorder="1" applyAlignment="1" applyProtection="1">
      <alignment horizontal="right"/>
      <protection locked="0"/>
    </xf>
    <xf numFmtId="5" fontId="8" fillId="0" borderId="137" xfId="31" applyNumberFormat="1" applyFont="1" applyFill="1" applyBorder="1" applyAlignment="1" applyProtection="1">
      <alignment horizontal="right"/>
      <protection locked="0"/>
    </xf>
    <xf numFmtId="5" fontId="30" fillId="0" borderId="0" xfId="31" applyNumberFormat="1" applyFont="1" applyFill="1" applyBorder="1" applyAlignment="1" applyProtection="1">
      <alignment horizontal="right"/>
    </xf>
    <xf numFmtId="5" fontId="8" fillId="0" borderId="0" xfId="31" applyNumberFormat="1" applyFont="1" applyFill="1" applyBorder="1" applyAlignment="1" applyProtection="1">
      <alignment horizontal="right"/>
    </xf>
    <xf numFmtId="0" fontId="8" fillId="0" borderId="0" xfId="0" applyFont="1" applyBorder="1" applyAlignment="1" applyProtection="1">
      <alignment horizontal="left"/>
      <protection locked="0"/>
    </xf>
    <xf numFmtId="5" fontId="8" fillId="0" borderId="137" xfId="31" applyNumberFormat="1" applyFont="1" applyFill="1" applyBorder="1" applyAlignment="1" applyProtection="1">
      <alignment horizontal="right"/>
    </xf>
    <xf numFmtId="5" fontId="30" fillId="0" borderId="0" xfId="31" applyNumberFormat="1" applyFont="1" applyFill="1" applyBorder="1" applyAlignment="1" applyProtection="1">
      <alignment horizontal="right"/>
      <protection locked="0"/>
    </xf>
    <xf numFmtId="5" fontId="8" fillId="26" borderId="0" xfId="31" applyNumberFormat="1" applyFont="1" applyFill="1" applyBorder="1" applyAlignment="1" applyProtection="1">
      <alignment horizontal="center"/>
      <protection locked="0"/>
    </xf>
    <xf numFmtId="37" fontId="1" fillId="0" borderId="0" xfId="59" applyNumberFormat="1" applyFont="1" applyFill="1" applyBorder="1" applyAlignment="1" applyProtection="1">
      <alignment horizontal="right"/>
      <protection locked="0"/>
    </xf>
    <xf numFmtId="37" fontId="1" fillId="0" borderId="0" xfId="59" applyNumberFormat="1" applyFont="1" applyFill="1" applyBorder="1" applyAlignment="1" applyProtection="1">
      <protection locked="0"/>
    </xf>
    <xf numFmtId="0" fontId="1" fillId="0" borderId="0" xfId="0" applyFont="1" applyFill="1" applyBorder="1" applyProtection="1">
      <protection locked="0"/>
    </xf>
    <xf numFmtId="0" fontId="1" fillId="0" borderId="0" xfId="0" applyFont="1" applyFill="1" applyBorder="1" applyProtection="1"/>
    <xf numFmtId="0" fontId="1" fillId="0" borderId="44" xfId="0" applyFont="1" applyFill="1" applyBorder="1" applyProtection="1"/>
    <xf numFmtId="5" fontId="1" fillId="0" borderId="0" xfId="31" applyNumberFormat="1" applyFont="1" applyFill="1" applyBorder="1" applyAlignment="1" applyProtection="1">
      <alignment horizontal="right"/>
    </xf>
    <xf numFmtId="42" fontId="30" fillId="0" borderId="66" xfId="28" applyNumberFormat="1" applyFont="1" applyBorder="1" applyAlignment="1" applyProtection="1"/>
    <xf numFmtId="42" fontId="30" fillId="0" borderId="139" xfId="28" applyNumberFormat="1" applyFont="1" applyBorder="1" applyAlignment="1" applyProtection="1"/>
    <xf numFmtId="181" fontId="18" fillId="0" borderId="0" xfId="0" applyNumberFormat="1" applyFont="1" applyBorder="1"/>
    <xf numFmtId="181" fontId="18" fillId="0" borderId="30" xfId="0" applyNumberFormat="1" applyFont="1" applyBorder="1"/>
    <xf numFmtId="37" fontId="39" fillId="29" borderId="0" xfId="0" applyNumberFormat="1" applyFont="1" applyFill="1" applyBorder="1" applyAlignment="1">
      <alignment horizontal="right" vertical="center"/>
    </xf>
    <xf numFmtId="37" fontId="39" fillId="29" borderId="0" xfId="0" applyNumberFormat="1" applyFont="1" applyFill="1" applyBorder="1" applyAlignment="1">
      <alignment horizontal="right"/>
    </xf>
    <xf numFmtId="0" fontId="18" fillId="0" borderId="0" xfId="0" applyFont="1" applyProtection="1"/>
    <xf numFmtId="0" fontId="18" fillId="27" borderId="0" xfId="0" applyFont="1" applyFill="1" applyProtection="1"/>
    <xf numFmtId="0" fontId="41" fillId="0" borderId="0" xfId="0" applyFont="1" applyProtection="1"/>
    <xf numFmtId="0" fontId="43" fillId="0" borderId="0" xfId="0" applyFont="1" applyAlignment="1" applyProtection="1">
      <alignment horizontal="left"/>
    </xf>
    <xf numFmtId="0" fontId="18" fillId="0" borderId="30" xfId="0" applyFont="1" applyBorder="1" applyAlignment="1" applyProtection="1">
      <alignment horizontal="centerContinuous"/>
    </xf>
    <xf numFmtId="0" fontId="18" fillId="0" borderId="0" xfId="0" applyFont="1" applyAlignment="1" applyProtection="1">
      <alignment horizontal="centerContinuous"/>
    </xf>
    <xf numFmtId="0" fontId="18" fillId="0" borderId="0" xfId="0" applyFont="1" applyAlignment="1" applyProtection="1">
      <alignment horizontal="center"/>
    </xf>
    <xf numFmtId="0" fontId="43" fillId="0" borderId="0" xfId="0" applyFont="1" applyBorder="1" applyAlignment="1" applyProtection="1">
      <alignment horizontal="left"/>
    </xf>
    <xf numFmtId="0" fontId="18" fillId="0" borderId="0" xfId="0" applyFont="1" applyBorder="1" applyProtection="1"/>
    <xf numFmtId="0" fontId="18" fillId="0" borderId="0" xfId="0" applyFont="1" applyFill="1" applyBorder="1" applyAlignment="1" applyProtection="1">
      <alignment horizontal="left"/>
    </xf>
    <xf numFmtId="0" fontId="41" fillId="0" borderId="0" xfId="0" applyFont="1" applyBorder="1" applyAlignment="1" applyProtection="1">
      <alignment horizontal="left"/>
    </xf>
    <xf numFmtId="168" fontId="18" fillId="0" borderId="0" xfId="0" applyNumberFormat="1" applyFont="1" applyProtection="1"/>
    <xf numFmtId="164" fontId="41" fillId="27" borderId="0" xfId="28" applyNumberFormat="1" applyFont="1" applyFill="1" applyBorder="1" applyProtection="1"/>
    <xf numFmtId="164" fontId="41" fillId="0" borderId="0" xfId="28" applyNumberFormat="1" applyFont="1" applyFill="1" applyBorder="1" applyProtection="1"/>
    <xf numFmtId="0" fontId="18" fillId="0" borderId="0" xfId="0" applyFont="1" applyFill="1" applyProtection="1"/>
    <xf numFmtId="169" fontId="8" fillId="26" borderId="0" xfId="31" applyNumberFormat="1" applyFont="1" applyFill="1" applyBorder="1" applyAlignment="1" applyProtection="1">
      <alignment horizontal="right"/>
    </xf>
    <xf numFmtId="7" fontId="8" fillId="26" borderId="0" xfId="31" applyNumberFormat="1" applyFont="1" applyFill="1" applyBorder="1" applyAlignment="1" applyProtection="1">
      <alignment horizontal="right"/>
    </xf>
    <xf numFmtId="169" fontId="30" fillId="26" borderId="0" xfId="31" applyNumberFormat="1" applyFont="1" applyFill="1" applyBorder="1" applyAlignment="1" applyProtection="1">
      <alignment horizontal="right"/>
      <protection locked="0"/>
    </xf>
    <xf numFmtId="165" fontId="8" fillId="26" borderId="29" xfId="59" applyNumberFormat="1" applyFont="1" applyFill="1" applyBorder="1" applyAlignment="1" applyProtection="1">
      <alignment horizontal="right"/>
      <protection locked="0"/>
    </xf>
    <xf numFmtId="5" fontId="41" fillId="0" borderId="0" xfId="0" applyNumberFormat="1" applyFont="1" applyAlignment="1" applyProtection="1">
      <alignment horizontal="centerContinuous"/>
    </xf>
    <xf numFmtId="0" fontId="41" fillId="0" borderId="0" xfId="0" applyFont="1" applyAlignment="1" applyProtection="1">
      <alignment horizontal="centerContinuous"/>
    </xf>
    <xf numFmtId="167" fontId="6" fillId="0" borderId="0" xfId="0" applyNumberFormat="1" applyFont="1" applyAlignment="1" applyProtection="1">
      <alignment horizontal="centerContinuous"/>
    </xf>
    <xf numFmtId="0" fontId="18" fillId="0" borderId="0" xfId="0" applyFont="1" applyFill="1" applyAlignment="1" applyProtection="1">
      <alignment horizontal="centerContinuous"/>
    </xf>
    <xf numFmtId="0" fontId="62" fillId="0" borderId="0" xfId="0" applyFont="1" applyBorder="1" applyProtection="1"/>
    <xf numFmtId="0" fontId="18" fillId="0" borderId="30" xfId="0" applyFont="1" applyBorder="1" applyAlignment="1" applyProtection="1">
      <alignment horizontal="center"/>
    </xf>
    <xf numFmtId="0" fontId="18" fillId="0" borderId="30" xfId="0" applyFont="1" applyFill="1" applyBorder="1" applyAlignment="1" applyProtection="1">
      <alignment horizontal="center"/>
    </xf>
    <xf numFmtId="0" fontId="18" fillId="0" borderId="30" xfId="0" applyFont="1" applyBorder="1" applyAlignment="1" applyProtection="1">
      <alignment horizontal="right"/>
    </xf>
    <xf numFmtId="37" fontId="18" fillId="0" borderId="0" xfId="0" applyNumberFormat="1" applyFont="1" applyAlignment="1" applyProtection="1">
      <alignment horizontal="right"/>
    </xf>
    <xf numFmtId="0" fontId="18" fillId="0" borderId="0" xfId="0" applyFont="1" applyFill="1" applyAlignment="1" applyProtection="1">
      <alignment horizontal="right"/>
    </xf>
    <xf numFmtId="37" fontId="18" fillId="0" borderId="0" xfId="0" applyNumberFormat="1" applyFont="1" applyFill="1" applyAlignment="1" applyProtection="1">
      <alignment horizontal="right"/>
    </xf>
    <xf numFmtId="37" fontId="18" fillId="0" borderId="30" xfId="0" applyNumberFormat="1" applyFont="1" applyBorder="1" applyAlignment="1" applyProtection="1">
      <alignment horizontal="right"/>
    </xf>
    <xf numFmtId="37" fontId="18" fillId="0" borderId="30" xfId="0" applyNumberFormat="1" applyFont="1" applyFill="1" applyBorder="1" applyAlignment="1" applyProtection="1">
      <alignment horizontal="right"/>
    </xf>
    <xf numFmtId="164" fontId="18" fillId="0" borderId="41" xfId="28" applyNumberFormat="1" applyFont="1" applyBorder="1" applyAlignment="1" applyProtection="1">
      <alignment horizontal="right"/>
    </xf>
    <xf numFmtId="164" fontId="62" fillId="0" borderId="0" xfId="28" applyNumberFormat="1" applyFont="1" applyAlignment="1" applyProtection="1">
      <alignment horizontal="right"/>
    </xf>
    <xf numFmtId="0" fontId="62" fillId="0" borderId="0" xfId="0" applyFont="1" applyFill="1" applyAlignment="1" applyProtection="1">
      <alignment horizontal="right"/>
    </xf>
    <xf numFmtId="164" fontId="18" fillId="0" borderId="41" xfId="28" applyNumberFormat="1" applyFont="1" applyFill="1" applyBorder="1" applyAlignment="1" applyProtection="1">
      <alignment horizontal="right"/>
    </xf>
    <xf numFmtId="164" fontId="62" fillId="0" borderId="0" xfId="28" applyNumberFormat="1" applyFont="1" applyFill="1" applyAlignment="1" applyProtection="1">
      <alignment horizontal="right"/>
    </xf>
    <xf numFmtId="0" fontId="62" fillId="0" borderId="0" xfId="0" applyFont="1" applyAlignment="1" applyProtection="1">
      <alignment horizontal="right"/>
    </xf>
    <xf numFmtId="0" fontId="18" fillId="0" borderId="30" xfId="0" applyFont="1" applyFill="1" applyBorder="1" applyAlignment="1" applyProtection="1">
      <alignment horizontal="right"/>
    </xf>
    <xf numFmtId="0" fontId="18" fillId="0" borderId="0" xfId="0" applyFont="1" applyFill="1" applyBorder="1" applyProtection="1"/>
    <xf numFmtId="164" fontId="18" fillId="0" borderId="30" xfId="28" applyNumberFormat="1" applyFont="1" applyFill="1" applyBorder="1" applyProtection="1"/>
    <xf numFmtId="164" fontId="41" fillId="0" borderId="42" xfId="28" applyNumberFormat="1" applyFont="1" applyFill="1" applyBorder="1" applyProtection="1"/>
    <xf numFmtId="164" fontId="18" fillId="0" borderId="0" xfId="28" applyNumberFormat="1" applyFont="1" applyFill="1" applyBorder="1" applyProtection="1"/>
    <xf numFmtId="0" fontId="41" fillId="0" borderId="0" xfId="0" applyFont="1" applyBorder="1" applyProtection="1"/>
    <xf numFmtId="0" fontId="18" fillId="30" borderId="0" xfId="0" applyNumberFormat="1" applyFont="1" applyFill="1"/>
    <xf numFmtId="0" fontId="18" fillId="0" borderId="0" xfId="0" applyNumberFormat="1" applyFont="1" applyBorder="1" applyAlignment="1" applyProtection="1"/>
    <xf numFmtId="0" fontId="18" fillId="0" borderId="0" xfId="0" applyNumberFormat="1" applyFont="1" applyFill="1" applyBorder="1" applyAlignment="1" applyProtection="1"/>
    <xf numFmtId="0" fontId="39" fillId="0" borderId="0" xfId="31" applyNumberFormat="1" applyFont="1" applyFill="1" applyBorder="1" applyAlignment="1" applyProtection="1"/>
    <xf numFmtId="0" fontId="18" fillId="0" borderId="0" xfId="31" applyNumberFormat="1" applyFont="1" applyFill="1" applyBorder="1" applyAlignment="1" applyProtection="1"/>
    <xf numFmtId="0" fontId="18" fillId="0" borderId="0" xfId="31" applyNumberFormat="1" applyFont="1" applyBorder="1" applyAlignment="1" applyProtection="1"/>
    <xf numFmtId="0" fontId="20" fillId="0" borderId="0" xfId="0" applyNumberFormat="1" applyFont="1" applyBorder="1" applyAlignment="1" applyProtection="1"/>
    <xf numFmtId="0" fontId="40" fillId="0" borderId="0" xfId="43" applyNumberFormat="1" applyFont="1" applyBorder="1" applyAlignment="1" applyProtection="1"/>
    <xf numFmtId="0" fontId="18" fillId="0" borderId="0" xfId="31" applyNumberFormat="1" applyFont="1" applyFill="1" applyBorder="1" applyAlignment="1" applyProtection="1">
      <protection locked="0"/>
    </xf>
    <xf numFmtId="0" fontId="45" fillId="0" borderId="0" xfId="0" applyNumberFormat="1" applyFont="1" applyBorder="1" applyAlignment="1" applyProtection="1"/>
    <xf numFmtId="0" fontId="45" fillId="0" borderId="0" xfId="31" applyNumberFormat="1" applyFont="1" applyBorder="1" applyAlignment="1" applyProtection="1"/>
    <xf numFmtId="0" fontId="41" fillId="0" borderId="0" xfId="0" applyNumberFormat="1" applyFont="1" applyBorder="1" applyAlignment="1" applyProtection="1"/>
    <xf numFmtId="0" fontId="18" fillId="0" borderId="0" xfId="0" applyNumberFormat="1" applyFont="1" applyBorder="1" applyAlignment="1" applyProtection="1">
      <alignment horizontal="center"/>
    </xf>
    <xf numFmtId="0" fontId="18" fillId="0" borderId="30" xfId="0" applyNumberFormat="1" applyFont="1" applyBorder="1" applyAlignment="1" applyProtection="1">
      <alignment horizontal="center"/>
    </xf>
    <xf numFmtId="165" fontId="39" fillId="0" borderId="0" xfId="59" applyNumberFormat="1" applyFont="1" applyFill="1" applyBorder="1" applyAlignment="1" applyProtection="1">
      <protection locked="0"/>
    </xf>
    <xf numFmtId="42" fontId="39" fillId="0" borderId="0" xfId="31" applyNumberFormat="1" applyFont="1" applyFill="1" applyBorder="1" applyAlignment="1" applyProtection="1">
      <protection locked="0"/>
    </xf>
    <xf numFmtId="41" fontId="39" fillId="0" borderId="0" xfId="31" applyNumberFormat="1" applyFont="1" applyFill="1" applyBorder="1" applyAlignment="1" applyProtection="1">
      <protection locked="0"/>
    </xf>
    <xf numFmtId="165" fontId="39" fillId="0" borderId="0" xfId="28" applyNumberFormat="1" applyFont="1" applyFill="1" applyBorder="1" applyAlignment="1" applyProtection="1">
      <alignment horizontal="right"/>
      <protection locked="0"/>
    </xf>
    <xf numFmtId="165" fontId="39" fillId="0" borderId="0" xfId="28" applyNumberFormat="1" applyFont="1" applyFill="1" applyBorder="1" applyAlignment="1" applyProtection="1">
      <protection locked="0"/>
    </xf>
    <xf numFmtId="42" fontId="18" fillId="0" borderId="0" xfId="31" applyNumberFormat="1" applyFont="1" applyFill="1" applyBorder="1" applyAlignment="1" applyProtection="1"/>
    <xf numFmtId="42" fontId="18" fillId="0" borderId="0" xfId="31" applyNumberFormat="1" applyFont="1" applyBorder="1" applyAlignment="1" applyProtection="1"/>
    <xf numFmtId="165" fontId="39" fillId="0" borderId="0" xfId="59" applyNumberFormat="1" applyFont="1" applyFill="1" applyBorder="1" applyAlignment="1" applyProtection="1"/>
    <xf numFmtId="41" fontId="39" fillId="0" borderId="30" xfId="31" applyNumberFormat="1" applyFont="1" applyFill="1" applyBorder="1" applyAlignment="1" applyProtection="1">
      <protection locked="0"/>
    </xf>
    <xf numFmtId="42" fontId="39" fillId="0" borderId="0" xfId="31" applyNumberFormat="1" applyFont="1" applyFill="1" applyBorder="1" applyAlignment="1" applyProtection="1"/>
    <xf numFmtId="165" fontId="39" fillId="0" borderId="0" xfId="0" applyNumberFormat="1" applyFont="1" applyFill="1" applyBorder="1" applyAlignment="1" applyProtection="1">
      <alignment horizontal="center"/>
      <protection locked="0"/>
    </xf>
    <xf numFmtId="41" fontId="18" fillId="0" borderId="0" xfId="31" applyNumberFormat="1" applyFont="1" applyBorder="1" applyAlignment="1" applyProtection="1"/>
    <xf numFmtId="0" fontId="18" fillId="0" borderId="0" xfId="0" applyNumberFormat="1" applyFont="1" applyFill="1" applyBorder="1" applyAlignment="1" applyProtection="1">
      <alignment horizontal="right"/>
    </xf>
    <xf numFmtId="0" fontId="18" fillId="29" borderId="0" xfId="0" applyNumberFormat="1" applyFont="1" applyFill="1" applyBorder="1" applyAlignment="1" applyProtection="1"/>
    <xf numFmtId="0" fontId="18" fillId="29" borderId="0" xfId="31" applyNumberFormat="1" applyFont="1" applyFill="1" applyBorder="1" applyAlignment="1" applyProtection="1"/>
    <xf numFmtId="0" fontId="18" fillId="0" borderId="30" xfId="31" applyNumberFormat="1" applyFont="1" applyBorder="1" applyAlignment="1" applyProtection="1">
      <alignment horizontal="center"/>
    </xf>
    <xf numFmtId="9" fontId="8" fillId="0" borderId="38" xfId="59" applyFont="1" applyFill="1" applyBorder="1" applyAlignment="1" applyProtection="1">
      <alignment horizontal="center"/>
      <protection locked="0"/>
    </xf>
    <xf numFmtId="0" fontId="8" fillId="0" borderId="29" xfId="0" applyNumberFormat="1" applyFont="1" applyFill="1" applyBorder="1" applyAlignment="1" applyProtection="1">
      <alignment horizontal="center"/>
    </xf>
    <xf numFmtId="9" fontId="8" fillId="0" borderId="36" xfId="59" applyFont="1" applyFill="1" applyBorder="1" applyAlignment="1" applyProtection="1">
      <alignment horizontal="center"/>
      <protection locked="0"/>
    </xf>
    <xf numFmtId="0" fontId="63" fillId="29" borderId="0" xfId="28" applyNumberFormat="1" applyFont="1" applyFill="1" applyBorder="1"/>
    <xf numFmtId="39" fontId="18" fillId="26" borderId="0" xfId="0" applyNumberFormat="1" applyFont="1" applyFill="1" applyAlignment="1" applyProtection="1"/>
    <xf numFmtId="37" fontId="18" fillId="26" borderId="0" xfId="0" applyNumberFormat="1" applyFont="1" applyFill="1" applyAlignment="1" applyProtection="1"/>
    <xf numFmtId="37" fontId="18" fillId="26" borderId="0" xfId="28" applyNumberFormat="1" applyFont="1" applyFill="1" applyBorder="1" applyAlignment="1" applyProtection="1"/>
    <xf numFmtId="37" fontId="18" fillId="27" borderId="0" xfId="0" applyNumberFormat="1" applyFont="1" applyFill="1" applyAlignment="1" applyProtection="1"/>
    <xf numFmtId="9" fontId="18" fillId="27" borderId="0" xfId="59" applyFont="1" applyFill="1" applyAlignment="1" applyProtection="1"/>
    <xf numFmtId="5" fontId="18" fillId="27" borderId="0" xfId="31" applyNumberFormat="1" applyFont="1" applyFill="1" applyBorder="1" applyAlignment="1" applyProtection="1"/>
    <xf numFmtId="37" fontId="18" fillId="27" borderId="0" xfId="31" applyNumberFormat="1" applyFont="1" applyFill="1" applyBorder="1" applyAlignment="1" applyProtection="1"/>
    <xf numFmtId="0" fontId="18" fillId="0" borderId="53" xfId="0" quotePrefix="1" applyFont="1" applyBorder="1" applyAlignment="1">
      <alignment horizontal="centerContinuous"/>
    </xf>
    <xf numFmtId="3" fontId="18" fillId="0" borderId="52" xfId="0" quotePrefix="1" applyNumberFormat="1" applyFont="1" applyFill="1" applyBorder="1" applyAlignment="1">
      <alignment horizontal="right"/>
    </xf>
    <xf numFmtId="41" fontId="30" fillId="24" borderId="89" xfId="31" applyNumberFormat="1" applyFont="1" applyFill="1" applyBorder="1" applyAlignment="1" applyProtection="1">
      <alignment horizontal="right"/>
    </xf>
    <xf numFmtId="41" fontId="30" fillId="24" borderId="7" xfId="31" applyNumberFormat="1" applyFont="1" applyFill="1" applyBorder="1" applyAlignment="1" applyProtection="1">
      <alignment horizontal="right"/>
    </xf>
    <xf numFmtId="41" fontId="30" fillId="24" borderId="88" xfId="31" applyNumberFormat="1" applyFont="1" applyFill="1" applyBorder="1" applyAlignment="1" applyProtection="1">
      <alignment horizontal="right"/>
    </xf>
    <xf numFmtId="41" fontId="30" fillId="24" borderId="56" xfId="31" applyNumberFormat="1" applyFont="1" applyFill="1" applyBorder="1" applyAlignment="1" applyProtection="1">
      <alignment horizontal="right"/>
    </xf>
    <xf numFmtId="41" fontId="30" fillId="24" borderId="57" xfId="31" applyNumberFormat="1" applyFont="1" applyFill="1" applyBorder="1" applyAlignment="1" applyProtection="1">
      <alignment horizontal="right"/>
    </xf>
    <xf numFmtId="165" fontId="18" fillId="0" borderId="0" xfId="0" applyNumberFormat="1" applyFont="1" applyAlignment="1">
      <alignment horizontal="right"/>
    </xf>
    <xf numFmtId="3" fontId="18" fillId="0" borderId="0" xfId="0" quotePrefix="1" applyNumberFormat="1" applyFont="1" applyFill="1" applyAlignment="1">
      <alignment horizontal="right"/>
    </xf>
    <xf numFmtId="3" fontId="18" fillId="0" borderId="54" xfId="0" quotePrefix="1" applyNumberFormat="1" applyFont="1" applyFill="1" applyBorder="1" applyAlignment="1">
      <alignment horizontal="right"/>
    </xf>
    <xf numFmtId="37" fontId="18" fillId="30" borderId="0" xfId="31" applyNumberFormat="1" applyFont="1" applyFill="1" applyBorder="1" applyAlignment="1" applyProtection="1"/>
    <xf numFmtId="0" fontId="18" fillId="30" borderId="0" xfId="0" applyFont="1" applyFill="1" applyBorder="1" applyAlignment="1" applyProtection="1"/>
    <xf numFmtId="0" fontId="18" fillId="30" borderId="0" xfId="0" quotePrefix="1" applyFont="1" applyFill="1" applyBorder="1" applyAlignment="1" applyProtection="1"/>
    <xf numFmtId="0" fontId="18" fillId="30" borderId="0" xfId="0" applyFont="1" applyFill="1" applyAlignment="1"/>
    <xf numFmtId="0" fontId="18" fillId="30" borderId="0" xfId="0" applyFont="1" applyFill="1" applyAlignment="1" applyProtection="1"/>
    <xf numFmtId="0" fontId="41" fillId="30" borderId="0" xfId="0" quotePrefix="1" applyFont="1" applyFill="1" applyBorder="1" applyAlignment="1" applyProtection="1"/>
    <xf numFmtId="5" fontId="18" fillId="30" borderId="0" xfId="31" applyNumberFormat="1" applyFont="1" applyFill="1" applyBorder="1" applyAlignment="1" applyProtection="1"/>
    <xf numFmtId="41" fontId="18" fillId="0" borderId="106" xfId="0" applyNumberFormat="1" applyFont="1" applyFill="1" applyBorder="1"/>
    <xf numFmtId="41" fontId="18" fillId="0" borderId="131" xfId="0" applyNumberFormat="1" applyFont="1" applyFill="1" applyBorder="1"/>
    <xf numFmtId="0" fontId="2" fillId="0" borderId="0" xfId="28" applyNumberFormat="1" applyFont="1" applyBorder="1" applyAlignment="1">
      <alignment horizontal="right"/>
    </xf>
    <xf numFmtId="0" fontId="3" fillId="0" borderId="0" xfId="28" applyNumberFormat="1" applyFont="1" applyBorder="1"/>
    <xf numFmtId="42" fontId="8" fillId="26" borderId="56" xfId="31" applyNumberFormat="1" applyFont="1" applyFill="1" applyBorder="1" applyAlignment="1" applyProtection="1">
      <protection locked="0"/>
    </xf>
    <xf numFmtId="41" fontId="8" fillId="26" borderId="57" xfId="31" applyNumberFormat="1" applyFont="1" applyFill="1" applyBorder="1" applyAlignment="1" applyProtection="1">
      <protection locked="0"/>
    </xf>
    <xf numFmtId="41" fontId="8" fillId="26" borderId="56" xfId="31" applyNumberFormat="1" applyFont="1" applyFill="1" applyBorder="1" applyAlignment="1" applyProtection="1">
      <protection locked="0"/>
    </xf>
    <xf numFmtId="41" fontId="8" fillId="26" borderId="96" xfId="31" applyNumberFormat="1" applyFont="1" applyFill="1" applyBorder="1" applyAlignment="1" applyProtection="1">
      <protection locked="0"/>
    </xf>
    <xf numFmtId="41" fontId="30" fillId="24" borderId="89" xfId="31" applyNumberFormat="1" applyFont="1" applyFill="1" applyBorder="1" applyAlignment="1" applyProtection="1"/>
    <xf numFmtId="41" fontId="30" fillId="24" borderId="7" xfId="31" applyNumberFormat="1" applyFont="1" applyFill="1" applyBorder="1" applyAlignment="1" applyProtection="1"/>
    <xf numFmtId="41" fontId="30" fillId="24" borderId="88" xfId="31" applyNumberFormat="1" applyFont="1" applyFill="1" applyBorder="1" applyAlignment="1" applyProtection="1"/>
    <xf numFmtId="41" fontId="30" fillId="24" borderId="56" xfId="31" applyNumberFormat="1" applyFont="1" applyFill="1" applyBorder="1" applyAlignment="1" applyProtection="1"/>
    <xf numFmtId="41" fontId="30" fillId="24" borderId="57" xfId="31" applyNumberFormat="1" applyFont="1" applyFill="1" applyBorder="1" applyAlignment="1" applyProtection="1"/>
    <xf numFmtId="0" fontId="1" fillId="0" borderId="43" xfId="47" applyFont="1" applyBorder="1" applyAlignment="1" applyProtection="1">
      <alignment horizontal="right"/>
    </xf>
    <xf numFmtId="0" fontId="30" fillId="0" borderId="94" xfId="47" quotePrefix="1" applyFont="1" applyBorder="1" applyAlignment="1" applyProtection="1"/>
    <xf numFmtId="0" fontId="1" fillId="0" borderId="43" xfId="47" applyFont="1" applyBorder="1" applyAlignment="1" applyProtection="1">
      <alignment horizontal="left"/>
    </xf>
    <xf numFmtId="0" fontId="1" fillId="0" borderId="0" xfId="47" applyFont="1" applyBorder="1" applyAlignment="1" applyProtection="1">
      <alignment horizontal="left"/>
    </xf>
    <xf numFmtId="172" fontId="1" fillId="0" borderId="30" xfId="28" applyNumberFormat="1" applyFont="1" applyFill="1" applyBorder="1" applyAlignment="1" applyProtection="1">
      <alignment horizontal="center"/>
    </xf>
    <xf numFmtId="0" fontId="56" fillId="0" borderId="0" xfId="0" applyFont="1" applyBorder="1" applyAlignment="1" applyProtection="1"/>
    <xf numFmtId="0" fontId="2" fillId="29" borderId="0" xfId="0" applyNumberFormat="1" applyFont="1" applyFill="1" applyAlignment="1" applyProtection="1"/>
    <xf numFmtId="37" fontId="2" fillId="29" borderId="0" xfId="0" applyNumberFormat="1" applyFont="1" applyFill="1" applyAlignment="1" applyProtection="1"/>
    <xf numFmtId="0" fontId="2" fillId="29" borderId="0" xfId="0" applyFont="1" applyFill="1" applyBorder="1" applyAlignment="1" applyProtection="1"/>
    <xf numFmtId="0" fontId="2" fillId="29" borderId="0" xfId="0" applyFont="1" applyFill="1" applyBorder="1" applyProtection="1"/>
    <xf numFmtId="0" fontId="1" fillId="0" borderId="0" xfId="0" applyFont="1" applyAlignment="1" applyProtection="1"/>
    <xf numFmtId="0" fontId="11" fillId="29" borderId="0" xfId="0" applyFont="1" applyFill="1" applyAlignment="1" applyProtection="1"/>
    <xf numFmtId="0" fontId="2" fillId="29" borderId="0" xfId="0" applyFont="1" applyFill="1" applyAlignment="1" applyProtection="1"/>
    <xf numFmtId="164" fontId="41" fillId="26" borderId="0" xfId="28" applyNumberFormat="1" applyFont="1" applyFill="1" applyBorder="1"/>
    <xf numFmtId="172" fontId="8" fillId="26" borderId="36" xfId="28" applyNumberFormat="1" applyFont="1" applyFill="1" applyBorder="1" applyAlignment="1" applyProtection="1">
      <alignment horizontal="right"/>
      <protection locked="0"/>
    </xf>
    <xf numFmtId="165" fontId="18" fillId="0" borderId="0" xfId="59" applyNumberFormat="1" applyFont="1" applyFill="1" applyBorder="1" applyAlignment="1" applyProtection="1">
      <alignment vertical="center"/>
    </xf>
    <xf numFmtId="0" fontId="18" fillId="0" borderId="31" xfId="48" applyNumberFormat="1" applyFont="1" applyFill="1" applyBorder="1" applyAlignment="1">
      <alignment vertical="center"/>
    </xf>
    <xf numFmtId="0" fontId="18" fillId="0" borderId="32" xfId="48" applyNumberFormat="1" applyFont="1" applyFill="1" applyBorder="1" applyAlignment="1">
      <alignment vertical="center"/>
    </xf>
    <xf numFmtId="170" fontId="18" fillId="0" borderId="11" xfId="59" applyNumberFormat="1" applyFont="1" applyFill="1" applyBorder="1" applyAlignment="1" applyProtection="1">
      <alignment vertical="center"/>
    </xf>
    <xf numFmtId="37" fontId="48" fillId="0" borderId="0" xfId="0" applyNumberFormat="1" applyFont="1" applyFill="1" applyAlignment="1" applyProtection="1">
      <alignment horizontal="center"/>
      <protection locked="0"/>
    </xf>
    <xf numFmtId="0" fontId="64" fillId="0" borderId="0" xfId="0" applyNumberFormat="1" applyFont="1" applyFill="1" applyAlignment="1" applyProtection="1"/>
    <xf numFmtId="41" fontId="18" fillId="0" borderId="0" xfId="48" applyNumberFormat="1" applyFont="1" applyFill="1" applyBorder="1" applyAlignment="1">
      <alignment vertical="center"/>
    </xf>
    <xf numFmtId="5" fontId="18" fillId="0" borderId="0" xfId="48" applyNumberFormat="1" applyFont="1" applyFill="1"/>
    <xf numFmtId="9" fontId="48" fillId="26" borderId="101" xfId="0" applyNumberFormat="1" applyFont="1" applyFill="1" applyBorder="1" applyAlignment="1" applyProtection="1">
      <alignment horizontal="center"/>
      <protection locked="0"/>
    </xf>
    <xf numFmtId="9" fontId="48" fillId="26" borderId="44" xfId="0" applyNumberFormat="1" applyFont="1" applyFill="1" applyBorder="1" applyAlignment="1" applyProtection="1">
      <alignment horizontal="center"/>
      <protection locked="0"/>
    </xf>
    <xf numFmtId="165" fontId="1" fillId="0" borderId="0" xfId="59" applyNumberFormat="1" applyFont="1" applyBorder="1" applyProtection="1"/>
    <xf numFmtId="165" fontId="1" fillId="0" borderId="44" xfId="59" applyNumberFormat="1" applyFont="1" applyBorder="1" applyProtection="1"/>
    <xf numFmtId="41" fontId="18" fillId="28" borderId="0" xfId="0" applyNumberFormat="1" applyFont="1" applyFill="1" applyBorder="1"/>
    <xf numFmtId="41" fontId="41" fillId="28" borderId="0" xfId="0" applyNumberFormat="1" applyFont="1" applyFill="1" applyBorder="1"/>
    <xf numFmtId="41" fontId="18" fillId="28" borderId="50" xfId="0" applyNumberFormat="1" applyFont="1" applyFill="1" applyBorder="1"/>
    <xf numFmtId="41" fontId="18" fillId="28" borderId="39" xfId="0" applyNumberFormat="1" applyFont="1" applyFill="1" applyBorder="1"/>
    <xf numFmtId="165" fontId="41" fillId="28" borderId="40" xfId="0" applyNumberFormat="1" applyFont="1" applyFill="1" applyBorder="1"/>
    <xf numFmtId="41" fontId="18" fillId="28" borderId="34" xfId="0" applyNumberFormat="1" applyFont="1" applyFill="1" applyBorder="1"/>
    <xf numFmtId="42" fontId="41" fillId="28" borderId="38" xfId="0" applyNumberFormat="1" applyFont="1" applyFill="1" applyBorder="1"/>
    <xf numFmtId="37" fontId="1" fillId="0" borderId="0" xfId="28" applyNumberFormat="1" applyFont="1" applyFill="1" applyBorder="1"/>
    <xf numFmtId="37" fontId="1" fillId="0" borderId="31" xfId="28" applyNumberFormat="1" applyFont="1" applyFill="1" applyBorder="1"/>
    <xf numFmtId="165" fontId="1" fillId="0" borderId="11" xfId="28" applyNumberFormat="1" applyFill="1" applyBorder="1"/>
    <xf numFmtId="165" fontId="1" fillId="0" borderId="0" xfId="28" applyNumberFormat="1" applyFill="1" applyBorder="1"/>
    <xf numFmtId="0" fontId="2" fillId="0" borderId="0" xfId="0" applyFont="1" applyAlignment="1">
      <alignment vertical="center"/>
    </xf>
    <xf numFmtId="0" fontId="0" fillId="0" borderId="0" xfId="0" applyAlignment="1">
      <alignment vertical="center"/>
    </xf>
    <xf numFmtId="0" fontId="2" fillId="0" borderId="29" xfId="0" applyFont="1" applyBorder="1" applyAlignment="1">
      <alignment horizontal="center" vertical="center"/>
    </xf>
    <xf numFmtId="0" fontId="0" fillId="0" borderId="29" xfId="0" applyBorder="1" applyAlignment="1">
      <alignment horizontal="center" vertical="center" wrapText="1"/>
    </xf>
    <xf numFmtId="0" fontId="2" fillId="0" borderId="0" xfId="0" applyFont="1" applyAlignment="1">
      <alignment vertical="center" wrapText="1"/>
    </xf>
    <xf numFmtId="41" fontId="32" fillId="0" borderId="0" xfId="0" applyNumberFormat="1" applyFont="1"/>
    <xf numFmtId="165" fontId="18" fillId="0" borderId="30" xfId="0" applyNumberFormat="1" applyFont="1" applyBorder="1"/>
    <xf numFmtId="0" fontId="18" fillId="0" borderId="0" xfId="0" quotePrefix="1" applyFont="1" applyFill="1"/>
    <xf numFmtId="165" fontId="39" fillId="0" borderId="0" xfId="0" applyNumberFormat="1" applyFont="1" applyFill="1" applyProtection="1">
      <protection locked="0"/>
    </xf>
    <xf numFmtId="0" fontId="0" fillId="0" borderId="30" xfId="0" applyBorder="1"/>
    <xf numFmtId="0" fontId="0" fillId="0" borderId="0" xfId="0" applyAlignment="1">
      <alignment horizontal="left" indent="1"/>
    </xf>
    <xf numFmtId="41" fontId="39" fillId="29" borderId="0" xfId="0" applyNumberFormat="1" applyFont="1" applyFill="1" applyBorder="1" applyAlignment="1">
      <alignment horizontal="right"/>
    </xf>
    <xf numFmtId="7" fontId="39" fillId="29" borderId="0" xfId="0" applyNumberFormat="1" applyFont="1" applyFill="1" applyBorder="1" applyAlignment="1">
      <alignment horizontal="right"/>
    </xf>
    <xf numFmtId="9" fontId="39" fillId="0" borderId="0" xfId="0" applyNumberFormat="1" applyFont="1" applyBorder="1"/>
    <xf numFmtId="41" fontId="18" fillId="30" borderId="0" xfId="0" applyNumberFormat="1" applyFont="1" applyFill="1" applyBorder="1"/>
    <xf numFmtId="0" fontId="30" fillId="0" borderId="0" xfId="47" applyFont="1" applyFill="1" applyBorder="1" applyAlignment="1" applyProtection="1"/>
    <xf numFmtId="0" fontId="30" fillId="0" borderId="51" xfId="0" quotePrefix="1" applyFont="1" applyFill="1" applyBorder="1" applyAlignment="1" applyProtection="1">
      <alignment horizontal="center"/>
    </xf>
    <xf numFmtId="37" fontId="1" fillId="0" borderId="40" xfId="0" applyNumberFormat="1" applyFont="1" applyFill="1" applyBorder="1" applyAlignment="1" applyProtection="1">
      <alignment horizontal="center"/>
    </xf>
    <xf numFmtId="9" fontId="1" fillId="0" borderId="39" xfId="59" applyNumberFormat="1" applyFont="1" applyBorder="1" applyAlignment="1" applyProtection="1">
      <alignment horizontal="right"/>
    </xf>
    <xf numFmtId="9" fontId="1" fillId="0" borderId="141" xfId="59" applyNumberFormat="1" applyFont="1" applyBorder="1" applyAlignment="1" applyProtection="1">
      <alignment horizontal="right"/>
    </xf>
    <xf numFmtId="9" fontId="1" fillId="0" borderId="40" xfId="59" applyNumberFormat="1" applyFont="1" applyBorder="1" applyAlignment="1" applyProtection="1">
      <alignment horizontal="right"/>
    </xf>
    <xf numFmtId="9" fontId="1" fillId="0" borderId="33" xfId="59" applyNumberFormat="1" applyFont="1" applyBorder="1" applyAlignment="1" applyProtection="1">
      <alignment horizontal="right"/>
    </xf>
    <xf numFmtId="9" fontId="1" fillId="0" borderId="0" xfId="59" applyNumberFormat="1" applyFont="1" applyBorder="1" applyAlignment="1" applyProtection="1">
      <alignment horizontal="right"/>
    </xf>
    <xf numFmtId="9" fontId="1" fillId="0" borderId="35" xfId="59" applyNumberFormat="1" applyFont="1" applyBorder="1" applyAlignment="1" applyProtection="1">
      <alignment horizontal="right"/>
    </xf>
    <xf numFmtId="9" fontId="1" fillId="0" borderId="9" xfId="59" applyNumberFormat="1" applyFont="1" applyBorder="1" applyAlignment="1" applyProtection="1">
      <alignment horizontal="right"/>
    </xf>
    <xf numFmtId="9" fontId="1" fillId="0" borderId="31" xfId="59" applyNumberFormat="1" applyFont="1" applyBorder="1" applyAlignment="1" applyProtection="1">
      <alignment horizontal="right"/>
    </xf>
    <xf numFmtId="9" fontId="1" fillId="0" borderId="32" xfId="59" applyNumberFormat="1" applyFont="1" applyBorder="1" applyAlignment="1" applyProtection="1">
      <alignment horizontal="right"/>
    </xf>
    <xf numFmtId="9" fontId="2" fillId="0" borderId="29" xfId="59" applyNumberFormat="1" applyFont="1" applyBorder="1" applyAlignment="1" applyProtection="1">
      <alignment horizontal="right"/>
    </xf>
    <xf numFmtId="9" fontId="1" fillId="0" borderId="11" xfId="59" applyNumberFormat="1" applyFont="1" applyBorder="1" applyAlignment="1" applyProtection="1">
      <alignment horizontal="right"/>
    </xf>
    <xf numFmtId="9" fontId="1" fillId="0" borderId="34" xfId="59" applyNumberFormat="1" applyFont="1" applyBorder="1" applyAlignment="1" applyProtection="1">
      <alignment horizontal="right"/>
    </xf>
    <xf numFmtId="9" fontId="1" fillId="0" borderId="30" xfId="59" applyNumberFormat="1" applyFont="1" applyBorder="1" applyAlignment="1" applyProtection="1">
      <alignment horizontal="right"/>
    </xf>
    <xf numFmtId="9" fontId="1" fillId="0" borderId="36" xfId="59" applyNumberFormat="1" applyFont="1" applyBorder="1" applyAlignment="1" applyProtection="1">
      <alignment horizontal="right"/>
    </xf>
    <xf numFmtId="9" fontId="1" fillId="0" borderId="38" xfId="59" applyNumberFormat="1" applyFont="1" applyBorder="1" applyAlignment="1" applyProtection="1">
      <alignment horizontal="right"/>
    </xf>
    <xf numFmtId="5" fontId="41" fillId="0" borderId="0" xfId="48" applyNumberFormat="1" applyFont="1" applyAlignment="1">
      <alignment horizontal="center"/>
    </xf>
    <xf numFmtId="0" fontId="8" fillId="0" borderId="0" xfId="0" applyFont="1" applyBorder="1" applyAlignment="1" applyProtection="1">
      <alignment horizontal="right"/>
      <protection locked="0"/>
    </xf>
    <xf numFmtId="0" fontId="1" fillId="24" borderId="0" xfId="0" applyFont="1" applyFill="1" applyProtection="1"/>
    <xf numFmtId="0" fontId="18" fillId="0" borderId="41" xfId="48" applyNumberFormat="1" applyFont="1" applyBorder="1" applyAlignment="1">
      <alignment vertical="center"/>
    </xf>
    <xf numFmtId="37" fontId="18" fillId="0" borderId="0" xfId="48" applyNumberFormat="1" applyFont="1" applyFill="1" applyBorder="1" applyProtection="1"/>
    <xf numFmtId="41" fontId="18" fillId="0" borderId="0" xfId="48" applyNumberFormat="1" applyFont="1" applyBorder="1" applyProtection="1"/>
    <xf numFmtId="180" fontId="18" fillId="0" borderId="0" xfId="28" applyNumberFormat="1" applyFont="1" applyFill="1" applyBorder="1" applyAlignment="1" applyProtection="1">
      <alignment vertical="center"/>
    </xf>
    <xf numFmtId="165" fontId="41" fillId="0" borderId="0" xfId="59" applyNumberFormat="1" applyFont="1" applyFill="1" applyBorder="1" applyAlignment="1" applyProtection="1">
      <alignment vertical="center"/>
    </xf>
    <xf numFmtId="170" fontId="18" fillId="0" borderId="0" xfId="59" applyNumberFormat="1" applyFont="1" applyFill="1" applyBorder="1" applyAlignment="1" applyProtection="1">
      <alignment vertical="center"/>
    </xf>
    <xf numFmtId="42" fontId="41" fillId="0" borderId="0" xfId="48" applyNumberFormat="1" applyFont="1" applyBorder="1" applyAlignment="1">
      <alignment vertical="center"/>
    </xf>
    <xf numFmtId="41" fontId="18" fillId="0" borderId="52" xfId="48" applyNumberFormat="1" applyFont="1" applyBorder="1" applyAlignment="1">
      <alignment horizontal="center"/>
    </xf>
    <xf numFmtId="41" fontId="18" fillId="0" borderId="54" xfId="48" applyNumberFormat="1" applyFont="1" applyBorder="1" applyAlignment="1">
      <alignment horizontal="center"/>
    </xf>
    <xf numFmtId="42" fontId="18" fillId="0" borderId="52" xfId="48" applyNumberFormat="1" applyFont="1" applyBorder="1" applyAlignment="1">
      <alignment vertical="center"/>
    </xf>
    <xf numFmtId="42" fontId="18" fillId="0" borderId="54" xfId="48" applyNumberFormat="1" applyFont="1" applyBorder="1" applyAlignment="1">
      <alignment vertical="center"/>
    </xf>
    <xf numFmtId="41" fontId="18" fillId="0" borderId="52" xfId="48" applyNumberFormat="1" applyFont="1" applyBorder="1" applyAlignment="1">
      <alignment vertical="center"/>
    </xf>
    <xf numFmtId="41" fontId="18" fillId="0" borderId="54" xfId="48" applyNumberFormat="1" applyFont="1" applyBorder="1" applyAlignment="1">
      <alignment vertical="center"/>
    </xf>
    <xf numFmtId="41" fontId="18" fillId="0" borderId="53" xfId="48" applyNumberFormat="1" applyFont="1" applyBorder="1" applyAlignment="1">
      <alignment vertical="center"/>
    </xf>
    <xf numFmtId="41" fontId="18" fillId="0" borderId="55" xfId="48" applyNumberFormat="1" applyFont="1" applyBorder="1" applyAlignment="1">
      <alignment vertical="center"/>
    </xf>
    <xf numFmtId="41" fontId="53" fillId="0" borderId="52" xfId="48" applyNumberFormat="1" applyFont="1" applyBorder="1" applyAlignment="1">
      <alignment vertical="center"/>
    </xf>
    <xf numFmtId="41" fontId="53" fillId="0" borderId="54" xfId="48" applyNumberFormat="1" applyFont="1" applyBorder="1" applyAlignment="1">
      <alignment vertical="center"/>
    </xf>
    <xf numFmtId="42" fontId="41" fillId="0" borderId="142" xfId="48" applyNumberFormat="1" applyFont="1" applyBorder="1" applyAlignment="1">
      <alignment vertical="center"/>
    </xf>
    <xf numFmtId="42" fontId="41" fillId="0" borderId="143" xfId="48" applyNumberFormat="1" applyFont="1" applyBorder="1" applyAlignment="1">
      <alignment vertical="center"/>
    </xf>
    <xf numFmtId="179" fontId="18" fillId="0" borderId="104" xfId="48" applyNumberFormat="1" applyFont="1" applyBorder="1" applyAlignment="1">
      <alignment horizontal="right"/>
    </xf>
    <xf numFmtId="179" fontId="18" fillId="0" borderId="32" xfId="48" applyNumberFormat="1" applyFont="1" applyBorder="1" applyAlignment="1">
      <alignment horizontal="right"/>
    </xf>
    <xf numFmtId="179" fontId="18" fillId="0" borderId="105" xfId="48" applyNumberFormat="1" applyFont="1" applyBorder="1" applyAlignment="1">
      <alignment horizontal="right"/>
    </xf>
    <xf numFmtId="5" fontId="18" fillId="0" borderId="0" xfId="48" applyNumberFormat="1" applyFont="1" applyAlignment="1" applyProtection="1">
      <alignment horizontal="centerContinuous"/>
    </xf>
    <xf numFmtId="42" fontId="18" fillId="0" borderId="39" xfId="48" applyNumberFormat="1" applyFont="1" applyBorder="1" applyAlignment="1">
      <alignment vertical="center"/>
    </xf>
    <xf numFmtId="42" fontId="18" fillId="0" borderId="127" xfId="48" applyNumberFormat="1" applyFont="1" applyBorder="1" applyAlignment="1">
      <alignment vertical="center"/>
    </xf>
    <xf numFmtId="42" fontId="18" fillId="0" borderId="128" xfId="48" applyNumberFormat="1" applyFont="1" applyBorder="1" applyAlignment="1">
      <alignment vertical="center"/>
    </xf>
    <xf numFmtId="42" fontId="18" fillId="0" borderId="0" xfId="48" applyNumberFormat="1" applyFont="1" applyFill="1" applyBorder="1" applyAlignment="1">
      <alignment vertical="center"/>
    </xf>
    <xf numFmtId="41" fontId="18" fillId="0" borderId="0" xfId="48" applyNumberFormat="1" applyFont="1" applyFill="1" applyAlignment="1">
      <alignment vertical="center"/>
    </xf>
    <xf numFmtId="41" fontId="18" fillId="0" borderId="30" xfId="48" applyNumberFormat="1" applyFont="1" applyFill="1" applyBorder="1" applyAlignment="1">
      <alignment vertical="center"/>
    </xf>
    <xf numFmtId="42" fontId="18" fillId="0" borderId="39" xfId="48" applyNumberFormat="1" applyFont="1" applyFill="1" applyBorder="1" applyAlignment="1">
      <alignment vertical="center"/>
    </xf>
    <xf numFmtId="41" fontId="53" fillId="0" borderId="0" xfId="48" applyNumberFormat="1" applyFont="1" applyFill="1" applyBorder="1" applyAlignment="1">
      <alignment vertical="center"/>
    </xf>
    <xf numFmtId="42" fontId="41" fillId="0" borderId="42" xfId="48" applyNumberFormat="1" applyFont="1" applyFill="1" applyBorder="1" applyAlignment="1">
      <alignment vertical="center"/>
    </xf>
    <xf numFmtId="0" fontId="3" fillId="0" borderId="0" xfId="0" applyFont="1" applyBorder="1"/>
    <xf numFmtId="0" fontId="3" fillId="0" borderId="0" xfId="0" applyFont="1"/>
    <xf numFmtId="0" fontId="3" fillId="28" borderId="0" xfId="0" applyFont="1" applyFill="1"/>
    <xf numFmtId="42" fontId="3" fillId="0" borderId="0" xfId="0" applyNumberFormat="1" applyFont="1"/>
    <xf numFmtId="41" fontId="3" fillId="0" borderId="0" xfId="0" applyNumberFormat="1" applyFont="1"/>
    <xf numFmtId="0" fontId="3" fillId="28" borderId="0" xfId="0" applyFont="1" applyFill="1" applyAlignment="1">
      <alignment horizontal="left" indent="1"/>
    </xf>
    <xf numFmtId="0" fontId="1" fillId="24" borderId="0" xfId="0" applyFont="1" applyFill="1" applyBorder="1"/>
    <xf numFmtId="0" fontId="65" fillId="24" borderId="30" xfId="0" applyFont="1" applyFill="1" applyBorder="1"/>
    <xf numFmtId="0" fontId="67" fillId="24" borderId="30" xfId="0" applyFont="1" applyFill="1" applyBorder="1"/>
    <xf numFmtId="0" fontId="67" fillId="24" borderId="0" xfId="0" applyFont="1" applyFill="1" applyBorder="1"/>
    <xf numFmtId="0" fontId="66" fillId="24" borderId="0" xfId="0" applyFont="1" applyFill="1"/>
    <xf numFmtId="0" fontId="67" fillId="24" borderId="0" xfId="0" applyFont="1" applyFill="1"/>
    <xf numFmtId="41" fontId="67" fillId="24" borderId="0" xfId="0" applyNumberFormat="1" applyFont="1" applyFill="1"/>
    <xf numFmtId="0" fontId="3" fillId="24" borderId="0" xfId="0" applyFont="1" applyFill="1" applyBorder="1"/>
    <xf numFmtId="0" fontId="3" fillId="24" borderId="0" xfId="0" applyFont="1" applyFill="1"/>
    <xf numFmtId="0" fontId="2" fillId="24" borderId="0" xfId="0" applyFont="1" applyFill="1" applyBorder="1"/>
    <xf numFmtId="0" fontId="2" fillId="24" borderId="30" xfId="0" applyFont="1" applyFill="1" applyBorder="1"/>
    <xf numFmtId="0" fontId="2" fillId="24" borderId="30" xfId="0" applyFont="1" applyFill="1" applyBorder="1" applyAlignment="1">
      <alignment horizontal="center"/>
    </xf>
    <xf numFmtId="186" fontId="3" fillId="24" borderId="0" xfId="0" applyNumberFormat="1" applyFont="1" applyFill="1" applyAlignment="1">
      <alignment horizontal="right"/>
    </xf>
    <xf numFmtId="187" fontId="3" fillId="24" borderId="0" xfId="0" applyNumberFormat="1" applyFont="1" applyFill="1" applyAlignment="1">
      <alignment horizontal="right"/>
    </xf>
    <xf numFmtId="186" fontId="3" fillId="24" borderId="144" xfId="0" applyNumberFormat="1" applyFont="1" applyFill="1" applyBorder="1" applyAlignment="1">
      <alignment horizontal="right"/>
    </xf>
    <xf numFmtId="42" fontId="3" fillId="24" borderId="0" xfId="0" applyNumberFormat="1" applyFont="1" applyFill="1"/>
    <xf numFmtId="41" fontId="3" fillId="24" borderId="0" xfId="0" applyNumberFormat="1" applyFont="1" applyFill="1"/>
    <xf numFmtId="3" fontId="1" fillId="0" borderId="0" xfId="28" applyNumberFormat="1" applyFont="1" applyBorder="1" applyAlignment="1">
      <alignment horizontal="left"/>
    </xf>
    <xf numFmtId="176" fontId="1" fillId="0" borderId="0" xfId="28" applyNumberFormat="1" applyFont="1" applyBorder="1" applyAlignment="1">
      <alignment horizontal="left"/>
    </xf>
    <xf numFmtId="0" fontId="1" fillId="0" borderId="0" xfId="28" applyNumberFormat="1" applyFont="1" applyBorder="1" applyAlignment="1">
      <alignment horizontal="left"/>
    </xf>
    <xf numFmtId="0" fontId="1" fillId="0" borderId="0" xfId="28" applyNumberFormat="1" applyFont="1" applyAlignment="1" applyProtection="1">
      <alignment horizontal="right"/>
    </xf>
    <xf numFmtId="169" fontId="1" fillId="0" borderId="106" xfId="31" applyNumberFormat="1" applyFont="1" applyFill="1" applyBorder="1" applyAlignment="1" applyProtection="1">
      <alignment horizontal="right"/>
    </xf>
    <xf numFmtId="0" fontId="35" fillId="24" borderId="0" xfId="51" applyFill="1"/>
    <xf numFmtId="0" fontId="2" fillId="24" borderId="0" xfId="51" applyFont="1" applyFill="1"/>
    <xf numFmtId="14" fontId="35" fillId="24" borderId="0" xfId="51" applyNumberFormat="1" applyFill="1"/>
    <xf numFmtId="0" fontId="35" fillId="24" borderId="0" xfId="51" applyFill="1" applyBorder="1"/>
    <xf numFmtId="0" fontId="35" fillId="24" borderId="0" xfId="51" applyFill="1" applyBorder="1" applyAlignment="1">
      <alignment horizontal="center"/>
    </xf>
    <xf numFmtId="0" fontId="35" fillId="24" borderId="0" xfId="51" applyFont="1" applyFill="1"/>
    <xf numFmtId="0" fontId="2" fillId="24" borderId="0" xfId="51" applyFont="1" applyFill="1" applyBorder="1" applyAlignment="1">
      <alignment horizontal="center"/>
    </xf>
    <xf numFmtId="0" fontId="2" fillId="24" borderId="0" xfId="51" applyFont="1" applyFill="1" applyAlignment="1">
      <alignment horizontal="center" wrapText="1"/>
    </xf>
    <xf numFmtId="0" fontId="35" fillId="0" borderId="0" xfId="44"/>
    <xf numFmtId="0" fontId="35" fillId="0" borderId="0" xfId="45"/>
    <xf numFmtId="0" fontId="69" fillId="0" borderId="30" xfId="0" applyFont="1" applyBorder="1"/>
    <xf numFmtId="0" fontId="70" fillId="0" borderId="0" xfId="0" applyFont="1"/>
    <xf numFmtId="41" fontId="0" fillId="0" borderId="0" xfId="0" applyNumberFormat="1"/>
    <xf numFmtId="9" fontId="8" fillId="0" borderId="0" xfId="59" applyFont="1" applyFill="1"/>
    <xf numFmtId="0" fontId="0" fillId="0" borderId="0" xfId="0" applyNumberFormat="1"/>
    <xf numFmtId="165" fontId="8" fillId="0" borderId="0" xfId="59" applyNumberFormat="1" applyFont="1" applyFill="1"/>
    <xf numFmtId="5" fontId="7" fillId="0" borderId="0" xfId="0" applyNumberFormat="1" applyFont="1" applyAlignment="1">
      <alignment horizontal="center"/>
    </xf>
    <xf numFmtId="0" fontId="9" fillId="0" borderId="0" xfId="0" applyFont="1"/>
    <xf numFmtId="164" fontId="1" fillId="0" borderId="0" xfId="28" applyNumberFormat="1"/>
    <xf numFmtId="0" fontId="1" fillId="0" borderId="31" xfId="0" applyFont="1" applyBorder="1"/>
    <xf numFmtId="0" fontId="0" fillId="0" borderId="32" xfId="0" applyBorder="1"/>
    <xf numFmtId="165" fontId="0" fillId="0" borderId="11" xfId="0" applyNumberFormat="1" applyBorder="1"/>
    <xf numFmtId="164" fontId="0" fillId="0" borderId="0" xfId="0" applyNumberFormat="1"/>
    <xf numFmtId="164" fontId="0" fillId="0" borderId="30" xfId="0" applyNumberFormat="1" applyBorder="1"/>
    <xf numFmtId="0" fontId="7" fillId="0" borderId="0" xfId="0" applyFont="1"/>
    <xf numFmtId="0" fontId="1" fillId="24" borderId="27" xfId="47" applyFont="1" applyFill="1" applyBorder="1" applyAlignment="1">
      <alignment horizontal="center" vertical="center"/>
    </xf>
    <xf numFmtId="0" fontId="2" fillId="24" borderId="27" xfId="47" applyFont="1" applyFill="1" applyBorder="1" applyAlignment="1">
      <alignment horizontal="center" vertical="center"/>
    </xf>
    <xf numFmtId="0" fontId="1" fillId="28" borderId="27" xfId="47" applyFont="1" applyFill="1" applyBorder="1" applyAlignment="1">
      <alignment horizontal="center" vertical="center"/>
    </xf>
    <xf numFmtId="40" fontId="1" fillId="24" borderId="0" xfId="0" quotePrefix="1" applyNumberFormat="1" applyFont="1" applyFill="1" applyBorder="1" applyAlignment="1">
      <alignment horizontal="right"/>
    </xf>
    <xf numFmtId="40" fontId="2" fillId="24" borderId="0" xfId="0" quotePrefix="1" applyNumberFormat="1" applyFont="1" applyFill="1" applyBorder="1" applyAlignment="1">
      <alignment horizontal="right"/>
    </xf>
    <xf numFmtId="40" fontId="1" fillId="0" borderId="0" xfId="0" quotePrefix="1" applyNumberFormat="1" applyFont="1" applyFill="1" applyBorder="1" applyAlignment="1">
      <alignment horizontal="right"/>
    </xf>
    <xf numFmtId="40" fontId="1" fillId="31" borderId="0" xfId="0" quotePrefix="1" applyNumberFormat="1" applyFont="1" applyFill="1" applyBorder="1" applyAlignment="1">
      <alignment horizontal="right"/>
    </xf>
    <xf numFmtId="40" fontId="1" fillId="28" borderId="0" xfId="0" quotePrefix="1" applyNumberFormat="1" applyFont="1" applyFill="1" applyBorder="1" applyAlignment="1">
      <alignment horizontal="right"/>
    </xf>
    <xf numFmtId="40" fontId="1" fillId="24" borderId="0" xfId="0" applyNumberFormat="1" applyFont="1" applyFill="1" applyBorder="1" applyAlignment="1">
      <alignment horizontal="right"/>
    </xf>
    <xf numFmtId="40" fontId="2" fillId="24" borderId="0" xfId="0" applyNumberFormat="1" applyFont="1" applyFill="1" applyBorder="1" applyAlignment="1">
      <alignment horizontal="right"/>
    </xf>
    <xf numFmtId="40" fontId="1" fillId="0" borderId="0" xfId="0" applyNumberFormat="1" applyFont="1" applyFill="1" applyBorder="1" applyAlignment="1">
      <alignment horizontal="right"/>
    </xf>
    <xf numFmtId="40" fontId="1" fillId="28" borderId="0" xfId="0" applyNumberFormat="1" applyFont="1" applyFill="1" applyBorder="1" applyAlignment="1">
      <alignment horizontal="right"/>
    </xf>
    <xf numFmtId="40" fontId="2" fillId="28" borderId="0" xfId="0" applyNumberFormat="1" applyFont="1" applyFill="1" applyBorder="1" applyAlignment="1">
      <alignment horizontal="right"/>
    </xf>
    <xf numFmtId="40" fontId="1" fillId="31" borderId="0" xfId="0" applyNumberFormat="1" applyFont="1" applyFill="1" applyBorder="1" applyAlignment="1">
      <alignment horizontal="right"/>
    </xf>
    <xf numFmtId="40" fontId="16" fillId="28" borderId="0" xfId="0" applyNumberFormat="1" applyFont="1" applyFill="1" applyBorder="1" applyAlignment="1">
      <alignment horizontal="right"/>
    </xf>
    <xf numFmtId="0" fontId="4" fillId="24" borderId="0" xfId="0" applyFont="1" applyFill="1" applyBorder="1"/>
    <xf numFmtId="0" fontId="5" fillId="24" borderId="0" xfId="0" applyFont="1" applyFill="1" applyBorder="1"/>
    <xf numFmtId="0" fontId="4" fillId="28" borderId="0" xfId="0" applyFont="1" applyFill="1" applyBorder="1"/>
    <xf numFmtId="1" fontId="1" fillId="24" borderId="27" xfId="47" applyNumberFormat="1" applyFont="1" applyFill="1" applyBorder="1" applyAlignment="1">
      <alignment horizontal="center" vertical="center"/>
    </xf>
    <xf numFmtId="1" fontId="2" fillId="24" borderId="27" xfId="47" applyNumberFormat="1" applyFont="1" applyFill="1" applyBorder="1" applyAlignment="1">
      <alignment horizontal="center" vertical="center"/>
    </xf>
    <xf numFmtId="1" fontId="1" fillId="0" borderId="27" xfId="47" applyNumberFormat="1" applyFont="1" applyFill="1" applyBorder="1" applyAlignment="1">
      <alignment horizontal="center" vertical="center"/>
    </xf>
    <xf numFmtId="1" fontId="1" fillId="28" borderId="27" xfId="47" applyNumberFormat="1" applyFont="1" applyFill="1" applyBorder="1" applyAlignment="1">
      <alignment horizontal="center" vertical="center"/>
    </xf>
    <xf numFmtId="1" fontId="1" fillId="24" borderId="0" xfId="0" quotePrefix="1" applyNumberFormat="1" applyFont="1" applyFill="1" applyBorder="1" applyAlignment="1">
      <alignment horizontal="right"/>
    </xf>
    <xf numFmtId="1" fontId="2" fillId="24" borderId="0" xfId="0" quotePrefix="1" applyNumberFormat="1" applyFont="1" applyFill="1" applyBorder="1" applyAlignment="1">
      <alignment horizontal="right"/>
    </xf>
    <xf numFmtId="1" fontId="1" fillId="0" borderId="0" xfId="0" quotePrefix="1" applyNumberFormat="1" applyFont="1" applyFill="1" applyBorder="1" applyAlignment="1">
      <alignment horizontal="right"/>
    </xf>
    <xf numFmtId="1" fontId="1" fillId="28" borderId="0" xfId="0" quotePrefix="1" applyNumberFormat="1" applyFont="1" applyFill="1" applyBorder="1" applyAlignment="1">
      <alignment horizontal="right"/>
    </xf>
    <xf numFmtId="1" fontId="1" fillId="24" borderId="0" xfId="0" applyNumberFormat="1" applyFont="1" applyFill="1" applyBorder="1" applyAlignment="1">
      <alignment horizontal="right"/>
    </xf>
    <xf numFmtId="1" fontId="2" fillId="24" borderId="0" xfId="0" applyNumberFormat="1" applyFont="1" applyFill="1" applyBorder="1" applyAlignment="1">
      <alignment horizontal="right"/>
    </xf>
    <xf numFmtId="1" fontId="1" fillId="0" borderId="0" xfId="0" applyNumberFormat="1" applyFont="1" applyFill="1" applyBorder="1" applyAlignment="1">
      <alignment horizontal="right"/>
    </xf>
    <xf numFmtId="1" fontId="1" fillId="28" borderId="0" xfId="0" applyNumberFormat="1" applyFont="1" applyFill="1" applyBorder="1" applyAlignment="1">
      <alignment horizontal="right"/>
    </xf>
    <xf numFmtId="1" fontId="16" fillId="24" borderId="0" xfId="0" quotePrefix="1" applyNumberFormat="1" applyFont="1" applyFill="1" applyBorder="1" applyAlignment="1">
      <alignment horizontal="right"/>
    </xf>
    <xf numFmtId="1" fontId="16" fillId="24" borderId="0" xfId="0" applyNumberFormat="1" applyFont="1" applyFill="1" applyBorder="1" applyAlignment="1">
      <alignment horizontal="right"/>
    </xf>
    <xf numFmtId="1" fontId="64" fillId="28" borderId="0" xfId="0" applyNumberFormat="1" applyFont="1" applyFill="1" applyBorder="1" applyAlignment="1">
      <alignment horizontal="right"/>
    </xf>
    <xf numFmtId="1" fontId="4" fillId="24" borderId="0" xfId="0" applyNumberFormat="1" applyFont="1" applyFill="1" applyBorder="1"/>
    <xf numFmtId="1" fontId="5" fillId="24" borderId="0" xfId="0" applyNumberFormat="1" applyFont="1" applyFill="1" applyBorder="1"/>
    <xf numFmtId="1" fontId="4" fillId="0" borderId="0" xfId="0" applyNumberFormat="1" applyFont="1" applyFill="1" applyBorder="1"/>
    <xf numFmtId="1" fontId="4" fillId="28" borderId="0" xfId="0" applyNumberFormat="1" applyFont="1" applyFill="1" applyBorder="1"/>
    <xf numFmtId="0" fontId="0" fillId="0" borderId="0" xfId="0" quotePrefix="1"/>
    <xf numFmtId="0" fontId="0" fillId="0" borderId="0" xfId="0" applyAlignment="1">
      <alignment horizontal="right"/>
    </xf>
    <xf numFmtId="174" fontId="1" fillId="0" borderId="119" xfId="31" applyNumberFormat="1" applyFont="1" applyFill="1" applyBorder="1" applyAlignment="1" applyProtection="1"/>
    <xf numFmtId="164" fontId="35" fillId="0" borderId="141" xfId="28" applyNumberFormat="1" applyFont="1" applyBorder="1" applyAlignment="1" applyProtection="1">
      <alignment horizontal="right"/>
    </xf>
    <xf numFmtId="164" fontId="71" fillId="26" borderId="0" xfId="28" applyNumberFormat="1" applyFont="1" applyFill="1" applyBorder="1"/>
    <xf numFmtId="166" fontId="2" fillId="32" borderId="50" xfId="28" applyNumberFormat="1" applyFont="1" applyFill="1" applyBorder="1" applyAlignment="1">
      <alignment horizontal="left"/>
    </xf>
    <xf numFmtId="166" fontId="2" fillId="32" borderId="39" xfId="28" applyNumberFormat="1" applyFont="1" applyFill="1" applyBorder="1" applyAlignment="1">
      <alignment horizontal="left"/>
    </xf>
    <xf numFmtId="0" fontId="2" fillId="32" borderId="39" xfId="0" applyFont="1" applyFill="1" applyBorder="1" applyAlignment="1">
      <alignment horizontal="center"/>
    </xf>
    <xf numFmtId="0" fontId="2" fillId="32" borderId="40" xfId="0" applyFont="1" applyFill="1" applyBorder="1" applyAlignment="1">
      <alignment horizontal="center"/>
    </xf>
    <xf numFmtId="0" fontId="0" fillId="32" borderId="39" xfId="0" applyFill="1" applyBorder="1"/>
    <xf numFmtId="0" fontId="0" fillId="32" borderId="0" xfId="0" applyFill="1"/>
    <xf numFmtId="0" fontId="0" fillId="27" borderId="0" xfId="0" applyFill="1" applyBorder="1"/>
    <xf numFmtId="175" fontId="1" fillId="27" borderId="33" xfId="28" applyNumberFormat="1" applyFill="1" applyBorder="1" applyAlignment="1">
      <alignment horizontal="right"/>
    </xf>
    <xf numFmtId="175" fontId="1" fillId="27" borderId="9" xfId="28" applyNumberFormat="1" applyFill="1" applyBorder="1" applyAlignment="1">
      <alignment horizontal="right"/>
    </xf>
    <xf numFmtId="175" fontId="1" fillId="27" borderId="0" xfId="28" applyNumberFormat="1" applyFill="1" applyBorder="1" applyAlignment="1">
      <alignment horizontal="right"/>
    </xf>
    <xf numFmtId="175" fontId="0" fillId="24" borderId="0" xfId="0" applyNumberFormat="1" applyFill="1" applyBorder="1" applyAlignment="1">
      <alignment horizontal="right"/>
    </xf>
    <xf numFmtId="0" fontId="0" fillId="24" borderId="9" xfId="0" applyFill="1" applyBorder="1" applyAlignment="1">
      <alignment horizontal="right"/>
    </xf>
    <xf numFmtId="0" fontId="0" fillId="24" borderId="0" xfId="0" applyFill="1" applyBorder="1" applyAlignment="1">
      <alignment horizontal="right"/>
    </xf>
    <xf numFmtId="0" fontId="0" fillId="24" borderId="0" xfId="0" applyFill="1"/>
    <xf numFmtId="0" fontId="48" fillId="0" borderId="0" xfId="0" applyNumberFormat="1" applyFont="1" applyFill="1" applyBorder="1" applyAlignment="1" applyProtection="1">
      <alignment horizontal="center"/>
    </xf>
    <xf numFmtId="0" fontId="3" fillId="0" borderId="0" xfId="0" applyFont="1" applyFill="1" applyAlignment="1" applyProtection="1">
      <alignment horizontal="center"/>
    </xf>
    <xf numFmtId="49" fontId="18" fillId="0" borderId="19" xfId="0" applyNumberFormat="1" applyFont="1" applyBorder="1" applyAlignment="1">
      <alignment horizontal="center"/>
    </xf>
    <xf numFmtId="0" fontId="0" fillId="0" borderId="145" xfId="0" quotePrefix="1" applyBorder="1" applyAlignment="1">
      <alignment horizontal="center"/>
    </xf>
    <xf numFmtId="0" fontId="0" fillId="0" borderId="11" xfId="0" quotePrefix="1" applyBorder="1" applyAlignment="1">
      <alignment horizontal="center"/>
    </xf>
    <xf numFmtId="189" fontId="0" fillId="0" borderId="0" xfId="0" applyNumberFormat="1" applyAlignment="1">
      <alignment horizontal="right"/>
    </xf>
    <xf numFmtId="3" fontId="0" fillId="0" borderId="0" xfId="0" applyNumberFormat="1"/>
    <xf numFmtId="3" fontId="0" fillId="0" borderId="0" xfId="0" applyNumberFormat="1" applyAlignment="1">
      <alignment horizontal="right"/>
    </xf>
    <xf numFmtId="0" fontId="55" fillId="0" borderId="0" xfId="0" applyFont="1" applyFill="1"/>
    <xf numFmtId="0" fontId="1" fillId="0" borderId="0" xfId="0" applyFont="1" applyFill="1"/>
    <xf numFmtId="0" fontId="8" fillId="26" borderId="0" xfId="0" applyFont="1" applyFill="1"/>
    <xf numFmtId="164" fontId="8" fillId="0" borderId="0" xfId="28" applyNumberFormat="1" applyFont="1"/>
    <xf numFmtId="0" fontId="8" fillId="27" borderId="0" xfId="0" applyFont="1" applyFill="1"/>
    <xf numFmtId="0" fontId="1" fillId="27" borderId="0" xfId="0" applyFont="1" applyFill="1"/>
    <xf numFmtId="0" fontId="8" fillId="29" borderId="0" xfId="0" applyFont="1" applyFill="1"/>
    <xf numFmtId="9" fontId="56" fillId="0" borderId="0" xfId="0" applyNumberFormat="1" applyFont="1"/>
    <xf numFmtId="0" fontId="2" fillId="0" borderId="0" xfId="0" applyNumberFormat="1" applyFont="1" applyBorder="1" applyAlignment="1" applyProtection="1"/>
    <xf numFmtId="41" fontId="16" fillId="0" borderId="0" xfId="0" applyNumberFormat="1" applyFont="1"/>
    <xf numFmtId="0" fontId="16" fillId="0" borderId="0" xfId="0" applyNumberFormat="1" applyFont="1"/>
    <xf numFmtId="0" fontId="0" fillId="26" borderId="0" xfId="0" applyNumberFormat="1" applyFill="1"/>
    <xf numFmtId="0" fontId="30" fillId="26" borderId="0" xfId="0" applyNumberFormat="1" applyFont="1" applyFill="1"/>
    <xf numFmtId="0" fontId="31" fillId="0" borderId="0" xfId="0" applyNumberFormat="1" applyFont="1"/>
    <xf numFmtId="0" fontId="48" fillId="26" borderId="0" xfId="0" applyNumberFormat="1" applyFont="1" applyFill="1"/>
    <xf numFmtId="0" fontId="30" fillId="0" borderId="0" xfId="0" applyNumberFormat="1" applyFont="1"/>
    <xf numFmtId="0" fontId="48" fillId="0" borderId="0" xfId="0" applyNumberFormat="1" applyFont="1"/>
    <xf numFmtId="0" fontId="55" fillId="0" borderId="0" xfId="0" applyNumberFormat="1" applyFont="1" applyFill="1"/>
    <xf numFmtId="0" fontId="8" fillId="0" borderId="0" xfId="0" applyNumberFormat="1" applyFont="1"/>
    <xf numFmtId="42" fontId="18" fillId="24" borderId="0" xfId="31" applyNumberFormat="1" applyFont="1" applyFill="1" applyBorder="1" applyAlignment="1" applyProtection="1"/>
    <xf numFmtId="0" fontId="39" fillId="0" borderId="29" xfId="0" applyNumberFormat="1" applyFont="1" applyFill="1" applyBorder="1" applyAlignment="1" applyProtection="1">
      <alignment horizontal="right"/>
      <protection locked="0"/>
    </xf>
    <xf numFmtId="43" fontId="16" fillId="0" borderId="0" xfId="0" applyNumberFormat="1" applyFont="1"/>
    <xf numFmtId="0" fontId="1" fillId="0" borderId="0" xfId="0" quotePrefix="1" applyFont="1"/>
    <xf numFmtId="0" fontId="0" fillId="0" borderId="0" xfId="0" quotePrefix="1" applyFill="1"/>
    <xf numFmtId="0" fontId="1" fillId="0" borderId="0" xfId="0" quotePrefix="1" applyFont="1" applyFill="1"/>
    <xf numFmtId="0" fontId="16" fillId="30" borderId="0" xfId="0" applyNumberFormat="1" applyFont="1" applyFill="1"/>
    <xf numFmtId="2" fontId="10" fillId="29" borderId="0" xfId="0" applyNumberFormat="1" applyFont="1" applyFill="1" applyBorder="1" applyAlignment="1" applyProtection="1">
      <protection locked="0"/>
    </xf>
    <xf numFmtId="176" fontId="18" fillId="0" borderId="0" xfId="28" applyNumberFormat="1" applyFont="1" applyBorder="1" applyAlignment="1">
      <alignment horizontal="right"/>
    </xf>
    <xf numFmtId="42" fontId="18" fillId="0" borderId="0" xfId="28" applyNumberFormat="1" applyFont="1" applyFill="1" applyBorder="1" applyAlignment="1">
      <alignment horizontal="right"/>
    </xf>
    <xf numFmtId="41" fontId="18" fillId="33" borderId="0" xfId="0" applyNumberFormat="1" applyFont="1" applyFill="1" applyBorder="1"/>
    <xf numFmtId="41" fontId="39" fillId="0" borderId="106" xfId="0" applyNumberFormat="1" applyFont="1" applyBorder="1"/>
    <xf numFmtId="41" fontId="18" fillId="0" borderId="0" xfId="0" applyNumberFormat="1" applyFont="1" applyBorder="1" applyAlignment="1">
      <alignment horizontal="right"/>
    </xf>
    <xf numFmtId="42" fontId="18" fillId="0" borderId="39" xfId="0" applyNumberFormat="1" applyFont="1" applyBorder="1"/>
    <xf numFmtId="42" fontId="18" fillId="0" borderId="30" xfId="0" applyNumberFormat="1" applyFont="1" applyFill="1" applyBorder="1"/>
    <xf numFmtId="42" fontId="18" fillId="0" borderId="0" xfId="0" applyNumberFormat="1" applyFont="1" applyFill="1"/>
    <xf numFmtId="41" fontId="39" fillId="0" borderId="0" xfId="0" applyNumberFormat="1" applyFont="1"/>
    <xf numFmtId="174" fontId="1" fillId="0" borderId="146" xfId="31" applyNumberFormat="1" applyFont="1" applyFill="1" applyBorder="1" applyAlignment="1" applyProtection="1">
      <protection locked="0"/>
    </xf>
    <xf numFmtId="172" fontId="3" fillId="0" borderId="0" xfId="28" applyNumberFormat="1" applyFont="1" applyFill="1" applyBorder="1" applyAlignment="1" applyProtection="1">
      <alignment horizontal="right"/>
    </xf>
    <xf numFmtId="0" fontId="41" fillId="0" borderId="0" xfId="0" quotePrefix="1" applyFont="1"/>
    <xf numFmtId="3" fontId="41" fillId="0" borderId="52" xfId="0" quotePrefix="1" applyNumberFormat="1" applyFont="1" applyBorder="1" applyAlignment="1">
      <alignment horizontal="right"/>
    </xf>
    <xf numFmtId="3" fontId="41" fillId="0" borderId="0" xfId="0" quotePrefix="1" applyNumberFormat="1" applyFont="1" applyAlignment="1">
      <alignment horizontal="right"/>
    </xf>
    <xf numFmtId="3" fontId="41" fillId="0" borderId="54" xfId="0" quotePrefix="1" applyNumberFormat="1" applyFont="1" applyBorder="1" applyAlignment="1">
      <alignment horizontal="right"/>
    </xf>
    <xf numFmtId="3" fontId="41" fillId="0" borderId="0" xfId="0" applyNumberFormat="1" applyFont="1" applyAlignment="1">
      <alignment horizontal="right"/>
    </xf>
    <xf numFmtId="3" fontId="41" fillId="0" borderId="54" xfId="0" applyNumberFormat="1" applyFont="1" applyBorder="1" applyAlignment="1">
      <alignment horizontal="right"/>
    </xf>
    <xf numFmtId="37" fontId="41" fillId="0" borderId="0" xfId="0" applyNumberFormat="1" applyFont="1" applyFill="1" applyAlignment="1"/>
    <xf numFmtId="0" fontId="64" fillId="0" borderId="0" xfId="47" applyFont="1" applyBorder="1" applyProtection="1"/>
    <xf numFmtId="0" fontId="48" fillId="0" borderId="0" xfId="0" applyNumberFormat="1" applyFont="1" applyFill="1" applyBorder="1" applyAlignment="1" applyProtection="1">
      <alignment horizontal="right"/>
    </xf>
    <xf numFmtId="0" fontId="34" fillId="0" borderId="0" xfId="0" applyNumberFormat="1" applyFont="1" applyFill="1" applyBorder="1" applyAlignment="1" applyProtection="1">
      <alignment horizontal="center"/>
    </xf>
    <xf numFmtId="9" fontId="8" fillId="26" borderId="0" xfId="59" applyFont="1" applyFill="1" applyBorder="1" applyAlignment="1" applyProtection="1">
      <alignment horizontal="right"/>
      <protection locked="0"/>
    </xf>
    <xf numFmtId="0" fontId="34" fillId="0" borderId="72" xfId="0" applyFont="1" applyFill="1" applyBorder="1" applyProtection="1"/>
    <xf numFmtId="0" fontId="34" fillId="0" borderId="109" xfId="0" applyFont="1" applyFill="1" applyBorder="1" applyAlignment="1" applyProtection="1">
      <alignment horizontal="right"/>
    </xf>
    <xf numFmtId="44" fontId="34" fillId="0" borderId="72" xfId="0" applyNumberFormat="1" applyFont="1" applyFill="1" applyBorder="1" applyAlignment="1" applyProtection="1">
      <alignment horizontal="right"/>
    </xf>
    <xf numFmtId="0" fontId="2" fillId="34" borderId="147" xfId="28" applyNumberFormat="1" applyFont="1" applyFill="1" applyBorder="1" applyAlignment="1" applyProtection="1"/>
    <xf numFmtId="184" fontId="18" fillId="0" borderId="0" xfId="28" applyNumberFormat="1" applyFont="1" applyFill="1" applyBorder="1" applyAlignment="1">
      <alignment horizontal="right"/>
    </xf>
    <xf numFmtId="41" fontId="18" fillId="0" borderId="0" xfId="0" applyNumberFormat="1" applyFont="1" applyFill="1" applyAlignment="1">
      <alignment horizontal="left" indent="1"/>
    </xf>
    <xf numFmtId="0" fontId="18" fillId="0" borderId="0" xfId="0" applyFont="1" applyFill="1" applyBorder="1" applyAlignment="1">
      <alignment horizontal="right"/>
    </xf>
    <xf numFmtId="165" fontId="39" fillId="0" borderId="30" xfId="0" applyNumberFormat="1" applyFont="1" applyFill="1" applyBorder="1"/>
    <xf numFmtId="9" fontId="39" fillId="0" borderId="0" xfId="0" applyNumberFormat="1" applyFont="1" applyFill="1" applyBorder="1"/>
    <xf numFmtId="0" fontId="18" fillId="0" borderId="0" xfId="0" applyNumberFormat="1" applyFont="1" applyAlignment="1">
      <alignment horizontal="right"/>
    </xf>
    <xf numFmtId="165" fontId="39" fillId="26" borderId="29" xfId="0" applyNumberFormat="1" applyFont="1" applyFill="1" applyBorder="1" applyProtection="1">
      <protection locked="0"/>
    </xf>
    <xf numFmtId="165" fontId="39" fillId="29" borderId="0" xfId="59" applyNumberFormat="1" applyFont="1" applyFill="1" applyBorder="1" applyAlignment="1" applyProtection="1">
      <alignment horizontal="center"/>
      <protection locked="0"/>
    </xf>
    <xf numFmtId="165" fontId="39" fillId="29" borderId="0" xfId="0" applyNumberFormat="1" applyFont="1" applyFill="1" applyProtection="1">
      <protection locked="0"/>
    </xf>
    <xf numFmtId="0" fontId="8" fillId="24" borderId="38" xfId="28" applyNumberFormat="1" applyFont="1" applyFill="1" applyBorder="1" applyAlignment="1" applyProtection="1">
      <alignment horizontal="center"/>
      <protection locked="0"/>
    </xf>
    <xf numFmtId="0" fontId="2" fillId="0" borderId="0" xfId="0" applyNumberFormat="1" applyFont="1" applyFill="1" applyBorder="1" applyAlignment="1" applyProtection="1">
      <alignment horizontal="right"/>
    </xf>
    <xf numFmtId="37" fontId="1" fillId="0" borderId="50" xfId="0" applyNumberFormat="1" applyFont="1" applyFill="1" applyBorder="1" applyAlignment="1" applyProtection="1"/>
    <xf numFmtId="0" fontId="1" fillId="0" borderId="0" xfId="0" applyFont="1" applyBorder="1" applyAlignment="1" applyProtection="1">
      <alignment horizontal="right" indent="1"/>
    </xf>
    <xf numFmtId="37" fontId="1" fillId="0" borderId="34" xfId="0" applyNumberFormat="1" applyFont="1" applyFill="1" applyBorder="1" applyAlignment="1" applyProtection="1"/>
    <xf numFmtId="0" fontId="1" fillId="0" borderId="39" xfId="0" applyFont="1" applyBorder="1" applyAlignment="1" applyProtection="1">
      <alignment horizontal="right" indent="1"/>
    </xf>
    <xf numFmtId="0" fontId="1" fillId="0" borderId="0" xfId="0" applyFont="1" applyFill="1" applyBorder="1" applyAlignment="1" applyProtection="1">
      <alignment horizontal="right" indent="1"/>
    </xf>
    <xf numFmtId="0" fontId="1" fillId="0" borderId="0" xfId="0" applyFont="1" applyBorder="1" applyAlignment="1" applyProtection="1">
      <alignment horizontal="right" indent="2"/>
    </xf>
    <xf numFmtId="0" fontId="1" fillId="0" borderId="30" xfId="0" applyFont="1" applyBorder="1" applyAlignment="1" applyProtection="1">
      <alignment horizontal="right" indent="2"/>
    </xf>
    <xf numFmtId="0" fontId="8" fillId="0" borderId="0" xfId="28" applyNumberFormat="1" applyFont="1" applyProtection="1">
      <protection locked="0"/>
    </xf>
    <xf numFmtId="0" fontId="1" fillId="0" borderId="50" xfId="0" applyFont="1" applyFill="1" applyBorder="1" applyProtection="1"/>
    <xf numFmtId="0" fontId="1" fillId="0" borderId="33" xfId="0" applyFont="1" applyFill="1" applyBorder="1" applyProtection="1"/>
    <xf numFmtId="0" fontId="1" fillId="0" borderId="34" xfId="0" applyFont="1" applyFill="1" applyBorder="1" applyProtection="1"/>
    <xf numFmtId="4" fontId="1" fillId="0" borderId="38" xfId="0" applyNumberFormat="1" applyFont="1" applyFill="1" applyBorder="1" applyAlignment="1" applyProtection="1">
      <alignment horizontal="center"/>
    </xf>
    <xf numFmtId="37" fontId="1" fillId="0" borderId="40" xfId="0" applyNumberFormat="1" applyFont="1" applyFill="1" applyBorder="1" applyAlignment="1" applyProtection="1">
      <alignment horizontal="right"/>
    </xf>
    <xf numFmtId="0" fontId="1" fillId="0" borderId="40" xfId="0" applyFont="1" applyFill="1" applyBorder="1" applyProtection="1"/>
    <xf numFmtId="0" fontId="1" fillId="0" borderId="31" xfId="0" applyFont="1" applyBorder="1" applyProtection="1"/>
    <xf numFmtId="0" fontId="1" fillId="0" borderId="141" xfId="0" applyFont="1" applyFill="1" applyBorder="1" applyProtection="1"/>
    <xf numFmtId="37" fontId="1" fillId="0" borderId="141" xfId="0" applyNumberFormat="1" applyFont="1" applyFill="1" applyBorder="1" applyAlignment="1" applyProtection="1">
      <alignment horizontal="right"/>
    </xf>
    <xf numFmtId="0" fontId="1" fillId="0" borderId="35" xfId="0" applyFont="1" applyFill="1" applyBorder="1" applyProtection="1"/>
    <xf numFmtId="0" fontId="1" fillId="0" borderId="36" xfId="0" applyFont="1" applyFill="1" applyBorder="1" applyProtection="1"/>
    <xf numFmtId="37" fontId="1" fillId="0" borderId="36" xfId="0" applyNumberFormat="1" applyFont="1" applyFill="1" applyBorder="1" applyAlignment="1" applyProtection="1">
      <alignment horizontal="right"/>
    </xf>
    <xf numFmtId="37" fontId="1" fillId="0" borderId="141" xfId="0" applyNumberFormat="1" applyFont="1" applyFill="1" applyBorder="1" applyAlignment="1" applyProtection="1">
      <alignment horizontal="left"/>
    </xf>
    <xf numFmtId="37" fontId="1" fillId="0" borderId="35" xfId="0" applyNumberFormat="1" applyFont="1" applyFill="1" applyBorder="1" applyAlignment="1" applyProtection="1">
      <alignment horizontal="left"/>
    </xf>
    <xf numFmtId="37" fontId="1" fillId="0" borderId="36" xfId="0" applyNumberFormat="1" applyFont="1" applyFill="1" applyBorder="1" applyAlignment="1" applyProtection="1">
      <alignment horizontal="left"/>
    </xf>
    <xf numFmtId="0" fontId="1" fillId="0" borderId="141" xfId="0" applyFont="1" applyFill="1" applyBorder="1" applyAlignment="1" applyProtection="1">
      <alignment horizontal="center"/>
    </xf>
    <xf numFmtId="37" fontId="1" fillId="0" borderId="0" xfId="0" applyNumberFormat="1" applyFont="1" applyFill="1" applyBorder="1" applyAlignment="1" applyProtection="1">
      <alignment horizontal="right"/>
    </xf>
    <xf numFmtId="37" fontId="1" fillId="0" borderId="29" xfId="0" applyNumberFormat="1" applyFont="1" applyFill="1" applyBorder="1" applyAlignment="1" applyProtection="1">
      <alignment horizontal="right"/>
    </xf>
    <xf numFmtId="0" fontId="1" fillId="0" borderId="0" xfId="0" applyNumberFormat="1" applyFont="1" applyProtection="1"/>
    <xf numFmtId="9" fontId="8" fillId="0" borderId="11" xfId="59" applyFont="1" applyFill="1" applyBorder="1" applyAlignment="1" applyProtection="1">
      <alignment horizontal="center"/>
      <protection locked="0"/>
    </xf>
    <xf numFmtId="0" fontId="1" fillId="0" borderId="50" xfId="0" applyFont="1" applyFill="1" applyBorder="1" applyAlignment="1" applyProtection="1">
      <alignment horizontal="right"/>
    </xf>
    <xf numFmtId="0" fontId="1" fillId="0" borderId="34" xfId="0" applyFont="1" applyFill="1" applyBorder="1" applyAlignment="1" applyProtection="1">
      <alignment horizontal="right"/>
    </xf>
    <xf numFmtId="0" fontId="2" fillId="0" borderId="147" xfId="28" applyNumberFormat="1" applyFont="1" applyFill="1" applyBorder="1" applyAlignment="1" applyProtection="1"/>
    <xf numFmtId="164" fontId="2" fillId="0" borderId="147" xfId="28" applyNumberFormat="1" applyFont="1" applyFill="1" applyBorder="1" applyAlignment="1" applyProtection="1">
      <alignment horizontal="centerContinuous"/>
    </xf>
    <xf numFmtId="164" fontId="2" fillId="0" borderId="148" xfId="28" applyNumberFormat="1" applyFont="1" applyFill="1" applyBorder="1" applyAlignment="1" applyProtection="1">
      <alignment horizontal="centerContinuous"/>
    </xf>
    <xf numFmtId="164" fontId="35" fillId="0" borderId="148" xfId="28" applyNumberFormat="1" applyFont="1" applyFill="1" applyBorder="1" applyAlignment="1">
      <alignment horizontal="centerContinuous"/>
    </xf>
    <xf numFmtId="164" fontId="35" fillId="0" borderId="149" xfId="28" applyNumberFormat="1" applyFont="1" applyFill="1" applyBorder="1" applyAlignment="1">
      <alignment horizontal="centerContinuous"/>
    </xf>
    <xf numFmtId="3" fontId="74" fillId="0" borderId="52" xfId="0" quotePrefix="1" applyNumberFormat="1" applyFont="1" applyBorder="1" applyAlignment="1">
      <alignment horizontal="right"/>
    </xf>
    <xf numFmtId="172" fontId="1" fillId="0" borderId="0" xfId="28" applyNumberFormat="1" applyFont="1" applyFill="1" applyBorder="1" applyAlignment="1" applyProtection="1">
      <alignment horizontal="center"/>
    </xf>
    <xf numFmtId="171" fontId="1" fillId="0" borderId="0" xfId="28" applyNumberFormat="1" applyFont="1" applyBorder="1" applyAlignment="1" applyProtection="1"/>
    <xf numFmtId="9" fontId="1" fillId="0" borderId="9" xfId="59" applyFont="1" applyFill="1" applyBorder="1" applyAlignment="1" applyProtection="1">
      <alignment horizontal="center"/>
    </xf>
    <xf numFmtId="37" fontId="30" fillId="0" borderId="0" xfId="0" applyNumberFormat="1" applyFont="1" applyFill="1" applyAlignment="1" applyProtection="1">
      <alignment horizontal="center"/>
    </xf>
    <xf numFmtId="165" fontId="8" fillId="26" borderId="0" xfId="0" applyNumberFormat="1" applyFont="1" applyFill="1" applyBorder="1" applyProtection="1"/>
    <xf numFmtId="0" fontId="1" fillId="0" borderId="39" xfId="0" applyFont="1" applyBorder="1" applyProtection="1"/>
    <xf numFmtId="0" fontId="8" fillId="0" borderId="0" xfId="0" applyNumberFormat="1" applyFont="1" applyFill="1" applyBorder="1" applyAlignment="1" applyProtection="1">
      <alignment horizontal="left"/>
      <protection locked="0"/>
    </xf>
    <xf numFmtId="0" fontId="1" fillId="0" borderId="9" xfId="0" applyFont="1" applyBorder="1" applyProtection="1"/>
    <xf numFmtId="165" fontId="1" fillId="0" borderId="30" xfId="28" applyNumberFormat="1" applyFont="1" applyFill="1" applyBorder="1" applyAlignment="1" applyProtection="1">
      <alignment horizontal="center" vertical="top"/>
    </xf>
    <xf numFmtId="0" fontId="18" fillId="0" borderId="0" xfId="0" applyFont="1" applyAlignment="1">
      <alignment horizontal="right"/>
    </xf>
    <xf numFmtId="0" fontId="75" fillId="0" borderId="0" xfId="0" applyFont="1" applyAlignment="1"/>
    <xf numFmtId="0" fontId="75" fillId="0" borderId="0" xfId="0" applyFont="1"/>
    <xf numFmtId="37" fontId="39" fillId="0" borderId="0" xfId="0" applyNumberFormat="1" applyFont="1" applyFill="1" applyBorder="1" applyAlignment="1">
      <alignment horizontal="right"/>
    </xf>
    <xf numFmtId="10" fontId="18" fillId="0" borderId="0" xfId="0" applyNumberFormat="1" applyFont="1" applyBorder="1"/>
    <xf numFmtId="0" fontId="68" fillId="0" borderId="0" xfId="0" applyFont="1" applyBorder="1"/>
    <xf numFmtId="38" fontId="18" fillId="0" borderId="0" xfId="0" applyNumberFormat="1" applyFont="1"/>
    <xf numFmtId="43" fontId="1" fillId="0" borderId="57" xfId="31" applyNumberFormat="1" applyFont="1" applyBorder="1" applyAlignment="1" applyProtection="1">
      <protection locked="0"/>
    </xf>
    <xf numFmtId="0" fontId="1" fillId="29" borderId="0" xfId="0" applyFont="1" applyFill="1" applyBorder="1" applyProtection="1"/>
    <xf numFmtId="0" fontId="1" fillId="0" borderId="39" xfId="0" applyFont="1" applyBorder="1" applyAlignment="1" applyProtection="1">
      <alignment horizontal="center"/>
    </xf>
    <xf numFmtId="0" fontId="1" fillId="0" borderId="130" xfId="0" applyFont="1" applyBorder="1" applyAlignment="1" applyProtection="1">
      <alignment horizontal="center"/>
    </xf>
    <xf numFmtId="0" fontId="1" fillId="0" borderId="44" xfId="0" applyFont="1" applyBorder="1" applyProtection="1"/>
    <xf numFmtId="5" fontId="8" fillId="0" borderId="72" xfId="0" applyNumberFormat="1" applyFont="1" applyBorder="1" applyProtection="1"/>
    <xf numFmtId="5" fontId="1" fillId="0" borderId="72" xfId="0" applyNumberFormat="1" applyFont="1" applyBorder="1" applyProtection="1"/>
    <xf numFmtId="5" fontId="1" fillId="0" borderId="109" xfId="0" applyNumberFormat="1" applyFont="1" applyBorder="1" applyProtection="1"/>
    <xf numFmtId="165" fontId="1" fillId="0" borderId="44" xfId="0" applyNumberFormat="1" applyFont="1" applyBorder="1" applyProtection="1"/>
    <xf numFmtId="165" fontId="1" fillId="0" borderId="137" xfId="0" applyNumberFormat="1" applyFont="1" applyBorder="1" applyProtection="1"/>
    <xf numFmtId="165" fontId="1" fillId="0" borderId="47" xfId="0" applyNumberFormat="1" applyFont="1" applyBorder="1" applyProtection="1"/>
    <xf numFmtId="0" fontId="1" fillId="0" borderId="72" xfId="0" applyFont="1" applyBorder="1" applyProtection="1"/>
    <xf numFmtId="7" fontId="8" fillId="0" borderId="0" xfId="0" applyNumberFormat="1" applyFont="1" applyBorder="1" applyProtection="1"/>
    <xf numFmtId="7" fontId="1" fillId="0" borderId="0" xfId="0" applyNumberFormat="1" applyFont="1" applyBorder="1" applyProtection="1"/>
    <xf numFmtId="37" fontId="8" fillId="0" borderId="0" xfId="0" applyNumberFormat="1" applyFont="1" applyBorder="1" applyProtection="1"/>
    <xf numFmtId="5" fontId="1" fillId="0" borderId="0" xfId="0" applyNumberFormat="1" applyFont="1" applyBorder="1" applyProtection="1"/>
    <xf numFmtId="5" fontId="1" fillId="0" borderId="44" xfId="0" applyNumberFormat="1" applyFont="1" applyBorder="1" applyProtection="1"/>
    <xf numFmtId="165" fontId="1" fillId="0" borderId="44" xfId="0" applyNumberFormat="1" applyFont="1" applyBorder="1" applyAlignment="1" applyProtection="1">
      <alignment horizontal="right"/>
    </xf>
    <xf numFmtId="0" fontId="1" fillId="0" borderId="109" xfId="0" applyFont="1" applyBorder="1" applyProtection="1"/>
    <xf numFmtId="0" fontId="1" fillId="0" borderId="44" xfId="0" applyFont="1" applyBorder="1" applyAlignment="1" applyProtection="1">
      <alignment horizontal="right"/>
    </xf>
    <xf numFmtId="5" fontId="8" fillId="0" borderId="0" xfId="0" applyNumberFormat="1" applyFont="1" applyBorder="1" applyProtection="1"/>
    <xf numFmtId="37" fontId="1" fillId="0" borderId="137" xfId="0" applyNumberFormat="1" applyFont="1" applyFill="1" applyBorder="1" applyProtection="1"/>
    <xf numFmtId="37" fontId="1" fillId="0" borderId="47" xfId="0" applyNumberFormat="1" applyFont="1" applyFill="1" applyBorder="1" applyProtection="1"/>
    <xf numFmtId="169" fontId="1" fillId="0" borderId="0" xfId="0" applyNumberFormat="1" applyFont="1" applyBorder="1" applyProtection="1"/>
    <xf numFmtId="169" fontId="1" fillId="0" borderId="44" xfId="0" applyNumberFormat="1" applyFont="1" applyBorder="1" applyProtection="1"/>
    <xf numFmtId="165" fontId="1" fillId="0" borderId="137" xfId="0" applyNumberFormat="1" applyFont="1" applyFill="1" applyBorder="1" applyProtection="1"/>
    <xf numFmtId="165" fontId="1" fillId="0" borderId="47" xfId="0" applyNumberFormat="1" applyFont="1" applyFill="1" applyBorder="1" applyProtection="1"/>
    <xf numFmtId="0" fontId="1" fillId="0" borderId="72" xfId="0" applyFont="1" applyBorder="1" applyAlignment="1" applyProtection="1">
      <alignment horizontal="centerContinuous"/>
    </xf>
    <xf numFmtId="0" fontId="1" fillId="0" borderId="109" xfId="0" applyFont="1" applyBorder="1" applyAlignment="1" applyProtection="1">
      <alignment horizontal="centerContinuous"/>
    </xf>
    <xf numFmtId="5" fontId="1" fillId="0" borderId="0" xfId="0" applyNumberFormat="1" applyFont="1" applyFill="1" applyBorder="1" applyProtection="1"/>
    <xf numFmtId="165" fontId="1" fillId="0" borderId="0" xfId="0" applyNumberFormat="1" applyFont="1" applyFill="1" applyBorder="1" applyProtection="1"/>
    <xf numFmtId="169" fontId="1" fillId="0" borderId="0" xfId="0" applyNumberFormat="1" applyFont="1" applyFill="1" applyBorder="1" applyProtection="1"/>
    <xf numFmtId="7" fontId="8" fillId="0" borderId="131" xfId="59" applyNumberFormat="1" applyFont="1" applyFill="1" applyBorder="1" applyAlignment="1" applyProtection="1">
      <alignment horizontal="right"/>
      <protection locked="0"/>
    </xf>
    <xf numFmtId="7" fontId="8" fillId="0" borderId="131" xfId="0" applyNumberFormat="1" applyFont="1" applyBorder="1" applyProtection="1"/>
    <xf numFmtId="37" fontId="8" fillId="0" borderId="0" xfId="0" applyNumberFormat="1" applyFont="1" applyFill="1" applyBorder="1" applyAlignment="1" applyProtection="1">
      <alignment horizontal="left"/>
      <protection locked="0"/>
    </xf>
    <xf numFmtId="37" fontId="8" fillId="0" borderId="39" xfId="0" applyNumberFormat="1" applyFont="1" applyFill="1" applyBorder="1" applyAlignment="1" applyProtection="1">
      <alignment horizontal="left"/>
      <protection locked="0"/>
    </xf>
    <xf numFmtId="173" fontId="8" fillId="0" borderId="30" xfId="0" applyNumberFormat="1" applyFont="1" applyFill="1" applyBorder="1" applyAlignment="1" applyProtection="1">
      <alignment horizontal="left"/>
      <protection locked="0"/>
    </xf>
    <xf numFmtId="0" fontId="0" fillId="0" borderId="0" xfId="0" applyProtection="1"/>
    <xf numFmtId="0" fontId="18" fillId="26" borderId="0" xfId="0" quotePrefix="1" applyFont="1" applyFill="1"/>
    <xf numFmtId="1" fontId="16" fillId="0" borderId="0" xfId="0" applyNumberFormat="1" applyFont="1" applyFill="1" applyBorder="1" applyAlignment="1" applyProtection="1"/>
    <xf numFmtId="165" fontId="39" fillId="35" borderId="0" xfId="0" applyNumberFormat="1" applyFont="1" applyFill="1" applyBorder="1" applyAlignment="1" applyProtection="1">
      <alignment horizontal="center"/>
      <protection locked="0"/>
    </xf>
    <xf numFmtId="42" fontId="39" fillId="35" borderId="0" xfId="31" applyNumberFormat="1" applyFont="1" applyFill="1" applyBorder="1" applyAlignment="1" applyProtection="1">
      <protection locked="0"/>
    </xf>
    <xf numFmtId="165" fontId="39" fillId="35" borderId="0" xfId="59" applyNumberFormat="1" applyFont="1" applyFill="1" applyBorder="1" applyAlignment="1" applyProtection="1">
      <protection locked="0"/>
    </xf>
    <xf numFmtId="41" fontId="39" fillId="35" borderId="0" xfId="31" applyNumberFormat="1" applyFont="1" applyFill="1" applyBorder="1" applyAlignment="1" applyProtection="1">
      <protection locked="0"/>
    </xf>
    <xf numFmtId="41" fontId="39" fillId="35" borderId="30" xfId="31" applyNumberFormat="1" applyFont="1" applyFill="1" applyBorder="1" applyAlignment="1" applyProtection="1">
      <protection locked="0"/>
    </xf>
    <xf numFmtId="0" fontId="18" fillId="35" borderId="0" xfId="0" applyNumberFormat="1" applyFont="1" applyFill="1" applyBorder="1" applyAlignment="1" applyProtection="1"/>
    <xf numFmtId="44" fontId="1" fillId="29" borderId="79" xfId="31" applyFont="1" applyFill="1" applyBorder="1" applyProtection="1">
      <protection locked="0"/>
    </xf>
    <xf numFmtId="41" fontId="18" fillId="33" borderId="0" xfId="0" applyNumberFormat="1" applyFont="1" applyFill="1"/>
    <xf numFmtId="41" fontId="21" fillId="0" borderId="0" xfId="0" applyNumberFormat="1" applyFont="1" applyFill="1" applyBorder="1"/>
    <xf numFmtId="0" fontId="0" fillId="26" borderId="0" xfId="0" applyFill="1" applyBorder="1"/>
    <xf numFmtId="0" fontId="2" fillId="26" borderId="0" xfId="0" applyFont="1" applyFill="1"/>
    <xf numFmtId="41" fontId="18" fillId="33" borderId="106" xfId="0" applyNumberFormat="1" applyFont="1" applyFill="1" applyBorder="1"/>
    <xf numFmtId="41" fontId="18" fillId="33" borderId="44" xfId="0" applyNumberFormat="1" applyFont="1" applyFill="1" applyBorder="1"/>
    <xf numFmtId="0" fontId="18" fillId="0" borderId="0" xfId="0" applyFont="1" applyBorder="1" applyAlignment="1">
      <alignment horizontal="left"/>
    </xf>
    <xf numFmtId="9" fontId="18" fillId="0" borderId="0" xfId="0" applyNumberFormat="1" applyFont="1" applyBorder="1" applyAlignment="1">
      <alignment horizontal="center"/>
    </xf>
    <xf numFmtId="42" fontId="18" fillId="33" borderId="0" xfId="28" applyNumberFormat="1" applyFont="1" applyFill="1" applyBorder="1" applyAlignment="1">
      <alignment horizontal="right"/>
    </xf>
    <xf numFmtId="42" fontId="18" fillId="0" borderId="106" xfId="28" applyNumberFormat="1" applyFont="1" applyFill="1" applyBorder="1"/>
    <xf numFmtId="9" fontId="48" fillId="26" borderId="64" xfId="0" applyNumberFormat="1" applyFont="1" applyFill="1" applyBorder="1" applyAlignment="1" applyProtection="1">
      <alignment horizontal="center"/>
    </xf>
    <xf numFmtId="164" fontId="1" fillId="24" borderId="35" xfId="28" applyNumberFormat="1" applyFont="1" applyFill="1" applyBorder="1" applyAlignment="1" applyProtection="1">
      <alignment horizontal="right"/>
      <protection locked="0"/>
    </xf>
    <xf numFmtId="0" fontId="30" fillId="0" borderId="0" xfId="0" quotePrefix="1" applyFont="1" applyAlignment="1" applyProtection="1"/>
    <xf numFmtId="43" fontId="18" fillId="0" borderId="0" xfId="0" applyNumberFormat="1" applyFont="1"/>
    <xf numFmtId="174" fontId="1" fillId="0" borderId="47" xfId="31" applyNumberFormat="1" applyFont="1" applyFill="1" applyBorder="1" applyAlignment="1" applyProtection="1"/>
    <xf numFmtId="174" fontId="1" fillId="0" borderId="136" xfId="31" applyNumberFormat="1" applyFont="1" applyFill="1" applyBorder="1" applyAlignment="1" applyProtection="1"/>
    <xf numFmtId="0" fontId="1" fillId="0" borderId="35" xfId="0" applyFont="1" applyFill="1" applyBorder="1" applyAlignment="1" applyProtection="1">
      <alignment horizontal="right"/>
    </xf>
    <xf numFmtId="164" fontId="1" fillId="0" borderId="100" xfId="28" applyNumberFormat="1" applyFont="1" applyFill="1" applyBorder="1" applyAlignment="1" applyProtection="1">
      <alignment horizontal="right"/>
    </xf>
    <xf numFmtId="44" fontId="1" fillId="29" borderId="150" xfId="31" applyFont="1" applyFill="1" applyBorder="1" applyAlignment="1" applyProtection="1">
      <protection locked="0"/>
    </xf>
    <xf numFmtId="44" fontId="1" fillId="29" borderId="79" xfId="31" applyFont="1" applyFill="1" applyBorder="1" applyAlignment="1" applyProtection="1">
      <protection locked="0"/>
    </xf>
    <xf numFmtId="41" fontId="45" fillId="33" borderId="0" xfId="0" applyNumberFormat="1" applyFont="1" applyFill="1"/>
    <xf numFmtId="41" fontId="20" fillId="33" borderId="0" xfId="0" applyNumberFormat="1" applyFont="1" applyFill="1"/>
    <xf numFmtId="41" fontId="18" fillId="26" borderId="0" xfId="0" applyNumberFormat="1" applyFont="1" applyFill="1" applyAlignment="1">
      <alignment horizontal="right"/>
    </xf>
    <xf numFmtId="6" fontId="18" fillId="0" borderId="0" xfId="0" applyNumberFormat="1" applyFont="1"/>
    <xf numFmtId="41" fontId="18" fillId="27" borderId="50" xfId="0" applyNumberFormat="1" applyFont="1" applyFill="1" applyBorder="1"/>
    <xf numFmtId="0" fontId="18" fillId="27" borderId="39" xfId="0" applyFont="1" applyFill="1" applyBorder="1"/>
    <xf numFmtId="165" fontId="41" fillId="27" borderId="40" xfId="0" applyNumberFormat="1" applyFont="1" applyFill="1" applyBorder="1"/>
    <xf numFmtId="41" fontId="18" fillId="27" borderId="34" xfId="0" applyNumberFormat="1" applyFont="1" applyFill="1" applyBorder="1"/>
    <xf numFmtId="0" fontId="18" fillId="27" borderId="30" xfId="0" applyFont="1" applyFill="1" applyBorder="1"/>
    <xf numFmtId="42" fontId="41" fillId="27" borderId="38" xfId="0" applyNumberFormat="1" applyFont="1" applyFill="1" applyBorder="1"/>
    <xf numFmtId="41" fontId="18" fillId="0" borderId="0" xfId="48" applyNumberFormat="1" applyFont="1" applyFill="1" applyAlignment="1"/>
    <xf numFmtId="0" fontId="95" fillId="0" borderId="0" xfId="0" applyFont="1" applyAlignment="1">
      <alignment horizontal="right"/>
    </xf>
    <xf numFmtId="42" fontId="95" fillId="0" borderId="0" xfId="0" applyNumberFormat="1" applyFont="1"/>
    <xf numFmtId="0" fontId="95" fillId="0" borderId="0" xfId="0" quotePrefix="1" applyFont="1" applyAlignment="1">
      <alignment horizontal="right"/>
    </xf>
    <xf numFmtId="41" fontId="95" fillId="0" borderId="0" xfId="0" applyNumberFormat="1" applyFont="1"/>
    <xf numFmtId="165" fontId="95" fillId="0" borderId="0" xfId="59" applyNumberFormat="1" applyFont="1"/>
    <xf numFmtId="37" fontId="18" fillId="0" borderId="0" xfId="48" applyNumberFormat="1" applyFont="1"/>
    <xf numFmtId="0" fontId="58" fillId="0" borderId="0" xfId="0" applyFont="1" applyAlignment="1">
      <alignment horizontal="right"/>
    </xf>
    <xf numFmtId="165" fontId="58" fillId="0" borderId="0" xfId="59" applyNumberFormat="1" applyFont="1"/>
    <xf numFmtId="42" fontId="18" fillId="0" borderId="0" xfId="48" applyNumberFormat="1" applyFont="1"/>
    <xf numFmtId="170" fontId="3" fillId="0" borderId="0" xfId="0" applyNumberFormat="1" applyFont="1" applyAlignment="1" applyProtection="1"/>
    <xf numFmtId="5" fontId="94" fillId="0" borderId="0" xfId="0" applyNumberFormat="1" applyFont="1" applyAlignment="1" applyProtection="1"/>
    <xf numFmtId="0" fontId="3" fillId="0" borderId="0" xfId="0" applyFont="1" applyAlignment="1" applyProtection="1">
      <alignment horizontal="right"/>
    </xf>
    <xf numFmtId="174" fontId="8" fillId="0" borderId="0" xfId="31" quotePrefix="1" applyNumberFormat="1" applyFont="1" applyFill="1" applyBorder="1" applyAlignment="1" applyProtection="1"/>
    <xf numFmtId="0" fontId="58" fillId="0" borderId="0" xfId="0" applyFont="1" applyBorder="1" applyAlignment="1">
      <alignment horizontal="right"/>
    </xf>
    <xf numFmtId="165" fontId="58" fillId="0" borderId="0" xfId="59" applyNumberFormat="1" applyFont="1" applyBorder="1"/>
    <xf numFmtId="0" fontId="0" fillId="0" borderId="0" xfId="0" quotePrefix="1" applyBorder="1"/>
    <xf numFmtId="0" fontId="95" fillId="28" borderId="0" xfId="0" quotePrefix="1" applyFont="1" applyFill="1" applyAlignment="1">
      <alignment horizontal="right"/>
    </xf>
    <xf numFmtId="41" fontId="18" fillId="28" borderId="0" xfId="0" applyNumberFormat="1" applyFont="1" applyFill="1"/>
    <xf numFmtId="41" fontId="95" fillId="28" borderId="0" xfId="0" applyNumberFormat="1" applyFont="1" applyFill="1" applyBorder="1"/>
    <xf numFmtId="165" fontId="41" fillId="28" borderId="0" xfId="59" applyNumberFormat="1" applyFont="1" applyFill="1" applyBorder="1"/>
    <xf numFmtId="37" fontId="18" fillId="29" borderId="0" xfId="0" applyNumberFormat="1" applyFont="1" applyFill="1"/>
    <xf numFmtId="41" fontId="18" fillId="28" borderId="0" xfId="0" applyNumberFormat="1" applyFont="1" applyFill="1" applyBorder="1" applyAlignment="1">
      <alignment horizontal="left" indent="1"/>
    </xf>
    <xf numFmtId="0" fontId="18" fillId="28" borderId="0" xfId="0" applyFont="1" applyFill="1"/>
    <xf numFmtId="0" fontId="18" fillId="28" borderId="0" xfId="0" applyFont="1" applyFill="1" applyBorder="1"/>
    <xf numFmtId="0" fontId="18" fillId="28" borderId="39" xfId="0" applyFont="1" applyFill="1" applyBorder="1"/>
    <xf numFmtId="165" fontId="18" fillId="28" borderId="0" xfId="0" applyNumberFormat="1" applyFont="1" applyFill="1"/>
    <xf numFmtId="0" fontId="41" fillId="28" borderId="0" xfId="0" applyFont="1" applyFill="1"/>
    <xf numFmtId="0" fontId="18" fillId="28" borderId="30" xfId="0" applyFont="1" applyFill="1" applyBorder="1"/>
    <xf numFmtId="6" fontId="18" fillId="28" borderId="0" xfId="0" applyNumberFormat="1" applyFont="1" applyFill="1"/>
    <xf numFmtId="41" fontId="43" fillId="28" borderId="0" xfId="0" applyNumberFormat="1" applyFont="1" applyFill="1" applyBorder="1"/>
    <xf numFmtId="165" fontId="18" fillId="0" borderId="0" xfId="59" applyNumberFormat="1" applyFont="1"/>
    <xf numFmtId="42" fontId="0" fillId="0" borderId="0" xfId="0" applyNumberFormat="1"/>
    <xf numFmtId="0" fontId="96" fillId="0" borderId="151" xfId="0" applyFont="1" applyBorder="1" applyAlignment="1">
      <alignment wrapText="1"/>
    </xf>
    <xf numFmtId="0" fontId="97" fillId="0" borderId="152" xfId="0" applyFont="1" applyBorder="1" applyAlignment="1">
      <alignment vertical="top" wrapText="1"/>
    </xf>
    <xf numFmtId="0" fontId="96" fillId="0" borderId="153" xfId="0" applyFont="1" applyBorder="1" applyAlignment="1">
      <alignment wrapText="1"/>
    </xf>
    <xf numFmtId="0" fontId="97" fillId="0" borderId="154" xfId="0" applyFont="1" applyBorder="1" applyAlignment="1">
      <alignment vertical="top" wrapText="1"/>
    </xf>
    <xf numFmtId="0" fontId="98" fillId="0" borderId="0" xfId="0" applyFont="1" applyFill="1" applyBorder="1" applyAlignment="1"/>
    <xf numFmtId="0" fontId="0" fillId="24" borderId="0" xfId="0" applyFill="1" applyAlignment="1">
      <alignment horizontal="right"/>
    </xf>
    <xf numFmtId="0" fontId="0" fillId="24" borderId="29" xfId="0" applyFill="1" applyBorder="1" applyAlignment="1">
      <alignment horizontal="right"/>
    </xf>
    <xf numFmtId="0" fontId="7" fillId="24" borderId="0" xfId="0" applyFont="1" applyFill="1" applyAlignment="1">
      <alignment horizontal="center"/>
    </xf>
    <xf numFmtId="0" fontId="0" fillId="24" borderId="0" xfId="0" applyFill="1" applyAlignment="1">
      <alignment horizontal="center"/>
    </xf>
    <xf numFmtId="0" fontId="5" fillId="24" borderId="31" xfId="0" applyFont="1" applyFill="1" applyBorder="1" applyAlignment="1">
      <alignment horizontal="centerContinuous"/>
    </xf>
    <xf numFmtId="0" fontId="5" fillId="24" borderId="32" xfId="0" applyFont="1" applyFill="1" applyBorder="1" applyAlignment="1">
      <alignment horizontal="centerContinuous"/>
    </xf>
    <xf numFmtId="0" fontId="5" fillId="24" borderId="11" xfId="0" applyFont="1" applyFill="1" applyBorder="1" applyAlignment="1">
      <alignment horizontal="centerContinuous"/>
    </xf>
    <xf numFmtId="0" fontId="2" fillId="24" borderId="31" xfId="0" applyFont="1" applyFill="1" applyBorder="1" applyAlignment="1">
      <alignment horizontal="centerContinuous"/>
    </xf>
    <xf numFmtId="0" fontId="2" fillId="24" borderId="32" xfId="0" applyFont="1" applyFill="1" applyBorder="1" applyAlignment="1">
      <alignment horizontal="centerContinuous"/>
    </xf>
    <xf numFmtId="0" fontId="2" fillId="24" borderId="11" xfId="0" applyFont="1" applyFill="1" applyBorder="1" applyAlignment="1">
      <alignment horizontal="centerContinuous"/>
    </xf>
    <xf numFmtId="0" fontId="2" fillId="24" borderId="0" xfId="0" applyFont="1" applyFill="1" applyBorder="1" applyAlignment="1"/>
    <xf numFmtId="0" fontId="0" fillId="24" borderId="36" xfId="0" applyFill="1" applyBorder="1" applyAlignment="1">
      <alignment horizontal="right"/>
    </xf>
    <xf numFmtId="0" fontId="1" fillId="24" borderId="31" xfId="0" applyFont="1" applyFill="1" applyBorder="1" applyAlignment="1">
      <alignment horizontal="centerContinuous"/>
    </xf>
    <xf numFmtId="0" fontId="1" fillId="24" borderId="32" xfId="0" applyFont="1" applyFill="1" applyBorder="1" applyAlignment="1">
      <alignment horizontal="centerContinuous"/>
    </xf>
    <xf numFmtId="0" fontId="1" fillId="24" borderId="11" xfId="0" applyFont="1" applyFill="1" applyBorder="1" applyAlignment="1">
      <alignment horizontal="centerContinuous"/>
    </xf>
    <xf numFmtId="0" fontId="7" fillId="24" borderId="0" xfId="0" applyFont="1" applyFill="1" applyBorder="1" applyAlignment="1">
      <alignment horizontal="center"/>
    </xf>
    <xf numFmtId="0" fontId="0" fillId="24" borderId="0" xfId="0" applyFill="1" applyAlignment="1">
      <alignment horizontal="centerContinuous"/>
    </xf>
    <xf numFmtId="0" fontId="0" fillId="24" borderId="32" xfId="0" applyFill="1" applyBorder="1" applyAlignment="1">
      <alignment horizontal="centerContinuous"/>
    </xf>
    <xf numFmtId="0" fontId="0" fillId="24" borderId="11" xfId="0" applyFill="1" applyBorder="1" applyAlignment="1">
      <alignment horizontal="centerContinuous"/>
    </xf>
    <xf numFmtId="0" fontId="53" fillId="0" borderId="0" xfId="0" applyNumberFormat="1" applyFont="1" applyFill="1"/>
    <xf numFmtId="41" fontId="18" fillId="35" borderId="0" xfId="0" applyNumberFormat="1" applyFont="1" applyFill="1"/>
    <xf numFmtId="3" fontId="18" fillId="0" borderId="0" xfId="0" applyNumberFormat="1" applyFont="1" applyFill="1"/>
    <xf numFmtId="41" fontId="95" fillId="0" borderId="0" xfId="0" applyNumberFormat="1" applyFont="1" applyFill="1"/>
    <xf numFmtId="41" fontId="18" fillId="35" borderId="0" xfId="0" applyNumberFormat="1" applyFont="1" applyFill="1" applyBorder="1"/>
    <xf numFmtId="41" fontId="18" fillId="35" borderId="30" xfId="0" applyNumberFormat="1" applyFont="1" applyFill="1" applyBorder="1"/>
    <xf numFmtId="164" fontId="100" fillId="0" borderId="0" xfId="28" applyNumberFormat="1" applyFont="1" applyFill="1"/>
    <xf numFmtId="41" fontId="0" fillId="0" borderId="0" xfId="0" quotePrefix="1" applyNumberFormat="1"/>
    <xf numFmtId="0" fontId="18" fillId="0" borderId="0" xfId="28" quotePrefix="1" applyNumberFormat="1" applyFont="1" applyBorder="1" applyAlignment="1">
      <alignment horizontal="right"/>
    </xf>
    <xf numFmtId="43" fontId="18" fillId="0" borderId="0" xfId="28" applyFont="1" applyBorder="1"/>
    <xf numFmtId="3" fontId="18" fillId="0" borderId="106" xfId="0" applyNumberFormat="1" applyFont="1" applyFill="1" applyBorder="1"/>
    <xf numFmtId="3" fontId="18" fillId="0" borderId="44" xfId="28" applyNumberFormat="1" applyFont="1" applyFill="1" applyBorder="1"/>
    <xf numFmtId="3" fontId="18" fillId="0" borderId="0" xfId="28" applyNumberFormat="1" applyFont="1" applyFill="1" applyBorder="1"/>
    <xf numFmtId="3" fontId="53" fillId="0" borderId="0" xfId="0" applyNumberFormat="1" applyFont="1" applyFill="1" applyBorder="1"/>
    <xf numFmtId="42" fontId="18" fillId="33" borderId="106" xfId="28" applyNumberFormat="1" applyFont="1" applyFill="1" applyBorder="1"/>
    <xf numFmtId="42" fontId="18" fillId="33" borderId="0" xfId="28" applyNumberFormat="1" applyFont="1" applyFill="1" applyBorder="1"/>
    <xf numFmtId="42" fontId="18" fillId="33" borderId="44" xfId="28" applyNumberFormat="1" applyFont="1" applyFill="1" applyBorder="1"/>
    <xf numFmtId="2" fontId="18" fillId="0" borderId="0" xfId="0" applyNumberFormat="1" applyFont="1" applyBorder="1"/>
    <xf numFmtId="2" fontId="18" fillId="0" borderId="106" xfId="0" applyNumberFormat="1" applyFont="1" applyBorder="1"/>
    <xf numFmtId="2" fontId="18" fillId="0" borderId="0" xfId="28" applyNumberFormat="1" applyFont="1" applyFill="1" applyBorder="1"/>
    <xf numFmtId="2" fontId="18" fillId="0" borderId="44" xfId="28" applyNumberFormat="1" applyFont="1" applyFill="1" applyBorder="1"/>
    <xf numFmtId="0" fontId="8" fillId="28" borderId="0" xfId="0" applyFont="1" applyFill="1" applyAlignment="1">
      <alignment horizontal="right"/>
    </xf>
    <xf numFmtId="2" fontId="0" fillId="28" borderId="0" xfId="0" applyNumberFormat="1" applyFill="1"/>
    <xf numFmtId="0" fontId="1" fillId="0" borderId="0" xfId="0" quotePrefix="1" applyFont="1" applyAlignment="1">
      <alignment vertical="center"/>
    </xf>
    <xf numFmtId="0" fontId="1" fillId="0" borderId="0" xfId="0" applyNumberFormat="1" applyFont="1"/>
    <xf numFmtId="0" fontId="1" fillId="26" borderId="0" xfId="0" applyNumberFormat="1" applyFont="1" applyFill="1"/>
    <xf numFmtId="3" fontId="0" fillId="0" borderId="0" xfId="0" applyNumberFormat="1" applyAlignment="1"/>
    <xf numFmtId="3" fontId="1" fillId="0" borderId="0" xfId="0" applyNumberFormat="1" applyFont="1"/>
    <xf numFmtId="0" fontId="0" fillId="0" borderId="155" xfId="0" applyFill="1" applyBorder="1" applyAlignment="1">
      <alignment horizontal="center"/>
    </xf>
    <xf numFmtId="3" fontId="0" fillId="0" borderId="29" xfId="0" applyNumberFormat="1" applyBorder="1"/>
    <xf numFmtId="0" fontId="0" fillId="0" borderId="29" xfId="0" applyFill="1" applyBorder="1" applyAlignment="1">
      <alignment horizontal="center"/>
    </xf>
    <xf numFmtId="0" fontId="0" fillId="0" borderId="156" xfId="0" applyFill="1" applyBorder="1" applyAlignment="1">
      <alignment horizontal="center"/>
    </xf>
    <xf numFmtId="164" fontId="1" fillId="24" borderId="0" xfId="28" applyNumberFormat="1" applyFont="1" applyFill="1"/>
    <xf numFmtId="0" fontId="0" fillId="24" borderId="50" xfId="0" applyFill="1" applyBorder="1" applyAlignment="1">
      <alignment horizontal="right"/>
    </xf>
    <xf numFmtId="0" fontId="0" fillId="24" borderId="39" xfId="0" applyFill="1" applyBorder="1" applyAlignment="1">
      <alignment horizontal="right"/>
    </xf>
    <xf numFmtId="0" fontId="0" fillId="24" borderId="40" xfId="0" applyFill="1" applyBorder="1" applyAlignment="1">
      <alignment horizontal="right"/>
    </xf>
    <xf numFmtId="166" fontId="1" fillId="24" borderId="0" xfId="28" applyNumberFormat="1" applyFont="1" applyFill="1" applyAlignment="1">
      <alignment horizontal="left"/>
    </xf>
    <xf numFmtId="0" fontId="0" fillId="24" borderId="33" xfId="0" applyFill="1" applyBorder="1"/>
    <xf numFmtId="0" fontId="0" fillId="24" borderId="0" xfId="0" applyFill="1" applyBorder="1"/>
    <xf numFmtId="0" fontId="0" fillId="24" borderId="34" xfId="0" applyFill="1" applyBorder="1"/>
    <xf numFmtId="0" fontId="0" fillId="24" borderId="30" xfId="0" applyFill="1" applyBorder="1"/>
    <xf numFmtId="0" fontId="0" fillId="24" borderId="31" xfId="0" applyFill="1" applyBorder="1" applyAlignment="1">
      <alignment horizontal="centerContinuous"/>
    </xf>
    <xf numFmtId="0" fontId="0" fillId="24" borderId="50" xfId="0" applyFill="1" applyBorder="1" applyAlignment="1"/>
    <xf numFmtId="0" fontId="0" fillId="24" borderId="40" xfId="0" applyFill="1" applyBorder="1" applyAlignment="1"/>
    <xf numFmtId="0" fontId="0" fillId="24" borderId="33" xfId="0" applyFill="1" applyBorder="1" applyAlignment="1"/>
    <xf numFmtId="0" fontId="0" fillId="24" borderId="9" xfId="0" applyFill="1" applyBorder="1" applyAlignment="1"/>
    <xf numFmtId="37" fontId="0" fillId="24" borderId="33" xfId="0" applyNumberFormat="1" applyFill="1" applyBorder="1" applyAlignment="1"/>
    <xf numFmtId="37" fontId="0" fillId="24" borderId="9" xfId="0" applyNumberFormat="1" applyFill="1" applyBorder="1" applyAlignment="1"/>
    <xf numFmtId="0" fontId="66" fillId="24" borderId="0" xfId="0" applyFont="1" applyFill="1" applyBorder="1" applyAlignment="1">
      <alignment horizontal="right"/>
    </xf>
    <xf numFmtId="165" fontId="66" fillId="24" borderId="33" xfId="59" applyNumberFormat="1" applyFont="1" applyFill="1" applyBorder="1" applyAlignment="1"/>
    <xf numFmtId="0" fontId="0" fillId="24" borderId="34" xfId="0" applyFill="1" applyBorder="1" applyAlignment="1"/>
    <xf numFmtId="0" fontId="0" fillId="24" borderId="38" xfId="0" applyFill="1" applyBorder="1" applyAlignment="1"/>
    <xf numFmtId="165" fontId="66" fillId="24" borderId="34" xfId="59" applyNumberFormat="1" applyFont="1" applyFill="1" applyBorder="1" applyAlignment="1"/>
    <xf numFmtId="0" fontId="0" fillId="24" borderId="50" xfId="0" applyFill="1" applyBorder="1"/>
    <xf numFmtId="0" fontId="0" fillId="24" borderId="39" xfId="0" applyFill="1" applyBorder="1"/>
    <xf numFmtId="0" fontId="0" fillId="24" borderId="50" xfId="0" applyFill="1" applyBorder="1" applyAlignment="1">
      <alignment horizontal="center"/>
    </xf>
    <xf numFmtId="0" fontId="0" fillId="24" borderId="40" xfId="0" applyFill="1" applyBorder="1" applyAlignment="1">
      <alignment horizontal="center"/>
    </xf>
    <xf numFmtId="37" fontId="0" fillId="24" borderId="33" xfId="0" applyNumberFormat="1" applyFill="1" applyBorder="1" applyAlignment="1">
      <alignment horizontal="right"/>
    </xf>
    <xf numFmtId="37" fontId="0" fillId="24" borderId="9" xfId="0" applyNumberFormat="1" applyFill="1" applyBorder="1" applyAlignment="1">
      <alignment horizontal="right"/>
    </xf>
    <xf numFmtId="0" fontId="2" fillId="24" borderId="0" xfId="0" applyFont="1" applyFill="1"/>
    <xf numFmtId="0" fontId="2" fillId="24" borderId="34" xfId="0" applyFont="1" applyFill="1" applyBorder="1"/>
    <xf numFmtId="175" fontId="2" fillId="24" borderId="33" xfId="0" applyNumberFormat="1" applyFont="1" applyFill="1" applyBorder="1" applyAlignment="1">
      <alignment horizontal="right"/>
    </xf>
    <xf numFmtId="175" fontId="2" fillId="24" borderId="9" xfId="0" applyNumberFormat="1" applyFont="1" applyFill="1" applyBorder="1" applyAlignment="1">
      <alignment horizontal="right"/>
    </xf>
    <xf numFmtId="175" fontId="2" fillId="24" borderId="0" xfId="0" applyNumberFormat="1" applyFont="1" applyFill="1" applyBorder="1" applyAlignment="1">
      <alignment horizontal="right"/>
    </xf>
    <xf numFmtId="0" fontId="1" fillId="24" borderId="0" xfId="0" applyFont="1" applyFill="1" applyBorder="1" applyAlignment="1">
      <alignment horizontal="right"/>
    </xf>
    <xf numFmtId="175" fontId="1" fillId="24" borderId="33" xfId="0" applyNumberFormat="1" applyFont="1" applyFill="1" applyBorder="1" applyAlignment="1">
      <alignment horizontal="right"/>
    </xf>
    <xf numFmtId="175" fontId="1" fillId="24" borderId="0" xfId="0" applyNumberFormat="1" applyFont="1" applyFill="1" applyBorder="1" applyAlignment="1">
      <alignment horizontal="right"/>
    </xf>
    <xf numFmtId="175" fontId="1" fillId="24" borderId="9" xfId="0" applyNumberFormat="1" applyFont="1" applyFill="1" applyBorder="1" applyAlignment="1">
      <alignment horizontal="right"/>
    </xf>
    <xf numFmtId="0" fontId="1" fillId="24" borderId="0" xfId="0" applyFont="1" applyFill="1"/>
    <xf numFmtId="0" fontId="2" fillId="24" borderId="30" xfId="0" applyFont="1" applyFill="1" applyBorder="1" applyAlignment="1">
      <alignment horizontal="right"/>
    </xf>
    <xf numFmtId="175" fontId="2" fillId="24" borderId="34" xfId="0" applyNumberFormat="1" applyFont="1" applyFill="1" applyBorder="1" applyAlignment="1">
      <alignment horizontal="right"/>
    </xf>
    <xf numFmtId="175" fontId="2" fillId="24" borderId="30" xfId="0" applyNumberFormat="1" applyFont="1" applyFill="1" applyBorder="1" applyAlignment="1">
      <alignment horizontal="right"/>
    </xf>
    <xf numFmtId="175" fontId="2" fillId="24" borderId="38" xfId="0" applyNumberFormat="1" applyFont="1" applyFill="1" applyBorder="1" applyAlignment="1">
      <alignment horizontal="right"/>
    </xf>
    <xf numFmtId="175" fontId="2" fillId="24" borderId="50" xfId="0" applyNumberFormat="1" applyFont="1" applyFill="1" applyBorder="1" applyAlignment="1">
      <alignment horizontal="right"/>
    </xf>
    <xf numFmtId="175" fontId="2" fillId="24" borderId="40" xfId="0" applyNumberFormat="1" applyFont="1" applyFill="1" applyBorder="1" applyAlignment="1">
      <alignment horizontal="right"/>
    </xf>
    <xf numFmtId="41" fontId="18" fillId="35" borderId="37" xfId="0" applyNumberFormat="1" applyFont="1" applyFill="1" applyBorder="1"/>
    <xf numFmtId="41" fontId="18" fillId="0" borderId="30" xfId="0" applyNumberFormat="1" applyFont="1" applyFill="1" applyBorder="1" applyAlignment="1">
      <alignment horizontal="centerContinuous"/>
    </xf>
    <xf numFmtId="41" fontId="18" fillId="0" borderId="0" xfId="0" applyNumberFormat="1" applyFont="1" applyFill="1" applyAlignment="1">
      <alignment horizontal="right"/>
    </xf>
    <xf numFmtId="3" fontId="18" fillId="0" borderId="0" xfId="28" applyNumberFormat="1" applyFont="1" applyFill="1" applyBorder="1" applyAlignment="1">
      <alignment horizontal="right"/>
    </xf>
    <xf numFmtId="165" fontId="18" fillId="0" borderId="30" xfId="59" applyNumberFormat="1" applyFont="1" applyFill="1" applyBorder="1" applyAlignment="1">
      <alignment horizontal="right"/>
    </xf>
    <xf numFmtId="170" fontId="18" fillId="0" borderId="30" xfId="31" applyNumberFormat="1" applyFont="1" applyFill="1" applyBorder="1" applyAlignment="1">
      <alignment horizontal="right"/>
    </xf>
    <xf numFmtId="1" fontId="18" fillId="0" borderId="0" xfId="0" applyNumberFormat="1" applyFont="1" applyFill="1"/>
    <xf numFmtId="41" fontId="53" fillId="0" borderId="0" xfId="0" applyNumberFormat="1" applyFont="1" applyFill="1"/>
    <xf numFmtId="41" fontId="39" fillId="0" borderId="0" xfId="0" applyNumberFormat="1" applyFont="1" applyFill="1"/>
    <xf numFmtId="41" fontId="53" fillId="0" borderId="0" xfId="0" applyNumberFormat="1" applyFont="1" applyFill="1" applyBorder="1"/>
    <xf numFmtId="0" fontId="1" fillId="28" borderId="0" xfId="0" applyFont="1" applyFill="1"/>
    <xf numFmtId="41" fontId="1" fillId="0" borderId="0" xfId="0" applyNumberFormat="1" applyFont="1"/>
    <xf numFmtId="41" fontId="18" fillId="0" borderId="30" xfId="0" applyNumberFormat="1" applyFont="1" applyBorder="1" applyAlignment="1"/>
    <xf numFmtId="165" fontId="18" fillId="0" borderId="0" xfId="59" applyNumberFormat="1" applyFont="1" applyFill="1" applyBorder="1" applyAlignment="1">
      <alignment horizontal="right"/>
    </xf>
    <xf numFmtId="170" fontId="18" fillId="0" borderId="0" xfId="31" applyNumberFormat="1" applyFont="1" applyFill="1" applyBorder="1" applyAlignment="1">
      <alignment horizontal="right"/>
    </xf>
    <xf numFmtId="9" fontId="18" fillId="0" borderId="0" xfId="59" quotePrefix="1" applyFont="1"/>
    <xf numFmtId="41" fontId="18" fillId="33" borderId="30" xfId="0" applyNumberFormat="1" applyFont="1" applyFill="1" applyBorder="1"/>
    <xf numFmtId="42" fontId="95" fillId="0" borderId="0" xfId="0" applyNumberFormat="1" applyFont="1" applyFill="1"/>
    <xf numFmtId="165" fontId="95" fillId="0" borderId="0" xfId="59" applyNumberFormat="1" applyFont="1" applyFill="1"/>
    <xf numFmtId="0" fontId="95" fillId="0" borderId="0" xfId="0" quotePrefix="1" applyFont="1" applyFill="1" applyAlignment="1">
      <alignment horizontal="right"/>
    </xf>
    <xf numFmtId="41" fontId="18" fillId="0" borderId="0" xfId="0" applyNumberFormat="1" applyFont="1" applyFill="1" applyBorder="1" applyAlignment="1">
      <alignment horizontal="centerContinuous"/>
    </xf>
    <xf numFmtId="0" fontId="0" fillId="0" borderId="0" xfId="0" applyBorder="1" applyAlignment="1">
      <alignment wrapText="1"/>
    </xf>
    <xf numFmtId="0" fontId="0" fillId="0" borderId="9" xfId="0" applyBorder="1" applyAlignment="1">
      <alignment wrapText="1"/>
    </xf>
    <xf numFmtId="0" fontId="0" fillId="0" borderId="0" xfId="0" applyAlignment="1">
      <alignment vertical="top" wrapText="1"/>
    </xf>
    <xf numFmtId="0" fontId="0" fillId="0" borderId="9" xfId="0" applyBorder="1" applyAlignment="1">
      <alignment vertical="top" wrapText="1"/>
    </xf>
    <xf numFmtId="0" fontId="0" fillId="0" borderId="0" xfId="0" applyAlignment="1" applyProtection="1">
      <alignment vertical="top" wrapText="1"/>
    </xf>
    <xf numFmtId="0" fontId="0" fillId="0" borderId="9" xfId="0" applyBorder="1" applyAlignment="1" applyProtection="1">
      <alignment vertical="top" wrapText="1"/>
    </xf>
    <xf numFmtId="0" fontId="0" fillId="24" borderId="0" xfId="0" applyFill="1" applyAlignment="1"/>
    <xf numFmtId="0" fontId="0" fillId="24" borderId="29" xfId="0" applyFill="1" applyBorder="1" applyAlignment="1">
      <alignment horizontal="centerContinuous"/>
    </xf>
    <xf numFmtId="0" fontId="0" fillId="24" borderId="141" xfId="0" applyFill="1" applyBorder="1" applyAlignment="1">
      <alignment horizontal="centerContinuous"/>
    </xf>
    <xf numFmtId="0" fontId="0" fillId="24" borderId="29" xfId="0" applyFill="1" applyBorder="1" applyAlignment="1"/>
    <xf numFmtId="0" fontId="0" fillId="24" borderId="141" xfId="0" applyFill="1" applyBorder="1" applyAlignment="1"/>
    <xf numFmtId="0" fontId="0" fillId="24" borderId="29" xfId="0" quotePrefix="1" applyFill="1" applyBorder="1" applyAlignment="1">
      <alignment horizontal="centerContinuous"/>
    </xf>
    <xf numFmtId="0" fontId="2" fillId="0" borderId="33" xfId="28" applyNumberFormat="1" applyFont="1" applyBorder="1"/>
    <xf numFmtId="0" fontId="1" fillId="0" borderId="0" xfId="28" applyNumberFormat="1" applyBorder="1"/>
    <xf numFmtId="0" fontId="95" fillId="28" borderId="0" xfId="0" applyFont="1" applyFill="1"/>
    <xf numFmtId="41" fontId="18" fillId="26" borderId="0" xfId="0" applyNumberFormat="1" applyFont="1" applyFill="1" applyBorder="1" applyAlignment="1"/>
    <xf numFmtId="41" fontId="95" fillId="35" borderId="0" xfId="0" applyNumberFormat="1" applyFont="1" applyFill="1" applyBorder="1"/>
    <xf numFmtId="41" fontId="18" fillId="28" borderId="0" xfId="0" applyNumberFormat="1" applyFont="1" applyFill="1" applyBorder="1" applyAlignment="1">
      <alignment horizontal="right"/>
    </xf>
    <xf numFmtId="41" fontId="95" fillId="28" borderId="0" xfId="0" applyNumberFormat="1" applyFont="1" applyFill="1"/>
    <xf numFmtId="165" fontId="1" fillId="0" borderId="0" xfId="59" applyNumberFormat="1" applyAlignment="1">
      <alignment horizontal="center"/>
    </xf>
    <xf numFmtId="165" fontId="1" fillId="0" borderId="0" xfId="59" applyNumberFormat="1" applyAlignment="1" applyProtection="1">
      <alignment horizontal="center"/>
    </xf>
    <xf numFmtId="0" fontId="8" fillId="26" borderId="29" xfId="0" applyFont="1" applyFill="1" applyBorder="1" applyAlignment="1" applyProtection="1">
      <alignment horizontal="center"/>
      <protection locked="0"/>
    </xf>
    <xf numFmtId="3" fontId="8" fillId="26" borderId="29" xfId="0" applyNumberFormat="1" applyFont="1" applyFill="1" applyBorder="1" applyAlignment="1" applyProtection="1">
      <alignment horizontal="center"/>
      <protection locked="0"/>
    </xf>
    <xf numFmtId="165" fontId="8" fillId="26" borderId="141" xfId="0" applyNumberFormat="1" applyFont="1" applyFill="1" applyBorder="1" applyAlignment="1" applyProtection="1">
      <alignment horizontal="center"/>
      <protection locked="0"/>
    </xf>
    <xf numFmtId="0" fontId="8" fillId="26" borderId="35" xfId="0" applyFont="1" applyFill="1" applyBorder="1" applyAlignment="1" applyProtection="1">
      <alignment horizontal="center"/>
      <protection locked="0"/>
    </xf>
    <xf numFmtId="170" fontId="8" fillId="26" borderId="29" xfId="0" applyNumberFormat="1" applyFont="1" applyFill="1" applyBorder="1" applyAlignment="1" applyProtection="1">
      <alignment horizontal="center"/>
      <protection locked="0"/>
    </xf>
    <xf numFmtId="176" fontId="8" fillId="26" borderId="29" xfId="0" applyNumberFormat="1" applyFont="1" applyFill="1" applyBorder="1" applyAlignment="1" applyProtection="1">
      <alignment horizontal="center"/>
      <protection locked="0"/>
    </xf>
    <xf numFmtId="3" fontId="8" fillId="26" borderId="36" xfId="0" applyNumberFormat="1" applyFont="1" applyFill="1" applyBorder="1" applyAlignment="1" applyProtection="1">
      <alignment horizontal="center"/>
      <protection locked="0"/>
    </xf>
    <xf numFmtId="184" fontId="8" fillId="26" borderId="11" xfId="0" applyNumberFormat="1" applyFont="1" applyFill="1" applyBorder="1" applyProtection="1">
      <protection locked="0"/>
    </xf>
    <xf numFmtId="184" fontId="8" fillId="26" borderId="29" xfId="0" applyNumberFormat="1" applyFont="1" applyFill="1" applyBorder="1" applyProtection="1">
      <protection locked="0"/>
    </xf>
    <xf numFmtId="0" fontId="8" fillId="24" borderId="29" xfId="0" applyFont="1" applyFill="1" applyBorder="1" applyAlignment="1" applyProtection="1">
      <alignment horizontal="right"/>
      <protection locked="0"/>
    </xf>
    <xf numFmtId="3" fontId="8" fillId="0" borderId="30" xfId="28" applyNumberFormat="1" applyFont="1" applyFill="1" applyBorder="1" applyAlignment="1" applyProtection="1">
      <alignment horizontal="center"/>
      <protection locked="0"/>
    </xf>
    <xf numFmtId="165" fontId="8" fillId="0" borderId="30" xfId="28" quotePrefix="1" applyNumberFormat="1" applyFont="1" applyFill="1" applyBorder="1" applyAlignment="1" applyProtection="1">
      <alignment horizontal="center"/>
      <protection locked="0"/>
    </xf>
    <xf numFmtId="0" fontId="8" fillId="0" borderId="30" xfId="28" applyNumberFormat="1" applyFont="1" applyBorder="1" applyAlignment="1" applyProtection="1">
      <alignment horizontal="center"/>
      <protection locked="0"/>
    </xf>
    <xf numFmtId="0" fontId="8" fillId="0" borderId="30" xfId="0" applyFont="1" applyFill="1" applyBorder="1" applyAlignment="1" applyProtection="1">
      <alignment horizontal="center" wrapText="1"/>
      <protection locked="0"/>
    </xf>
    <xf numFmtId="0" fontId="8" fillId="0" borderId="38" xfId="28" applyNumberFormat="1" applyFont="1" applyFill="1" applyBorder="1" applyAlignment="1" applyProtection="1">
      <alignment horizontal="center" vertical="top"/>
      <protection locked="0"/>
    </xf>
    <xf numFmtId="0" fontId="8" fillId="0" borderId="29" xfId="28" applyNumberFormat="1" applyFont="1" applyFill="1" applyBorder="1" applyAlignment="1" applyProtection="1">
      <alignment horizontal="center" vertical="top"/>
      <protection locked="0"/>
    </xf>
    <xf numFmtId="0" fontId="1" fillId="0" borderId="99" xfId="0" applyFont="1" applyFill="1" applyBorder="1" applyAlignment="1" applyProtection="1">
      <alignment horizontal="center"/>
    </xf>
    <xf numFmtId="164" fontId="1" fillId="0" borderId="35" xfId="28" applyNumberFormat="1" applyFont="1" applyFill="1" applyBorder="1" applyAlignment="1" applyProtection="1">
      <alignment horizontal="right"/>
      <protection locked="0"/>
    </xf>
    <xf numFmtId="164" fontId="1" fillId="0" borderId="35" xfId="28" applyNumberFormat="1" applyFont="1" applyFill="1" applyBorder="1" applyAlignment="1" applyProtection="1">
      <alignment horizontal="right"/>
    </xf>
    <xf numFmtId="164" fontId="1" fillId="0" borderId="12" xfId="28" applyNumberFormat="1" applyFont="1" applyFill="1" applyBorder="1" applyAlignment="1" applyProtection="1">
      <alignment horizontal="right"/>
      <protection locked="0"/>
    </xf>
    <xf numFmtId="5" fontId="1" fillId="0" borderId="106" xfId="0" applyNumberFormat="1" applyFont="1" applyFill="1" applyBorder="1" applyProtection="1">
      <protection locked="0"/>
    </xf>
    <xf numFmtId="165" fontId="8" fillId="0" borderId="106" xfId="59" applyNumberFormat="1" applyFont="1" applyFill="1" applyBorder="1" applyAlignment="1" applyProtection="1">
      <alignment horizontal="right"/>
      <protection locked="0"/>
    </xf>
    <xf numFmtId="0" fontId="1" fillId="0" borderId="106" xfId="0" applyFont="1" applyFill="1" applyBorder="1" applyProtection="1"/>
    <xf numFmtId="5" fontId="1" fillId="0" borderId="106" xfId="31" applyNumberFormat="1" applyFont="1" applyFill="1" applyBorder="1" applyAlignment="1" applyProtection="1">
      <alignment horizontal="center"/>
      <protection locked="0"/>
    </xf>
    <xf numFmtId="42" fontId="18" fillId="33" borderId="0" xfId="0" applyNumberFormat="1" applyFont="1" applyFill="1"/>
    <xf numFmtId="41" fontId="18" fillId="0" borderId="0" xfId="0" quotePrefix="1" applyNumberFormat="1" applyFont="1"/>
    <xf numFmtId="42" fontId="18" fillId="35" borderId="0" xfId="28" applyNumberFormat="1" applyFont="1" applyFill="1" applyBorder="1" applyAlignment="1">
      <alignment horizontal="right"/>
    </xf>
    <xf numFmtId="42" fontId="18" fillId="35" borderId="0" xfId="0" applyNumberFormat="1" applyFont="1" applyFill="1" applyBorder="1"/>
    <xf numFmtId="41" fontId="101" fillId="35" borderId="0" xfId="0" applyNumberFormat="1" applyFont="1" applyFill="1"/>
    <xf numFmtId="41" fontId="101" fillId="35" borderId="30" xfId="0" quotePrefix="1" applyNumberFormat="1" applyFont="1" applyFill="1" applyBorder="1"/>
    <xf numFmtId="41" fontId="101" fillId="35" borderId="0" xfId="0" applyNumberFormat="1" applyFont="1" applyFill="1" applyBorder="1"/>
    <xf numFmtId="41" fontId="21" fillId="0" borderId="157" xfId="0" applyNumberFormat="1" applyFont="1" applyBorder="1"/>
    <xf numFmtId="41" fontId="21" fillId="0" borderId="158" xfId="0" applyNumberFormat="1" applyFont="1" applyFill="1" applyBorder="1"/>
    <xf numFmtId="3" fontId="18" fillId="35" borderId="0" xfId="28" applyNumberFormat="1" applyFont="1" applyFill="1" applyBorder="1" applyAlignment="1">
      <alignment horizontal="right"/>
    </xf>
    <xf numFmtId="41" fontId="39" fillId="0" borderId="157" xfId="0" applyNumberFormat="1" applyFont="1" applyBorder="1"/>
    <xf numFmtId="41" fontId="18" fillId="35" borderId="131" xfId="0" applyNumberFormat="1" applyFont="1" applyFill="1" applyBorder="1"/>
    <xf numFmtId="41" fontId="18" fillId="35" borderId="124" xfId="0" applyNumberFormat="1" applyFont="1" applyFill="1" applyBorder="1"/>
    <xf numFmtId="41" fontId="39" fillId="35" borderId="37" xfId="0" applyNumberFormat="1" applyFont="1" applyFill="1" applyBorder="1"/>
    <xf numFmtId="41" fontId="39" fillId="0" borderId="159" xfId="0" applyNumberFormat="1" applyFont="1" applyBorder="1"/>
    <xf numFmtId="42" fontId="18" fillId="36" borderId="0" xfId="0" applyNumberFormat="1" applyFont="1" applyFill="1" applyBorder="1"/>
    <xf numFmtId="41" fontId="18" fillId="0" borderId="44" xfId="0" applyNumberFormat="1" applyFont="1" applyFill="1" applyBorder="1"/>
    <xf numFmtId="174" fontId="1" fillId="0" borderId="59" xfId="31" applyNumberFormat="1" applyFont="1" applyFill="1" applyBorder="1" applyAlignment="1" applyProtection="1">
      <protection locked="0"/>
    </xf>
    <xf numFmtId="174" fontId="1" fillId="0" borderId="160" xfId="31" applyNumberFormat="1" applyFont="1" applyFill="1" applyBorder="1" applyAlignment="1" applyProtection="1"/>
    <xf numFmtId="174" fontId="25" fillId="0" borderId="108" xfId="31" applyNumberFormat="1" applyFont="1" applyFill="1" applyBorder="1" applyAlignment="1" applyProtection="1">
      <protection locked="0"/>
    </xf>
    <xf numFmtId="174" fontId="1" fillId="0" borderId="161" xfId="31" applyNumberFormat="1" applyFont="1" applyFill="1" applyBorder="1" applyAlignment="1" applyProtection="1"/>
    <xf numFmtId="174" fontId="1" fillId="0" borderId="89" xfId="31" applyNumberFormat="1" applyFont="1" applyFill="1" applyBorder="1" applyAlignment="1" applyProtection="1"/>
    <xf numFmtId="41" fontId="46" fillId="0" borderId="0" xfId="0" applyNumberFormat="1" applyFont="1"/>
    <xf numFmtId="37" fontId="22" fillId="0" borderId="0" xfId="0" applyNumberFormat="1" applyFont="1" applyFill="1" applyProtection="1"/>
    <xf numFmtId="0" fontId="8" fillId="0" borderId="0" xfId="0" applyFont="1" applyBorder="1" applyAlignment="1" applyProtection="1">
      <protection locked="0"/>
    </xf>
    <xf numFmtId="0" fontId="8" fillId="0" borderId="72" xfId="0" applyFont="1" applyBorder="1" applyProtection="1"/>
    <xf numFmtId="41" fontId="18" fillId="36" borderId="131" xfId="0" applyNumberFormat="1" applyFont="1" applyFill="1" applyBorder="1"/>
    <xf numFmtId="41" fontId="18" fillId="36" borderId="30" xfId="0" applyNumberFormat="1" applyFont="1" applyFill="1" applyBorder="1"/>
    <xf numFmtId="41" fontId="18" fillId="36" borderId="124" xfId="0" applyNumberFormat="1" applyFont="1" applyFill="1" applyBorder="1"/>
    <xf numFmtId="0" fontId="42" fillId="27" borderId="0" xfId="29" applyNumberFormat="1" applyFont="1" applyFill="1" applyBorder="1"/>
    <xf numFmtId="165" fontId="18" fillId="0" borderId="0" xfId="60" applyNumberFormat="1" applyFont="1" applyFill="1" applyBorder="1" applyAlignment="1" applyProtection="1">
      <alignment horizontal="center"/>
    </xf>
    <xf numFmtId="165" fontId="39" fillId="29" borderId="0" xfId="60" applyNumberFormat="1" applyFont="1" applyFill="1" applyBorder="1" applyAlignment="1" applyProtection="1">
      <alignment horizontal="center"/>
      <protection locked="0"/>
    </xf>
    <xf numFmtId="165" fontId="18" fillId="0" borderId="0" xfId="60" applyNumberFormat="1" applyFont="1" applyBorder="1" applyProtection="1"/>
    <xf numFmtId="0" fontId="18" fillId="0" borderId="34" xfId="29" applyNumberFormat="1" applyFont="1" applyBorder="1" applyProtection="1"/>
    <xf numFmtId="0" fontId="45" fillId="0" borderId="0" xfId="48" applyNumberFormat="1" applyFont="1" applyBorder="1" applyAlignment="1"/>
    <xf numFmtId="9" fontId="45" fillId="0" borderId="0" xfId="60" applyFont="1" applyBorder="1" applyAlignment="1">
      <alignment horizontal="right"/>
    </xf>
    <xf numFmtId="0" fontId="18" fillId="0" borderId="0" xfId="48" quotePrefix="1" applyNumberFormat="1" applyFont="1" applyBorder="1" applyAlignment="1"/>
    <xf numFmtId="5" fontId="18" fillId="0" borderId="0" xfId="48" applyNumberFormat="1" applyFont="1" applyBorder="1" applyAlignment="1">
      <alignment horizontal="right"/>
    </xf>
    <xf numFmtId="0" fontId="18" fillId="0" borderId="30" xfId="48" applyNumberFormat="1" applyFont="1" applyBorder="1" applyAlignment="1">
      <alignment vertical="center"/>
    </xf>
    <xf numFmtId="0" fontId="18" fillId="0" borderId="41" xfId="48" quotePrefix="1" applyNumberFormat="1" applyFont="1" applyBorder="1" applyAlignment="1">
      <alignment vertical="center"/>
    </xf>
    <xf numFmtId="37" fontId="18" fillId="0" borderId="30" xfId="48" applyNumberFormat="1" applyFont="1" applyBorder="1" applyAlignment="1">
      <alignment vertical="center"/>
    </xf>
    <xf numFmtId="5" fontId="18" fillId="0" borderId="30" xfId="48" applyNumberFormat="1" applyFont="1" applyBorder="1" applyAlignment="1">
      <alignment vertical="center"/>
    </xf>
    <xf numFmtId="0" fontId="18" fillId="0" borderId="0" xfId="0" applyFont="1" applyAlignment="1">
      <alignment horizontal="center"/>
    </xf>
    <xf numFmtId="0" fontId="41" fillId="0" borderId="41" xfId="48" applyNumberFormat="1" applyFont="1" applyBorder="1" applyAlignment="1">
      <alignment vertical="center"/>
    </xf>
    <xf numFmtId="42" fontId="18" fillId="0" borderId="42" xfId="48" applyNumberFormat="1" applyFont="1" applyBorder="1" applyAlignment="1">
      <alignment vertical="center"/>
    </xf>
    <xf numFmtId="191" fontId="18" fillId="0" borderId="0" xfId="0" applyNumberFormat="1" applyFont="1" applyAlignment="1">
      <alignment horizontal="center"/>
    </xf>
    <xf numFmtId="165" fontId="18" fillId="0" borderId="0" xfId="60" applyNumberFormat="1" applyFont="1"/>
    <xf numFmtId="0" fontId="41" fillId="0" borderId="0" xfId="48" applyNumberFormat="1" applyFont="1" applyAlignment="1">
      <alignment vertical="center"/>
    </xf>
    <xf numFmtId="0" fontId="41" fillId="0" borderId="50" xfId="48" applyNumberFormat="1" applyFont="1" applyFill="1" applyBorder="1" applyAlignment="1">
      <alignment vertical="center"/>
    </xf>
    <xf numFmtId="0" fontId="41" fillId="0" borderId="39" xfId="48" applyNumberFormat="1" applyFont="1" applyFill="1" applyBorder="1" applyAlignment="1">
      <alignment vertical="center"/>
    </xf>
    <xf numFmtId="165" fontId="41" fillId="0" borderId="40" xfId="29" applyNumberFormat="1" applyFont="1" applyFill="1" applyBorder="1" applyAlignment="1" applyProtection="1">
      <alignment vertical="center"/>
    </xf>
    <xf numFmtId="5" fontId="41" fillId="0" borderId="38" xfId="60" applyNumberFormat="1" applyFont="1" applyFill="1" applyBorder="1" applyAlignment="1" applyProtection="1">
      <alignment vertical="center"/>
    </xf>
    <xf numFmtId="165" fontId="18" fillId="0" borderId="0" xfId="60" applyNumberFormat="1" applyFont="1" applyFill="1" applyBorder="1" applyAlignment="1" applyProtection="1">
      <alignment vertical="center"/>
    </xf>
    <xf numFmtId="170" fontId="18" fillId="0" borderId="11" xfId="60" applyNumberFormat="1" applyFont="1" applyFill="1" applyBorder="1" applyAlignment="1" applyProtection="1">
      <alignment vertical="center"/>
    </xf>
    <xf numFmtId="37" fontId="18" fillId="0" borderId="0" xfId="48" applyNumberFormat="1" applyFont="1" applyAlignment="1"/>
    <xf numFmtId="165" fontId="21" fillId="26" borderId="0" xfId="0" applyNumberFormat="1" applyFont="1" applyFill="1"/>
    <xf numFmtId="0" fontId="18" fillId="0" borderId="50" xfId="48" applyNumberFormat="1" applyFont="1" applyBorder="1" applyAlignment="1">
      <alignment horizontal="right"/>
    </xf>
    <xf numFmtId="165" fontId="18" fillId="0" borderId="40" xfId="48" applyNumberFormat="1" applyFont="1" applyBorder="1" applyAlignment="1">
      <alignment horizontal="center"/>
    </xf>
    <xf numFmtId="0" fontId="18" fillId="0" borderId="34" xfId="48" applyNumberFormat="1" applyFont="1" applyBorder="1" applyAlignment="1">
      <alignment horizontal="right"/>
    </xf>
    <xf numFmtId="180" fontId="18" fillId="0" borderId="38" xfId="28" applyNumberFormat="1" applyFont="1" applyFill="1" applyBorder="1" applyAlignment="1" applyProtection="1">
      <alignment horizontal="center" vertical="center"/>
    </xf>
    <xf numFmtId="0" fontId="18" fillId="0" borderId="0" xfId="48" applyNumberFormat="1" applyFont="1" applyAlignment="1">
      <alignment horizontal="right" vertical="center"/>
    </xf>
    <xf numFmtId="0" fontId="18" fillId="28" borderId="0" xfId="48" applyNumberFormat="1" applyFont="1" applyFill="1" applyAlignment="1">
      <alignment horizontal="center"/>
    </xf>
    <xf numFmtId="0" fontId="18" fillId="0" borderId="0" xfId="48" applyNumberFormat="1" applyFont="1" applyFill="1"/>
    <xf numFmtId="0" fontId="18" fillId="0" borderId="0" xfId="48" applyNumberFormat="1" applyFont="1" applyFill="1" applyAlignment="1">
      <alignment horizontal="center"/>
    </xf>
    <xf numFmtId="42" fontId="18" fillId="0" borderId="0" xfId="48" applyNumberFormat="1" applyFont="1" applyFill="1"/>
    <xf numFmtId="165" fontId="18" fillId="0" borderId="0" xfId="48" applyNumberFormat="1" applyFont="1" applyFill="1"/>
    <xf numFmtId="0" fontId="18" fillId="0" borderId="0" xfId="0" applyFont="1" applyAlignment="1">
      <alignment horizontal="left" indent="1"/>
    </xf>
    <xf numFmtId="0" fontId="18" fillId="0" borderId="0" xfId="0" applyFont="1" applyAlignment="1">
      <alignment horizontal="left" indent="2"/>
    </xf>
    <xf numFmtId="190" fontId="18" fillId="0" borderId="0" xfId="0" applyNumberFormat="1" applyFont="1"/>
    <xf numFmtId="0" fontId="44" fillId="0" borderId="0" xfId="0" applyFont="1"/>
    <xf numFmtId="0" fontId="8" fillId="0" borderId="0" xfId="28" applyNumberFormat="1" applyFont="1" applyFill="1" applyBorder="1" applyAlignment="1" applyProtection="1">
      <alignment horizontal="center"/>
      <protection locked="0"/>
    </xf>
    <xf numFmtId="172" fontId="48" fillId="26" borderId="28" xfId="0" applyNumberFormat="1" applyFont="1" applyFill="1" applyBorder="1" applyAlignment="1" applyProtection="1">
      <alignment horizontal="center"/>
      <protection locked="0"/>
    </xf>
    <xf numFmtId="172" fontId="48" fillId="26" borderId="0" xfId="0" applyNumberFormat="1" applyFont="1" applyFill="1" applyBorder="1" applyAlignment="1" applyProtection="1">
      <alignment horizontal="center"/>
      <protection locked="0"/>
    </xf>
    <xf numFmtId="1" fontId="1" fillId="0" borderId="0" xfId="47" applyNumberFormat="1" applyFont="1" applyBorder="1" applyAlignment="1" applyProtection="1">
      <alignment horizontal="right"/>
    </xf>
    <xf numFmtId="0" fontId="1" fillId="0" borderId="0" xfId="47" quotePrefix="1" applyFont="1" applyBorder="1" applyAlignment="1" applyProtection="1"/>
    <xf numFmtId="43" fontId="1" fillId="0" borderId="90" xfId="31" applyNumberFormat="1" applyFont="1" applyBorder="1" applyAlignment="1" applyProtection="1"/>
    <xf numFmtId="43" fontId="1" fillId="0" borderId="91" xfId="31" applyNumberFormat="1" applyFont="1" applyBorder="1" applyAlignment="1" applyProtection="1"/>
    <xf numFmtId="43" fontId="1" fillId="0" borderId="92" xfId="31" applyNumberFormat="1" applyFont="1" applyBorder="1" applyAlignment="1" applyProtection="1"/>
    <xf numFmtId="43" fontId="1" fillId="0" borderId="93" xfId="31" applyNumberFormat="1" applyFont="1" applyBorder="1" applyAlignment="1" applyProtection="1"/>
    <xf numFmtId="43" fontId="1" fillId="0" borderId="90" xfId="31" applyNumberFormat="1" applyFont="1" applyBorder="1" applyProtection="1"/>
    <xf numFmtId="43" fontId="1" fillId="0" borderId="93" xfId="31" applyNumberFormat="1" applyFont="1" applyBorder="1" applyProtection="1"/>
    <xf numFmtId="43" fontId="1" fillId="0" borderId="92" xfId="31" applyNumberFormat="1" applyFont="1" applyBorder="1" applyProtection="1"/>
    <xf numFmtId="43" fontId="1" fillId="0" borderId="95" xfId="31" applyNumberFormat="1" applyFont="1" applyBorder="1" applyProtection="1"/>
    <xf numFmtId="41" fontId="1" fillId="0" borderId="30" xfId="31" applyNumberFormat="1" applyFont="1" applyFill="1" applyBorder="1" applyProtection="1"/>
    <xf numFmtId="43" fontId="1" fillId="0" borderId="30" xfId="31" applyNumberFormat="1" applyFont="1" applyFill="1" applyBorder="1" applyProtection="1"/>
    <xf numFmtId="41" fontId="1" fillId="0" borderId="0" xfId="31" applyNumberFormat="1" applyFont="1" applyFill="1" applyBorder="1" applyProtection="1"/>
    <xf numFmtId="43" fontId="1" fillId="0" borderId="0" xfId="31" applyNumberFormat="1" applyFont="1" applyFill="1" applyBorder="1" applyProtection="1"/>
    <xf numFmtId="44" fontId="1" fillId="0" borderId="0" xfId="31" applyFont="1" applyFill="1" applyBorder="1" applyProtection="1"/>
    <xf numFmtId="0" fontId="1" fillId="0" borderId="0" xfId="0" applyFont="1" applyBorder="1" applyAlignment="1" applyProtection="1">
      <alignment horizontal="center"/>
    </xf>
    <xf numFmtId="165" fontId="34" fillId="0" borderId="44" xfId="0" applyNumberFormat="1" applyFont="1" applyBorder="1" applyAlignment="1" applyProtection="1">
      <alignment horizontal="right"/>
    </xf>
    <xf numFmtId="5" fontId="34" fillId="0" borderId="0" xfId="31" applyNumberFormat="1" applyFont="1" applyFill="1" applyBorder="1" applyAlignment="1" applyProtection="1">
      <alignment horizontal="right"/>
      <protection locked="0"/>
    </xf>
    <xf numFmtId="37" fontId="48" fillId="24" borderId="0" xfId="0" applyNumberFormat="1" applyFont="1" applyFill="1" applyBorder="1" applyAlignment="1" applyProtection="1">
      <alignment horizontal="right"/>
    </xf>
    <xf numFmtId="37" fontId="48" fillId="24" borderId="162" xfId="0" applyNumberFormat="1" applyFont="1" applyFill="1" applyBorder="1" applyAlignment="1" applyProtection="1">
      <alignment horizontal="center"/>
    </xf>
    <xf numFmtId="37" fontId="48" fillId="24" borderId="163" xfId="0" applyNumberFormat="1" applyFont="1" applyFill="1" applyBorder="1" applyAlignment="1" applyProtection="1">
      <alignment horizontal="center"/>
    </xf>
    <xf numFmtId="37" fontId="48" fillId="24" borderId="0" xfId="0" applyNumberFormat="1" applyFont="1" applyFill="1" applyBorder="1" applyAlignment="1" applyProtection="1">
      <alignment horizontal="center"/>
    </xf>
    <xf numFmtId="188" fontId="48" fillId="24" borderId="163" xfId="0" applyNumberFormat="1" applyFont="1" applyFill="1" applyBorder="1" applyAlignment="1" applyProtection="1">
      <alignment horizontal="center"/>
    </xf>
    <xf numFmtId="37" fontId="8" fillId="26" borderId="29" xfId="0" applyNumberFormat="1" applyFont="1" applyFill="1" applyBorder="1" applyAlignment="1" applyProtection="1">
      <alignment horizontal="center"/>
      <protection locked="0"/>
    </xf>
    <xf numFmtId="9" fontId="8" fillId="26" borderId="29" xfId="59" applyFont="1" applyFill="1" applyBorder="1" applyAlignment="1" applyProtection="1">
      <alignment horizontal="center"/>
      <protection locked="0"/>
    </xf>
    <xf numFmtId="37" fontId="2" fillId="24" borderId="14" xfId="0" applyNumberFormat="1" applyFont="1" applyFill="1" applyBorder="1" applyAlignment="1" applyProtection="1"/>
    <xf numFmtId="0" fontId="1" fillId="0" borderId="28" xfId="0" applyNumberFormat="1" applyFont="1" applyFill="1" applyBorder="1" applyAlignment="1" applyProtection="1"/>
    <xf numFmtId="37" fontId="48" fillId="24" borderId="28" xfId="0" applyNumberFormat="1" applyFont="1" applyFill="1" applyBorder="1" applyAlignment="1" applyProtection="1"/>
    <xf numFmtId="37" fontId="48" fillId="0" borderId="28" xfId="0" applyNumberFormat="1" applyFont="1" applyFill="1" applyBorder="1" applyAlignment="1" applyProtection="1"/>
    <xf numFmtId="37" fontId="48" fillId="24" borderId="28" xfId="0" applyNumberFormat="1" applyFont="1" applyFill="1" applyBorder="1" applyAlignment="1" applyProtection="1">
      <alignment horizontal="right"/>
    </xf>
    <xf numFmtId="0" fontId="48" fillId="24" borderId="28" xfId="0" applyNumberFormat="1" applyFont="1" applyFill="1" applyBorder="1" applyAlignment="1" applyProtection="1">
      <alignment horizontal="right"/>
    </xf>
    <xf numFmtId="165" fontId="48" fillId="0" borderId="28" xfId="59" applyNumberFormat="1" applyFont="1" applyFill="1" applyBorder="1" applyAlignment="1" applyProtection="1">
      <alignment horizontal="right"/>
    </xf>
    <xf numFmtId="37" fontId="48" fillId="0" borderId="28" xfId="0" applyNumberFormat="1" applyFont="1" applyFill="1" applyBorder="1" applyAlignment="1" applyProtection="1">
      <alignment horizontal="right"/>
    </xf>
    <xf numFmtId="0" fontId="1" fillId="24" borderId="76" xfId="0" applyNumberFormat="1" applyFont="1" applyFill="1" applyBorder="1" applyAlignment="1" applyProtection="1"/>
    <xf numFmtId="0" fontId="1" fillId="0" borderId="43" xfId="0" applyNumberFormat="1" applyFont="1" applyFill="1" applyBorder="1" applyAlignment="1" applyProtection="1"/>
    <xf numFmtId="0" fontId="1" fillId="0" borderId="94" xfId="0" applyNumberFormat="1" applyFont="1" applyFill="1" applyBorder="1" applyAlignment="1" applyProtection="1"/>
    <xf numFmtId="0" fontId="1" fillId="24" borderId="43" xfId="0" applyNumberFormat="1" applyFont="1" applyFill="1" applyBorder="1" applyAlignment="1" applyProtection="1"/>
    <xf numFmtId="37" fontId="48" fillId="24" borderId="0" xfId="0" applyNumberFormat="1" applyFont="1" applyFill="1" applyBorder="1" applyAlignment="1" applyProtection="1"/>
    <xf numFmtId="0" fontId="48" fillId="24" borderId="0" xfId="0" applyNumberFormat="1" applyFont="1" applyFill="1" applyBorder="1" applyAlignment="1" applyProtection="1">
      <alignment horizontal="right"/>
    </xf>
    <xf numFmtId="0" fontId="1" fillId="24" borderId="94" xfId="0" applyNumberFormat="1" applyFont="1" applyFill="1" applyBorder="1" applyAlignment="1" applyProtection="1"/>
    <xf numFmtId="165" fontId="48" fillId="0" borderId="0" xfId="59" applyNumberFormat="1" applyFont="1" applyFill="1" applyBorder="1" applyAlignment="1" applyProtection="1">
      <alignment horizontal="right"/>
    </xf>
    <xf numFmtId="0" fontId="1" fillId="24" borderId="77" xfId="0" applyNumberFormat="1" applyFont="1" applyFill="1" applyBorder="1" applyAlignment="1" applyProtection="1"/>
    <xf numFmtId="0" fontId="1" fillId="0" borderId="27" xfId="0" applyNumberFormat="1" applyFont="1" applyFill="1" applyBorder="1" applyAlignment="1" applyProtection="1"/>
    <xf numFmtId="37" fontId="48" fillId="24" borderId="27" xfId="0" applyNumberFormat="1" applyFont="1" applyFill="1" applyBorder="1" applyAlignment="1" applyProtection="1"/>
    <xf numFmtId="37" fontId="48" fillId="24" borderId="27" xfId="0" applyNumberFormat="1" applyFont="1" applyFill="1" applyBorder="1" applyAlignment="1" applyProtection="1">
      <alignment horizontal="right"/>
    </xf>
    <xf numFmtId="0" fontId="48" fillId="24" borderId="27" xfId="0" applyNumberFormat="1" applyFont="1" applyFill="1" applyBorder="1" applyAlignment="1" applyProtection="1">
      <alignment horizontal="right"/>
    </xf>
    <xf numFmtId="165" fontId="48" fillId="0" borderId="27" xfId="59" applyNumberFormat="1" applyFont="1" applyFill="1" applyBorder="1" applyAlignment="1" applyProtection="1">
      <alignment horizontal="right"/>
    </xf>
    <xf numFmtId="37" fontId="48" fillId="0" borderId="27" xfId="0" applyNumberFormat="1" applyFont="1" applyFill="1" applyBorder="1" applyAlignment="1" applyProtection="1"/>
    <xf numFmtId="37" fontId="48" fillId="0" borderId="27" xfId="0" applyNumberFormat="1" applyFont="1" applyFill="1" applyBorder="1" applyAlignment="1" applyProtection="1">
      <alignment horizontal="right"/>
    </xf>
    <xf numFmtId="0" fontId="1" fillId="24" borderId="78" xfId="0" applyNumberFormat="1" applyFont="1" applyFill="1" applyBorder="1" applyAlignment="1" applyProtection="1"/>
    <xf numFmtId="3" fontId="18" fillId="28" borderId="52" xfId="0" quotePrefix="1" applyNumberFormat="1" applyFont="1" applyFill="1" applyBorder="1" applyAlignment="1">
      <alignment horizontal="right"/>
    </xf>
    <xf numFmtId="3" fontId="18" fillId="28" borderId="0" xfId="0" quotePrefix="1" applyNumberFormat="1" applyFont="1" applyFill="1" applyAlignment="1">
      <alignment horizontal="right"/>
    </xf>
    <xf numFmtId="3" fontId="18" fillId="28" borderId="54" xfId="0" quotePrefix="1" applyNumberFormat="1" applyFont="1" applyFill="1" applyBorder="1" applyAlignment="1">
      <alignment horizontal="right"/>
    </xf>
    <xf numFmtId="0" fontId="22" fillId="0" borderId="0" xfId="59" applyNumberFormat="1" applyFont="1" applyFill="1" applyAlignment="1" applyProtection="1">
      <alignment horizontal="right"/>
    </xf>
    <xf numFmtId="0" fontId="22" fillId="0" borderId="0" xfId="0" applyNumberFormat="1" applyFont="1" applyFill="1" applyAlignment="1" applyProtection="1"/>
    <xf numFmtId="0" fontId="22" fillId="0" borderId="0" xfId="0" applyNumberFormat="1" applyFont="1" applyFill="1" applyAlignment="1" applyProtection="1">
      <alignment horizontal="right"/>
    </xf>
    <xf numFmtId="41" fontId="18" fillId="0" borderId="37" xfId="48" applyNumberFormat="1" applyFont="1" applyBorder="1" applyAlignment="1">
      <alignment vertical="center"/>
    </xf>
    <xf numFmtId="37" fontId="39" fillId="0" borderId="0" xfId="0" applyNumberFormat="1" applyFont="1" applyAlignment="1" applyProtection="1">
      <alignment horizontal="right"/>
    </xf>
    <xf numFmtId="1" fontId="16" fillId="0" borderId="52" xfId="0" applyNumberFormat="1" applyFont="1" applyFill="1" applyBorder="1" applyAlignment="1" applyProtection="1"/>
    <xf numFmtId="9" fontId="8" fillId="26" borderId="36" xfId="0" applyNumberFormat="1" applyFont="1" applyFill="1" applyBorder="1" applyAlignment="1" applyProtection="1">
      <alignment horizontal="center"/>
      <protection locked="0"/>
    </xf>
    <xf numFmtId="0" fontId="0" fillId="24" borderId="29" xfId="0" applyFill="1" applyBorder="1"/>
    <xf numFmtId="37" fontId="18" fillId="28" borderId="0" xfId="0" applyNumberFormat="1" applyFont="1" applyFill="1" applyAlignment="1" applyProtection="1"/>
    <xf numFmtId="37" fontId="18" fillId="28" borderId="0" xfId="28" applyNumberFormat="1" applyFont="1" applyFill="1" applyBorder="1" applyAlignment="1" applyProtection="1"/>
    <xf numFmtId="3" fontId="18" fillId="30" borderId="52" xfId="0" quotePrefix="1" applyNumberFormat="1" applyFont="1" applyFill="1" applyBorder="1" applyAlignment="1">
      <alignment horizontal="right"/>
    </xf>
    <xf numFmtId="3" fontId="41" fillId="0" borderId="52" xfId="0" quotePrefix="1" applyNumberFormat="1" applyFont="1" applyFill="1" applyBorder="1" applyAlignment="1">
      <alignment horizontal="right"/>
    </xf>
    <xf numFmtId="3" fontId="41" fillId="30" borderId="52" xfId="0" quotePrefix="1" applyNumberFormat="1" applyFont="1" applyFill="1" applyBorder="1" applyAlignment="1">
      <alignment horizontal="right"/>
    </xf>
    <xf numFmtId="3" fontId="18" fillId="26" borderId="52" xfId="0" quotePrefix="1" applyNumberFormat="1" applyFont="1" applyFill="1" applyBorder="1" applyAlignment="1">
      <alignment horizontal="right"/>
    </xf>
    <xf numFmtId="0" fontId="8" fillId="24" borderId="30" xfId="28" applyNumberFormat="1" applyFont="1" applyFill="1" applyBorder="1" applyAlignment="1" applyProtection="1">
      <alignment horizontal="center"/>
      <protection locked="0"/>
    </xf>
    <xf numFmtId="5" fontId="8" fillId="29" borderId="0" xfId="0" applyNumberFormat="1" applyFont="1" applyFill="1" applyAlignment="1" applyProtection="1"/>
    <xf numFmtId="37" fontId="8" fillId="29" borderId="0" xfId="0" applyNumberFormat="1" applyFont="1" applyFill="1" applyAlignment="1" applyProtection="1"/>
    <xf numFmtId="0" fontId="2" fillId="24" borderId="0" xfId="51" applyFont="1" applyFill="1" applyBorder="1" applyAlignment="1">
      <alignment horizontal="right"/>
    </xf>
    <xf numFmtId="0" fontId="2" fillId="24" borderId="0" xfId="51" applyFont="1" applyFill="1" applyAlignment="1">
      <alignment horizontal="right"/>
    </xf>
    <xf numFmtId="1" fontId="1" fillId="0" borderId="52" xfId="0" applyNumberFormat="1" applyFont="1" applyFill="1" applyBorder="1" applyAlignment="1" applyProtection="1"/>
    <xf numFmtId="1" fontId="1" fillId="0" borderId="0" xfId="0" applyNumberFormat="1" applyFont="1" applyFill="1" applyBorder="1" applyAlignment="1" applyProtection="1"/>
    <xf numFmtId="1" fontId="1" fillId="0" borderId="54" xfId="0" applyNumberFormat="1" applyFont="1" applyFill="1" applyBorder="1" applyAlignment="1" applyProtection="1"/>
    <xf numFmtId="3" fontId="18" fillId="33" borderId="52" xfId="0" quotePrefix="1" applyNumberFormat="1" applyFont="1" applyFill="1" applyBorder="1" applyAlignment="1">
      <alignment horizontal="right"/>
    </xf>
    <xf numFmtId="3" fontId="18" fillId="33" borderId="0" xfId="0" quotePrefix="1" applyNumberFormat="1" applyFont="1" applyFill="1" applyAlignment="1">
      <alignment horizontal="right"/>
    </xf>
    <xf numFmtId="3" fontId="18" fillId="33" borderId="54" xfId="0" quotePrefix="1" applyNumberFormat="1" applyFont="1" applyFill="1" applyBorder="1" applyAlignment="1">
      <alignment horizontal="right"/>
    </xf>
    <xf numFmtId="0" fontId="18" fillId="37" borderId="0" xfId="0" quotePrefix="1" applyFont="1" applyFill="1"/>
    <xf numFmtId="41" fontId="18" fillId="38" borderId="0" xfId="0" applyNumberFormat="1" applyFont="1" applyFill="1" applyBorder="1"/>
    <xf numFmtId="41" fontId="39" fillId="36" borderId="106" xfId="0" applyNumberFormat="1" applyFont="1" applyFill="1" applyBorder="1" applyAlignment="1">
      <alignment horizontal="right"/>
    </xf>
    <xf numFmtId="41" fontId="18" fillId="36" borderId="0" xfId="0" applyNumberFormat="1" applyFont="1" applyFill="1" applyAlignment="1">
      <alignment horizontal="right"/>
    </xf>
    <xf numFmtId="41" fontId="18" fillId="38" borderId="0" xfId="0" applyNumberFormat="1" applyFont="1" applyFill="1"/>
    <xf numFmtId="41" fontId="18" fillId="38" borderId="30" xfId="0" applyNumberFormat="1" applyFont="1" applyFill="1" applyBorder="1"/>
    <xf numFmtId="41" fontId="18" fillId="38" borderId="131" xfId="0" applyNumberFormat="1" applyFont="1" applyFill="1" applyBorder="1"/>
    <xf numFmtId="41" fontId="18" fillId="38" borderId="124" xfId="0" applyNumberFormat="1" applyFont="1" applyFill="1" applyBorder="1"/>
    <xf numFmtId="37" fontId="18" fillId="38" borderId="0" xfId="0" applyNumberFormat="1" applyFont="1" applyFill="1" applyAlignment="1" applyProtection="1"/>
    <xf numFmtId="0" fontId="18" fillId="0" borderId="141" xfId="0" applyFont="1" applyBorder="1"/>
    <xf numFmtId="0" fontId="18" fillId="0" borderId="39" xfId="0" quotePrefix="1" applyFont="1" applyBorder="1"/>
    <xf numFmtId="3" fontId="18" fillId="0" borderId="39" xfId="0" quotePrefix="1" applyNumberFormat="1" applyFont="1" applyBorder="1" applyAlignment="1">
      <alignment horizontal="right"/>
    </xf>
    <xf numFmtId="3" fontId="18" fillId="0" borderId="128" xfId="0" quotePrefix="1" applyNumberFormat="1" applyFont="1" applyBorder="1" applyAlignment="1">
      <alignment horizontal="right"/>
    </xf>
    <xf numFmtId="3" fontId="18" fillId="30" borderId="127" xfId="0" quotePrefix="1" applyNumberFormat="1" applyFont="1" applyFill="1" applyBorder="1" applyAlignment="1">
      <alignment horizontal="right"/>
    </xf>
    <xf numFmtId="37" fontId="18" fillId="36" borderId="0" xfId="0" applyNumberFormat="1" applyFont="1" applyFill="1" applyAlignment="1" applyProtection="1"/>
    <xf numFmtId="192" fontId="18" fillId="0" borderId="0" xfId="59" applyNumberFormat="1" applyFont="1" applyFill="1" applyAlignment="1" applyProtection="1"/>
    <xf numFmtId="37" fontId="101" fillId="0" borderId="0" xfId="0" applyNumberFormat="1" applyFont="1" applyFill="1" applyAlignment="1" applyProtection="1"/>
    <xf numFmtId="188" fontId="18" fillId="0" borderId="0" xfId="0" applyNumberFormat="1" applyFont="1" applyFill="1" applyAlignment="1" applyProtection="1"/>
    <xf numFmtId="37" fontId="3" fillId="0" borderId="39" xfId="0" applyNumberFormat="1" applyFont="1" applyFill="1" applyBorder="1" applyAlignment="1" applyProtection="1"/>
    <xf numFmtId="37" fontId="3" fillId="0" borderId="40" xfId="0" applyNumberFormat="1" applyFont="1" applyFill="1" applyBorder="1" applyAlignment="1" applyProtection="1"/>
    <xf numFmtId="37" fontId="3" fillId="0" borderId="33" xfId="0" applyNumberFormat="1" applyFont="1" applyFill="1" applyBorder="1" applyAlignment="1" applyProtection="1"/>
    <xf numFmtId="37" fontId="3" fillId="0" borderId="9" xfId="0" applyNumberFormat="1" applyFont="1" applyFill="1" applyBorder="1" applyAlignment="1" applyProtection="1"/>
    <xf numFmtId="37" fontId="0" fillId="0" borderId="0" xfId="0" applyNumberFormat="1" applyFill="1" applyBorder="1" applyAlignment="1" applyProtection="1"/>
    <xf numFmtId="0" fontId="3" fillId="0" borderId="33" xfId="0" applyFont="1" applyBorder="1" applyAlignment="1" applyProtection="1"/>
    <xf numFmtId="0" fontId="3" fillId="0" borderId="9" xfId="0" applyFont="1" applyBorder="1" applyAlignment="1" applyProtection="1"/>
    <xf numFmtId="0" fontId="70" fillId="0" borderId="33" xfId="0" applyFont="1" applyBorder="1" applyAlignment="1" applyProtection="1"/>
    <xf numFmtId="0" fontId="0" fillId="0" borderId="0" xfId="0" applyFont="1" applyBorder="1" applyAlignment="1" applyProtection="1"/>
    <xf numFmtId="0" fontId="0" fillId="0" borderId="33" xfId="0" applyFont="1" applyBorder="1" applyAlignment="1" applyProtection="1"/>
    <xf numFmtId="0" fontId="30" fillId="0" borderId="9" xfId="0" applyFont="1" applyBorder="1" applyAlignment="1" applyProtection="1"/>
    <xf numFmtId="7" fontId="2" fillId="0" borderId="0" xfId="0" applyNumberFormat="1" applyFont="1" applyBorder="1" applyAlignment="1" applyProtection="1"/>
    <xf numFmtId="7" fontId="108" fillId="0" borderId="0" xfId="0" applyNumberFormat="1" applyFont="1" applyBorder="1" applyAlignment="1" applyProtection="1"/>
    <xf numFmtId="37" fontId="109" fillId="28" borderId="39" xfId="0" applyNumberFormat="1" applyFont="1" applyFill="1" applyBorder="1" applyAlignment="1" applyProtection="1">
      <alignment horizontal="centerContinuous"/>
    </xf>
    <xf numFmtId="37" fontId="109" fillId="28" borderId="40" xfId="0" applyNumberFormat="1" applyFont="1" applyFill="1" applyBorder="1" applyAlignment="1" applyProtection="1">
      <alignment horizontal="centerContinuous"/>
    </xf>
    <xf numFmtId="37" fontId="3" fillId="0" borderId="50" xfId="0" applyNumberFormat="1" applyFont="1" applyFill="1" applyBorder="1" applyAlignment="1" applyProtection="1"/>
    <xf numFmtId="37" fontId="109" fillId="28" borderId="50" xfId="0" applyNumberFormat="1" applyFont="1" applyFill="1" applyBorder="1" applyAlignment="1" applyProtection="1">
      <alignment horizontal="centerContinuous" vertical="center"/>
    </xf>
    <xf numFmtId="0" fontId="30" fillId="0" borderId="39" xfId="0" applyFont="1" applyBorder="1" applyAlignment="1" applyProtection="1"/>
    <xf numFmtId="7" fontId="94" fillId="0" borderId="0" xfId="0" applyNumberFormat="1" applyFont="1" applyBorder="1" applyAlignment="1" applyProtection="1"/>
    <xf numFmtId="169" fontId="94" fillId="0" borderId="0" xfId="0" applyNumberFormat="1" applyFont="1" applyBorder="1" applyAlignment="1" applyProtection="1"/>
    <xf numFmtId="8" fontId="30" fillId="24" borderId="0" xfId="0" applyNumberFormat="1" applyFont="1" applyFill="1" applyAlignment="1" applyProtection="1"/>
    <xf numFmtId="9" fontId="30" fillId="24" borderId="0" xfId="0" applyNumberFormat="1" applyFont="1" applyFill="1" applyAlignment="1" applyProtection="1"/>
    <xf numFmtId="7" fontId="30" fillId="0" borderId="0" xfId="0" applyNumberFormat="1" applyFont="1" applyAlignment="1" applyProtection="1"/>
    <xf numFmtId="0" fontId="0" fillId="0" borderId="0" xfId="0" applyAlignment="1" applyProtection="1">
      <alignment horizontal="centerContinuous"/>
    </xf>
    <xf numFmtId="37" fontId="0" fillId="24" borderId="0" xfId="0" applyNumberFormat="1" applyFill="1" applyAlignment="1" applyProtection="1"/>
    <xf numFmtId="0" fontId="0" fillId="0" borderId="0" xfId="0" applyBorder="1" applyAlignment="1" applyProtection="1">
      <alignment horizontal="right"/>
    </xf>
    <xf numFmtId="7" fontId="30" fillId="0" borderId="0" xfId="0" applyNumberFormat="1" applyFont="1" applyAlignment="1"/>
    <xf numFmtId="7" fontId="8" fillId="0" borderId="0" xfId="0" applyNumberFormat="1" applyFont="1" applyAlignment="1"/>
    <xf numFmtId="169" fontId="8" fillId="0" borderId="0" xfId="0" applyNumberFormat="1" applyFont="1" applyAlignment="1"/>
    <xf numFmtId="192" fontId="8" fillId="0" borderId="0" xfId="0" applyNumberFormat="1" applyFont="1" applyAlignment="1"/>
    <xf numFmtId="0" fontId="2" fillId="0" borderId="0" xfId="0" applyFont="1" applyAlignment="1"/>
    <xf numFmtId="0" fontId="70" fillId="0" borderId="0" xfId="0" applyFont="1" applyAlignment="1"/>
    <xf numFmtId="0" fontId="66" fillId="0" borderId="0" xfId="0" applyFont="1" applyAlignment="1"/>
    <xf numFmtId="37" fontId="66" fillId="24" borderId="0" xfId="0" applyNumberFormat="1" applyFont="1" applyFill="1" applyAlignment="1" applyProtection="1"/>
    <xf numFmtId="193" fontId="94" fillId="0" borderId="0" xfId="0" applyNumberFormat="1" applyFont="1" applyAlignment="1"/>
    <xf numFmtId="192" fontId="94" fillId="0" borderId="0" xfId="0" applyNumberFormat="1" applyFont="1" applyAlignment="1"/>
    <xf numFmtId="7" fontId="94" fillId="0" borderId="0" xfId="0" applyNumberFormat="1" applyFont="1" applyAlignment="1"/>
    <xf numFmtId="0" fontId="2" fillId="0" borderId="31" xfId="0" applyFont="1" applyBorder="1" applyAlignment="1"/>
    <xf numFmtId="0" fontId="2" fillId="28" borderId="31" xfId="0" applyFont="1" applyFill="1" applyBorder="1" applyAlignment="1">
      <alignment horizontal="centerContinuous"/>
    </xf>
    <xf numFmtId="0" fontId="30" fillId="28" borderId="32" xfId="0" applyFont="1" applyFill="1" applyBorder="1" applyAlignment="1">
      <alignment horizontal="centerContinuous"/>
    </xf>
    <xf numFmtId="37" fontId="30" fillId="28" borderId="32" xfId="0" applyNumberFormat="1" applyFont="1" applyFill="1" applyBorder="1" applyAlignment="1" applyProtection="1">
      <alignment horizontal="centerContinuous"/>
    </xf>
    <xf numFmtId="0" fontId="30" fillId="28" borderId="11" xfId="0" applyFont="1" applyFill="1" applyBorder="1" applyAlignment="1">
      <alignment horizontal="centerContinuous"/>
    </xf>
    <xf numFmtId="0" fontId="2" fillId="0" borderId="0" xfId="0" applyFont="1" applyFill="1" applyBorder="1" applyAlignment="1">
      <alignment horizontal="centerContinuous"/>
    </xf>
    <xf numFmtId="0" fontId="30" fillId="0" borderId="0" xfId="0" applyFont="1" applyFill="1" applyBorder="1" applyAlignment="1">
      <alignment horizontal="centerContinuous"/>
    </xf>
    <xf numFmtId="37" fontId="30" fillId="0" borderId="0" xfId="0" applyNumberFormat="1" applyFont="1" applyFill="1" applyBorder="1" applyAlignment="1" applyProtection="1">
      <alignment horizontal="centerContinuous"/>
    </xf>
    <xf numFmtId="0" fontId="2" fillId="0" borderId="32" xfId="0" applyFont="1" applyBorder="1" applyAlignment="1"/>
    <xf numFmtId="37" fontId="2" fillId="24" borderId="32" xfId="0" applyNumberFormat="1" applyFont="1" applyFill="1" applyBorder="1" applyAlignment="1" applyProtection="1"/>
    <xf numFmtId="7" fontId="2" fillId="0" borderId="32" xfId="0" applyNumberFormat="1" applyFont="1" applyBorder="1" applyAlignment="1"/>
    <xf numFmtId="7" fontId="2" fillId="0" borderId="11" xfId="0" applyNumberFormat="1" applyFont="1" applyBorder="1" applyAlignment="1"/>
    <xf numFmtId="192" fontId="105" fillId="0" borderId="0" xfId="0" applyNumberFormat="1" applyFont="1" applyAlignment="1"/>
    <xf numFmtId="165" fontId="25" fillId="26" borderId="44" xfId="31" applyNumberFormat="1" applyFont="1" applyFill="1" applyBorder="1" applyAlignment="1" applyProtection="1">
      <protection locked="0"/>
    </xf>
    <xf numFmtId="165" fontId="25" fillId="26" borderId="106" xfId="31" applyNumberFormat="1" applyFont="1" applyFill="1" applyBorder="1" applyAlignment="1" applyProtection="1">
      <protection locked="0"/>
    </xf>
    <xf numFmtId="0" fontId="0" fillId="0" borderId="0" xfId="0" applyFont="1" applyFill="1" applyBorder="1" applyAlignment="1"/>
    <xf numFmtId="0" fontId="0" fillId="0" borderId="0" xfId="0" applyFill="1" applyBorder="1" applyAlignment="1"/>
    <xf numFmtId="0" fontId="66" fillId="0" borderId="0" xfId="0" applyFont="1" applyFill="1" applyBorder="1" applyAlignment="1"/>
    <xf numFmtId="0" fontId="2" fillId="0" borderId="0" xfId="0" applyFont="1" applyFill="1" applyBorder="1" applyAlignment="1"/>
    <xf numFmtId="37" fontId="2" fillId="24" borderId="0" xfId="0" applyNumberFormat="1" applyFont="1" applyFill="1" applyAlignment="1" applyProtection="1"/>
    <xf numFmtId="0" fontId="70" fillId="0" borderId="0" xfId="0" applyFont="1" applyFill="1" applyBorder="1" applyAlignment="1"/>
    <xf numFmtId="188" fontId="2" fillId="0" borderId="36" xfId="0" applyNumberFormat="1" applyFont="1" applyBorder="1" applyAlignment="1"/>
    <xf numFmtId="0" fontId="2" fillId="26" borderId="31" xfId="0" applyFont="1" applyFill="1" applyBorder="1" applyAlignment="1"/>
    <xf numFmtId="0" fontId="2" fillId="26" borderId="32" xfId="0" applyFont="1" applyFill="1" applyBorder="1" applyAlignment="1"/>
    <xf numFmtId="37" fontId="2" fillId="26" borderId="32" xfId="0" applyNumberFormat="1" applyFont="1" applyFill="1" applyBorder="1" applyAlignment="1" applyProtection="1"/>
    <xf numFmtId="7" fontId="2" fillId="26" borderId="32" xfId="0" applyNumberFormat="1" applyFont="1" applyFill="1" applyBorder="1" applyAlignment="1"/>
    <xf numFmtId="7" fontId="2" fillId="26" borderId="11" xfId="0" applyNumberFormat="1" applyFont="1" applyFill="1" applyBorder="1" applyAlignment="1"/>
    <xf numFmtId="0" fontId="30" fillId="26" borderId="32" xfId="0" applyFont="1" applyFill="1" applyBorder="1" applyAlignment="1"/>
    <xf numFmtId="37" fontId="30" fillId="26" borderId="32" xfId="0" applyNumberFormat="1" applyFont="1" applyFill="1" applyBorder="1" applyAlignment="1" applyProtection="1"/>
    <xf numFmtId="188" fontId="18" fillId="0" borderId="0" xfId="0" applyNumberFormat="1" applyFont="1" applyAlignment="1" applyProtection="1"/>
    <xf numFmtId="188" fontId="94" fillId="0" borderId="141" xfId="0" applyNumberFormat="1" applyFont="1" applyBorder="1" applyAlignment="1"/>
    <xf numFmtId="188" fontId="94" fillId="0" borderId="35" xfId="0" applyNumberFormat="1" applyFont="1" applyBorder="1" applyAlignment="1"/>
    <xf numFmtId="0" fontId="2" fillId="0" borderId="0" xfId="0" applyFont="1" applyAlignment="1">
      <alignment horizontal="right"/>
    </xf>
    <xf numFmtId="0" fontId="106" fillId="0" borderId="0" xfId="0" applyFont="1" applyAlignment="1">
      <alignment horizontal="right"/>
    </xf>
    <xf numFmtId="0" fontId="2" fillId="0" borderId="0" xfId="0" applyFont="1" applyAlignment="1">
      <alignment horizontal="centerContinuous"/>
    </xf>
    <xf numFmtId="5" fontId="110" fillId="0" borderId="0" xfId="0" applyNumberFormat="1" applyFont="1"/>
    <xf numFmtId="17" fontId="0" fillId="29" borderId="0" xfId="0" applyNumberFormat="1" applyFill="1" applyAlignment="1">
      <alignment horizontal="right"/>
    </xf>
    <xf numFmtId="0" fontId="112" fillId="0" borderId="0" xfId="0" applyFont="1" applyAlignment="1">
      <alignment horizontal="center"/>
    </xf>
    <xf numFmtId="5" fontId="114" fillId="0" borderId="0" xfId="0" applyNumberFormat="1" applyFont="1"/>
    <xf numFmtId="5" fontId="114" fillId="0" borderId="0" xfId="0" quotePrefix="1" applyNumberFormat="1" applyFont="1"/>
    <xf numFmtId="5" fontId="114" fillId="0" borderId="30" xfId="0" applyNumberFormat="1" applyFont="1" applyBorder="1"/>
    <xf numFmtId="5" fontId="114" fillId="0" borderId="0" xfId="0" applyNumberFormat="1" applyFont="1" applyAlignment="1">
      <alignment horizontal="right"/>
    </xf>
    <xf numFmtId="0" fontId="4" fillId="0" borderId="0" xfId="0" applyFont="1"/>
    <xf numFmtId="0" fontId="70" fillId="0" borderId="0" xfId="0" applyFont="1" applyAlignment="1">
      <alignment horizontal="center"/>
    </xf>
    <xf numFmtId="9" fontId="8" fillId="0" borderId="0" xfId="59" applyFont="1" applyAlignment="1">
      <alignment horizontal="center"/>
    </xf>
    <xf numFmtId="0" fontId="8" fillId="0" borderId="0" xfId="0" applyFont="1" applyAlignment="1">
      <alignment horizontal="center"/>
    </xf>
    <xf numFmtId="5" fontId="114" fillId="0" borderId="0" xfId="0" applyNumberFormat="1" applyFont="1" applyBorder="1"/>
    <xf numFmtId="5" fontId="114" fillId="0" borderId="0" xfId="0" applyNumberFormat="1" applyFont="1" applyFill="1" applyAlignment="1">
      <alignment horizontal="right"/>
    </xf>
    <xf numFmtId="5" fontId="114" fillId="0" borderId="0" xfId="0" applyNumberFormat="1" applyFont="1" applyFill="1" applyBorder="1"/>
    <xf numFmtId="5" fontId="114" fillId="0" borderId="27" xfId="0" applyNumberFormat="1" applyFont="1" applyFill="1" applyBorder="1"/>
    <xf numFmtId="0" fontId="116" fillId="0" borderId="0" xfId="0" applyFont="1"/>
    <xf numFmtId="0" fontId="33" fillId="0" borderId="0" xfId="0" applyFont="1"/>
    <xf numFmtId="164" fontId="33" fillId="0" borderId="0" xfId="28" applyNumberFormat="1" applyFont="1"/>
    <xf numFmtId="164" fontId="33" fillId="0" borderId="0" xfId="28" applyNumberFormat="1" applyFont="1" applyFill="1"/>
    <xf numFmtId="164" fontId="118" fillId="0" borderId="0" xfId="28" applyNumberFormat="1" applyFont="1" applyFill="1"/>
    <xf numFmtId="164" fontId="118" fillId="28" borderId="0" xfId="28" applyNumberFormat="1" applyFont="1" applyFill="1"/>
    <xf numFmtId="14" fontId="0" fillId="0" borderId="0" xfId="0" applyNumberFormat="1"/>
    <xf numFmtId="3" fontId="113" fillId="26" borderId="0" xfId="0" applyNumberFormat="1" applyFont="1" applyFill="1" applyAlignment="1"/>
    <xf numFmtId="164" fontId="117" fillId="26" borderId="0" xfId="28" applyNumberFormat="1" applyFont="1" applyFill="1"/>
    <xf numFmtId="40" fontId="111" fillId="27" borderId="29" xfId="0" applyNumberFormat="1" applyFont="1" applyFill="1" applyBorder="1" applyAlignment="1">
      <alignment horizontal="center"/>
    </xf>
    <xf numFmtId="0" fontId="2" fillId="24" borderId="0" xfId="51" applyFont="1" applyFill="1" applyAlignment="1">
      <alignment wrapText="1"/>
    </xf>
    <xf numFmtId="37" fontId="35" fillId="24" borderId="0" xfId="51" applyNumberFormat="1" applyFill="1" applyBorder="1" applyAlignment="1"/>
    <xf numFmtId="0" fontId="35" fillId="24" borderId="0" xfId="51" applyFill="1" applyBorder="1" applyAlignment="1"/>
    <xf numFmtId="0" fontId="35" fillId="24" borderId="0" xfId="51" applyFont="1" applyFill="1" applyAlignment="1">
      <alignment horizontal="right"/>
    </xf>
    <xf numFmtId="0" fontId="35" fillId="24" borderId="0" xfId="51" applyFont="1" applyFill="1" applyAlignment="1">
      <alignment horizontal="center"/>
    </xf>
    <xf numFmtId="0" fontId="2" fillId="24" borderId="0" xfId="51" applyFont="1" applyFill="1" applyBorder="1" applyAlignment="1"/>
    <xf numFmtId="0" fontId="2" fillId="24" borderId="0" xfId="51" applyFont="1" applyFill="1" applyAlignment="1">
      <alignment horizontal="right" wrapText="1"/>
    </xf>
    <xf numFmtId="0" fontId="2" fillId="24" borderId="0" xfId="51" applyNumberFormat="1" applyFont="1" applyFill="1" applyBorder="1" applyAlignment="1"/>
    <xf numFmtId="0" fontId="35" fillId="24" borderId="0" xfId="51" applyNumberFormat="1" applyFill="1"/>
    <xf numFmtId="0" fontId="2" fillId="24" borderId="0" xfId="51" applyNumberFormat="1" applyFont="1" applyFill="1"/>
    <xf numFmtId="0" fontId="35" fillId="24" borderId="0" xfId="51" applyNumberFormat="1" applyFont="1" applyFill="1"/>
    <xf numFmtId="185" fontId="1" fillId="24" borderId="0" xfId="51" applyNumberFormat="1" applyFont="1" applyFill="1" applyBorder="1" applyAlignment="1">
      <alignment horizontal="center"/>
    </xf>
    <xf numFmtId="0" fontId="35" fillId="24" borderId="29" xfId="51" applyFont="1" applyFill="1" applyBorder="1" applyAlignment="1">
      <alignment horizontal="center"/>
    </xf>
    <xf numFmtId="0" fontId="2" fillId="24" borderId="0" xfId="51" applyFont="1" applyFill="1" applyAlignment="1">
      <alignment vertical="center" wrapText="1"/>
    </xf>
    <xf numFmtId="185" fontId="35" fillId="24" borderId="0" xfId="51" applyNumberFormat="1" applyFill="1" applyAlignment="1">
      <alignment horizontal="center"/>
    </xf>
    <xf numFmtId="37" fontId="35" fillId="24" borderId="0" xfId="51" applyNumberFormat="1" applyFill="1"/>
    <xf numFmtId="0" fontId="63" fillId="39" borderId="164" xfId="51" applyFont="1" applyFill="1" applyBorder="1" applyAlignment="1">
      <alignment horizontal="centerContinuous"/>
    </xf>
    <xf numFmtId="0" fontId="63" fillId="39" borderId="165" xfId="51" applyFont="1" applyFill="1" applyBorder="1" applyAlignment="1">
      <alignment horizontal="centerContinuous"/>
    </xf>
    <xf numFmtId="0" fontId="2" fillId="27" borderId="164" xfId="51" applyFont="1" applyFill="1" applyBorder="1" applyAlignment="1">
      <alignment horizontal="centerContinuous"/>
    </xf>
    <xf numFmtId="0" fontId="2" fillId="27" borderId="165" xfId="51" applyFont="1" applyFill="1" applyBorder="1" applyAlignment="1">
      <alignment horizontal="centerContinuous"/>
    </xf>
    <xf numFmtId="0" fontId="64" fillId="29" borderId="165" xfId="51" applyFont="1" applyFill="1" applyBorder="1" applyAlignment="1">
      <alignment horizontal="centerContinuous"/>
    </xf>
    <xf numFmtId="0" fontId="64" fillId="29" borderId="166" xfId="51" applyFont="1" applyFill="1" applyBorder="1" applyAlignment="1">
      <alignment horizontal="centerContinuous"/>
    </xf>
    <xf numFmtId="0" fontId="2" fillId="29" borderId="164" xfId="51" applyFont="1" applyFill="1" applyBorder="1" applyAlignment="1">
      <alignment horizontal="centerContinuous"/>
    </xf>
    <xf numFmtId="185" fontId="8" fillId="24" borderId="29" xfId="51" applyNumberFormat="1" applyFont="1" applyFill="1" applyBorder="1" applyAlignment="1" applyProtection="1">
      <alignment horizontal="center"/>
      <protection locked="0"/>
    </xf>
    <xf numFmtId="0" fontId="8" fillId="26" borderId="29" xfId="51" applyFont="1" applyFill="1" applyBorder="1" applyAlignment="1" applyProtection="1">
      <alignment horizontal="center"/>
      <protection locked="0"/>
    </xf>
    <xf numFmtId="1" fontId="16" fillId="28" borderId="0" xfId="0" applyNumberFormat="1" applyFont="1" applyFill="1" applyBorder="1" applyAlignment="1">
      <alignment horizontal="right"/>
    </xf>
    <xf numFmtId="1" fontId="64" fillId="24" borderId="0" xfId="0" applyNumberFormat="1" applyFont="1" applyFill="1" applyBorder="1" applyAlignment="1">
      <alignment horizontal="right"/>
    </xf>
    <xf numFmtId="0" fontId="1" fillId="0" borderId="0" xfId="0" applyFont="1" applyAlignment="1">
      <alignment horizontal="center"/>
    </xf>
    <xf numFmtId="37" fontId="0" fillId="0" borderId="0" xfId="0" quotePrefix="1" applyNumberFormat="1" applyFill="1" applyAlignment="1" applyProtection="1">
      <alignment horizontal="right"/>
    </xf>
    <xf numFmtId="41" fontId="18" fillId="0" borderId="0" xfId="0" applyNumberFormat="1" applyFont="1" applyAlignment="1">
      <alignment horizontal="center"/>
    </xf>
    <xf numFmtId="0" fontId="18" fillId="0" borderId="147" xfId="28" applyNumberFormat="1" applyFont="1" applyFill="1" applyBorder="1" applyAlignment="1" applyProtection="1"/>
    <xf numFmtId="165" fontId="114" fillId="0" borderId="0" xfId="59" applyNumberFormat="1" applyFont="1"/>
    <xf numFmtId="42" fontId="0" fillId="0" borderId="0" xfId="0" applyNumberFormat="1" applyBorder="1"/>
    <xf numFmtId="41" fontId="0" fillId="0" borderId="0" xfId="0" applyNumberFormat="1" applyBorder="1"/>
    <xf numFmtId="165" fontId="3" fillId="0" borderId="37" xfId="59" applyNumberFormat="1" applyFont="1" applyBorder="1" applyAlignment="1" applyProtection="1"/>
    <xf numFmtId="37" fontId="125" fillId="40" borderId="0" xfId="0" applyNumberFormat="1" applyFont="1" applyFill="1" applyAlignment="1" applyProtection="1"/>
    <xf numFmtId="194" fontId="8" fillId="0" borderId="0" xfId="0" applyNumberFormat="1" applyFont="1" applyAlignment="1"/>
    <xf numFmtId="194" fontId="94" fillId="0" borderId="0" xfId="0" applyNumberFormat="1" applyFont="1" applyAlignment="1"/>
    <xf numFmtId="7" fontId="0" fillId="0" borderId="0" xfId="0" applyNumberFormat="1" applyFont="1" applyAlignment="1"/>
    <xf numFmtId="39" fontId="30" fillId="0" borderId="0" xfId="0" applyNumberFormat="1" applyFont="1" applyAlignment="1"/>
    <xf numFmtId="39" fontId="30" fillId="0" borderId="0" xfId="0" applyNumberFormat="1" applyFont="1" applyBorder="1" applyAlignment="1"/>
    <xf numFmtId="165" fontId="25" fillId="26" borderId="45" xfId="31" applyNumberFormat="1" applyFont="1" applyFill="1" applyBorder="1" applyAlignment="1" applyProtection="1">
      <protection locked="0"/>
    </xf>
    <xf numFmtId="174" fontId="94" fillId="26" borderId="47" xfId="31" applyNumberFormat="1" applyFont="1" applyFill="1" applyBorder="1" applyAlignment="1" applyProtection="1">
      <protection locked="0"/>
    </xf>
    <xf numFmtId="174" fontId="94" fillId="0" borderId="47" xfId="31" applyNumberFormat="1" applyFont="1" applyFill="1" applyBorder="1" applyAlignment="1" applyProtection="1">
      <protection locked="0"/>
    </xf>
    <xf numFmtId="174" fontId="94" fillId="0" borderId="167" xfId="31" applyNumberFormat="1" applyFont="1" applyFill="1" applyBorder="1" applyAlignment="1" applyProtection="1">
      <protection locked="0"/>
    </xf>
    <xf numFmtId="0" fontId="0" fillId="0" borderId="0" xfId="0" applyBorder="1" applyAlignment="1" applyProtection="1"/>
    <xf numFmtId="165" fontId="94" fillId="26" borderId="35" xfId="31" applyNumberFormat="1" applyFont="1" applyFill="1" applyBorder="1" applyAlignment="1" applyProtection="1">
      <protection locked="0"/>
    </xf>
    <xf numFmtId="174" fontId="25" fillId="0" borderId="59" xfId="31" applyNumberFormat="1" applyFont="1" applyFill="1" applyBorder="1" applyAlignment="1" applyProtection="1">
      <protection locked="0"/>
    </xf>
    <xf numFmtId="174" fontId="25" fillId="0" borderId="161" xfId="31" applyNumberFormat="1" applyFont="1" applyFill="1" applyBorder="1" applyAlignment="1" applyProtection="1"/>
    <xf numFmtId="174" fontId="25" fillId="0" borderId="89" xfId="31" applyNumberFormat="1" applyFont="1" applyFill="1" applyBorder="1" applyAlignment="1" applyProtection="1"/>
    <xf numFmtId="174" fontId="25" fillId="0" borderId="160" xfId="31" applyNumberFormat="1" applyFont="1" applyFill="1" applyBorder="1" applyAlignment="1" applyProtection="1"/>
    <xf numFmtId="174" fontId="25" fillId="0" borderId="47" xfId="31" applyNumberFormat="1" applyFont="1" applyFill="1" applyBorder="1" applyAlignment="1" applyProtection="1"/>
    <xf numFmtId="174" fontId="25" fillId="0" borderId="119" xfId="31" applyNumberFormat="1" applyFont="1" applyFill="1" applyBorder="1" applyAlignment="1" applyProtection="1"/>
    <xf numFmtId="37" fontId="0" fillId="29" borderId="0" xfId="0" applyNumberFormat="1" applyFill="1" applyAlignment="1" applyProtection="1"/>
    <xf numFmtId="37" fontId="107" fillId="0" borderId="29" xfId="0" applyNumberFormat="1" applyFont="1" applyFill="1" applyBorder="1" applyAlignment="1" applyProtection="1">
      <alignment horizontal="center"/>
      <protection locked="0"/>
    </xf>
    <xf numFmtId="0" fontId="126" fillId="0" borderId="29" xfId="0" applyFont="1" applyBorder="1" applyAlignment="1" applyProtection="1">
      <protection locked="0"/>
    </xf>
    <xf numFmtId="38" fontId="127" fillId="0" borderId="29" xfId="0" applyNumberFormat="1" applyFont="1" applyFill="1" applyBorder="1" applyAlignment="1" applyProtection="1"/>
    <xf numFmtId="37" fontId="0" fillId="41" borderId="0" xfId="0" applyNumberFormat="1" applyFont="1" applyFill="1" applyAlignment="1" applyProtection="1"/>
    <xf numFmtId="0" fontId="0" fillId="0" borderId="0" xfId="0" quotePrefix="1" applyBorder="1" applyAlignment="1" applyProtection="1"/>
    <xf numFmtId="0" fontId="128" fillId="0" borderId="0" xfId="0" applyFont="1" applyBorder="1" applyAlignment="1" applyProtection="1"/>
    <xf numFmtId="0" fontId="0" fillId="41" borderId="29" xfId="0" applyFill="1" applyBorder="1" applyAlignment="1">
      <alignment horizontal="center"/>
    </xf>
    <xf numFmtId="0" fontId="0" fillId="41" borderId="0" xfId="0" applyFill="1"/>
    <xf numFmtId="0" fontId="0" fillId="41" borderId="0" xfId="0" applyFill="1" applyAlignment="1">
      <alignment horizontal="center"/>
    </xf>
    <xf numFmtId="0" fontId="3" fillId="41" borderId="11" xfId="28" applyNumberFormat="1" applyFont="1" applyFill="1" applyBorder="1" applyAlignment="1" applyProtection="1">
      <alignment horizontal="right"/>
    </xf>
    <xf numFmtId="37" fontId="30" fillId="0" borderId="94" xfId="0" applyNumberFormat="1" applyFont="1" applyBorder="1" applyAlignment="1" applyProtection="1"/>
    <xf numFmtId="0" fontId="30" fillId="0" borderId="77" xfId="0" applyFont="1" applyBorder="1" applyAlignment="1" applyProtection="1"/>
    <xf numFmtId="0" fontId="30" fillId="0" borderId="27" xfId="0" applyFont="1" applyBorder="1" applyAlignment="1" applyProtection="1"/>
    <xf numFmtId="0" fontId="2" fillId="0" borderId="15" xfId="0" applyFont="1" applyBorder="1" applyAlignment="1" applyProtection="1">
      <alignment horizontal="centerContinuous"/>
    </xf>
    <xf numFmtId="0" fontId="2" fillId="0" borderId="168" xfId="0" applyFont="1" applyBorder="1" applyAlignment="1" applyProtection="1">
      <alignment horizontal="centerContinuous"/>
    </xf>
    <xf numFmtId="0" fontId="30" fillId="0" borderId="169" xfId="0" applyFont="1" applyBorder="1" applyAlignment="1" applyProtection="1">
      <alignment horizontal="centerContinuous"/>
    </xf>
    <xf numFmtId="0" fontId="130" fillId="0" borderId="0" xfId="0" quotePrefix="1" applyFont="1" applyBorder="1" applyAlignment="1" applyProtection="1"/>
    <xf numFmtId="37" fontId="0" fillId="0" borderId="0" xfId="0" applyNumberFormat="1" applyFill="1" applyAlignment="1" applyProtection="1"/>
    <xf numFmtId="37" fontId="0" fillId="41" borderId="0" xfId="0" applyNumberFormat="1" applyFill="1" applyAlignment="1" applyProtection="1"/>
    <xf numFmtId="0" fontId="131" fillId="42" borderId="27" xfId="0" applyFont="1" applyFill="1" applyBorder="1"/>
    <xf numFmtId="0" fontId="131" fillId="42" borderId="0" xfId="0" applyFont="1" applyFill="1" applyBorder="1"/>
    <xf numFmtId="0" fontId="132" fillId="42" borderId="0" xfId="0" applyFont="1" applyFill="1"/>
    <xf numFmtId="0" fontId="133" fillId="42" borderId="0" xfId="0" applyFont="1" applyFill="1"/>
    <xf numFmtId="0" fontId="134" fillId="42" borderId="0" xfId="0" applyFont="1" applyFill="1"/>
    <xf numFmtId="0" fontId="135" fillId="42" borderId="27" xfId="0" applyFont="1" applyFill="1" applyBorder="1"/>
    <xf numFmtId="0" fontId="135" fillId="42" borderId="0" xfId="0" applyFont="1" applyFill="1"/>
    <xf numFmtId="0" fontId="135" fillId="42" borderId="0" xfId="0" applyFont="1" applyFill="1" applyBorder="1"/>
    <xf numFmtId="0" fontId="136" fillId="42" borderId="0" xfId="39" applyFont="1" applyFill="1" applyAlignment="1" applyProtection="1"/>
    <xf numFmtId="0" fontId="137" fillId="42" borderId="0" xfId="0" applyFont="1" applyFill="1"/>
    <xf numFmtId="0" fontId="137" fillId="42" borderId="0" xfId="0" applyFont="1" applyFill="1" applyAlignment="1">
      <alignment wrapText="1"/>
    </xf>
    <xf numFmtId="0" fontId="69" fillId="24" borderId="30" xfId="0" applyFont="1" applyFill="1" applyBorder="1"/>
    <xf numFmtId="0" fontId="3" fillId="24" borderId="30" xfId="0" applyFont="1" applyFill="1" applyBorder="1"/>
    <xf numFmtId="0" fontId="4" fillId="24" borderId="0" xfId="0" applyFont="1" applyFill="1" applyAlignment="1">
      <alignment horizontal="left" indent="4"/>
    </xf>
    <xf numFmtId="0" fontId="4" fillId="24" borderId="0" xfId="0" applyFont="1" applyFill="1" applyAlignment="1">
      <alignment horizontal="left" indent="8"/>
    </xf>
    <xf numFmtId="0" fontId="95" fillId="24" borderId="0" xfId="0" applyFont="1" applyFill="1" applyAlignment="1"/>
    <xf numFmtId="0" fontId="4" fillId="24" borderId="0" xfId="0" applyFont="1" applyFill="1" applyAlignment="1">
      <alignment horizontal="left" indent="12"/>
    </xf>
    <xf numFmtId="174" fontId="3" fillId="24" borderId="29" xfId="32" applyNumberFormat="1" applyFill="1" applyBorder="1"/>
    <xf numFmtId="165" fontId="121" fillId="24" borderId="0" xfId="61" applyNumberFormat="1" applyFont="1" applyFill="1"/>
    <xf numFmtId="14" fontId="95" fillId="24" borderId="0" xfId="0" applyNumberFormat="1" applyFont="1" applyFill="1"/>
    <xf numFmtId="43" fontId="3" fillId="24" borderId="0" xfId="30" applyFill="1"/>
    <xf numFmtId="43" fontId="0" fillId="24" borderId="0" xfId="0" applyNumberFormat="1" applyFill="1"/>
    <xf numFmtId="174" fontId="3" fillId="24" borderId="0" xfId="32" applyNumberFormat="1" applyFill="1"/>
    <xf numFmtId="0" fontId="95" fillId="24" borderId="0" xfId="0" applyFont="1" applyFill="1"/>
    <xf numFmtId="0" fontId="16" fillId="24" borderId="0" xfId="0" applyFont="1" applyFill="1"/>
    <xf numFmtId="195" fontId="16" fillId="26" borderId="29" xfId="61" applyNumberFormat="1" applyFont="1" applyFill="1" applyBorder="1" applyProtection="1">
      <protection locked="0"/>
    </xf>
    <xf numFmtId="195" fontId="3" fillId="24" borderId="0" xfId="61" applyNumberFormat="1" applyFont="1" applyFill="1"/>
    <xf numFmtId="14" fontId="16" fillId="26" borderId="29" xfId="0" applyNumberFormat="1" applyFont="1" applyFill="1" applyBorder="1" applyProtection="1">
      <protection locked="0"/>
    </xf>
    <xf numFmtId="174" fontId="3" fillId="24" borderId="0" xfId="32" applyNumberFormat="1" applyFont="1" applyFill="1"/>
    <xf numFmtId="174" fontId="3" fillId="24" borderId="30" xfId="32" applyNumberFormat="1" applyFont="1" applyFill="1" applyBorder="1"/>
    <xf numFmtId="14" fontId="129" fillId="24" borderId="0" xfId="0" applyNumberFormat="1" applyFont="1" applyFill="1"/>
    <xf numFmtId="0" fontId="129" fillId="24" borderId="0" xfId="0" applyFont="1" applyFill="1"/>
    <xf numFmtId="164" fontId="129" fillId="24" borderId="0" xfId="30" applyNumberFormat="1" applyFont="1" applyFill="1"/>
    <xf numFmtId="14" fontId="138" fillId="24" borderId="0" xfId="0" applyNumberFormat="1" applyFont="1" applyFill="1"/>
    <xf numFmtId="0" fontId="138" fillId="24" borderId="0" xfId="0" applyFont="1" applyFill="1"/>
    <xf numFmtId="174" fontId="130" fillId="0" borderId="94" xfId="31" applyNumberFormat="1" applyFont="1" applyFill="1" applyBorder="1" applyAlignment="1" applyProtection="1">
      <protection locked="0"/>
    </xf>
    <xf numFmtId="3" fontId="18" fillId="0" borderId="0" xfId="0" applyNumberFormat="1" applyFont="1"/>
    <xf numFmtId="3" fontId="18" fillId="43" borderId="52" xfId="0" quotePrefix="1" applyNumberFormat="1" applyFont="1" applyFill="1" applyBorder="1" applyAlignment="1">
      <alignment horizontal="right"/>
    </xf>
    <xf numFmtId="3" fontId="18" fillId="43" borderId="0" xfId="0" quotePrefix="1" applyNumberFormat="1" applyFont="1" applyFill="1" applyAlignment="1">
      <alignment horizontal="right"/>
    </xf>
    <xf numFmtId="3" fontId="18" fillId="43" borderId="54" xfId="0" quotePrefix="1" applyNumberFormat="1" applyFont="1" applyFill="1" applyBorder="1" applyAlignment="1">
      <alignment horizontal="right"/>
    </xf>
    <xf numFmtId="42" fontId="8" fillId="0" borderId="134" xfId="30" applyNumberFormat="1" applyFont="1" applyFill="1" applyBorder="1" applyAlignment="1" applyProtection="1">
      <protection locked="0"/>
    </xf>
    <xf numFmtId="182" fontId="8" fillId="26" borderId="66" xfId="30" applyNumberFormat="1" applyFont="1" applyFill="1" applyBorder="1" applyAlignment="1" applyProtection="1">
      <protection locked="0"/>
    </xf>
    <xf numFmtId="182" fontId="8" fillId="26" borderId="7" xfId="30" applyNumberFormat="1" applyFont="1" applyFill="1" applyBorder="1" applyAlignment="1" applyProtection="1">
      <protection locked="0"/>
    </xf>
    <xf numFmtId="165" fontId="8" fillId="24" borderId="30" xfId="30" applyNumberFormat="1" applyFont="1" applyFill="1" applyBorder="1" applyAlignment="1" applyProtection="1">
      <alignment horizontal="center" vertical="top"/>
      <protection locked="0"/>
    </xf>
    <xf numFmtId="0" fontId="8" fillId="24" borderId="30" xfId="30" applyNumberFormat="1" applyFont="1" applyFill="1" applyBorder="1" applyAlignment="1" applyProtection="1">
      <alignment horizontal="center" vertical="top"/>
      <protection locked="0"/>
    </xf>
    <xf numFmtId="5" fontId="8" fillId="26" borderId="134" xfId="30" applyNumberFormat="1" applyFont="1" applyFill="1" applyBorder="1" applyAlignment="1" applyProtection="1">
      <protection locked="0"/>
    </xf>
    <xf numFmtId="182" fontId="8" fillId="26" borderId="90" xfId="30" applyNumberFormat="1" applyFont="1" applyFill="1" applyBorder="1" applyAlignment="1" applyProtection="1">
      <protection locked="0"/>
    </xf>
    <xf numFmtId="182" fontId="3" fillId="0" borderId="132" xfId="30" applyNumberFormat="1" applyFont="1" applyFill="1" applyBorder="1" applyAlignment="1" applyProtection="1">
      <protection locked="0"/>
    </xf>
    <xf numFmtId="164" fontId="8" fillId="26" borderId="134" xfId="30" applyNumberFormat="1" applyFont="1" applyFill="1" applyBorder="1" applyAlignment="1" applyProtection="1">
      <protection locked="0"/>
    </xf>
    <xf numFmtId="182" fontId="8" fillId="26" borderId="57" xfId="30" applyNumberFormat="1" applyFont="1" applyFill="1" applyBorder="1" applyAlignment="1" applyProtection="1">
      <protection locked="0"/>
    </xf>
    <xf numFmtId="182" fontId="8" fillId="26" borderId="93" xfId="30" applyNumberFormat="1" applyFont="1" applyFill="1" applyBorder="1" applyAlignment="1" applyProtection="1">
      <protection locked="0"/>
    </xf>
    <xf numFmtId="174" fontId="8" fillId="26" borderId="28" xfId="32" applyNumberFormat="1" applyFont="1" applyFill="1" applyBorder="1" applyProtection="1">
      <protection locked="0"/>
    </xf>
    <xf numFmtId="41" fontId="8" fillId="26" borderId="7" xfId="32" applyNumberFormat="1" applyFont="1" applyFill="1" applyBorder="1" applyAlignment="1" applyProtection="1">
      <protection locked="0"/>
    </xf>
    <xf numFmtId="41" fontId="8" fillId="26" borderId="88" xfId="32" applyNumberFormat="1" applyFont="1" applyFill="1" applyBorder="1" applyAlignment="1" applyProtection="1">
      <protection locked="0"/>
    </xf>
    <xf numFmtId="41" fontId="8" fillId="26" borderId="56" xfId="32" applyNumberFormat="1" applyFont="1" applyFill="1" applyBorder="1" applyAlignment="1" applyProtection="1">
      <protection locked="0"/>
    </xf>
    <xf numFmtId="5" fontId="8" fillId="26" borderId="72" xfId="32" applyNumberFormat="1" applyFont="1" applyFill="1" applyBorder="1" applyAlignment="1" applyProtection="1">
      <alignment horizontal="right"/>
      <protection locked="0"/>
    </xf>
    <xf numFmtId="7" fontId="8" fillId="26" borderId="0" xfId="61" applyNumberFormat="1" applyFont="1" applyFill="1" applyBorder="1" applyAlignment="1" applyProtection="1">
      <alignment horizontal="right"/>
      <protection locked="0"/>
    </xf>
    <xf numFmtId="7" fontId="8" fillId="26" borderId="30" xfId="61" applyNumberFormat="1" applyFont="1" applyFill="1" applyBorder="1" applyAlignment="1" applyProtection="1">
      <alignment horizontal="right"/>
      <protection locked="0"/>
    </xf>
    <xf numFmtId="164" fontId="3" fillId="29" borderId="0" xfId="30" applyNumberFormat="1" applyFont="1" applyFill="1" applyBorder="1" applyProtection="1"/>
    <xf numFmtId="5" fontId="8" fillId="26" borderId="0" xfId="32" applyNumberFormat="1" applyFont="1" applyFill="1" applyBorder="1" applyAlignment="1" applyProtection="1">
      <alignment horizontal="right"/>
      <protection locked="0"/>
    </xf>
    <xf numFmtId="37" fontId="18" fillId="44" borderId="0" xfId="28" applyNumberFormat="1" applyFont="1" applyFill="1" applyBorder="1" applyAlignment="1" applyProtection="1"/>
    <xf numFmtId="0" fontId="3" fillId="0" borderId="39" xfId="0" applyFont="1" applyBorder="1" applyProtection="1"/>
    <xf numFmtId="165" fontId="8" fillId="0" borderId="40" xfId="61" applyNumberFormat="1" applyFont="1" applyFill="1" applyBorder="1" applyAlignment="1" applyProtection="1">
      <alignment horizontal="right"/>
      <protection locked="0"/>
    </xf>
    <xf numFmtId="0" fontId="3" fillId="0" borderId="0" xfId="0" applyFont="1" applyBorder="1" applyProtection="1"/>
    <xf numFmtId="165" fontId="8" fillId="0" borderId="9" xfId="61" applyNumberFormat="1" applyFont="1" applyFill="1" applyBorder="1" applyAlignment="1" applyProtection="1">
      <alignment horizontal="right"/>
      <protection locked="0"/>
    </xf>
    <xf numFmtId="0" fontId="3" fillId="0" borderId="30" xfId="0" applyFont="1" applyBorder="1" applyProtection="1"/>
    <xf numFmtId="165" fontId="8" fillId="0" borderId="38" xfId="61" applyNumberFormat="1" applyFont="1" applyFill="1" applyBorder="1" applyAlignment="1" applyProtection="1">
      <alignment horizontal="right"/>
      <protection locked="0"/>
    </xf>
    <xf numFmtId="172" fontId="3" fillId="0" borderId="98" xfId="0" applyNumberFormat="1" applyFont="1" applyBorder="1" applyAlignment="1" applyProtection="1">
      <alignment horizontal="right"/>
    </xf>
    <xf numFmtId="0" fontId="3" fillId="0" borderId="99" xfId="0" applyFont="1" applyFill="1" applyBorder="1" applyAlignment="1" applyProtection="1">
      <alignment horizontal="center"/>
    </xf>
    <xf numFmtId="172" fontId="3" fillId="26" borderId="0" xfId="0" applyNumberFormat="1" applyFont="1" applyFill="1" applyBorder="1" applyAlignment="1" applyProtection="1">
      <alignment horizontal="center"/>
      <protection locked="0"/>
    </xf>
    <xf numFmtId="172" fontId="3" fillId="0" borderId="98" xfId="0" applyNumberFormat="1" applyFont="1" applyFill="1" applyBorder="1" applyAlignment="1" applyProtection="1">
      <alignment horizontal="center"/>
    </xf>
    <xf numFmtId="41" fontId="8" fillId="0" borderId="134" xfId="30" applyNumberFormat="1" applyFont="1" applyFill="1" applyBorder="1" applyAlignment="1" applyProtection="1">
      <protection locked="0"/>
    </xf>
    <xf numFmtId="41" fontId="8" fillId="0" borderId="135" xfId="30" applyNumberFormat="1" applyFont="1" applyFill="1" applyBorder="1" applyAlignment="1" applyProtection="1">
      <protection locked="0"/>
    </xf>
    <xf numFmtId="182" fontId="8" fillId="26" borderId="69" xfId="30" applyNumberFormat="1" applyFont="1" applyFill="1" applyBorder="1" applyAlignment="1" applyProtection="1">
      <protection locked="0"/>
    </xf>
    <xf numFmtId="182" fontId="3" fillId="0" borderId="133" xfId="30" applyNumberFormat="1" applyFont="1" applyFill="1" applyBorder="1" applyAlignment="1" applyProtection="1">
      <protection locked="0"/>
    </xf>
    <xf numFmtId="37" fontId="3" fillId="29" borderId="0" xfId="0" applyNumberFormat="1" applyFont="1" applyFill="1" applyBorder="1" applyProtection="1"/>
    <xf numFmtId="5" fontId="8" fillId="0" borderId="106" xfId="32" applyNumberFormat="1" applyFont="1" applyFill="1" applyBorder="1" applyAlignment="1" applyProtection="1">
      <alignment horizontal="right"/>
      <protection locked="0"/>
    </xf>
    <xf numFmtId="0" fontId="3" fillId="0" borderId="106" xfId="0" applyFont="1" applyFill="1" applyBorder="1" applyProtection="1"/>
    <xf numFmtId="37" fontId="8" fillId="26" borderId="0" xfId="61" applyNumberFormat="1" applyFont="1" applyFill="1" applyBorder="1" applyAlignment="1" applyProtection="1">
      <alignment horizontal="right"/>
      <protection locked="0"/>
    </xf>
    <xf numFmtId="42" fontId="8" fillId="26" borderId="56" xfId="32" applyNumberFormat="1" applyFont="1" applyFill="1" applyBorder="1" applyAlignment="1" applyProtection="1">
      <alignment horizontal="right"/>
      <protection locked="0"/>
    </xf>
    <xf numFmtId="41" fontId="8" fillId="26" borderId="7" xfId="32" applyNumberFormat="1" applyFont="1" applyFill="1" applyBorder="1" applyAlignment="1" applyProtection="1">
      <alignment horizontal="right"/>
      <protection locked="0"/>
    </xf>
    <xf numFmtId="41" fontId="8" fillId="26" borderId="57" xfId="32" applyNumberFormat="1" applyFont="1" applyFill="1" applyBorder="1" applyAlignment="1" applyProtection="1">
      <alignment horizontal="right"/>
      <protection locked="0"/>
    </xf>
    <xf numFmtId="164" fontId="3" fillId="0" borderId="0" xfId="30" applyNumberFormat="1" applyFont="1"/>
    <xf numFmtId="164" fontId="2" fillId="0" borderId="147" xfId="30" applyNumberFormat="1" applyFont="1" applyFill="1" applyBorder="1" applyAlignment="1" applyProtection="1">
      <alignment horizontal="centerContinuous"/>
    </xf>
    <xf numFmtId="164" fontId="2" fillId="0" borderId="148" xfId="30" applyNumberFormat="1" applyFont="1" applyFill="1" applyBorder="1" applyAlignment="1" applyProtection="1">
      <alignment horizontal="centerContinuous"/>
    </xf>
    <xf numFmtId="164" fontId="3" fillId="0" borderId="148" xfId="30" applyNumberFormat="1" applyFont="1" applyFill="1" applyBorder="1" applyAlignment="1">
      <alignment horizontal="centerContinuous"/>
    </xf>
    <xf numFmtId="164" fontId="3" fillId="0" borderId="149" xfId="30" applyNumberFormat="1" applyFont="1" applyFill="1" applyBorder="1" applyAlignment="1">
      <alignment horizontal="centerContinuous"/>
    </xf>
    <xf numFmtId="164" fontId="2" fillId="0" borderId="0" xfId="30" applyNumberFormat="1" applyFont="1"/>
    <xf numFmtId="164" fontId="2" fillId="0" borderId="0" xfId="30" applyNumberFormat="1" applyFont="1" applyAlignment="1" applyProtection="1">
      <alignment horizontal="centerContinuous"/>
    </xf>
    <xf numFmtId="164" fontId="3" fillId="0" borderId="0" xfId="30" applyNumberFormat="1" applyFont="1" applyAlignment="1" applyProtection="1">
      <alignment horizontal="centerContinuous"/>
    </xf>
    <xf numFmtId="164" fontId="3" fillId="0" borderId="0" xfId="30" applyNumberFormat="1" applyFont="1" applyAlignment="1">
      <alignment horizontal="centerContinuous"/>
    </xf>
    <xf numFmtId="164" fontId="3" fillId="0" borderId="0" xfId="30" applyNumberFormat="1" applyFont="1" applyAlignment="1" applyProtection="1">
      <alignment horizontal="right"/>
    </xf>
    <xf numFmtId="165" fontId="34" fillId="0" borderId="0" xfId="30" applyNumberFormat="1" applyFont="1"/>
    <xf numFmtId="170" fontId="3" fillId="0" borderId="31" xfId="30" quotePrefix="1" applyNumberFormat="1" applyFont="1" applyBorder="1" applyAlignment="1" applyProtection="1">
      <alignment horizontal="right"/>
    </xf>
    <xf numFmtId="170" fontId="3" fillId="0" borderId="32" xfId="30" quotePrefix="1" applyNumberFormat="1" applyFont="1" applyBorder="1" applyAlignment="1" applyProtection="1">
      <alignment horizontal="right"/>
    </xf>
    <xf numFmtId="170" fontId="3" fillId="0" borderId="11" xfId="30" quotePrefix="1" applyNumberFormat="1" applyFont="1" applyBorder="1" applyAlignment="1" applyProtection="1">
      <alignment horizontal="right"/>
    </xf>
    <xf numFmtId="170" fontId="3" fillId="0" borderId="32" xfId="30" applyNumberFormat="1" applyFont="1" applyFill="1" applyBorder="1" applyAlignment="1" applyProtection="1">
      <alignment horizontal="right"/>
    </xf>
    <xf numFmtId="164" fontId="2" fillId="0" borderId="0" xfId="30" applyNumberFormat="1" applyFont="1" applyProtection="1"/>
    <xf numFmtId="165" fontId="34" fillId="0" borderId="0" xfId="30" applyNumberFormat="1" applyFont="1" applyAlignment="1" applyProtection="1">
      <alignment horizontal="right"/>
    </xf>
    <xf numFmtId="170" fontId="10" fillId="0" borderId="32" xfId="30" applyNumberFormat="1" applyFont="1" applyBorder="1" applyAlignment="1" applyProtection="1">
      <alignment horizontal="right"/>
    </xf>
    <xf numFmtId="170" fontId="3" fillId="0" borderId="0" xfId="30" applyNumberFormat="1" applyFont="1" applyBorder="1" applyAlignment="1" applyProtection="1">
      <alignment horizontal="right"/>
    </xf>
    <xf numFmtId="164" fontId="2" fillId="0" borderId="0" xfId="30" applyNumberFormat="1" applyFont="1" applyAlignment="1" applyProtection="1">
      <alignment horizontal="right"/>
    </xf>
    <xf numFmtId="164" fontId="3" fillId="0" borderId="141" xfId="30" applyNumberFormat="1" applyFont="1" applyBorder="1" applyAlignment="1" applyProtection="1">
      <alignment horizontal="right"/>
    </xf>
    <xf numFmtId="9" fontId="3" fillId="0" borderId="39" xfId="61" applyNumberFormat="1" applyFont="1" applyBorder="1" applyAlignment="1" applyProtection="1">
      <alignment horizontal="right"/>
    </xf>
    <xf numFmtId="9" fontId="3" fillId="0" borderId="141" xfId="61" applyNumberFormat="1" applyFont="1" applyBorder="1" applyAlignment="1" applyProtection="1">
      <alignment horizontal="right"/>
    </xf>
    <xf numFmtId="9" fontId="3" fillId="0" borderId="40" xfId="61" applyNumberFormat="1" applyFont="1" applyBorder="1" applyAlignment="1" applyProtection="1">
      <alignment horizontal="right"/>
    </xf>
    <xf numFmtId="165" fontId="3" fillId="0" borderId="0" xfId="61" applyNumberFormat="1" applyFont="1" applyBorder="1" applyAlignment="1" applyProtection="1">
      <alignment horizontal="right"/>
    </xf>
    <xf numFmtId="164" fontId="3" fillId="0" borderId="33" xfId="30" applyNumberFormat="1" applyFont="1" applyBorder="1" applyAlignment="1" applyProtection="1">
      <alignment horizontal="right"/>
    </xf>
    <xf numFmtId="9" fontId="3" fillId="0" borderId="33" xfId="61" applyNumberFormat="1" applyFont="1" applyBorder="1" applyAlignment="1" applyProtection="1">
      <alignment horizontal="right"/>
    </xf>
    <xf numFmtId="9" fontId="3" fillId="0" borderId="0" xfId="61" applyNumberFormat="1" applyFont="1" applyBorder="1" applyAlignment="1" applyProtection="1">
      <alignment horizontal="right"/>
    </xf>
    <xf numFmtId="9" fontId="3" fillId="0" borderId="35" xfId="61" applyNumberFormat="1" applyFont="1" applyBorder="1" applyAlignment="1" applyProtection="1">
      <alignment horizontal="right"/>
    </xf>
    <xf numFmtId="9" fontId="3" fillId="0" borderId="9" xfId="61" applyNumberFormat="1" applyFont="1" applyBorder="1" applyAlignment="1" applyProtection="1">
      <alignment horizontal="right"/>
    </xf>
    <xf numFmtId="164" fontId="10" fillId="0" borderId="31" xfId="30" applyNumberFormat="1" applyFont="1" applyBorder="1" applyAlignment="1" applyProtection="1">
      <alignment horizontal="right"/>
    </xf>
    <xf numFmtId="9" fontId="3" fillId="0" borderId="31" xfId="61" applyNumberFormat="1" applyFont="1" applyBorder="1" applyAlignment="1" applyProtection="1">
      <alignment horizontal="right"/>
    </xf>
    <xf numFmtId="9" fontId="3" fillId="0" borderId="32" xfId="61" applyNumberFormat="1" applyFont="1" applyBorder="1" applyAlignment="1" applyProtection="1">
      <alignment horizontal="right"/>
    </xf>
    <xf numFmtId="9" fontId="2" fillId="0" borderId="29" xfId="61" applyNumberFormat="1" applyFont="1" applyBorder="1" applyAlignment="1" applyProtection="1">
      <alignment horizontal="right"/>
    </xf>
    <xf numFmtId="9" fontId="3" fillId="0" borderId="11" xfId="61" applyNumberFormat="1" applyFont="1" applyBorder="1" applyAlignment="1" applyProtection="1">
      <alignment horizontal="right"/>
    </xf>
    <xf numFmtId="164" fontId="3" fillId="0" borderId="0" xfId="30" applyNumberFormat="1" applyFont="1" applyProtection="1"/>
    <xf numFmtId="164" fontId="3" fillId="0" borderId="34" xfId="30" applyNumberFormat="1" applyFont="1" applyBorder="1" applyAlignment="1" applyProtection="1">
      <alignment horizontal="right"/>
    </xf>
    <xf numFmtId="9" fontId="3" fillId="0" borderId="34" xfId="61" applyNumberFormat="1" applyFont="1" applyBorder="1" applyAlignment="1" applyProtection="1">
      <alignment horizontal="right"/>
    </xf>
    <xf numFmtId="9" fontId="3" fillId="0" borderId="30" xfId="61" applyNumberFormat="1" applyFont="1" applyBorder="1" applyAlignment="1" applyProtection="1">
      <alignment horizontal="right"/>
    </xf>
    <xf numFmtId="9" fontId="3" fillId="0" borderId="36" xfId="61" applyNumberFormat="1" applyFont="1" applyBorder="1" applyAlignment="1" applyProtection="1">
      <alignment horizontal="right"/>
    </xf>
    <xf numFmtId="9" fontId="3" fillId="0" borderId="38" xfId="61" applyNumberFormat="1" applyFont="1" applyBorder="1" applyAlignment="1" applyProtection="1">
      <alignment horizontal="right"/>
    </xf>
    <xf numFmtId="170" fontId="3" fillId="0" borderId="32" xfId="30" applyNumberFormat="1" applyFont="1" applyBorder="1" applyAlignment="1" applyProtection="1">
      <alignment horizontal="right"/>
    </xf>
    <xf numFmtId="170" fontId="8" fillId="0" borderId="32" xfId="30" applyNumberFormat="1" applyFont="1" applyBorder="1" applyAlignment="1" applyProtection="1">
      <alignment horizontal="right"/>
    </xf>
    <xf numFmtId="164" fontId="3" fillId="0" borderId="31" xfId="30" applyNumberFormat="1" applyFont="1" applyBorder="1" applyAlignment="1" applyProtection="1">
      <alignment horizontal="right"/>
    </xf>
    <xf numFmtId="1" fontId="3" fillId="0" borderId="29" xfId="0" applyNumberFormat="1" applyFont="1" applyBorder="1"/>
    <xf numFmtId="1" fontId="3" fillId="0" borderId="0" xfId="0" applyNumberFormat="1" applyFont="1" applyBorder="1"/>
    <xf numFmtId="9" fontId="8" fillId="0" borderId="35" xfId="61" applyFont="1" applyFill="1" applyBorder="1" applyAlignment="1" applyProtection="1">
      <alignment horizontal="center"/>
      <protection locked="0"/>
    </xf>
    <xf numFmtId="164" fontId="8" fillId="26" borderId="135" xfId="30" applyNumberFormat="1" applyFont="1" applyFill="1" applyBorder="1" applyAlignment="1" applyProtection="1">
      <protection locked="0"/>
    </xf>
    <xf numFmtId="37" fontId="18" fillId="0" borderId="106" xfId="0" applyNumberFormat="1" applyFont="1" applyFill="1" applyBorder="1" applyProtection="1"/>
    <xf numFmtId="37" fontId="18" fillId="43" borderId="0" xfId="0" applyNumberFormat="1" applyFont="1" applyFill="1" applyAlignment="1" applyProtection="1"/>
    <xf numFmtId="0" fontId="35" fillId="24" borderId="0" xfId="51" applyFill="1" applyBorder="1" applyAlignment="1">
      <alignment horizontal="left"/>
    </xf>
    <xf numFmtId="0" fontId="35" fillId="24" borderId="0" xfId="51" applyFill="1" applyAlignment="1"/>
    <xf numFmtId="0" fontId="35" fillId="24" borderId="0" xfId="51" applyFill="1" applyAlignment="1">
      <alignment horizontal="left"/>
    </xf>
    <xf numFmtId="37" fontId="101" fillId="43" borderId="0" xfId="0" applyNumberFormat="1" applyFont="1" applyFill="1" applyAlignment="1" applyProtection="1">
      <alignment horizontal="right"/>
    </xf>
    <xf numFmtId="5" fontId="3" fillId="0" borderId="106" xfId="0" applyNumberFormat="1" applyFont="1" applyBorder="1" applyProtection="1"/>
    <xf numFmtId="5" fontId="3" fillId="0" borderId="0" xfId="0" applyNumberFormat="1" applyFont="1" applyBorder="1" applyProtection="1"/>
    <xf numFmtId="37" fontId="8" fillId="26" borderId="106" xfId="61" applyNumberFormat="1" applyFont="1" applyFill="1" applyBorder="1" applyAlignment="1" applyProtection="1">
      <alignment horizontal="right"/>
      <protection locked="0"/>
    </xf>
    <xf numFmtId="41" fontId="8" fillId="26" borderId="56" xfId="32" applyNumberFormat="1" applyFont="1" applyFill="1" applyBorder="1" applyAlignment="1" applyProtection="1">
      <alignment horizontal="right"/>
      <protection locked="0"/>
    </xf>
    <xf numFmtId="41" fontId="8" fillId="26" borderId="96" xfId="32" applyNumberFormat="1" applyFont="1" applyFill="1" applyBorder="1" applyAlignment="1" applyProtection="1">
      <alignment horizontal="right"/>
      <protection locked="0"/>
    </xf>
    <xf numFmtId="185" fontId="0" fillId="24" borderId="30" xfId="51" applyNumberFormat="1" applyFont="1" applyFill="1" applyBorder="1" applyAlignment="1" applyProtection="1">
      <alignment horizontal="center"/>
      <protection locked="0"/>
    </xf>
    <xf numFmtId="0" fontId="18" fillId="26" borderId="29" xfId="51" applyFont="1" applyFill="1" applyBorder="1" applyAlignment="1" applyProtection="1">
      <alignment horizontal="center"/>
      <protection locked="0"/>
    </xf>
    <xf numFmtId="0" fontId="35" fillId="45" borderId="29" xfId="51" applyFill="1" applyBorder="1" applyAlignment="1" applyProtection="1">
      <alignment horizontal="center"/>
      <protection locked="0"/>
    </xf>
    <xf numFmtId="0" fontId="18" fillId="24" borderId="29" xfId="51" applyFont="1" applyFill="1" applyBorder="1"/>
    <xf numFmtId="0" fontId="18" fillId="24" borderId="0" xfId="51" applyFont="1" applyFill="1" applyBorder="1"/>
    <xf numFmtId="0" fontId="2" fillId="27" borderId="28" xfId="51" applyFont="1" applyFill="1" applyBorder="1" applyAlignment="1">
      <alignment horizontal="centerContinuous"/>
    </xf>
    <xf numFmtId="194" fontId="0" fillId="0" borderId="0" xfId="0" applyNumberFormat="1" applyFont="1" applyAlignment="1"/>
    <xf numFmtId="0" fontId="0" fillId="0" borderId="0" xfId="0" applyNumberFormat="1" applyFont="1" applyFill="1" applyBorder="1" applyAlignment="1" applyProtection="1"/>
    <xf numFmtId="42" fontId="3" fillId="0" borderId="0" xfId="30" applyNumberFormat="1" applyFont="1" applyBorder="1" applyAlignment="1" applyProtection="1"/>
    <xf numFmtId="37" fontId="3" fillId="0" borderId="28" xfId="0" applyNumberFormat="1" applyFont="1" applyBorder="1" applyAlignment="1" applyProtection="1"/>
    <xf numFmtId="172" fontId="3" fillId="0" borderId="30" xfId="30" applyNumberFormat="1" applyFont="1" applyFill="1" applyBorder="1" applyAlignment="1" applyProtection="1">
      <alignment horizontal="center"/>
    </xf>
    <xf numFmtId="172" fontId="3" fillId="0" borderId="0" xfId="30" applyNumberFormat="1" applyFont="1" applyFill="1" applyBorder="1" applyAlignment="1" applyProtection="1">
      <alignment horizontal="center"/>
    </xf>
    <xf numFmtId="172" fontId="2" fillId="0" borderId="27" xfId="30" applyNumberFormat="1" applyFont="1" applyFill="1" applyBorder="1" applyAlignment="1" applyProtection="1">
      <alignment horizontal="centerContinuous"/>
    </xf>
    <xf numFmtId="0" fontId="0" fillId="0" borderId="43" xfId="47" applyFont="1" applyBorder="1" applyAlignment="1" applyProtection="1"/>
    <xf numFmtId="0" fontId="0" fillId="0" borderId="43" xfId="47" applyFont="1" applyBorder="1" applyAlignment="1" applyProtection="1">
      <alignment horizontal="left" indent="1"/>
    </xf>
    <xf numFmtId="37" fontId="3" fillId="0" borderId="0" xfId="0" applyNumberFormat="1" applyFont="1" applyBorder="1" applyProtection="1"/>
    <xf numFmtId="37" fontId="8" fillId="0" borderId="29" xfId="0" applyNumberFormat="1" applyFont="1" applyBorder="1" applyProtection="1"/>
    <xf numFmtId="44" fontId="3" fillId="0" borderId="89" xfId="32" applyNumberFormat="1" applyFont="1" applyBorder="1" applyAlignment="1" applyProtection="1"/>
    <xf numFmtId="44" fontId="3" fillId="0" borderId="97" xfId="32" applyNumberFormat="1" applyFont="1" applyBorder="1" applyAlignment="1" applyProtection="1"/>
    <xf numFmtId="43" fontId="3" fillId="0" borderId="7" xfId="32" applyNumberFormat="1" applyFont="1" applyBorder="1" applyAlignment="1" applyProtection="1"/>
    <xf numFmtId="43" fontId="3" fillId="0" borderId="90" xfId="32" applyNumberFormat="1" applyFont="1" applyBorder="1" applyAlignment="1" applyProtection="1"/>
    <xf numFmtId="43" fontId="3" fillId="0" borderId="88" xfId="32" applyNumberFormat="1" applyFont="1" applyBorder="1" applyAlignment="1" applyProtection="1"/>
    <xf numFmtId="43" fontId="3" fillId="0" borderId="91" xfId="32" applyNumberFormat="1" applyFont="1" applyBorder="1" applyAlignment="1" applyProtection="1"/>
    <xf numFmtId="43" fontId="3" fillId="0" borderId="56" xfId="32" applyNumberFormat="1" applyFont="1" applyFill="1" applyBorder="1" applyAlignment="1" applyProtection="1">
      <protection locked="0"/>
    </xf>
    <xf numFmtId="43" fontId="3" fillId="0" borderId="92" xfId="32" applyNumberFormat="1" applyFont="1" applyBorder="1" applyAlignment="1" applyProtection="1"/>
    <xf numFmtId="43" fontId="8" fillId="0" borderId="57" xfId="32" applyNumberFormat="1" applyFont="1" applyBorder="1" applyAlignment="1" applyProtection="1">
      <protection locked="0"/>
    </xf>
    <xf numFmtId="43" fontId="3" fillId="0" borderId="93" xfId="32" applyNumberFormat="1" applyFont="1" applyBorder="1" applyAlignment="1" applyProtection="1"/>
    <xf numFmtId="43" fontId="3" fillId="0" borderId="56" xfId="32" applyNumberFormat="1" applyFont="1" applyBorder="1" applyAlignment="1" applyProtection="1"/>
    <xf numFmtId="43" fontId="3" fillId="0" borderId="7" xfId="32" applyNumberFormat="1" applyFont="1" applyBorder="1" applyProtection="1"/>
    <xf numFmtId="43" fontId="3" fillId="0" borderId="90" xfId="32" applyNumberFormat="1" applyFont="1" applyBorder="1" applyProtection="1"/>
    <xf numFmtId="43" fontId="3" fillId="0" borderId="57" xfId="32" applyNumberFormat="1" applyFont="1" applyBorder="1" applyProtection="1"/>
    <xf numFmtId="43" fontId="3" fillId="0" borderId="93" xfId="32" applyNumberFormat="1" applyFont="1" applyBorder="1" applyProtection="1"/>
    <xf numFmtId="43" fontId="3" fillId="0" borderId="56" xfId="32" applyNumberFormat="1" applyFont="1" applyBorder="1" applyProtection="1"/>
    <xf numFmtId="43" fontId="3" fillId="0" borderId="92" xfId="32" applyNumberFormat="1" applyFont="1" applyBorder="1" applyProtection="1"/>
    <xf numFmtId="43" fontId="3" fillId="0" borderId="119" xfId="32" applyNumberFormat="1" applyFont="1" applyBorder="1" applyProtection="1"/>
    <xf numFmtId="43" fontId="3" fillId="0" borderId="170" xfId="32" applyNumberFormat="1" applyFont="1" applyBorder="1" applyProtection="1"/>
    <xf numFmtId="43" fontId="3" fillId="0" borderId="96" xfId="32" applyNumberFormat="1" applyFont="1" applyBorder="1" applyProtection="1"/>
    <xf numFmtId="43" fontId="3" fillId="0" borderId="95" xfId="32" applyNumberFormat="1" applyFont="1" applyBorder="1" applyProtection="1"/>
    <xf numFmtId="41" fontId="3" fillId="41" borderId="7" xfId="32" applyNumberFormat="1" applyFont="1" applyFill="1" applyBorder="1" applyProtection="1"/>
    <xf numFmtId="43" fontId="3" fillId="41" borderId="7" xfId="32" applyNumberFormat="1" applyFont="1" applyFill="1" applyBorder="1" applyProtection="1"/>
    <xf numFmtId="43" fontId="3" fillId="41" borderId="90" xfId="32" applyNumberFormat="1" applyFont="1" applyFill="1" applyBorder="1" applyProtection="1"/>
    <xf numFmtId="41" fontId="3" fillId="41" borderId="57" xfId="32" applyNumberFormat="1" applyFont="1" applyFill="1" applyBorder="1" applyProtection="1"/>
    <xf numFmtId="43" fontId="3" fillId="41" borderId="57" xfId="32" applyNumberFormat="1" applyFont="1" applyFill="1" applyBorder="1" applyProtection="1"/>
    <xf numFmtId="43" fontId="3" fillId="41" borderId="93" xfId="32" applyNumberFormat="1" applyFont="1" applyFill="1" applyBorder="1" applyProtection="1"/>
    <xf numFmtId="41" fontId="3" fillId="41" borderId="56" xfId="32" applyNumberFormat="1" applyFont="1" applyFill="1" applyBorder="1" applyProtection="1"/>
    <xf numFmtId="43" fontId="3" fillId="41" borderId="56" xfId="32" applyNumberFormat="1" applyFont="1" applyFill="1" applyBorder="1" applyProtection="1"/>
    <xf numFmtId="43" fontId="3" fillId="41" borderId="92" xfId="32" applyNumberFormat="1" applyFont="1" applyFill="1" applyBorder="1" applyProtection="1"/>
    <xf numFmtId="43" fontId="3" fillId="0" borderId="0" xfId="32" applyNumberFormat="1" applyFont="1" applyBorder="1" applyProtection="1"/>
    <xf numFmtId="0" fontId="16" fillId="0" borderId="0" xfId="47" applyFont="1" applyBorder="1" applyProtection="1"/>
    <xf numFmtId="6" fontId="3" fillId="0" borderId="0" xfId="0" applyNumberFormat="1" applyFont="1" applyAlignment="1" applyProtection="1">
      <alignment horizontal="center"/>
    </xf>
    <xf numFmtId="38" fontId="0" fillId="0" borderId="0" xfId="0" applyNumberFormat="1" applyAlignment="1" applyProtection="1">
      <alignment horizontal="left"/>
    </xf>
    <xf numFmtId="38" fontId="3" fillId="0" borderId="0" xfId="0" applyNumberFormat="1" applyFont="1" applyAlignment="1" applyProtection="1">
      <alignment horizontal="right"/>
    </xf>
    <xf numFmtId="172" fontId="139" fillId="0" borderId="0" xfId="30" applyNumberFormat="1" applyFont="1" applyFill="1" applyBorder="1" applyAlignment="1" applyProtection="1">
      <alignment horizontal="center"/>
    </xf>
    <xf numFmtId="0" fontId="139" fillId="0" borderId="0" xfId="0" applyFont="1" applyAlignment="1" applyProtection="1"/>
    <xf numFmtId="172" fontId="140" fillId="0" borderId="0" xfId="30" applyNumberFormat="1" applyFont="1" applyFill="1" applyBorder="1" applyAlignment="1" applyProtection="1">
      <alignment horizontal="center"/>
    </xf>
    <xf numFmtId="37" fontId="140" fillId="0" borderId="0" xfId="0" applyNumberFormat="1" applyFont="1" applyBorder="1" applyAlignment="1" applyProtection="1">
      <alignment horizontal="centerContinuous"/>
    </xf>
    <xf numFmtId="0" fontId="139" fillId="0" borderId="0" xfId="0" applyFont="1" applyAlignment="1" applyProtection="1">
      <alignment horizontal="centerContinuous"/>
    </xf>
    <xf numFmtId="0" fontId="139" fillId="0" borderId="0" xfId="0" applyFont="1" applyBorder="1" applyAlignment="1" applyProtection="1">
      <alignment horizontal="centerContinuous"/>
    </xf>
    <xf numFmtId="0" fontId="140" fillId="0" borderId="64" xfId="47" applyFont="1" applyFill="1" applyBorder="1" applyAlignment="1" applyProtection="1">
      <alignment horizontal="center"/>
    </xf>
    <xf numFmtId="0" fontId="0" fillId="0" borderId="0" xfId="47" applyFont="1" applyBorder="1" applyAlignment="1" applyProtection="1"/>
    <xf numFmtId="0" fontId="0" fillId="0" borderId="94" xfId="47" quotePrefix="1" applyFont="1" applyBorder="1" applyAlignment="1" applyProtection="1"/>
    <xf numFmtId="37" fontId="18" fillId="0" borderId="14" xfId="48" applyNumberFormat="1" applyFont="1" applyBorder="1" applyProtection="1"/>
    <xf numFmtId="5" fontId="18" fillId="0" borderId="76" xfId="48" applyNumberFormat="1" applyFont="1" applyBorder="1"/>
    <xf numFmtId="37" fontId="18" fillId="0" borderId="43" xfId="48" applyNumberFormat="1" applyFont="1" applyBorder="1" applyProtection="1"/>
    <xf numFmtId="5" fontId="18" fillId="0" borderId="94" xfId="48" applyNumberFormat="1" applyFont="1" applyBorder="1"/>
    <xf numFmtId="41" fontId="18" fillId="0" borderId="43" xfId="48" applyNumberFormat="1" applyFont="1" applyBorder="1"/>
    <xf numFmtId="37" fontId="18" fillId="0" borderId="83" xfId="48" applyNumberFormat="1" applyFont="1" applyFill="1" applyBorder="1" applyProtection="1"/>
    <xf numFmtId="5" fontId="18" fillId="0" borderId="17" xfId="48" applyNumberFormat="1" applyFont="1" applyBorder="1" applyProtection="1"/>
    <xf numFmtId="5" fontId="18" fillId="0" borderId="78" xfId="48" applyNumberFormat="1" applyFont="1" applyBorder="1"/>
    <xf numFmtId="41" fontId="41" fillId="0" borderId="0" xfId="0" applyNumberFormat="1" applyFont="1"/>
    <xf numFmtId="41" fontId="123" fillId="0" borderId="0" xfId="0" applyNumberFormat="1" applyFont="1"/>
    <xf numFmtId="41" fontId="18" fillId="46" borderId="0" xfId="0" applyNumberFormat="1" applyFont="1" applyFill="1"/>
    <xf numFmtId="43" fontId="18" fillId="0" borderId="0" xfId="30" applyFont="1"/>
    <xf numFmtId="41" fontId="18" fillId="28" borderId="157" xfId="0" applyNumberFormat="1" applyFont="1" applyFill="1" applyBorder="1"/>
    <xf numFmtId="9" fontId="8" fillId="45" borderId="0" xfId="59" applyFont="1" applyFill="1" applyBorder="1" applyAlignment="1" applyProtection="1">
      <protection locked="0"/>
    </xf>
    <xf numFmtId="9" fontId="8" fillId="26" borderId="0" xfId="61" applyFont="1" applyFill="1" applyBorder="1" applyAlignment="1" applyProtection="1">
      <alignment horizontal="right"/>
      <protection locked="0"/>
    </xf>
    <xf numFmtId="0" fontId="8" fillId="41" borderId="66" xfId="0" quotePrefix="1" applyNumberFormat="1" applyFont="1" applyFill="1" applyBorder="1" applyAlignment="1" applyProtection="1">
      <alignment horizontal="center"/>
    </xf>
    <xf numFmtId="41" fontId="8" fillId="41" borderId="7" xfId="32" applyNumberFormat="1" applyFont="1" applyFill="1" applyBorder="1" applyAlignment="1" applyProtection="1"/>
    <xf numFmtId="0" fontId="8" fillId="41" borderId="69" xfId="0" quotePrefix="1" applyNumberFormat="1" applyFont="1" applyFill="1" applyBorder="1" applyAlignment="1" applyProtection="1">
      <alignment horizontal="center"/>
    </xf>
    <xf numFmtId="41" fontId="8" fillId="41" borderId="57" xfId="32" applyNumberFormat="1" applyFont="1" applyFill="1" applyBorder="1" applyAlignment="1" applyProtection="1"/>
    <xf numFmtId="0" fontId="8" fillId="41" borderId="68" xfId="0" quotePrefix="1" applyNumberFormat="1" applyFont="1" applyFill="1" applyBorder="1" applyAlignment="1" applyProtection="1">
      <alignment horizontal="center"/>
    </xf>
    <xf numFmtId="41" fontId="8" fillId="41" borderId="56" xfId="32" applyNumberFormat="1" applyFont="1" applyFill="1" applyBorder="1" applyAlignment="1" applyProtection="1"/>
    <xf numFmtId="41" fontId="3" fillId="0" borderId="7" xfId="32" applyNumberFormat="1" applyFont="1" applyBorder="1" applyProtection="1"/>
    <xf numFmtId="0" fontId="18" fillId="0" borderId="0" xfId="46" applyFont="1"/>
    <xf numFmtId="0" fontId="18" fillId="0" borderId="0" xfId="46" applyFont="1" applyAlignment="1">
      <alignment horizontal="right"/>
    </xf>
    <xf numFmtId="0" fontId="18" fillId="0" borderId="30" xfId="46" applyFont="1" applyBorder="1" applyAlignment="1">
      <alignment horizontal="right"/>
    </xf>
    <xf numFmtId="0" fontId="18" fillId="0" borderId="0" xfId="46" applyFont="1" applyBorder="1" applyAlignment="1">
      <alignment horizontal="right"/>
    </xf>
    <xf numFmtId="37" fontId="18" fillId="0" borderId="0" xfId="46" applyNumberFormat="1" applyFont="1" applyAlignment="1">
      <alignment horizontal="right"/>
    </xf>
    <xf numFmtId="37" fontId="18" fillId="0" borderId="30" xfId="46" applyNumberFormat="1" applyFont="1" applyBorder="1" applyAlignment="1">
      <alignment horizontal="right"/>
    </xf>
    <xf numFmtId="37" fontId="18" fillId="0" borderId="41" xfId="46" applyNumberFormat="1" applyFont="1" applyBorder="1" applyAlignment="1">
      <alignment horizontal="right"/>
    </xf>
    <xf numFmtId="165" fontId="8" fillId="26" borderId="29" xfId="61" applyNumberFormat="1" applyFont="1" applyFill="1" applyBorder="1" applyAlignment="1" applyProtection="1">
      <alignment horizontal="right"/>
      <protection locked="0"/>
    </xf>
    <xf numFmtId="42" fontId="8" fillId="26" borderId="89" xfId="32" applyNumberFormat="1" applyFont="1" applyFill="1" applyBorder="1" applyAlignment="1" applyProtection="1">
      <protection locked="0"/>
    </xf>
    <xf numFmtId="41" fontId="8" fillId="26" borderId="7" xfId="32" applyNumberFormat="1" applyFont="1" applyFill="1" applyBorder="1" applyAlignment="1" applyProtection="1">
      <alignment horizontal="center"/>
      <protection locked="0"/>
    </xf>
    <xf numFmtId="42" fontId="8" fillId="26" borderId="56" xfId="32" applyNumberFormat="1" applyFont="1" applyFill="1" applyBorder="1" applyAlignment="1" applyProtection="1">
      <protection locked="0"/>
    </xf>
    <xf numFmtId="41" fontId="8" fillId="26" borderId="57" xfId="32" applyNumberFormat="1" applyFont="1" applyFill="1" applyBorder="1" applyAlignment="1" applyProtection="1">
      <protection locked="0"/>
    </xf>
    <xf numFmtId="41" fontId="141" fillId="26" borderId="56" xfId="32" applyNumberFormat="1" applyFont="1" applyFill="1" applyBorder="1" applyAlignment="1" applyProtection="1">
      <protection locked="0"/>
    </xf>
    <xf numFmtId="41" fontId="141" fillId="26" borderId="56" xfId="31" applyNumberFormat="1" applyFont="1" applyFill="1" applyBorder="1" applyAlignment="1" applyProtection="1">
      <protection locked="0"/>
    </xf>
    <xf numFmtId="6" fontId="1" fillId="0" borderId="0" xfId="31" applyNumberFormat="1" applyFont="1" applyFill="1" applyBorder="1" applyProtection="1"/>
    <xf numFmtId="6" fontId="30" fillId="0" borderId="30" xfId="31" applyNumberFormat="1" applyFont="1" applyFill="1" applyBorder="1" applyProtection="1"/>
    <xf numFmtId="6" fontId="30" fillId="0" borderId="0" xfId="31" applyNumberFormat="1" applyFont="1" applyFill="1" applyBorder="1" applyProtection="1"/>
    <xf numFmtId="37" fontId="0" fillId="0" borderId="0" xfId="0" applyNumberFormat="1" applyFill="1" applyBorder="1" applyAlignment="1" applyProtection="1">
      <alignment horizontal="right"/>
    </xf>
    <xf numFmtId="6" fontId="2" fillId="0" borderId="145" xfId="47" applyNumberFormat="1" applyFont="1" applyFill="1" applyBorder="1" applyAlignment="1" applyProtection="1">
      <alignment horizontal="centerContinuous"/>
    </xf>
    <xf numFmtId="6" fontId="2" fillId="0" borderId="156" xfId="47" applyNumberFormat="1" applyFont="1" applyFill="1" applyBorder="1" applyAlignment="1" applyProtection="1">
      <alignment horizontal="center"/>
    </xf>
    <xf numFmtId="6" fontId="2" fillId="0" borderId="58" xfId="47" applyNumberFormat="1" applyFont="1" applyFill="1" applyBorder="1" applyAlignment="1" applyProtection="1">
      <alignment horizontal="center"/>
    </xf>
    <xf numFmtId="0" fontId="30" fillId="0" borderId="0" xfId="0" applyNumberFormat="1" applyFont="1" applyAlignment="1" applyProtection="1">
      <protection locked="0"/>
    </xf>
    <xf numFmtId="0" fontId="2" fillId="0" borderId="28" xfId="47" applyNumberFormat="1" applyFont="1" applyBorder="1" applyAlignment="1" applyProtection="1"/>
    <xf numFmtId="0" fontId="2" fillId="0" borderId="0" xfId="47" applyNumberFormat="1" applyFont="1" applyBorder="1" applyAlignment="1" applyProtection="1"/>
    <xf numFmtId="0" fontId="1" fillId="0" borderId="0" xfId="47" applyNumberFormat="1" applyFont="1" applyBorder="1" applyAlignment="1" applyProtection="1"/>
    <xf numFmtId="0" fontId="1" fillId="0" borderId="0" xfId="47" quotePrefix="1" applyNumberFormat="1" applyFont="1" applyBorder="1" applyAlignment="1" applyProtection="1"/>
    <xf numFmtId="0" fontId="30" fillId="0" borderId="0" xfId="47" applyNumberFormat="1" applyFont="1" applyBorder="1" applyAlignment="1" applyProtection="1"/>
    <xf numFmtId="0" fontId="2" fillId="0" borderId="171" xfId="47" quotePrefix="1" applyNumberFormat="1" applyFont="1" applyFill="1" applyBorder="1" applyAlignment="1" applyProtection="1">
      <alignment horizontal="centerContinuous"/>
    </xf>
    <xf numFmtId="0" fontId="2" fillId="0" borderId="58" xfId="47" applyNumberFormat="1" applyFont="1" applyFill="1" applyBorder="1" applyAlignment="1" applyProtection="1">
      <alignment horizontal="center"/>
    </xf>
    <xf numFmtId="0" fontId="30" fillId="0" borderId="0" xfId="31" applyNumberFormat="1" applyFont="1" applyFill="1" applyBorder="1" applyProtection="1"/>
    <xf numFmtId="0" fontId="3" fillId="0" borderId="27" xfId="0" applyNumberFormat="1" applyFont="1" applyBorder="1" applyProtection="1"/>
    <xf numFmtId="0" fontId="3" fillId="29" borderId="0" xfId="0" applyNumberFormat="1" applyFont="1" applyFill="1" applyProtection="1"/>
    <xf numFmtId="0" fontId="0" fillId="0" borderId="0" xfId="0" applyBorder="1" applyAlignment="1" applyProtection="1">
      <alignment horizontal="center"/>
    </xf>
    <xf numFmtId="172" fontId="0" fillId="0" borderId="30" xfId="28" quotePrefix="1" applyNumberFormat="1" applyFont="1" applyFill="1" applyBorder="1" applyAlignment="1" applyProtection="1">
      <alignment horizontal="center"/>
    </xf>
    <xf numFmtId="172" fontId="0" fillId="0" borderId="30" xfId="30" quotePrefix="1" applyNumberFormat="1" applyFont="1" applyFill="1" applyBorder="1" applyAlignment="1" applyProtection="1">
      <alignment horizontal="center"/>
    </xf>
    <xf numFmtId="0" fontId="2" fillId="0" borderId="0" xfId="47" quotePrefix="1" applyFont="1" applyBorder="1" applyAlignment="1" applyProtection="1"/>
    <xf numFmtId="172" fontId="1" fillId="0" borderId="0" xfId="47" applyNumberFormat="1" applyFont="1" applyBorder="1" applyAlignment="1" applyProtection="1"/>
    <xf numFmtId="0" fontId="30" fillId="0" borderId="172" xfId="31" applyNumberFormat="1" applyFont="1" applyBorder="1" applyAlignment="1" applyProtection="1"/>
    <xf numFmtId="0" fontId="30" fillId="0" borderId="173" xfId="31" applyNumberFormat="1" applyFont="1" applyBorder="1" applyAlignment="1" applyProtection="1"/>
    <xf numFmtId="0" fontId="30" fillId="0" borderId="174" xfId="31" applyNumberFormat="1" applyFont="1" applyBorder="1" applyAlignment="1" applyProtection="1"/>
    <xf numFmtId="0" fontId="30" fillId="0" borderId="175" xfId="31" applyNumberFormat="1" applyFont="1" applyBorder="1" applyAlignment="1" applyProtection="1"/>
    <xf numFmtId="0" fontId="30" fillId="0" borderId="176" xfId="31" applyNumberFormat="1" applyFont="1" applyBorder="1" applyAlignment="1" applyProtection="1"/>
    <xf numFmtId="42" fontId="30" fillId="0" borderId="194" xfId="31" applyNumberFormat="1" applyFont="1" applyFill="1" applyBorder="1" applyAlignment="1" applyProtection="1"/>
    <xf numFmtId="41" fontId="30" fillId="0" borderId="195" xfId="31" applyNumberFormat="1" applyFont="1" applyFill="1" applyBorder="1" applyAlignment="1" applyProtection="1"/>
    <xf numFmtId="41" fontId="30" fillId="0" borderId="196" xfId="31" applyNumberFormat="1" applyFont="1" applyFill="1" applyBorder="1" applyAlignment="1" applyProtection="1"/>
    <xf numFmtId="41" fontId="30" fillId="0" borderId="197" xfId="31" applyNumberFormat="1" applyFont="1" applyFill="1" applyBorder="1" applyAlignment="1" applyProtection="1"/>
    <xf numFmtId="41" fontId="30" fillId="0" borderId="198" xfId="31" applyNumberFormat="1" applyFont="1" applyFill="1" applyBorder="1" applyAlignment="1" applyProtection="1"/>
    <xf numFmtId="41" fontId="30" fillId="0" borderId="195" xfId="31" applyNumberFormat="1" applyFont="1" applyFill="1" applyBorder="1" applyProtection="1"/>
    <xf numFmtId="41" fontId="30" fillId="0" borderId="198" xfId="31" applyNumberFormat="1" applyFont="1" applyFill="1" applyBorder="1" applyProtection="1"/>
    <xf numFmtId="41" fontId="30" fillId="0" borderId="197" xfId="31" applyNumberFormat="1" applyFont="1" applyFill="1" applyBorder="1" applyProtection="1"/>
    <xf numFmtId="41" fontId="30" fillId="0" borderId="199" xfId="31" applyNumberFormat="1" applyFont="1" applyFill="1" applyBorder="1" applyProtection="1"/>
    <xf numFmtId="0" fontId="30" fillId="0" borderId="175" xfId="31" applyNumberFormat="1" applyFont="1" applyBorder="1" applyAlignment="1" applyProtection="1">
      <alignment horizontal="center"/>
    </xf>
    <xf numFmtId="0" fontId="30" fillId="0" borderId="173" xfId="31" applyNumberFormat="1" applyFont="1" applyBorder="1" applyAlignment="1" applyProtection="1">
      <alignment horizontal="center"/>
    </xf>
    <xf numFmtId="0" fontId="30" fillId="0" borderId="176" xfId="31" applyNumberFormat="1" applyFont="1" applyBorder="1" applyAlignment="1" applyProtection="1">
      <alignment horizontal="center"/>
    </xf>
    <xf numFmtId="0" fontId="30" fillId="0" borderId="177" xfId="31" applyNumberFormat="1" applyFont="1" applyBorder="1" applyAlignment="1" applyProtection="1">
      <alignment horizontal="center"/>
    </xf>
    <xf numFmtId="8" fontId="30" fillId="0" borderId="200" xfId="31" applyNumberFormat="1" applyFont="1" applyFill="1" applyBorder="1" applyAlignment="1" applyProtection="1"/>
    <xf numFmtId="8" fontId="30" fillId="0" borderId="201" xfId="31" applyNumberFormat="1" applyFont="1" applyFill="1" applyBorder="1" applyAlignment="1" applyProtection="1"/>
    <xf numFmtId="8" fontId="30" fillId="0" borderId="202" xfId="31" applyNumberFormat="1" applyFont="1" applyFill="1" applyBorder="1" applyAlignment="1" applyProtection="1"/>
    <xf numFmtId="8" fontId="30" fillId="0" borderId="203" xfId="31" applyNumberFormat="1" applyFont="1" applyFill="1" applyBorder="1" applyAlignment="1" applyProtection="1"/>
    <xf numFmtId="8" fontId="30" fillId="0" borderId="204" xfId="31" applyNumberFormat="1" applyFont="1" applyFill="1" applyBorder="1" applyAlignment="1" applyProtection="1"/>
    <xf numFmtId="8" fontId="30" fillId="0" borderId="201" xfId="31" applyNumberFormat="1" applyFont="1" applyFill="1" applyBorder="1" applyProtection="1"/>
    <xf numFmtId="8" fontId="30" fillId="0" borderId="204" xfId="31" applyNumberFormat="1" applyFont="1" applyFill="1" applyBorder="1" applyProtection="1"/>
    <xf numFmtId="8" fontId="30" fillId="0" borderId="203" xfId="31" applyNumberFormat="1" applyFont="1" applyFill="1" applyBorder="1" applyProtection="1"/>
    <xf numFmtId="8" fontId="30" fillId="0" borderId="205" xfId="31" applyNumberFormat="1" applyFont="1" applyFill="1" applyBorder="1" applyProtection="1"/>
    <xf numFmtId="172" fontId="3" fillId="0" borderId="98" xfId="0" applyNumberFormat="1" applyFont="1" applyFill="1" applyBorder="1" applyAlignment="1" applyProtection="1">
      <alignment horizontal="right"/>
    </xf>
    <xf numFmtId="172" fontId="3" fillId="0" borderId="0" xfId="0" applyNumberFormat="1" applyFont="1" applyFill="1" applyAlignment="1" applyProtection="1">
      <alignment horizontal="right"/>
      <protection locked="0"/>
    </xf>
    <xf numFmtId="172" fontId="3" fillId="0" borderId="27" xfId="0" applyNumberFormat="1" applyFont="1" applyFill="1" applyBorder="1" applyAlignment="1" applyProtection="1">
      <alignment horizontal="right"/>
    </xf>
    <xf numFmtId="172" fontId="3" fillId="0" borderId="0" xfId="0" applyNumberFormat="1" applyFont="1" applyFill="1" applyAlignment="1" applyProtection="1"/>
    <xf numFmtId="174" fontId="94" fillId="26" borderId="47" xfId="32" applyNumberFormat="1" applyFont="1" applyFill="1" applyBorder="1" applyAlignment="1" applyProtection="1">
      <protection locked="0"/>
    </xf>
    <xf numFmtId="41" fontId="8" fillId="26" borderId="96" xfId="32" applyNumberFormat="1" applyFont="1" applyFill="1" applyBorder="1" applyAlignment="1" applyProtection="1">
      <protection locked="0"/>
    </xf>
    <xf numFmtId="3" fontId="142" fillId="47" borderId="29" xfId="0" applyNumberFormat="1" applyFont="1" applyFill="1" applyBorder="1" applyAlignment="1" applyProtection="1">
      <alignment horizontal="center"/>
    </xf>
    <xf numFmtId="0" fontId="0" fillId="0" borderId="0" xfId="0" applyBorder="1" applyProtection="1"/>
    <xf numFmtId="0" fontId="3" fillId="0" borderId="0" xfId="30" applyNumberFormat="1" applyAlignment="1">
      <alignment horizontal="right"/>
    </xf>
    <xf numFmtId="0" fontId="8" fillId="0" borderId="0" xfId="30" applyNumberFormat="1" applyFont="1" applyAlignment="1">
      <alignment horizontal="left"/>
    </xf>
    <xf numFmtId="0" fontId="0" fillId="0" borderId="0" xfId="28" applyNumberFormat="1" applyFont="1" applyAlignment="1">
      <alignment horizontal="right"/>
    </xf>
    <xf numFmtId="37" fontId="41" fillId="0" borderId="0" xfId="0" applyNumberFormat="1" applyFont="1" applyFill="1" applyBorder="1" applyAlignment="1" applyProtection="1">
      <alignment horizontal="right"/>
    </xf>
    <xf numFmtId="174" fontId="8" fillId="26" borderId="47" xfId="32" applyNumberFormat="1" applyFont="1" applyFill="1" applyBorder="1" applyAlignment="1" applyProtection="1">
      <protection locked="0"/>
    </xf>
    <xf numFmtId="0" fontId="0" fillId="0" borderId="0" xfId="0" applyAlignment="1" applyProtection="1">
      <alignment horizontal="right"/>
    </xf>
    <xf numFmtId="0" fontId="0" fillId="0" borderId="0" xfId="0" applyNumberFormat="1" applyFill="1" applyBorder="1" applyAlignment="1" applyProtection="1">
      <alignment horizontal="right"/>
    </xf>
    <xf numFmtId="37" fontId="0" fillId="24" borderId="0" xfId="0" applyNumberFormat="1" applyFill="1" applyBorder="1" applyAlignment="1" applyProtection="1">
      <alignment horizontal="right"/>
    </xf>
    <xf numFmtId="0" fontId="0" fillId="0" borderId="0" xfId="0" applyAlignment="1" applyProtection="1"/>
    <xf numFmtId="0" fontId="48" fillId="0" borderId="0" xfId="0" applyFont="1" applyBorder="1" applyAlignment="1" applyProtection="1">
      <alignment horizontal="center"/>
    </xf>
    <xf numFmtId="0" fontId="48" fillId="0" borderId="31" xfId="0" applyFont="1" applyBorder="1" applyAlignment="1" applyProtection="1">
      <alignment horizontal="center"/>
    </xf>
    <xf numFmtId="0" fontId="48" fillId="0" borderId="32" xfId="0" applyFont="1" applyBorder="1" applyAlignment="1" applyProtection="1">
      <alignment horizontal="center"/>
    </xf>
    <xf numFmtId="0" fontId="48" fillId="0" borderId="11" xfId="0" applyFont="1" applyBorder="1" applyAlignment="1" applyProtection="1">
      <alignment horizontal="center"/>
    </xf>
    <xf numFmtId="165" fontId="0" fillId="0" borderId="0" xfId="59" applyNumberFormat="1" applyFont="1" applyFill="1" applyBorder="1" applyAlignment="1" applyProtection="1">
      <alignment horizontal="right"/>
    </xf>
    <xf numFmtId="0" fontId="0" fillId="0" borderId="43" xfId="0" applyBorder="1" applyAlignment="1" applyProtection="1"/>
    <xf numFmtId="0" fontId="0" fillId="0" borderId="28" xfId="0" applyBorder="1" applyAlignment="1" applyProtection="1">
      <alignment horizontal="right"/>
    </xf>
    <xf numFmtId="0" fontId="3" fillId="41" borderId="11" xfId="28" applyNumberFormat="1" applyFont="1" applyFill="1" applyBorder="1" applyAlignment="1">
      <alignment horizontal="right"/>
    </xf>
    <xf numFmtId="0" fontId="0" fillId="0" borderId="0" xfId="0" applyFill="1" applyBorder="1" applyAlignment="1" applyProtection="1"/>
    <xf numFmtId="0" fontId="0" fillId="0" borderId="0" xfId="0" applyNumberFormat="1" applyFill="1" applyBorder="1" applyAlignment="1" applyProtection="1"/>
    <xf numFmtId="0" fontId="0" fillId="0" borderId="110" xfId="0" applyBorder="1" applyProtection="1"/>
    <xf numFmtId="37" fontId="0" fillId="0" borderId="31" xfId="0" applyNumberFormat="1" applyFill="1" applyBorder="1" applyAlignment="1" applyProtection="1"/>
    <xf numFmtId="0" fontId="0" fillId="0" borderId="0" xfId="28" applyNumberFormat="1" applyFont="1" applyAlignment="1" applyProtection="1">
      <alignment horizontal="right"/>
    </xf>
    <xf numFmtId="5" fontId="143" fillId="41" borderId="14" xfId="48" applyNumberFormat="1" applyFont="1" applyFill="1" applyBorder="1" applyAlignment="1" applyProtection="1">
      <alignment horizontal="centerContinuous"/>
    </xf>
    <xf numFmtId="5" fontId="143" fillId="41" borderId="28" xfId="48" applyNumberFormat="1" applyFont="1" applyFill="1" applyBorder="1" applyAlignment="1" applyProtection="1">
      <alignment horizontal="centerContinuous"/>
    </xf>
    <xf numFmtId="5" fontId="143" fillId="41" borderId="76" xfId="48" applyNumberFormat="1" applyFont="1" applyFill="1" applyBorder="1" applyAlignment="1" applyProtection="1">
      <alignment horizontal="centerContinuous"/>
    </xf>
    <xf numFmtId="165" fontId="144" fillId="41" borderId="77" xfId="60" applyNumberFormat="1" applyFont="1" applyFill="1" applyBorder="1" applyAlignment="1" applyProtection="1">
      <alignment horizontal="center"/>
    </xf>
    <xf numFmtId="5" fontId="144" fillId="41" borderId="27" xfId="48" applyNumberFormat="1" applyFont="1" applyFill="1" applyBorder="1" applyProtection="1"/>
    <xf numFmtId="5" fontId="144" fillId="41" borderId="78" xfId="48" applyNumberFormat="1" applyFont="1" applyFill="1" applyBorder="1" applyProtection="1"/>
    <xf numFmtId="0" fontId="145" fillId="0" borderId="98" xfId="0" applyFont="1" applyBorder="1" applyAlignment="1" applyProtection="1">
      <alignment horizontal="right"/>
      <protection locked="0"/>
    </xf>
    <xf numFmtId="0" fontId="0" fillId="41" borderId="29" xfId="0" applyFont="1" applyFill="1" applyBorder="1"/>
    <xf numFmtId="7" fontId="8" fillId="0" borderId="178" xfId="0" applyNumberFormat="1" applyFont="1" applyFill="1" applyBorder="1" applyAlignment="1" applyProtection="1">
      <alignment vertical="center" wrapText="1"/>
    </xf>
    <xf numFmtId="0" fontId="39" fillId="48" borderId="9" xfId="0" applyFont="1" applyFill="1" applyBorder="1" applyAlignment="1" applyProtection="1"/>
    <xf numFmtId="0" fontId="3" fillId="0" borderId="0" xfId="0" applyFont="1" applyFill="1" applyAlignment="1"/>
    <xf numFmtId="37" fontId="2" fillId="0" borderId="0" xfId="0" applyNumberFormat="1" applyFont="1" applyFill="1" applyAlignment="1" applyProtection="1">
      <alignment horizontal="right"/>
    </xf>
    <xf numFmtId="174" fontId="3" fillId="0" borderId="0" xfId="32" applyNumberFormat="1" applyFont="1" applyFill="1" applyAlignment="1" applyProtection="1">
      <alignment horizontal="right"/>
    </xf>
    <xf numFmtId="37" fontId="3" fillId="0" borderId="30" xfId="0" applyNumberFormat="1" applyFont="1" applyFill="1" applyBorder="1" applyAlignment="1" applyProtection="1">
      <alignment horizontal="right"/>
    </xf>
    <xf numFmtId="0" fontId="146" fillId="0" borderId="0" xfId="0" applyFont="1" applyFill="1" applyAlignment="1">
      <alignment horizontal="right"/>
    </xf>
    <xf numFmtId="0" fontId="0" fillId="0" borderId="0" xfId="0" applyFill="1" applyBorder="1" applyAlignment="1" applyProtection="1">
      <alignment horizontal="right"/>
    </xf>
    <xf numFmtId="0" fontId="18" fillId="47" borderId="0" xfId="0" applyFont="1" applyFill="1"/>
    <xf numFmtId="0" fontId="18" fillId="47" borderId="30" xfId="0" applyFont="1" applyFill="1" applyBorder="1" applyAlignment="1">
      <alignment horizontal="center"/>
    </xf>
    <xf numFmtId="37" fontId="0" fillId="0" borderId="141" xfId="0" applyNumberFormat="1" applyFont="1" applyFill="1" applyBorder="1" applyAlignment="1" applyProtection="1">
      <alignment horizontal="center"/>
    </xf>
    <xf numFmtId="174" fontId="3" fillId="24" borderId="0" xfId="32" applyNumberFormat="1" applyFont="1" applyFill="1" applyBorder="1"/>
    <xf numFmtId="0" fontId="0" fillId="0" borderId="33"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0" fillId="0" borderId="0" xfId="0" applyNumberFormat="1" applyAlignment="1">
      <alignment horizontal="center"/>
    </xf>
    <xf numFmtId="0" fontId="2" fillId="46" borderId="179" xfId="0" applyFont="1" applyFill="1" applyBorder="1" applyAlignment="1">
      <alignment horizontal="center"/>
    </xf>
    <xf numFmtId="0" fontId="3" fillId="0" borderId="180" xfId="0" applyNumberFormat="1" applyFont="1" applyBorder="1" applyAlignment="1">
      <alignment horizontal="center"/>
    </xf>
    <xf numFmtId="0" fontId="3" fillId="0" borderId="64" xfId="0" applyFont="1" applyBorder="1" applyAlignment="1">
      <alignment horizontal="center"/>
    </xf>
    <xf numFmtId="0" fontId="3" fillId="0" borderId="63" xfId="0" applyFont="1" applyBorder="1" applyAlignment="1">
      <alignment horizontal="center"/>
    </xf>
    <xf numFmtId="0" fontId="3" fillId="0" borderId="58" xfId="0" applyFont="1" applyBorder="1" applyAlignment="1">
      <alignment horizontal="center"/>
    </xf>
    <xf numFmtId="0" fontId="3" fillId="0" borderId="180" xfId="0" applyFont="1" applyBorder="1" applyAlignment="1">
      <alignment horizontal="center"/>
    </xf>
    <xf numFmtId="0" fontId="2" fillId="42" borderId="64" xfId="0" applyFont="1" applyFill="1" applyBorder="1" applyAlignment="1">
      <alignment horizontal="center"/>
    </xf>
    <xf numFmtId="0" fontId="2" fillId="46" borderId="64" xfId="0" applyFont="1" applyFill="1" applyBorder="1" applyAlignment="1">
      <alignment horizontal="center" wrapText="1"/>
    </xf>
    <xf numFmtId="1" fontId="3" fillId="0" borderId="58" xfId="0" applyNumberFormat="1" applyFont="1" applyBorder="1" applyAlignment="1">
      <alignment horizontal="center"/>
    </xf>
    <xf numFmtId="0" fontId="3" fillId="0" borderId="78" xfId="0" applyFont="1" applyBorder="1" applyAlignment="1">
      <alignment horizontal="center"/>
    </xf>
    <xf numFmtId="0" fontId="2" fillId="46" borderId="181" xfId="0" applyFont="1" applyFill="1" applyBorder="1" applyAlignment="1">
      <alignment horizontal="center"/>
    </xf>
    <xf numFmtId="0" fontId="0" fillId="28" borderId="169" xfId="0" applyNumberFormat="1" applyFill="1" applyBorder="1" applyAlignment="1">
      <alignment horizontal="center"/>
    </xf>
    <xf numFmtId="0" fontId="0" fillId="28" borderId="145" xfId="0" applyFill="1" applyBorder="1" applyAlignment="1">
      <alignment horizontal="center"/>
    </xf>
    <xf numFmtId="0" fontId="0" fillId="28" borderId="155" xfId="0" applyFill="1" applyBorder="1" applyAlignment="1">
      <alignment horizontal="center"/>
    </xf>
    <xf numFmtId="0" fontId="0" fillId="28" borderId="23" xfId="0" applyFill="1" applyBorder="1" applyAlignment="1">
      <alignment horizontal="center"/>
    </xf>
    <xf numFmtId="0" fontId="2" fillId="41" borderId="38" xfId="0" applyNumberFormat="1" applyFont="1" applyFill="1" applyBorder="1" applyAlignment="1">
      <alignment horizontal="center"/>
    </xf>
    <xf numFmtId="0" fontId="2" fillId="46" borderId="36" xfId="0" applyNumberFormat="1" applyFont="1" applyFill="1" applyBorder="1" applyAlignment="1">
      <alignment horizontal="center"/>
    </xf>
    <xf numFmtId="1" fontId="0" fillId="28" borderId="12" xfId="0" applyNumberFormat="1" applyFill="1" applyBorder="1" applyAlignment="1">
      <alignment horizontal="center"/>
    </xf>
    <xf numFmtId="0" fontId="3" fillId="28" borderId="169" xfId="0" applyFont="1" applyFill="1" applyBorder="1" applyAlignment="1">
      <alignment horizontal="center"/>
    </xf>
    <xf numFmtId="0" fontId="2" fillId="46" borderId="182" xfId="0" applyFont="1" applyFill="1" applyBorder="1" applyAlignment="1">
      <alignment horizontal="center"/>
    </xf>
    <xf numFmtId="0" fontId="0" fillId="28" borderId="94" xfId="0" applyNumberFormat="1" applyFill="1" applyBorder="1" applyAlignment="1">
      <alignment horizontal="center"/>
    </xf>
    <xf numFmtId="0" fontId="0" fillId="28" borderId="11" xfId="0" applyFill="1" applyBorder="1" applyAlignment="1">
      <alignment horizontal="center"/>
    </xf>
    <xf numFmtId="0" fontId="0" fillId="28" borderId="33" xfId="0" applyFill="1" applyBorder="1" applyAlignment="1">
      <alignment horizontal="center"/>
    </xf>
    <xf numFmtId="0" fontId="0" fillId="28" borderId="35" xfId="0" applyFill="1" applyBorder="1" applyAlignment="1">
      <alignment horizontal="center"/>
    </xf>
    <xf numFmtId="0" fontId="0" fillId="28" borderId="183" xfId="0" applyFill="1" applyBorder="1" applyAlignment="1">
      <alignment horizontal="center"/>
    </xf>
    <xf numFmtId="0" fontId="2" fillId="41" borderId="9" xfId="0" applyNumberFormat="1" applyFont="1" applyFill="1" applyBorder="1" applyAlignment="1">
      <alignment horizontal="center"/>
    </xf>
    <xf numFmtId="0" fontId="2" fillId="46" borderId="29" xfId="0" applyNumberFormat="1" applyFont="1" applyFill="1" applyBorder="1" applyAlignment="1">
      <alignment horizontal="center"/>
    </xf>
    <xf numFmtId="1" fontId="0" fillId="28" borderId="29" xfId="0" applyNumberFormat="1" applyFill="1" applyBorder="1" applyAlignment="1">
      <alignment horizontal="center"/>
    </xf>
    <xf numFmtId="0" fontId="0" fillId="28" borderId="94" xfId="0" applyFill="1" applyBorder="1" applyAlignment="1">
      <alignment horizontal="center"/>
    </xf>
    <xf numFmtId="0" fontId="2" fillId="46" borderId="184" xfId="0" applyFont="1" applyFill="1" applyBorder="1" applyAlignment="1">
      <alignment horizontal="center"/>
    </xf>
    <xf numFmtId="0" fontId="0" fillId="28" borderId="185" xfId="0" applyNumberFormat="1" applyFill="1" applyBorder="1" applyAlignment="1">
      <alignment horizontal="center"/>
    </xf>
    <xf numFmtId="0" fontId="0" fillId="28" borderId="31" xfId="0" applyFill="1" applyBorder="1" applyAlignment="1">
      <alignment horizontal="center"/>
    </xf>
    <xf numFmtId="0" fontId="0" fillId="28" borderId="29" xfId="0" applyFill="1" applyBorder="1" applyAlignment="1">
      <alignment horizontal="center"/>
    </xf>
    <xf numFmtId="0" fontId="0" fillId="28" borderId="21" xfId="0" applyFill="1" applyBorder="1" applyAlignment="1">
      <alignment horizontal="center"/>
    </xf>
    <xf numFmtId="0" fontId="2" fillId="41" borderId="11" xfId="0" applyNumberFormat="1" applyFont="1" applyFill="1" applyBorder="1" applyAlignment="1">
      <alignment horizontal="center"/>
    </xf>
    <xf numFmtId="1" fontId="0" fillId="28" borderId="35" xfId="0" applyNumberFormat="1" applyFill="1" applyBorder="1" applyAlignment="1">
      <alignment horizontal="center"/>
    </xf>
    <xf numFmtId="0" fontId="0" fillId="28" borderId="185" xfId="0" applyFill="1" applyBorder="1" applyAlignment="1">
      <alignment horizontal="center"/>
    </xf>
    <xf numFmtId="0" fontId="0" fillId="28" borderId="78" xfId="0" applyNumberFormat="1" applyFill="1" applyBorder="1" applyAlignment="1">
      <alignment horizontal="center"/>
    </xf>
    <xf numFmtId="0" fontId="0" fillId="28" borderId="9" xfId="0" applyFill="1" applyBorder="1" applyAlignment="1">
      <alignment horizontal="center"/>
    </xf>
    <xf numFmtId="0" fontId="0" fillId="28" borderId="186" xfId="0" applyFill="1" applyBorder="1" applyAlignment="1">
      <alignment horizontal="center"/>
    </xf>
    <xf numFmtId="0" fontId="2" fillId="41" borderId="64" xfId="0" applyNumberFormat="1" applyFont="1" applyFill="1" applyBorder="1" applyAlignment="1">
      <alignment horizontal="center"/>
    </xf>
    <xf numFmtId="0" fontId="2" fillId="46" borderId="156" xfId="0" applyNumberFormat="1" applyFont="1" applyFill="1" applyBorder="1" applyAlignment="1">
      <alignment horizontal="center"/>
    </xf>
    <xf numFmtId="1" fontId="0" fillId="28" borderId="156" xfId="0" applyNumberFormat="1" applyFill="1" applyBorder="1" applyAlignment="1">
      <alignment horizontal="center"/>
    </xf>
    <xf numFmtId="0" fontId="0" fillId="28" borderId="78" xfId="0" applyFill="1" applyBorder="1" applyAlignment="1">
      <alignment horizontal="center"/>
    </xf>
    <xf numFmtId="0" fontId="0" fillId="0" borderId="169" xfId="0" applyNumberFormat="1" applyBorder="1" applyAlignment="1">
      <alignment horizontal="center"/>
    </xf>
    <xf numFmtId="0" fontId="3" fillId="0" borderId="24" xfId="0" applyFont="1" applyBorder="1" applyAlignment="1">
      <alignment horizontal="center"/>
    </xf>
    <xf numFmtId="0" fontId="0" fillId="0" borderId="75"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2" fillId="42" borderId="24" xfId="0" applyFont="1" applyFill="1" applyBorder="1" applyAlignment="1">
      <alignment horizontal="center"/>
    </xf>
    <xf numFmtId="1" fontId="0" fillId="0" borderId="12" xfId="0" applyNumberFormat="1" applyFill="1" applyBorder="1" applyAlignment="1">
      <alignment horizontal="center"/>
    </xf>
    <xf numFmtId="0" fontId="0" fillId="0" borderId="169" xfId="0" applyBorder="1" applyAlignment="1">
      <alignment horizontal="center"/>
    </xf>
    <xf numFmtId="0" fontId="3" fillId="0" borderId="0" xfId="0" quotePrefix="1" applyFont="1"/>
    <xf numFmtId="0" fontId="0" fillId="0" borderId="94" xfId="0" applyNumberFormat="1" applyBorder="1" applyAlignment="1">
      <alignment horizontal="center"/>
    </xf>
    <xf numFmtId="0" fontId="0" fillId="0" borderId="29" xfId="0" applyBorder="1" applyAlignment="1">
      <alignment horizontal="center"/>
    </xf>
    <xf numFmtId="0" fontId="2" fillId="42" borderId="40" xfId="0" applyFont="1" applyFill="1" applyBorder="1" applyAlignment="1">
      <alignment horizontal="center"/>
    </xf>
    <xf numFmtId="1" fontId="0" fillId="0" borderId="29" xfId="0" applyNumberFormat="1" applyFill="1" applyBorder="1" applyAlignment="1">
      <alignment horizontal="center"/>
    </xf>
    <xf numFmtId="0" fontId="0" fillId="0" borderId="94" xfId="0" applyBorder="1" applyAlignment="1">
      <alignment horizontal="center"/>
    </xf>
    <xf numFmtId="0" fontId="0" fillId="0" borderId="185" xfId="0" applyNumberFormat="1" applyBorder="1" applyAlignment="1">
      <alignment horizontal="center"/>
    </xf>
    <xf numFmtId="0" fontId="0" fillId="0" borderId="38" xfId="0" applyBorder="1" applyAlignment="1">
      <alignment horizontal="center"/>
    </xf>
    <xf numFmtId="0" fontId="2" fillId="42" borderId="11" xfId="0" applyFont="1" applyFill="1" applyBorder="1" applyAlignment="1">
      <alignment horizontal="center"/>
    </xf>
    <xf numFmtId="0" fontId="0" fillId="0" borderId="185" xfId="0" applyBorder="1" applyAlignment="1">
      <alignment horizontal="center"/>
    </xf>
    <xf numFmtId="0" fontId="0" fillId="0" borderId="35" xfId="0" applyBorder="1" applyAlignment="1">
      <alignment horizontal="center"/>
    </xf>
    <xf numFmtId="0" fontId="0" fillId="0" borderId="183" xfId="0" applyBorder="1" applyAlignment="1">
      <alignment horizontal="center"/>
    </xf>
    <xf numFmtId="0" fontId="3" fillId="0" borderId="29" xfId="0" applyFont="1" applyBorder="1" applyAlignment="1">
      <alignment horizontal="center"/>
    </xf>
    <xf numFmtId="0" fontId="0" fillId="0" borderId="78" xfId="0" applyNumberFormat="1" applyBorder="1" applyAlignment="1">
      <alignment horizontal="center"/>
    </xf>
    <xf numFmtId="0" fontId="3" fillId="0" borderId="33" xfId="0" applyFont="1" applyBorder="1" applyAlignment="1">
      <alignment horizontal="center"/>
    </xf>
    <xf numFmtId="0" fontId="2" fillId="42" borderId="38" xfId="0" applyFont="1" applyFill="1" applyBorder="1" applyAlignment="1">
      <alignment horizontal="center"/>
    </xf>
    <xf numFmtId="1" fontId="0" fillId="0" borderId="36" xfId="0" applyNumberFormat="1" applyFill="1" applyBorder="1" applyAlignment="1">
      <alignment horizontal="center"/>
    </xf>
    <xf numFmtId="0" fontId="0" fillId="0" borderId="78" xfId="0" applyBorder="1" applyAlignment="1">
      <alignment horizontal="center"/>
    </xf>
    <xf numFmtId="0" fontId="0" fillId="41" borderId="185" xfId="0" applyNumberFormat="1" applyFill="1" applyBorder="1" applyAlignment="1">
      <alignment horizontal="center"/>
    </xf>
    <xf numFmtId="0" fontId="3" fillId="28" borderId="145" xfId="0" applyFont="1" applyFill="1" applyBorder="1" applyAlignment="1">
      <alignment horizontal="center"/>
    </xf>
    <xf numFmtId="0" fontId="3" fillId="28" borderId="171" xfId="0" applyFont="1" applyFill="1" applyBorder="1" applyAlignment="1">
      <alignment horizontal="center"/>
    </xf>
    <xf numFmtId="0" fontId="2" fillId="41" borderId="24" xfId="0" applyFont="1" applyFill="1" applyBorder="1" applyAlignment="1">
      <alignment horizontal="center"/>
    </xf>
    <xf numFmtId="0" fontId="0" fillId="28" borderId="169" xfId="0" applyFill="1" applyBorder="1" applyAlignment="1">
      <alignment horizontal="center"/>
    </xf>
    <xf numFmtId="0" fontId="3" fillId="28" borderId="33" xfId="0" applyFont="1" applyFill="1" applyBorder="1" applyAlignment="1">
      <alignment horizontal="center"/>
    </xf>
    <xf numFmtId="0" fontId="3" fillId="28" borderId="35" xfId="0" applyFont="1" applyFill="1" applyBorder="1" applyAlignment="1">
      <alignment horizontal="center"/>
    </xf>
    <xf numFmtId="0" fontId="2" fillId="41" borderId="40" xfId="0" applyFont="1" applyFill="1" applyBorder="1" applyAlignment="1">
      <alignment horizontal="center"/>
    </xf>
    <xf numFmtId="1" fontId="0" fillId="28" borderId="141" xfId="0" applyNumberFormat="1" applyFill="1" applyBorder="1" applyAlignment="1">
      <alignment horizontal="center"/>
    </xf>
    <xf numFmtId="0" fontId="3" fillId="28" borderId="31" xfId="0" applyFont="1" applyFill="1" applyBorder="1" applyAlignment="1">
      <alignment horizontal="center"/>
    </xf>
    <xf numFmtId="0" fontId="0" fillId="41" borderId="22" xfId="0" applyNumberFormat="1" applyFill="1" applyBorder="1" applyAlignment="1">
      <alignment horizontal="center"/>
    </xf>
    <xf numFmtId="0" fontId="0" fillId="28" borderId="64" xfId="0" applyFill="1" applyBorder="1" applyAlignment="1">
      <alignment horizontal="center"/>
    </xf>
    <xf numFmtId="0" fontId="0" fillId="28" borderId="156" xfId="0" applyFill="1" applyBorder="1" applyAlignment="1">
      <alignment horizontal="center"/>
    </xf>
    <xf numFmtId="0" fontId="2" fillId="41" borderId="25" xfId="0" applyFont="1" applyFill="1" applyBorder="1" applyAlignment="1">
      <alignment horizontal="center"/>
    </xf>
    <xf numFmtId="0" fontId="0" fillId="0" borderId="187" xfId="0" applyNumberFormat="1" applyBorder="1" applyAlignment="1">
      <alignment horizontal="center"/>
    </xf>
    <xf numFmtId="0" fontId="3" fillId="0" borderId="155" xfId="0" applyFont="1" applyBorder="1" applyAlignment="1">
      <alignment horizontal="center"/>
    </xf>
    <xf numFmtId="0" fontId="3" fillId="0" borderId="12" xfId="0" applyFont="1" applyBorder="1" applyAlignment="1">
      <alignment horizontal="center"/>
    </xf>
    <xf numFmtId="0" fontId="2" fillId="42" borderId="145" xfId="0" applyFont="1" applyFill="1" applyBorder="1" applyAlignment="1">
      <alignment horizontal="center"/>
    </xf>
    <xf numFmtId="1" fontId="0" fillId="0" borderId="155" xfId="0" applyNumberFormat="1" applyFill="1" applyBorder="1" applyAlignment="1">
      <alignment horizontal="center"/>
    </xf>
    <xf numFmtId="0" fontId="3" fillId="0" borderId="35" xfId="0" applyFont="1" applyBorder="1" applyAlignment="1">
      <alignment horizontal="center"/>
    </xf>
    <xf numFmtId="0" fontId="2" fillId="42" borderId="9" xfId="0" applyFont="1" applyFill="1" applyBorder="1" applyAlignment="1">
      <alignment horizontal="center"/>
    </xf>
    <xf numFmtId="1" fontId="0" fillId="0" borderId="35" xfId="0" applyNumberFormat="1" applyFill="1" applyBorder="1" applyAlignment="1">
      <alignment horizontal="center"/>
    </xf>
    <xf numFmtId="0" fontId="3" fillId="0" borderId="31" xfId="0" applyFont="1" applyBorder="1" applyAlignment="1">
      <alignment horizontal="center"/>
    </xf>
    <xf numFmtId="0" fontId="0" fillId="0" borderId="22" xfId="0" applyNumberFormat="1" applyBorder="1" applyAlignment="1">
      <alignment horizontal="center"/>
    </xf>
    <xf numFmtId="1" fontId="0" fillId="0" borderId="156" xfId="0" applyNumberFormat="1" applyFill="1" applyBorder="1" applyAlignment="1">
      <alignment horizontal="center"/>
    </xf>
    <xf numFmtId="0" fontId="0" fillId="41" borderId="187" xfId="0" applyNumberFormat="1" applyFill="1" applyBorder="1" applyAlignment="1">
      <alignment horizontal="center"/>
    </xf>
    <xf numFmtId="0" fontId="3" fillId="28" borderId="155" xfId="0" applyFont="1" applyFill="1" applyBorder="1" applyAlignment="1">
      <alignment horizontal="center"/>
    </xf>
    <xf numFmtId="0" fontId="2" fillId="41" borderId="145" xfId="0" applyFont="1" applyFill="1" applyBorder="1" applyAlignment="1">
      <alignment horizontal="center"/>
    </xf>
    <xf numFmtId="1" fontId="0" fillId="28" borderId="155" xfId="0" applyNumberFormat="1" applyFill="1" applyBorder="1" applyAlignment="1">
      <alignment horizontal="center"/>
    </xf>
    <xf numFmtId="0" fontId="2" fillId="41" borderId="11" xfId="0" applyFont="1" applyFill="1" applyBorder="1" applyAlignment="1">
      <alignment horizontal="center"/>
    </xf>
    <xf numFmtId="0" fontId="3" fillId="28" borderId="29" xfId="0" applyFont="1" applyFill="1" applyBorder="1" applyAlignment="1">
      <alignment horizontal="center"/>
    </xf>
    <xf numFmtId="0" fontId="3" fillId="28" borderId="63" xfId="0" applyFont="1" applyFill="1" applyBorder="1" applyAlignment="1">
      <alignment horizontal="center"/>
    </xf>
    <xf numFmtId="0" fontId="3" fillId="28" borderId="58" xfId="0" applyFont="1" applyFill="1" applyBorder="1" applyAlignment="1">
      <alignment horizontal="center"/>
    </xf>
    <xf numFmtId="0" fontId="2" fillId="41" borderId="38" xfId="0" applyFont="1" applyFill="1" applyBorder="1" applyAlignment="1">
      <alignment horizontal="center"/>
    </xf>
    <xf numFmtId="0" fontId="2" fillId="46" borderId="188" xfId="0" applyFont="1" applyFill="1" applyBorder="1" applyAlignment="1">
      <alignment horizontal="center"/>
    </xf>
    <xf numFmtId="0" fontId="3" fillId="0" borderId="75" xfId="0" applyFont="1" applyBorder="1" applyAlignment="1">
      <alignment horizontal="center"/>
    </xf>
    <xf numFmtId="0" fontId="0" fillId="0" borderId="76" xfId="0" applyBorder="1" applyAlignment="1">
      <alignment horizontal="center"/>
    </xf>
    <xf numFmtId="0" fontId="3" fillId="0" borderId="183" xfId="0" applyFont="1" applyBorder="1" applyAlignment="1">
      <alignment horizontal="center"/>
    </xf>
    <xf numFmtId="0" fontId="0" fillId="0" borderId="40" xfId="0" applyBorder="1" applyAlignment="1">
      <alignment horizontal="center"/>
    </xf>
    <xf numFmtId="0" fontId="0" fillId="0" borderId="31" xfId="0" applyBorder="1" applyAlignment="1">
      <alignment horizontal="center"/>
    </xf>
    <xf numFmtId="0" fontId="2" fillId="42" borderId="184" xfId="0" applyFont="1" applyFill="1" applyBorder="1" applyAlignment="1">
      <alignment horizontal="center"/>
    </xf>
    <xf numFmtId="0" fontId="3" fillId="0" borderId="21" xfId="0" applyFont="1" applyBorder="1" applyAlignment="1">
      <alignment horizontal="center"/>
    </xf>
    <xf numFmtId="0" fontId="2" fillId="46" borderId="189" xfId="0" applyFont="1" applyFill="1" applyBorder="1" applyAlignment="1">
      <alignment horizontal="center"/>
    </xf>
    <xf numFmtId="0" fontId="0" fillId="0" borderId="190" xfId="0" applyNumberFormat="1" applyBorder="1" applyAlignment="1">
      <alignment horizontal="center"/>
    </xf>
    <xf numFmtId="0" fontId="3" fillId="0" borderId="191" xfId="0" applyFont="1" applyBorder="1" applyAlignment="1">
      <alignment horizontal="center"/>
    </xf>
    <xf numFmtId="0" fontId="3" fillId="0" borderId="156" xfId="0" applyFont="1" applyBorder="1" applyAlignment="1">
      <alignment horizontal="center"/>
    </xf>
    <xf numFmtId="0" fontId="3" fillId="0" borderId="22" xfId="0" applyFont="1" applyBorder="1" applyAlignment="1">
      <alignment horizontal="center"/>
    </xf>
    <xf numFmtId="0" fontId="0" fillId="0" borderId="192" xfId="0" applyBorder="1" applyAlignment="1">
      <alignment horizontal="center"/>
    </xf>
    <xf numFmtId="0" fontId="0" fillId="41" borderId="23" xfId="0" applyNumberFormat="1" applyFill="1" applyBorder="1" applyAlignment="1">
      <alignment horizontal="center"/>
    </xf>
    <xf numFmtId="0" fontId="3" fillId="28" borderId="24" xfId="0" applyFont="1" applyFill="1" applyBorder="1" applyAlignment="1">
      <alignment horizontal="center"/>
    </xf>
    <xf numFmtId="0" fontId="3" fillId="28" borderId="12" xfId="0" applyFont="1" applyFill="1" applyBorder="1" applyAlignment="1">
      <alignment horizontal="center"/>
    </xf>
    <xf numFmtId="0" fontId="3" fillId="28" borderId="13" xfId="0" applyFont="1" applyFill="1" applyBorder="1" applyAlignment="1">
      <alignment horizontal="center"/>
    </xf>
    <xf numFmtId="0" fontId="0" fillId="28" borderId="76" xfId="0" applyFill="1" applyBorder="1" applyAlignment="1">
      <alignment horizontal="center"/>
    </xf>
    <xf numFmtId="0" fontId="3" fillId="28" borderId="21" xfId="0" applyFont="1" applyFill="1" applyBorder="1" applyAlignment="1">
      <alignment horizontal="center"/>
    </xf>
    <xf numFmtId="0" fontId="3" fillId="28" borderId="183" xfId="0" applyFont="1" applyFill="1" applyBorder="1" applyAlignment="1">
      <alignment horizontal="center"/>
    </xf>
    <xf numFmtId="0" fontId="2" fillId="41" borderId="9" xfId="0" applyFont="1" applyFill="1" applyBorder="1" applyAlignment="1">
      <alignment horizontal="center"/>
    </xf>
    <xf numFmtId="0" fontId="0" fillId="41" borderId="190" xfId="0" applyNumberFormat="1" applyFill="1" applyBorder="1" applyAlignment="1">
      <alignment horizontal="center"/>
    </xf>
    <xf numFmtId="0" fontId="0" fillId="28" borderId="25" xfId="0" applyFill="1" applyBorder="1" applyAlignment="1">
      <alignment horizontal="center"/>
    </xf>
    <xf numFmtId="0" fontId="3" fillId="28" borderId="156" xfId="0" applyFont="1" applyFill="1" applyBorder="1" applyAlignment="1">
      <alignment horizontal="center"/>
    </xf>
    <xf numFmtId="0" fontId="3" fillId="28" borderId="22" xfId="0" applyFont="1" applyFill="1" applyBorder="1" applyAlignment="1">
      <alignment horizontal="center"/>
    </xf>
    <xf numFmtId="0" fontId="0" fillId="28" borderId="192" xfId="0" applyFill="1" applyBorder="1" applyAlignment="1">
      <alignment horizontal="center"/>
    </xf>
    <xf numFmtId="0" fontId="0" fillId="0" borderId="23" xfId="0" applyNumberFormat="1" applyBorder="1" applyAlignment="1">
      <alignment horizontal="center"/>
    </xf>
    <xf numFmtId="0" fontId="3" fillId="0" borderId="13" xfId="0" applyFont="1" applyBorder="1" applyAlignment="1">
      <alignment horizontal="center"/>
    </xf>
    <xf numFmtId="0" fontId="0" fillId="0" borderId="192" xfId="0" applyNumberFormat="1" applyBorder="1" applyAlignment="1">
      <alignment horizontal="center"/>
    </xf>
    <xf numFmtId="0" fontId="0" fillId="0" borderId="193" xfId="0" applyBorder="1" applyAlignment="1">
      <alignment horizontal="center"/>
    </xf>
    <xf numFmtId="0" fontId="3" fillId="0" borderId="186" xfId="0" applyFont="1" applyBorder="1" applyAlignment="1">
      <alignment horizontal="center"/>
    </xf>
    <xf numFmtId="0" fontId="2" fillId="42" borderId="25" xfId="0" applyFont="1" applyFill="1" applyBorder="1" applyAlignment="1">
      <alignment horizontal="center"/>
    </xf>
    <xf numFmtId="1" fontId="0" fillId="0" borderId="58" xfId="0" applyNumberFormat="1" applyFill="1" applyBorder="1" applyAlignment="1">
      <alignment horizontal="center"/>
    </xf>
    <xf numFmtId="0" fontId="0" fillId="0" borderId="28" xfId="0" applyBorder="1" applyAlignment="1">
      <alignment horizontal="center"/>
    </xf>
    <xf numFmtId="0" fontId="0" fillId="0" borderId="28" xfId="0" applyNumberFormat="1" applyBorder="1" applyAlignment="1">
      <alignment horizontal="center"/>
    </xf>
    <xf numFmtId="0" fontId="3" fillId="0" borderId="28" xfId="0" applyFont="1" applyBorder="1" applyAlignment="1">
      <alignment horizontal="center"/>
    </xf>
    <xf numFmtId="0" fontId="0" fillId="0" borderId="28" xfId="0" applyFill="1" applyBorder="1" applyAlignment="1">
      <alignment horizontal="center"/>
    </xf>
    <xf numFmtId="1" fontId="0" fillId="0" borderId="28" xfId="0" applyNumberFormat="1" applyFill="1" applyBorder="1" applyAlignment="1">
      <alignment horizontal="center"/>
    </xf>
    <xf numFmtId="41" fontId="39" fillId="47" borderId="56" xfId="32" applyNumberFormat="1" applyFont="1" applyFill="1" applyBorder="1" applyAlignment="1" applyProtection="1">
      <protection locked="0"/>
    </xf>
    <xf numFmtId="3" fontId="18" fillId="43" borderId="127" xfId="0" quotePrefix="1" applyNumberFormat="1" applyFont="1" applyFill="1" applyBorder="1" applyAlignment="1">
      <alignment horizontal="right"/>
    </xf>
    <xf numFmtId="3" fontId="18" fillId="43" borderId="39" xfId="0" quotePrefix="1" applyNumberFormat="1" applyFont="1" applyFill="1" applyBorder="1" applyAlignment="1">
      <alignment horizontal="right"/>
    </xf>
    <xf numFmtId="3" fontId="18" fillId="43" borderId="128" xfId="0" quotePrefix="1" applyNumberFormat="1" applyFont="1" applyFill="1" applyBorder="1" applyAlignment="1">
      <alignment horizontal="right"/>
    </xf>
    <xf numFmtId="8" fontId="147" fillId="0" borderId="29" xfId="0" applyNumberFormat="1" applyFont="1" applyFill="1" applyBorder="1" applyAlignment="1" applyProtection="1">
      <protection locked="0"/>
    </xf>
    <xf numFmtId="37" fontId="1" fillId="0" borderId="28" xfId="0" applyNumberFormat="1" applyFont="1" applyFill="1" applyBorder="1" applyAlignment="1" applyProtection="1">
      <alignment horizontal="right"/>
    </xf>
    <xf numFmtId="37" fontId="1" fillId="0" borderId="28" xfId="0" applyNumberFormat="1" applyFont="1" applyFill="1" applyBorder="1" applyAlignment="1" applyProtection="1"/>
    <xf numFmtId="37" fontId="1" fillId="0" borderId="76" xfId="0" applyNumberFormat="1" applyFont="1" applyFill="1" applyBorder="1" applyAlignment="1" applyProtection="1"/>
    <xf numFmtId="37" fontId="1" fillId="0" borderId="0" xfId="0" applyNumberFormat="1" applyFont="1" applyFill="1" applyBorder="1" applyAlignment="1" applyProtection="1"/>
    <xf numFmtId="37" fontId="1" fillId="0" borderId="94" xfId="0" applyNumberFormat="1" applyFont="1" applyFill="1" applyBorder="1" applyAlignment="1" applyProtection="1"/>
    <xf numFmtId="37" fontId="1" fillId="0" borderId="27" xfId="0" applyNumberFormat="1" applyFont="1" applyFill="1" applyBorder="1" applyAlignment="1" applyProtection="1">
      <alignment horizontal="right"/>
    </xf>
    <xf numFmtId="37" fontId="1" fillId="0" borderId="27" xfId="0" applyNumberFormat="1" applyFont="1" applyFill="1" applyBorder="1" applyAlignment="1" applyProtection="1"/>
    <xf numFmtId="37" fontId="1" fillId="0" borderId="78" xfId="0" applyNumberFormat="1" applyFont="1" applyFill="1" applyBorder="1" applyAlignment="1" applyProtection="1"/>
    <xf numFmtId="0" fontId="8" fillId="0" borderId="0" xfId="0" applyFont="1" applyFill="1"/>
    <xf numFmtId="165" fontId="1" fillId="0" borderId="0" xfId="62" applyNumberFormat="1"/>
    <xf numFmtId="0" fontId="94" fillId="0" borderId="0" xfId="0" applyFont="1"/>
    <xf numFmtId="0" fontId="70" fillId="0" borderId="141" xfId="0" applyFont="1" applyBorder="1" applyAlignment="1">
      <alignment horizontal="right"/>
    </xf>
    <xf numFmtId="0" fontId="8" fillId="0" borderId="30" xfId="0" applyFont="1" applyFill="1" applyBorder="1"/>
    <xf numFmtId="0" fontId="8" fillId="0" borderId="30" xfId="0" applyFont="1" applyBorder="1"/>
    <xf numFmtId="0" fontId="94" fillId="0" borderId="30" xfId="0" applyFont="1" applyBorder="1"/>
    <xf numFmtId="165" fontId="1" fillId="0" borderId="30" xfId="62" applyNumberFormat="1" applyBorder="1"/>
    <xf numFmtId="0" fontId="2" fillId="0" borderId="36" xfId="0" applyFont="1" applyBorder="1"/>
    <xf numFmtId="165" fontId="1" fillId="0" borderId="29" xfId="62" applyNumberFormat="1" applyBorder="1"/>
    <xf numFmtId="165" fontId="0" fillId="0" borderId="0" xfId="0" applyNumberFormat="1"/>
    <xf numFmtId="38" fontId="94" fillId="0" borderId="29" xfId="0" applyNumberFormat="1" applyFont="1" applyBorder="1" applyAlignment="1">
      <alignment horizontal="center"/>
    </xf>
    <xf numFmtId="38" fontId="141" fillId="0" borderId="29" xfId="0" applyNumberFormat="1" applyFont="1" applyBorder="1" applyAlignment="1">
      <alignment horizontal="center"/>
    </xf>
    <xf numFmtId="38" fontId="0" fillId="0" borderId="0" xfId="0" applyNumberFormat="1" applyAlignment="1">
      <alignment horizontal="center"/>
    </xf>
    <xf numFmtId="5" fontId="8" fillId="43" borderId="0" xfId="32" applyNumberFormat="1" applyFont="1" applyFill="1" applyBorder="1" applyAlignment="1" applyProtection="1">
      <alignment horizontal="right"/>
      <protection locked="0"/>
    </xf>
    <xf numFmtId="0" fontId="8" fillId="0" borderId="9" xfId="0" applyFont="1" applyBorder="1" applyAlignment="1" applyProtection="1">
      <alignment horizontal="right"/>
      <protection locked="0"/>
    </xf>
    <xf numFmtId="165" fontId="41" fillId="0" borderId="0" xfId="29" applyNumberFormat="1" applyFont="1" applyFill="1" applyBorder="1" applyAlignment="1" applyProtection="1">
      <alignment vertical="center"/>
    </xf>
    <xf numFmtId="5" fontId="41" fillId="0" borderId="0" xfId="60" applyNumberFormat="1" applyFont="1" applyFill="1" applyBorder="1" applyAlignment="1" applyProtection="1">
      <alignment vertical="center"/>
    </xf>
    <xf numFmtId="0" fontId="39" fillId="43" borderId="9" xfId="0" applyFont="1" applyFill="1" applyBorder="1" applyAlignment="1" applyProtection="1"/>
    <xf numFmtId="0" fontId="0" fillId="0" borderId="9" xfId="0" applyBorder="1" applyAlignment="1" applyProtection="1">
      <alignment wrapText="1"/>
      <protection locked="0"/>
    </xf>
    <xf numFmtId="0" fontId="0" fillId="0" borderId="0" xfId="0" applyAlignment="1" applyProtection="1">
      <alignment wrapText="1"/>
      <protection locked="0"/>
    </xf>
    <xf numFmtId="0" fontId="0" fillId="0" borderId="0" xfId="28" applyNumberFormat="1" applyFont="1" applyAlignment="1"/>
    <xf numFmtId="37" fontId="18" fillId="43" borderId="0" xfId="31" applyNumberFormat="1" applyFont="1" applyFill="1" applyBorder="1" applyAlignment="1" applyProtection="1">
      <alignment horizontal="right"/>
    </xf>
    <xf numFmtId="37" fontId="20" fillId="43" borderId="0" xfId="0" applyNumberFormat="1" applyFont="1" applyFill="1" applyAlignment="1" applyProtection="1"/>
    <xf numFmtId="0" fontId="0" fillId="0" borderId="147" xfId="30" applyNumberFormat="1" applyFont="1" applyFill="1" applyBorder="1" applyAlignment="1" applyProtection="1">
      <alignment horizontal="right"/>
    </xf>
    <xf numFmtId="165" fontId="1" fillId="0" borderId="37" xfId="62" applyNumberFormat="1" applyFont="1" applyBorder="1" applyAlignment="1" applyProtection="1">
      <alignment horizontal="right"/>
    </xf>
    <xf numFmtId="165" fontId="141" fillId="0" borderId="37" xfId="62" applyNumberFormat="1" applyFont="1" applyBorder="1" applyAlignment="1" applyProtection="1">
      <alignment horizontal="right"/>
    </xf>
    <xf numFmtId="0" fontId="1" fillId="0" borderId="147" xfId="30" applyNumberFormat="1" applyFont="1" applyFill="1" applyBorder="1" applyAlignment="1" applyProtection="1">
      <alignment horizontal="right"/>
    </xf>
    <xf numFmtId="165" fontId="1" fillId="0" borderId="37" xfId="62" applyNumberFormat="1" applyFont="1" applyBorder="1" applyAlignment="1" applyProtection="1"/>
    <xf numFmtId="165" fontId="141" fillId="0" borderId="37" xfId="62" applyNumberFormat="1" applyFont="1" applyBorder="1" applyAlignment="1" applyProtection="1"/>
    <xf numFmtId="165" fontId="139" fillId="0" borderId="147" xfId="62" applyNumberFormat="1" applyFont="1" applyFill="1" applyBorder="1" applyAlignment="1" applyProtection="1">
      <alignment horizontal="right"/>
    </xf>
    <xf numFmtId="165" fontId="141" fillId="0" borderId="37" xfId="62" applyNumberFormat="1" applyFont="1" applyFill="1" applyBorder="1" applyAlignment="1" applyProtection="1">
      <alignment horizontal="right"/>
    </xf>
    <xf numFmtId="0" fontId="1" fillId="0" borderId="12" xfId="0" applyFont="1" applyFill="1" applyBorder="1" applyAlignment="1" applyProtection="1">
      <alignment horizontal="right"/>
    </xf>
    <xf numFmtId="0" fontId="1" fillId="0" borderId="100" xfId="0" applyFont="1" applyFill="1" applyBorder="1" applyAlignment="1" applyProtection="1">
      <alignment horizontal="right"/>
    </xf>
    <xf numFmtId="175" fontId="1" fillId="0" borderId="48" xfId="28" applyNumberFormat="1" applyFont="1" applyFill="1" applyBorder="1" applyAlignment="1" applyProtection="1"/>
    <xf numFmtId="175" fontId="1" fillId="0" borderId="107" xfId="28" applyNumberFormat="1" applyFont="1" applyFill="1" applyBorder="1" applyAlignment="1" applyProtection="1"/>
    <xf numFmtId="175" fontId="1" fillId="0" borderId="109" xfId="28" applyNumberFormat="1" applyFont="1" applyFill="1" applyBorder="1" applyAlignment="1" applyProtection="1"/>
    <xf numFmtId="175" fontId="1" fillId="0" borderId="110" xfId="28" applyNumberFormat="1" applyFont="1" applyFill="1" applyBorder="1" applyAlignment="1" applyProtection="1"/>
    <xf numFmtId="0" fontId="1" fillId="0" borderId="112" xfId="0" applyFont="1" applyFill="1" applyBorder="1" applyAlignment="1" applyProtection="1">
      <alignment horizontal="right"/>
    </xf>
    <xf numFmtId="174" fontId="1" fillId="0" borderId="108" xfId="31" applyNumberFormat="1" applyFont="1" applyFill="1" applyBorder="1" applyAlignment="1" applyProtection="1">
      <protection locked="0"/>
    </xf>
    <xf numFmtId="174" fontId="1" fillId="0" borderId="113" xfId="31" applyNumberFormat="1" applyFont="1" applyFill="1" applyBorder="1" applyAlignment="1" applyProtection="1"/>
    <xf numFmtId="174" fontId="1" fillId="0" borderId="114" xfId="31" applyNumberFormat="1" applyFont="1" applyFill="1" applyBorder="1" applyAlignment="1" applyProtection="1"/>
    <xf numFmtId="174" fontId="1" fillId="0" borderId="115" xfId="31" applyNumberFormat="1" applyFont="1" applyFill="1" applyBorder="1" applyAlignment="1" applyProtection="1"/>
    <xf numFmtId="164" fontId="147" fillId="43" borderId="35" xfId="28" applyNumberFormat="1" applyFont="1" applyFill="1" applyBorder="1" applyAlignment="1" applyProtection="1">
      <alignment horizontal="right"/>
      <protection locked="0"/>
    </xf>
    <xf numFmtId="174" fontId="147" fillId="43" borderId="108" xfId="31" applyNumberFormat="1" applyFont="1" applyFill="1" applyBorder="1" applyAlignment="1" applyProtection="1">
      <protection locked="0"/>
    </xf>
    <xf numFmtId="175" fontId="1" fillId="0" borderId="118" xfId="28" applyNumberFormat="1" applyFont="1" applyFill="1" applyBorder="1" applyAlignment="1" applyProtection="1"/>
    <xf numFmtId="174" fontId="1" fillId="0" borderId="119" xfId="31" applyNumberFormat="1" applyFont="1" applyFill="1" applyBorder="1" applyAlignment="1" applyProtection="1">
      <protection locked="0"/>
    </xf>
    <xf numFmtId="174" fontId="1" fillId="0" borderId="120" xfId="31" applyNumberFormat="1" applyFont="1" applyFill="1" applyBorder="1" applyAlignment="1" applyProtection="1">
      <protection locked="0"/>
    </xf>
    <xf numFmtId="175" fontId="1" fillId="0" borderId="121" xfId="28" applyNumberFormat="1" applyFont="1" applyFill="1" applyBorder="1" applyAlignment="1" applyProtection="1"/>
    <xf numFmtId="175" fontId="1" fillId="0" borderId="122" xfId="28" applyNumberFormat="1" applyFont="1" applyFill="1" applyBorder="1" applyAlignment="1" applyProtection="1"/>
    <xf numFmtId="174" fontId="1" fillId="0" borderId="47" xfId="32" applyNumberFormat="1" applyFont="1" applyFill="1" applyBorder="1" applyAlignment="1" applyProtection="1">
      <protection locked="0"/>
    </xf>
    <xf numFmtId="174" fontId="1" fillId="0" borderId="167" xfId="32" applyNumberFormat="1" applyFont="1" applyFill="1" applyBorder="1" applyAlignment="1" applyProtection="1">
      <protection locked="0"/>
    </xf>
    <xf numFmtId="174" fontId="1" fillId="0" borderId="119" xfId="32" applyNumberFormat="1" applyFont="1" applyFill="1" applyBorder="1" applyAlignment="1" applyProtection="1">
      <protection locked="0"/>
    </xf>
    <xf numFmtId="174" fontId="1" fillId="0" borderId="120" xfId="32" applyNumberFormat="1" applyFont="1" applyFill="1" applyBorder="1" applyAlignment="1" applyProtection="1">
      <protection locked="0"/>
    </xf>
    <xf numFmtId="0" fontId="1" fillId="0" borderId="0" xfId="0" applyFont="1" applyAlignment="1"/>
    <xf numFmtId="37" fontId="1" fillId="24" borderId="0" xfId="0" applyNumberFormat="1" applyFont="1" applyFill="1" applyAlignment="1" applyProtection="1"/>
    <xf numFmtId="0" fontId="1" fillId="0" borderId="0" xfId="0" applyFont="1" applyAlignment="1">
      <alignment horizontal="right"/>
    </xf>
    <xf numFmtId="7" fontId="1" fillId="0" borderId="0" xfId="0" applyNumberFormat="1" applyFont="1" applyAlignment="1"/>
    <xf numFmtId="0" fontId="1" fillId="0" borderId="0" xfId="0" applyFont="1" applyBorder="1" applyAlignment="1"/>
    <xf numFmtId="193" fontId="1" fillId="0" borderId="0" xfId="0" applyNumberFormat="1" applyFont="1" applyAlignment="1"/>
    <xf numFmtId="0" fontId="0" fillId="0" borderId="29" xfId="0" applyBorder="1" applyProtection="1"/>
    <xf numFmtId="0" fontId="1" fillId="0" borderId="29" xfId="0" applyFont="1" applyBorder="1" applyAlignment="1" applyProtection="1">
      <alignment horizontal="center"/>
    </xf>
    <xf numFmtId="0" fontId="1" fillId="0" borderId="0" xfId="30" applyNumberFormat="1" applyFont="1" applyFill="1" applyProtection="1"/>
    <xf numFmtId="0" fontId="7" fillId="0" borderId="0" xfId="0" applyNumberFormat="1" applyFont="1" applyBorder="1" applyAlignment="1" applyProtection="1">
      <alignment horizontal="center"/>
    </xf>
    <xf numFmtId="0" fontId="0" fillId="0" borderId="0" xfId="0" applyNumberFormat="1" applyProtection="1"/>
    <xf numFmtId="0" fontId="0" fillId="0" borderId="0" xfId="0" applyNumberFormat="1" applyFill="1" applyAlignment="1" applyProtection="1">
      <alignment horizontal="right"/>
    </xf>
    <xf numFmtId="7" fontId="94" fillId="24" borderId="29" xfId="0" applyNumberFormat="1" applyFont="1" applyFill="1" applyBorder="1" applyProtection="1"/>
    <xf numFmtId="44" fontId="0" fillId="0" borderId="0" xfId="0" applyNumberFormat="1" applyProtection="1"/>
    <xf numFmtId="9" fontId="94" fillId="26" borderId="29" xfId="62" applyFont="1" applyFill="1" applyBorder="1" applyAlignment="1" applyProtection="1">
      <alignment horizontal="center"/>
    </xf>
    <xf numFmtId="0" fontId="1" fillId="0" borderId="0" xfId="30" applyNumberFormat="1" applyFont="1" applyFill="1" applyAlignment="1" applyProtection="1">
      <alignment horizontal="right"/>
    </xf>
    <xf numFmtId="42" fontId="1" fillId="0" borderId="0" xfId="0" applyNumberFormat="1" applyFont="1" applyBorder="1" applyProtection="1"/>
    <xf numFmtId="0" fontId="0" fillId="0" borderId="0" xfId="0" applyAlignment="1"/>
    <xf numFmtId="1" fontId="1" fillId="24" borderId="0" xfId="32" applyNumberFormat="1" applyFont="1" applyFill="1" applyBorder="1" applyAlignment="1">
      <alignment horizontal="right"/>
    </xf>
    <xf numFmtId="1" fontId="2" fillId="24" borderId="0" xfId="32" applyNumberFormat="1" applyFont="1" applyFill="1" applyBorder="1" applyAlignment="1">
      <alignment horizontal="right"/>
    </xf>
    <xf numFmtId="1" fontId="1" fillId="0" borderId="0" xfId="32" applyNumberFormat="1" applyFont="1" applyFill="1" applyBorder="1" applyAlignment="1">
      <alignment horizontal="right"/>
    </xf>
    <xf numFmtId="1" fontId="16" fillId="28" borderId="0" xfId="32" applyNumberFormat="1" applyFont="1" applyFill="1" applyBorder="1" applyAlignment="1">
      <alignment horizontal="right"/>
    </xf>
    <xf numFmtId="1" fontId="1" fillId="28" borderId="0" xfId="32" applyNumberFormat="1" applyFont="1" applyFill="1" applyBorder="1" applyAlignment="1">
      <alignment horizontal="right"/>
    </xf>
    <xf numFmtId="1" fontId="16" fillId="24" borderId="0" xfId="32" applyNumberFormat="1" applyFont="1" applyFill="1" applyBorder="1" applyAlignment="1">
      <alignment horizontal="right"/>
    </xf>
    <xf numFmtId="1" fontId="1" fillId="24" borderId="0" xfId="32" applyNumberFormat="1" applyFont="1" applyFill="1" applyBorder="1"/>
    <xf numFmtId="1" fontId="1" fillId="24" borderId="0" xfId="32" applyNumberFormat="1" applyFont="1" applyFill="1" applyBorder="1" applyAlignment="1"/>
    <xf numFmtId="40" fontId="1" fillId="24" borderId="0" xfId="32" applyNumberFormat="1" applyFont="1" applyFill="1" applyBorder="1" applyAlignment="1">
      <alignment horizontal="right"/>
    </xf>
    <xf numFmtId="40" fontId="2" fillId="24" borderId="0" xfId="32" applyNumberFormat="1" applyFont="1" applyFill="1" applyBorder="1" applyAlignment="1">
      <alignment horizontal="right"/>
    </xf>
    <xf numFmtId="40" fontId="1" fillId="0" borderId="0" xfId="32" applyNumberFormat="1" applyFont="1" applyFill="1" applyBorder="1" applyAlignment="1">
      <alignment horizontal="right"/>
    </xf>
    <xf numFmtId="40" fontId="16" fillId="28" borderId="0" xfId="32" applyNumberFormat="1" applyFont="1" applyFill="1" applyBorder="1" applyAlignment="1">
      <alignment horizontal="right"/>
    </xf>
    <xf numFmtId="40" fontId="1" fillId="28" borderId="0" xfId="32" applyNumberFormat="1" applyFont="1" applyFill="1" applyBorder="1" applyAlignment="1">
      <alignment horizontal="right"/>
    </xf>
    <xf numFmtId="40" fontId="1" fillId="31" borderId="0" xfId="32" applyNumberFormat="1" applyFont="1" applyFill="1" applyBorder="1" applyAlignment="1">
      <alignment horizontal="right"/>
    </xf>
    <xf numFmtId="40" fontId="16" fillId="0" borderId="0" xfId="32" applyNumberFormat="1" applyFont="1" applyFill="1" applyBorder="1" applyAlignment="1">
      <alignment horizontal="right"/>
    </xf>
    <xf numFmtId="40" fontId="1" fillId="24" borderId="0" xfId="32" applyNumberFormat="1" applyFont="1" applyFill="1" applyBorder="1"/>
    <xf numFmtId="40" fontId="1" fillId="24" borderId="0" xfId="32" applyNumberFormat="1" applyFont="1" applyFill="1" applyBorder="1" applyAlignment="1"/>
    <xf numFmtId="194" fontId="104" fillId="0" borderId="0" xfId="0" applyNumberFormat="1" applyFont="1" applyAlignment="1"/>
    <xf numFmtId="43" fontId="0" fillId="0" borderId="0" xfId="28" applyNumberFormat="1" applyFont="1"/>
    <xf numFmtId="43" fontId="129" fillId="0" borderId="29" xfId="0" applyNumberFormat="1" applyFont="1" applyFill="1" applyBorder="1" applyAlignment="1" applyProtection="1">
      <protection locked="0"/>
    </xf>
    <xf numFmtId="0" fontId="2" fillId="24" borderId="34" xfId="0" applyFont="1" applyFill="1" applyBorder="1" applyAlignment="1">
      <alignment horizontal="center"/>
    </xf>
    <xf numFmtId="0" fontId="2" fillId="24" borderId="30" xfId="0" applyFont="1" applyFill="1" applyBorder="1" applyAlignment="1">
      <alignment horizontal="center"/>
    </xf>
    <xf numFmtId="0" fontId="2" fillId="42" borderId="38" xfId="0" applyFont="1" applyFill="1" applyBorder="1" applyAlignment="1">
      <alignment horizontal="center"/>
    </xf>
    <xf numFmtId="5" fontId="41" fillId="0" borderId="0" xfId="48" applyNumberFormat="1" applyFont="1" applyAlignment="1">
      <alignment horizontal="center"/>
    </xf>
    <xf numFmtId="0" fontId="41" fillId="0" borderId="0" xfId="48" applyNumberFormat="1" applyFont="1" applyBorder="1" applyAlignment="1">
      <alignment horizontal="right"/>
    </xf>
    <xf numFmtId="0" fontId="0" fillId="0" borderId="0" xfId="0" applyAlignment="1"/>
    <xf numFmtId="0" fontId="41" fillId="0" borderId="0" xfId="48" applyNumberFormat="1" applyFont="1" applyAlignment="1">
      <alignment horizontal="right"/>
    </xf>
    <xf numFmtId="0" fontId="18" fillId="0" borderId="0" xfId="0" applyFont="1" applyAlignment="1"/>
    <xf numFmtId="5" fontId="41" fillId="0" borderId="0" xfId="48" applyNumberFormat="1" applyFont="1" applyBorder="1" applyAlignment="1">
      <alignment horizontal="right"/>
    </xf>
    <xf numFmtId="5" fontId="41" fillId="0" borderId="0" xfId="48" applyNumberFormat="1" applyFont="1" applyAlignment="1">
      <alignment horizontal="right"/>
    </xf>
    <xf numFmtId="0" fontId="0" fillId="24" borderId="141" xfId="0" applyFill="1" applyBorder="1" applyAlignment="1">
      <alignment horizontal="right" vertical="center"/>
    </xf>
    <xf numFmtId="0" fontId="0" fillId="24" borderId="35" xfId="0" applyFill="1" applyBorder="1" applyAlignment="1">
      <alignment horizontal="right" vertical="center"/>
    </xf>
    <xf numFmtId="0" fontId="0" fillId="24" borderId="36" xfId="0" applyFill="1" applyBorder="1" applyAlignment="1">
      <alignment horizontal="right" vertical="center"/>
    </xf>
    <xf numFmtId="0" fontId="8" fillId="26" borderId="31" xfId="0" applyFont="1" applyFill="1" applyBorder="1" applyAlignment="1" applyProtection="1">
      <alignment vertical="top" wrapText="1"/>
      <protection locked="0"/>
    </xf>
    <xf numFmtId="0" fontId="8" fillId="26" borderId="32" xfId="0" applyFont="1" applyFill="1" applyBorder="1" applyAlignment="1" applyProtection="1">
      <alignment vertical="top" wrapText="1"/>
      <protection locked="0"/>
    </xf>
    <xf numFmtId="0" fontId="8" fillId="26" borderId="11" xfId="0" applyFont="1" applyFill="1" applyBorder="1" applyAlignment="1" applyProtection="1">
      <alignment vertical="top" wrapText="1"/>
      <protection locked="0"/>
    </xf>
    <xf numFmtId="0" fontId="0" fillId="24" borderId="29" xfId="0" applyFill="1" applyBorder="1" applyAlignment="1">
      <alignment horizontal="right" vertical="center"/>
    </xf>
    <xf numFmtId="0" fontId="0" fillId="24" borderId="141" xfId="0" applyFill="1" applyBorder="1" applyAlignment="1">
      <alignment vertical="center" wrapText="1"/>
    </xf>
    <xf numFmtId="0" fontId="0" fillId="24" borderId="35" xfId="0" applyFill="1" applyBorder="1" applyAlignment="1">
      <alignment vertical="center" wrapText="1"/>
    </xf>
    <xf numFmtId="0" fontId="0" fillId="24" borderId="36" xfId="0" applyFill="1" applyBorder="1" applyAlignment="1">
      <alignment vertical="center" wrapText="1"/>
    </xf>
    <xf numFmtId="0" fontId="8" fillId="26" borderId="31" xfId="0" applyNumberFormat="1" applyFont="1" applyFill="1" applyBorder="1" applyAlignment="1" applyProtection="1">
      <protection locked="0"/>
    </xf>
    <xf numFmtId="0" fontId="8" fillId="26" borderId="32" xfId="0" applyNumberFormat="1" applyFont="1" applyFill="1" applyBorder="1" applyAlignment="1" applyProtection="1">
      <protection locked="0"/>
    </xf>
    <xf numFmtId="0" fontId="8" fillId="26" borderId="11" xfId="0" applyNumberFormat="1" applyFont="1" applyFill="1" applyBorder="1" applyAlignment="1" applyProtection="1">
      <protection locked="0"/>
    </xf>
    <xf numFmtId="0" fontId="8" fillId="26" borderId="29" xfId="0" applyFont="1" applyFill="1" applyBorder="1" applyAlignment="1" applyProtection="1">
      <alignment horizontal="center"/>
      <protection locked="0"/>
    </xf>
    <xf numFmtId="0" fontId="8" fillId="0" borderId="34" xfId="0" applyFont="1" applyFill="1" applyBorder="1" applyAlignment="1" applyProtection="1">
      <protection locked="0"/>
    </xf>
    <xf numFmtId="0" fontId="0" fillId="0" borderId="38" xfId="0" applyFill="1" applyBorder="1" applyAlignment="1"/>
    <xf numFmtId="37" fontId="8" fillId="0" borderId="0" xfId="0" applyNumberFormat="1" applyFont="1" applyFill="1" applyBorder="1" applyAlignment="1" applyProtection="1">
      <protection locked="0"/>
    </xf>
    <xf numFmtId="0" fontId="8" fillId="0" borderId="0" xfId="0" applyFont="1" applyFill="1" applyBorder="1" applyAlignment="1"/>
    <xf numFmtId="0" fontId="8" fillId="0" borderId="9" xfId="0" applyFont="1" applyFill="1" applyBorder="1" applyAlignment="1"/>
    <xf numFmtId="37" fontId="8" fillId="0" borderId="0" xfId="0" applyNumberFormat="1" applyFont="1" applyFill="1" applyBorder="1" applyAlignment="1" applyProtection="1">
      <alignment horizontal="left"/>
      <protection locked="0"/>
    </xf>
    <xf numFmtId="0" fontId="1" fillId="0" borderId="0" xfId="0" applyFont="1" applyBorder="1" applyAlignment="1" applyProtection="1">
      <protection locked="0"/>
    </xf>
    <xf numFmtId="37" fontId="8" fillId="0" borderId="34" xfId="0" applyNumberFormat="1" applyFont="1" applyFill="1" applyBorder="1" applyAlignment="1" applyProtection="1">
      <protection locked="0"/>
    </xf>
    <xf numFmtId="0" fontId="8" fillId="0" borderId="50" xfId="0" applyFont="1" applyFill="1" applyBorder="1" applyAlignment="1" applyProtection="1">
      <protection locked="0"/>
    </xf>
    <xf numFmtId="0" fontId="0" fillId="0" borderId="40" xfId="0" applyFill="1" applyBorder="1" applyAlignment="1"/>
    <xf numFmtId="0" fontId="8" fillId="0" borderId="33" xfId="28" applyNumberFormat="1" applyFont="1" applyFill="1" applyBorder="1" applyAlignment="1" applyProtection="1">
      <alignment vertical="top" wrapText="1"/>
      <protection locked="0"/>
    </xf>
    <xf numFmtId="0" fontId="8" fillId="0" borderId="0" xfId="28" applyNumberFormat="1" applyFont="1" applyFill="1" applyBorder="1" applyAlignment="1" applyProtection="1">
      <alignment vertical="top" wrapText="1"/>
      <protection locked="0"/>
    </xf>
    <xf numFmtId="0" fontId="8" fillId="0" borderId="9" xfId="28" applyNumberFormat="1" applyFont="1" applyFill="1" applyBorder="1" applyAlignment="1" applyProtection="1">
      <alignment vertical="top" wrapText="1"/>
      <protection locked="0"/>
    </xf>
    <xf numFmtId="0" fontId="0" fillId="0" borderId="33" xfId="0" applyFill="1" applyBorder="1" applyAlignment="1" applyProtection="1">
      <alignment wrapText="1"/>
      <protection locked="0"/>
    </xf>
    <xf numFmtId="0" fontId="0" fillId="0" borderId="0" xfId="0" applyFill="1" applyBorder="1" applyAlignment="1" applyProtection="1">
      <alignment wrapText="1"/>
      <protection locked="0"/>
    </xf>
    <xf numFmtId="0" fontId="0" fillId="0" borderId="9" xfId="0" applyFill="1" applyBorder="1" applyAlignment="1" applyProtection="1">
      <alignment wrapText="1"/>
      <protection locked="0"/>
    </xf>
    <xf numFmtId="0" fontId="2" fillId="24" borderId="33" xfId="28" applyNumberFormat="1" applyFont="1" applyFill="1" applyBorder="1" applyAlignment="1" applyProtection="1">
      <alignment horizontal="left"/>
      <protection locked="0"/>
    </xf>
    <xf numFmtId="0" fontId="2" fillId="24" borderId="0" xfId="28" applyNumberFormat="1" applyFont="1" applyFill="1" applyBorder="1" applyAlignment="1" applyProtection="1">
      <alignment horizontal="left"/>
      <protection locked="0"/>
    </xf>
    <xf numFmtId="0" fontId="8" fillId="24" borderId="33" xfId="30" applyNumberFormat="1" applyFont="1" applyFill="1" applyBorder="1" applyAlignment="1" applyProtection="1">
      <alignment vertical="top" wrapText="1"/>
      <protection locked="0"/>
    </xf>
    <xf numFmtId="0" fontId="8" fillId="24" borderId="0" xfId="30" applyNumberFormat="1" applyFont="1" applyFill="1" applyBorder="1" applyAlignment="1" applyProtection="1">
      <alignment vertical="top" wrapText="1"/>
      <protection locked="0"/>
    </xf>
    <xf numFmtId="0" fontId="8" fillId="24" borderId="9" xfId="30" applyNumberFormat="1" applyFont="1" applyFill="1" applyBorder="1" applyAlignment="1" applyProtection="1">
      <alignment vertical="top" wrapText="1"/>
      <protection locked="0"/>
    </xf>
    <xf numFmtId="0" fontId="8" fillId="24" borderId="33" xfId="30" applyNumberFormat="1" applyFont="1" applyFill="1" applyBorder="1" applyAlignment="1" applyProtection="1">
      <alignment horizontal="left" vertical="top" wrapText="1"/>
      <protection locked="0"/>
    </xf>
    <xf numFmtId="0" fontId="8" fillId="24" borderId="0" xfId="30" applyNumberFormat="1" applyFont="1" applyFill="1" applyBorder="1" applyAlignment="1" applyProtection="1">
      <alignment horizontal="left" vertical="top" wrapText="1"/>
      <protection locked="0"/>
    </xf>
    <xf numFmtId="0" fontId="8" fillId="24" borderId="9" xfId="30" applyNumberFormat="1" applyFont="1" applyFill="1" applyBorder="1" applyAlignment="1" applyProtection="1">
      <alignment horizontal="left" vertical="top" wrapText="1"/>
      <protection locked="0"/>
    </xf>
    <xf numFmtId="0" fontId="0" fillId="0" borderId="33" xfId="0" applyBorder="1" applyAlignment="1" applyProtection="1">
      <alignment wrapText="1"/>
      <protection locked="0"/>
    </xf>
    <xf numFmtId="0" fontId="0" fillId="0" borderId="0" xfId="0" applyBorder="1" applyAlignment="1" applyProtection="1">
      <alignment wrapText="1"/>
      <protection locked="0"/>
    </xf>
    <xf numFmtId="0" fontId="0" fillId="0" borderId="9" xfId="0" applyBorder="1" applyAlignment="1" applyProtection="1">
      <alignment wrapText="1"/>
      <protection locked="0"/>
    </xf>
    <xf numFmtId="0" fontId="8" fillId="24" borderId="30" xfId="30" applyNumberFormat="1" applyFont="1" applyFill="1" applyBorder="1" applyAlignment="1" applyProtection="1">
      <protection locked="0"/>
    </xf>
    <xf numFmtId="0" fontId="0" fillId="0" borderId="30" xfId="0" applyBorder="1" applyAlignment="1" applyProtection="1">
      <protection locked="0"/>
    </xf>
    <xf numFmtId="0" fontId="8" fillId="24" borderId="34" xfId="30" applyNumberFormat="1" applyFont="1" applyFill="1" applyBorder="1" applyAlignment="1" applyProtection="1">
      <alignment vertical="top" wrapText="1"/>
      <protection locked="0"/>
    </xf>
    <xf numFmtId="0" fontId="8" fillId="24" borderId="30" xfId="30" applyNumberFormat="1" applyFont="1" applyFill="1" applyBorder="1" applyAlignment="1" applyProtection="1">
      <alignment vertical="top" wrapText="1"/>
      <protection locked="0"/>
    </xf>
    <xf numFmtId="0" fontId="8" fillId="24" borderId="38" xfId="30" applyNumberFormat="1" applyFont="1" applyFill="1" applyBorder="1" applyAlignment="1" applyProtection="1">
      <alignment vertical="top" wrapText="1"/>
      <protection locked="0"/>
    </xf>
    <xf numFmtId="0" fontId="0" fillId="0" borderId="33" xfId="0" applyBorder="1" applyAlignment="1">
      <alignment horizontal="center"/>
    </xf>
    <xf numFmtId="0" fontId="0" fillId="0" borderId="0" xfId="0" applyBorder="1" applyAlignment="1">
      <alignment horizontal="center"/>
    </xf>
    <xf numFmtId="0" fontId="0" fillId="0" borderId="9" xfId="0" applyBorder="1" applyAlignment="1">
      <alignment horizontal="center"/>
    </xf>
    <xf numFmtId="0" fontId="1" fillId="0" borderId="33" xfId="28" applyNumberFormat="1" applyFill="1" applyBorder="1" applyAlignment="1">
      <alignment horizontal="center"/>
    </xf>
    <xf numFmtId="0" fontId="1" fillId="0" borderId="0" xfId="28" applyNumberFormat="1" applyFill="1" applyBorder="1" applyAlignment="1">
      <alignment horizontal="center"/>
    </xf>
    <xf numFmtId="0" fontId="1" fillId="0" borderId="9" xfId="28" applyNumberFormat="1" applyFill="1" applyBorder="1" applyAlignment="1">
      <alignment horizontal="center"/>
    </xf>
    <xf numFmtId="0" fontId="8" fillId="0" borderId="33" xfId="30" applyNumberFormat="1" applyFont="1" applyFill="1" applyBorder="1" applyAlignment="1" applyProtection="1">
      <alignment vertical="top" wrapText="1"/>
      <protection locked="0"/>
    </xf>
    <xf numFmtId="0" fontId="8" fillId="0" borderId="0" xfId="30" applyNumberFormat="1" applyFont="1" applyFill="1" applyBorder="1" applyAlignment="1" applyProtection="1">
      <alignment vertical="top" wrapText="1"/>
      <protection locked="0"/>
    </xf>
    <xf numFmtId="0" fontId="8" fillId="0" borderId="9" xfId="30" applyNumberFormat="1" applyFont="1" applyFill="1" applyBorder="1" applyAlignment="1" applyProtection="1">
      <alignment vertical="top" wrapText="1"/>
      <protection locked="0"/>
    </xf>
    <xf numFmtId="0" fontId="8" fillId="0" borderId="33" xfId="30" applyNumberFormat="1" applyFont="1" applyBorder="1" applyAlignment="1" applyProtection="1">
      <alignment vertical="top" wrapText="1"/>
      <protection locked="0"/>
    </xf>
    <xf numFmtId="0" fontId="8" fillId="0" borderId="0" xfId="30" applyNumberFormat="1" applyFont="1" applyBorder="1" applyAlignment="1" applyProtection="1">
      <alignment vertical="top" wrapText="1"/>
      <protection locked="0"/>
    </xf>
    <xf numFmtId="0" fontId="8" fillId="0" borderId="9" xfId="30" applyNumberFormat="1" applyFont="1" applyBorder="1" applyAlignment="1" applyProtection="1">
      <alignment vertical="top" wrapText="1"/>
      <protection locked="0"/>
    </xf>
    <xf numFmtId="0" fontId="8" fillId="24" borderId="34" xfId="30" applyNumberFormat="1" applyFont="1" applyFill="1" applyBorder="1" applyAlignment="1" applyProtection="1">
      <alignment horizontal="left" vertical="top" wrapText="1"/>
      <protection locked="0"/>
    </xf>
    <xf numFmtId="0" fontId="8" fillId="24" borderId="30" xfId="30" applyNumberFormat="1" applyFont="1" applyFill="1" applyBorder="1" applyAlignment="1" applyProtection="1">
      <alignment horizontal="left" vertical="top" wrapText="1"/>
      <protection locked="0"/>
    </xf>
    <xf numFmtId="0" fontId="8" fillId="24" borderId="38" xfId="30" applyNumberFormat="1" applyFont="1" applyFill="1" applyBorder="1" applyAlignment="1" applyProtection="1">
      <alignment horizontal="left" vertical="top" wrapText="1"/>
      <protection locked="0"/>
    </xf>
    <xf numFmtId="0" fontId="8" fillId="0" borderId="33" xfId="0" applyFont="1" applyBorder="1" applyAlignment="1" applyProtection="1">
      <alignment horizontal="left" vertical="top" wrapText="1"/>
      <protection locked="0"/>
    </xf>
    <xf numFmtId="0" fontId="8" fillId="0" borderId="0" xfId="0" applyFont="1" applyBorder="1" applyAlignment="1" applyProtection="1">
      <alignment horizontal="left" vertical="top" wrapText="1"/>
      <protection locked="0"/>
    </xf>
    <xf numFmtId="0" fontId="8" fillId="0" borderId="9" xfId="0" applyFont="1" applyBorder="1" applyAlignment="1" applyProtection="1">
      <alignment horizontal="left" vertical="top" wrapText="1"/>
      <protection locked="0"/>
    </xf>
    <xf numFmtId="37" fontId="18" fillId="0" borderId="31" xfId="0" applyNumberFormat="1" applyFont="1" applyFill="1" applyBorder="1" applyAlignment="1"/>
    <xf numFmtId="0" fontId="18" fillId="0" borderId="11" xfId="0" applyFont="1" applyFill="1" applyBorder="1" applyAlignment="1"/>
    <xf numFmtId="0" fontId="3" fillId="0" borderId="0" xfId="0" applyFont="1" applyBorder="1" applyAlignment="1" applyProtection="1">
      <alignment horizontal="center"/>
    </xf>
    <xf numFmtId="0" fontId="3" fillId="0" borderId="94" xfId="0" applyFont="1" applyBorder="1" applyAlignment="1" applyProtection="1">
      <alignment horizontal="center"/>
    </xf>
    <xf numFmtId="0" fontId="0" fillId="0" borderId="0" xfId="0" applyBorder="1" applyAlignment="1" applyProtection="1">
      <alignment horizontal="center" vertical="top" wrapText="1"/>
    </xf>
    <xf numFmtId="0" fontId="2" fillId="0" borderId="30" xfId="0" applyFont="1" applyFill="1" applyBorder="1" applyAlignment="1" applyProtection="1">
      <alignment horizontal="center"/>
    </xf>
    <xf numFmtId="0" fontId="2" fillId="0" borderId="30" xfId="0" applyFont="1" applyBorder="1" applyAlignment="1" applyProtection="1">
      <alignment horizontal="center"/>
    </xf>
    <xf numFmtId="0" fontId="3" fillId="0" borderId="0" xfId="0" applyFont="1" applyBorder="1" applyAlignment="1">
      <alignment horizontal="left" wrapText="1"/>
    </xf>
    <xf numFmtId="0" fontId="0" fillId="0" borderId="0" xfId="0" applyBorder="1" applyAlignment="1">
      <alignment wrapText="1"/>
    </xf>
    <xf numFmtId="0" fontId="0" fillId="0" borderId="0" xfId="0" applyAlignment="1">
      <alignment wrapText="1"/>
    </xf>
    <xf numFmtId="0" fontId="2" fillId="0" borderId="164" xfId="0" applyFont="1" applyBorder="1" applyAlignment="1">
      <alignment horizontal="center" wrapText="1"/>
    </xf>
    <xf numFmtId="0" fontId="2" fillId="0" borderId="165" xfId="0" applyFont="1" applyBorder="1" applyAlignment="1">
      <alignment horizontal="center" wrapText="1"/>
    </xf>
    <xf numFmtId="0" fontId="2" fillId="0" borderId="166" xfId="0" applyFont="1" applyBorder="1" applyAlignment="1">
      <alignment horizontal="center" wrapText="1"/>
    </xf>
    <xf numFmtId="14" fontId="3" fillId="0" borderId="164" xfId="0" applyNumberFormat="1" applyFont="1" applyBorder="1" applyAlignment="1">
      <alignment horizontal="center" wrapText="1"/>
    </xf>
    <xf numFmtId="0" fontId="3" fillId="0" borderId="165" xfId="0" applyFont="1" applyBorder="1" applyAlignment="1">
      <alignment horizontal="center" wrapText="1"/>
    </xf>
    <xf numFmtId="0" fontId="3" fillId="0" borderId="166" xfId="0" applyFont="1" applyBorder="1" applyAlignment="1">
      <alignment horizontal="center" wrapText="1"/>
    </xf>
    <xf numFmtId="0" fontId="3" fillId="0" borderId="164" xfId="0" applyFont="1" applyBorder="1" applyAlignment="1">
      <alignment horizontal="center" wrapText="1"/>
    </xf>
    <xf numFmtId="0" fontId="3" fillId="0" borderId="27" xfId="0" applyFont="1" applyBorder="1" applyAlignment="1">
      <alignment horizontal="center" wrapText="1"/>
    </xf>
    <xf numFmtId="0" fontId="3" fillId="0" borderId="78" xfId="0" applyFont="1" applyBorder="1" applyAlignment="1">
      <alignment horizontal="center" wrapText="1"/>
    </xf>
    <xf numFmtId="0" fontId="40" fillId="0" borderId="0" xfId="0" applyFont="1" applyAlignment="1">
      <alignment vertical="top" wrapText="1"/>
    </xf>
    <xf numFmtId="0" fontId="35" fillId="24" borderId="0" xfId="51" applyFill="1" applyBorder="1" applyAlignment="1">
      <alignment horizontal="left"/>
    </xf>
    <xf numFmtId="0" fontId="35" fillId="24" borderId="0" xfId="51" applyFill="1" applyAlignment="1">
      <alignment horizontal="left"/>
    </xf>
    <xf numFmtId="37" fontId="35" fillId="24" borderId="0" xfId="51" applyNumberFormat="1" applyFill="1" applyBorder="1" applyAlignment="1">
      <alignment horizontal="left"/>
    </xf>
    <xf numFmtId="185" fontId="35" fillId="24" borderId="0" xfId="51" applyNumberFormat="1" applyFill="1" applyAlignment="1">
      <alignment horizontal="left"/>
    </xf>
    <xf numFmtId="0" fontId="8" fillId="24" borderId="14" xfId="51" applyFont="1" applyFill="1" applyBorder="1" applyAlignment="1" applyProtection="1">
      <alignment horizontal="left" vertical="top" wrapText="1"/>
      <protection locked="0"/>
    </xf>
    <xf numFmtId="0" fontId="8" fillId="24" borderId="28" xfId="51" applyFont="1" applyFill="1" applyBorder="1" applyAlignment="1" applyProtection="1">
      <alignment horizontal="left" vertical="top" wrapText="1"/>
      <protection locked="0"/>
    </xf>
    <xf numFmtId="0" fontId="8" fillId="24" borderId="76" xfId="51" applyFont="1" applyFill="1" applyBorder="1" applyAlignment="1" applyProtection="1">
      <alignment horizontal="left" vertical="top" wrapText="1"/>
      <protection locked="0"/>
    </xf>
    <xf numFmtId="0" fontId="8" fillId="24" borderId="43" xfId="51" applyFont="1" applyFill="1" applyBorder="1" applyAlignment="1" applyProtection="1">
      <alignment horizontal="left" vertical="top" wrapText="1"/>
      <protection locked="0"/>
    </xf>
    <xf numFmtId="0" fontId="8" fillId="24" borderId="0" xfId="51" applyFont="1" applyFill="1" applyBorder="1" applyAlignment="1" applyProtection="1">
      <alignment horizontal="left" vertical="top" wrapText="1"/>
      <protection locked="0"/>
    </xf>
    <xf numFmtId="0" fontId="8" fillId="24" borderId="94" xfId="51" applyFont="1" applyFill="1" applyBorder="1" applyAlignment="1" applyProtection="1">
      <alignment horizontal="left" vertical="top" wrapText="1"/>
      <protection locked="0"/>
    </xf>
    <xf numFmtId="0" fontId="8" fillId="24" borderId="77" xfId="51" applyFont="1" applyFill="1" applyBorder="1" applyAlignment="1" applyProtection="1">
      <alignment horizontal="left" vertical="top" wrapText="1"/>
      <protection locked="0"/>
    </xf>
    <xf numFmtId="0" fontId="8" fillId="24" borderId="27" xfId="51" applyFont="1" applyFill="1" applyBorder="1" applyAlignment="1" applyProtection="1">
      <alignment horizontal="left" vertical="top" wrapText="1"/>
      <protection locked="0"/>
    </xf>
    <xf numFmtId="0" fontId="8" fillId="24" borderId="78" xfId="51" applyFont="1" applyFill="1" applyBorder="1" applyAlignment="1" applyProtection="1">
      <alignment horizontal="left" vertical="top" wrapText="1"/>
      <protection locked="0"/>
    </xf>
    <xf numFmtId="173" fontId="8" fillId="26" borderId="171" xfId="51" applyNumberFormat="1" applyFont="1" applyFill="1" applyBorder="1" applyAlignment="1" applyProtection="1">
      <alignment horizontal="left"/>
      <protection locked="0"/>
    </xf>
    <xf numFmtId="173" fontId="8" fillId="26" borderId="168" xfId="51" applyNumberFormat="1" applyFont="1" applyFill="1" applyBorder="1" applyAlignment="1" applyProtection="1">
      <alignment horizontal="left"/>
      <protection locked="0"/>
    </xf>
    <xf numFmtId="173" fontId="8" fillId="26" borderId="145" xfId="51" applyNumberFormat="1" applyFont="1" applyFill="1" applyBorder="1" applyAlignment="1" applyProtection="1">
      <alignment horizontal="left"/>
      <protection locked="0"/>
    </xf>
    <xf numFmtId="0" fontId="2" fillId="24" borderId="0" xfId="51" applyFont="1" applyFill="1" applyAlignment="1">
      <alignment horizontal="right" vertical="center" wrapText="1"/>
    </xf>
    <xf numFmtId="0" fontId="35" fillId="24" borderId="29" xfId="51" applyFont="1" applyFill="1" applyBorder="1" applyAlignment="1">
      <alignment horizontal="center"/>
    </xf>
    <xf numFmtId="0" fontId="35" fillId="24" borderId="31" xfId="51" applyFont="1" applyFill="1" applyBorder="1" applyAlignment="1">
      <alignment horizontal="center"/>
    </xf>
    <xf numFmtId="0" fontId="8" fillId="26" borderId="171" xfId="51" applyFont="1" applyFill="1" applyBorder="1" applyAlignment="1" applyProtection="1">
      <alignment wrapText="1"/>
      <protection locked="0"/>
    </xf>
    <xf numFmtId="0" fontId="8" fillId="26" borderId="168" xfId="51" applyFont="1" applyFill="1" applyBorder="1" applyAlignment="1" applyProtection="1">
      <alignment wrapText="1"/>
      <protection locked="0"/>
    </xf>
    <xf numFmtId="0" fontId="8" fillId="26" borderId="145" xfId="51" applyFont="1" applyFill="1" applyBorder="1" applyAlignment="1" applyProtection="1">
      <alignment wrapText="1"/>
      <protection locked="0"/>
    </xf>
    <xf numFmtId="0" fontId="8" fillId="26" borderId="31" xfId="51" applyFont="1" applyFill="1" applyBorder="1" applyAlignment="1" applyProtection="1">
      <alignment wrapText="1"/>
      <protection locked="0"/>
    </xf>
    <xf numFmtId="0" fontId="8" fillId="26" borderId="32" xfId="51" applyFont="1" applyFill="1" applyBorder="1" applyAlignment="1" applyProtection="1">
      <alignment wrapText="1"/>
      <protection locked="0"/>
    </xf>
    <xf numFmtId="0" fontId="8" fillId="26" borderId="11" xfId="51" applyFont="1" applyFill="1" applyBorder="1" applyAlignment="1" applyProtection="1">
      <alignment wrapText="1"/>
      <protection locked="0"/>
    </xf>
    <xf numFmtId="0" fontId="8" fillId="26" borderId="191" xfId="51" applyFont="1" applyFill="1" applyBorder="1" applyAlignment="1" applyProtection="1">
      <alignment wrapText="1"/>
      <protection locked="0"/>
    </xf>
    <xf numFmtId="0" fontId="8" fillId="26" borderId="193" xfId="51" applyFont="1" applyFill="1" applyBorder="1" applyAlignment="1" applyProtection="1">
      <alignment wrapText="1"/>
      <protection locked="0"/>
    </xf>
    <xf numFmtId="0" fontId="8" fillId="26" borderId="25" xfId="51" applyFont="1" applyFill="1" applyBorder="1" applyAlignment="1" applyProtection="1">
      <alignment wrapText="1"/>
      <protection locked="0"/>
    </xf>
    <xf numFmtId="0" fontId="8" fillId="26" borderId="191" xfId="51" applyFont="1" applyFill="1" applyBorder="1" applyAlignment="1" applyProtection="1">
      <alignment horizontal="left"/>
      <protection locked="0"/>
    </xf>
    <xf numFmtId="0" fontId="8" fillId="26" borderId="193" xfId="51" applyFont="1" applyFill="1" applyBorder="1" applyAlignment="1" applyProtection="1">
      <alignment horizontal="left"/>
      <protection locked="0"/>
    </xf>
    <xf numFmtId="0" fontId="8" fillId="26" borderId="25" xfId="51" applyFont="1" applyFill="1" applyBorder="1" applyAlignment="1" applyProtection="1">
      <alignment horizontal="left"/>
      <protection locked="0"/>
    </xf>
    <xf numFmtId="0" fontId="141" fillId="24" borderId="14" xfId="51" applyFont="1" applyFill="1" applyBorder="1" applyAlignment="1" applyProtection="1">
      <alignment horizontal="left" vertical="top" wrapText="1"/>
      <protection locked="0"/>
    </xf>
    <xf numFmtId="0" fontId="141" fillId="24" borderId="28" xfId="51" applyFont="1" applyFill="1" applyBorder="1" applyAlignment="1" applyProtection="1">
      <alignment horizontal="left" vertical="top" wrapText="1"/>
      <protection locked="0"/>
    </xf>
    <xf numFmtId="0" fontId="141" fillId="24" borderId="76" xfId="51" applyFont="1" applyFill="1" applyBorder="1" applyAlignment="1" applyProtection="1">
      <alignment horizontal="left" vertical="top" wrapText="1"/>
      <protection locked="0"/>
    </xf>
    <xf numFmtId="0" fontId="141" fillId="24" borderId="43" xfId="51" applyFont="1" applyFill="1" applyBorder="1" applyAlignment="1" applyProtection="1">
      <alignment horizontal="left" vertical="top" wrapText="1"/>
      <protection locked="0"/>
    </xf>
    <xf numFmtId="0" fontId="141" fillId="24" borderId="0" xfId="51" applyFont="1" applyFill="1" applyBorder="1" applyAlignment="1" applyProtection="1">
      <alignment horizontal="left" vertical="top" wrapText="1"/>
      <protection locked="0"/>
    </xf>
    <xf numFmtId="0" fontId="141" fillId="24" borderId="94" xfId="51" applyFont="1" applyFill="1" applyBorder="1" applyAlignment="1" applyProtection="1">
      <alignment horizontal="left" vertical="top" wrapText="1"/>
      <protection locked="0"/>
    </xf>
    <xf numFmtId="0" fontId="141" fillId="24" borderId="77" xfId="51" applyFont="1" applyFill="1" applyBorder="1" applyAlignment="1" applyProtection="1">
      <alignment horizontal="left" vertical="top" wrapText="1"/>
      <protection locked="0"/>
    </xf>
    <xf numFmtId="0" fontId="141" fillId="24" borderId="27" xfId="51" applyFont="1" applyFill="1" applyBorder="1" applyAlignment="1" applyProtection="1">
      <alignment horizontal="left" vertical="top" wrapText="1"/>
      <protection locked="0"/>
    </xf>
    <xf numFmtId="0" fontId="141" fillId="24" borderId="78" xfId="51" applyFont="1" applyFill="1" applyBorder="1" applyAlignment="1" applyProtection="1">
      <alignment horizontal="left" vertical="top" wrapText="1"/>
      <protection locked="0"/>
    </xf>
    <xf numFmtId="173" fontId="8" fillId="26" borderId="31" xfId="51" applyNumberFormat="1" applyFont="1" applyFill="1" applyBorder="1" applyAlignment="1" applyProtection="1">
      <alignment horizontal="left"/>
      <protection locked="0"/>
    </xf>
    <xf numFmtId="173" fontId="8" fillId="26" borderId="32" xfId="51" applyNumberFormat="1" applyFont="1" applyFill="1" applyBorder="1" applyAlignment="1" applyProtection="1">
      <alignment horizontal="left"/>
      <protection locked="0"/>
    </xf>
    <xf numFmtId="173" fontId="8" fillId="26" borderId="11" xfId="51" applyNumberFormat="1" applyFont="1" applyFill="1" applyBorder="1" applyAlignment="1" applyProtection="1">
      <alignment horizontal="left"/>
      <protection locked="0"/>
    </xf>
    <xf numFmtId="0" fontId="35" fillId="24" borderId="31" xfId="51" applyFill="1" applyBorder="1" applyAlignment="1">
      <alignment horizontal="center"/>
    </xf>
    <xf numFmtId="0" fontId="35" fillId="24" borderId="11" xfId="51" applyFill="1" applyBorder="1" applyAlignment="1">
      <alignment horizontal="center"/>
    </xf>
    <xf numFmtId="0" fontId="145" fillId="24" borderId="31" xfId="51" applyFont="1" applyFill="1" applyBorder="1" applyAlignment="1">
      <alignment horizontal="center"/>
    </xf>
    <xf numFmtId="0" fontId="145" fillId="24" borderId="32" xfId="51" applyFont="1" applyFill="1" applyBorder="1" applyAlignment="1">
      <alignment horizontal="center"/>
    </xf>
    <xf numFmtId="0" fontId="145" fillId="24" borderId="11" xfId="51" applyFont="1" applyFill="1" applyBorder="1" applyAlignment="1">
      <alignment horizontal="center"/>
    </xf>
    <xf numFmtId="0" fontId="35" fillId="24" borderId="31" xfId="51" applyFill="1" applyBorder="1" applyAlignment="1" applyProtection="1">
      <protection locked="0"/>
    </xf>
    <xf numFmtId="0" fontId="35" fillId="24" borderId="32" xfId="51" applyFill="1" applyBorder="1" applyAlignment="1" applyProtection="1">
      <protection locked="0"/>
    </xf>
    <xf numFmtId="0" fontId="35" fillId="24" borderId="11" xfId="51" applyFill="1" applyBorder="1" applyAlignment="1" applyProtection="1">
      <protection locked="0"/>
    </xf>
    <xf numFmtId="0" fontId="0" fillId="24" borderId="29" xfId="51" applyFont="1" applyFill="1" applyBorder="1" applyAlignment="1">
      <alignment horizontal="center"/>
    </xf>
    <xf numFmtId="37" fontId="2" fillId="24" borderId="31" xfId="51" applyNumberFormat="1" applyFont="1" applyFill="1" applyBorder="1" applyAlignment="1">
      <alignment horizontal="left" wrapText="1"/>
    </xf>
    <xf numFmtId="0" fontId="2" fillId="24" borderId="11" xfId="51" applyFont="1" applyFill="1" applyBorder="1" applyAlignment="1">
      <alignment horizontal="left" wrapText="1"/>
    </xf>
  </cellXfs>
  <cellStyles count="6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omma 2" xfId="29"/>
    <cellStyle name="Comma 3" xfId="30"/>
    <cellStyle name="Currency" xfId="31" builtinId="4"/>
    <cellStyle name="Currency 2" xfId="32"/>
    <cellStyle name="Explanatory Text" xfId="33" builtinId="53" customBuiltin="1"/>
    <cellStyle name="Good" xfId="34" builtinId="26" customBuiltin="1"/>
    <cellStyle name="Heading 1" xfId="35" builtinId="16" customBuiltin="1"/>
    <cellStyle name="Heading 2" xfId="36" builtinId="17" customBuiltin="1"/>
    <cellStyle name="Heading 3" xfId="37" builtinId="18" customBuiltin="1"/>
    <cellStyle name="Heading 4" xfId="38" builtinId="19" customBuiltin="1"/>
    <cellStyle name="Hyperlink" xfId="39" builtinId="8"/>
    <cellStyle name="Input" xfId="40" builtinId="20" customBuiltin="1"/>
    <cellStyle name="Linked Cell" xfId="41" builtinId="24" customBuiltin="1"/>
    <cellStyle name="Neutral" xfId="42" builtinId="28" customBuiltin="1"/>
    <cellStyle name="Normal" xfId="0" builtinId="0"/>
    <cellStyle name="Normal_Cannibalization Economics v3" xfId="43"/>
    <cellStyle name="Normal_CON applicability by State" xfId="44"/>
    <cellStyle name="Normal_DVA Real Estate Broker by State" xfId="45"/>
    <cellStyle name="Normal_Essbase Balance Sheet2" xfId="46"/>
    <cellStyle name="Normal_Master" xfId="47"/>
    <cellStyle name="Normal_Partnership" xfId="48"/>
    <cellStyle name="Normal_Renown Staffing - new completed" xfId="49"/>
    <cellStyle name="Normal_Single Facility Acquisition Model 070208" xfId="50"/>
    <cellStyle name="Normal_SOR - Excel" xfId="51"/>
    <cellStyle name="Note" xfId="52" builtinId="10" customBuiltin="1"/>
    <cellStyle name="Output" xfId="53" builtinId="21" customBuiltin="1"/>
    <cellStyle name="Output Amounts" xfId="54"/>
    <cellStyle name="Output Column Headings" xfId="55"/>
    <cellStyle name="Output Line Items" xfId="56"/>
    <cellStyle name="Output Report Heading" xfId="57"/>
    <cellStyle name="Output Report Title" xfId="58"/>
    <cellStyle name="Percent" xfId="59" builtinId="5"/>
    <cellStyle name="Percent 2" xfId="60"/>
    <cellStyle name="Percent 3" xfId="61"/>
    <cellStyle name="Percent 3 2" xfId="62"/>
    <cellStyle name="Title" xfId="63" builtinId="15" customBuiltin="1"/>
    <cellStyle name="Total" xfId="64" builtinId="25" customBuiltin="1"/>
    <cellStyle name="Warning Text" xfId="65" builtinId="11" customBuiltin="1"/>
  </cellStyles>
  <dxfs count="130">
    <dxf>
      <font>
        <color rgb="FFFFFF99"/>
      </font>
    </dxf>
    <dxf>
      <font>
        <color theme="0"/>
      </font>
    </dxf>
    <dxf>
      <font>
        <color theme="0"/>
      </font>
    </dxf>
    <dxf>
      <font>
        <color theme="0"/>
      </font>
    </dxf>
    <dxf>
      <font>
        <color theme="0"/>
      </font>
    </dxf>
    <dxf>
      <font>
        <condense val="0"/>
        <extend val="0"/>
        <color indexed="10"/>
      </font>
    </dxf>
    <dxf>
      <font>
        <condense val="0"/>
        <extend val="0"/>
        <color indexed="10"/>
      </font>
    </dxf>
    <dxf>
      <font>
        <strike val="0"/>
        <condense val="0"/>
        <extend val="0"/>
        <color indexed="9"/>
      </font>
    </dxf>
    <dxf>
      <font>
        <strike val="0"/>
        <condense val="0"/>
        <extend val="0"/>
        <color indexed="9"/>
      </font>
    </dxf>
    <dxf>
      <font>
        <strike val="0"/>
        <condense val="0"/>
        <extend val="0"/>
        <color indexed="9"/>
      </font>
    </dxf>
    <dxf>
      <font>
        <condense val="0"/>
        <extend val="0"/>
        <color indexed="9"/>
      </font>
    </dxf>
    <dxf>
      <font>
        <condense val="0"/>
        <extend val="0"/>
        <color indexed="9"/>
      </font>
    </dxf>
    <dxf>
      <font>
        <condense val="0"/>
        <extend val="0"/>
        <color indexed="9"/>
      </font>
    </dxf>
    <dxf>
      <font>
        <strike val="0"/>
        <condense val="0"/>
        <extend val="0"/>
        <color indexed="9"/>
      </font>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3"/>
      </font>
      <fill>
        <patternFill>
          <bgColor indexed="23"/>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12"/>
      </font>
      <fill>
        <patternFill>
          <bgColor indexed="43"/>
        </patternFill>
      </fill>
    </dxf>
    <dxf>
      <font>
        <condense val="0"/>
        <extend val="0"/>
        <color auto="1"/>
      </font>
    </dxf>
    <dxf>
      <font>
        <condense val="0"/>
        <extend val="0"/>
        <color indexed="22"/>
      </font>
      <fill>
        <patternFill>
          <bgColor indexed="22"/>
        </patternFill>
      </fill>
    </dxf>
    <dxf>
      <font>
        <condense val="0"/>
        <extend val="0"/>
        <color indexed="23"/>
      </font>
      <fill>
        <patternFill>
          <bgColor indexed="23"/>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9"/>
      </font>
    </dxf>
    <dxf>
      <font>
        <condense val="0"/>
        <extend val="0"/>
        <color indexed="9"/>
      </font>
      <fill>
        <patternFill>
          <bgColor indexed="9"/>
        </patternFill>
      </fill>
    </dxf>
    <dxf>
      <font>
        <condense val="0"/>
        <extend val="0"/>
        <color indexed="23"/>
      </font>
      <fill>
        <patternFill>
          <bgColor indexed="23"/>
        </patternFill>
      </fill>
      <border>
        <left style="thin">
          <color indexed="23"/>
        </left>
        <right style="thin">
          <color indexed="23"/>
        </right>
        <top style="thin">
          <color indexed="23"/>
        </top>
        <bottom style="thin">
          <color indexed="23"/>
        </bottom>
      </border>
    </dxf>
    <dxf>
      <font>
        <condense val="0"/>
        <extend val="0"/>
        <color indexed="9"/>
      </font>
    </dxf>
    <dxf>
      <font>
        <condense val="0"/>
        <extend val="0"/>
        <color indexed="43"/>
      </font>
    </dxf>
    <dxf>
      <font>
        <b/>
        <i val="0"/>
        <color rgb="FF00B050"/>
      </font>
    </dxf>
    <dxf>
      <font>
        <b/>
        <i val="0"/>
        <color rgb="FF00B050"/>
      </font>
    </dxf>
    <dxf>
      <fill>
        <patternFill>
          <bgColor indexed="11"/>
        </patternFill>
      </fill>
    </dxf>
    <dxf>
      <fill>
        <patternFill>
          <bgColor indexed="42"/>
        </patternFill>
      </fill>
    </dxf>
    <dxf>
      <font>
        <condense val="0"/>
        <extend val="0"/>
        <color auto="1"/>
      </font>
      <fill>
        <patternFill>
          <bgColor indexed="42"/>
        </patternFill>
      </fill>
    </dxf>
    <dxf>
      <font>
        <b/>
        <i val="0"/>
        <color rgb="FF00B050"/>
      </font>
    </dxf>
    <dxf>
      <font>
        <b/>
        <i val="0"/>
        <color rgb="FF00B050"/>
      </font>
    </dxf>
    <dxf>
      <fill>
        <patternFill>
          <bgColor indexed="11"/>
        </patternFill>
      </fill>
    </dxf>
    <dxf>
      <fill>
        <patternFill>
          <bgColor indexed="42"/>
        </patternFill>
      </fill>
    </dxf>
    <dxf>
      <font>
        <condense val="0"/>
        <extend val="0"/>
        <color auto="1"/>
      </font>
      <fill>
        <patternFill>
          <bgColor indexed="42"/>
        </patternFill>
      </fill>
    </dxf>
    <dxf>
      <fill>
        <patternFill>
          <bgColor rgb="FFFFFF99"/>
        </patternFill>
      </fill>
    </dxf>
    <dxf>
      <font>
        <color theme="1"/>
      </font>
    </dxf>
    <dxf>
      <font>
        <color theme="1"/>
      </font>
    </dxf>
    <dxf>
      <font>
        <color theme="1"/>
      </font>
    </dxf>
    <dxf>
      <fill>
        <patternFill>
          <bgColor rgb="FFFFFF99"/>
        </patternFill>
      </fill>
    </dxf>
    <dxf>
      <fill>
        <patternFill>
          <bgColor rgb="FFCCFFCC"/>
        </patternFill>
      </fill>
    </dxf>
    <dxf>
      <fill>
        <patternFill>
          <bgColor rgb="FFFFFF99"/>
        </patternFill>
      </fill>
    </dxf>
    <dxf>
      <fill>
        <patternFill>
          <bgColor rgb="FFFFFF99"/>
        </patternFill>
      </fill>
    </dxf>
    <dxf>
      <font>
        <b/>
        <i val="0"/>
        <color rgb="FF00B050"/>
      </font>
    </dxf>
    <dxf>
      <font>
        <b/>
        <i val="0"/>
        <color rgb="FF00B050"/>
      </font>
    </dxf>
    <dxf>
      <fill>
        <patternFill>
          <bgColor indexed="11"/>
        </patternFill>
      </fill>
    </dxf>
    <dxf>
      <fill>
        <patternFill>
          <bgColor indexed="42"/>
        </patternFill>
      </fill>
    </dxf>
    <dxf>
      <font>
        <condense val="0"/>
        <extend val="0"/>
        <color auto="1"/>
      </font>
      <fill>
        <patternFill>
          <bgColor indexed="42"/>
        </patternFill>
      </fill>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8"/>
        </patternFill>
      </fill>
    </dxf>
    <dxf>
      <font>
        <condense val="0"/>
        <extend val="0"/>
        <color indexed="63"/>
      </font>
      <fill>
        <patternFill>
          <bgColor indexed="63"/>
        </patternFill>
      </fill>
      <border>
        <left style="thin">
          <color indexed="63"/>
        </left>
        <right style="thin">
          <color indexed="63"/>
        </right>
        <top style="thin">
          <color indexed="63"/>
        </top>
        <bottom style="thin">
          <color indexed="63"/>
        </bottom>
      </border>
    </dxf>
    <dxf>
      <fill>
        <patternFill>
          <bgColor indexed="8"/>
        </patternFill>
      </fill>
    </dxf>
    <dxf>
      <font>
        <condense val="0"/>
        <extend val="0"/>
        <color indexed="63"/>
      </font>
      <fill>
        <patternFill>
          <bgColor indexed="63"/>
        </patternFill>
      </fill>
      <border>
        <left style="thin">
          <color indexed="63"/>
        </left>
        <right style="thin">
          <color indexed="63"/>
        </right>
        <top style="thin">
          <color indexed="63"/>
        </top>
        <bottom style="thin">
          <color indexed="63"/>
        </bottom>
      </border>
    </dxf>
    <dxf>
      <font>
        <condense val="0"/>
        <extend val="0"/>
        <color indexed="10"/>
      </font>
    </dxf>
    <dxf>
      <font>
        <condense val="0"/>
        <extend val="0"/>
        <color indexed="63"/>
      </font>
      <fill>
        <patternFill>
          <bgColor indexed="63"/>
        </patternFill>
      </fill>
      <border>
        <left style="thin">
          <color indexed="63"/>
        </left>
        <right style="thin">
          <color indexed="63"/>
        </right>
        <top style="thin">
          <color indexed="63"/>
        </top>
        <bottom style="thin">
          <color indexed="63"/>
        </bottom>
      </border>
    </dxf>
    <dxf>
      <font>
        <condense val="0"/>
        <extend val="0"/>
        <color indexed="9"/>
      </font>
    </dxf>
    <dxf>
      <font>
        <condense val="0"/>
        <extend val="0"/>
        <color indexed="10"/>
      </font>
    </dxf>
    <dxf>
      <font>
        <condense val="0"/>
        <extend val="0"/>
        <color indexed="10"/>
      </font>
    </dxf>
    <dxf>
      <fill>
        <patternFill>
          <bgColor indexed="8"/>
        </patternFill>
      </fill>
    </dxf>
    <dxf>
      <font>
        <condense val="0"/>
        <extend val="0"/>
        <color auto="1"/>
      </font>
      <fill>
        <patternFill>
          <bgColor indexed="8"/>
        </patternFill>
      </fill>
    </dxf>
    <dxf>
      <fill>
        <patternFill>
          <bgColor indexed="8"/>
        </patternFill>
      </fill>
    </dxf>
    <dxf>
      <font>
        <condense val="0"/>
        <extend val="0"/>
        <color indexed="9"/>
      </font>
    </dxf>
    <dxf>
      <font>
        <condense val="0"/>
        <extend val="0"/>
        <color indexed="22"/>
      </font>
      <fill>
        <patternFill>
          <bgColor indexed="22"/>
        </patternFill>
      </fill>
    </dxf>
    <dxf>
      <font>
        <condense val="0"/>
        <extend val="0"/>
        <color indexed="9"/>
      </font>
    </dxf>
    <dxf>
      <font>
        <condense val="0"/>
        <extend val="0"/>
        <color indexed="10"/>
      </font>
    </dxf>
    <dxf>
      <font>
        <condense val="0"/>
        <extend val="0"/>
        <color indexed="9"/>
      </font>
    </dxf>
    <dxf>
      <font>
        <condense val="0"/>
        <extend val="0"/>
        <color indexed="9"/>
      </font>
    </dxf>
    <dxf>
      <font>
        <condense val="0"/>
        <extend val="0"/>
        <color indexed="43"/>
      </font>
    </dxf>
    <dxf>
      <font>
        <condense val="0"/>
        <extend val="0"/>
        <color indexed="43"/>
      </font>
    </dxf>
    <dxf>
      <font>
        <condense val="0"/>
        <extend val="0"/>
        <color indexed="43"/>
      </font>
    </dxf>
    <dxf>
      <font>
        <condense val="0"/>
        <extend val="0"/>
        <color indexed="9"/>
      </font>
    </dxf>
    <dxf>
      <font>
        <condense val="0"/>
        <extend val="0"/>
        <color indexed="9"/>
      </font>
    </dxf>
    <dxf>
      <font>
        <condense val="0"/>
        <extend val="0"/>
        <color indexed="43"/>
      </font>
    </dxf>
    <dxf>
      <font>
        <condense val="0"/>
        <extend val="0"/>
        <color indexed="9"/>
      </font>
    </dxf>
    <dxf>
      <font>
        <condense val="0"/>
        <extend val="0"/>
        <color indexed="10"/>
      </font>
    </dxf>
  </dxfs>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sz="1000" b="1" i="0" u="none" strike="noStrike" baseline="0">
                <a:solidFill>
                  <a:srgbClr val="000000"/>
                </a:solidFill>
                <a:latin typeface="Arial"/>
                <a:ea typeface="Arial"/>
                <a:cs typeface="Arial"/>
              </a:defRPr>
            </a:pPr>
            <a:r>
              <a:rPr lang="en-US"/>
              <a:t>Treatments</a:t>
            </a:r>
          </a:p>
        </c:rich>
      </c:tx>
      <c:layout>
        <c:manualLayout>
          <c:xMode val="edge"/>
          <c:yMode val="edge"/>
          <c:x val="0.37102547693905863"/>
          <c:y val="4.2654028436018961E-2"/>
        </c:manualLayout>
      </c:layout>
      <c:spPr>
        <a:noFill/>
        <a:ln w="25400">
          <a:noFill/>
        </a:ln>
      </c:spPr>
    </c:title>
    <c:plotArea>
      <c:layout>
        <c:manualLayout>
          <c:layoutTarget val="inner"/>
          <c:xMode val="edge"/>
          <c:yMode val="edge"/>
          <c:x val="0.18727947507087037"/>
          <c:y val="0.18483455095377055"/>
          <c:w val="0.78798722529818865"/>
          <c:h val="0.64929060206837774"/>
        </c:manualLayout>
      </c:layout>
      <c:barChart>
        <c:barDir val="col"/>
        <c:grouping val="clustered"/>
        <c:ser>
          <c:idx val="0"/>
          <c:order val="0"/>
          <c:tx>
            <c:strRef>
              <c:f>'1.0 Summary'!$E$87</c:f>
              <c:strCache>
                <c:ptCount val="1"/>
                <c:pt idx="0">
                  <c:v>In-center</c:v>
                </c:pt>
              </c:strCache>
            </c:strRef>
          </c:tx>
          <c:spPr>
            <a:solidFill>
              <a:srgbClr val="9999FF"/>
            </a:solidFill>
            <a:ln w="12700">
              <a:solidFill>
                <a:srgbClr val="000000"/>
              </a:solidFill>
              <a:prstDash val="solid"/>
            </a:ln>
          </c:spPr>
          <c:cat>
            <c:strRef>
              <c:f>'1.0 Summary'!$F$81:$J$81</c:f>
              <c:strCache>
                <c:ptCount val="5"/>
                <c:pt idx="0">
                  <c:v>Year 1</c:v>
                </c:pt>
                <c:pt idx="1">
                  <c:v>Year 2</c:v>
                </c:pt>
                <c:pt idx="2">
                  <c:v>Year 3</c:v>
                </c:pt>
                <c:pt idx="3">
                  <c:v>Year 4</c:v>
                </c:pt>
                <c:pt idx="4">
                  <c:v>Year 5</c:v>
                </c:pt>
              </c:strCache>
            </c:strRef>
          </c:cat>
          <c:val>
            <c:numRef>
              <c:f>'1.0 Summary'!$F$87:$J$87</c:f>
              <c:numCache>
                <c:formatCode>#,##0_);\(#,##0\)</c:formatCode>
                <c:ptCount val="5"/>
                <c:pt idx="0">
                  <c:v>2087.0200000000004</c:v>
                </c:pt>
                <c:pt idx="1">
                  <c:v>5286.32</c:v>
                </c:pt>
                <c:pt idx="2">
                  <c:v>7612.54</c:v>
                </c:pt>
                <c:pt idx="3">
                  <c:v>9478.2999999999993</c:v>
                </c:pt>
                <c:pt idx="4">
                  <c:v>11033.100000000002</c:v>
                </c:pt>
              </c:numCache>
            </c:numRef>
          </c:val>
        </c:ser>
        <c:ser>
          <c:idx val="1"/>
          <c:order val="1"/>
          <c:tx>
            <c:strRef>
              <c:f>'1.0 Summary'!$E$88</c:f>
              <c:strCache>
                <c:ptCount val="1"/>
                <c:pt idx="0">
                  <c:v>PD</c:v>
                </c:pt>
              </c:strCache>
            </c:strRef>
          </c:tx>
          <c:spPr>
            <a:solidFill>
              <a:srgbClr val="993366"/>
            </a:solidFill>
            <a:ln w="12700">
              <a:solidFill>
                <a:srgbClr val="000000"/>
              </a:solidFill>
              <a:prstDash val="solid"/>
            </a:ln>
          </c:spPr>
          <c:cat>
            <c:strRef>
              <c:f>'1.0 Summary'!$F$81:$J$81</c:f>
              <c:strCache>
                <c:ptCount val="5"/>
                <c:pt idx="0">
                  <c:v>Year 1</c:v>
                </c:pt>
                <c:pt idx="1">
                  <c:v>Year 2</c:v>
                </c:pt>
                <c:pt idx="2">
                  <c:v>Year 3</c:v>
                </c:pt>
                <c:pt idx="3">
                  <c:v>Year 4</c:v>
                </c:pt>
                <c:pt idx="4">
                  <c:v>Year 5</c:v>
                </c:pt>
              </c:strCache>
            </c:strRef>
          </c:cat>
          <c:val>
            <c:numRef>
              <c:f>'1.0 Summary'!$F$88:$J$88</c:f>
              <c:numCache>
                <c:formatCode>#,##0_);\(#,##0\)</c:formatCode>
                <c:ptCount val="5"/>
                <c:pt idx="0">
                  <c:v>629.84999999999991</c:v>
                </c:pt>
                <c:pt idx="1">
                  <c:v>1519.0499999999997</c:v>
                </c:pt>
                <c:pt idx="2">
                  <c:v>2247.6999999999998</c:v>
                </c:pt>
                <c:pt idx="3">
                  <c:v>2920.7750000000005</c:v>
                </c:pt>
                <c:pt idx="4">
                  <c:v>3501.2250000000004</c:v>
                </c:pt>
              </c:numCache>
            </c:numRef>
          </c:val>
        </c:ser>
        <c:ser>
          <c:idx val="2"/>
          <c:order val="2"/>
          <c:tx>
            <c:strRef>
              <c:f>'1.0 Summary'!$E$89</c:f>
              <c:strCache>
                <c:ptCount val="1"/>
                <c:pt idx="0">
                  <c:v>HHD</c:v>
                </c:pt>
              </c:strCache>
            </c:strRef>
          </c:tx>
          <c:spPr>
            <a:solidFill>
              <a:srgbClr val="FFFFCC"/>
            </a:solidFill>
            <a:ln w="12700">
              <a:solidFill>
                <a:srgbClr val="000000"/>
              </a:solidFill>
              <a:prstDash val="solid"/>
            </a:ln>
          </c:spPr>
          <c:cat>
            <c:strRef>
              <c:f>'1.0 Summary'!$F$81:$J$81</c:f>
              <c:strCache>
                <c:ptCount val="5"/>
                <c:pt idx="0">
                  <c:v>Year 1</c:v>
                </c:pt>
                <c:pt idx="1">
                  <c:v>Year 2</c:v>
                </c:pt>
                <c:pt idx="2">
                  <c:v>Year 3</c:v>
                </c:pt>
                <c:pt idx="3">
                  <c:v>Year 4</c:v>
                </c:pt>
                <c:pt idx="4">
                  <c:v>Year 5</c:v>
                </c:pt>
              </c:strCache>
            </c:strRef>
          </c:cat>
          <c:val>
            <c:numRef>
              <c:f>'1.0 Summary'!$F$89:$J$89</c:f>
              <c:numCache>
                <c:formatCode>#,##0_);\(#,##0\)</c:formatCode>
                <c:ptCount val="5"/>
                <c:pt idx="0">
                  <c:v>392.59999999999991</c:v>
                </c:pt>
                <c:pt idx="1">
                  <c:v>789.09999999999991</c:v>
                </c:pt>
                <c:pt idx="2">
                  <c:v>1209.2166666666662</c:v>
                </c:pt>
                <c:pt idx="3">
                  <c:v>1467.6999999999989</c:v>
                </c:pt>
                <c:pt idx="4">
                  <c:v>1623.6999999999985</c:v>
                </c:pt>
              </c:numCache>
            </c:numRef>
          </c:val>
        </c:ser>
        <c:axId val="109030400"/>
        <c:axId val="109073152"/>
      </c:barChart>
      <c:catAx>
        <c:axId val="109030400"/>
        <c:scaling>
          <c:orientation val="minMax"/>
        </c:scaling>
        <c:axPos val="b"/>
        <c:numFmt formatCode="#,##0_);\(#,##0\)" sourceLinked="1"/>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09073152"/>
        <c:crosses val="autoZero"/>
        <c:auto val="1"/>
        <c:lblAlgn val="ctr"/>
        <c:lblOffset val="100"/>
        <c:tickLblSkip val="1"/>
        <c:tickMarkSkip val="1"/>
      </c:catAx>
      <c:valAx>
        <c:axId val="109073152"/>
        <c:scaling>
          <c:orientation val="minMax"/>
        </c:scaling>
        <c:axPos val="l"/>
        <c:majorGridlines>
          <c:spPr>
            <a:ln w="3175">
              <a:solidFill>
                <a:srgbClr val="C0C0C0"/>
              </a:solidFill>
              <a:prstDash val="sysDash"/>
            </a:ln>
          </c:spPr>
        </c:majorGridlines>
        <c:numFmt formatCode="#,##0_);\(#,##0\)" sourceLinked="1"/>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09030400"/>
        <c:crosses val="autoZero"/>
        <c:crossBetween val="between"/>
      </c:valAx>
      <c:spPr>
        <a:noFill/>
        <a:ln w="25400">
          <a:noFill/>
        </a:ln>
      </c:spPr>
    </c:plotArea>
    <c:legend>
      <c:legendPos val="r"/>
      <c:layout>
        <c:manualLayout>
          <c:xMode val="edge"/>
          <c:yMode val="edge"/>
          <c:x val="0.17667881620804432"/>
          <c:y val="0.19905263026955727"/>
          <c:w val="0.250883763204512"/>
          <c:h val="0.26540334117003178"/>
        </c:manualLayout>
      </c:layout>
      <c:spPr>
        <a:solidFill>
          <a:srgbClr val="FFFFFF"/>
        </a:solidFill>
        <a:ln w="3175">
          <a:solidFill>
            <a:srgbClr val="000000"/>
          </a:solidFill>
          <a:prstDash val="solid"/>
        </a:ln>
      </c:spPr>
      <c:txPr>
        <a:bodyPr/>
        <a:lstStyle/>
        <a:p>
          <a:pPr>
            <a:defRPr sz="385" b="0" i="0" u="none" strike="noStrike" baseline="0">
              <a:solidFill>
                <a:srgbClr val="000000"/>
              </a:solidFill>
              <a:latin typeface="Arial"/>
              <a:ea typeface="Arial"/>
              <a:cs typeface="Arial"/>
            </a:defRPr>
          </a:pPr>
          <a:endParaRPr lang="en-US"/>
        </a:p>
      </c:txPr>
    </c:legend>
    <c:plotVisOnly val="1"/>
    <c:dispBlanksAs val="gap"/>
  </c:chart>
  <c:spPr>
    <a:solidFill>
      <a:srgbClr val="FFFFFF"/>
    </a:solidFill>
    <a:ln w="9525">
      <a:noFill/>
    </a:ln>
  </c:spPr>
  <c:txPr>
    <a:bodyPr/>
    <a:lstStyle/>
    <a:p>
      <a:pPr>
        <a:defRPr sz="425"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sz="1000" b="1" i="0" u="none" strike="noStrike" baseline="0">
                <a:solidFill>
                  <a:srgbClr val="000000"/>
                </a:solidFill>
                <a:latin typeface="Arial"/>
                <a:ea typeface="Arial"/>
                <a:cs typeface="Arial"/>
              </a:defRPr>
            </a:pPr>
            <a:r>
              <a:rPr lang="en-US"/>
              <a:t>Income Statement</a:t>
            </a:r>
          </a:p>
        </c:rich>
      </c:tx>
      <c:layout>
        <c:manualLayout>
          <c:xMode val="edge"/>
          <c:yMode val="edge"/>
          <c:x val="0.35162101033667087"/>
          <c:y val="4.3689320388349467E-2"/>
        </c:manualLayout>
      </c:layout>
      <c:spPr>
        <a:noFill/>
        <a:ln w="25400">
          <a:noFill/>
        </a:ln>
      </c:spPr>
    </c:title>
    <c:plotArea>
      <c:layout>
        <c:manualLayout>
          <c:layoutTarget val="inner"/>
          <c:xMode val="edge"/>
          <c:yMode val="edge"/>
          <c:x val="0.19451371571072321"/>
          <c:y val="0.16990291262135923"/>
          <c:w val="0.46882793017456476"/>
          <c:h val="0.75728155339806025"/>
        </c:manualLayout>
      </c:layout>
      <c:areaChart>
        <c:grouping val="stacked"/>
        <c:ser>
          <c:idx val="6"/>
          <c:order val="0"/>
          <c:tx>
            <c:v>EBITDA</c:v>
          </c:tx>
          <c:spPr>
            <a:solidFill>
              <a:srgbClr val="CCFFCC"/>
            </a:solidFill>
            <a:ln w="12700">
              <a:solidFill>
                <a:srgbClr val="000000"/>
              </a:solidFill>
              <a:prstDash val="solid"/>
            </a:ln>
          </c:spPr>
          <c:cat>
            <c:strRef>
              <c:f>'1.0 Summary'!$O$81:$S$81</c:f>
              <c:strCache>
                <c:ptCount val="5"/>
                <c:pt idx="0">
                  <c:v>Year 1</c:v>
                </c:pt>
                <c:pt idx="1">
                  <c:v>Year 2</c:v>
                </c:pt>
                <c:pt idx="2">
                  <c:v>Year 3</c:v>
                </c:pt>
                <c:pt idx="3">
                  <c:v>Year 4</c:v>
                </c:pt>
                <c:pt idx="4">
                  <c:v>Year 5</c:v>
                </c:pt>
              </c:strCache>
            </c:strRef>
          </c:cat>
          <c:val>
            <c:numRef>
              <c:f>'1.0 Summary'!$O$98:$S$98</c:f>
              <c:numCache>
                <c:formatCode>#,##0_);\(#,##0\)</c:formatCode>
                <c:ptCount val="5"/>
                <c:pt idx="0">
                  <c:v>-271657.45335588488</c:v>
                </c:pt>
                <c:pt idx="1">
                  <c:v>284528.50257573323</c:v>
                </c:pt>
                <c:pt idx="2">
                  <c:v>594441.33280350966</c:v>
                </c:pt>
                <c:pt idx="3">
                  <c:v>810412.12804351887</c:v>
                </c:pt>
                <c:pt idx="4">
                  <c:v>1159853.0238484973</c:v>
                </c:pt>
              </c:numCache>
            </c:numRef>
          </c:val>
        </c:ser>
        <c:ser>
          <c:idx val="5"/>
          <c:order val="1"/>
          <c:tx>
            <c:v>Other Exp</c:v>
          </c:tx>
          <c:spPr>
            <a:solidFill>
              <a:srgbClr val="FFFF99"/>
            </a:solidFill>
            <a:ln w="12700">
              <a:solidFill>
                <a:srgbClr val="000000"/>
              </a:solidFill>
              <a:prstDash val="solid"/>
            </a:ln>
          </c:spPr>
          <c:cat>
            <c:strRef>
              <c:f>'1.0 Summary'!$O$81:$S$81</c:f>
              <c:strCache>
                <c:ptCount val="5"/>
                <c:pt idx="0">
                  <c:v>Year 1</c:v>
                </c:pt>
                <c:pt idx="1">
                  <c:v>Year 2</c:v>
                </c:pt>
                <c:pt idx="2">
                  <c:v>Year 3</c:v>
                </c:pt>
                <c:pt idx="3">
                  <c:v>Year 4</c:v>
                </c:pt>
                <c:pt idx="4">
                  <c:v>Year 5</c:v>
                </c:pt>
              </c:strCache>
            </c:strRef>
          </c:cat>
          <c:val>
            <c:numRef>
              <c:f>'1.0 Summary'!$O$92:$S$92</c:f>
              <c:numCache>
                <c:formatCode>#,##0_);\(#,##0\)</c:formatCode>
                <c:ptCount val="5"/>
                <c:pt idx="0">
                  <c:v>207214.0263688257</c:v>
                </c:pt>
                <c:pt idx="1">
                  <c:v>473349.83200841071</c:v>
                </c:pt>
                <c:pt idx="2">
                  <c:v>703032.13964489521</c:v>
                </c:pt>
                <c:pt idx="3">
                  <c:v>889993.93615153432</c:v>
                </c:pt>
                <c:pt idx="4">
                  <c:v>1052839.5972851221</c:v>
                </c:pt>
              </c:numCache>
            </c:numRef>
          </c:val>
        </c:ser>
        <c:ser>
          <c:idx val="4"/>
          <c:order val="2"/>
          <c:tx>
            <c:v>Mgt Fee</c:v>
          </c:tx>
          <c:spPr>
            <a:solidFill>
              <a:srgbClr val="FFCC99"/>
            </a:solidFill>
            <a:ln w="12700">
              <a:solidFill>
                <a:srgbClr val="000000"/>
              </a:solidFill>
              <a:prstDash val="solid"/>
            </a:ln>
          </c:spPr>
          <c:cat>
            <c:strRef>
              <c:f>'1.0 Summary'!$O$81:$S$81</c:f>
              <c:strCache>
                <c:ptCount val="5"/>
                <c:pt idx="0">
                  <c:v>Year 1</c:v>
                </c:pt>
                <c:pt idx="1">
                  <c:v>Year 2</c:v>
                </c:pt>
                <c:pt idx="2">
                  <c:v>Year 3</c:v>
                </c:pt>
                <c:pt idx="3">
                  <c:v>Year 4</c:v>
                </c:pt>
                <c:pt idx="4">
                  <c:v>Year 5</c:v>
                </c:pt>
              </c:strCache>
            </c:strRef>
          </c:cat>
          <c:val>
            <c:numRef>
              <c:f>'1.0 Summary'!$O$91:$S$91</c:f>
              <c:numCache>
                <c:formatCode>#,##0_);\(#,##0\)</c:formatCode>
                <c:ptCount val="5"/>
                <c:pt idx="0">
                  <c:v>86638.686051249024</c:v>
                </c:pt>
                <c:pt idx="1">
                  <c:v>202595.31750252101</c:v>
                </c:pt>
                <c:pt idx="2">
                  <c:v>290994.25692832656</c:v>
                </c:pt>
                <c:pt idx="3">
                  <c:v>363369.42987766227</c:v>
                </c:pt>
                <c:pt idx="4">
                  <c:v>438882.65213077783</c:v>
                </c:pt>
              </c:numCache>
            </c:numRef>
          </c:val>
        </c:ser>
        <c:ser>
          <c:idx val="3"/>
          <c:order val="3"/>
          <c:tx>
            <c:v>MD Fees</c:v>
          </c:tx>
          <c:spPr>
            <a:solidFill>
              <a:srgbClr val="FF99CC"/>
            </a:solidFill>
            <a:ln w="12700">
              <a:solidFill>
                <a:srgbClr val="000000"/>
              </a:solidFill>
              <a:prstDash val="solid"/>
            </a:ln>
          </c:spPr>
          <c:cat>
            <c:strRef>
              <c:f>'1.0 Summary'!$O$81:$S$81</c:f>
              <c:strCache>
                <c:ptCount val="5"/>
                <c:pt idx="0">
                  <c:v>Year 1</c:v>
                </c:pt>
                <c:pt idx="1">
                  <c:v>Year 2</c:v>
                </c:pt>
                <c:pt idx="2">
                  <c:v>Year 3</c:v>
                </c:pt>
                <c:pt idx="3">
                  <c:v>Year 4</c:v>
                </c:pt>
                <c:pt idx="4">
                  <c:v>Year 5</c:v>
                </c:pt>
              </c:strCache>
            </c:strRef>
          </c:cat>
          <c:val>
            <c:numRef>
              <c:f>'1.0 Summary'!$O$90:$S$90</c:f>
              <c:numCache>
                <c:formatCode>#,##0_);\(#,##0\)</c:formatCode>
                <c:ptCount val="5"/>
                <c:pt idx="0">
                  <c:v>169421</c:v>
                </c:pt>
                <c:pt idx="1">
                  <c:v>169421</c:v>
                </c:pt>
                <c:pt idx="2">
                  <c:v>169421</c:v>
                </c:pt>
                <c:pt idx="3">
                  <c:v>169421</c:v>
                </c:pt>
                <c:pt idx="4">
                  <c:v>169421</c:v>
                </c:pt>
              </c:numCache>
            </c:numRef>
          </c:val>
        </c:ser>
        <c:ser>
          <c:idx val="2"/>
          <c:order val="4"/>
          <c:tx>
            <c:v>Rent</c:v>
          </c:tx>
          <c:spPr>
            <a:solidFill>
              <a:srgbClr val="FF99CC"/>
            </a:solidFill>
            <a:ln w="12700">
              <a:solidFill>
                <a:srgbClr val="000000"/>
              </a:solidFill>
              <a:prstDash val="solid"/>
            </a:ln>
          </c:spPr>
          <c:cat>
            <c:strRef>
              <c:f>'1.0 Summary'!$O$81:$S$81</c:f>
              <c:strCache>
                <c:ptCount val="5"/>
                <c:pt idx="0">
                  <c:v>Year 1</c:v>
                </c:pt>
                <c:pt idx="1">
                  <c:v>Year 2</c:v>
                </c:pt>
                <c:pt idx="2">
                  <c:v>Year 3</c:v>
                </c:pt>
                <c:pt idx="3">
                  <c:v>Year 4</c:v>
                </c:pt>
                <c:pt idx="4">
                  <c:v>Year 5</c:v>
                </c:pt>
              </c:strCache>
            </c:strRef>
          </c:cat>
          <c:val>
            <c:numRef>
              <c:f>'1.0 Summary'!$O$89:$S$89</c:f>
              <c:numCache>
                <c:formatCode>#,##0_);\(#,##0\)</c:formatCode>
                <c:ptCount val="5"/>
                <c:pt idx="0">
                  <c:v>247102.272</c:v>
                </c:pt>
                <c:pt idx="1">
                  <c:v>254515.34015999999</c:v>
                </c:pt>
                <c:pt idx="2">
                  <c:v>262150.80036479997</c:v>
                </c:pt>
                <c:pt idx="3">
                  <c:v>270015.32437574398</c:v>
                </c:pt>
                <c:pt idx="4">
                  <c:v>278115.78410701628</c:v>
                </c:pt>
              </c:numCache>
            </c:numRef>
          </c:val>
        </c:ser>
        <c:ser>
          <c:idx val="1"/>
          <c:order val="5"/>
          <c:tx>
            <c:v>Med Supplies</c:v>
          </c:tx>
          <c:spPr>
            <a:solidFill>
              <a:srgbClr val="CC99FF"/>
            </a:solidFill>
            <a:ln w="12700">
              <a:solidFill>
                <a:srgbClr val="000000"/>
              </a:solidFill>
              <a:prstDash val="solid"/>
            </a:ln>
          </c:spPr>
          <c:cat>
            <c:strRef>
              <c:f>'1.0 Summary'!$O$81:$S$81</c:f>
              <c:strCache>
                <c:ptCount val="5"/>
                <c:pt idx="0">
                  <c:v>Year 1</c:v>
                </c:pt>
                <c:pt idx="1">
                  <c:v>Year 2</c:v>
                </c:pt>
                <c:pt idx="2">
                  <c:v>Year 3</c:v>
                </c:pt>
                <c:pt idx="3">
                  <c:v>Year 4</c:v>
                </c:pt>
                <c:pt idx="4">
                  <c:v>Year 5</c:v>
                </c:pt>
              </c:strCache>
            </c:strRef>
          </c:cat>
          <c:val>
            <c:numRef>
              <c:f>'1.0 Summary'!$O$88:$S$88</c:f>
              <c:numCache>
                <c:formatCode>#,##0_);\(#,##0\)</c:formatCode>
                <c:ptCount val="5"/>
                <c:pt idx="0">
                  <c:v>170275.04457642292</c:v>
                </c:pt>
                <c:pt idx="1">
                  <c:v>435044.87653484783</c:v>
                </c:pt>
                <c:pt idx="2">
                  <c:v>642939.30106255028</c:v>
                </c:pt>
                <c:pt idx="3">
                  <c:v>824654.33565598645</c:v>
                </c:pt>
                <c:pt idx="4">
                  <c:v>986001.77913472278</c:v>
                </c:pt>
              </c:numCache>
            </c:numRef>
          </c:val>
        </c:ser>
        <c:ser>
          <c:idx val="0"/>
          <c:order val="6"/>
          <c:tx>
            <c:v>SWBs</c:v>
          </c:tx>
          <c:spPr>
            <a:solidFill>
              <a:srgbClr val="99CCFF"/>
            </a:solidFill>
            <a:ln w="12700">
              <a:solidFill>
                <a:srgbClr val="000000"/>
              </a:solidFill>
              <a:prstDash val="solid"/>
            </a:ln>
          </c:spPr>
          <c:cat>
            <c:strRef>
              <c:f>'1.0 Summary'!$O$81:$S$81</c:f>
              <c:strCache>
                <c:ptCount val="5"/>
                <c:pt idx="0">
                  <c:v>Year 1</c:v>
                </c:pt>
                <c:pt idx="1">
                  <c:v>Year 2</c:v>
                </c:pt>
                <c:pt idx="2">
                  <c:v>Year 3</c:v>
                </c:pt>
                <c:pt idx="3">
                  <c:v>Year 4</c:v>
                </c:pt>
                <c:pt idx="4">
                  <c:v>Year 5</c:v>
                </c:pt>
              </c:strCache>
            </c:strRef>
          </c:cat>
          <c:val>
            <c:numRef>
              <c:f>'1.0 Summary'!$O$87:$S$87</c:f>
              <c:numCache>
                <c:formatCode>#,##0_);\(#,##0\)</c:formatCode>
                <c:ptCount val="5"/>
                <c:pt idx="0">
                  <c:v>473990</c:v>
                </c:pt>
                <c:pt idx="1">
                  <c:v>712986.60000000009</c:v>
                </c:pt>
                <c:pt idx="2">
                  <c:v>974449.38079999993</c:v>
                </c:pt>
                <c:pt idx="3">
                  <c:v>1214251.719366333</c:v>
                </c:pt>
                <c:pt idx="4">
                  <c:v>1400919.3151285865</c:v>
                </c:pt>
              </c:numCache>
            </c:numRef>
          </c:val>
        </c:ser>
        <c:axId val="108271104"/>
        <c:axId val="108272640"/>
      </c:areaChart>
      <c:catAx>
        <c:axId val="108271104"/>
        <c:scaling>
          <c:orientation val="minMax"/>
        </c:scaling>
        <c:axPos val="b"/>
        <c:numFmt formatCode="#,##0_);\(#,##0\)" sourceLinked="1"/>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08272640"/>
        <c:crosses val="autoZero"/>
        <c:auto val="1"/>
        <c:lblAlgn val="ctr"/>
        <c:lblOffset val="100"/>
        <c:tickLblSkip val="1"/>
        <c:tickMarkSkip val="1"/>
      </c:catAx>
      <c:valAx>
        <c:axId val="108272640"/>
        <c:scaling>
          <c:orientation val="minMax"/>
        </c:scaling>
        <c:axPos val="l"/>
        <c:majorGridlines>
          <c:spPr>
            <a:ln w="3175">
              <a:solidFill>
                <a:srgbClr val="C0C0C0"/>
              </a:solidFill>
              <a:prstDash val="sysDash"/>
            </a:ln>
          </c:spPr>
        </c:majorGridlines>
        <c:numFmt formatCode="#,##0_);\(#,##0\)" sourceLinked="1"/>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08271104"/>
        <c:crosses val="autoZero"/>
        <c:crossBetween val="midCat"/>
      </c:valAx>
      <c:spPr>
        <a:noFill/>
        <a:ln w="25400">
          <a:noFill/>
        </a:ln>
      </c:spPr>
    </c:plotArea>
    <c:legend>
      <c:legendPos val="r"/>
      <c:layout>
        <c:manualLayout>
          <c:xMode val="edge"/>
          <c:yMode val="edge"/>
          <c:x val="0.71571083244224165"/>
          <c:y val="0.29611650485436952"/>
          <c:w val="0.25685778166618056"/>
          <c:h val="0.6893203883495147"/>
        </c:manualLayout>
      </c:layout>
      <c:spPr>
        <a:solidFill>
          <a:srgbClr val="FFFFFF"/>
        </a:solidFill>
        <a:ln w="3175">
          <a:solidFill>
            <a:srgbClr val="000000"/>
          </a:solidFill>
          <a:prstDash val="solid"/>
        </a:ln>
      </c:spPr>
      <c:txPr>
        <a:bodyPr/>
        <a:lstStyle/>
        <a:p>
          <a:pPr>
            <a:defRPr sz="385" b="0" i="0" u="none" strike="noStrike" baseline="0">
              <a:solidFill>
                <a:srgbClr val="000000"/>
              </a:solidFill>
              <a:latin typeface="Arial"/>
              <a:ea typeface="Arial"/>
              <a:cs typeface="Arial"/>
            </a:defRPr>
          </a:pPr>
          <a:endParaRPr lang="en-US"/>
        </a:p>
      </c:txPr>
    </c:legend>
    <c:plotVisOnly val="1"/>
    <c:dispBlanksAs val="zero"/>
  </c:chart>
  <c:spPr>
    <a:solidFill>
      <a:srgbClr val="FFFFFF"/>
    </a:solidFill>
    <a:ln w="9525">
      <a:noFill/>
    </a:ln>
  </c:spPr>
  <c:txPr>
    <a:bodyPr/>
    <a:lstStyle/>
    <a:p>
      <a:pPr>
        <a:defRPr sz="575"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sz="900" b="1" i="0" u="none" strike="noStrike" baseline="0">
                <a:solidFill>
                  <a:srgbClr val="000000"/>
                </a:solidFill>
                <a:latin typeface="Arial"/>
                <a:ea typeface="Arial"/>
                <a:cs typeface="Arial"/>
              </a:defRPr>
            </a:pPr>
            <a:r>
              <a:t>5-year EBITDA Summary</a:t>
            </a:r>
          </a:p>
        </c:rich>
      </c:tx>
      <c:layout>
        <c:manualLayout>
          <c:xMode val="edge"/>
          <c:yMode val="edge"/>
          <c:x val="0.30028328611898031"/>
          <c:y val="4.1841004184100396E-2"/>
        </c:manualLayout>
      </c:layout>
      <c:spPr>
        <a:noFill/>
        <a:ln w="25400">
          <a:noFill/>
        </a:ln>
      </c:spPr>
    </c:title>
    <c:plotArea>
      <c:layout>
        <c:manualLayout>
          <c:layoutTarget val="inner"/>
          <c:xMode val="edge"/>
          <c:yMode val="edge"/>
          <c:x val="0.2294617563739377"/>
          <c:y val="0.17154811715481191"/>
          <c:w val="0.71671388101983002"/>
          <c:h val="0.60251046025104549"/>
        </c:manualLayout>
      </c:layout>
      <c:barChart>
        <c:barDir val="col"/>
        <c:grouping val="stacked"/>
        <c:ser>
          <c:idx val="0"/>
          <c:order val="0"/>
          <c:tx>
            <c:v>Market w/o denovo</c:v>
          </c:tx>
          <c:spPr>
            <a:solidFill>
              <a:srgbClr val="9999FF"/>
            </a:solidFill>
            <a:ln w="25400">
              <a:noFill/>
            </a:ln>
          </c:spPr>
          <c:dPt>
            <c:idx val="0"/>
            <c:spPr>
              <a:solidFill>
                <a:srgbClr val="FFCC99"/>
              </a:solidFill>
              <a:ln w="25400">
                <a:noFill/>
              </a:ln>
            </c:spPr>
          </c:dPt>
          <c:dPt>
            <c:idx val="1"/>
            <c:spPr>
              <a:noFill/>
              <a:ln w="25400">
                <a:noFill/>
              </a:ln>
            </c:spPr>
          </c:dPt>
          <c:cat>
            <c:strRef>
              <c:f>'6.1 Chart'!$E$43:$E$45</c:f>
              <c:strCache>
                <c:ptCount val="3"/>
                <c:pt idx="0">
                  <c:v>Market w/o denovo</c:v>
                </c:pt>
                <c:pt idx="1">
                  <c:v>The denovo</c:v>
                </c:pt>
                <c:pt idx="2">
                  <c:v>Market w denovo</c:v>
                </c:pt>
              </c:strCache>
            </c:strRef>
          </c:cat>
          <c:val>
            <c:numRef>
              <c:f>'6.1 Chart'!$G$43:$G$45</c:f>
              <c:numCache>
                <c:formatCode>_(* #,##0_);_(* \(#,##0\);_(* "-"_);_(@_)</c:formatCode>
                <c:ptCount val="3"/>
                <c:pt idx="0">
                  <c:v>3597774.2250508862</c:v>
                </c:pt>
                <c:pt idx="1">
                  <c:v>-345960.58916728105</c:v>
                </c:pt>
                <c:pt idx="2">
                  <c:v>0</c:v>
                </c:pt>
              </c:numCache>
            </c:numRef>
          </c:val>
        </c:ser>
        <c:ser>
          <c:idx val="1"/>
          <c:order val="1"/>
          <c:tx>
            <c:v>Cannibalization</c:v>
          </c:tx>
          <c:spPr>
            <a:solidFill>
              <a:srgbClr val="FFFF99"/>
            </a:solidFill>
            <a:ln w="25400">
              <a:noFill/>
            </a:ln>
          </c:spPr>
          <c:dLbls>
            <c:dLbl>
              <c:idx val="0"/>
              <c:delete val="1"/>
            </c:dLbl>
            <c:dLbl>
              <c:idx val="2"/>
              <c:delete val="1"/>
            </c:dLbl>
            <c:spPr>
              <a:noFill/>
              <a:ln w="25400">
                <a:noFill/>
              </a:ln>
            </c:spPr>
            <c:txPr>
              <a:bodyPr/>
              <a:lstStyle/>
              <a:p>
                <a:pPr>
                  <a:defRPr sz="700" b="0" i="0" u="none" strike="noStrike" baseline="0">
                    <a:solidFill>
                      <a:srgbClr val="000000"/>
                    </a:solidFill>
                    <a:latin typeface="Arial"/>
                    <a:ea typeface="Arial"/>
                    <a:cs typeface="Arial"/>
                  </a:defRPr>
                </a:pPr>
                <a:endParaRPr lang="en-US"/>
              </a:p>
            </c:txPr>
            <c:showSerName val="1"/>
          </c:dLbls>
          <c:cat>
            <c:strRef>
              <c:f>'6.1 Chart'!$E$43:$E$45</c:f>
              <c:strCache>
                <c:ptCount val="3"/>
                <c:pt idx="0">
                  <c:v>Market w/o denovo</c:v>
                </c:pt>
                <c:pt idx="1">
                  <c:v>The denovo</c:v>
                </c:pt>
                <c:pt idx="2">
                  <c:v>Market w denovo</c:v>
                </c:pt>
              </c:strCache>
            </c:strRef>
          </c:cat>
          <c:val>
            <c:numRef>
              <c:f>'6.1 Chart'!$H$43:$H$45</c:f>
              <c:numCache>
                <c:formatCode>_(* #,##0_);_(* \(#,##0\);_(* "-"_);_(@_)</c:formatCode>
                <c:ptCount val="3"/>
                <c:pt idx="0">
                  <c:v>0</c:v>
                </c:pt>
                <c:pt idx="1">
                  <c:v>2923538.1230826555</c:v>
                </c:pt>
                <c:pt idx="2">
                  <c:v>0</c:v>
                </c:pt>
              </c:numCache>
            </c:numRef>
          </c:val>
        </c:ser>
        <c:ser>
          <c:idx val="2"/>
          <c:order val="2"/>
          <c:tx>
            <c:v>Market w denovo</c:v>
          </c:tx>
          <c:spPr>
            <a:solidFill>
              <a:srgbClr val="9999FF"/>
            </a:solidFill>
            <a:ln w="25400">
              <a:noFill/>
            </a:ln>
          </c:spPr>
          <c:cat>
            <c:strRef>
              <c:f>'6.1 Chart'!$E$43:$E$45</c:f>
              <c:strCache>
                <c:ptCount val="3"/>
                <c:pt idx="0">
                  <c:v>Market w/o denovo</c:v>
                </c:pt>
                <c:pt idx="1">
                  <c:v>The denovo</c:v>
                </c:pt>
                <c:pt idx="2">
                  <c:v>Market w denovo</c:v>
                </c:pt>
              </c:strCache>
            </c:strRef>
          </c:cat>
          <c:val>
            <c:numRef>
              <c:f>'6.1 Chart'!$J$43:$J$45</c:f>
              <c:numCache>
                <c:formatCode>_(* #,##0_);_(* \(#,##0\);_(* "-"_);_(@_)</c:formatCode>
                <c:ptCount val="3"/>
                <c:pt idx="0">
                  <c:v>0</c:v>
                </c:pt>
                <c:pt idx="1">
                  <c:v>0</c:v>
                </c:pt>
                <c:pt idx="2">
                  <c:v>2577577.5339153744</c:v>
                </c:pt>
              </c:numCache>
            </c:numRef>
          </c:val>
        </c:ser>
        <c:ser>
          <c:idx val="3"/>
          <c:order val="3"/>
          <c:tx>
            <c:v>Incremental</c:v>
          </c:tx>
          <c:spPr>
            <a:solidFill>
              <a:srgbClr val="CCFFCC"/>
            </a:solidFill>
            <a:ln w="25400">
              <a:noFill/>
            </a:ln>
          </c:spPr>
          <c:dLbls>
            <c:dLbl>
              <c:idx val="0"/>
              <c:delete val="1"/>
            </c:dLbl>
            <c:dLbl>
              <c:idx val="2"/>
              <c:delete val="1"/>
            </c:dLbl>
            <c:spPr>
              <a:noFill/>
              <a:ln w="25400">
                <a:noFill/>
              </a:ln>
            </c:spPr>
            <c:txPr>
              <a:bodyPr/>
              <a:lstStyle/>
              <a:p>
                <a:pPr>
                  <a:defRPr sz="700" b="0" i="0" u="none" strike="noStrike" baseline="0">
                    <a:solidFill>
                      <a:srgbClr val="000000"/>
                    </a:solidFill>
                    <a:latin typeface="Arial"/>
                    <a:ea typeface="Arial"/>
                    <a:cs typeface="Arial"/>
                  </a:defRPr>
                </a:pPr>
                <a:endParaRPr lang="en-US"/>
              </a:p>
            </c:txPr>
            <c:showSerName val="1"/>
          </c:dLbls>
          <c:cat>
            <c:strRef>
              <c:f>'6.1 Chart'!$E$43:$E$45</c:f>
              <c:strCache>
                <c:ptCount val="3"/>
                <c:pt idx="0">
                  <c:v>Market w/o denovo</c:v>
                </c:pt>
                <c:pt idx="1">
                  <c:v>The denovo</c:v>
                </c:pt>
                <c:pt idx="2">
                  <c:v>Market w denovo</c:v>
                </c:pt>
              </c:strCache>
            </c:strRef>
          </c:cat>
          <c:val>
            <c:numRef>
              <c:f>'6.1 Chart'!$I$43:$I$45</c:f>
              <c:numCache>
                <c:formatCode>_(* #,##0_);_(* \(#,##0\);_(* "-"_);_(@_)</c:formatCode>
                <c:ptCount val="3"/>
                <c:pt idx="0">
                  <c:v>0</c:v>
                </c:pt>
                <c:pt idx="1">
                  <c:v>0</c:v>
                </c:pt>
                <c:pt idx="2">
                  <c:v>0</c:v>
                </c:pt>
              </c:numCache>
            </c:numRef>
          </c:val>
        </c:ser>
        <c:overlap val="100"/>
        <c:axId val="162615680"/>
        <c:axId val="162617216"/>
      </c:barChart>
      <c:catAx>
        <c:axId val="162615680"/>
        <c:scaling>
          <c:orientation val="minMax"/>
        </c:scaling>
        <c:axPos val="b"/>
        <c:numFmt formatCode="General" sourceLinked="1"/>
        <c:tickLblPos val="low"/>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62617216"/>
        <c:crosses val="autoZero"/>
        <c:auto val="1"/>
        <c:lblAlgn val="ctr"/>
        <c:lblOffset val="100"/>
        <c:tickLblSkip val="1"/>
        <c:tickMarkSkip val="1"/>
      </c:catAx>
      <c:valAx>
        <c:axId val="162617216"/>
        <c:scaling>
          <c:orientation val="minMax"/>
          <c:min val="0"/>
        </c:scaling>
        <c:axPos val="l"/>
        <c:majorGridlines>
          <c:spPr>
            <a:ln w="3175">
              <a:solidFill>
                <a:srgbClr val="C0C0C0"/>
              </a:solidFill>
              <a:prstDash val="solid"/>
            </a:ln>
          </c:spPr>
        </c:majorGridlines>
        <c:numFmt formatCode="_(* #,##0_);_(* \(#,##0\);_(* &quot;-&quot;_);_(@_)" sourceLinked="1"/>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62615680"/>
        <c:crosses val="autoZero"/>
        <c:crossBetween val="between"/>
        <c:majorUnit val="1.7573249213370733E+17"/>
      </c:valAx>
      <c:spPr>
        <a:noFill/>
        <a:ln w="25400">
          <a:noFill/>
        </a:ln>
      </c:spPr>
    </c:plotArea>
    <c:dispBlanksAs val="gap"/>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orientation="landscape"/>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_rels/vmlDrawing25.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54</xdr:row>
      <xdr:rowOff>19050</xdr:rowOff>
    </xdr:to>
    <xdr:pic>
      <xdr:nvPicPr>
        <xdr:cNvPr id="7199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5943600" cy="8763000"/>
        </a:xfrm>
        <a:prstGeom prst="rect">
          <a:avLst/>
        </a:prstGeom>
        <a:noFill/>
        <a:ln w="9525">
          <a:noFill/>
          <a:miter lim="800000"/>
          <a:headEnd/>
          <a:tailEnd/>
        </a:ln>
      </xdr:spPr>
    </xdr:pic>
    <xdr:clientData/>
  </xdr:twoCellAnchor>
  <xdr:twoCellAnchor editAs="oneCell">
    <xdr:from>
      <xdr:col>0</xdr:col>
      <xdr:colOff>152400</xdr:colOff>
      <xdr:row>57</xdr:row>
      <xdr:rowOff>9525</xdr:rowOff>
    </xdr:from>
    <xdr:to>
      <xdr:col>10</xdr:col>
      <xdr:colOff>0</xdr:colOff>
      <xdr:row>68</xdr:row>
      <xdr:rowOff>142875</xdr:rowOff>
    </xdr:to>
    <xdr:pic>
      <xdr:nvPicPr>
        <xdr:cNvPr id="7199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52400" y="9239250"/>
          <a:ext cx="5943600" cy="19145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885825</xdr:colOff>
      <xdr:row>0</xdr:row>
      <xdr:rowOff>0</xdr:rowOff>
    </xdr:from>
    <xdr:to>
      <xdr:col>7</xdr:col>
      <xdr:colOff>390525</xdr:colOff>
      <xdr:row>0</xdr:row>
      <xdr:rowOff>0</xdr:rowOff>
    </xdr:to>
    <xdr:sp macro="" textlink="">
      <xdr:nvSpPr>
        <xdr:cNvPr id="1025" name="WordArt 1"/>
        <xdr:cNvSpPr>
          <a:spLocks noChangeArrowheads="1" noChangeShapeType="1" noTextEdit="1"/>
        </xdr:cNvSpPr>
      </xdr:nvSpPr>
      <xdr:spPr bwMode="auto">
        <a:xfrm>
          <a:off x="1390650" y="0"/>
          <a:ext cx="2933700" cy="0"/>
        </a:xfrm>
        <a:prstGeom prst="rect">
          <a:avLst/>
        </a:prstGeom>
      </xdr:spPr>
      <xdr:txBody>
        <a:bodyPr wrap="none" fromWordArt="1">
          <a:prstTxWarp prst="textPlain">
            <a:avLst>
              <a:gd name="adj" fmla="val 50000"/>
            </a:avLst>
          </a:prstTxWarp>
        </a:bodyPr>
        <a:lstStyle/>
        <a:p>
          <a:pPr algn="ctr" rtl="0"/>
          <a:r>
            <a:rPr lang="en-US" sz="2400" kern="10" spc="0">
              <a:ln w="9525">
                <a:solidFill>
                  <a:srgbClr val="000000"/>
                </a:solidFill>
                <a:round/>
                <a:headEnd/>
                <a:tailEnd/>
              </a:ln>
              <a:solidFill>
                <a:srgbClr val="FFFFFF"/>
              </a:solidFill>
              <a:effectLst/>
              <a:latin typeface="Arial Black"/>
            </a:rPr>
            <a:t>UNDER CONSTRUCTION</a:t>
          </a:r>
        </a:p>
      </xdr:txBody>
    </xdr:sp>
    <xdr:clientData/>
  </xdr:twoCellAnchor>
  <xdr:twoCellAnchor>
    <xdr:from>
      <xdr:col>3</xdr:col>
      <xdr:colOff>66675</xdr:colOff>
      <xdr:row>96</xdr:row>
      <xdr:rowOff>76200</xdr:rowOff>
    </xdr:from>
    <xdr:to>
      <xdr:col>6</xdr:col>
      <xdr:colOff>219075</xdr:colOff>
      <xdr:row>108</xdr:row>
      <xdr:rowOff>142875</xdr:rowOff>
    </xdr:to>
    <xdr:graphicFrame macro="">
      <xdr:nvGraphicFramePr>
        <xdr:cNvPr id="1946"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447675</xdr:colOff>
      <xdr:row>96</xdr:row>
      <xdr:rowOff>104775</xdr:rowOff>
    </xdr:from>
    <xdr:to>
      <xdr:col>11</xdr:col>
      <xdr:colOff>28575</xdr:colOff>
      <xdr:row>108</xdr:row>
      <xdr:rowOff>123825</xdr:rowOff>
    </xdr:to>
    <xdr:graphicFrame macro="">
      <xdr:nvGraphicFramePr>
        <xdr:cNvPr id="1947"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0</xdr:row>
      <xdr:rowOff>0</xdr:rowOff>
    </xdr:from>
    <xdr:to>
      <xdr:col>2</xdr:col>
      <xdr:colOff>104775</xdr:colOff>
      <xdr:row>0</xdr:row>
      <xdr:rowOff>0</xdr:rowOff>
    </xdr:to>
    <xdr:sp macro="" textlink="">
      <xdr:nvSpPr>
        <xdr:cNvPr id="199012" name="AutoShape 1"/>
        <xdr:cNvSpPr>
          <a:spLocks/>
        </xdr:cNvSpPr>
      </xdr:nvSpPr>
      <xdr:spPr bwMode="auto">
        <a:xfrm>
          <a:off x="390525" y="0"/>
          <a:ext cx="76200" cy="0"/>
        </a:xfrm>
        <a:prstGeom prst="leftBrace">
          <a:avLst>
            <a:gd name="adj1" fmla="val -2147483648"/>
            <a:gd name="adj2" fmla="val 50000"/>
          </a:avLst>
        </a:prstGeom>
        <a:noFill/>
        <a:ln w="9525">
          <a:solidFill>
            <a:srgbClr val="000000"/>
          </a:solidFill>
          <a:round/>
          <a:headEnd/>
          <a:tailEnd/>
        </a:ln>
      </xdr:spPr>
    </xdr:sp>
    <xdr:clientData/>
  </xdr:twoCellAnchor>
  <xdr:twoCellAnchor>
    <xdr:from>
      <xdr:col>2</xdr:col>
      <xdr:colOff>28575</xdr:colOff>
      <xdr:row>0</xdr:row>
      <xdr:rowOff>0</xdr:rowOff>
    </xdr:from>
    <xdr:to>
      <xdr:col>2</xdr:col>
      <xdr:colOff>28575</xdr:colOff>
      <xdr:row>0</xdr:row>
      <xdr:rowOff>0</xdr:rowOff>
    </xdr:to>
    <xdr:sp macro="" textlink="">
      <xdr:nvSpPr>
        <xdr:cNvPr id="199013" name="Line 2"/>
        <xdr:cNvSpPr>
          <a:spLocks noChangeShapeType="1"/>
        </xdr:cNvSpPr>
      </xdr:nvSpPr>
      <xdr:spPr bwMode="auto">
        <a:xfrm flipV="1">
          <a:off x="390525" y="0"/>
          <a:ext cx="0" cy="0"/>
        </a:xfrm>
        <a:prstGeom prst="line">
          <a:avLst/>
        </a:prstGeom>
        <a:noFill/>
        <a:ln w="9525">
          <a:solidFill>
            <a:srgbClr val="000000"/>
          </a:solidFill>
          <a:round/>
          <a:headEnd/>
          <a:tailEnd/>
        </a:ln>
      </xdr:spPr>
    </xdr:sp>
    <xdr:clientData/>
  </xdr:twoCellAnchor>
  <xdr:twoCellAnchor>
    <xdr:from>
      <xdr:col>2</xdr:col>
      <xdr:colOff>28575</xdr:colOff>
      <xdr:row>0</xdr:row>
      <xdr:rowOff>0</xdr:rowOff>
    </xdr:from>
    <xdr:to>
      <xdr:col>2</xdr:col>
      <xdr:colOff>104775</xdr:colOff>
      <xdr:row>0</xdr:row>
      <xdr:rowOff>0</xdr:rowOff>
    </xdr:to>
    <xdr:sp macro="" textlink="">
      <xdr:nvSpPr>
        <xdr:cNvPr id="199014" name="AutoShape 4"/>
        <xdr:cNvSpPr>
          <a:spLocks/>
        </xdr:cNvSpPr>
      </xdr:nvSpPr>
      <xdr:spPr bwMode="auto">
        <a:xfrm>
          <a:off x="390525" y="0"/>
          <a:ext cx="76200" cy="0"/>
        </a:xfrm>
        <a:prstGeom prst="leftBrace">
          <a:avLst>
            <a:gd name="adj1" fmla="val -2147483648"/>
            <a:gd name="adj2" fmla="val 50000"/>
          </a:avLst>
        </a:prstGeom>
        <a:noFill/>
        <a:ln w="9525">
          <a:solidFill>
            <a:srgbClr val="000000"/>
          </a:solidFill>
          <a:round/>
          <a:headEnd/>
          <a:tailEnd/>
        </a:ln>
      </xdr:spPr>
    </xdr:sp>
    <xdr:clientData/>
  </xdr:twoCellAnchor>
  <xdr:twoCellAnchor>
    <xdr:from>
      <xdr:col>2</xdr:col>
      <xdr:colOff>28575</xdr:colOff>
      <xdr:row>0</xdr:row>
      <xdr:rowOff>0</xdr:rowOff>
    </xdr:from>
    <xdr:to>
      <xdr:col>2</xdr:col>
      <xdr:colOff>28575</xdr:colOff>
      <xdr:row>0</xdr:row>
      <xdr:rowOff>0</xdr:rowOff>
    </xdr:to>
    <xdr:sp macro="" textlink="">
      <xdr:nvSpPr>
        <xdr:cNvPr id="199015" name="Line 5"/>
        <xdr:cNvSpPr>
          <a:spLocks noChangeShapeType="1"/>
        </xdr:cNvSpPr>
      </xdr:nvSpPr>
      <xdr:spPr bwMode="auto">
        <a:xfrm flipV="1">
          <a:off x="390525" y="0"/>
          <a:ext cx="0" cy="0"/>
        </a:xfrm>
        <a:prstGeom prst="line">
          <a:avLst/>
        </a:prstGeom>
        <a:no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28575</xdr:colOff>
      <xdr:row>4</xdr:row>
      <xdr:rowOff>19050</xdr:rowOff>
    </xdr:from>
    <xdr:to>
      <xdr:col>13</xdr:col>
      <xdr:colOff>419100</xdr:colOff>
      <xdr:row>7</xdr:row>
      <xdr:rowOff>0</xdr:rowOff>
    </xdr:to>
    <xdr:grpSp>
      <xdr:nvGrpSpPr>
        <xdr:cNvPr id="560405" name="Group 3"/>
        <xdr:cNvGrpSpPr>
          <a:grpSpLocks/>
        </xdr:cNvGrpSpPr>
      </xdr:nvGrpSpPr>
      <xdr:grpSpPr bwMode="auto">
        <a:xfrm>
          <a:off x="7407275" y="692150"/>
          <a:ext cx="2828925" cy="476250"/>
          <a:chOff x="7407275" y="692150"/>
          <a:chExt cx="2833158" cy="476250"/>
        </a:xfrm>
      </xdr:grpSpPr>
      <xdr:sp macro="" textlink="">
        <xdr:nvSpPr>
          <xdr:cNvPr id="560406" name="Right Brace 1"/>
          <xdr:cNvSpPr>
            <a:spLocks/>
          </xdr:cNvSpPr>
        </xdr:nvSpPr>
        <xdr:spPr bwMode="auto">
          <a:xfrm>
            <a:off x="7407275" y="692150"/>
            <a:ext cx="104775" cy="476250"/>
          </a:xfrm>
          <a:prstGeom prst="rightBrace">
            <a:avLst>
              <a:gd name="adj1" fmla="val 8144"/>
              <a:gd name="adj2" fmla="val 50000"/>
            </a:avLst>
          </a:prstGeom>
          <a:solidFill>
            <a:srgbClr val="FFFFFF"/>
          </a:solidFill>
          <a:ln w="9525" algn="ctr">
            <a:solidFill>
              <a:srgbClr val="000000"/>
            </a:solidFill>
            <a:round/>
            <a:headEnd/>
            <a:tailEnd/>
          </a:ln>
        </xdr:spPr>
      </xdr:sp>
      <xdr:sp macro="" textlink="">
        <xdr:nvSpPr>
          <xdr:cNvPr id="4" name="TextBox 3"/>
          <xdr:cNvSpPr txBox="1"/>
        </xdr:nvSpPr>
        <xdr:spPr>
          <a:xfrm>
            <a:off x="7569990" y="740747"/>
            <a:ext cx="2670443" cy="398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lang="en-US" sz="800" b="1" u="sng">
                <a:latin typeface="Arial" pitchFamily="34" charset="0"/>
                <a:cs typeface="Arial" pitchFamily="34" charset="0"/>
              </a:rPr>
              <a:t>CAVEAT</a:t>
            </a:r>
            <a:r>
              <a:rPr lang="en-US" sz="800" b="1">
                <a:latin typeface="Arial" pitchFamily="34" charset="0"/>
                <a:cs typeface="Arial" pitchFamily="34" charset="0"/>
              </a:rPr>
              <a:t>: missed tx rates can vary substantially depending on the location; to be reviewed by OPS</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152400</xdr:colOff>
      <xdr:row>0</xdr:row>
      <xdr:rowOff>0</xdr:rowOff>
    </xdr:from>
    <xdr:to>
      <xdr:col>24</xdr:col>
      <xdr:colOff>114300</xdr:colOff>
      <xdr:row>0</xdr:row>
      <xdr:rowOff>0</xdr:rowOff>
    </xdr:to>
    <xdr:sp macro="" textlink="">
      <xdr:nvSpPr>
        <xdr:cNvPr id="6145" name="Text Box 1"/>
        <xdr:cNvSpPr txBox="1">
          <a:spLocks noChangeArrowheads="1"/>
        </xdr:cNvSpPr>
      </xdr:nvSpPr>
      <xdr:spPr bwMode="auto">
        <a:xfrm>
          <a:off x="5953125" y="0"/>
          <a:ext cx="3448050" cy="0"/>
        </a:xfrm>
        <a:prstGeom prst="rect">
          <a:avLst/>
        </a:prstGeom>
        <a:solidFill>
          <a:srgbClr val="FFFFFF"/>
        </a:solidFill>
        <a:ln w="9525">
          <a:solidFill>
            <a:srgbClr val="000000"/>
          </a:solidFill>
          <a:miter lim="800000"/>
          <a:headEnd/>
          <a:tailEnd/>
        </a:ln>
      </xdr:spPr>
      <xdr:txBody>
        <a:bodyPr vertOverflow="clip" wrap="square" lIns="45720" tIns="41148" rIns="0" bIns="0" anchor="t" upright="1"/>
        <a:lstStyle/>
        <a:p>
          <a:pPr algn="l" rtl="0">
            <a:defRPr sz="1000"/>
          </a:pPr>
          <a:r>
            <a:rPr lang="en-US" sz="2200" b="1" i="0" u="none" strike="noStrike" baseline="0">
              <a:solidFill>
                <a:srgbClr val="000000"/>
              </a:solidFill>
              <a:latin typeface="Arial"/>
              <a:cs typeface="Arial"/>
            </a:rPr>
            <a:t>format to print</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3</xdr:col>
      <xdr:colOff>0</xdr:colOff>
      <xdr:row>0</xdr:row>
      <xdr:rowOff>0</xdr:rowOff>
    </xdr:from>
    <xdr:to>
      <xdr:col>3</xdr:col>
      <xdr:colOff>0</xdr:colOff>
      <xdr:row>0</xdr:row>
      <xdr:rowOff>0</xdr:rowOff>
    </xdr:to>
    <xdr:sp macro="" textlink="">
      <xdr:nvSpPr>
        <xdr:cNvPr id="6176" name="Text Box 32"/>
        <xdr:cNvSpPr txBox="1">
          <a:spLocks noChangeArrowheads="1"/>
        </xdr:cNvSpPr>
      </xdr:nvSpPr>
      <xdr:spPr bwMode="auto">
        <a:xfrm>
          <a:off x="542925" y="0"/>
          <a:ext cx="0" cy="0"/>
        </a:xfrm>
        <a:prstGeom prst="rect">
          <a:avLst/>
        </a:prstGeom>
        <a:solidFill>
          <a:srgbClr val="FFFFFF"/>
        </a:solidFill>
        <a:ln w="9525">
          <a:solidFill>
            <a:srgbClr val="000000"/>
          </a:solidFill>
          <a:miter lim="800000"/>
          <a:headEnd/>
          <a:tailEnd/>
        </a:ln>
      </xdr:spPr>
      <xdr:txBody>
        <a:bodyPr vertOverflow="clip" wrap="square" lIns="45720" tIns="41148" rIns="0" bIns="0" anchor="t" upright="1"/>
        <a:lstStyle/>
        <a:p>
          <a:pPr algn="l" rtl="0">
            <a:defRPr sz="1000"/>
          </a:pPr>
          <a:r>
            <a:rPr lang="en-US" sz="2200" b="1" i="0" u="none" strike="noStrike" baseline="0">
              <a:solidFill>
                <a:srgbClr val="000000"/>
              </a:solidFill>
              <a:latin typeface="Arial"/>
              <a:cs typeface="Arial"/>
            </a:rPr>
            <a:t>format to print</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3</xdr:col>
      <xdr:colOff>0</xdr:colOff>
      <xdr:row>0</xdr:row>
      <xdr:rowOff>0</xdr:rowOff>
    </xdr:from>
    <xdr:to>
      <xdr:col>3</xdr:col>
      <xdr:colOff>0</xdr:colOff>
      <xdr:row>0</xdr:row>
      <xdr:rowOff>0</xdr:rowOff>
    </xdr:to>
    <xdr:sp macro="" textlink="">
      <xdr:nvSpPr>
        <xdr:cNvPr id="6178" name="Text Box 34"/>
        <xdr:cNvSpPr txBox="1">
          <a:spLocks noChangeArrowheads="1"/>
        </xdr:cNvSpPr>
      </xdr:nvSpPr>
      <xdr:spPr bwMode="auto">
        <a:xfrm>
          <a:off x="542925" y="0"/>
          <a:ext cx="0" cy="0"/>
        </a:xfrm>
        <a:prstGeom prst="rect">
          <a:avLst/>
        </a:prstGeom>
        <a:solidFill>
          <a:srgbClr val="FFFFFF"/>
        </a:solidFill>
        <a:ln w="9525">
          <a:solidFill>
            <a:srgbClr val="000000"/>
          </a:solidFill>
          <a:miter lim="800000"/>
          <a:headEnd/>
          <a:tailEnd/>
        </a:ln>
      </xdr:spPr>
      <xdr:txBody>
        <a:bodyPr vertOverflow="clip" wrap="square" lIns="45720" tIns="41148" rIns="0" bIns="0" anchor="t" upright="1"/>
        <a:lstStyle/>
        <a:p>
          <a:pPr algn="l" rtl="0">
            <a:defRPr sz="1000"/>
          </a:pPr>
          <a:r>
            <a:rPr lang="en-US" sz="2200" b="1" i="0" u="none" strike="noStrike" baseline="0">
              <a:solidFill>
                <a:srgbClr val="000000"/>
              </a:solidFill>
              <a:latin typeface="Arial"/>
              <a:cs typeface="Arial"/>
            </a:rPr>
            <a:t>format to print</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76200</xdr:colOff>
      <xdr:row>1</xdr:row>
      <xdr:rowOff>123825</xdr:rowOff>
    </xdr:from>
    <xdr:to>
      <xdr:col>16</xdr:col>
      <xdr:colOff>400050</xdr:colOff>
      <xdr:row>46</xdr:row>
      <xdr:rowOff>57150</xdr:rowOff>
    </xdr:to>
    <xdr:pic>
      <xdr:nvPicPr>
        <xdr:cNvPr id="72501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57175" y="266700"/>
          <a:ext cx="9039225" cy="636270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571500</xdr:colOff>
      <xdr:row>3</xdr:row>
      <xdr:rowOff>85725</xdr:rowOff>
    </xdr:from>
    <xdr:to>
      <xdr:col>12</xdr:col>
      <xdr:colOff>361950</xdr:colOff>
      <xdr:row>19</xdr:row>
      <xdr:rowOff>76200</xdr:rowOff>
    </xdr:to>
    <xdr:graphicFrame macro="">
      <xdr:nvGraphicFramePr>
        <xdr:cNvPr id="8604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pt/Team%20Genesis/Analytics/Relocations/Chesterton%20RE/DRAFT%202418%20Chesterton%20RE%2012-29-11%20v7.0_w%20493&amp;182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recision-win7\Users\Temp\Temporary%20Internet%20Files\OLK3D6\DRAFT%20Model%20Template_SOR%2006-30-08%20v5.2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recision-win7\Users\DOCUME~1\cgoswami\LOCALS~1\Temp\Temporary%20Directory%201%20for%20Beckley%20JV%20DN%2007-30-10%20v6%200%202010-07-19.zip\Sample%20DeNovo%20Template%20v6.0%202010-01-2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ahix/My%20Documents/Team%20Fusion/Divisions/Lakeshore/Models/LaPorte/1.6.14_DRAFT%20La%20Porte%20JV%20DN%2001-03-14%20v7.6_post-PSA.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Hyperion Panel"/>
      <sheetName val="Upload"/>
      <sheetName val="Upload Detail"/>
      <sheetName val="Upload_Tx"/>
      <sheetName val="7.0 Levered Returns"/>
      <sheetName val="Zang format"/>
      <sheetName val="PtrMonthlyCF"/>
      <sheetName val="JV Pmnt Sched"/>
      <sheetName val="Txs"/>
      <sheetName val="PtrBS"/>
      <sheetName val="PtrIS"/>
      <sheetName val="PtrCF OUTPUT"/>
      <sheetName val="PtrCF"/>
      <sheetName val="Intro"/>
      <sheetName val="Process Flow"/>
      <sheetName val="Acronyms"/>
      <sheetName val="Finance Terms"/>
      <sheetName val="1Tab_Input"/>
      <sheetName val="1.0 Summary"/>
      <sheetName val="1.1 Parents"/>
      <sheetName val="1.2 OmniTot"/>
      <sheetName val="1.2 EssPL"/>
      <sheetName val="1.3 OmniBal"/>
      <sheetName val="1.3 EssBS"/>
      <sheetName val="2.0 Patients"/>
      <sheetName val="ESRD_CAGR"/>
      <sheetName val="2.1 Reimburse"/>
      <sheetName val="2.2 Staffing"/>
      <sheetName val="2.3 Expenses"/>
      <sheetName val="P&amp;L Line Items"/>
      <sheetName val="Alamo SF"/>
      <sheetName val="2.4 HHD"/>
      <sheetName val="3. CapEx"/>
      <sheetName val="Cap Ex Units"/>
      <sheetName val="Cap Ex Pricing"/>
      <sheetName val="4. Scenarios"/>
      <sheetName val="5. Financials"/>
      <sheetName val="6. Market"/>
      <sheetName val="VMM CoC"/>
      <sheetName val="SOR"/>
      <sheetName val="CON"/>
      <sheetName val="DVA RE by State"/>
      <sheetName val="RevPerTxCalc"/>
      <sheetName val="System"/>
      <sheetName val="BainData"/>
      <sheetName val="Timeline"/>
      <sheetName val="6.1 Chart"/>
    </sheetNames>
    <sheetDataSet>
      <sheetData sheetId="0"/>
      <sheetData sheetId="1"/>
      <sheetData sheetId="2"/>
      <sheetData sheetId="3">
        <row r="17">
          <cell r="D17" t="str">
            <v>Month 1</v>
          </cell>
          <cell r="F17">
            <v>51</v>
          </cell>
          <cell r="G17">
            <v>6</v>
          </cell>
          <cell r="H17">
            <v>51</v>
          </cell>
          <cell r="I17">
            <v>6</v>
          </cell>
          <cell r="J17">
            <v>51</v>
          </cell>
          <cell r="K17">
            <v>6</v>
          </cell>
          <cell r="L17">
            <v>51</v>
          </cell>
          <cell r="M17">
            <v>6</v>
          </cell>
          <cell r="N17">
            <v>51</v>
          </cell>
          <cell r="O17">
            <v>6</v>
          </cell>
          <cell r="Q17">
            <v>7</v>
          </cell>
          <cell r="R17">
            <v>3</v>
          </cell>
          <cell r="S17">
            <v>7</v>
          </cell>
          <cell r="T17">
            <v>3</v>
          </cell>
          <cell r="U17">
            <v>7</v>
          </cell>
          <cell r="V17">
            <v>3</v>
          </cell>
          <cell r="W17">
            <v>7</v>
          </cell>
          <cell r="X17">
            <v>3</v>
          </cell>
          <cell r="Y17">
            <v>7</v>
          </cell>
          <cell r="Z17">
            <v>3</v>
          </cell>
          <cell r="AB17">
            <v>0</v>
          </cell>
          <cell r="AC17">
            <v>0</v>
          </cell>
          <cell r="AD17">
            <v>0</v>
          </cell>
          <cell r="AE17">
            <v>0</v>
          </cell>
          <cell r="AF17">
            <v>0</v>
          </cell>
          <cell r="AG17">
            <v>0</v>
          </cell>
          <cell r="AH17">
            <v>0</v>
          </cell>
          <cell r="AI17">
            <v>0</v>
          </cell>
          <cell r="AJ17">
            <v>0</v>
          </cell>
          <cell r="AK17">
            <v>0</v>
          </cell>
        </row>
        <row r="18">
          <cell r="D18" t="str">
            <v>Month 2</v>
          </cell>
          <cell r="F18">
            <v>51</v>
          </cell>
          <cell r="G18">
            <v>6</v>
          </cell>
          <cell r="H18">
            <v>51</v>
          </cell>
          <cell r="I18">
            <v>6</v>
          </cell>
          <cell r="J18">
            <v>51</v>
          </cell>
          <cell r="K18">
            <v>6</v>
          </cell>
          <cell r="L18">
            <v>51</v>
          </cell>
          <cell r="M18">
            <v>6</v>
          </cell>
          <cell r="N18">
            <v>51</v>
          </cell>
          <cell r="O18">
            <v>6</v>
          </cell>
          <cell r="Q18">
            <v>7</v>
          </cell>
          <cell r="R18">
            <v>3</v>
          </cell>
          <cell r="S18">
            <v>7</v>
          </cell>
          <cell r="T18">
            <v>3</v>
          </cell>
          <cell r="U18">
            <v>7</v>
          </cell>
          <cell r="V18">
            <v>3</v>
          </cell>
          <cell r="W18">
            <v>7</v>
          </cell>
          <cell r="X18">
            <v>3</v>
          </cell>
          <cell r="Y18">
            <v>7</v>
          </cell>
          <cell r="Z18">
            <v>3</v>
          </cell>
          <cell r="AB18">
            <v>0</v>
          </cell>
          <cell r="AC18">
            <v>0</v>
          </cell>
          <cell r="AD18">
            <v>0</v>
          </cell>
          <cell r="AE18">
            <v>0</v>
          </cell>
          <cell r="AF18">
            <v>0</v>
          </cell>
          <cell r="AG18">
            <v>0</v>
          </cell>
          <cell r="AH18">
            <v>0</v>
          </cell>
          <cell r="AI18">
            <v>0</v>
          </cell>
          <cell r="AJ18">
            <v>0</v>
          </cell>
          <cell r="AK18">
            <v>0</v>
          </cell>
        </row>
        <row r="19">
          <cell r="D19" t="str">
            <v>Month 3</v>
          </cell>
          <cell r="F19">
            <v>51</v>
          </cell>
          <cell r="G19">
            <v>6</v>
          </cell>
          <cell r="H19">
            <v>51</v>
          </cell>
          <cell r="I19">
            <v>6</v>
          </cell>
          <cell r="J19">
            <v>51</v>
          </cell>
          <cell r="K19">
            <v>6</v>
          </cell>
          <cell r="L19">
            <v>51</v>
          </cell>
          <cell r="M19">
            <v>6</v>
          </cell>
          <cell r="N19">
            <v>51</v>
          </cell>
          <cell r="O19">
            <v>6</v>
          </cell>
          <cell r="Q19">
            <v>7</v>
          </cell>
          <cell r="R19">
            <v>3</v>
          </cell>
          <cell r="S19">
            <v>7</v>
          </cell>
          <cell r="T19">
            <v>3</v>
          </cell>
          <cell r="U19">
            <v>7</v>
          </cell>
          <cell r="V19">
            <v>3</v>
          </cell>
          <cell r="W19">
            <v>7</v>
          </cell>
          <cell r="X19">
            <v>3</v>
          </cell>
          <cell r="Y19">
            <v>7</v>
          </cell>
          <cell r="Z19">
            <v>3</v>
          </cell>
          <cell r="AB19">
            <v>0</v>
          </cell>
          <cell r="AC19">
            <v>0</v>
          </cell>
          <cell r="AD19">
            <v>0</v>
          </cell>
          <cell r="AE19">
            <v>0</v>
          </cell>
          <cell r="AF19">
            <v>0</v>
          </cell>
          <cell r="AG19">
            <v>0</v>
          </cell>
          <cell r="AH19">
            <v>0</v>
          </cell>
          <cell r="AI19">
            <v>0</v>
          </cell>
          <cell r="AJ19">
            <v>0</v>
          </cell>
          <cell r="AK19">
            <v>0</v>
          </cell>
        </row>
        <row r="20">
          <cell r="D20" t="str">
            <v>Month 4</v>
          </cell>
          <cell r="F20">
            <v>51</v>
          </cell>
          <cell r="G20">
            <v>6</v>
          </cell>
          <cell r="H20">
            <v>51</v>
          </cell>
          <cell r="I20">
            <v>6</v>
          </cell>
          <cell r="J20">
            <v>51</v>
          </cell>
          <cell r="K20">
            <v>6</v>
          </cell>
          <cell r="L20">
            <v>51</v>
          </cell>
          <cell r="M20">
            <v>6</v>
          </cell>
          <cell r="N20">
            <v>51</v>
          </cell>
          <cell r="O20">
            <v>6</v>
          </cell>
          <cell r="Q20">
            <v>7</v>
          </cell>
          <cell r="R20">
            <v>3</v>
          </cell>
          <cell r="S20">
            <v>7</v>
          </cell>
          <cell r="T20">
            <v>3</v>
          </cell>
          <cell r="U20">
            <v>7</v>
          </cell>
          <cell r="V20">
            <v>3</v>
          </cell>
          <cell r="W20">
            <v>7</v>
          </cell>
          <cell r="X20">
            <v>3</v>
          </cell>
          <cell r="Y20">
            <v>7</v>
          </cell>
          <cell r="Z20">
            <v>3</v>
          </cell>
          <cell r="AB20">
            <v>0</v>
          </cell>
          <cell r="AC20">
            <v>0</v>
          </cell>
          <cell r="AD20">
            <v>0</v>
          </cell>
          <cell r="AE20">
            <v>0</v>
          </cell>
          <cell r="AF20">
            <v>0</v>
          </cell>
          <cell r="AG20">
            <v>0</v>
          </cell>
          <cell r="AH20">
            <v>0</v>
          </cell>
          <cell r="AI20">
            <v>0</v>
          </cell>
          <cell r="AJ20">
            <v>0</v>
          </cell>
          <cell r="AK20">
            <v>0</v>
          </cell>
        </row>
        <row r="21">
          <cell r="D21" t="str">
            <v>Month 5</v>
          </cell>
          <cell r="F21">
            <v>51</v>
          </cell>
          <cell r="G21">
            <v>6</v>
          </cell>
          <cell r="H21">
            <v>51</v>
          </cell>
          <cell r="I21">
            <v>6</v>
          </cell>
          <cell r="J21">
            <v>51</v>
          </cell>
          <cell r="K21">
            <v>6</v>
          </cell>
          <cell r="L21">
            <v>51</v>
          </cell>
          <cell r="M21">
            <v>6</v>
          </cell>
          <cell r="N21">
            <v>51</v>
          </cell>
          <cell r="O21">
            <v>6</v>
          </cell>
          <cell r="Q21">
            <v>7</v>
          </cell>
          <cell r="R21">
            <v>3</v>
          </cell>
          <cell r="S21">
            <v>7</v>
          </cell>
          <cell r="T21">
            <v>3</v>
          </cell>
          <cell r="U21">
            <v>7</v>
          </cell>
          <cell r="V21">
            <v>3</v>
          </cell>
          <cell r="W21">
            <v>7</v>
          </cell>
          <cell r="X21">
            <v>3</v>
          </cell>
          <cell r="Y21">
            <v>7</v>
          </cell>
          <cell r="Z21">
            <v>3</v>
          </cell>
          <cell r="AB21">
            <v>0</v>
          </cell>
          <cell r="AC21">
            <v>0</v>
          </cell>
          <cell r="AD21">
            <v>0</v>
          </cell>
          <cell r="AE21">
            <v>0</v>
          </cell>
          <cell r="AF21">
            <v>0</v>
          </cell>
          <cell r="AG21">
            <v>0</v>
          </cell>
          <cell r="AH21">
            <v>0</v>
          </cell>
          <cell r="AI21">
            <v>0</v>
          </cell>
          <cell r="AJ21">
            <v>0</v>
          </cell>
          <cell r="AK21">
            <v>0</v>
          </cell>
        </row>
        <row r="22">
          <cell r="D22" t="str">
            <v>Month 6</v>
          </cell>
          <cell r="F22">
            <v>51</v>
          </cell>
          <cell r="G22">
            <v>6</v>
          </cell>
          <cell r="H22">
            <v>51</v>
          </cell>
          <cell r="I22">
            <v>6</v>
          </cell>
          <cell r="J22">
            <v>51</v>
          </cell>
          <cell r="K22">
            <v>6</v>
          </cell>
          <cell r="L22">
            <v>51</v>
          </cell>
          <cell r="M22">
            <v>6</v>
          </cell>
          <cell r="N22">
            <v>51</v>
          </cell>
          <cell r="O22">
            <v>6</v>
          </cell>
          <cell r="Q22">
            <v>7</v>
          </cell>
          <cell r="R22">
            <v>3</v>
          </cell>
          <cell r="S22">
            <v>7</v>
          </cell>
          <cell r="T22">
            <v>3</v>
          </cell>
          <cell r="U22">
            <v>7</v>
          </cell>
          <cell r="V22">
            <v>3</v>
          </cell>
          <cell r="W22">
            <v>7</v>
          </cell>
          <cell r="X22">
            <v>3</v>
          </cell>
          <cell r="Y22">
            <v>7</v>
          </cell>
          <cell r="Z22">
            <v>3</v>
          </cell>
          <cell r="AB22">
            <v>0</v>
          </cell>
          <cell r="AC22">
            <v>0</v>
          </cell>
          <cell r="AD22">
            <v>0</v>
          </cell>
          <cell r="AE22">
            <v>0</v>
          </cell>
          <cell r="AF22">
            <v>0</v>
          </cell>
          <cell r="AG22">
            <v>0</v>
          </cell>
          <cell r="AH22">
            <v>0</v>
          </cell>
          <cell r="AI22">
            <v>0</v>
          </cell>
          <cell r="AJ22">
            <v>0</v>
          </cell>
          <cell r="AK22">
            <v>0</v>
          </cell>
        </row>
        <row r="23">
          <cell r="D23" t="str">
            <v>Month 7</v>
          </cell>
          <cell r="F23">
            <v>51</v>
          </cell>
          <cell r="G23">
            <v>6</v>
          </cell>
          <cell r="H23">
            <v>51</v>
          </cell>
          <cell r="I23">
            <v>6</v>
          </cell>
          <cell r="J23">
            <v>51</v>
          </cell>
          <cell r="K23">
            <v>6</v>
          </cell>
          <cell r="L23">
            <v>51</v>
          </cell>
          <cell r="M23">
            <v>6</v>
          </cell>
          <cell r="N23">
            <v>51</v>
          </cell>
          <cell r="O23">
            <v>6</v>
          </cell>
          <cell r="Q23">
            <v>7</v>
          </cell>
          <cell r="R23">
            <v>3</v>
          </cell>
          <cell r="S23">
            <v>7</v>
          </cell>
          <cell r="T23">
            <v>3</v>
          </cell>
          <cell r="U23">
            <v>7</v>
          </cell>
          <cell r="V23">
            <v>3</v>
          </cell>
          <cell r="W23">
            <v>7</v>
          </cell>
          <cell r="X23">
            <v>3</v>
          </cell>
          <cell r="Y23">
            <v>7</v>
          </cell>
          <cell r="Z23">
            <v>3</v>
          </cell>
          <cell r="AB23">
            <v>0</v>
          </cell>
          <cell r="AC23">
            <v>0</v>
          </cell>
          <cell r="AD23">
            <v>0</v>
          </cell>
          <cell r="AE23">
            <v>0</v>
          </cell>
          <cell r="AF23">
            <v>0</v>
          </cell>
          <cell r="AG23">
            <v>0</v>
          </cell>
          <cell r="AH23">
            <v>0</v>
          </cell>
          <cell r="AI23">
            <v>0</v>
          </cell>
          <cell r="AJ23">
            <v>0</v>
          </cell>
          <cell r="AK23">
            <v>0</v>
          </cell>
        </row>
        <row r="24">
          <cell r="D24" t="str">
            <v>Month 8</v>
          </cell>
          <cell r="F24">
            <v>51</v>
          </cell>
          <cell r="G24">
            <v>6</v>
          </cell>
          <cell r="H24">
            <v>51</v>
          </cell>
          <cell r="I24">
            <v>6</v>
          </cell>
          <cell r="J24">
            <v>51</v>
          </cell>
          <cell r="K24">
            <v>6</v>
          </cell>
          <cell r="L24">
            <v>51</v>
          </cell>
          <cell r="M24">
            <v>6</v>
          </cell>
          <cell r="N24">
            <v>51</v>
          </cell>
          <cell r="O24">
            <v>6</v>
          </cell>
          <cell r="Q24">
            <v>7</v>
          </cell>
          <cell r="R24">
            <v>3</v>
          </cell>
          <cell r="S24">
            <v>7</v>
          </cell>
          <cell r="T24">
            <v>3</v>
          </cell>
          <cell r="U24">
            <v>7</v>
          </cell>
          <cell r="V24">
            <v>3</v>
          </cell>
          <cell r="W24">
            <v>7</v>
          </cell>
          <cell r="X24">
            <v>3</v>
          </cell>
          <cell r="Y24">
            <v>7</v>
          </cell>
          <cell r="Z24">
            <v>3</v>
          </cell>
          <cell r="AB24">
            <v>0</v>
          </cell>
          <cell r="AC24">
            <v>0</v>
          </cell>
          <cell r="AD24">
            <v>0</v>
          </cell>
          <cell r="AE24">
            <v>0</v>
          </cell>
          <cell r="AF24">
            <v>0</v>
          </cell>
          <cell r="AG24">
            <v>0</v>
          </cell>
          <cell r="AH24">
            <v>0</v>
          </cell>
          <cell r="AI24">
            <v>0</v>
          </cell>
          <cell r="AJ24">
            <v>0</v>
          </cell>
          <cell r="AK24">
            <v>0</v>
          </cell>
        </row>
        <row r="25">
          <cell r="D25" t="str">
            <v>Month 9</v>
          </cell>
          <cell r="F25">
            <v>51</v>
          </cell>
          <cell r="G25">
            <v>6</v>
          </cell>
          <cell r="H25">
            <v>51</v>
          </cell>
          <cell r="I25">
            <v>6</v>
          </cell>
          <cell r="J25">
            <v>51</v>
          </cell>
          <cell r="K25">
            <v>6</v>
          </cell>
          <cell r="L25">
            <v>51</v>
          </cell>
          <cell r="M25">
            <v>6</v>
          </cell>
          <cell r="N25">
            <v>51</v>
          </cell>
          <cell r="O25">
            <v>6</v>
          </cell>
          <cell r="Q25">
            <v>7</v>
          </cell>
          <cell r="R25">
            <v>3</v>
          </cell>
          <cell r="S25">
            <v>7</v>
          </cell>
          <cell r="T25">
            <v>3</v>
          </cell>
          <cell r="U25">
            <v>7</v>
          </cell>
          <cell r="V25">
            <v>3</v>
          </cell>
          <cell r="W25">
            <v>7</v>
          </cell>
          <cell r="X25">
            <v>3</v>
          </cell>
          <cell r="Y25">
            <v>7</v>
          </cell>
          <cell r="Z25">
            <v>3</v>
          </cell>
          <cell r="AB25">
            <v>0</v>
          </cell>
          <cell r="AC25">
            <v>0</v>
          </cell>
          <cell r="AD25">
            <v>0</v>
          </cell>
          <cell r="AE25">
            <v>0</v>
          </cell>
          <cell r="AF25">
            <v>0</v>
          </cell>
          <cell r="AG25">
            <v>0</v>
          </cell>
          <cell r="AH25">
            <v>0</v>
          </cell>
          <cell r="AI25">
            <v>0</v>
          </cell>
          <cell r="AJ25">
            <v>0</v>
          </cell>
          <cell r="AK25">
            <v>0</v>
          </cell>
        </row>
        <row r="26">
          <cell r="D26" t="str">
            <v>Month 10</v>
          </cell>
          <cell r="F26">
            <v>51</v>
          </cell>
          <cell r="G26">
            <v>6</v>
          </cell>
          <cell r="H26">
            <v>51</v>
          </cell>
          <cell r="I26">
            <v>6</v>
          </cell>
          <cell r="J26">
            <v>51</v>
          </cell>
          <cell r="K26">
            <v>6</v>
          </cell>
          <cell r="L26">
            <v>51</v>
          </cell>
          <cell r="M26">
            <v>6</v>
          </cell>
          <cell r="N26">
            <v>51</v>
          </cell>
          <cell r="O26">
            <v>6</v>
          </cell>
          <cell r="Q26">
            <v>7</v>
          </cell>
          <cell r="R26">
            <v>3</v>
          </cell>
          <cell r="S26">
            <v>7</v>
          </cell>
          <cell r="T26">
            <v>3</v>
          </cell>
          <cell r="U26">
            <v>7</v>
          </cell>
          <cell r="V26">
            <v>3</v>
          </cell>
          <cell r="W26">
            <v>7</v>
          </cell>
          <cell r="X26">
            <v>3</v>
          </cell>
          <cell r="Y26">
            <v>7</v>
          </cell>
          <cell r="Z26">
            <v>3</v>
          </cell>
          <cell r="AB26">
            <v>0</v>
          </cell>
          <cell r="AC26">
            <v>0</v>
          </cell>
          <cell r="AD26">
            <v>0</v>
          </cell>
          <cell r="AE26">
            <v>0</v>
          </cell>
          <cell r="AF26">
            <v>0</v>
          </cell>
          <cell r="AG26">
            <v>0</v>
          </cell>
          <cell r="AH26">
            <v>0</v>
          </cell>
          <cell r="AI26">
            <v>0</v>
          </cell>
          <cell r="AJ26">
            <v>0</v>
          </cell>
          <cell r="AK26">
            <v>0</v>
          </cell>
        </row>
        <row r="27">
          <cell r="D27" t="str">
            <v>Month 11</v>
          </cell>
          <cell r="F27">
            <v>51</v>
          </cell>
          <cell r="G27">
            <v>6</v>
          </cell>
          <cell r="H27">
            <v>51</v>
          </cell>
          <cell r="I27">
            <v>6</v>
          </cell>
          <cell r="J27">
            <v>51</v>
          </cell>
          <cell r="K27">
            <v>6</v>
          </cell>
          <cell r="L27">
            <v>51</v>
          </cell>
          <cell r="M27">
            <v>6</v>
          </cell>
          <cell r="N27">
            <v>51</v>
          </cell>
          <cell r="O27">
            <v>6</v>
          </cell>
          <cell r="Q27">
            <v>7</v>
          </cell>
          <cell r="R27">
            <v>3</v>
          </cell>
          <cell r="S27">
            <v>7</v>
          </cell>
          <cell r="T27">
            <v>3</v>
          </cell>
          <cell r="U27">
            <v>7</v>
          </cell>
          <cell r="V27">
            <v>3</v>
          </cell>
          <cell r="W27">
            <v>7</v>
          </cell>
          <cell r="X27">
            <v>3</v>
          </cell>
          <cell r="Y27">
            <v>7</v>
          </cell>
          <cell r="Z27">
            <v>3</v>
          </cell>
          <cell r="AB27">
            <v>0</v>
          </cell>
          <cell r="AC27">
            <v>0</v>
          </cell>
          <cell r="AD27">
            <v>0</v>
          </cell>
          <cell r="AE27">
            <v>0</v>
          </cell>
          <cell r="AF27">
            <v>0</v>
          </cell>
          <cell r="AG27">
            <v>0</v>
          </cell>
          <cell r="AH27">
            <v>0</v>
          </cell>
          <cell r="AI27">
            <v>0</v>
          </cell>
          <cell r="AJ27">
            <v>0</v>
          </cell>
          <cell r="AK27">
            <v>0</v>
          </cell>
        </row>
        <row r="28">
          <cell r="D28" t="str">
            <v>Month 12</v>
          </cell>
          <cell r="F28">
            <v>51</v>
          </cell>
          <cell r="G28">
            <v>6</v>
          </cell>
          <cell r="H28">
            <v>51</v>
          </cell>
          <cell r="I28">
            <v>6</v>
          </cell>
          <cell r="J28">
            <v>51</v>
          </cell>
          <cell r="K28">
            <v>6</v>
          </cell>
          <cell r="L28">
            <v>51</v>
          </cell>
          <cell r="M28">
            <v>6</v>
          </cell>
          <cell r="N28">
            <v>51</v>
          </cell>
          <cell r="O28">
            <v>6</v>
          </cell>
          <cell r="Q28">
            <v>7</v>
          </cell>
          <cell r="R28">
            <v>3</v>
          </cell>
          <cell r="S28">
            <v>7</v>
          </cell>
          <cell r="T28">
            <v>3</v>
          </cell>
          <cell r="U28">
            <v>7</v>
          </cell>
          <cell r="V28">
            <v>3</v>
          </cell>
          <cell r="W28">
            <v>7</v>
          </cell>
          <cell r="X28">
            <v>3</v>
          </cell>
          <cell r="Y28">
            <v>7</v>
          </cell>
          <cell r="Z28">
            <v>3</v>
          </cell>
          <cell r="AB28">
            <v>0</v>
          </cell>
          <cell r="AC28">
            <v>0</v>
          </cell>
          <cell r="AD28">
            <v>0</v>
          </cell>
          <cell r="AE28">
            <v>0</v>
          </cell>
          <cell r="AF28">
            <v>0</v>
          </cell>
          <cell r="AG28">
            <v>0</v>
          </cell>
          <cell r="AH28">
            <v>0</v>
          </cell>
          <cell r="AI28">
            <v>0</v>
          </cell>
          <cell r="AJ28">
            <v>0</v>
          </cell>
          <cell r="AK28">
            <v>0</v>
          </cell>
        </row>
        <row r="57">
          <cell r="D57" t="str">
            <v>Month 1</v>
          </cell>
          <cell r="F57">
            <v>16.625</v>
          </cell>
          <cell r="G57">
            <v>2</v>
          </cell>
          <cell r="H57">
            <v>12.125</v>
          </cell>
          <cell r="I57">
            <v>1.9166666666666667</v>
          </cell>
          <cell r="J57">
            <v>7.333333333333333</v>
          </cell>
          <cell r="K57">
            <v>0.91666666666666752</v>
          </cell>
          <cell r="L57">
            <v>-6.6613381477509392E-16</v>
          </cell>
          <cell r="M57">
            <v>7.4940054162198066E-16</v>
          </cell>
          <cell r="N57">
            <v>-6.6613381477509392E-16</v>
          </cell>
          <cell r="O57">
            <v>7.4940054162198066E-16</v>
          </cell>
          <cell r="Q57">
            <v>2</v>
          </cell>
          <cell r="R57">
            <v>2</v>
          </cell>
          <cell r="S57">
            <v>1.8333333333333333</v>
          </cell>
          <cell r="T57">
            <v>1.8333333333333333</v>
          </cell>
          <cell r="U57">
            <v>0</v>
          </cell>
          <cell r="V57">
            <v>0</v>
          </cell>
          <cell r="W57">
            <v>0</v>
          </cell>
          <cell r="X57">
            <v>0</v>
          </cell>
          <cell r="Y57">
            <v>0</v>
          </cell>
          <cell r="Z57">
            <v>0</v>
          </cell>
          <cell r="AB57">
            <v>0</v>
          </cell>
          <cell r="AC57">
            <v>0</v>
          </cell>
          <cell r="AD57">
            <v>0</v>
          </cell>
          <cell r="AE57">
            <v>0</v>
          </cell>
          <cell r="AF57">
            <v>0</v>
          </cell>
          <cell r="AG57">
            <v>0</v>
          </cell>
          <cell r="AH57">
            <v>0</v>
          </cell>
          <cell r="AI57">
            <v>0</v>
          </cell>
          <cell r="AJ57">
            <v>0</v>
          </cell>
          <cell r="AK57">
            <v>0</v>
          </cell>
        </row>
        <row r="58">
          <cell r="D58" t="str">
            <v>Month 2</v>
          </cell>
          <cell r="F58">
            <v>16.25</v>
          </cell>
          <cell r="G58">
            <v>2</v>
          </cell>
          <cell r="H58">
            <v>11.75</v>
          </cell>
          <cell r="I58">
            <v>1.8333333333333335</v>
          </cell>
          <cell r="J58">
            <v>6.6666666666666661</v>
          </cell>
          <cell r="K58">
            <v>0.83333333333333415</v>
          </cell>
          <cell r="L58">
            <v>-6.6613381477509392E-16</v>
          </cell>
          <cell r="M58">
            <v>7.4940054162198066E-16</v>
          </cell>
          <cell r="N58">
            <v>-6.6613381477509392E-16</v>
          </cell>
          <cell r="O58">
            <v>7.4940054162198066E-16</v>
          </cell>
          <cell r="Q58">
            <v>2</v>
          </cell>
          <cell r="R58">
            <v>2</v>
          </cell>
          <cell r="S58">
            <v>1.6666666666666665</v>
          </cell>
          <cell r="T58">
            <v>1.6666666666666665</v>
          </cell>
          <cell r="U58">
            <v>0</v>
          </cell>
          <cell r="V58">
            <v>0</v>
          </cell>
          <cell r="W58">
            <v>0</v>
          </cell>
          <cell r="X58">
            <v>0</v>
          </cell>
          <cell r="Y58">
            <v>0</v>
          </cell>
          <cell r="Z58">
            <v>0</v>
          </cell>
          <cell r="AB58">
            <v>0</v>
          </cell>
          <cell r="AC58">
            <v>0</v>
          </cell>
          <cell r="AD58">
            <v>0</v>
          </cell>
          <cell r="AE58">
            <v>0</v>
          </cell>
          <cell r="AF58">
            <v>0</v>
          </cell>
          <cell r="AG58">
            <v>0</v>
          </cell>
          <cell r="AH58">
            <v>0</v>
          </cell>
          <cell r="AI58">
            <v>0</v>
          </cell>
          <cell r="AJ58">
            <v>0</v>
          </cell>
          <cell r="AK58">
            <v>0</v>
          </cell>
        </row>
        <row r="59">
          <cell r="D59" t="str">
            <v>Month 3</v>
          </cell>
          <cell r="F59">
            <v>15.875</v>
          </cell>
          <cell r="G59">
            <v>2</v>
          </cell>
          <cell r="H59">
            <v>11.375</v>
          </cell>
          <cell r="I59">
            <v>1.7500000000000002</v>
          </cell>
          <cell r="J59">
            <v>5.9999999999999991</v>
          </cell>
          <cell r="K59">
            <v>0.75000000000000078</v>
          </cell>
          <cell r="L59">
            <v>-6.6613381477509392E-16</v>
          </cell>
          <cell r="M59">
            <v>7.4940054162198066E-16</v>
          </cell>
          <cell r="N59">
            <v>-6.6613381477509392E-16</v>
          </cell>
          <cell r="O59">
            <v>7.4940054162198066E-16</v>
          </cell>
          <cell r="Q59">
            <v>2</v>
          </cell>
          <cell r="R59">
            <v>2</v>
          </cell>
          <cell r="S59">
            <v>1.4999999999999998</v>
          </cell>
          <cell r="T59">
            <v>1.4999999999999998</v>
          </cell>
          <cell r="U59">
            <v>0</v>
          </cell>
          <cell r="V59">
            <v>0</v>
          </cell>
          <cell r="W59">
            <v>0</v>
          </cell>
          <cell r="X59">
            <v>0</v>
          </cell>
          <cell r="Y59">
            <v>0</v>
          </cell>
          <cell r="Z59">
            <v>0</v>
          </cell>
          <cell r="AB59">
            <v>0</v>
          </cell>
          <cell r="AC59">
            <v>0</v>
          </cell>
          <cell r="AD59">
            <v>0</v>
          </cell>
          <cell r="AE59">
            <v>0</v>
          </cell>
          <cell r="AF59">
            <v>0</v>
          </cell>
          <cell r="AG59">
            <v>0</v>
          </cell>
          <cell r="AH59">
            <v>0</v>
          </cell>
          <cell r="AI59">
            <v>0</v>
          </cell>
          <cell r="AJ59">
            <v>0</v>
          </cell>
          <cell r="AK59">
            <v>0</v>
          </cell>
        </row>
        <row r="60">
          <cell r="D60" t="str">
            <v>Month 4</v>
          </cell>
          <cell r="F60">
            <v>15.5</v>
          </cell>
          <cell r="G60">
            <v>2</v>
          </cell>
          <cell r="H60">
            <v>11</v>
          </cell>
          <cell r="I60">
            <v>1.666666666666667</v>
          </cell>
          <cell r="J60">
            <v>5.3333333333333321</v>
          </cell>
          <cell r="K60">
            <v>0.66666666666666741</v>
          </cell>
          <cell r="L60">
            <v>-6.6613381477509392E-16</v>
          </cell>
          <cell r="M60">
            <v>7.4940054162198066E-16</v>
          </cell>
          <cell r="N60">
            <v>-6.6613381477509392E-16</v>
          </cell>
          <cell r="O60">
            <v>7.4940054162198066E-16</v>
          </cell>
          <cell r="Q60">
            <v>2</v>
          </cell>
          <cell r="R60">
            <v>2</v>
          </cell>
          <cell r="S60">
            <v>1.333333333333333</v>
          </cell>
          <cell r="T60">
            <v>1.333333333333333</v>
          </cell>
          <cell r="U60">
            <v>0</v>
          </cell>
          <cell r="V60">
            <v>0</v>
          </cell>
          <cell r="W60">
            <v>0</v>
          </cell>
          <cell r="X60">
            <v>0</v>
          </cell>
          <cell r="Y60">
            <v>0</v>
          </cell>
          <cell r="Z60">
            <v>0</v>
          </cell>
          <cell r="AB60">
            <v>0</v>
          </cell>
          <cell r="AC60">
            <v>0</v>
          </cell>
          <cell r="AD60">
            <v>0</v>
          </cell>
          <cell r="AE60">
            <v>0</v>
          </cell>
          <cell r="AF60">
            <v>0</v>
          </cell>
          <cell r="AG60">
            <v>0</v>
          </cell>
          <cell r="AH60">
            <v>0</v>
          </cell>
          <cell r="AI60">
            <v>0</v>
          </cell>
          <cell r="AJ60">
            <v>0</v>
          </cell>
          <cell r="AK60">
            <v>0</v>
          </cell>
        </row>
        <row r="61">
          <cell r="D61" t="str">
            <v>Month 5</v>
          </cell>
          <cell r="F61">
            <v>15.125</v>
          </cell>
          <cell r="G61">
            <v>2</v>
          </cell>
          <cell r="H61">
            <v>10.625</v>
          </cell>
          <cell r="I61">
            <v>1.5833333333333337</v>
          </cell>
          <cell r="J61">
            <v>4.6666666666666652</v>
          </cell>
          <cell r="K61">
            <v>0.58333333333333404</v>
          </cell>
          <cell r="L61">
            <v>-6.6613381477509392E-16</v>
          </cell>
          <cell r="M61">
            <v>7.4940054162198066E-16</v>
          </cell>
          <cell r="N61">
            <v>-6.6613381477509392E-16</v>
          </cell>
          <cell r="O61">
            <v>7.4940054162198066E-16</v>
          </cell>
          <cell r="Q61">
            <v>2</v>
          </cell>
          <cell r="R61">
            <v>2</v>
          </cell>
          <cell r="S61">
            <v>1.1666666666666663</v>
          </cell>
          <cell r="T61">
            <v>1.1666666666666663</v>
          </cell>
          <cell r="U61">
            <v>0</v>
          </cell>
          <cell r="V61">
            <v>0</v>
          </cell>
          <cell r="W61">
            <v>0</v>
          </cell>
          <cell r="X61">
            <v>0</v>
          </cell>
          <cell r="Y61">
            <v>0</v>
          </cell>
          <cell r="Z61">
            <v>0</v>
          </cell>
          <cell r="AB61">
            <v>0</v>
          </cell>
          <cell r="AC61">
            <v>0</v>
          </cell>
          <cell r="AD61">
            <v>0</v>
          </cell>
          <cell r="AE61">
            <v>0</v>
          </cell>
          <cell r="AF61">
            <v>0</v>
          </cell>
          <cell r="AG61">
            <v>0</v>
          </cell>
          <cell r="AH61">
            <v>0</v>
          </cell>
          <cell r="AI61">
            <v>0</v>
          </cell>
          <cell r="AJ61">
            <v>0</v>
          </cell>
          <cell r="AK61">
            <v>0</v>
          </cell>
        </row>
        <row r="62">
          <cell r="D62" t="str">
            <v>Month 6</v>
          </cell>
          <cell r="F62">
            <v>14.75</v>
          </cell>
          <cell r="G62">
            <v>2</v>
          </cell>
          <cell r="H62">
            <v>10.25</v>
          </cell>
          <cell r="I62">
            <v>1.5000000000000004</v>
          </cell>
          <cell r="J62">
            <v>3.9999999999999987</v>
          </cell>
          <cell r="K62">
            <v>0.50000000000000067</v>
          </cell>
          <cell r="L62">
            <v>-6.6613381477509392E-16</v>
          </cell>
          <cell r="M62">
            <v>7.4940054162198066E-16</v>
          </cell>
          <cell r="N62">
            <v>-6.6613381477509392E-16</v>
          </cell>
          <cell r="O62">
            <v>7.4940054162198066E-16</v>
          </cell>
          <cell r="Q62">
            <v>2</v>
          </cell>
          <cell r="R62">
            <v>2</v>
          </cell>
          <cell r="S62">
            <v>0.99999999999999967</v>
          </cell>
          <cell r="T62">
            <v>0.99999999999999967</v>
          </cell>
          <cell r="U62">
            <v>0</v>
          </cell>
          <cell r="V62">
            <v>0</v>
          </cell>
          <cell r="W62">
            <v>0</v>
          </cell>
          <cell r="X62">
            <v>0</v>
          </cell>
          <cell r="Y62">
            <v>0</v>
          </cell>
          <cell r="Z62">
            <v>0</v>
          </cell>
          <cell r="AB62">
            <v>0</v>
          </cell>
          <cell r="AC62">
            <v>0</v>
          </cell>
          <cell r="AD62">
            <v>0</v>
          </cell>
          <cell r="AE62">
            <v>0</v>
          </cell>
          <cell r="AF62">
            <v>0</v>
          </cell>
          <cell r="AG62">
            <v>0</v>
          </cell>
          <cell r="AH62">
            <v>0</v>
          </cell>
          <cell r="AI62">
            <v>0</v>
          </cell>
          <cell r="AJ62">
            <v>0</v>
          </cell>
          <cell r="AK62">
            <v>0</v>
          </cell>
        </row>
        <row r="63">
          <cell r="D63" t="str">
            <v>Month 7</v>
          </cell>
          <cell r="F63">
            <v>14.375</v>
          </cell>
          <cell r="G63">
            <v>2</v>
          </cell>
          <cell r="H63">
            <v>9.875</v>
          </cell>
          <cell r="I63">
            <v>1.4166666666666672</v>
          </cell>
          <cell r="J63">
            <v>3.3333333333333321</v>
          </cell>
          <cell r="K63">
            <v>0.41666666666666735</v>
          </cell>
          <cell r="L63">
            <v>-6.6613381477509392E-16</v>
          </cell>
          <cell r="M63">
            <v>7.4940054162198066E-16</v>
          </cell>
          <cell r="N63">
            <v>-6.6613381477509392E-16</v>
          </cell>
          <cell r="O63">
            <v>7.4940054162198066E-16</v>
          </cell>
          <cell r="Q63">
            <v>2</v>
          </cell>
          <cell r="R63">
            <v>2</v>
          </cell>
          <cell r="S63">
            <v>0.83333333333333304</v>
          </cell>
          <cell r="T63">
            <v>0.83333333333333304</v>
          </cell>
          <cell r="U63">
            <v>0</v>
          </cell>
          <cell r="V63">
            <v>0</v>
          </cell>
          <cell r="W63">
            <v>0</v>
          </cell>
          <cell r="X63">
            <v>0</v>
          </cell>
          <cell r="Y63">
            <v>0</v>
          </cell>
          <cell r="Z63">
            <v>0</v>
          </cell>
          <cell r="AB63">
            <v>0</v>
          </cell>
          <cell r="AC63">
            <v>0</v>
          </cell>
          <cell r="AD63">
            <v>0</v>
          </cell>
          <cell r="AE63">
            <v>0</v>
          </cell>
          <cell r="AF63">
            <v>0</v>
          </cell>
          <cell r="AG63">
            <v>0</v>
          </cell>
          <cell r="AH63">
            <v>0</v>
          </cell>
          <cell r="AI63">
            <v>0</v>
          </cell>
          <cell r="AJ63">
            <v>0</v>
          </cell>
          <cell r="AK63">
            <v>0</v>
          </cell>
        </row>
        <row r="64">
          <cell r="D64" t="str">
            <v>Month 8</v>
          </cell>
          <cell r="F64">
            <v>14</v>
          </cell>
          <cell r="G64">
            <v>2</v>
          </cell>
          <cell r="H64">
            <v>9.5</v>
          </cell>
          <cell r="I64">
            <v>1.3333333333333339</v>
          </cell>
          <cell r="J64">
            <v>2.6666666666666656</v>
          </cell>
          <cell r="K64">
            <v>0.33333333333333404</v>
          </cell>
          <cell r="L64">
            <v>-6.6613381477509392E-16</v>
          </cell>
          <cell r="M64">
            <v>7.4940054162198066E-16</v>
          </cell>
          <cell r="N64">
            <v>-6.6613381477509392E-16</v>
          </cell>
          <cell r="O64">
            <v>7.4940054162198066E-16</v>
          </cell>
          <cell r="Q64">
            <v>2</v>
          </cell>
          <cell r="R64">
            <v>2</v>
          </cell>
          <cell r="S64">
            <v>0.66666666666666641</v>
          </cell>
          <cell r="T64">
            <v>0.66666666666666641</v>
          </cell>
          <cell r="U64">
            <v>0</v>
          </cell>
          <cell r="V64">
            <v>0</v>
          </cell>
          <cell r="W64">
            <v>0</v>
          </cell>
          <cell r="X64">
            <v>0</v>
          </cell>
          <cell r="Y64">
            <v>0</v>
          </cell>
          <cell r="Z64">
            <v>0</v>
          </cell>
          <cell r="AB64">
            <v>0</v>
          </cell>
          <cell r="AC64">
            <v>0</v>
          </cell>
          <cell r="AD64">
            <v>0</v>
          </cell>
          <cell r="AE64">
            <v>0</v>
          </cell>
          <cell r="AF64">
            <v>0</v>
          </cell>
          <cell r="AG64">
            <v>0</v>
          </cell>
          <cell r="AH64">
            <v>0</v>
          </cell>
          <cell r="AI64">
            <v>0</v>
          </cell>
          <cell r="AJ64">
            <v>0</v>
          </cell>
          <cell r="AK64">
            <v>0</v>
          </cell>
        </row>
        <row r="65">
          <cell r="D65" t="str">
            <v>Month 9</v>
          </cell>
          <cell r="F65">
            <v>13.625</v>
          </cell>
          <cell r="G65">
            <v>2</v>
          </cell>
          <cell r="H65">
            <v>9.125</v>
          </cell>
          <cell r="I65">
            <v>1.2500000000000007</v>
          </cell>
          <cell r="J65">
            <v>1.9999999999999991</v>
          </cell>
          <cell r="K65">
            <v>0.25000000000000072</v>
          </cell>
          <cell r="L65">
            <v>-6.6613381477509392E-16</v>
          </cell>
          <cell r="M65">
            <v>7.4940054162198066E-16</v>
          </cell>
          <cell r="N65">
            <v>-6.6613381477509392E-16</v>
          </cell>
          <cell r="O65">
            <v>7.4940054162198066E-16</v>
          </cell>
          <cell r="Q65">
            <v>2</v>
          </cell>
          <cell r="R65">
            <v>2</v>
          </cell>
          <cell r="S65">
            <v>0.49999999999999978</v>
          </cell>
          <cell r="T65">
            <v>0.49999999999999978</v>
          </cell>
          <cell r="U65">
            <v>0</v>
          </cell>
          <cell r="V65">
            <v>0</v>
          </cell>
          <cell r="W65">
            <v>0</v>
          </cell>
          <cell r="X65">
            <v>0</v>
          </cell>
          <cell r="Y65">
            <v>0</v>
          </cell>
          <cell r="Z65">
            <v>0</v>
          </cell>
          <cell r="AB65">
            <v>0</v>
          </cell>
          <cell r="AC65">
            <v>0</v>
          </cell>
          <cell r="AD65">
            <v>0</v>
          </cell>
          <cell r="AE65">
            <v>0</v>
          </cell>
          <cell r="AF65">
            <v>0</v>
          </cell>
          <cell r="AG65">
            <v>0</v>
          </cell>
          <cell r="AH65">
            <v>0</v>
          </cell>
          <cell r="AI65">
            <v>0</v>
          </cell>
          <cell r="AJ65">
            <v>0</v>
          </cell>
          <cell r="AK65">
            <v>0</v>
          </cell>
        </row>
        <row r="66">
          <cell r="D66" t="str">
            <v>Month 10</v>
          </cell>
          <cell r="F66">
            <v>13.25</v>
          </cell>
          <cell r="G66">
            <v>2</v>
          </cell>
          <cell r="H66">
            <v>8.75</v>
          </cell>
          <cell r="I66">
            <v>1.1666666666666674</v>
          </cell>
          <cell r="J66">
            <v>1.3333333333333326</v>
          </cell>
          <cell r="K66">
            <v>0.16666666666666741</v>
          </cell>
          <cell r="L66">
            <v>-6.6613381477509392E-16</v>
          </cell>
          <cell r="M66">
            <v>7.4940054162198066E-16</v>
          </cell>
          <cell r="N66">
            <v>-6.6613381477509392E-16</v>
          </cell>
          <cell r="O66">
            <v>7.4940054162198066E-16</v>
          </cell>
          <cell r="Q66">
            <v>2</v>
          </cell>
          <cell r="R66">
            <v>2</v>
          </cell>
          <cell r="S66">
            <v>0.33333333333333315</v>
          </cell>
          <cell r="T66">
            <v>0.33333333333333315</v>
          </cell>
          <cell r="U66">
            <v>0</v>
          </cell>
          <cell r="V66">
            <v>0</v>
          </cell>
          <cell r="W66">
            <v>0</v>
          </cell>
          <cell r="X66">
            <v>0</v>
          </cell>
          <cell r="Y66">
            <v>0</v>
          </cell>
          <cell r="Z66">
            <v>0</v>
          </cell>
          <cell r="AB66">
            <v>0</v>
          </cell>
          <cell r="AC66">
            <v>0</v>
          </cell>
          <cell r="AD66">
            <v>0</v>
          </cell>
          <cell r="AE66">
            <v>0</v>
          </cell>
          <cell r="AF66">
            <v>0</v>
          </cell>
          <cell r="AG66">
            <v>0</v>
          </cell>
          <cell r="AH66">
            <v>0</v>
          </cell>
          <cell r="AI66">
            <v>0</v>
          </cell>
          <cell r="AJ66">
            <v>0</v>
          </cell>
          <cell r="AK66">
            <v>0</v>
          </cell>
        </row>
        <row r="67">
          <cell r="D67" t="str">
            <v>Month 11</v>
          </cell>
          <cell r="F67">
            <v>12.875</v>
          </cell>
          <cell r="G67">
            <v>2</v>
          </cell>
          <cell r="H67">
            <v>8.375</v>
          </cell>
          <cell r="I67">
            <v>1.0833333333333341</v>
          </cell>
          <cell r="J67">
            <v>0.66666666666666596</v>
          </cell>
          <cell r="K67">
            <v>8.3333333333334078E-2</v>
          </cell>
          <cell r="L67">
            <v>-6.6613381477509392E-16</v>
          </cell>
          <cell r="M67">
            <v>7.4940054162198066E-16</v>
          </cell>
          <cell r="N67">
            <v>-6.6613381477509392E-16</v>
          </cell>
          <cell r="O67">
            <v>7.4940054162198066E-16</v>
          </cell>
          <cell r="Q67">
            <v>2</v>
          </cell>
          <cell r="R67">
            <v>2</v>
          </cell>
          <cell r="S67">
            <v>0.16666666666666649</v>
          </cell>
          <cell r="T67">
            <v>0.16666666666666649</v>
          </cell>
          <cell r="U67">
            <v>0</v>
          </cell>
          <cell r="V67">
            <v>0</v>
          </cell>
          <cell r="W67">
            <v>0</v>
          </cell>
          <cell r="X67">
            <v>0</v>
          </cell>
          <cell r="Y67">
            <v>0</v>
          </cell>
          <cell r="Z67">
            <v>0</v>
          </cell>
          <cell r="AB67">
            <v>0</v>
          </cell>
          <cell r="AC67">
            <v>0</v>
          </cell>
          <cell r="AD67">
            <v>0</v>
          </cell>
          <cell r="AE67">
            <v>0</v>
          </cell>
          <cell r="AF67">
            <v>0</v>
          </cell>
          <cell r="AG67">
            <v>0</v>
          </cell>
          <cell r="AH67">
            <v>0</v>
          </cell>
          <cell r="AI67">
            <v>0</v>
          </cell>
          <cell r="AJ67">
            <v>0</v>
          </cell>
          <cell r="AK67">
            <v>0</v>
          </cell>
        </row>
        <row r="68">
          <cell r="D68" t="str">
            <v>Month 12</v>
          </cell>
          <cell r="F68">
            <v>12.5</v>
          </cell>
          <cell r="G68">
            <v>2</v>
          </cell>
          <cell r="H68">
            <v>8</v>
          </cell>
          <cell r="I68">
            <v>1.0000000000000009</v>
          </cell>
          <cell r="J68">
            <v>-6.6613381477509392E-16</v>
          </cell>
          <cell r="K68">
            <v>7.4940054162198066E-16</v>
          </cell>
          <cell r="L68">
            <v>-6.6613381477509392E-16</v>
          </cell>
          <cell r="M68">
            <v>7.4940054162198066E-16</v>
          </cell>
          <cell r="N68">
            <v>-6.6613381477509392E-16</v>
          </cell>
          <cell r="O68">
            <v>7.4940054162198066E-16</v>
          </cell>
          <cell r="Q68">
            <v>2</v>
          </cell>
          <cell r="R68">
            <v>2</v>
          </cell>
          <cell r="S68">
            <v>0</v>
          </cell>
          <cell r="T68">
            <v>0</v>
          </cell>
          <cell r="U68">
            <v>0</v>
          </cell>
          <cell r="V68">
            <v>0</v>
          </cell>
          <cell r="W68">
            <v>0</v>
          </cell>
          <cell r="X68">
            <v>0</v>
          </cell>
          <cell r="Y68">
            <v>0</v>
          </cell>
          <cell r="Z68">
            <v>0</v>
          </cell>
          <cell r="AB68">
            <v>0</v>
          </cell>
          <cell r="AC68">
            <v>0</v>
          </cell>
          <cell r="AD68">
            <v>0</v>
          </cell>
          <cell r="AE68">
            <v>0</v>
          </cell>
          <cell r="AF68">
            <v>0</v>
          </cell>
          <cell r="AG68">
            <v>0</v>
          </cell>
          <cell r="AH68">
            <v>0</v>
          </cell>
          <cell r="AI68">
            <v>0</v>
          </cell>
          <cell r="AJ68">
            <v>0</v>
          </cell>
          <cell r="AK68">
            <v>0</v>
          </cell>
        </row>
        <row r="96">
          <cell r="D96" t="str">
            <v>Month 1</v>
          </cell>
          <cell r="F96">
            <v>17.208333333333332</v>
          </cell>
          <cell r="G96">
            <v>1.4583333333333333</v>
          </cell>
          <cell r="H96">
            <v>41.041666666666643</v>
          </cell>
          <cell r="I96">
            <v>5.541666666666667</v>
          </cell>
          <cell r="J96">
            <v>47.833333333333286</v>
          </cell>
          <cell r="K96">
            <v>6.0833333333333366</v>
          </cell>
          <cell r="L96">
            <v>53.166666666666664</v>
          </cell>
          <cell r="M96">
            <v>7.083333333333333</v>
          </cell>
          <cell r="N96">
            <v>55.166666666666636</v>
          </cell>
          <cell r="O96">
            <v>7.9999999999999964</v>
          </cell>
          <cell r="Q96">
            <v>1.8333333333333335</v>
          </cell>
          <cell r="R96">
            <v>0.41666666666666663</v>
          </cell>
          <cell r="S96">
            <v>7.3333333333333357</v>
          </cell>
          <cell r="T96">
            <v>2.1666666666666661</v>
          </cell>
          <cell r="U96">
            <v>11.083333333333341</v>
          </cell>
          <cell r="V96">
            <v>4.0833333333333313</v>
          </cell>
          <cell r="W96">
            <v>12.16666666666668</v>
          </cell>
          <cell r="X96">
            <v>4.9999999999999947</v>
          </cell>
          <cell r="Y96">
            <v>14.083333333333341</v>
          </cell>
          <cell r="Z96">
            <v>5.0833333333333277</v>
          </cell>
          <cell r="AB96">
            <v>0</v>
          </cell>
          <cell r="AC96">
            <v>0</v>
          </cell>
          <cell r="AD96">
            <v>0</v>
          </cell>
          <cell r="AE96">
            <v>0</v>
          </cell>
          <cell r="AF96">
            <v>0</v>
          </cell>
          <cell r="AG96">
            <v>0</v>
          </cell>
          <cell r="AH96">
            <v>0</v>
          </cell>
          <cell r="AI96">
            <v>0</v>
          </cell>
          <cell r="AJ96">
            <v>0</v>
          </cell>
          <cell r="AK96">
            <v>0</v>
          </cell>
        </row>
        <row r="97">
          <cell r="D97" t="str">
            <v>Month 2</v>
          </cell>
          <cell r="F97">
            <v>26.416666666666668</v>
          </cell>
          <cell r="G97">
            <v>2.9166666666666665</v>
          </cell>
          <cell r="H97">
            <v>41.583333333333307</v>
          </cell>
          <cell r="I97">
            <v>5.5833333333333339</v>
          </cell>
          <cell r="J97">
            <v>48.666666666666622</v>
          </cell>
          <cell r="K97">
            <v>6.1666666666666696</v>
          </cell>
          <cell r="L97">
            <v>53.333333333333329</v>
          </cell>
          <cell r="M97">
            <v>7.1666666666666661</v>
          </cell>
          <cell r="N97">
            <v>55.3333333333333</v>
          </cell>
          <cell r="O97">
            <v>7.9999999999999964</v>
          </cell>
          <cell r="Q97">
            <v>3.6666666666666665</v>
          </cell>
          <cell r="R97">
            <v>0.83333333333333337</v>
          </cell>
          <cell r="S97">
            <v>7.6666666666666687</v>
          </cell>
          <cell r="T97">
            <v>2.3333333333333326</v>
          </cell>
          <cell r="U97">
            <v>11.166666666666675</v>
          </cell>
          <cell r="V97">
            <v>4.1666666666666643</v>
          </cell>
          <cell r="W97">
            <v>12.333333333333346</v>
          </cell>
          <cell r="X97">
            <v>4.9999999999999947</v>
          </cell>
          <cell r="Y97">
            <v>14.166666666666675</v>
          </cell>
          <cell r="Z97">
            <v>5.1666666666666607</v>
          </cell>
          <cell r="AB97">
            <v>0</v>
          </cell>
          <cell r="AC97">
            <v>0</v>
          </cell>
          <cell r="AD97">
            <v>0</v>
          </cell>
          <cell r="AE97">
            <v>0</v>
          </cell>
          <cell r="AF97">
            <v>0</v>
          </cell>
          <cell r="AG97">
            <v>0</v>
          </cell>
          <cell r="AH97">
            <v>0</v>
          </cell>
          <cell r="AI97">
            <v>0</v>
          </cell>
          <cell r="AJ97">
            <v>0</v>
          </cell>
          <cell r="AK97">
            <v>0</v>
          </cell>
        </row>
        <row r="98">
          <cell r="D98" t="str">
            <v>Month 3</v>
          </cell>
          <cell r="F98">
            <v>35.625</v>
          </cell>
          <cell r="G98">
            <v>4.375</v>
          </cell>
          <cell r="H98">
            <v>42.124999999999972</v>
          </cell>
          <cell r="I98">
            <v>5.6250000000000009</v>
          </cell>
          <cell r="J98">
            <v>49.499999999999957</v>
          </cell>
          <cell r="K98">
            <v>6.2500000000000027</v>
          </cell>
          <cell r="L98">
            <v>53.499999999999993</v>
          </cell>
          <cell r="M98">
            <v>7.2499999999999991</v>
          </cell>
          <cell r="N98">
            <v>55.499999999999964</v>
          </cell>
          <cell r="O98">
            <v>7.9999999999999964</v>
          </cell>
          <cell r="Q98">
            <v>5.5</v>
          </cell>
          <cell r="R98">
            <v>1.25</v>
          </cell>
          <cell r="S98">
            <v>8.0000000000000018</v>
          </cell>
          <cell r="T98">
            <v>2.4999999999999991</v>
          </cell>
          <cell r="U98">
            <v>11.250000000000009</v>
          </cell>
          <cell r="V98">
            <v>4.2499999999999973</v>
          </cell>
          <cell r="W98">
            <v>12.500000000000012</v>
          </cell>
          <cell r="X98">
            <v>4.9999999999999947</v>
          </cell>
          <cell r="Y98">
            <v>14.250000000000009</v>
          </cell>
          <cell r="Z98">
            <v>5.2499999999999938</v>
          </cell>
          <cell r="AB98">
            <v>0</v>
          </cell>
          <cell r="AC98">
            <v>0</v>
          </cell>
          <cell r="AD98">
            <v>0</v>
          </cell>
          <cell r="AE98">
            <v>0</v>
          </cell>
          <cell r="AF98">
            <v>0</v>
          </cell>
          <cell r="AG98">
            <v>0</v>
          </cell>
          <cell r="AH98">
            <v>0</v>
          </cell>
          <cell r="AI98">
            <v>0</v>
          </cell>
          <cell r="AJ98">
            <v>0</v>
          </cell>
          <cell r="AK98">
            <v>0</v>
          </cell>
        </row>
        <row r="99">
          <cell r="D99" t="str">
            <v>Month 4</v>
          </cell>
          <cell r="F99">
            <v>36.166666666666664</v>
          </cell>
          <cell r="G99">
            <v>4.5</v>
          </cell>
          <cell r="H99">
            <v>42.666666666666636</v>
          </cell>
          <cell r="I99">
            <v>5.6666666666666679</v>
          </cell>
          <cell r="J99">
            <v>50.333333333333293</v>
          </cell>
          <cell r="K99">
            <v>6.3333333333333357</v>
          </cell>
          <cell r="L99">
            <v>53.666666666666657</v>
          </cell>
          <cell r="M99">
            <v>7.3333333333333321</v>
          </cell>
          <cell r="N99">
            <v>55.666666666666629</v>
          </cell>
          <cell r="O99">
            <v>7.9999999999999964</v>
          </cell>
          <cell r="Q99">
            <v>5.666666666666667</v>
          </cell>
          <cell r="R99">
            <v>1.3333333333333333</v>
          </cell>
          <cell r="S99">
            <v>8.3333333333333357</v>
          </cell>
          <cell r="T99">
            <v>2.6666666666666656</v>
          </cell>
          <cell r="U99">
            <v>11.333333333333343</v>
          </cell>
          <cell r="V99">
            <v>4.3333333333333304</v>
          </cell>
          <cell r="W99">
            <v>12.666666666666679</v>
          </cell>
          <cell r="X99">
            <v>4.9999999999999947</v>
          </cell>
          <cell r="Y99">
            <v>14.333333333333343</v>
          </cell>
          <cell r="Z99">
            <v>5.3333333333333268</v>
          </cell>
          <cell r="AB99">
            <v>0</v>
          </cell>
          <cell r="AC99">
            <v>0</v>
          </cell>
          <cell r="AD99">
            <v>0</v>
          </cell>
          <cell r="AE99">
            <v>0</v>
          </cell>
          <cell r="AF99">
            <v>0</v>
          </cell>
          <cell r="AG99">
            <v>0</v>
          </cell>
          <cell r="AH99">
            <v>0</v>
          </cell>
          <cell r="AI99">
            <v>0</v>
          </cell>
          <cell r="AJ99">
            <v>0</v>
          </cell>
          <cell r="AK99">
            <v>0</v>
          </cell>
        </row>
        <row r="100">
          <cell r="D100" t="str">
            <v>Month 5</v>
          </cell>
          <cell r="F100">
            <v>36.708333333333329</v>
          </cell>
          <cell r="G100">
            <v>4.625</v>
          </cell>
          <cell r="H100">
            <v>43.2083333333333</v>
          </cell>
          <cell r="I100">
            <v>5.7083333333333348</v>
          </cell>
          <cell r="J100">
            <v>51.166666666666629</v>
          </cell>
          <cell r="K100">
            <v>6.4166666666666687</v>
          </cell>
          <cell r="L100">
            <v>53.833333333333321</v>
          </cell>
          <cell r="M100">
            <v>7.4166666666666652</v>
          </cell>
          <cell r="N100">
            <v>55.833333333333293</v>
          </cell>
          <cell r="O100">
            <v>7.9999999999999964</v>
          </cell>
          <cell r="Q100">
            <v>5.8333333333333339</v>
          </cell>
          <cell r="R100">
            <v>1.4166666666666665</v>
          </cell>
          <cell r="S100">
            <v>8.6666666666666696</v>
          </cell>
          <cell r="T100">
            <v>2.8333333333333321</v>
          </cell>
          <cell r="U100">
            <v>11.416666666666677</v>
          </cell>
          <cell r="V100">
            <v>4.4166666666666634</v>
          </cell>
          <cell r="W100">
            <v>12.833333333333345</v>
          </cell>
          <cell r="X100">
            <v>4.9999999999999947</v>
          </cell>
          <cell r="Y100">
            <v>14.416666666666677</v>
          </cell>
          <cell r="Z100">
            <v>5.4166666666666599</v>
          </cell>
          <cell r="AB100">
            <v>0</v>
          </cell>
          <cell r="AC100">
            <v>0</v>
          </cell>
          <cell r="AD100">
            <v>0</v>
          </cell>
          <cell r="AE100">
            <v>0</v>
          </cell>
          <cell r="AF100">
            <v>0</v>
          </cell>
          <cell r="AG100">
            <v>0</v>
          </cell>
          <cell r="AH100">
            <v>0</v>
          </cell>
          <cell r="AI100">
            <v>0</v>
          </cell>
          <cell r="AJ100">
            <v>0</v>
          </cell>
          <cell r="AK100">
            <v>0</v>
          </cell>
        </row>
        <row r="101">
          <cell r="D101" t="str">
            <v>Month 6</v>
          </cell>
          <cell r="F101">
            <v>37.249999999999993</v>
          </cell>
          <cell r="G101">
            <v>4.75</v>
          </cell>
          <cell r="H101">
            <v>43.749999999999964</v>
          </cell>
          <cell r="I101">
            <v>5.7500000000000018</v>
          </cell>
          <cell r="J101">
            <v>51.999999999999964</v>
          </cell>
          <cell r="K101">
            <v>6.5000000000000018</v>
          </cell>
          <cell r="L101">
            <v>53.999999999999986</v>
          </cell>
          <cell r="M101">
            <v>7.4999999999999982</v>
          </cell>
          <cell r="N101">
            <v>55.999999999999957</v>
          </cell>
          <cell r="O101">
            <v>7.9999999999999964</v>
          </cell>
          <cell r="Q101">
            <v>6.0000000000000009</v>
          </cell>
          <cell r="R101">
            <v>1.4999999999999998</v>
          </cell>
          <cell r="S101">
            <v>9.0000000000000036</v>
          </cell>
          <cell r="T101">
            <v>2.9999999999999987</v>
          </cell>
          <cell r="U101">
            <v>11.500000000000011</v>
          </cell>
          <cell r="V101">
            <v>4.4999999999999964</v>
          </cell>
          <cell r="W101">
            <v>13.000000000000011</v>
          </cell>
          <cell r="X101">
            <v>4.9999999999999947</v>
          </cell>
          <cell r="Y101">
            <v>14.500000000000011</v>
          </cell>
          <cell r="Z101">
            <v>5.4999999999999929</v>
          </cell>
          <cell r="AB101">
            <v>0</v>
          </cell>
          <cell r="AC101">
            <v>0</v>
          </cell>
          <cell r="AD101">
            <v>0</v>
          </cell>
          <cell r="AE101">
            <v>0</v>
          </cell>
          <cell r="AF101">
            <v>0</v>
          </cell>
          <cell r="AG101">
            <v>0</v>
          </cell>
          <cell r="AH101">
            <v>0</v>
          </cell>
          <cell r="AI101">
            <v>0</v>
          </cell>
          <cell r="AJ101">
            <v>0</v>
          </cell>
          <cell r="AK101">
            <v>0</v>
          </cell>
        </row>
        <row r="102">
          <cell r="D102" t="str">
            <v>Month 7</v>
          </cell>
          <cell r="F102">
            <v>37.791666666666657</v>
          </cell>
          <cell r="G102">
            <v>4.875</v>
          </cell>
          <cell r="H102">
            <v>44.291666666666629</v>
          </cell>
          <cell r="I102">
            <v>5.7916666666666687</v>
          </cell>
          <cell r="J102">
            <v>52.8333333333333</v>
          </cell>
          <cell r="K102">
            <v>6.5833333333333348</v>
          </cell>
          <cell r="L102">
            <v>54.16666666666665</v>
          </cell>
          <cell r="M102">
            <v>7.5833333333333313</v>
          </cell>
          <cell r="N102">
            <v>56.166666666666622</v>
          </cell>
          <cell r="O102">
            <v>7.9999999999999964</v>
          </cell>
          <cell r="Q102">
            <v>6.1666666666666679</v>
          </cell>
          <cell r="R102">
            <v>1.583333333333333</v>
          </cell>
          <cell r="S102">
            <v>9.3333333333333375</v>
          </cell>
          <cell r="T102">
            <v>3.1666666666666652</v>
          </cell>
          <cell r="U102">
            <v>11.583333333333345</v>
          </cell>
          <cell r="V102">
            <v>4.5833333333333295</v>
          </cell>
          <cell r="W102">
            <v>13.166666666666677</v>
          </cell>
          <cell r="X102">
            <v>4.9999999999999947</v>
          </cell>
          <cell r="Y102">
            <v>14.583333333333345</v>
          </cell>
          <cell r="Z102">
            <v>5.5833333333333259</v>
          </cell>
          <cell r="AB102">
            <v>0</v>
          </cell>
          <cell r="AC102">
            <v>0</v>
          </cell>
          <cell r="AD102">
            <v>0</v>
          </cell>
          <cell r="AE102">
            <v>0</v>
          </cell>
          <cell r="AF102">
            <v>0</v>
          </cell>
          <cell r="AG102">
            <v>0</v>
          </cell>
          <cell r="AH102">
            <v>0</v>
          </cell>
          <cell r="AI102">
            <v>0</v>
          </cell>
          <cell r="AJ102">
            <v>0</v>
          </cell>
          <cell r="AK102">
            <v>0</v>
          </cell>
        </row>
        <row r="103">
          <cell r="D103" t="str">
            <v>Month 8</v>
          </cell>
          <cell r="F103">
            <v>38.333333333333321</v>
          </cell>
          <cell r="G103">
            <v>5</v>
          </cell>
          <cell r="H103">
            <v>44.833333333333293</v>
          </cell>
          <cell r="I103">
            <v>5.8333333333333357</v>
          </cell>
          <cell r="J103">
            <v>53.333333333333329</v>
          </cell>
          <cell r="K103">
            <v>6.6666666666666679</v>
          </cell>
          <cell r="L103">
            <v>54.333333333333314</v>
          </cell>
          <cell r="M103">
            <v>7.6666666666666643</v>
          </cell>
          <cell r="N103">
            <v>56.333333333333286</v>
          </cell>
          <cell r="O103">
            <v>7.9999999999999964</v>
          </cell>
          <cell r="Q103">
            <v>6.3333333333333348</v>
          </cell>
          <cell r="R103">
            <v>1.6666666666666663</v>
          </cell>
          <cell r="S103">
            <v>9.6666666666666714</v>
          </cell>
          <cell r="T103">
            <v>3.3333333333333317</v>
          </cell>
          <cell r="U103">
            <v>11.666666666666679</v>
          </cell>
          <cell r="V103">
            <v>4.6666666666666625</v>
          </cell>
          <cell r="W103">
            <v>13.333333333333343</v>
          </cell>
          <cell r="X103">
            <v>4.9999999999999947</v>
          </cell>
          <cell r="Y103">
            <v>14.666666666666679</v>
          </cell>
          <cell r="Z103">
            <v>5.666666666666659</v>
          </cell>
          <cell r="AB103">
            <v>0</v>
          </cell>
          <cell r="AC103">
            <v>0</v>
          </cell>
          <cell r="AD103">
            <v>0</v>
          </cell>
          <cell r="AE103">
            <v>0</v>
          </cell>
          <cell r="AF103">
            <v>0</v>
          </cell>
          <cell r="AG103">
            <v>0</v>
          </cell>
          <cell r="AH103">
            <v>0</v>
          </cell>
          <cell r="AI103">
            <v>0</v>
          </cell>
          <cell r="AJ103">
            <v>0</v>
          </cell>
          <cell r="AK103">
            <v>0</v>
          </cell>
        </row>
        <row r="104">
          <cell r="D104" t="str">
            <v>Month 9</v>
          </cell>
          <cell r="F104">
            <v>38.874999999999986</v>
          </cell>
          <cell r="G104">
            <v>5.125</v>
          </cell>
          <cell r="H104">
            <v>45.374999999999957</v>
          </cell>
          <cell r="I104">
            <v>5.8750000000000027</v>
          </cell>
          <cell r="J104">
            <v>53.25</v>
          </cell>
          <cell r="K104">
            <v>6.7500000000000009</v>
          </cell>
          <cell r="L104">
            <v>54.499999999999979</v>
          </cell>
          <cell r="M104">
            <v>7.7499999999999973</v>
          </cell>
          <cell r="N104">
            <v>56.49999999999995</v>
          </cell>
          <cell r="O104">
            <v>7.9999999999999964</v>
          </cell>
          <cell r="Q104">
            <v>6.5000000000000018</v>
          </cell>
          <cell r="R104">
            <v>1.7499999999999996</v>
          </cell>
          <cell r="S104">
            <v>10.000000000000005</v>
          </cell>
          <cell r="T104">
            <v>3.4999999999999982</v>
          </cell>
          <cell r="U104">
            <v>11.750000000000012</v>
          </cell>
          <cell r="V104">
            <v>4.7499999999999956</v>
          </cell>
          <cell r="W104">
            <v>13.500000000000009</v>
          </cell>
          <cell r="X104">
            <v>4.9999999999999947</v>
          </cell>
          <cell r="Y104">
            <v>14.750000000000012</v>
          </cell>
          <cell r="Z104">
            <v>5.749999999999992</v>
          </cell>
          <cell r="AB104">
            <v>0</v>
          </cell>
          <cell r="AC104">
            <v>0</v>
          </cell>
          <cell r="AD104">
            <v>0</v>
          </cell>
          <cell r="AE104">
            <v>0</v>
          </cell>
          <cell r="AF104">
            <v>0</v>
          </cell>
          <cell r="AG104">
            <v>0</v>
          </cell>
          <cell r="AH104">
            <v>0</v>
          </cell>
          <cell r="AI104">
            <v>0</v>
          </cell>
          <cell r="AJ104">
            <v>0</v>
          </cell>
          <cell r="AK104">
            <v>0</v>
          </cell>
        </row>
        <row r="105">
          <cell r="D105" t="str">
            <v>Month 10</v>
          </cell>
          <cell r="F105">
            <v>39.41666666666665</v>
          </cell>
          <cell r="G105">
            <v>5.25</v>
          </cell>
          <cell r="H105">
            <v>45.916666666666622</v>
          </cell>
          <cell r="I105">
            <v>5.9166666666666696</v>
          </cell>
          <cell r="J105">
            <v>53.166666666666664</v>
          </cell>
          <cell r="K105">
            <v>6.8333333333333339</v>
          </cell>
          <cell r="L105">
            <v>54.666666666666643</v>
          </cell>
          <cell r="M105">
            <v>7.8333333333333304</v>
          </cell>
          <cell r="N105">
            <v>56.666666666666615</v>
          </cell>
          <cell r="O105">
            <v>7.9999999999999964</v>
          </cell>
          <cell r="Q105">
            <v>6.6666666666666687</v>
          </cell>
          <cell r="R105">
            <v>1.8333333333333328</v>
          </cell>
          <cell r="S105">
            <v>10.333333333333339</v>
          </cell>
          <cell r="T105">
            <v>3.6666666666666647</v>
          </cell>
          <cell r="U105">
            <v>11.833333333333346</v>
          </cell>
          <cell r="V105">
            <v>4.8333333333333286</v>
          </cell>
          <cell r="W105">
            <v>13.666666666666675</v>
          </cell>
          <cell r="X105">
            <v>4.9999999999999947</v>
          </cell>
          <cell r="Y105">
            <v>14.833333333333346</v>
          </cell>
          <cell r="Z105">
            <v>5.833333333333325</v>
          </cell>
          <cell r="AB105">
            <v>0</v>
          </cell>
          <cell r="AC105">
            <v>0</v>
          </cell>
          <cell r="AD105">
            <v>0</v>
          </cell>
          <cell r="AE105">
            <v>0</v>
          </cell>
          <cell r="AF105">
            <v>0</v>
          </cell>
          <cell r="AG105">
            <v>0</v>
          </cell>
          <cell r="AH105">
            <v>0</v>
          </cell>
          <cell r="AI105">
            <v>0</v>
          </cell>
          <cell r="AJ105">
            <v>0</v>
          </cell>
          <cell r="AK105">
            <v>0</v>
          </cell>
        </row>
        <row r="106">
          <cell r="D106" t="str">
            <v>Month 11</v>
          </cell>
          <cell r="F106">
            <v>39.958333333333314</v>
          </cell>
          <cell r="G106">
            <v>5.375</v>
          </cell>
          <cell r="H106">
            <v>46.458333333333286</v>
          </cell>
          <cell r="I106">
            <v>5.9583333333333366</v>
          </cell>
          <cell r="J106">
            <v>53.083333333333336</v>
          </cell>
          <cell r="K106">
            <v>6.916666666666667</v>
          </cell>
          <cell r="L106">
            <v>54.833333333333307</v>
          </cell>
          <cell r="M106">
            <v>7.9166666666666634</v>
          </cell>
          <cell r="N106">
            <v>56.833333333333279</v>
          </cell>
          <cell r="O106">
            <v>7.9999999999999964</v>
          </cell>
          <cell r="Q106">
            <v>6.8333333333333357</v>
          </cell>
          <cell r="R106">
            <v>1.9166666666666661</v>
          </cell>
          <cell r="S106">
            <v>10.666666666666673</v>
          </cell>
          <cell r="T106">
            <v>3.8333333333333313</v>
          </cell>
          <cell r="U106">
            <v>11.91666666666668</v>
          </cell>
          <cell r="V106">
            <v>4.9166666666666616</v>
          </cell>
          <cell r="W106">
            <v>13.833333333333341</v>
          </cell>
          <cell r="X106">
            <v>4.9999999999999947</v>
          </cell>
          <cell r="Y106">
            <v>14.91666666666668</v>
          </cell>
          <cell r="Z106">
            <v>5.9166666666666581</v>
          </cell>
          <cell r="AB106">
            <v>0</v>
          </cell>
          <cell r="AC106">
            <v>0</v>
          </cell>
          <cell r="AD106">
            <v>0</v>
          </cell>
          <cell r="AE106">
            <v>0</v>
          </cell>
          <cell r="AF106">
            <v>0</v>
          </cell>
          <cell r="AG106">
            <v>0</v>
          </cell>
          <cell r="AH106">
            <v>0</v>
          </cell>
          <cell r="AI106">
            <v>0</v>
          </cell>
          <cell r="AJ106">
            <v>0</v>
          </cell>
          <cell r="AK106">
            <v>0</v>
          </cell>
        </row>
        <row r="107">
          <cell r="D107" t="str">
            <v>Month 12</v>
          </cell>
          <cell r="F107">
            <v>40.499999999999979</v>
          </cell>
          <cell r="G107">
            <v>5.5</v>
          </cell>
          <cell r="H107">
            <v>46.99999999999995</v>
          </cell>
          <cell r="I107">
            <v>6.0000000000000036</v>
          </cell>
          <cell r="J107">
            <v>53</v>
          </cell>
          <cell r="K107">
            <v>7</v>
          </cell>
          <cell r="L107">
            <v>54.999999999999972</v>
          </cell>
          <cell r="M107">
            <v>7.9999999999999964</v>
          </cell>
          <cell r="N107">
            <v>56.999999999999943</v>
          </cell>
          <cell r="O107">
            <v>7.9999999999999964</v>
          </cell>
          <cell r="Q107">
            <v>7.0000000000000027</v>
          </cell>
          <cell r="R107">
            <v>1.9999999999999993</v>
          </cell>
          <cell r="S107">
            <v>11.000000000000007</v>
          </cell>
          <cell r="T107">
            <v>3.9999999999999978</v>
          </cell>
          <cell r="U107">
            <v>12.000000000000014</v>
          </cell>
          <cell r="V107">
            <v>4.9999999999999947</v>
          </cell>
          <cell r="W107">
            <v>14.000000000000007</v>
          </cell>
          <cell r="X107">
            <v>4.9999999999999947</v>
          </cell>
          <cell r="Y107">
            <v>15.000000000000014</v>
          </cell>
          <cell r="Z107">
            <v>5.9999999999999911</v>
          </cell>
          <cell r="AB107">
            <v>0</v>
          </cell>
          <cell r="AC107">
            <v>0</v>
          </cell>
          <cell r="AD107">
            <v>0</v>
          </cell>
          <cell r="AE107">
            <v>0</v>
          </cell>
          <cell r="AF107">
            <v>0</v>
          </cell>
          <cell r="AG107">
            <v>0</v>
          </cell>
          <cell r="AH107">
            <v>0</v>
          </cell>
          <cell r="AI107">
            <v>0</v>
          </cell>
          <cell r="AJ107">
            <v>0</v>
          </cell>
          <cell r="AK107">
            <v>0</v>
          </cell>
        </row>
      </sheetData>
      <sheetData sheetId="4"/>
      <sheetData sheetId="5"/>
      <sheetData sheetId="6"/>
      <sheetData sheetId="7"/>
      <sheetData sheetId="8"/>
      <sheetData sheetId="9"/>
      <sheetData sheetId="10">
        <row r="31">
          <cell r="P31">
            <v>67445</v>
          </cell>
        </row>
        <row r="46">
          <cell r="H46">
            <v>0.1</v>
          </cell>
        </row>
      </sheetData>
      <sheetData sheetId="11">
        <row r="48">
          <cell r="G48" t="e">
            <v>#NUM!</v>
          </cell>
        </row>
      </sheetData>
      <sheetData sheetId="12">
        <row r="10">
          <cell r="R10">
            <v>0</v>
          </cell>
        </row>
        <row r="33">
          <cell r="R33">
            <v>5</v>
          </cell>
        </row>
      </sheetData>
      <sheetData sheetId="13"/>
      <sheetData sheetId="14"/>
      <sheetData sheetId="15"/>
      <sheetData sheetId="16"/>
      <sheetData sheetId="17"/>
      <sheetData sheetId="18">
        <row r="4">
          <cell r="E4" t="str">
            <v>Chesterton RE (consolidation w/ 493 &amp; 1827)</v>
          </cell>
        </row>
        <row r="6">
          <cell r="E6" t="str">
            <v>02418</v>
          </cell>
        </row>
        <row r="10">
          <cell r="F10" t="str">
            <v>Heartland</v>
          </cell>
        </row>
        <row r="11">
          <cell r="S11">
            <v>1</v>
          </cell>
        </row>
        <row r="14">
          <cell r="F14" t="str">
            <v>Valparaiso</v>
          </cell>
          <cell r="O14">
            <v>1</v>
          </cell>
        </row>
        <row r="15">
          <cell r="F15" t="str">
            <v>Porter, IN</v>
          </cell>
        </row>
        <row r="16">
          <cell r="F16" t="str">
            <v>IN</v>
          </cell>
          <cell r="S16">
            <v>1</v>
          </cell>
        </row>
        <row r="18">
          <cell r="J18" t="str">
            <v>DeNovo</v>
          </cell>
          <cell r="O18" t="str">
            <v>Amortized</v>
          </cell>
        </row>
        <row r="19">
          <cell r="O19">
            <v>10</v>
          </cell>
        </row>
        <row r="21">
          <cell r="F21" t="str">
            <v>Michael Grubbe</v>
          </cell>
          <cell r="X21">
            <v>6</v>
          </cell>
        </row>
      </sheetData>
      <sheetData sheetId="19"/>
      <sheetData sheetId="20"/>
      <sheetData sheetId="21"/>
      <sheetData sheetId="22"/>
      <sheetData sheetId="23"/>
      <sheetData sheetId="24">
        <row r="8">
          <cell r="G8">
            <v>15</v>
          </cell>
          <cell r="I8">
            <v>15</v>
          </cell>
        </row>
        <row r="9">
          <cell r="G9">
            <v>1</v>
          </cell>
        </row>
        <row r="15">
          <cell r="G15">
            <v>0</v>
          </cell>
        </row>
      </sheetData>
      <sheetData sheetId="25"/>
      <sheetData sheetId="26">
        <row r="6">
          <cell r="J6">
            <v>0.03</v>
          </cell>
        </row>
        <row r="7">
          <cell r="J7">
            <v>0.05</v>
          </cell>
        </row>
      </sheetData>
      <sheetData sheetId="27"/>
      <sheetData sheetId="28">
        <row r="100">
          <cell r="T100">
            <v>2000</v>
          </cell>
        </row>
      </sheetData>
      <sheetData sheetId="29"/>
      <sheetData sheetId="30"/>
      <sheetData sheetId="31"/>
      <sheetData sheetId="32">
        <row r="26">
          <cell r="J26">
            <v>0</v>
          </cell>
        </row>
        <row r="137">
          <cell r="P137">
            <v>0</v>
          </cell>
          <cell r="AA137">
            <v>885000</v>
          </cell>
        </row>
        <row r="141">
          <cell r="P141">
            <v>0</v>
          </cell>
          <cell r="AA141">
            <v>78500</v>
          </cell>
        </row>
        <row r="142">
          <cell r="P142">
            <v>0</v>
          </cell>
          <cell r="AA142">
            <v>555807.71</v>
          </cell>
        </row>
      </sheetData>
      <sheetData sheetId="33">
        <row r="1">
          <cell r="B1" t="str">
            <v xml:space="preserve">Task </v>
          </cell>
          <cell r="C1">
            <v>6</v>
          </cell>
          <cell r="D1">
            <v>7</v>
          </cell>
          <cell r="E1">
            <v>8</v>
          </cell>
          <cell r="F1">
            <v>9</v>
          </cell>
          <cell r="G1">
            <v>10</v>
          </cell>
          <cell r="H1">
            <v>11</v>
          </cell>
          <cell r="I1">
            <v>12</v>
          </cell>
          <cell r="J1">
            <v>13</v>
          </cell>
          <cell r="K1">
            <v>14</v>
          </cell>
          <cell r="L1">
            <v>15</v>
          </cell>
          <cell r="M1">
            <v>16</v>
          </cell>
          <cell r="N1">
            <v>17</v>
          </cell>
          <cell r="O1">
            <v>18</v>
          </cell>
          <cell r="P1">
            <v>19</v>
          </cell>
          <cell r="Q1">
            <v>20</v>
          </cell>
          <cell r="R1">
            <v>21</v>
          </cell>
          <cell r="S1">
            <v>22</v>
          </cell>
          <cell r="T1">
            <v>23</v>
          </cell>
          <cell r="U1">
            <v>24</v>
          </cell>
          <cell r="V1">
            <v>25</v>
          </cell>
          <cell r="W1">
            <v>26</v>
          </cell>
          <cell r="X1">
            <v>27</v>
          </cell>
          <cell r="Y1">
            <v>28</v>
          </cell>
          <cell r="Z1">
            <v>29</v>
          </cell>
          <cell r="AA1">
            <v>30</v>
          </cell>
          <cell r="AB1">
            <v>31</v>
          </cell>
          <cell r="AC1">
            <v>32</v>
          </cell>
          <cell r="AD1">
            <v>33</v>
          </cell>
          <cell r="AE1">
            <v>34</v>
          </cell>
          <cell r="AF1">
            <v>35</v>
          </cell>
          <cell r="AG1">
            <v>36</v>
          </cell>
          <cell r="AH1">
            <v>37</v>
          </cell>
          <cell r="AI1">
            <v>38</v>
          </cell>
          <cell r="AJ1">
            <v>39</v>
          </cell>
          <cell r="AK1">
            <v>40</v>
          </cell>
          <cell r="AL1">
            <v>41</v>
          </cell>
          <cell r="AM1">
            <v>42</v>
          </cell>
          <cell r="AN1">
            <v>43</v>
          </cell>
          <cell r="AO1">
            <v>44</v>
          </cell>
          <cell r="AP1">
            <v>45</v>
          </cell>
          <cell r="AQ1">
            <v>46</v>
          </cell>
          <cell r="AR1">
            <v>47</v>
          </cell>
          <cell r="AS1">
            <v>48</v>
          </cell>
        </row>
        <row r="2">
          <cell r="B2" t="str">
            <v>04.01</v>
          </cell>
          <cell r="C2">
            <v>1</v>
          </cell>
          <cell r="D2">
            <v>1</v>
          </cell>
          <cell r="E2">
            <v>1</v>
          </cell>
          <cell r="F2">
            <v>1</v>
          </cell>
          <cell r="G2">
            <v>1</v>
          </cell>
          <cell r="H2">
            <v>1</v>
          </cell>
          <cell r="I2">
            <v>1</v>
          </cell>
          <cell r="J2">
            <v>1</v>
          </cell>
          <cell r="K2">
            <v>1</v>
          </cell>
          <cell r="L2">
            <v>1</v>
          </cell>
          <cell r="M2">
            <v>1</v>
          </cell>
          <cell r="N2">
            <v>1</v>
          </cell>
          <cell r="O2">
            <v>1</v>
          </cell>
          <cell r="P2">
            <v>1</v>
          </cell>
          <cell r="Q2">
            <v>1</v>
          </cell>
          <cell r="R2">
            <v>1</v>
          </cell>
          <cell r="S2">
            <v>1</v>
          </cell>
          <cell r="T2">
            <v>1</v>
          </cell>
          <cell r="U2">
            <v>1</v>
          </cell>
          <cell r="V2">
            <v>1</v>
          </cell>
          <cell r="W2">
            <v>1</v>
          </cell>
          <cell r="X2">
            <v>1</v>
          </cell>
          <cell r="Y2">
            <v>1</v>
          </cell>
          <cell r="Z2">
            <v>1</v>
          </cell>
          <cell r="AA2">
            <v>1</v>
          </cell>
          <cell r="AB2">
            <v>1</v>
          </cell>
          <cell r="AC2">
            <v>1</v>
          </cell>
          <cell r="AD2">
            <v>1</v>
          </cell>
          <cell r="AE2">
            <v>1</v>
          </cell>
          <cell r="AF2">
            <v>1</v>
          </cell>
          <cell r="AG2">
            <v>1</v>
          </cell>
          <cell r="AH2">
            <v>1</v>
          </cell>
          <cell r="AI2">
            <v>1</v>
          </cell>
          <cell r="AJ2">
            <v>1</v>
          </cell>
          <cell r="AK2">
            <v>1</v>
          </cell>
          <cell r="AL2">
            <v>1</v>
          </cell>
          <cell r="AM2">
            <v>1</v>
          </cell>
          <cell r="AN2">
            <v>1</v>
          </cell>
          <cell r="AO2">
            <v>1</v>
          </cell>
          <cell r="AP2">
            <v>1</v>
          </cell>
          <cell r="AQ2">
            <v>1</v>
          </cell>
          <cell r="AR2">
            <v>1</v>
          </cell>
          <cell r="AS2">
            <v>1</v>
          </cell>
        </row>
        <row r="3">
          <cell r="B3" t="str">
            <v>04.02</v>
          </cell>
          <cell r="C3">
            <v>1</v>
          </cell>
          <cell r="D3">
            <v>1</v>
          </cell>
          <cell r="E3">
            <v>1</v>
          </cell>
          <cell r="F3">
            <v>1</v>
          </cell>
          <cell r="G3">
            <v>1</v>
          </cell>
          <cell r="H3">
            <v>1</v>
          </cell>
          <cell r="I3">
            <v>1</v>
          </cell>
          <cell r="J3">
            <v>1</v>
          </cell>
          <cell r="K3">
            <v>1</v>
          </cell>
          <cell r="L3">
            <v>1</v>
          </cell>
          <cell r="M3">
            <v>1</v>
          </cell>
          <cell r="N3">
            <v>1</v>
          </cell>
          <cell r="O3">
            <v>1</v>
          </cell>
          <cell r="P3">
            <v>1</v>
          </cell>
          <cell r="Q3">
            <v>1</v>
          </cell>
          <cell r="R3">
            <v>1</v>
          </cell>
          <cell r="S3">
            <v>1</v>
          </cell>
          <cell r="T3">
            <v>1</v>
          </cell>
          <cell r="U3">
            <v>1</v>
          </cell>
          <cell r="V3">
            <v>1</v>
          </cell>
          <cell r="W3">
            <v>1</v>
          </cell>
          <cell r="X3">
            <v>1</v>
          </cell>
          <cell r="Y3">
            <v>1</v>
          </cell>
          <cell r="Z3">
            <v>1</v>
          </cell>
          <cell r="AA3">
            <v>1</v>
          </cell>
          <cell r="AB3">
            <v>1</v>
          </cell>
          <cell r="AC3">
            <v>1</v>
          </cell>
          <cell r="AD3">
            <v>1</v>
          </cell>
          <cell r="AE3">
            <v>1</v>
          </cell>
          <cell r="AF3">
            <v>1</v>
          </cell>
          <cell r="AG3">
            <v>1</v>
          </cell>
          <cell r="AH3">
            <v>1</v>
          </cell>
          <cell r="AI3">
            <v>1</v>
          </cell>
          <cell r="AJ3">
            <v>1</v>
          </cell>
          <cell r="AK3">
            <v>1</v>
          </cell>
          <cell r="AL3">
            <v>1</v>
          </cell>
          <cell r="AM3">
            <v>1</v>
          </cell>
          <cell r="AN3">
            <v>1</v>
          </cell>
          <cell r="AO3">
            <v>1</v>
          </cell>
          <cell r="AP3">
            <v>1</v>
          </cell>
          <cell r="AQ3">
            <v>1</v>
          </cell>
          <cell r="AR3">
            <v>1</v>
          </cell>
          <cell r="AS3">
            <v>1</v>
          </cell>
        </row>
        <row r="4">
          <cell r="B4" t="str">
            <v>04.03</v>
          </cell>
          <cell r="C4">
            <v>1</v>
          </cell>
          <cell r="D4">
            <v>1</v>
          </cell>
          <cell r="E4">
            <v>1</v>
          </cell>
          <cell r="F4">
            <v>1</v>
          </cell>
          <cell r="G4">
            <v>1</v>
          </cell>
          <cell r="H4">
            <v>1</v>
          </cell>
          <cell r="I4">
            <v>1</v>
          </cell>
          <cell r="J4">
            <v>1</v>
          </cell>
          <cell r="K4">
            <v>1</v>
          </cell>
          <cell r="L4">
            <v>1</v>
          </cell>
          <cell r="M4">
            <v>1</v>
          </cell>
          <cell r="N4">
            <v>1</v>
          </cell>
          <cell r="O4">
            <v>1</v>
          </cell>
          <cell r="P4">
            <v>1</v>
          </cell>
          <cell r="Q4">
            <v>1</v>
          </cell>
          <cell r="R4">
            <v>1</v>
          </cell>
          <cell r="S4">
            <v>1</v>
          </cell>
          <cell r="T4">
            <v>1</v>
          </cell>
          <cell r="U4">
            <v>1</v>
          </cell>
          <cell r="V4">
            <v>1</v>
          </cell>
          <cell r="W4">
            <v>1</v>
          </cell>
          <cell r="X4">
            <v>1</v>
          </cell>
          <cell r="Y4">
            <v>1</v>
          </cell>
          <cell r="Z4">
            <v>1</v>
          </cell>
          <cell r="AA4">
            <v>1</v>
          </cell>
          <cell r="AB4">
            <v>1</v>
          </cell>
          <cell r="AC4">
            <v>1</v>
          </cell>
          <cell r="AD4">
            <v>1</v>
          </cell>
          <cell r="AE4">
            <v>1</v>
          </cell>
          <cell r="AF4">
            <v>1</v>
          </cell>
          <cell r="AG4">
            <v>1</v>
          </cell>
          <cell r="AH4">
            <v>1</v>
          </cell>
          <cell r="AI4">
            <v>1</v>
          </cell>
          <cell r="AJ4">
            <v>1</v>
          </cell>
          <cell r="AK4">
            <v>1</v>
          </cell>
          <cell r="AL4">
            <v>1</v>
          </cell>
          <cell r="AM4">
            <v>1</v>
          </cell>
          <cell r="AN4">
            <v>1</v>
          </cell>
          <cell r="AO4">
            <v>1</v>
          </cell>
          <cell r="AP4">
            <v>1</v>
          </cell>
          <cell r="AQ4">
            <v>1</v>
          </cell>
          <cell r="AR4">
            <v>1</v>
          </cell>
          <cell r="AS4">
            <v>1</v>
          </cell>
        </row>
        <row r="5">
          <cell r="B5" t="str">
            <v>04.04</v>
          </cell>
          <cell r="C5">
            <v>1</v>
          </cell>
          <cell r="D5">
            <v>1</v>
          </cell>
          <cell r="E5">
            <v>1</v>
          </cell>
          <cell r="F5">
            <v>1</v>
          </cell>
          <cell r="G5">
            <v>1</v>
          </cell>
          <cell r="H5">
            <v>1</v>
          </cell>
          <cell r="I5">
            <v>1</v>
          </cell>
          <cell r="J5">
            <v>1</v>
          </cell>
          <cell r="K5">
            <v>1</v>
          </cell>
          <cell r="L5">
            <v>1</v>
          </cell>
          <cell r="M5">
            <v>1</v>
          </cell>
          <cell r="N5">
            <v>1</v>
          </cell>
          <cell r="O5">
            <v>1</v>
          </cell>
          <cell r="P5">
            <v>1</v>
          </cell>
          <cell r="Q5">
            <v>1</v>
          </cell>
          <cell r="R5">
            <v>1</v>
          </cell>
          <cell r="S5">
            <v>1</v>
          </cell>
          <cell r="T5">
            <v>1</v>
          </cell>
          <cell r="U5">
            <v>1</v>
          </cell>
          <cell r="V5">
            <v>1</v>
          </cell>
          <cell r="W5">
            <v>1</v>
          </cell>
          <cell r="X5">
            <v>1</v>
          </cell>
          <cell r="Y5">
            <v>1</v>
          </cell>
          <cell r="Z5">
            <v>1</v>
          </cell>
          <cell r="AA5">
            <v>1</v>
          </cell>
          <cell r="AB5">
            <v>1</v>
          </cell>
          <cell r="AC5">
            <v>1</v>
          </cell>
          <cell r="AD5">
            <v>1</v>
          </cell>
          <cell r="AE5">
            <v>1</v>
          </cell>
          <cell r="AF5">
            <v>1</v>
          </cell>
          <cell r="AG5">
            <v>1</v>
          </cell>
          <cell r="AH5">
            <v>1</v>
          </cell>
          <cell r="AI5">
            <v>1</v>
          </cell>
          <cell r="AJ5">
            <v>1</v>
          </cell>
          <cell r="AK5">
            <v>1</v>
          </cell>
          <cell r="AL5">
            <v>1</v>
          </cell>
          <cell r="AM5">
            <v>1</v>
          </cell>
          <cell r="AN5">
            <v>1</v>
          </cell>
          <cell r="AO5">
            <v>1</v>
          </cell>
          <cell r="AP5">
            <v>1</v>
          </cell>
          <cell r="AQ5">
            <v>1</v>
          </cell>
          <cell r="AR5">
            <v>1</v>
          </cell>
          <cell r="AS5">
            <v>1</v>
          </cell>
        </row>
        <row r="6">
          <cell r="B6" t="str">
            <v>04.05</v>
          </cell>
          <cell r="C6">
            <v>9</v>
          </cell>
          <cell r="D6">
            <v>10</v>
          </cell>
          <cell r="E6">
            <v>11</v>
          </cell>
          <cell r="F6">
            <v>12</v>
          </cell>
          <cell r="G6">
            <v>13</v>
          </cell>
          <cell r="H6">
            <v>14</v>
          </cell>
          <cell r="I6">
            <v>15</v>
          </cell>
          <cell r="J6">
            <v>16</v>
          </cell>
          <cell r="K6">
            <v>17</v>
          </cell>
          <cell r="L6">
            <v>18</v>
          </cell>
          <cell r="M6">
            <v>19</v>
          </cell>
          <cell r="N6">
            <v>20</v>
          </cell>
          <cell r="O6">
            <v>21</v>
          </cell>
          <cell r="P6">
            <v>22</v>
          </cell>
          <cell r="Q6">
            <v>23</v>
          </cell>
          <cell r="R6">
            <v>24</v>
          </cell>
          <cell r="S6">
            <v>25</v>
          </cell>
          <cell r="T6">
            <v>26</v>
          </cell>
          <cell r="U6">
            <v>27</v>
          </cell>
          <cell r="V6">
            <v>28</v>
          </cell>
          <cell r="W6">
            <v>29</v>
          </cell>
          <cell r="X6">
            <v>30</v>
          </cell>
          <cell r="Y6">
            <v>31</v>
          </cell>
          <cell r="Z6">
            <v>32</v>
          </cell>
          <cell r="AA6">
            <v>33</v>
          </cell>
          <cell r="AB6">
            <v>34</v>
          </cell>
          <cell r="AC6">
            <v>35</v>
          </cell>
          <cell r="AD6">
            <v>36</v>
          </cell>
          <cell r="AE6">
            <v>37</v>
          </cell>
          <cell r="AF6">
            <v>38</v>
          </cell>
          <cell r="AG6">
            <v>39</v>
          </cell>
          <cell r="AH6">
            <v>40</v>
          </cell>
          <cell r="AI6">
            <v>41</v>
          </cell>
          <cell r="AJ6">
            <v>42</v>
          </cell>
          <cell r="AK6">
            <v>43</v>
          </cell>
          <cell r="AL6">
            <v>44</v>
          </cell>
          <cell r="AM6">
            <v>45</v>
          </cell>
          <cell r="AN6">
            <v>46</v>
          </cell>
          <cell r="AO6">
            <v>47</v>
          </cell>
          <cell r="AP6">
            <v>48</v>
          </cell>
          <cell r="AQ6">
            <v>49</v>
          </cell>
          <cell r="AR6">
            <v>50</v>
          </cell>
          <cell r="AS6">
            <v>51</v>
          </cell>
        </row>
        <row r="7">
          <cell r="B7" t="str">
            <v>04.06</v>
          </cell>
          <cell r="C7">
            <v>1</v>
          </cell>
          <cell r="D7">
            <v>1</v>
          </cell>
          <cell r="E7">
            <v>1</v>
          </cell>
          <cell r="F7">
            <v>1</v>
          </cell>
          <cell r="G7">
            <v>1</v>
          </cell>
          <cell r="H7">
            <v>1</v>
          </cell>
          <cell r="I7">
            <v>1</v>
          </cell>
          <cell r="J7">
            <v>1</v>
          </cell>
          <cell r="K7">
            <v>1</v>
          </cell>
          <cell r="L7">
            <v>1</v>
          </cell>
          <cell r="M7">
            <v>1</v>
          </cell>
          <cell r="N7">
            <v>1</v>
          </cell>
          <cell r="O7">
            <v>1</v>
          </cell>
          <cell r="P7">
            <v>1</v>
          </cell>
          <cell r="Q7">
            <v>1</v>
          </cell>
          <cell r="R7">
            <v>1</v>
          </cell>
          <cell r="S7">
            <v>1</v>
          </cell>
          <cell r="T7">
            <v>1</v>
          </cell>
          <cell r="U7">
            <v>1</v>
          </cell>
          <cell r="V7">
            <v>1</v>
          </cell>
          <cell r="W7">
            <v>1</v>
          </cell>
          <cell r="X7">
            <v>1</v>
          </cell>
          <cell r="Y7">
            <v>1</v>
          </cell>
          <cell r="Z7">
            <v>1</v>
          </cell>
          <cell r="AA7">
            <v>1</v>
          </cell>
          <cell r="AB7">
            <v>1</v>
          </cell>
          <cell r="AC7">
            <v>1</v>
          </cell>
          <cell r="AD7">
            <v>1</v>
          </cell>
          <cell r="AE7">
            <v>1</v>
          </cell>
          <cell r="AF7">
            <v>1</v>
          </cell>
          <cell r="AG7">
            <v>1</v>
          </cell>
          <cell r="AH7">
            <v>1</v>
          </cell>
          <cell r="AI7">
            <v>1</v>
          </cell>
          <cell r="AJ7">
            <v>1</v>
          </cell>
          <cell r="AK7">
            <v>1</v>
          </cell>
          <cell r="AL7">
            <v>1</v>
          </cell>
          <cell r="AM7">
            <v>1</v>
          </cell>
          <cell r="AN7">
            <v>1</v>
          </cell>
          <cell r="AO7">
            <v>1</v>
          </cell>
          <cell r="AP7">
            <v>1</v>
          </cell>
          <cell r="AQ7">
            <v>1</v>
          </cell>
          <cell r="AR7">
            <v>1</v>
          </cell>
          <cell r="AS7">
            <v>1</v>
          </cell>
        </row>
        <row r="8">
          <cell r="B8" t="str">
            <v>04.07</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row>
        <row r="9">
          <cell r="B9" t="str">
            <v>04.08</v>
          </cell>
          <cell r="C9">
            <v>1</v>
          </cell>
          <cell r="D9">
            <v>1</v>
          </cell>
          <cell r="E9">
            <v>1</v>
          </cell>
          <cell r="F9">
            <v>1</v>
          </cell>
          <cell r="G9">
            <v>1</v>
          </cell>
          <cell r="H9">
            <v>1</v>
          </cell>
          <cell r="I9">
            <v>1</v>
          </cell>
          <cell r="J9">
            <v>1</v>
          </cell>
          <cell r="K9">
            <v>1</v>
          </cell>
          <cell r="L9">
            <v>1</v>
          </cell>
          <cell r="M9">
            <v>1</v>
          </cell>
          <cell r="N9">
            <v>1</v>
          </cell>
          <cell r="O9">
            <v>1</v>
          </cell>
          <cell r="P9">
            <v>1</v>
          </cell>
          <cell r="Q9">
            <v>1</v>
          </cell>
          <cell r="R9">
            <v>1</v>
          </cell>
          <cell r="S9">
            <v>1</v>
          </cell>
          <cell r="T9">
            <v>1</v>
          </cell>
          <cell r="U9">
            <v>1</v>
          </cell>
          <cell r="V9">
            <v>1</v>
          </cell>
          <cell r="W9">
            <v>1</v>
          </cell>
          <cell r="X9">
            <v>1</v>
          </cell>
          <cell r="Y9">
            <v>1</v>
          </cell>
          <cell r="Z9">
            <v>1</v>
          </cell>
          <cell r="AA9">
            <v>1</v>
          </cell>
          <cell r="AB9">
            <v>1</v>
          </cell>
          <cell r="AC9">
            <v>1</v>
          </cell>
          <cell r="AD9">
            <v>1</v>
          </cell>
          <cell r="AE9">
            <v>1</v>
          </cell>
          <cell r="AF9">
            <v>1</v>
          </cell>
          <cell r="AG9">
            <v>1</v>
          </cell>
          <cell r="AH9">
            <v>1</v>
          </cell>
          <cell r="AI9">
            <v>1</v>
          </cell>
          <cell r="AJ9">
            <v>1</v>
          </cell>
          <cell r="AK9">
            <v>1</v>
          </cell>
          <cell r="AL9">
            <v>1</v>
          </cell>
          <cell r="AM9">
            <v>1</v>
          </cell>
          <cell r="AN9">
            <v>1</v>
          </cell>
          <cell r="AO9">
            <v>1</v>
          </cell>
          <cell r="AP9">
            <v>1</v>
          </cell>
          <cell r="AQ9">
            <v>1</v>
          </cell>
          <cell r="AR9">
            <v>1</v>
          </cell>
          <cell r="AS9">
            <v>1</v>
          </cell>
        </row>
        <row r="10">
          <cell r="B10" t="str">
            <v>04.09</v>
          </cell>
          <cell r="C10">
            <v>1</v>
          </cell>
          <cell r="D10">
            <v>1</v>
          </cell>
          <cell r="E10">
            <v>1</v>
          </cell>
          <cell r="F10">
            <v>1</v>
          </cell>
          <cell r="G10">
            <v>1</v>
          </cell>
          <cell r="H10">
            <v>1</v>
          </cell>
          <cell r="I10">
            <v>1</v>
          </cell>
          <cell r="J10">
            <v>1</v>
          </cell>
          <cell r="K10">
            <v>1</v>
          </cell>
          <cell r="L10">
            <v>1</v>
          </cell>
          <cell r="M10">
            <v>1</v>
          </cell>
          <cell r="N10">
            <v>1</v>
          </cell>
          <cell r="O10">
            <v>1</v>
          </cell>
          <cell r="P10">
            <v>1</v>
          </cell>
          <cell r="Q10">
            <v>1</v>
          </cell>
          <cell r="R10">
            <v>1</v>
          </cell>
          <cell r="S10">
            <v>1</v>
          </cell>
          <cell r="T10">
            <v>1</v>
          </cell>
          <cell r="U10">
            <v>1</v>
          </cell>
          <cell r="V10">
            <v>1</v>
          </cell>
          <cell r="W10">
            <v>1</v>
          </cell>
          <cell r="X10">
            <v>1</v>
          </cell>
          <cell r="Y10">
            <v>1</v>
          </cell>
          <cell r="Z10">
            <v>1</v>
          </cell>
          <cell r="AA10">
            <v>1</v>
          </cell>
          <cell r="AB10">
            <v>1</v>
          </cell>
          <cell r="AC10">
            <v>1</v>
          </cell>
          <cell r="AD10">
            <v>1</v>
          </cell>
          <cell r="AE10">
            <v>1</v>
          </cell>
          <cell r="AF10">
            <v>1</v>
          </cell>
          <cell r="AG10">
            <v>1</v>
          </cell>
          <cell r="AH10">
            <v>1</v>
          </cell>
          <cell r="AI10">
            <v>1</v>
          </cell>
          <cell r="AJ10">
            <v>1</v>
          </cell>
          <cell r="AK10">
            <v>1</v>
          </cell>
          <cell r="AL10">
            <v>1</v>
          </cell>
          <cell r="AM10">
            <v>1</v>
          </cell>
          <cell r="AN10">
            <v>1</v>
          </cell>
          <cell r="AO10">
            <v>1</v>
          </cell>
          <cell r="AP10">
            <v>1</v>
          </cell>
          <cell r="AQ10">
            <v>1</v>
          </cell>
          <cell r="AR10">
            <v>1</v>
          </cell>
          <cell r="AS10">
            <v>1</v>
          </cell>
        </row>
        <row r="11">
          <cell r="B11" t="str">
            <v>05.01</v>
          </cell>
          <cell r="C11">
            <v>1</v>
          </cell>
          <cell r="D11">
            <v>1</v>
          </cell>
          <cell r="E11">
            <v>1</v>
          </cell>
          <cell r="F11">
            <v>1</v>
          </cell>
          <cell r="G11">
            <v>1</v>
          </cell>
          <cell r="H11">
            <v>1</v>
          </cell>
          <cell r="I11">
            <v>1</v>
          </cell>
          <cell r="J11">
            <v>1</v>
          </cell>
          <cell r="K11">
            <v>1</v>
          </cell>
          <cell r="L11">
            <v>1</v>
          </cell>
          <cell r="M11">
            <v>1</v>
          </cell>
          <cell r="N11">
            <v>1</v>
          </cell>
          <cell r="O11">
            <v>1</v>
          </cell>
          <cell r="P11">
            <v>1</v>
          </cell>
          <cell r="Q11">
            <v>1</v>
          </cell>
          <cell r="R11">
            <v>1</v>
          </cell>
          <cell r="S11">
            <v>1</v>
          </cell>
          <cell r="T11">
            <v>1</v>
          </cell>
          <cell r="U11">
            <v>1</v>
          </cell>
          <cell r="V11">
            <v>1</v>
          </cell>
          <cell r="W11">
            <v>1</v>
          </cell>
          <cell r="X11">
            <v>1</v>
          </cell>
          <cell r="Y11">
            <v>1</v>
          </cell>
          <cell r="Z11">
            <v>1</v>
          </cell>
          <cell r="AA11">
            <v>1</v>
          </cell>
          <cell r="AB11">
            <v>1</v>
          </cell>
          <cell r="AC11">
            <v>1</v>
          </cell>
          <cell r="AD11">
            <v>1</v>
          </cell>
          <cell r="AE11">
            <v>1</v>
          </cell>
          <cell r="AF11">
            <v>1</v>
          </cell>
          <cell r="AG11">
            <v>1</v>
          </cell>
          <cell r="AH11">
            <v>1</v>
          </cell>
          <cell r="AI11">
            <v>1</v>
          </cell>
          <cell r="AJ11">
            <v>1</v>
          </cell>
          <cell r="AK11">
            <v>1</v>
          </cell>
          <cell r="AL11">
            <v>1</v>
          </cell>
          <cell r="AM11">
            <v>1</v>
          </cell>
          <cell r="AN11">
            <v>1</v>
          </cell>
          <cell r="AO11">
            <v>1</v>
          </cell>
          <cell r="AP11">
            <v>1</v>
          </cell>
          <cell r="AQ11">
            <v>1</v>
          </cell>
          <cell r="AR11">
            <v>1</v>
          </cell>
          <cell r="AS11">
            <v>1</v>
          </cell>
        </row>
        <row r="12">
          <cell r="B12" t="str">
            <v>05.02</v>
          </cell>
          <cell r="C12">
            <v>7</v>
          </cell>
          <cell r="D12">
            <v>8</v>
          </cell>
          <cell r="E12">
            <v>9</v>
          </cell>
          <cell r="F12">
            <v>10</v>
          </cell>
          <cell r="G12">
            <v>11</v>
          </cell>
          <cell r="H12">
            <v>12</v>
          </cell>
          <cell r="I12">
            <v>14</v>
          </cell>
          <cell r="J12">
            <v>14</v>
          </cell>
          <cell r="K12">
            <v>15</v>
          </cell>
          <cell r="L12">
            <v>16</v>
          </cell>
          <cell r="M12">
            <v>18</v>
          </cell>
          <cell r="N12">
            <v>18</v>
          </cell>
          <cell r="O12">
            <v>19</v>
          </cell>
          <cell r="P12">
            <v>20</v>
          </cell>
          <cell r="Q12">
            <v>22</v>
          </cell>
          <cell r="R12">
            <v>22</v>
          </cell>
          <cell r="S12">
            <v>23</v>
          </cell>
          <cell r="T12">
            <v>24</v>
          </cell>
          <cell r="U12">
            <v>26</v>
          </cell>
          <cell r="V12">
            <v>26</v>
          </cell>
          <cell r="W12">
            <v>27</v>
          </cell>
          <cell r="X12">
            <v>28</v>
          </cell>
          <cell r="Y12">
            <v>29</v>
          </cell>
          <cell r="Z12">
            <v>30</v>
          </cell>
          <cell r="AA12">
            <v>31</v>
          </cell>
          <cell r="AB12">
            <v>32</v>
          </cell>
          <cell r="AC12">
            <v>33</v>
          </cell>
          <cell r="AD12">
            <v>34</v>
          </cell>
          <cell r="AE12">
            <v>35</v>
          </cell>
          <cell r="AF12">
            <v>36</v>
          </cell>
          <cell r="AG12">
            <v>37</v>
          </cell>
          <cell r="AH12">
            <v>38</v>
          </cell>
          <cell r="AI12">
            <v>39</v>
          </cell>
          <cell r="AJ12">
            <v>40</v>
          </cell>
          <cell r="AK12">
            <v>41</v>
          </cell>
          <cell r="AL12">
            <v>42</v>
          </cell>
          <cell r="AM12">
            <v>43</v>
          </cell>
          <cell r="AN12">
            <v>44</v>
          </cell>
          <cell r="AO12">
            <v>45</v>
          </cell>
          <cell r="AP12">
            <v>46</v>
          </cell>
          <cell r="AQ12">
            <v>47</v>
          </cell>
          <cell r="AR12">
            <v>48</v>
          </cell>
          <cell r="AS12">
            <v>49</v>
          </cell>
        </row>
        <row r="13">
          <cell r="B13" t="str">
            <v>05.03</v>
          </cell>
          <cell r="C13">
            <v>1</v>
          </cell>
          <cell r="D13">
            <v>1</v>
          </cell>
          <cell r="E13">
            <v>1</v>
          </cell>
          <cell r="F13">
            <v>1</v>
          </cell>
          <cell r="G13">
            <v>1</v>
          </cell>
          <cell r="H13">
            <v>1</v>
          </cell>
          <cell r="I13">
            <v>1</v>
          </cell>
          <cell r="J13">
            <v>1</v>
          </cell>
          <cell r="K13">
            <v>1</v>
          </cell>
          <cell r="L13">
            <v>1</v>
          </cell>
          <cell r="M13">
            <v>1</v>
          </cell>
          <cell r="N13">
            <v>1</v>
          </cell>
          <cell r="O13">
            <v>1</v>
          </cell>
          <cell r="P13">
            <v>1</v>
          </cell>
          <cell r="Q13">
            <v>1</v>
          </cell>
          <cell r="R13">
            <v>1</v>
          </cell>
          <cell r="S13">
            <v>1</v>
          </cell>
          <cell r="T13">
            <v>1</v>
          </cell>
          <cell r="U13">
            <v>1</v>
          </cell>
          <cell r="V13">
            <v>1</v>
          </cell>
          <cell r="W13">
            <v>1</v>
          </cell>
          <cell r="X13">
            <v>1</v>
          </cell>
          <cell r="Y13">
            <v>1</v>
          </cell>
          <cell r="Z13">
            <v>1</v>
          </cell>
          <cell r="AA13">
            <v>1</v>
          </cell>
          <cell r="AB13">
            <v>1</v>
          </cell>
          <cell r="AC13">
            <v>1</v>
          </cell>
          <cell r="AD13">
            <v>1</v>
          </cell>
          <cell r="AE13">
            <v>1</v>
          </cell>
          <cell r="AF13">
            <v>1</v>
          </cell>
          <cell r="AG13">
            <v>1</v>
          </cell>
          <cell r="AH13">
            <v>1</v>
          </cell>
          <cell r="AI13">
            <v>1</v>
          </cell>
          <cell r="AJ13">
            <v>1</v>
          </cell>
          <cell r="AK13">
            <v>1</v>
          </cell>
          <cell r="AL13">
            <v>1</v>
          </cell>
          <cell r="AM13">
            <v>1</v>
          </cell>
          <cell r="AN13">
            <v>1</v>
          </cell>
          <cell r="AO13">
            <v>1</v>
          </cell>
          <cell r="AP13">
            <v>1</v>
          </cell>
          <cell r="AQ13">
            <v>1</v>
          </cell>
          <cell r="AR13">
            <v>1</v>
          </cell>
          <cell r="AS13">
            <v>1</v>
          </cell>
        </row>
        <row r="14">
          <cell r="B14" t="str">
            <v>05.04</v>
          </cell>
          <cell r="C14">
            <v>2</v>
          </cell>
          <cell r="D14">
            <v>2</v>
          </cell>
          <cell r="E14">
            <v>2</v>
          </cell>
          <cell r="F14">
            <v>2</v>
          </cell>
          <cell r="G14">
            <v>2</v>
          </cell>
          <cell r="H14">
            <v>2</v>
          </cell>
          <cell r="I14">
            <v>2</v>
          </cell>
          <cell r="J14">
            <v>2</v>
          </cell>
          <cell r="K14">
            <v>2</v>
          </cell>
          <cell r="L14">
            <v>2</v>
          </cell>
          <cell r="M14">
            <v>2</v>
          </cell>
          <cell r="N14">
            <v>2</v>
          </cell>
          <cell r="O14">
            <v>2</v>
          </cell>
          <cell r="P14">
            <v>2</v>
          </cell>
          <cell r="Q14">
            <v>2</v>
          </cell>
          <cell r="R14">
            <v>2</v>
          </cell>
          <cell r="S14">
            <v>2</v>
          </cell>
          <cell r="T14">
            <v>2</v>
          </cell>
          <cell r="U14">
            <v>2</v>
          </cell>
          <cell r="V14">
            <v>2</v>
          </cell>
          <cell r="W14">
            <v>2</v>
          </cell>
          <cell r="X14">
            <v>2</v>
          </cell>
          <cell r="Y14">
            <v>2</v>
          </cell>
          <cell r="Z14">
            <v>2</v>
          </cell>
          <cell r="AA14">
            <v>2</v>
          </cell>
          <cell r="AB14">
            <v>2</v>
          </cell>
          <cell r="AC14">
            <v>2</v>
          </cell>
          <cell r="AD14">
            <v>2</v>
          </cell>
          <cell r="AE14">
            <v>2</v>
          </cell>
          <cell r="AF14">
            <v>2</v>
          </cell>
          <cell r="AG14">
            <v>2</v>
          </cell>
          <cell r="AH14">
            <v>2</v>
          </cell>
          <cell r="AI14">
            <v>2</v>
          </cell>
          <cell r="AJ14">
            <v>2</v>
          </cell>
          <cell r="AK14">
            <v>2</v>
          </cell>
          <cell r="AL14">
            <v>2</v>
          </cell>
          <cell r="AM14">
            <v>2</v>
          </cell>
          <cell r="AN14">
            <v>2</v>
          </cell>
          <cell r="AO14">
            <v>2</v>
          </cell>
          <cell r="AP14">
            <v>2</v>
          </cell>
          <cell r="AQ14">
            <v>2</v>
          </cell>
          <cell r="AR14">
            <v>2</v>
          </cell>
          <cell r="AS14">
            <v>2</v>
          </cell>
        </row>
        <row r="15">
          <cell r="B15" t="str">
            <v>05.05</v>
          </cell>
          <cell r="C15">
            <v>2</v>
          </cell>
          <cell r="D15">
            <v>2</v>
          </cell>
          <cell r="E15">
            <v>2</v>
          </cell>
          <cell r="F15">
            <v>2</v>
          </cell>
          <cell r="G15">
            <v>2</v>
          </cell>
          <cell r="H15">
            <v>2</v>
          </cell>
          <cell r="I15">
            <v>2</v>
          </cell>
          <cell r="J15">
            <v>2</v>
          </cell>
          <cell r="K15">
            <v>2</v>
          </cell>
          <cell r="L15">
            <v>2</v>
          </cell>
          <cell r="M15">
            <v>2</v>
          </cell>
          <cell r="N15">
            <v>2</v>
          </cell>
          <cell r="O15">
            <v>2</v>
          </cell>
          <cell r="P15">
            <v>2</v>
          </cell>
          <cell r="Q15">
            <v>2</v>
          </cell>
          <cell r="R15">
            <v>2</v>
          </cell>
          <cell r="S15">
            <v>2</v>
          </cell>
          <cell r="T15">
            <v>2</v>
          </cell>
          <cell r="U15">
            <v>2</v>
          </cell>
          <cell r="V15">
            <v>2</v>
          </cell>
          <cell r="W15">
            <v>2</v>
          </cell>
          <cell r="X15">
            <v>2</v>
          </cell>
          <cell r="Y15">
            <v>2</v>
          </cell>
          <cell r="Z15">
            <v>2</v>
          </cell>
          <cell r="AA15">
            <v>2</v>
          </cell>
          <cell r="AB15">
            <v>2</v>
          </cell>
          <cell r="AC15">
            <v>2</v>
          </cell>
          <cell r="AD15">
            <v>2</v>
          </cell>
          <cell r="AE15">
            <v>2</v>
          </cell>
          <cell r="AF15">
            <v>2</v>
          </cell>
          <cell r="AG15">
            <v>2</v>
          </cell>
          <cell r="AH15">
            <v>2</v>
          </cell>
          <cell r="AI15">
            <v>2</v>
          </cell>
          <cell r="AJ15">
            <v>2</v>
          </cell>
          <cell r="AK15">
            <v>2</v>
          </cell>
          <cell r="AL15">
            <v>2</v>
          </cell>
          <cell r="AM15">
            <v>2</v>
          </cell>
          <cell r="AN15">
            <v>2</v>
          </cell>
          <cell r="AO15">
            <v>2</v>
          </cell>
          <cell r="AP15">
            <v>2</v>
          </cell>
          <cell r="AQ15">
            <v>2</v>
          </cell>
          <cell r="AR15">
            <v>2</v>
          </cell>
          <cell r="AS15">
            <v>2</v>
          </cell>
        </row>
        <row r="16">
          <cell r="B16" t="str">
            <v>05.06</v>
          </cell>
          <cell r="C16">
            <v>1</v>
          </cell>
          <cell r="D16">
            <v>1</v>
          </cell>
          <cell r="E16">
            <v>1</v>
          </cell>
          <cell r="F16">
            <v>1</v>
          </cell>
          <cell r="G16">
            <v>1</v>
          </cell>
          <cell r="H16">
            <v>1</v>
          </cell>
          <cell r="I16">
            <v>1</v>
          </cell>
          <cell r="J16">
            <v>1</v>
          </cell>
          <cell r="K16">
            <v>1</v>
          </cell>
          <cell r="L16">
            <v>1</v>
          </cell>
          <cell r="M16">
            <v>1</v>
          </cell>
          <cell r="N16">
            <v>1</v>
          </cell>
          <cell r="O16">
            <v>1</v>
          </cell>
          <cell r="P16">
            <v>1</v>
          </cell>
          <cell r="Q16">
            <v>1</v>
          </cell>
          <cell r="R16">
            <v>1</v>
          </cell>
          <cell r="S16">
            <v>1</v>
          </cell>
          <cell r="T16">
            <v>1</v>
          </cell>
          <cell r="U16">
            <v>1</v>
          </cell>
          <cell r="V16">
            <v>1</v>
          </cell>
          <cell r="W16">
            <v>1</v>
          </cell>
          <cell r="X16">
            <v>1</v>
          </cell>
          <cell r="Y16">
            <v>1</v>
          </cell>
          <cell r="Z16">
            <v>1</v>
          </cell>
          <cell r="AA16">
            <v>1</v>
          </cell>
          <cell r="AB16">
            <v>1</v>
          </cell>
          <cell r="AC16">
            <v>1</v>
          </cell>
          <cell r="AD16">
            <v>1</v>
          </cell>
          <cell r="AE16">
            <v>1</v>
          </cell>
          <cell r="AF16">
            <v>1</v>
          </cell>
          <cell r="AG16">
            <v>1</v>
          </cell>
          <cell r="AH16">
            <v>1</v>
          </cell>
          <cell r="AI16">
            <v>1</v>
          </cell>
          <cell r="AJ16">
            <v>1</v>
          </cell>
          <cell r="AK16">
            <v>1</v>
          </cell>
          <cell r="AL16">
            <v>1</v>
          </cell>
          <cell r="AM16">
            <v>1</v>
          </cell>
          <cell r="AN16">
            <v>1</v>
          </cell>
          <cell r="AO16">
            <v>1</v>
          </cell>
          <cell r="AP16">
            <v>1</v>
          </cell>
          <cell r="AQ16">
            <v>1</v>
          </cell>
          <cell r="AR16">
            <v>1</v>
          </cell>
          <cell r="AS16">
            <v>1</v>
          </cell>
        </row>
        <row r="17">
          <cell r="B17" t="str">
            <v>05.07</v>
          </cell>
          <cell r="C17">
            <v>1</v>
          </cell>
          <cell r="D17">
            <v>1</v>
          </cell>
          <cell r="E17">
            <v>1</v>
          </cell>
          <cell r="F17">
            <v>1</v>
          </cell>
          <cell r="G17">
            <v>1</v>
          </cell>
          <cell r="H17">
            <v>1</v>
          </cell>
          <cell r="I17">
            <v>1</v>
          </cell>
          <cell r="J17">
            <v>1</v>
          </cell>
          <cell r="K17">
            <v>1</v>
          </cell>
          <cell r="L17">
            <v>1</v>
          </cell>
          <cell r="M17">
            <v>1</v>
          </cell>
          <cell r="N17">
            <v>1</v>
          </cell>
          <cell r="O17">
            <v>1</v>
          </cell>
          <cell r="P17">
            <v>1</v>
          </cell>
          <cell r="Q17">
            <v>1</v>
          </cell>
          <cell r="R17">
            <v>1</v>
          </cell>
          <cell r="S17">
            <v>1</v>
          </cell>
          <cell r="T17">
            <v>1</v>
          </cell>
          <cell r="U17">
            <v>1</v>
          </cell>
          <cell r="V17">
            <v>1</v>
          </cell>
          <cell r="W17">
            <v>1</v>
          </cell>
          <cell r="X17">
            <v>1</v>
          </cell>
          <cell r="Y17">
            <v>1</v>
          </cell>
          <cell r="Z17">
            <v>1</v>
          </cell>
          <cell r="AA17">
            <v>1</v>
          </cell>
          <cell r="AB17">
            <v>1</v>
          </cell>
          <cell r="AC17">
            <v>1</v>
          </cell>
          <cell r="AD17">
            <v>1</v>
          </cell>
          <cell r="AE17">
            <v>1</v>
          </cell>
          <cell r="AF17">
            <v>1</v>
          </cell>
          <cell r="AG17">
            <v>1</v>
          </cell>
          <cell r="AH17">
            <v>1</v>
          </cell>
          <cell r="AI17">
            <v>1</v>
          </cell>
          <cell r="AJ17">
            <v>1</v>
          </cell>
          <cell r="AK17">
            <v>1</v>
          </cell>
          <cell r="AL17">
            <v>1</v>
          </cell>
          <cell r="AM17">
            <v>1</v>
          </cell>
          <cell r="AN17">
            <v>1</v>
          </cell>
          <cell r="AO17">
            <v>1</v>
          </cell>
          <cell r="AP17">
            <v>1</v>
          </cell>
          <cell r="AQ17">
            <v>1</v>
          </cell>
          <cell r="AR17">
            <v>1</v>
          </cell>
          <cell r="AS17">
            <v>1</v>
          </cell>
        </row>
        <row r="18">
          <cell r="B18" t="str">
            <v>05.08</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row>
        <row r="19">
          <cell r="B19" t="str">
            <v>05.09</v>
          </cell>
          <cell r="C19">
            <v>1</v>
          </cell>
          <cell r="D19">
            <v>1</v>
          </cell>
          <cell r="E19">
            <v>1</v>
          </cell>
          <cell r="F19">
            <v>1</v>
          </cell>
          <cell r="G19">
            <v>1</v>
          </cell>
          <cell r="H19">
            <v>1</v>
          </cell>
          <cell r="I19">
            <v>1</v>
          </cell>
          <cell r="J19">
            <v>1</v>
          </cell>
          <cell r="K19">
            <v>1</v>
          </cell>
          <cell r="L19">
            <v>1</v>
          </cell>
          <cell r="M19">
            <v>1</v>
          </cell>
          <cell r="N19">
            <v>1</v>
          </cell>
          <cell r="O19">
            <v>1</v>
          </cell>
          <cell r="P19">
            <v>1</v>
          </cell>
          <cell r="Q19">
            <v>1</v>
          </cell>
          <cell r="R19">
            <v>1</v>
          </cell>
          <cell r="S19">
            <v>1</v>
          </cell>
          <cell r="T19">
            <v>1</v>
          </cell>
          <cell r="U19">
            <v>1</v>
          </cell>
          <cell r="V19">
            <v>1</v>
          </cell>
          <cell r="W19">
            <v>1</v>
          </cell>
          <cell r="X19">
            <v>1</v>
          </cell>
          <cell r="Y19">
            <v>1</v>
          </cell>
          <cell r="Z19">
            <v>1</v>
          </cell>
          <cell r="AA19">
            <v>1</v>
          </cell>
          <cell r="AB19">
            <v>1</v>
          </cell>
          <cell r="AC19">
            <v>1</v>
          </cell>
          <cell r="AD19">
            <v>1</v>
          </cell>
          <cell r="AE19">
            <v>1</v>
          </cell>
          <cell r="AF19">
            <v>1</v>
          </cell>
          <cell r="AG19">
            <v>1</v>
          </cell>
          <cell r="AH19">
            <v>1</v>
          </cell>
          <cell r="AI19">
            <v>1</v>
          </cell>
          <cell r="AJ19">
            <v>1</v>
          </cell>
          <cell r="AK19">
            <v>1</v>
          </cell>
          <cell r="AL19">
            <v>1</v>
          </cell>
          <cell r="AM19">
            <v>1</v>
          </cell>
          <cell r="AN19">
            <v>1</v>
          </cell>
          <cell r="AO19">
            <v>1</v>
          </cell>
          <cell r="AP19">
            <v>1</v>
          </cell>
          <cell r="AQ19">
            <v>1</v>
          </cell>
          <cell r="AR19">
            <v>1</v>
          </cell>
          <cell r="AS19">
            <v>1</v>
          </cell>
        </row>
        <row r="20">
          <cell r="B20" t="str">
            <v>06.01</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row>
        <row r="21">
          <cell r="B21" t="str">
            <v>06.02</v>
          </cell>
          <cell r="C21">
            <v>1</v>
          </cell>
          <cell r="D21">
            <v>1</v>
          </cell>
          <cell r="E21">
            <v>1</v>
          </cell>
          <cell r="F21">
            <v>1</v>
          </cell>
          <cell r="G21">
            <v>1</v>
          </cell>
          <cell r="H21">
            <v>1</v>
          </cell>
          <cell r="I21">
            <v>1</v>
          </cell>
          <cell r="J21">
            <v>1</v>
          </cell>
          <cell r="K21">
            <v>1</v>
          </cell>
          <cell r="L21">
            <v>1</v>
          </cell>
          <cell r="M21">
            <v>1</v>
          </cell>
          <cell r="N21">
            <v>1</v>
          </cell>
          <cell r="O21">
            <v>1</v>
          </cell>
          <cell r="P21">
            <v>1</v>
          </cell>
          <cell r="Q21">
            <v>1</v>
          </cell>
          <cell r="R21">
            <v>1</v>
          </cell>
          <cell r="S21">
            <v>1</v>
          </cell>
          <cell r="T21">
            <v>1</v>
          </cell>
          <cell r="U21">
            <v>1</v>
          </cell>
          <cell r="V21">
            <v>1</v>
          </cell>
          <cell r="W21">
            <v>1</v>
          </cell>
          <cell r="X21">
            <v>1</v>
          </cell>
          <cell r="Y21">
            <v>1</v>
          </cell>
          <cell r="Z21">
            <v>1</v>
          </cell>
          <cell r="AA21">
            <v>1</v>
          </cell>
          <cell r="AB21">
            <v>1</v>
          </cell>
          <cell r="AC21">
            <v>1</v>
          </cell>
          <cell r="AD21">
            <v>1</v>
          </cell>
          <cell r="AE21">
            <v>1</v>
          </cell>
          <cell r="AF21">
            <v>1</v>
          </cell>
          <cell r="AG21">
            <v>1</v>
          </cell>
          <cell r="AH21">
            <v>1</v>
          </cell>
          <cell r="AI21">
            <v>1</v>
          </cell>
          <cell r="AJ21">
            <v>1</v>
          </cell>
          <cell r="AK21">
            <v>1</v>
          </cell>
          <cell r="AL21">
            <v>1.3333333333333333</v>
          </cell>
          <cell r="AM21">
            <v>1.3333333333333333</v>
          </cell>
          <cell r="AN21">
            <v>1.3333333333333333</v>
          </cell>
          <cell r="AO21">
            <v>1.3333333333333333</v>
          </cell>
          <cell r="AP21">
            <v>1.3333333333333333</v>
          </cell>
          <cell r="AQ21">
            <v>1.3333333333333333</v>
          </cell>
          <cell r="AR21">
            <v>1.3333333333333333</v>
          </cell>
          <cell r="AS21">
            <v>1.3333333333333333</v>
          </cell>
        </row>
        <row r="22">
          <cell r="B22" t="str">
            <v>06.03</v>
          </cell>
          <cell r="C22">
            <v>1</v>
          </cell>
          <cell r="D22">
            <v>1</v>
          </cell>
          <cell r="E22">
            <v>1</v>
          </cell>
          <cell r="F22">
            <v>1</v>
          </cell>
          <cell r="G22">
            <v>1</v>
          </cell>
          <cell r="H22">
            <v>1</v>
          </cell>
          <cell r="I22">
            <v>1</v>
          </cell>
          <cell r="J22">
            <v>1</v>
          </cell>
          <cell r="K22">
            <v>1</v>
          </cell>
          <cell r="L22">
            <v>1</v>
          </cell>
          <cell r="M22">
            <v>1</v>
          </cell>
          <cell r="N22">
            <v>1</v>
          </cell>
          <cell r="O22">
            <v>1</v>
          </cell>
          <cell r="P22">
            <v>1</v>
          </cell>
          <cell r="Q22">
            <v>1</v>
          </cell>
          <cell r="R22">
            <v>1</v>
          </cell>
          <cell r="S22">
            <v>1</v>
          </cell>
          <cell r="T22">
            <v>1</v>
          </cell>
          <cell r="U22">
            <v>1</v>
          </cell>
          <cell r="V22">
            <v>1</v>
          </cell>
          <cell r="W22">
            <v>1</v>
          </cell>
          <cell r="X22">
            <v>1</v>
          </cell>
          <cell r="Y22">
            <v>1</v>
          </cell>
          <cell r="Z22">
            <v>1</v>
          </cell>
          <cell r="AA22">
            <v>1</v>
          </cell>
          <cell r="AB22">
            <v>1</v>
          </cell>
          <cell r="AC22">
            <v>1</v>
          </cell>
          <cell r="AD22">
            <v>1</v>
          </cell>
          <cell r="AE22">
            <v>1</v>
          </cell>
          <cell r="AF22">
            <v>1</v>
          </cell>
          <cell r="AG22">
            <v>1</v>
          </cell>
          <cell r="AH22">
            <v>1</v>
          </cell>
          <cell r="AI22">
            <v>1</v>
          </cell>
          <cell r="AJ22">
            <v>1</v>
          </cell>
          <cell r="AK22">
            <v>1</v>
          </cell>
          <cell r="AL22">
            <v>1</v>
          </cell>
          <cell r="AM22">
            <v>1</v>
          </cell>
          <cell r="AN22">
            <v>1</v>
          </cell>
          <cell r="AO22">
            <v>1</v>
          </cell>
          <cell r="AP22">
            <v>1</v>
          </cell>
          <cell r="AQ22">
            <v>1</v>
          </cell>
          <cell r="AR22">
            <v>1</v>
          </cell>
          <cell r="AS22">
            <v>1</v>
          </cell>
        </row>
        <row r="23">
          <cell r="B23" t="str">
            <v>06.04</v>
          </cell>
          <cell r="C23">
            <v>1</v>
          </cell>
          <cell r="D23">
            <v>1</v>
          </cell>
          <cell r="E23">
            <v>1</v>
          </cell>
          <cell r="F23">
            <v>1</v>
          </cell>
          <cell r="G23">
            <v>1</v>
          </cell>
          <cell r="H23">
            <v>1</v>
          </cell>
          <cell r="I23">
            <v>1</v>
          </cell>
          <cell r="J23">
            <v>1</v>
          </cell>
          <cell r="K23">
            <v>1</v>
          </cell>
          <cell r="L23">
            <v>1</v>
          </cell>
          <cell r="M23">
            <v>1</v>
          </cell>
          <cell r="N23">
            <v>1</v>
          </cell>
          <cell r="O23">
            <v>1</v>
          </cell>
          <cell r="P23">
            <v>1</v>
          </cell>
          <cell r="Q23">
            <v>1</v>
          </cell>
          <cell r="R23">
            <v>1</v>
          </cell>
          <cell r="S23">
            <v>1</v>
          </cell>
          <cell r="T23">
            <v>1</v>
          </cell>
          <cell r="U23">
            <v>1</v>
          </cell>
          <cell r="V23">
            <v>1</v>
          </cell>
          <cell r="W23">
            <v>1</v>
          </cell>
          <cell r="X23">
            <v>1</v>
          </cell>
          <cell r="Y23">
            <v>1</v>
          </cell>
          <cell r="Z23">
            <v>1</v>
          </cell>
          <cell r="AA23">
            <v>1</v>
          </cell>
          <cell r="AB23">
            <v>1</v>
          </cell>
          <cell r="AC23">
            <v>1</v>
          </cell>
          <cell r="AD23">
            <v>1</v>
          </cell>
          <cell r="AE23">
            <v>1</v>
          </cell>
          <cell r="AF23">
            <v>1</v>
          </cell>
          <cell r="AG23">
            <v>1</v>
          </cell>
          <cell r="AH23">
            <v>1</v>
          </cell>
          <cell r="AI23">
            <v>1</v>
          </cell>
          <cell r="AJ23">
            <v>1</v>
          </cell>
          <cell r="AK23">
            <v>1</v>
          </cell>
          <cell r="AL23">
            <v>1</v>
          </cell>
          <cell r="AM23">
            <v>1</v>
          </cell>
          <cell r="AN23">
            <v>1</v>
          </cell>
          <cell r="AO23">
            <v>1</v>
          </cell>
          <cell r="AP23">
            <v>1</v>
          </cell>
          <cell r="AQ23">
            <v>1</v>
          </cell>
          <cell r="AR23">
            <v>1</v>
          </cell>
          <cell r="AS23">
            <v>1</v>
          </cell>
        </row>
        <row r="24">
          <cell r="B24" t="str">
            <v>06.05</v>
          </cell>
          <cell r="C24">
            <v>1</v>
          </cell>
          <cell r="D24">
            <v>1</v>
          </cell>
          <cell r="E24">
            <v>1</v>
          </cell>
          <cell r="F24">
            <v>1</v>
          </cell>
          <cell r="G24">
            <v>1</v>
          </cell>
          <cell r="H24">
            <v>1</v>
          </cell>
          <cell r="I24">
            <v>1</v>
          </cell>
          <cell r="J24">
            <v>1</v>
          </cell>
          <cell r="K24">
            <v>1</v>
          </cell>
          <cell r="L24">
            <v>1</v>
          </cell>
          <cell r="M24">
            <v>1</v>
          </cell>
          <cell r="N24">
            <v>1</v>
          </cell>
          <cell r="O24">
            <v>1</v>
          </cell>
          <cell r="P24">
            <v>1</v>
          </cell>
          <cell r="Q24">
            <v>1</v>
          </cell>
          <cell r="R24">
            <v>1</v>
          </cell>
          <cell r="S24">
            <v>1</v>
          </cell>
          <cell r="T24">
            <v>1</v>
          </cell>
          <cell r="U24">
            <v>1</v>
          </cell>
          <cell r="V24">
            <v>1</v>
          </cell>
          <cell r="W24">
            <v>1</v>
          </cell>
          <cell r="X24">
            <v>1</v>
          </cell>
          <cell r="Y24">
            <v>1</v>
          </cell>
          <cell r="Z24">
            <v>1</v>
          </cell>
          <cell r="AA24">
            <v>1</v>
          </cell>
          <cell r="AB24">
            <v>1</v>
          </cell>
          <cell r="AC24">
            <v>1</v>
          </cell>
          <cell r="AD24">
            <v>1</v>
          </cell>
          <cell r="AE24">
            <v>1</v>
          </cell>
          <cell r="AF24">
            <v>1</v>
          </cell>
          <cell r="AG24">
            <v>1</v>
          </cell>
          <cell r="AH24">
            <v>1</v>
          </cell>
          <cell r="AI24">
            <v>1</v>
          </cell>
          <cell r="AJ24">
            <v>1</v>
          </cell>
          <cell r="AK24">
            <v>1</v>
          </cell>
          <cell r="AL24">
            <v>1</v>
          </cell>
          <cell r="AM24">
            <v>1</v>
          </cell>
          <cell r="AN24">
            <v>1</v>
          </cell>
          <cell r="AO24">
            <v>1</v>
          </cell>
          <cell r="AP24">
            <v>1</v>
          </cell>
          <cell r="AQ24">
            <v>1</v>
          </cell>
          <cell r="AR24">
            <v>1</v>
          </cell>
          <cell r="AS24">
            <v>1</v>
          </cell>
        </row>
        <row r="25">
          <cell r="B25" t="str">
            <v>06.06</v>
          </cell>
          <cell r="C25">
            <v>1</v>
          </cell>
          <cell r="D25">
            <v>1</v>
          </cell>
          <cell r="E25">
            <v>1</v>
          </cell>
          <cell r="F25">
            <v>1</v>
          </cell>
          <cell r="G25">
            <v>1</v>
          </cell>
          <cell r="H25">
            <v>1</v>
          </cell>
          <cell r="I25">
            <v>1</v>
          </cell>
          <cell r="J25">
            <v>1</v>
          </cell>
          <cell r="K25">
            <v>1</v>
          </cell>
          <cell r="L25">
            <v>1</v>
          </cell>
          <cell r="M25">
            <v>1</v>
          </cell>
          <cell r="N25">
            <v>1</v>
          </cell>
          <cell r="O25">
            <v>1</v>
          </cell>
          <cell r="P25">
            <v>1</v>
          </cell>
          <cell r="Q25">
            <v>1</v>
          </cell>
          <cell r="R25">
            <v>1</v>
          </cell>
          <cell r="S25">
            <v>1</v>
          </cell>
          <cell r="T25">
            <v>1</v>
          </cell>
          <cell r="U25">
            <v>1</v>
          </cell>
          <cell r="V25">
            <v>1</v>
          </cell>
          <cell r="W25">
            <v>1</v>
          </cell>
          <cell r="X25">
            <v>1</v>
          </cell>
          <cell r="Y25">
            <v>1</v>
          </cell>
          <cell r="Z25">
            <v>1</v>
          </cell>
          <cell r="AA25">
            <v>1</v>
          </cell>
          <cell r="AB25">
            <v>1</v>
          </cell>
          <cell r="AC25">
            <v>1</v>
          </cell>
          <cell r="AD25">
            <v>1</v>
          </cell>
          <cell r="AE25">
            <v>1</v>
          </cell>
          <cell r="AF25">
            <v>1</v>
          </cell>
          <cell r="AG25">
            <v>1</v>
          </cell>
          <cell r="AH25">
            <v>1</v>
          </cell>
          <cell r="AI25">
            <v>1</v>
          </cell>
          <cell r="AJ25">
            <v>1</v>
          </cell>
          <cell r="AK25">
            <v>1</v>
          </cell>
          <cell r="AL25">
            <v>1</v>
          </cell>
          <cell r="AM25">
            <v>1</v>
          </cell>
          <cell r="AN25">
            <v>1</v>
          </cell>
          <cell r="AO25">
            <v>1</v>
          </cell>
          <cell r="AP25">
            <v>1</v>
          </cell>
          <cell r="AQ25">
            <v>1</v>
          </cell>
          <cell r="AR25">
            <v>1</v>
          </cell>
          <cell r="AS25">
            <v>1</v>
          </cell>
        </row>
        <row r="26">
          <cell r="B26" t="str">
            <v>06.07</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row>
        <row r="27">
          <cell r="B27" t="str">
            <v>06.08</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row>
        <row r="28">
          <cell r="B28" t="str">
            <v>06.09</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row>
        <row r="29">
          <cell r="B29" t="str">
            <v>06.10</v>
          </cell>
          <cell r="C29">
            <v>1</v>
          </cell>
          <cell r="D29">
            <v>1</v>
          </cell>
          <cell r="E29">
            <v>1</v>
          </cell>
          <cell r="F29">
            <v>1</v>
          </cell>
          <cell r="G29">
            <v>1</v>
          </cell>
          <cell r="H29">
            <v>1</v>
          </cell>
          <cell r="I29">
            <v>1</v>
          </cell>
          <cell r="J29">
            <v>1</v>
          </cell>
          <cell r="K29">
            <v>1</v>
          </cell>
          <cell r="L29">
            <v>1</v>
          </cell>
          <cell r="M29">
            <v>1</v>
          </cell>
          <cell r="N29">
            <v>1</v>
          </cell>
          <cell r="O29">
            <v>1</v>
          </cell>
          <cell r="P29">
            <v>1</v>
          </cell>
          <cell r="Q29">
            <v>1</v>
          </cell>
          <cell r="R29">
            <v>1</v>
          </cell>
          <cell r="S29">
            <v>1</v>
          </cell>
          <cell r="T29">
            <v>1</v>
          </cell>
          <cell r="U29">
            <v>1</v>
          </cell>
          <cell r="V29">
            <v>1</v>
          </cell>
          <cell r="W29">
            <v>1</v>
          </cell>
          <cell r="X29">
            <v>1</v>
          </cell>
          <cell r="Y29">
            <v>1</v>
          </cell>
          <cell r="Z29">
            <v>1</v>
          </cell>
          <cell r="AA29">
            <v>1</v>
          </cell>
          <cell r="AB29">
            <v>1</v>
          </cell>
          <cell r="AC29">
            <v>1</v>
          </cell>
          <cell r="AD29">
            <v>1</v>
          </cell>
          <cell r="AE29">
            <v>1</v>
          </cell>
          <cell r="AF29">
            <v>1</v>
          </cell>
          <cell r="AG29">
            <v>1</v>
          </cell>
          <cell r="AH29">
            <v>1</v>
          </cell>
          <cell r="AI29">
            <v>1</v>
          </cell>
          <cell r="AJ29">
            <v>1</v>
          </cell>
          <cell r="AK29">
            <v>1</v>
          </cell>
          <cell r="AL29">
            <v>1</v>
          </cell>
          <cell r="AM29">
            <v>1</v>
          </cell>
          <cell r="AN29">
            <v>1</v>
          </cell>
          <cell r="AO29">
            <v>1</v>
          </cell>
          <cell r="AP29">
            <v>1</v>
          </cell>
          <cell r="AQ29">
            <v>1</v>
          </cell>
          <cell r="AR29">
            <v>1</v>
          </cell>
          <cell r="AS29">
            <v>1</v>
          </cell>
        </row>
        <row r="30">
          <cell r="B30" t="str">
            <v>06.11</v>
          </cell>
          <cell r="C30">
            <v>1</v>
          </cell>
          <cell r="D30">
            <v>1</v>
          </cell>
          <cell r="E30">
            <v>1</v>
          </cell>
          <cell r="F30">
            <v>1</v>
          </cell>
          <cell r="G30">
            <v>1</v>
          </cell>
          <cell r="H30">
            <v>1</v>
          </cell>
          <cell r="I30">
            <v>1</v>
          </cell>
          <cell r="J30">
            <v>1</v>
          </cell>
          <cell r="K30">
            <v>1</v>
          </cell>
          <cell r="L30">
            <v>1</v>
          </cell>
          <cell r="M30">
            <v>1</v>
          </cell>
          <cell r="N30">
            <v>1</v>
          </cell>
          <cell r="O30">
            <v>1</v>
          </cell>
          <cell r="P30">
            <v>1</v>
          </cell>
          <cell r="Q30">
            <v>1</v>
          </cell>
          <cell r="R30">
            <v>1</v>
          </cell>
          <cell r="S30">
            <v>1</v>
          </cell>
          <cell r="T30">
            <v>1</v>
          </cell>
          <cell r="U30">
            <v>1</v>
          </cell>
          <cell r="V30">
            <v>1</v>
          </cell>
          <cell r="W30">
            <v>1</v>
          </cell>
          <cell r="X30">
            <v>1</v>
          </cell>
          <cell r="Y30">
            <v>1</v>
          </cell>
          <cell r="Z30">
            <v>1</v>
          </cell>
          <cell r="AA30">
            <v>1</v>
          </cell>
          <cell r="AB30">
            <v>1</v>
          </cell>
          <cell r="AC30">
            <v>1</v>
          </cell>
          <cell r="AD30">
            <v>1</v>
          </cell>
          <cell r="AE30">
            <v>1</v>
          </cell>
          <cell r="AF30">
            <v>1</v>
          </cell>
          <cell r="AG30">
            <v>1</v>
          </cell>
          <cell r="AH30">
            <v>1</v>
          </cell>
          <cell r="AI30">
            <v>1</v>
          </cell>
          <cell r="AJ30">
            <v>1</v>
          </cell>
          <cell r="AK30">
            <v>1</v>
          </cell>
          <cell r="AL30">
            <v>1</v>
          </cell>
          <cell r="AM30">
            <v>1</v>
          </cell>
          <cell r="AN30">
            <v>1</v>
          </cell>
          <cell r="AO30">
            <v>1</v>
          </cell>
          <cell r="AP30">
            <v>1</v>
          </cell>
          <cell r="AQ30">
            <v>1</v>
          </cell>
          <cell r="AR30">
            <v>1</v>
          </cell>
          <cell r="AS30">
            <v>1</v>
          </cell>
        </row>
        <row r="31">
          <cell r="B31" t="str">
            <v>06.12</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cell r="AE31">
            <v>1</v>
          </cell>
          <cell r="AF31">
            <v>1</v>
          </cell>
          <cell r="AG31">
            <v>1</v>
          </cell>
          <cell r="AH31">
            <v>1</v>
          </cell>
          <cell r="AI31">
            <v>1</v>
          </cell>
          <cell r="AJ31">
            <v>1</v>
          </cell>
          <cell r="AK31">
            <v>1</v>
          </cell>
          <cell r="AL31">
            <v>1</v>
          </cell>
          <cell r="AM31">
            <v>1</v>
          </cell>
          <cell r="AN31">
            <v>1</v>
          </cell>
          <cell r="AO31">
            <v>1</v>
          </cell>
          <cell r="AP31">
            <v>1</v>
          </cell>
          <cell r="AQ31">
            <v>1</v>
          </cell>
          <cell r="AR31">
            <v>1</v>
          </cell>
          <cell r="AS31">
            <v>1</v>
          </cell>
        </row>
        <row r="32">
          <cell r="B32" t="str">
            <v>06.13</v>
          </cell>
          <cell r="C32">
            <v>1</v>
          </cell>
          <cell r="D32">
            <v>1</v>
          </cell>
          <cell r="E32">
            <v>1</v>
          </cell>
          <cell r="F32">
            <v>1</v>
          </cell>
          <cell r="G32">
            <v>1</v>
          </cell>
          <cell r="H32">
            <v>1</v>
          </cell>
          <cell r="I32">
            <v>1</v>
          </cell>
          <cell r="J32">
            <v>1</v>
          </cell>
          <cell r="K32">
            <v>1</v>
          </cell>
          <cell r="L32">
            <v>1</v>
          </cell>
          <cell r="M32">
            <v>1</v>
          </cell>
          <cell r="N32">
            <v>1</v>
          </cell>
          <cell r="O32">
            <v>1</v>
          </cell>
          <cell r="P32">
            <v>1</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E32">
            <v>1</v>
          </cell>
          <cell r="AF32">
            <v>1</v>
          </cell>
          <cell r="AG32">
            <v>1</v>
          </cell>
          <cell r="AH32">
            <v>1</v>
          </cell>
          <cell r="AI32">
            <v>1</v>
          </cell>
          <cell r="AJ32">
            <v>1</v>
          </cell>
          <cell r="AK32">
            <v>1</v>
          </cell>
          <cell r="AL32">
            <v>1</v>
          </cell>
          <cell r="AM32">
            <v>1</v>
          </cell>
          <cell r="AN32">
            <v>1</v>
          </cell>
          <cell r="AO32">
            <v>1</v>
          </cell>
          <cell r="AP32">
            <v>1</v>
          </cell>
          <cell r="AQ32">
            <v>1</v>
          </cell>
          <cell r="AR32">
            <v>1</v>
          </cell>
          <cell r="AS32">
            <v>1</v>
          </cell>
        </row>
        <row r="33">
          <cell r="B33" t="str">
            <v>07.01</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row>
        <row r="34">
          <cell r="B34" t="str">
            <v>07.02</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row>
        <row r="35">
          <cell r="B35" t="str">
            <v>07.03</v>
          </cell>
          <cell r="C35">
            <v>1</v>
          </cell>
          <cell r="D35">
            <v>1</v>
          </cell>
          <cell r="E35">
            <v>1</v>
          </cell>
          <cell r="F35">
            <v>1</v>
          </cell>
          <cell r="G35">
            <v>1</v>
          </cell>
          <cell r="H35">
            <v>1</v>
          </cell>
          <cell r="I35">
            <v>1</v>
          </cell>
          <cell r="J35">
            <v>1</v>
          </cell>
          <cell r="K35">
            <v>1</v>
          </cell>
          <cell r="L35">
            <v>1</v>
          </cell>
          <cell r="M35">
            <v>1</v>
          </cell>
          <cell r="N35">
            <v>1</v>
          </cell>
          <cell r="O35">
            <v>1</v>
          </cell>
          <cell r="P35">
            <v>1</v>
          </cell>
          <cell r="Q35">
            <v>1</v>
          </cell>
          <cell r="R35">
            <v>1</v>
          </cell>
          <cell r="S35">
            <v>1</v>
          </cell>
          <cell r="T35">
            <v>1</v>
          </cell>
          <cell r="U35">
            <v>1</v>
          </cell>
          <cell r="V35">
            <v>1</v>
          </cell>
          <cell r="W35">
            <v>1</v>
          </cell>
          <cell r="X35">
            <v>1</v>
          </cell>
          <cell r="Y35">
            <v>1</v>
          </cell>
          <cell r="Z35">
            <v>1</v>
          </cell>
          <cell r="AA35">
            <v>1</v>
          </cell>
          <cell r="AB35">
            <v>1</v>
          </cell>
          <cell r="AC35">
            <v>1</v>
          </cell>
          <cell r="AD35">
            <v>1</v>
          </cell>
          <cell r="AE35">
            <v>1</v>
          </cell>
          <cell r="AF35">
            <v>1</v>
          </cell>
          <cell r="AG35">
            <v>1</v>
          </cell>
          <cell r="AH35">
            <v>1</v>
          </cell>
          <cell r="AI35">
            <v>1</v>
          </cell>
          <cell r="AJ35">
            <v>1</v>
          </cell>
          <cell r="AK35">
            <v>1</v>
          </cell>
          <cell r="AL35">
            <v>1</v>
          </cell>
          <cell r="AM35">
            <v>1</v>
          </cell>
          <cell r="AN35">
            <v>1</v>
          </cell>
          <cell r="AO35">
            <v>1</v>
          </cell>
          <cell r="AP35">
            <v>1</v>
          </cell>
          <cell r="AQ35">
            <v>1</v>
          </cell>
          <cell r="AR35">
            <v>1</v>
          </cell>
          <cell r="AS35">
            <v>1</v>
          </cell>
        </row>
        <row r="36">
          <cell r="B36" t="str">
            <v>07.04</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row>
        <row r="37">
          <cell r="B37" t="str">
            <v>07.05</v>
          </cell>
          <cell r="C37">
            <v>1</v>
          </cell>
          <cell r="D37">
            <v>1</v>
          </cell>
          <cell r="E37">
            <v>1</v>
          </cell>
          <cell r="F37">
            <v>1</v>
          </cell>
          <cell r="G37">
            <v>1</v>
          </cell>
          <cell r="H37">
            <v>1</v>
          </cell>
          <cell r="I37">
            <v>1</v>
          </cell>
          <cell r="J37">
            <v>1</v>
          </cell>
          <cell r="K37">
            <v>1</v>
          </cell>
          <cell r="L37">
            <v>1</v>
          </cell>
          <cell r="M37">
            <v>1</v>
          </cell>
          <cell r="N37">
            <v>1</v>
          </cell>
          <cell r="O37">
            <v>1</v>
          </cell>
          <cell r="P37">
            <v>1</v>
          </cell>
          <cell r="Q37">
            <v>1</v>
          </cell>
          <cell r="R37">
            <v>1</v>
          </cell>
          <cell r="S37">
            <v>1</v>
          </cell>
          <cell r="T37">
            <v>1</v>
          </cell>
          <cell r="U37">
            <v>1</v>
          </cell>
          <cell r="V37">
            <v>1</v>
          </cell>
          <cell r="W37">
            <v>1</v>
          </cell>
          <cell r="X37">
            <v>1</v>
          </cell>
          <cell r="Y37">
            <v>1</v>
          </cell>
          <cell r="Z37">
            <v>1</v>
          </cell>
          <cell r="AA37">
            <v>1</v>
          </cell>
          <cell r="AB37">
            <v>1</v>
          </cell>
          <cell r="AC37">
            <v>1</v>
          </cell>
          <cell r="AD37">
            <v>1</v>
          </cell>
          <cell r="AE37">
            <v>1</v>
          </cell>
          <cell r="AF37">
            <v>1</v>
          </cell>
          <cell r="AG37">
            <v>1</v>
          </cell>
          <cell r="AH37">
            <v>1</v>
          </cell>
          <cell r="AI37">
            <v>1</v>
          </cell>
          <cell r="AJ37">
            <v>1</v>
          </cell>
          <cell r="AK37">
            <v>1</v>
          </cell>
          <cell r="AL37">
            <v>1</v>
          </cell>
          <cell r="AM37">
            <v>1</v>
          </cell>
          <cell r="AN37">
            <v>1</v>
          </cell>
          <cell r="AO37">
            <v>1</v>
          </cell>
          <cell r="AP37">
            <v>1</v>
          </cell>
          <cell r="AQ37">
            <v>1</v>
          </cell>
          <cell r="AR37">
            <v>1</v>
          </cell>
          <cell r="AS37">
            <v>1</v>
          </cell>
        </row>
        <row r="38">
          <cell r="B38" t="str">
            <v>07.06</v>
          </cell>
          <cell r="C38">
            <v>1</v>
          </cell>
          <cell r="D38">
            <v>1</v>
          </cell>
          <cell r="E38">
            <v>1</v>
          </cell>
          <cell r="F38">
            <v>1</v>
          </cell>
          <cell r="G38">
            <v>1</v>
          </cell>
          <cell r="H38">
            <v>1</v>
          </cell>
          <cell r="I38">
            <v>1</v>
          </cell>
          <cell r="J38">
            <v>1</v>
          </cell>
          <cell r="K38">
            <v>1</v>
          </cell>
          <cell r="L38">
            <v>1</v>
          </cell>
          <cell r="M38">
            <v>1</v>
          </cell>
          <cell r="N38">
            <v>1</v>
          </cell>
          <cell r="O38">
            <v>1</v>
          </cell>
          <cell r="P38">
            <v>1</v>
          </cell>
          <cell r="Q38">
            <v>1</v>
          </cell>
          <cell r="R38">
            <v>1</v>
          </cell>
          <cell r="S38">
            <v>1</v>
          </cell>
          <cell r="T38">
            <v>1</v>
          </cell>
          <cell r="U38">
            <v>1</v>
          </cell>
          <cell r="V38">
            <v>1</v>
          </cell>
          <cell r="W38">
            <v>1</v>
          </cell>
          <cell r="X38">
            <v>1</v>
          </cell>
          <cell r="Y38">
            <v>1</v>
          </cell>
          <cell r="Z38">
            <v>1</v>
          </cell>
          <cell r="AA38">
            <v>1</v>
          </cell>
          <cell r="AB38">
            <v>1</v>
          </cell>
          <cell r="AC38">
            <v>1</v>
          </cell>
          <cell r="AD38">
            <v>1</v>
          </cell>
          <cell r="AE38">
            <v>1</v>
          </cell>
          <cell r="AF38">
            <v>1</v>
          </cell>
          <cell r="AG38">
            <v>1</v>
          </cell>
          <cell r="AH38">
            <v>1</v>
          </cell>
          <cell r="AI38">
            <v>1</v>
          </cell>
          <cell r="AJ38">
            <v>1</v>
          </cell>
          <cell r="AK38">
            <v>1</v>
          </cell>
          <cell r="AL38">
            <v>1</v>
          </cell>
          <cell r="AM38">
            <v>1</v>
          </cell>
          <cell r="AN38">
            <v>1</v>
          </cell>
          <cell r="AO38">
            <v>1</v>
          </cell>
          <cell r="AP38">
            <v>1</v>
          </cell>
          <cell r="AQ38">
            <v>1</v>
          </cell>
          <cell r="AR38">
            <v>1</v>
          </cell>
          <cell r="AS38">
            <v>1</v>
          </cell>
        </row>
        <row r="39">
          <cell r="B39" t="str">
            <v>08.01</v>
          </cell>
          <cell r="C39">
            <v>7</v>
          </cell>
          <cell r="D39">
            <v>8</v>
          </cell>
          <cell r="E39">
            <v>9</v>
          </cell>
          <cell r="F39">
            <v>10</v>
          </cell>
          <cell r="G39">
            <v>11</v>
          </cell>
          <cell r="H39">
            <v>12</v>
          </cell>
          <cell r="I39">
            <v>14</v>
          </cell>
          <cell r="J39">
            <v>15</v>
          </cell>
          <cell r="K39">
            <v>16</v>
          </cell>
          <cell r="L39">
            <v>17</v>
          </cell>
          <cell r="M39">
            <v>18</v>
          </cell>
          <cell r="N39">
            <v>19</v>
          </cell>
          <cell r="O39">
            <v>20</v>
          </cell>
          <cell r="P39">
            <v>21</v>
          </cell>
          <cell r="Q39">
            <v>22</v>
          </cell>
          <cell r="R39">
            <v>23</v>
          </cell>
          <cell r="S39">
            <v>24</v>
          </cell>
          <cell r="T39">
            <v>25</v>
          </cell>
          <cell r="U39">
            <v>26</v>
          </cell>
          <cell r="V39">
            <v>27</v>
          </cell>
          <cell r="W39">
            <v>28</v>
          </cell>
          <cell r="X39">
            <v>29</v>
          </cell>
          <cell r="Y39">
            <v>30</v>
          </cell>
          <cell r="Z39">
            <v>31</v>
          </cell>
          <cell r="AA39">
            <v>32</v>
          </cell>
          <cell r="AB39">
            <v>33</v>
          </cell>
          <cell r="AC39">
            <v>34</v>
          </cell>
          <cell r="AD39">
            <v>35</v>
          </cell>
          <cell r="AE39">
            <v>36</v>
          </cell>
          <cell r="AF39">
            <v>37</v>
          </cell>
          <cell r="AG39">
            <v>38</v>
          </cell>
          <cell r="AH39">
            <v>39</v>
          </cell>
          <cell r="AI39">
            <v>40</v>
          </cell>
          <cell r="AJ39">
            <v>41</v>
          </cell>
          <cell r="AK39">
            <v>42</v>
          </cell>
          <cell r="AL39">
            <v>43</v>
          </cell>
          <cell r="AM39">
            <v>44</v>
          </cell>
          <cell r="AN39">
            <v>45</v>
          </cell>
          <cell r="AO39">
            <v>46</v>
          </cell>
          <cell r="AP39">
            <v>47</v>
          </cell>
          <cell r="AQ39">
            <v>48</v>
          </cell>
          <cell r="AR39">
            <v>49</v>
          </cell>
          <cell r="AS39">
            <v>50</v>
          </cell>
        </row>
        <row r="40">
          <cell r="B40" t="str">
            <v>08.02</v>
          </cell>
          <cell r="C40">
            <v>1</v>
          </cell>
          <cell r="D40">
            <v>1</v>
          </cell>
          <cell r="E40">
            <v>1</v>
          </cell>
          <cell r="F40">
            <v>1</v>
          </cell>
          <cell r="G40">
            <v>1</v>
          </cell>
          <cell r="H40">
            <v>1</v>
          </cell>
          <cell r="I40">
            <v>1</v>
          </cell>
          <cell r="J40">
            <v>1</v>
          </cell>
          <cell r="K40">
            <v>1</v>
          </cell>
          <cell r="L40">
            <v>1</v>
          </cell>
          <cell r="M40">
            <v>1</v>
          </cell>
          <cell r="N40">
            <v>1</v>
          </cell>
          <cell r="O40">
            <v>1</v>
          </cell>
          <cell r="P40">
            <v>1</v>
          </cell>
          <cell r="Q40">
            <v>1</v>
          </cell>
          <cell r="R40">
            <v>1</v>
          </cell>
          <cell r="S40">
            <v>1</v>
          </cell>
          <cell r="T40">
            <v>1</v>
          </cell>
          <cell r="U40">
            <v>1</v>
          </cell>
          <cell r="V40">
            <v>1</v>
          </cell>
          <cell r="W40">
            <v>1</v>
          </cell>
          <cell r="X40">
            <v>1</v>
          </cell>
          <cell r="Y40">
            <v>1</v>
          </cell>
          <cell r="Z40">
            <v>1</v>
          </cell>
          <cell r="AA40">
            <v>1</v>
          </cell>
          <cell r="AB40">
            <v>1</v>
          </cell>
          <cell r="AC40">
            <v>1</v>
          </cell>
          <cell r="AD40">
            <v>2</v>
          </cell>
          <cell r="AE40">
            <v>2</v>
          </cell>
          <cell r="AF40">
            <v>2</v>
          </cell>
          <cell r="AG40">
            <v>2</v>
          </cell>
          <cell r="AH40">
            <v>2</v>
          </cell>
          <cell r="AI40">
            <v>2</v>
          </cell>
          <cell r="AJ40">
            <v>2</v>
          </cell>
          <cell r="AK40">
            <v>2</v>
          </cell>
          <cell r="AL40">
            <v>2</v>
          </cell>
          <cell r="AM40">
            <v>2</v>
          </cell>
          <cell r="AN40">
            <v>2</v>
          </cell>
          <cell r="AO40">
            <v>2</v>
          </cell>
          <cell r="AP40">
            <v>2</v>
          </cell>
          <cell r="AQ40">
            <v>2</v>
          </cell>
          <cell r="AR40">
            <v>2</v>
          </cell>
          <cell r="AS40">
            <v>2</v>
          </cell>
        </row>
        <row r="41">
          <cell r="B41" t="str">
            <v>08.03</v>
          </cell>
          <cell r="C41">
            <v>1</v>
          </cell>
          <cell r="D41">
            <v>1</v>
          </cell>
          <cell r="E41">
            <v>1</v>
          </cell>
          <cell r="F41">
            <v>1</v>
          </cell>
          <cell r="G41">
            <v>1</v>
          </cell>
          <cell r="H41">
            <v>1</v>
          </cell>
          <cell r="I41">
            <v>1</v>
          </cell>
          <cell r="J41">
            <v>1</v>
          </cell>
          <cell r="K41">
            <v>1</v>
          </cell>
          <cell r="L41">
            <v>1</v>
          </cell>
          <cell r="M41">
            <v>1</v>
          </cell>
          <cell r="N41">
            <v>1</v>
          </cell>
          <cell r="O41">
            <v>1</v>
          </cell>
          <cell r="P41">
            <v>1</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E41">
            <v>1</v>
          </cell>
          <cell r="AF41">
            <v>1</v>
          </cell>
          <cell r="AG41">
            <v>1</v>
          </cell>
          <cell r="AH41">
            <v>1</v>
          </cell>
          <cell r="AI41">
            <v>1</v>
          </cell>
          <cell r="AJ41">
            <v>1</v>
          </cell>
          <cell r="AK41">
            <v>1</v>
          </cell>
          <cell r="AL41">
            <v>1</v>
          </cell>
          <cell r="AM41">
            <v>1</v>
          </cell>
          <cell r="AN41">
            <v>1</v>
          </cell>
          <cell r="AO41">
            <v>1</v>
          </cell>
          <cell r="AP41">
            <v>1</v>
          </cell>
          <cell r="AQ41">
            <v>1</v>
          </cell>
          <cell r="AR41">
            <v>1</v>
          </cell>
          <cell r="AS41">
            <v>1</v>
          </cell>
        </row>
        <row r="42">
          <cell r="B42" t="str">
            <v>08.04</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row>
        <row r="43">
          <cell r="B43" t="str">
            <v>08.05</v>
          </cell>
          <cell r="C43">
            <v>1</v>
          </cell>
          <cell r="D43">
            <v>1</v>
          </cell>
          <cell r="E43">
            <v>1</v>
          </cell>
          <cell r="F43">
            <v>1</v>
          </cell>
          <cell r="G43">
            <v>1</v>
          </cell>
          <cell r="H43">
            <v>1</v>
          </cell>
          <cell r="I43">
            <v>1</v>
          </cell>
          <cell r="J43">
            <v>1</v>
          </cell>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E43">
            <v>1</v>
          </cell>
          <cell r="AF43">
            <v>1</v>
          </cell>
          <cell r="AG43">
            <v>1</v>
          </cell>
          <cell r="AH43">
            <v>1</v>
          </cell>
          <cell r="AI43">
            <v>1</v>
          </cell>
          <cell r="AJ43">
            <v>1</v>
          </cell>
          <cell r="AK43">
            <v>1</v>
          </cell>
          <cell r="AL43">
            <v>1</v>
          </cell>
          <cell r="AM43">
            <v>1</v>
          </cell>
          <cell r="AN43">
            <v>1</v>
          </cell>
          <cell r="AO43">
            <v>1</v>
          </cell>
          <cell r="AP43">
            <v>1</v>
          </cell>
          <cell r="AQ43">
            <v>1</v>
          </cell>
          <cell r="AR43">
            <v>1</v>
          </cell>
          <cell r="AS43">
            <v>1</v>
          </cell>
        </row>
        <row r="44">
          <cell r="B44" t="str">
            <v>08.06</v>
          </cell>
          <cell r="C44">
            <v>1</v>
          </cell>
          <cell r="D44">
            <v>1</v>
          </cell>
          <cell r="E44">
            <v>1</v>
          </cell>
          <cell r="F44">
            <v>1</v>
          </cell>
          <cell r="G44">
            <v>1</v>
          </cell>
          <cell r="H44">
            <v>1</v>
          </cell>
          <cell r="I44">
            <v>1</v>
          </cell>
          <cell r="J44">
            <v>1</v>
          </cell>
          <cell r="K44">
            <v>1</v>
          </cell>
          <cell r="L44">
            <v>1</v>
          </cell>
          <cell r="M44">
            <v>1</v>
          </cell>
          <cell r="N44">
            <v>1</v>
          </cell>
          <cell r="O44">
            <v>1</v>
          </cell>
          <cell r="P44">
            <v>1</v>
          </cell>
          <cell r="Q44">
            <v>1</v>
          </cell>
          <cell r="R44">
            <v>1</v>
          </cell>
          <cell r="S44">
            <v>1</v>
          </cell>
          <cell r="T44">
            <v>1</v>
          </cell>
          <cell r="U44">
            <v>1</v>
          </cell>
          <cell r="V44">
            <v>1</v>
          </cell>
          <cell r="W44">
            <v>1</v>
          </cell>
          <cell r="X44">
            <v>1</v>
          </cell>
          <cell r="Y44">
            <v>1</v>
          </cell>
          <cell r="Z44">
            <v>1</v>
          </cell>
          <cell r="AA44">
            <v>1</v>
          </cell>
          <cell r="AB44">
            <v>1</v>
          </cell>
          <cell r="AC44">
            <v>1</v>
          </cell>
          <cell r="AD44">
            <v>1</v>
          </cell>
          <cell r="AE44">
            <v>1</v>
          </cell>
          <cell r="AF44">
            <v>1</v>
          </cell>
          <cell r="AG44">
            <v>1</v>
          </cell>
          <cell r="AH44">
            <v>1</v>
          </cell>
          <cell r="AI44">
            <v>1</v>
          </cell>
          <cell r="AJ44">
            <v>1</v>
          </cell>
          <cell r="AK44">
            <v>1</v>
          </cell>
          <cell r="AL44">
            <v>1</v>
          </cell>
          <cell r="AM44">
            <v>1</v>
          </cell>
          <cell r="AN44">
            <v>1</v>
          </cell>
          <cell r="AO44">
            <v>1</v>
          </cell>
          <cell r="AP44">
            <v>1</v>
          </cell>
          <cell r="AQ44">
            <v>1</v>
          </cell>
          <cell r="AR44">
            <v>1</v>
          </cell>
          <cell r="AS44">
            <v>1</v>
          </cell>
        </row>
        <row r="45">
          <cell r="B45" t="str">
            <v>08.07</v>
          </cell>
          <cell r="C45">
            <v>1</v>
          </cell>
          <cell r="D45">
            <v>1</v>
          </cell>
          <cell r="E45">
            <v>1</v>
          </cell>
          <cell r="F45">
            <v>1</v>
          </cell>
          <cell r="G45">
            <v>1</v>
          </cell>
          <cell r="H45">
            <v>1</v>
          </cell>
          <cell r="I45">
            <v>1</v>
          </cell>
          <cell r="J45">
            <v>1</v>
          </cell>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E45">
            <v>1</v>
          </cell>
          <cell r="AF45">
            <v>1</v>
          </cell>
          <cell r="AG45">
            <v>1</v>
          </cell>
          <cell r="AH45">
            <v>1</v>
          </cell>
          <cell r="AI45">
            <v>1</v>
          </cell>
          <cell r="AJ45">
            <v>1</v>
          </cell>
          <cell r="AK45">
            <v>1</v>
          </cell>
          <cell r="AL45">
            <v>1</v>
          </cell>
          <cell r="AM45">
            <v>1</v>
          </cell>
          <cell r="AN45">
            <v>1</v>
          </cell>
          <cell r="AO45">
            <v>1</v>
          </cell>
          <cell r="AP45">
            <v>1</v>
          </cell>
          <cell r="AQ45">
            <v>1</v>
          </cell>
          <cell r="AR45">
            <v>1</v>
          </cell>
          <cell r="AS45">
            <v>1</v>
          </cell>
        </row>
        <row r="46">
          <cell r="B46" t="str">
            <v>08.09</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row>
        <row r="47">
          <cell r="B47" t="str">
            <v>08.10</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row>
        <row r="48">
          <cell r="B48" t="str">
            <v>08.11</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row>
        <row r="49">
          <cell r="B49" t="str">
            <v>08.12</v>
          </cell>
          <cell r="C49">
            <v>1</v>
          </cell>
          <cell r="D49">
            <v>1</v>
          </cell>
          <cell r="E49">
            <v>1</v>
          </cell>
          <cell r="F49">
            <v>1</v>
          </cell>
          <cell r="G49">
            <v>1</v>
          </cell>
          <cell r="H49">
            <v>1</v>
          </cell>
          <cell r="I49">
            <v>1</v>
          </cell>
          <cell r="J49">
            <v>1</v>
          </cell>
          <cell r="K49">
            <v>1</v>
          </cell>
          <cell r="L49">
            <v>1</v>
          </cell>
          <cell r="M49">
            <v>1</v>
          </cell>
          <cell r="N49">
            <v>1</v>
          </cell>
          <cell r="O49">
            <v>1</v>
          </cell>
          <cell r="P49">
            <v>1</v>
          </cell>
          <cell r="Q49">
            <v>1</v>
          </cell>
          <cell r="R49">
            <v>1</v>
          </cell>
          <cell r="S49">
            <v>1</v>
          </cell>
          <cell r="T49">
            <v>1</v>
          </cell>
          <cell r="U49">
            <v>1</v>
          </cell>
          <cell r="V49">
            <v>1</v>
          </cell>
          <cell r="W49">
            <v>1</v>
          </cell>
          <cell r="X49">
            <v>1</v>
          </cell>
          <cell r="Y49">
            <v>1</v>
          </cell>
          <cell r="Z49">
            <v>1</v>
          </cell>
          <cell r="AA49">
            <v>1</v>
          </cell>
          <cell r="AB49">
            <v>1</v>
          </cell>
          <cell r="AC49">
            <v>1</v>
          </cell>
          <cell r="AD49">
            <v>1</v>
          </cell>
          <cell r="AE49">
            <v>1</v>
          </cell>
          <cell r="AF49">
            <v>1</v>
          </cell>
          <cell r="AG49">
            <v>1</v>
          </cell>
          <cell r="AH49">
            <v>1</v>
          </cell>
          <cell r="AI49">
            <v>1</v>
          </cell>
          <cell r="AJ49">
            <v>1</v>
          </cell>
          <cell r="AK49">
            <v>1</v>
          </cell>
          <cell r="AL49">
            <v>1</v>
          </cell>
          <cell r="AM49">
            <v>1</v>
          </cell>
          <cell r="AN49">
            <v>1</v>
          </cell>
          <cell r="AO49">
            <v>1</v>
          </cell>
          <cell r="AP49">
            <v>1</v>
          </cell>
          <cell r="AQ49">
            <v>1</v>
          </cell>
          <cell r="AR49">
            <v>1</v>
          </cell>
          <cell r="AS49">
            <v>1</v>
          </cell>
        </row>
        <row r="50">
          <cell r="B50" t="str">
            <v>08.13</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row>
        <row r="51">
          <cell r="B51" t="str">
            <v>08.14</v>
          </cell>
          <cell r="C51">
            <v>1</v>
          </cell>
          <cell r="D51">
            <v>1</v>
          </cell>
          <cell r="E51">
            <v>1</v>
          </cell>
          <cell r="F51">
            <v>1</v>
          </cell>
          <cell r="G51">
            <v>1</v>
          </cell>
          <cell r="H51">
            <v>1</v>
          </cell>
          <cell r="I51">
            <v>1</v>
          </cell>
          <cell r="J51">
            <v>1</v>
          </cell>
          <cell r="K51">
            <v>1</v>
          </cell>
          <cell r="L51">
            <v>1</v>
          </cell>
          <cell r="M51">
            <v>1</v>
          </cell>
          <cell r="N51">
            <v>1</v>
          </cell>
          <cell r="O51">
            <v>1</v>
          </cell>
          <cell r="P51">
            <v>1</v>
          </cell>
          <cell r="Q51">
            <v>1</v>
          </cell>
          <cell r="R51">
            <v>1</v>
          </cell>
          <cell r="S51">
            <v>1</v>
          </cell>
          <cell r="T51">
            <v>1</v>
          </cell>
          <cell r="U51">
            <v>1</v>
          </cell>
          <cell r="V51">
            <v>1</v>
          </cell>
          <cell r="W51">
            <v>1</v>
          </cell>
          <cell r="X51">
            <v>1</v>
          </cell>
          <cell r="Y51">
            <v>1</v>
          </cell>
          <cell r="Z51">
            <v>1</v>
          </cell>
          <cell r="AA51">
            <v>1</v>
          </cell>
          <cell r="AB51">
            <v>1</v>
          </cell>
          <cell r="AC51">
            <v>1</v>
          </cell>
          <cell r="AD51">
            <v>1</v>
          </cell>
          <cell r="AE51">
            <v>1</v>
          </cell>
          <cell r="AF51">
            <v>1</v>
          </cell>
          <cell r="AG51">
            <v>1</v>
          </cell>
          <cell r="AH51">
            <v>1</v>
          </cell>
          <cell r="AI51">
            <v>1</v>
          </cell>
          <cell r="AJ51">
            <v>1</v>
          </cell>
          <cell r="AK51">
            <v>1</v>
          </cell>
          <cell r="AL51">
            <v>1</v>
          </cell>
          <cell r="AM51">
            <v>1</v>
          </cell>
          <cell r="AN51">
            <v>1</v>
          </cell>
          <cell r="AO51">
            <v>1</v>
          </cell>
          <cell r="AP51">
            <v>1</v>
          </cell>
          <cell r="AQ51">
            <v>1</v>
          </cell>
          <cell r="AR51">
            <v>1</v>
          </cell>
          <cell r="AS51">
            <v>1</v>
          </cell>
        </row>
        <row r="52">
          <cell r="B52" t="str">
            <v>08.15</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row>
        <row r="53">
          <cell r="B53" t="str">
            <v>08.16</v>
          </cell>
          <cell r="C53">
            <v>2</v>
          </cell>
          <cell r="D53">
            <v>2</v>
          </cell>
          <cell r="E53">
            <v>2</v>
          </cell>
          <cell r="F53">
            <v>2</v>
          </cell>
          <cell r="G53">
            <v>2</v>
          </cell>
          <cell r="H53">
            <v>2</v>
          </cell>
          <cell r="I53">
            <v>2</v>
          </cell>
          <cell r="J53">
            <v>2</v>
          </cell>
          <cell r="K53">
            <v>2</v>
          </cell>
          <cell r="L53">
            <v>2</v>
          </cell>
          <cell r="M53">
            <v>2</v>
          </cell>
          <cell r="N53">
            <v>2</v>
          </cell>
          <cell r="O53">
            <v>2</v>
          </cell>
          <cell r="P53">
            <v>2</v>
          </cell>
          <cell r="Q53">
            <v>2</v>
          </cell>
          <cell r="R53">
            <v>2</v>
          </cell>
          <cell r="S53">
            <v>2</v>
          </cell>
          <cell r="T53">
            <v>2</v>
          </cell>
          <cell r="U53">
            <v>2</v>
          </cell>
          <cell r="V53">
            <v>2</v>
          </cell>
          <cell r="W53">
            <v>2</v>
          </cell>
          <cell r="X53">
            <v>2</v>
          </cell>
          <cell r="Y53">
            <v>2</v>
          </cell>
          <cell r="Z53">
            <v>2</v>
          </cell>
          <cell r="AA53">
            <v>2</v>
          </cell>
          <cell r="AB53">
            <v>2</v>
          </cell>
          <cell r="AC53">
            <v>2</v>
          </cell>
          <cell r="AD53">
            <v>2</v>
          </cell>
          <cell r="AE53">
            <v>2</v>
          </cell>
          <cell r="AF53">
            <v>2</v>
          </cell>
          <cell r="AG53">
            <v>2</v>
          </cell>
          <cell r="AH53">
            <v>2</v>
          </cell>
          <cell r="AI53">
            <v>2</v>
          </cell>
          <cell r="AJ53">
            <v>2</v>
          </cell>
          <cell r="AK53">
            <v>2</v>
          </cell>
          <cell r="AL53">
            <v>2</v>
          </cell>
          <cell r="AM53">
            <v>2</v>
          </cell>
          <cell r="AN53">
            <v>2</v>
          </cell>
          <cell r="AO53">
            <v>2</v>
          </cell>
          <cell r="AP53">
            <v>2</v>
          </cell>
          <cell r="AQ53">
            <v>2</v>
          </cell>
          <cell r="AR53">
            <v>2</v>
          </cell>
          <cell r="AS53">
            <v>2</v>
          </cell>
        </row>
        <row r="54">
          <cell r="B54" t="str">
            <v>08.17</v>
          </cell>
          <cell r="C54">
            <v>1</v>
          </cell>
          <cell r="D54">
            <v>1</v>
          </cell>
          <cell r="E54">
            <v>1</v>
          </cell>
          <cell r="F54">
            <v>1</v>
          </cell>
          <cell r="G54">
            <v>1</v>
          </cell>
          <cell r="H54">
            <v>1</v>
          </cell>
          <cell r="I54">
            <v>1</v>
          </cell>
          <cell r="J54">
            <v>1</v>
          </cell>
          <cell r="K54">
            <v>1</v>
          </cell>
          <cell r="L54">
            <v>1</v>
          </cell>
          <cell r="M54">
            <v>1</v>
          </cell>
          <cell r="N54">
            <v>1</v>
          </cell>
          <cell r="O54">
            <v>1</v>
          </cell>
          <cell r="P54">
            <v>1</v>
          </cell>
          <cell r="Q54">
            <v>1</v>
          </cell>
          <cell r="R54">
            <v>1</v>
          </cell>
          <cell r="S54">
            <v>1</v>
          </cell>
          <cell r="T54">
            <v>1</v>
          </cell>
          <cell r="U54">
            <v>1</v>
          </cell>
          <cell r="V54">
            <v>1</v>
          </cell>
          <cell r="W54">
            <v>1</v>
          </cell>
          <cell r="X54">
            <v>1</v>
          </cell>
          <cell r="Y54">
            <v>1</v>
          </cell>
          <cell r="Z54">
            <v>1</v>
          </cell>
          <cell r="AA54">
            <v>1</v>
          </cell>
          <cell r="AB54">
            <v>1</v>
          </cell>
          <cell r="AC54">
            <v>1</v>
          </cell>
          <cell r="AD54">
            <v>1</v>
          </cell>
          <cell r="AE54">
            <v>1</v>
          </cell>
          <cell r="AF54">
            <v>1</v>
          </cell>
          <cell r="AG54">
            <v>1</v>
          </cell>
          <cell r="AH54">
            <v>1</v>
          </cell>
          <cell r="AI54">
            <v>1</v>
          </cell>
          <cell r="AJ54">
            <v>1</v>
          </cell>
          <cell r="AK54">
            <v>1</v>
          </cell>
          <cell r="AL54">
            <v>1</v>
          </cell>
          <cell r="AM54">
            <v>1</v>
          </cell>
          <cell r="AN54">
            <v>1</v>
          </cell>
          <cell r="AO54">
            <v>1</v>
          </cell>
          <cell r="AP54">
            <v>1</v>
          </cell>
          <cell r="AQ54">
            <v>1</v>
          </cell>
          <cell r="AR54">
            <v>1</v>
          </cell>
          <cell r="AS54">
            <v>1</v>
          </cell>
        </row>
        <row r="55">
          <cell r="B55" t="str">
            <v>08.18</v>
          </cell>
          <cell r="C55">
            <v>2</v>
          </cell>
          <cell r="D55">
            <v>2</v>
          </cell>
          <cell r="E55">
            <v>2</v>
          </cell>
          <cell r="F55">
            <v>2</v>
          </cell>
          <cell r="G55">
            <v>2</v>
          </cell>
          <cell r="H55">
            <v>2</v>
          </cell>
          <cell r="I55">
            <v>2</v>
          </cell>
          <cell r="J55">
            <v>2</v>
          </cell>
          <cell r="K55">
            <v>2</v>
          </cell>
          <cell r="L55">
            <v>2</v>
          </cell>
          <cell r="M55">
            <v>2</v>
          </cell>
          <cell r="N55">
            <v>3</v>
          </cell>
          <cell r="O55">
            <v>3</v>
          </cell>
          <cell r="P55">
            <v>3</v>
          </cell>
          <cell r="Q55">
            <v>3</v>
          </cell>
          <cell r="R55">
            <v>3</v>
          </cell>
          <cell r="S55">
            <v>3</v>
          </cell>
          <cell r="T55">
            <v>3</v>
          </cell>
          <cell r="U55">
            <v>3</v>
          </cell>
          <cell r="V55">
            <v>3</v>
          </cell>
          <cell r="W55">
            <v>3</v>
          </cell>
          <cell r="X55">
            <v>3</v>
          </cell>
          <cell r="Y55">
            <v>3</v>
          </cell>
          <cell r="Z55">
            <v>3</v>
          </cell>
          <cell r="AA55">
            <v>3</v>
          </cell>
          <cell r="AB55">
            <v>3</v>
          </cell>
          <cell r="AC55">
            <v>3</v>
          </cell>
          <cell r="AD55">
            <v>3</v>
          </cell>
          <cell r="AE55">
            <v>3</v>
          </cell>
          <cell r="AF55">
            <v>3</v>
          </cell>
          <cell r="AG55">
            <v>3</v>
          </cell>
          <cell r="AH55">
            <v>3</v>
          </cell>
          <cell r="AI55">
            <v>3</v>
          </cell>
          <cell r="AJ55">
            <v>3</v>
          </cell>
          <cell r="AK55">
            <v>3</v>
          </cell>
          <cell r="AL55">
            <v>3</v>
          </cell>
          <cell r="AM55">
            <v>3</v>
          </cell>
          <cell r="AN55">
            <v>3</v>
          </cell>
          <cell r="AO55">
            <v>3</v>
          </cell>
          <cell r="AP55">
            <v>3</v>
          </cell>
          <cell r="AQ55">
            <v>3</v>
          </cell>
          <cell r="AR55">
            <v>3</v>
          </cell>
          <cell r="AS55">
            <v>3</v>
          </cell>
        </row>
        <row r="56">
          <cell r="B56" t="str">
            <v>08.19</v>
          </cell>
          <cell r="C56">
            <v>2</v>
          </cell>
          <cell r="D56">
            <v>2</v>
          </cell>
          <cell r="E56">
            <v>2</v>
          </cell>
          <cell r="F56">
            <v>2</v>
          </cell>
          <cell r="G56">
            <v>2</v>
          </cell>
          <cell r="H56">
            <v>2</v>
          </cell>
          <cell r="I56">
            <v>2</v>
          </cell>
          <cell r="J56">
            <v>3</v>
          </cell>
          <cell r="K56">
            <v>3</v>
          </cell>
          <cell r="L56">
            <v>3</v>
          </cell>
          <cell r="M56">
            <v>3</v>
          </cell>
          <cell r="N56">
            <v>4</v>
          </cell>
          <cell r="O56">
            <v>4</v>
          </cell>
          <cell r="P56">
            <v>4</v>
          </cell>
          <cell r="Q56">
            <v>4</v>
          </cell>
          <cell r="R56">
            <v>4</v>
          </cell>
          <cell r="S56">
            <v>4</v>
          </cell>
          <cell r="T56">
            <v>4</v>
          </cell>
          <cell r="U56">
            <v>4</v>
          </cell>
          <cell r="V56">
            <v>4</v>
          </cell>
          <cell r="W56">
            <v>4</v>
          </cell>
          <cell r="X56">
            <v>4</v>
          </cell>
          <cell r="Y56">
            <v>4</v>
          </cell>
          <cell r="Z56">
            <v>4</v>
          </cell>
          <cell r="AA56">
            <v>4</v>
          </cell>
          <cell r="AB56">
            <v>4</v>
          </cell>
          <cell r="AC56">
            <v>4</v>
          </cell>
          <cell r="AD56">
            <v>4</v>
          </cell>
          <cell r="AE56">
            <v>4</v>
          </cell>
          <cell r="AF56">
            <v>4</v>
          </cell>
          <cell r="AG56">
            <v>4</v>
          </cell>
          <cell r="AH56">
            <v>4</v>
          </cell>
          <cell r="AI56">
            <v>4</v>
          </cell>
          <cell r="AJ56">
            <v>4</v>
          </cell>
          <cell r="AK56">
            <v>4</v>
          </cell>
          <cell r="AL56">
            <v>4</v>
          </cell>
          <cell r="AM56">
            <v>4</v>
          </cell>
          <cell r="AN56">
            <v>4</v>
          </cell>
          <cell r="AO56">
            <v>4</v>
          </cell>
          <cell r="AP56">
            <v>4</v>
          </cell>
          <cell r="AQ56">
            <v>4</v>
          </cell>
          <cell r="AR56">
            <v>4</v>
          </cell>
          <cell r="AS56">
            <v>4</v>
          </cell>
        </row>
        <row r="57">
          <cell r="B57" t="str">
            <v>08.20</v>
          </cell>
          <cell r="C57">
            <v>2</v>
          </cell>
          <cell r="D57">
            <v>2</v>
          </cell>
          <cell r="E57">
            <v>2</v>
          </cell>
          <cell r="F57">
            <v>2</v>
          </cell>
          <cell r="G57">
            <v>2</v>
          </cell>
          <cell r="H57">
            <v>2</v>
          </cell>
          <cell r="I57">
            <v>2</v>
          </cell>
          <cell r="J57">
            <v>3</v>
          </cell>
          <cell r="K57">
            <v>3</v>
          </cell>
          <cell r="L57">
            <v>3</v>
          </cell>
          <cell r="M57">
            <v>3</v>
          </cell>
          <cell r="N57">
            <v>4</v>
          </cell>
          <cell r="O57">
            <v>4</v>
          </cell>
          <cell r="P57">
            <v>4</v>
          </cell>
          <cell r="Q57">
            <v>4</v>
          </cell>
          <cell r="R57">
            <v>4</v>
          </cell>
          <cell r="S57">
            <v>4</v>
          </cell>
          <cell r="T57">
            <v>4</v>
          </cell>
          <cell r="U57">
            <v>4</v>
          </cell>
          <cell r="V57">
            <v>4</v>
          </cell>
          <cell r="W57">
            <v>4</v>
          </cell>
          <cell r="X57">
            <v>4</v>
          </cell>
          <cell r="Y57">
            <v>4</v>
          </cell>
          <cell r="Z57">
            <v>4</v>
          </cell>
          <cell r="AA57">
            <v>4</v>
          </cell>
          <cell r="AB57">
            <v>4</v>
          </cell>
          <cell r="AC57">
            <v>4</v>
          </cell>
          <cell r="AD57">
            <v>4</v>
          </cell>
          <cell r="AE57">
            <v>4</v>
          </cell>
          <cell r="AF57">
            <v>4</v>
          </cell>
          <cell r="AG57">
            <v>4</v>
          </cell>
          <cell r="AH57">
            <v>4</v>
          </cell>
          <cell r="AI57">
            <v>4</v>
          </cell>
          <cell r="AJ57">
            <v>4</v>
          </cell>
          <cell r="AK57">
            <v>4</v>
          </cell>
          <cell r="AL57">
            <v>4</v>
          </cell>
          <cell r="AM57">
            <v>4</v>
          </cell>
          <cell r="AN57">
            <v>4</v>
          </cell>
          <cell r="AO57">
            <v>4</v>
          </cell>
          <cell r="AP57">
            <v>4</v>
          </cell>
          <cell r="AQ57">
            <v>4</v>
          </cell>
          <cell r="AR57">
            <v>4</v>
          </cell>
          <cell r="AS57">
            <v>4</v>
          </cell>
        </row>
        <row r="58">
          <cell r="B58" t="str">
            <v>08.21</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row>
        <row r="59">
          <cell r="B59" t="str">
            <v>08.22</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row>
        <row r="60">
          <cell r="B60" t="str">
            <v>08.23</v>
          </cell>
          <cell r="C60">
            <v>4</v>
          </cell>
          <cell r="D60">
            <v>4</v>
          </cell>
          <cell r="E60">
            <v>4</v>
          </cell>
          <cell r="F60">
            <v>6</v>
          </cell>
          <cell r="G60">
            <v>6</v>
          </cell>
          <cell r="H60">
            <v>6</v>
          </cell>
          <cell r="I60">
            <v>6</v>
          </cell>
          <cell r="J60">
            <v>8</v>
          </cell>
          <cell r="K60">
            <v>8</v>
          </cell>
          <cell r="L60">
            <v>8</v>
          </cell>
          <cell r="M60">
            <v>8</v>
          </cell>
          <cell r="N60">
            <v>8</v>
          </cell>
          <cell r="O60">
            <v>8</v>
          </cell>
          <cell r="P60">
            <v>8</v>
          </cell>
          <cell r="Q60">
            <v>8</v>
          </cell>
          <cell r="R60">
            <v>10</v>
          </cell>
          <cell r="S60">
            <v>10</v>
          </cell>
          <cell r="T60">
            <v>10</v>
          </cell>
          <cell r="U60">
            <v>10</v>
          </cell>
          <cell r="V60">
            <v>10</v>
          </cell>
          <cell r="W60">
            <v>10</v>
          </cell>
          <cell r="X60">
            <v>10</v>
          </cell>
          <cell r="Y60">
            <v>10</v>
          </cell>
          <cell r="Z60">
            <v>10</v>
          </cell>
          <cell r="AA60">
            <v>10</v>
          </cell>
          <cell r="AB60">
            <v>10</v>
          </cell>
          <cell r="AC60">
            <v>10</v>
          </cell>
          <cell r="AD60">
            <v>10</v>
          </cell>
          <cell r="AE60">
            <v>10</v>
          </cell>
          <cell r="AF60">
            <v>10</v>
          </cell>
          <cell r="AG60">
            <v>10</v>
          </cell>
          <cell r="AH60">
            <v>10</v>
          </cell>
          <cell r="AI60">
            <v>10</v>
          </cell>
          <cell r="AJ60">
            <v>10</v>
          </cell>
          <cell r="AK60">
            <v>10</v>
          </cell>
          <cell r="AL60">
            <v>10</v>
          </cell>
          <cell r="AM60">
            <v>10</v>
          </cell>
          <cell r="AN60">
            <v>10</v>
          </cell>
          <cell r="AO60">
            <v>10</v>
          </cell>
          <cell r="AP60">
            <v>10</v>
          </cell>
          <cell r="AQ60">
            <v>10</v>
          </cell>
          <cell r="AR60">
            <v>10</v>
          </cell>
          <cell r="AS60">
            <v>10</v>
          </cell>
        </row>
        <row r="61">
          <cell r="B61" t="str">
            <v>08.24</v>
          </cell>
          <cell r="C61">
            <v>4</v>
          </cell>
          <cell r="D61">
            <v>4</v>
          </cell>
          <cell r="E61">
            <v>4</v>
          </cell>
          <cell r="F61">
            <v>6</v>
          </cell>
          <cell r="G61">
            <v>6</v>
          </cell>
          <cell r="H61">
            <v>6</v>
          </cell>
          <cell r="I61">
            <v>6</v>
          </cell>
          <cell r="J61">
            <v>8</v>
          </cell>
          <cell r="K61">
            <v>8</v>
          </cell>
          <cell r="L61">
            <v>8</v>
          </cell>
          <cell r="M61">
            <v>8</v>
          </cell>
          <cell r="N61">
            <v>8</v>
          </cell>
          <cell r="O61">
            <v>8</v>
          </cell>
          <cell r="P61">
            <v>8</v>
          </cell>
          <cell r="Q61">
            <v>8</v>
          </cell>
          <cell r="R61">
            <v>10</v>
          </cell>
          <cell r="S61">
            <v>10</v>
          </cell>
          <cell r="T61">
            <v>10</v>
          </cell>
          <cell r="U61">
            <v>10</v>
          </cell>
          <cell r="V61">
            <v>10</v>
          </cell>
          <cell r="W61">
            <v>10</v>
          </cell>
          <cell r="X61">
            <v>10</v>
          </cell>
          <cell r="Y61">
            <v>10</v>
          </cell>
          <cell r="Z61">
            <v>10</v>
          </cell>
          <cell r="AA61">
            <v>10</v>
          </cell>
          <cell r="AB61">
            <v>10</v>
          </cell>
          <cell r="AC61">
            <v>10</v>
          </cell>
          <cell r="AD61">
            <v>10</v>
          </cell>
          <cell r="AE61">
            <v>10</v>
          </cell>
          <cell r="AF61">
            <v>10</v>
          </cell>
          <cell r="AG61">
            <v>10</v>
          </cell>
          <cell r="AH61">
            <v>10</v>
          </cell>
          <cell r="AI61">
            <v>10</v>
          </cell>
          <cell r="AJ61">
            <v>10</v>
          </cell>
          <cell r="AK61">
            <v>10</v>
          </cell>
          <cell r="AL61">
            <v>10</v>
          </cell>
          <cell r="AM61">
            <v>10</v>
          </cell>
          <cell r="AN61">
            <v>10</v>
          </cell>
          <cell r="AO61">
            <v>10</v>
          </cell>
          <cell r="AP61">
            <v>10</v>
          </cell>
          <cell r="AQ61">
            <v>10</v>
          </cell>
          <cell r="AR61">
            <v>10</v>
          </cell>
          <cell r="AS61">
            <v>10</v>
          </cell>
        </row>
        <row r="62">
          <cell r="B62" t="str">
            <v>08.25</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row>
        <row r="63">
          <cell r="B63" t="str">
            <v>08.26</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row>
        <row r="64">
          <cell r="B64" t="str">
            <v>08.27</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row>
        <row r="65">
          <cell r="B65" t="str">
            <v>08.28</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row>
        <row r="66">
          <cell r="B66" t="str">
            <v>08.29</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67">
          <cell r="B67" t="str">
            <v>08.30</v>
          </cell>
          <cell r="C67">
            <v>1</v>
          </cell>
          <cell r="D67">
            <v>1</v>
          </cell>
          <cell r="E67">
            <v>1</v>
          </cell>
          <cell r="F67">
            <v>1</v>
          </cell>
          <cell r="G67">
            <v>1</v>
          </cell>
          <cell r="H67">
            <v>1</v>
          </cell>
          <cell r="I67">
            <v>1</v>
          </cell>
          <cell r="J67">
            <v>1</v>
          </cell>
          <cell r="K67">
            <v>1</v>
          </cell>
          <cell r="L67">
            <v>1</v>
          </cell>
          <cell r="M67">
            <v>1</v>
          </cell>
          <cell r="N67">
            <v>1</v>
          </cell>
          <cell r="O67">
            <v>1</v>
          </cell>
          <cell r="P67">
            <v>1</v>
          </cell>
          <cell r="Q67">
            <v>1</v>
          </cell>
          <cell r="R67">
            <v>1</v>
          </cell>
          <cell r="S67">
            <v>1</v>
          </cell>
          <cell r="T67">
            <v>1</v>
          </cell>
          <cell r="U67">
            <v>1</v>
          </cell>
          <cell r="V67">
            <v>1</v>
          </cell>
          <cell r="W67">
            <v>1</v>
          </cell>
          <cell r="X67">
            <v>1</v>
          </cell>
          <cell r="Y67">
            <v>1</v>
          </cell>
          <cell r="Z67">
            <v>1</v>
          </cell>
          <cell r="AA67">
            <v>1</v>
          </cell>
          <cell r="AB67">
            <v>1</v>
          </cell>
          <cell r="AC67">
            <v>1</v>
          </cell>
          <cell r="AD67">
            <v>1</v>
          </cell>
          <cell r="AE67">
            <v>1</v>
          </cell>
          <cell r="AF67">
            <v>1</v>
          </cell>
          <cell r="AG67">
            <v>1</v>
          </cell>
          <cell r="AH67">
            <v>1</v>
          </cell>
          <cell r="AI67">
            <v>1</v>
          </cell>
          <cell r="AJ67">
            <v>1</v>
          </cell>
          <cell r="AK67">
            <v>1</v>
          </cell>
          <cell r="AL67">
            <v>1</v>
          </cell>
          <cell r="AM67">
            <v>1</v>
          </cell>
          <cell r="AN67">
            <v>1</v>
          </cell>
          <cell r="AO67">
            <v>1</v>
          </cell>
          <cell r="AP67">
            <v>1</v>
          </cell>
          <cell r="AQ67">
            <v>1</v>
          </cell>
          <cell r="AR67">
            <v>1</v>
          </cell>
          <cell r="AS67">
            <v>1</v>
          </cell>
        </row>
        <row r="68">
          <cell r="B68" t="str">
            <v>08.32</v>
          </cell>
          <cell r="C68">
            <v>1</v>
          </cell>
          <cell r="D68">
            <v>1</v>
          </cell>
          <cell r="E68">
            <v>1</v>
          </cell>
          <cell r="F68">
            <v>1</v>
          </cell>
          <cell r="G68">
            <v>1</v>
          </cell>
          <cell r="H68">
            <v>1</v>
          </cell>
          <cell r="I68">
            <v>1</v>
          </cell>
          <cell r="J68">
            <v>1</v>
          </cell>
          <cell r="K68">
            <v>1</v>
          </cell>
          <cell r="L68">
            <v>1</v>
          </cell>
          <cell r="M68">
            <v>1</v>
          </cell>
          <cell r="N68">
            <v>1</v>
          </cell>
          <cell r="O68">
            <v>1</v>
          </cell>
          <cell r="P68">
            <v>1</v>
          </cell>
          <cell r="Q68">
            <v>1</v>
          </cell>
          <cell r="R68">
            <v>1</v>
          </cell>
          <cell r="S68">
            <v>1</v>
          </cell>
          <cell r="T68">
            <v>1</v>
          </cell>
          <cell r="U68">
            <v>1</v>
          </cell>
          <cell r="V68">
            <v>1</v>
          </cell>
          <cell r="W68">
            <v>1</v>
          </cell>
          <cell r="X68">
            <v>1</v>
          </cell>
          <cell r="Y68">
            <v>1</v>
          </cell>
          <cell r="Z68">
            <v>1</v>
          </cell>
          <cell r="AA68">
            <v>1</v>
          </cell>
          <cell r="AB68">
            <v>1</v>
          </cell>
          <cell r="AC68">
            <v>1</v>
          </cell>
          <cell r="AD68">
            <v>1</v>
          </cell>
          <cell r="AE68">
            <v>1</v>
          </cell>
          <cell r="AF68">
            <v>1</v>
          </cell>
          <cell r="AG68">
            <v>1</v>
          </cell>
          <cell r="AH68">
            <v>1</v>
          </cell>
          <cell r="AI68">
            <v>1</v>
          </cell>
          <cell r="AJ68">
            <v>1</v>
          </cell>
          <cell r="AK68">
            <v>1</v>
          </cell>
          <cell r="AL68">
            <v>1</v>
          </cell>
          <cell r="AM68">
            <v>1</v>
          </cell>
          <cell r="AN68">
            <v>1</v>
          </cell>
          <cell r="AO68">
            <v>1</v>
          </cell>
          <cell r="AP68">
            <v>1</v>
          </cell>
          <cell r="AQ68">
            <v>1</v>
          </cell>
          <cell r="AR68">
            <v>1</v>
          </cell>
          <cell r="AS68">
            <v>1</v>
          </cell>
        </row>
        <row r="69">
          <cell r="B69" t="str">
            <v>08.33</v>
          </cell>
          <cell r="C69">
            <v>1</v>
          </cell>
          <cell r="D69">
            <v>1</v>
          </cell>
          <cell r="E69">
            <v>1</v>
          </cell>
          <cell r="F69">
            <v>1</v>
          </cell>
          <cell r="G69">
            <v>1</v>
          </cell>
          <cell r="H69">
            <v>1</v>
          </cell>
          <cell r="I69">
            <v>1</v>
          </cell>
          <cell r="J69">
            <v>1</v>
          </cell>
          <cell r="K69">
            <v>1</v>
          </cell>
          <cell r="L69">
            <v>1</v>
          </cell>
          <cell r="M69">
            <v>1</v>
          </cell>
          <cell r="N69">
            <v>1</v>
          </cell>
          <cell r="O69">
            <v>1</v>
          </cell>
          <cell r="P69">
            <v>1</v>
          </cell>
          <cell r="Q69">
            <v>1</v>
          </cell>
          <cell r="R69">
            <v>1</v>
          </cell>
          <cell r="S69">
            <v>1</v>
          </cell>
          <cell r="T69">
            <v>1</v>
          </cell>
          <cell r="U69">
            <v>1</v>
          </cell>
          <cell r="V69">
            <v>1</v>
          </cell>
          <cell r="W69">
            <v>1</v>
          </cell>
          <cell r="X69">
            <v>1</v>
          </cell>
          <cell r="Y69">
            <v>1</v>
          </cell>
          <cell r="Z69">
            <v>1</v>
          </cell>
          <cell r="AA69">
            <v>1</v>
          </cell>
          <cell r="AB69">
            <v>1</v>
          </cell>
          <cell r="AC69">
            <v>1</v>
          </cell>
          <cell r="AD69">
            <v>1</v>
          </cell>
          <cell r="AE69">
            <v>1</v>
          </cell>
          <cell r="AF69">
            <v>1</v>
          </cell>
          <cell r="AG69">
            <v>1</v>
          </cell>
          <cell r="AH69">
            <v>1</v>
          </cell>
          <cell r="AI69">
            <v>1</v>
          </cell>
          <cell r="AJ69">
            <v>1</v>
          </cell>
          <cell r="AK69">
            <v>1</v>
          </cell>
          <cell r="AL69">
            <v>1</v>
          </cell>
          <cell r="AM69">
            <v>1</v>
          </cell>
          <cell r="AN69">
            <v>1</v>
          </cell>
          <cell r="AO69">
            <v>1</v>
          </cell>
          <cell r="AP69">
            <v>1</v>
          </cell>
          <cell r="AQ69">
            <v>1</v>
          </cell>
          <cell r="AR69">
            <v>1</v>
          </cell>
          <cell r="AS69">
            <v>1</v>
          </cell>
        </row>
        <row r="70">
          <cell r="B70" t="str">
            <v>08.34</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row>
        <row r="71">
          <cell r="B71" t="str">
            <v>09.01</v>
          </cell>
          <cell r="C71">
            <v>5</v>
          </cell>
          <cell r="D71">
            <v>6</v>
          </cell>
          <cell r="E71">
            <v>7</v>
          </cell>
          <cell r="F71">
            <v>8</v>
          </cell>
          <cell r="G71">
            <v>9</v>
          </cell>
          <cell r="H71">
            <v>10</v>
          </cell>
          <cell r="I71">
            <v>11</v>
          </cell>
          <cell r="J71">
            <v>12</v>
          </cell>
          <cell r="K71">
            <v>13</v>
          </cell>
          <cell r="L71">
            <v>14</v>
          </cell>
          <cell r="M71">
            <v>15</v>
          </cell>
          <cell r="N71">
            <v>16</v>
          </cell>
          <cell r="O71">
            <v>17</v>
          </cell>
          <cell r="P71">
            <v>18</v>
          </cell>
          <cell r="Q71">
            <v>19</v>
          </cell>
          <cell r="R71">
            <v>20</v>
          </cell>
          <cell r="S71">
            <v>21</v>
          </cell>
          <cell r="T71">
            <v>22</v>
          </cell>
          <cell r="U71">
            <v>23</v>
          </cell>
          <cell r="V71">
            <v>24</v>
          </cell>
          <cell r="W71">
            <v>25</v>
          </cell>
          <cell r="X71">
            <v>26</v>
          </cell>
          <cell r="Y71">
            <v>27</v>
          </cell>
          <cell r="Z71">
            <v>28</v>
          </cell>
          <cell r="AA71">
            <v>29</v>
          </cell>
          <cell r="AB71">
            <v>30</v>
          </cell>
          <cell r="AC71">
            <v>31</v>
          </cell>
          <cell r="AD71">
            <v>32</v>
          </cell>
          <cell r="AE71">
            <v>33</v>
          </cell>
          <cell r="AF71">
            <v>34</v>
          </cell>
          <cell r="AG71">
            <v>35</v>
          </cell>
          <cell r="AH71">
            <v>36</v>
          </cell>
          <cell r="AI71">
            <v>37</v>
          </cell>
          <cell r="AJ71">
            <v>38</v>
          </cell>
          <cell r="AK71">
            <v>39</v>
          </cell>
          <cell r="AL71">
            <v>40</v>
          </cell>
          <cell r="AM71">
            <v>41</v>
          </cell>
          <cell r="AN71">
            <v>42</v>
          </cell>
          <cell r="AO71">
            <v>43</v>
          </cell>
          <cell r="AP71">
            <v>44</v>
          </cell>
          <cell r="AQ71">
            <v>45</v>
          </cell>
          <cell r="AR71">
            <v>46</v>
          </cell>
          <cell r="AS71">
            <v>47</v>
          </cell>
        </row>
        <row r="72">
          <cell r="B72" t="str">
            <v>09.02</v>
          </cell>
          <cell r="C72">
            <v>1</v>
          </cell>
          <cell r="D72">
            <v>1</v>
          </cell>
          <cell r="E72">
            <v>1</v>
          </cell>
          <cell r="F72">
            <v>1</v>
          </cell>
          <cell r="G72">
            <v>1</v>
          </cell>
          <cell r="H72">
            <v>1</v>
          </cell>
          <cell r="I72">
            <v>1</v>
          </cell>
          <cell r="J72">
            <v>1</v>
          </cell>
          <cell r="K72">
            <v>1</v>
          </cell>
          <cell r="L72">
            <v>1</v>
          </cell>
          <cell r="M72">
            <v>1</v>
          </cell>
          <cell r="N72">
            <v>1</v>
          </cell>
          <cell r="O72">
            <v>1</v>
          </cell>
          <cell r="P72">
            <v>1</v>
          </cell>
          <cell r="Q72">
            <v>1</v>
          </cell>
          <cell r="R72">
            <v>1</v>
          </cell>
          <cell r="S72">
            <v>1</v>
          </cell>
          <cell r="T72">
            <v>1</v>
          </cell>
          <cell r="U72">
            <v>1</v>
          </cell>
          <cell r="V72">
            <v>1</v>
          </cell>
          <cell r="W72">
            <v>1</v>
          </cell>
          <cell r="X72">
            <v>1</v>
          </cell>
          <cell r="Y72">
            <v>1</v>
          </cell>
          <cell r="Z72">
            <v>1</v>
          </cell>
          <cell r="AA72">
            <v>1</v>
          </cell>
          <cell r="AB72">
            <v>1</v>
          </cell>
          <cell r="AC72">
            <v>1</v>
          </cell>
          <cell r="AD72">
            <v>1</v>
          </cell>
          <cell r="AE72">
            <v>1</v>
          </cell>
          <cell r="AF72">
            <v>1</v>
          </cell>
          <cell r="AG72">
            <v>1</v>
          </cell>
          <cell r="AH72">
            <v>1</v>
          </cell>
          <cell r="AI72">
            <v>1</v>
          </cell>
          <cell r="AJ72">
            <v>1</v>
          </cell>
          <cell r="AK72">
            <v>1</v>
          </cell>
          <cell r="AL72">
            <v>1</v>
          </cell>
          <cell r="AM72">
            <v>1</v>
          </cell>
          <cell r="AN72">
            <v>1</v>
          </cell>
          <cell r="AO72">
            <v>1</v>
          </cell>
          <cell r="AP72">
            <v>1</v>
          </cell>
          <cell r="AQ72">
            <v>1</v>
          </cell>
          <cell r="AR72">
            <v>1</v>
          </cell>
          <cell r="AS72">
            <v>1</v>
          </cell>
        </row>
        <row r="73">
          <cell r="B73" t="str">
            <v>09.03</v>
          </cell>
          <cell r="C73">
            <v>3</v>
          </cell>
          <cell r="D73">
            <v>3</v>
          </cell>
          <cell r="E73">
            <v>3</v>
          </cell>
          <cell r="F73">
            <v>3</v>
          </cell>
          <cell r="G73">
            <v>3</v>
          </cell>
          <cell r="H73">
            <v>3</v>
          </cell>
          <cell r="I73">
            <v>3</v>
          </cell>
          <cell r="J73">
            <v>4</v>
          </cell>
          <cell r="K73">
            <v>4</v>
          </cell>
          <cell r="L73">
            <v>4</v>
          </cell>
          <cell r="M73">
            <v>4</v>
          </cell>
          <cell r="N73">
            <v>5</v>
          </cell>
          <cell r="O73">
            <v>5</v>
          </cell>
          <cell r="P73">
            <v>5</v>
          </cell>
          <cell r="Q73">
            <v>5</v>
          </cell>
          <cell r="R73">
            <v>6</v>
          </cell>
          <cell r="S73">
            <v>6</v>
          </cell>
          <cell r="T73">
            <v>6</v>
          </cell>
          <cell r="U73">
            <v>6</v>
          </cell>
          <cell r="V73">
            <v>6</v>
          </cell>
          <cell r="W73">
            <v>6</v>
          </cell>
          <cell r="X73">
            <v>6</v>
          </cell>
          <cell r="Y73">
            <v>6</v>
          </cell>
          <cell r="Z73">
            <v>6</v>
          </cell>
          <cell r="AA73">
            <v>6</v>
          </cell>
          <cell r="AB73">
            <v>6</v>
          </cell>
          <cell r="AC73">
            <v>6</v>
          </cell>
          <cell r="AD73">
            <v>6</v>
          </cell>
          <cell r="AE73">
            <v>6</v>
          </cell>
          <cell r="AF73">
            <v>6</v>
          </cell>
          <cell r="AG73">
            <v>6</v>
          </cell>
          <cell r="AH73">
            <v>6</v>
          </cell>
          <cell r="AI73">
            <v>6</v>
          </cell>
          <cell r="AJ73">
            <v>6</v>
          </cell>
          <cell r="AK73">
            <v>6</v>
          </cell>
          <cell r="AL73">
            <v>6</v>
          </cell>
          <cell r="AM73">
            <v>6</v>
          </cell>
          <cell r="AN73">
            <v>6</v>
          </cell>
          <cell r="AO73">
            <v>6</v>
          </cell>
          <cell r="AP73">
            <v>6</v>
          </cell>
          <cell r="AQ73">
            <v>6</v>
          </cell>
          <cell r="AR73">
            <v>6</v>
          </cell>
          <cell r="AS73">
            <v>6</v>
          </cell>
        </row>
        <row r="74">
          <cell r="B74" t="str">
            <v>09.04</v>
          </cell>
          <cell r="C74">
            <v>2</v>
          </cell>
          <cell r="D74">
            <v>2</v>
          </cell>
          <cell r="E74">
            <v>2</v>
          </cell>
          <cell r="F74">
            <v>2</v>
          </cell>
          <cell r="G74">
            <v>2</v>
          </cell>
          <cell r="H74">
            <v>2</v>
          </cell>
          <cell r="I74">
            <v>2</v>
          </cell>
          <cell r="J74">
            <v>2</v>
          </cell>
          <cell r="K74">
            <v>2</v>
          </cell>
          <cell r="L74">
            <v>2</v>
          </cell>
          <cell r="M74">
            <v>2</v>
          </cell>
          <cell r="N74">
            <v>2</v>
          </cell>
          <cell r="O74">
            <v>2</v>
          </cell>
          <cell r="P74">
            <v>2</v>
          </cell>
          <cell r="Q74">
            <v>2</v>
          </cell>
          <cell r="R74">
            <v>2</v>
          </cell>
          <cell r="S74">
            <v>2</v>
          </cell>
          <cell r="T74">
            <v>2</v>
          </cell>
          <cell r="U74">
            <v>2</v>
          </cell>
          <cell r="V74">
            <v>2</v>
          </cell>
          <cell r="W74">
            <v>2</v>
          </cell>
          <cell r="X74">
            <v>2</v>
          </cell>
          <cell r="Y74">
            <v>2</v>
          </cell>
          <cell r="Z74">
            <v>2</v>
          </cell>
          <cell r="AA74">
            <v>2</v>
          </cell>
          <cell r="AB74">
            <v>2</v>
          </cell>
          <cell r="AC74">
            <v>2</v>
          </cell>
          <cell r="AD74">
            <v>2</v>
          </cell>
          <cell r="AE74">
            <v>2</v>
          </cell>
          <cell r="AF74">
            <v>2</v>
          </cell>
          <cell r="AG74">
            <v>2</v>
          </cell>
          <cell r="AH74">
            <v>2</v>
          </cell>
          <cell r="AI74">
            <v>2</v>
          </cell>
          <cell r="AJ74">
            <v>2</v>
          </cell>
          <cell r="AK74">
            <v>2</v>
          </cell>
          <cell r="AL74">
            <v>2</v>
          </cell>
          <cell r="AM74">
            <v>2</v>
          </cell>
          <cell r="AN74">
            <v>2</v>
          </cell>
          <cell r="AO74">
            <v>2</v>
          </cell>
          <cell r="AP74">
            <v>2</v>
          </cell>
          <cell r="AQ74">
            <v>2</v>
          </cell>
          <cell r="AR74">
            <v>2</v>
          </cell>
          <cell r="AS74">
            <v>2</v>
          </cell>
        </row>
        <row r="75">
          <cell r="B75" t="str">
            <v>09.05</v>
          </cell>
          <cell r="C75">
            <v>1</v>
          </cell>
          <cell r="D75">
            <v>1</v>
          </cell>
          <cell r="E75">
            <v>1</v>
          </cell>
          <cell r="F75">
            <v>1</v>
          </cell>
          <cell r="G75">
            <v>1</v>
          </cell>
          <cell r="H75">
            <v>1</v>
          </cell>
          <cell r="I75">
            <v>1</v>
          </cell>
          <cell r="J75">
            <v>1</v>
          </cell>
          <cell r="K75">
            <v>1</v>
          </cell>
          <cell r="L75">
            <v>1</v>
          </cell>
          <cell r="M75">
            <v>1</v>
          </cell>
          <cell r="N75">
            <v>1</v>
          </cell>
          <cell r="O75">
            <v>1</v>
          </cell>
          <cell r="P75">
            <v>1</v>
          </cell>
          <cell r="Q75">
            <v>1</v>
          </cell>
          <cell r="R75">
            <v>1</v>
          </cell>
          <cell r="S75">
            <v>1</v>
          </cell>
          <cell r="T75">
            <v>1</v>
          </cell>
          <cell r="U75">
            <v>1</v>
          </cell>
          <cell r="V75">
            <v>1</v>
          </cell>
          <cell r="W75">
            <v>1</v>
          </cell>
          <cell r="X75">
            <v>1</v>
          </cell>
          <cell r="Y75">
            <v>1</v>
          </cell>
          <cell r="Z75">
            <v>1</v>
          </cell>
          <cell r="AA75">
            <v>1</v>
          </cell>
          <cell r="AB75">
            <v>1</v>
          </cell>
          <cell r="AC75">
            <v>1</v>
          </cell>
          <cell r="AD75">
            <v>1</v>
          </cell>
          <cell r="AE75">
            <v>1</v>
          </cell>
          <cell r="AF75">
            <v>1</v>
          </cell>
          <cell r="AG75">
            <v>1</v>
          </cell>
          <cell r="AH75">
            <v>1</v>
          </cell>
          <cell r="AI75">
            <v>1</v>
          </cell>
          <cell r="AJ75">
            <v>1</v>
          </cell>
          <cell r="AK75">
            <v>1</v>
          </cell>
          <cell r="AL75">
            <v>1</v>
          </cell>
          <cell r="AM75">
            <v>1</v>
          </cell>
          <cell r="AN75">
            <v>1</v>
          </cell>
          <cell r="AO75">
            <v>1</v>
          </cell>
          <cell r="AP75">
            <v>1</v>
          </cell>
          <cell r="AQ75">
            <v>1</v>
          </cell>
          <cell r="AR75">
            <v>1</v>
          </cell>
          <cell r="AS75">
            <v>1</v>
          </cell>
        </row>
        <row r="76">
          <cell r="B76" t="str">
            <v>09.06</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row>
        <row r="77">
          <cell r="B77" t="str">
            <v>09.07</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row>
        <row r="78">
          <cell r="B78" t="str">
            <v>09.08</v>
          </cell>
          <cell r="C78">
            <v>1</v>
          </cell>
          <cell r="D78">
            <v>1</v>
          </cell>
          <cell r="E78">
            <v>1</v>
          </cell>
          <cell r="F78">
            <v>2</v>
          </cell>
          <cell r="G78">
            <v>2</v>
          </cell>
          <cell r="H78">
            <v>2</v>
          </cell>
          <cell r="I78">
            <v>2</v>
          </cell>
          <cell r="J78">
            <v>2</v>
          </cell>
          <cell r="K78">
            <v>2</v>
          </cell>
          <cell r="L78">
            <v>2</v>
          </cell>
          <cell r="M78">
            <v>2</v>
          </cell>
          <cell r="N78">
            <v>3</v>
          </cell>
          <cell r="O78">
            <v>3</v>
          </cell>
          <cell r="P78">
            <v>3</v>
          </cell>
          <cell r="Q78">
            <v>3</v>
          </cell>
          <cell r="R78">
            <v>3</v>
          </cell>
          <cell r="S78">
            <v>3</v>
          </cell>
          <cell r="T78">
            <v>3</v>
          </cell>
          <cell r="U78">
            <v>3</v>
          </cell>
          <cell r="V78">
            <v>3</v>
          </cell>
          <cell r="W78">
            <v>3</v>
          </cell>
          <cell r="X78">
            <v>3</v>
          </cell>
          <cell r="Y78">
            <v>3</v>
          </cell>
          <cell r="Z78">
            <v>3</v>
          </cell>
          <cell r="AA78">
            <v>3</v>
          </cell>
          <cell r="AB78">
            <v>3</v>
          </cell>
          <cell r="AC78">
            <v>3</v>
          </cell>
          <cell r="AD78">
            <v>3</v>
          </cell>
          <cell r="AE78">
            <v>3</v>
          </cell>
          <cell r="AF78">
            <v>3</v>
          </cell>
          <cell r="AG78">
            <v>3</v>
          </cell>
          <cell r="AH78">
            <v>3</v>
          </cell>
          <cell r="AI78">
            <v>3</v>
          </cell>
          <cell r="AJ78">
            <v>3</v>
          </cell>
          <cell r="AK78">
            <v>3</v>
          </cell>
          <cell r="AL78">
            <v>3</v>
          </cell>
          <cell r="AM78">
            <v>3</v>
          </cell>
          <cell r="AN78">
            <v>3</v>
          </cell>
          <cell r="AO78">
            <v>3</v>
          </cell>
          <cell r="AP78">
            <v>3</v>
          </cell>
          <cell r="AQ78">
            <v>3</v>
          </cell>
          <cell r="AR78">
            <v>3</v>
          </cell>
          <cell r="AS78">
            <v>3</v>
          </cell>
        </row>
        <row r="79">
          <cell r="B79" t="str">
            <v>09.09</v>
          </cell>
          <cell r="C79">
            <v>2</v>
          </cell>
          <cell r="D79">
            <v>2</v>
          </cell>
          <cell r="E79">
            <v>2</v>
          </cell>
          <cell r="F79">
            <v>2</v>
          </cell>
          <cell r="G79">
            <v>2</v>
          </cell>
          <cell r="H79">
            <v>2</v>
          </cell>
          <cell r="I79">
            <v>2</v>
          </cell>
          <cell r="J79">
            <v>2</v>
          </cell>
          <cell r="K79">
            <v>2</v>
          </cell>
          <cell r="L79">
            <v>2</v>
          </cell>
          <cell r="M79">
            <v>2</v>
          </cell>
          <cell r="N79">
            <v>2</v>
          </cell>
          <cell r="O79">
            <v>2</v>
          </cell>
          <cell r="P79">
            <v>2</v>
          </cell>
          <cell r="Q79">
            <v>2</v>
          </cell>
          <cell r="R79">
            <v>2</v>
          </cell>
          <cell r="S79">
            <v>2</v>
          </cell>
          <cell r="T79">
            <v>2</v>
          </cell>
          <cell r="U79">
            <v>2</v>
          </cell>
          <cell r="V79">
            <v>2</v>
          </cell>
          <cell r="W79">
            <v>2</v>
          </cell>
          <cell r="X79">
            <v>2</v>
          </cell>
          <cell r="Y79">
            <v>2</v>
          </cell>
          <cell r="Z79">
            <v>2</v>
          </cell>
          <cell r="AA79">
            <v>2</v>
          </cell>
          <cell r="AB79">
            <v>2</v>
          </cell>
          <cell r="AC79">
            <v>2</v>
          </cell>
          <cell r="AD79">
            <v>2</v>
          </cell>
          <cell r="AE79">
            <v>2</v>
          </cell>
          <cell r="AF79">
            <v>2</v>
          </cell>
          <cell r="AG79">
            <v>2</v>
          </cell>
          <cell r="AH79">
            <v>2</v>
          </cell>
          <cell r="AI79">
            <v>2</v>
          </cell>
          <cell r="AJ79">
            <v>2</v>
          </cell>
          <cell r="AK79">
            <v>2</v>
          </cell>
          <cell r="AL79">
            <v>2</v>
          </cell>
          <cell r="AM79">
            <v>2</v>
          </cell>
          <cell r="AN79">
            <v>2</v>
          </cell>
          <cell r="AO79">
            <v>2</v>
          </cell>
          <cell r="AP79">
            <v>2</v>
          </cell>
          <cell r="AQ79">
            <v>2</v>
          </cell>
          <cell r="AR79">
            <v>2</v>
          </cell>
          <cell r="AS79">
            <v>2</v>
          </cell>
        </row>
        <row r="80">
          <cell r="B80" t="str">
            <v>10.01</v>
          </cell>
          <cell r="C80">
            <v>1</v>
          </cell>
          <cell r="D80">
            <v>1</v>
          </cell>
          <cell r="E80">
            <v>1</v>
          </cell>
          <cell r="F80">
            <v>1</v>
          </cell>
          <cell r="G80">
            <v>1</v>
          </cell>
          <cell r="H80">
            <v>1</v>
          </cell>
          <cell r="I80">
            <v>1</v>
          </cell>
          <cell r="J80">
            <v>1</v>
          </cell>
          <cell r="K80">
            <v>1</v>
          </cell>
          <cell r="L80">
            <v>1</v>
          </cell>
          <cell r="M80">
            <v>1</v>
          </cell>
          <cell r="N80">
            <v>1</v>
          </cell>
          <cell r="O80">
            <v>1</v>
          </cell>
          <cell r="P80">
            <v>1</v>
          </cell>
          <cell r="Q80">
            <v>1</v>
          </cell>
          <cell r="R80">
            <v>1</v>
          </cell>
          <cell r="S80">
            <v>1</v>
          </cell>
          <cell r="T80">
            <v>1</v>
          </cell>
          <cell r="U80">
            <v>1</v>
          </cell>
          <cell r="V80">
            <v>1</v>
          </cell>
          <cell r="W80">
            <v>1</v>
          </cell>
          <cell r="X80">
            <v>1</v>
          </cell>
          <cell r="Y80">
            <v>1</v>
          </cell>
          <cell r="Z80">
            <v>1</v>
          </cell>
          <cell r="AA80">
            <v>1</v>
          </cell>
          <cell r="AB80">
            <v>1</v>
          </cell>
          <cell r="AC80">
            <v>1</v>
          </cell>
          <cell r="AD80">
            <v>1</v>
          </cell>
          <cell r="AE80">
            <v>1</v>
          </cell>
          <cell r="AF80">
            <v>1</v>
          </cell>
          <cell r="AG80">
            <v>1</v>
          </cell>
          <cell r="AH80">
            <v>1</v>
          </cell>
          <cell r="AI80">
            <v>1</v>
          </cell>
          <cell r="AJ80">
            <v>1</v>
          </cell>
          <cell r="AK80">
            <v>1</v>
          </cell>
          <cell r="AL80">
            <v>1</v>
          </cell>
          <cell r="AM80">
            <v>1</v>
          </cell>
          <cell r="AN80">
            <v>1</v>
          </cell>
          <cell r="AO80">
            <v>1</v>
          </cell>
          <cell r="AP80">
            <v>1</v>
          </cell>
          <cell r="AQ80">
            <v>1</v>
          </cell>
          <cell r="AR80">
            <v>1</v>
          </cell>
          <cell r="AS80">
            <v>1</v>
          </cell>
        </row>
        <row r="81">
          <cell r="B81" t="str">
            <v>10.02</v>
          </cell>
          <cell r="C81">
            <v>1</v>
          </cell>
          <cell r="D81">
            <v>1</v>
          </cell>
          <cell r="E81">
            <v>1</v>
          </cell>
          <cell r="F81">
            <v>1</v>
          </cell>
          <cell r="G81">
            <v>1</v>
          </cell>
          <cell r="H81">
            <v>1</v>
          </cell>
          <cell r="I81">
            <v>1</v>
          </cell>
          <cell r="J81">
            <v>1</v>
          </cell>
          <cell r="K81">
            <v>1</v>
          </cell>
          <cell r="L81">
            <v>1</v>
          </cell>
          <cell r="M81">
            <v>1</v>
          </cell>
          <cell r="N81">
            <v>1</v>
          </cell>
          <cell r="O81">
            <v>1</v>
          </cell>
          <cell r="P81">
            <v>1</v>
          </cell>
          <cell r="Q81">
            <v>1</v>
          </cell>
          <cell r="R81">
            <v>1</v>
          </cell>
          <cell r="S81">
            <v>1</v>
          </cell>
          <cell r="T81">
            <v>1</v>
          </cell>
          <cell r="U81">
            <v>1</v>
          </cell>
          <cell r="V81">
            <v>1</v>
          </cell>
          <cell r="W81">
            <v>1</v>
          </cell>
          <cell r="X81">
            <v>1</v>
          </cell>
          <cell r="Y81">
            <v>1</v>
          </cell>
          <cell r="Z81">
            <v>1</v>
          </cell>
          <cell r="AA81">
            <v>1</v>
          </cell>
          <cell r="AB81">
            <v>1</v>
          </cell>
          <cell r="AC81">
            <v>1</v>
          </cell>
          <cell r="AD81">
            <v>1</v>
          </cell>
          <cell r="AE81">
            <v>1</v>
          </cell>
          <cell r="AF81">
            <v>1</v>
          </cell>
          <cell r="AG81">
            <v>1</v>
          </cell>
          <cell r="AH81">
            <v>1</v>
          </cell>
          <cell r="AI81">
            <v>1</v>
          </cell>
          <cell r="AJ81">
            <v>1</v>
          </cell>
          <cell r="AK81">
            <v>1</v>
          </cell>
          <cell r="AL81">
            <v>1</v>
          </cell>
          <cell r="AM81">
            <v>1</v>
          </cell>
          <cell r="AN81">
            <v>1</v>
          </cell>
          <cell r="AO81">
            <v>1</v>
          </cell>
          <cell r="AP81">
            <v>1</v>
          </cell>
          <cell r="AQ81">
            <v>1</v>
          </cell>
          <cell r="AR81">
            <v>1</v>
          </cell>
          <cell r="AS81">
            <v>1</v>
          </cell>
        </row>
        <row r="82">
          <cell r="B82" t="str">
            <v>10.04</v>
          </cell>
          <cell r="C82">
            <v>1</v>
          </cell>
          <cell r="D82">
            <v>1</v>
          </cell>
          <cell r="E82">
            <v>1</v>
          </cell>
          <cell r="F82">
            <v>1</v>
          </cell>
          <cell r="G82">
            <v>1</v>
          </cell>
          <cell r="H82">
            <v>1</v>
          </cell>
          <cell r="I82">
            <v>1</v>
          </cell>
          <cell r="J82">
            <v>1</v>
          </cell>
          <cell r="K82">
            <v>1</v>
          </cell>
          <cell r="L82">
            <v>1</v>
          </cell>
          <cell r="M82">
            <v>1</v>
          </cell>
          <cell r="N82">
            <v>1</v>
          </cell>
          <cell r="O82">
            <v>1</v>
          </cell>
          <cell r="P82">
            <v>1</v>
          </cell>
          <cell r="Q82">
            <v>1</v>
          </cell>
          <cell r="R82">
            <v>1</v>
          </cell>
          <cell r="S82">
            <v>1</v>
          </cell>
          <cell r="T82">
            <v>1</v>
          </cell>
          <cell r="U82">
            <v>1</v>
          </cell>
          <cell r="V82">
            <v>1</v>
          </cell>
          <cell r="W82">
            <v>1</v>
          </cell>
          <cell r="X82">
            <v>1</v>
          </cell>
          <cell r="Y82">
            <v>1</v>
          </cell>
          <cell r="Z82">
            <v>1</v>
          </cell>
          <cell r="AA82">
            <v>1</v>
          </cell>
          <cell r="AB82">
            <v>1</v>
          </cell>
          <cell r="AC82">
            <v>1</v>
          </cell>
          <cell r="AD82">
            <v>1</v>
          </cell>
          <cell r="AE82">
            <v>1</v>
          </cell>
          <cell r="AF82">
            <v>1</v>
          </cell>
          <cell r="AG82">
            <v>1</v>
          </cell>
          <cell r="AH82">
            <v>1</v>
          </cell>
          <cell r="AI82">
            <v>1</v>
          </cell>
          <cell r="AJ82">
            <v>1</v>
          </cell>
          <cell r="AK82">
            <v>1</v>
          </cell>
          <cell r="AL82">
            <v>1</v>
          </cell>
          <cell r="AM82">
            <v>1</v>
          </cell>
          <cell r="AN82">
            <v>1</v>
          </cell>
          <cell r="AO82">
            <v>1</v>
          </cell>
          <cell r="AP82">
            <v>1</v>
          </cell>
          <cell r="AQ82">
            <v>1</v>
          </cell>
          <cell r="AR82">
            <v>1</v>
          </cell>
          <cell r="AS82">
            <v>1</v>
          </cell>
        </row>
        <row r="83">
          <cell r="B83" t="str">
            <v>10.05</v>
          </cell>
          <cell r="C83">
            <v>1</v>
          </cell>
          <cell r="D83">
            <v>1</v>
          </cell>
          <cell r="E83">
            <v>1</v>
          </cell>
          <cell r="F83">
            <v>1</v>
          </cell>
          <cell r="G83">
            <v>1</v>
          </cell>
          <cell r="H83">
            <v>1</v>
          </cell>
          <cell r="I83">
            <v>1</v>
          </cell>
          <cell r="J83">
            <v>1</v>
          </cell>
          <cell r="K83">
            <v>1</v>
          </cell>
          <cell r="L83">
            <v>1</v>
          </cell>
          <cell r="M83">
            <v>1</v>
          </cell>
          <cell r="N83">
            <v>1</v>
          </cell>
          <cell r="O83">
            <v>1</v>
          </cell>
          <cell r="P83">
            <v>1</v>
          </cell>
          <cell r="Q83">
            <v>1</v>
          </cell>
          <cell r="R83">
            <v>1</v>
          </cell>
          <cell r="S83">
            <v>1</v>
          </cell>
          <cell r="T83">
            <v>1</v>
          </cell>
          <cell r="U83">
            <v>1</v>
          </cell>
          <cell r="V83">
            <v>1</v>
          </cell>
          <cell r="W83">
            <v>1</v>
          </cell>
          <cell r="X83">
            <v>1</v>
          </cell>
          <cell r="Y83">
            <v>1</v>
          </cell>
          <cell r="Z83">
            <v>1</v>
          </cell>
          <cell r="AA83">
            <v>1</v>
          </cell>
          <cell r="AB83">
            <v>1</v>
          </cell>
          <cell r="AC83">
            <v>1</v>
          </cell>
          <cell r="AD83">
            <v>1</v>
          </cell>
          <cell r="AE83">
            <v>1</v>
          </cell>
          <cell r="AF83">
            <v>1</v>
          </cell>
          <cell r="AG83">
            <v>1</v>
          </cell>
          <cell r="AH83">
            <v>1</v>
          </cell>
          <cell r="AI83">
            <v>1</v>
          </cell>
          <cell r="AJ83">
            <v>1</v>
          </cell>
          <cell r="AK83">
            <v>1</v>
          </cell>
          <cell r="AL83">
            <v>1</v>
          </cell>
          <cell r="AM83">
            <v>1</v>
          </cell>
          <cell r="AN83">
            <v>1</v>
          </cell>
          <cell r="AO83">
            <v>1</v>
          </cell>
          <cell r="AP83">
            <v>1</v>
          </cell>
          <cell r="AQ83">
            <v>1</v>
          </cell>
          <cell r="AR83">
            <v>1</v>
          </cell>
          <cell r="AS83">
            <v>1</v>
          </cell>
        </row>
        <row r="84">
          <cell r="B84" t="str">
            <v>10.06</v>
          </cell>
          <cell r="C84">
            <v>1</v>
          </cell>
          <cell r="D84">
            <v>1</v>
          </cell>
          <cell r="E84">
            <v>1</v>
          </cell>
          <cell r="F84">
            <v>1</v>
          </cell>
          <cell r="G84">
            <v>1</v>
          </cell>
          <cell r="H84">
            <v>1</v>
          </cell>
          <cell r="I84">
            <v>1</v>
          </cell>
          <cell r="J84">
            <v>1</v>
          </cell>
          <cell r="K84">
            <v>1</v>
          </cell>
          <cell r="L84">
            <v>1</v>
          </cell>
          <cell r="M84">
            <v>1</v>
          </cell>
          <cell r="N84">
            <v>2</v>
          </cell>
          <cell r="O84">
            <v>2</v>
          </cell>
          <cell r="P84">
            <v>2</v>
          </cell>
          <cell r="Q84">
            <v>2</v>
          </cell>
          <cell r="R84">
            <v>2</v>
          </cell>
          <cell r="S84">
            <v>2</v>
          </cell>
          <cell r="T84">
            <v>2</v>
          </cell>
          <cell r="U84">
            <v>2</v>
          </cell>
          <cell r="V84">
            <v>2</v>
          </cell>
          <cell r="W84">
            <v>2</v>
          </cell>
          <cell r="X84">
            <v>2</v>
          </cell>
          <cell r="Y84">
            <v>2</v>
          </cell>
          <cell r="Z84">
            <v>2</v>
          </cell>
          <cell r="AA84">
            <v>2</v>
          </cell>
          <cell r="AB84">
            <v>2</v>
          </cell>
          <cell r="AC84">
            <v>2</v>
          </cell>
          <cell r="AD84">
            <v>2</v>
          </cell>
          <cell r="AE84">
            <v>2</v>
          </cell>
          <cell r="AF84">
            <v>2</v>
          </cell>
          <cell r="AG84">
            <v>2</v>
          </cell>
          <cell r="AH84">
            <v>2</v>
          </cell>
          <cell r="AI84">
            <v>2</v>
          </cell>
          <cell r="AJ84">
            <v>2</v>
          </cell>
          <cell r="AK84">
            <v>2</v>
          </cell>
          <cell r="AL84">
            <v>2</v>
          </cell>
          <cell r="AM84">
            <v>2</v>
          </cell>
          <cell r="AN84">
            <v>2</v>
          </cell>
          <cell r="AO84">
            <v>2</v>
          </cell>
          <cell r="AP84">
            <v>2</v>
          </cell>
          <cell r="AQ84">
            <v>2</v>
          </cell>
          <cell r="AR84">
            <v>2</v>
          </cell>
          <cell r="AS84">
            <v>2</v>
          </cell>
        </row>
        <row r="85">
          <cell r="B85" t="str">
            <v>11.01</v>
          </cell>
          <cell r="C85">
            <v>1</v>
          </cell>
          <cell r="D85">
            <v>1</v>
          </cell>
          <cell r="E85">
            <v>1</v>
          </cell>
          <cell r="F85">
            <v>1</v>
          </cell>
          <cell r="G85">
            <v>1</v>
          </cell>
          <cell r="H85">
            <v>1</v>
          </cell>
          <cell r="I85">
            <v>1</v>
          </cell>
          <cell r="J85">
            <v>1</v>
          </cell>
          <cell r="K85">
            <v>1</v>
          </cell>
          <cell r="L85">
            <v>1</v>
          </cell>
          <cell r="M85">
            <v>1</v>
          </cell>
          <cell r="N85">
            <v>1</v>
          </cell>
          <cell r="O85">
            <v>1</v>
          </cell>
          <cell r="P85">
            <v>1</v>
          </cell>
          <cell r="Q85">
            <v>1</v>
          </cell>
          <cell r="R85">
            <v>2</v>
          </cell>
          <cell r="S85">
            <v>2</v>
          </cell>
          <cell r="T85">
            <v>2</v>
          </cell>
          <cell r="U85">
            <v>2</v>
          </cell>
          <cell r="V85">
            <v>2</v>
          </cell>
          <cell r="W85">
            <v>2</v>
          </cell>
          <cell r="X85">
            <v>2</v>
          </cell>
          <cell r="Y85">
            <v>2</v>
          </cell>
          <cell r="Z85">
            <v>2</v>
          </cell>
          <cell r="AA85">
            <v>2</v>
          </cell>
          <cell r="AB85">
            <v>2</v>
          </cell>
          <cell r="AC85">
            <v>2</v>
          </cell>
          <cell r="AD85">
            <v>2</v>
          </cell>
          <cell r="AE85">
            <v>2</v>
          </cell>
          <cell r="AF85">
            <v>2</v>
          </cell>
          <cell r="AG85">
            <v>2</v>
          </cell>
          <cell r="AH85">
            <v>2</v>
          </cell>
          <cell r="AI85">
            <v>2</v>
          </cell>
          <cell r="AJ85">
            <v>2</v>
          </cell>
          <cell r="AK85">
            <v>2</v>
          </cell>
          <cell r="AL85">
            <v>2</v>
          </cell>
          <cell r="AM85">
            <v>2</v>
          </cell>
          <cell r="AN85">
            <v>2</v>
          </cell>
          <cell r="AO85">
            <v>2</v>
          </cell>
          <cell r="AP85">
            <v>2</v>
          </cell>
          <cell r="AQ85">
            <v>2</v>
          </cell>
          <cell r="AR85">
            <v>2</v>
          </cell>
          <cell r="AS85">
            <v>2</v>
          </cell>
        </row>
        <row r="86">
          <cell r="B86" t="str">
            <v>11.02</v>
          </cell>
          <cell r="C86">
            <v>1</v>
          </cell>
          <cell r="D86">
            <v>1</v>
          </cell>
          <cell r="E86">
            <v>1</v>
          </cell>
          <cell r="F86">
            <v>1</v>
          </cell>
          <cell r="G86">
            <v>1</v>
          </cell>
          <cell r="H86">
            <v>1</v>
          </cell>
          <cell r="I86">
            <v>1</v>
          </cell>
          <cell r="J86">
            <v>1</v>
          </cell>
          <cell r="K86">
            <v>1</v>
          </cell>
          <cell r="L86">
            <v>1</v>
          </cell>
          <cell r="M86">
            <v>1</v>
          </cell>
          <cell r="N86">
            <v>1</v>
          </cell>
          <cell r="O86">
            <v>1</v>
          </cell>
          <cell r="P86">
            <v>1</v>
          </cell>
          <cell r="Q86">
            <v>1</v>
          </cell>
          <cell r="R86">
            <v>1</v>
          </cell>
          <cell r="S86">
            <v>1</v>
          </cell>
          <cell r="T86">
            <v>1</v>
          </cell>
          <cell r="U86">
            <v>1</v>
          </cell>
          <cell r="V86">
            <v>1</v>
          </cell>
          <cell r="W86">
            <v>1</v>
          </cell>
          <cell r="X86">
            <v>1</v>
          </cell>
          <cell r="Y86">
            <v>1</v>
          </cell>
          <cell r="Z86">
            <v>1</v>
          </cell>
          <cell r="AA86">
            <v>1</v>
          </cell>
          <cell r="AB86">
            <v>1</v>
          </cell>
          <cell r="AC86">
            <v>1</v>
          </cell>
          <cell r="AD86">
            <v>1</v>
          </cell>
          <cell r="AE86">
            <v>1</v>
          </cell>
          <cell r="AF86">
            <v>1</v>
          </cell>
          <cell r="AG86">
            <v>1</v>
          </cell>
          <cell r="AH86">
            <v>1</v>
          </cell>
          <cell r="AI86">
            <v>1</v>
          </cell>
          <cell r="AJ86">
            <v>1</v>
          </cell>
          <cell r="AK86">
            <v>1</v>
          </cell>
          <cell r="AL86">
            <v>1</v>
          </cell>
          <cell r="AM86">
            <v>1</v>
          </cell>
          <cell r="AN86">
            <v>1</v>
          </cell>
          <cell r="AO86">
            <v>1</v>
          </cell>
          <cell r="AP86">
            <v>1</v>
          </cell>
          <cell r="AQ86">
            <v>1</v>
          </cell>
          <cell r="AR86">
            <v>1</v>
          </cell>
          <cell r="AS86">
            <v>1</v>
          </cell>
        </row>
        <row r="87">
          <cell r="B87" t="str">
            <v>11.03</v>
          </cell>
          <cell r="C87">
            <v>1</v>
          </cell>
          <cell r="D87">
            <v>1</v>
          </cell>
          <cell r="E87">
            <v>1</v>
          </cell>
          <cell r="F87">
            <v>1</v>
          </cell>
          <cell r="G87">
            <v>1</v>
          </cell>
          <cell r="H87">
            <v>1</v>
          </cell>
          <cell r="I87">
            <v>1</v>
          </cell>
          <cell r="J87">
            <v>1</v>
          </cell>
          <cell r="K87">
            <v>1</v>
          </cell>
          <cell r="L87">
            <v>1</v>
          </cell>
          <cell r="M87">
            <v>1</v>
          </cell>
          <cell r="N87">
            <v>1</v>
          </cell>
          <cell r="O87">
            <v>1</v>
          </cell>
          <cell r="P87">
            <v>1</v>
          </cell>
          <cell r="Q87">
            <v>1</v>
          </cell>
          <cell r="R87">
            <v>1</v>
          </cell>
          <cell r="S87">
            <v>1</v>
          </cell>
          <cell r="T87">
            <v>1</v>
          </cell>
          <cell r="U87">
            <v>1</v>
          </cell>
          <cell r="V87">
            <v>1</v>
          </cell>
          <cell r="W87">
            <v>1</v>
          </cell>
          <cell r="X87">
            <v>1</v>
          </cell>
          <cell r="Y87">
            <v>1</v>
          </cell>
          <cell r="Z87">
            <v>1</v>
          </cell>
          <cell r="AA87">
            <v>1</v>
          </cell>
          <cell r="AB87">
            <v>1</v>
          </cell>
          <cell r="AC87">
            <v>1</v>
          </cell>
          <cell r="AD87">
            <v>1</v>
          </cell>
          <cell r="AE87">
            <v>1</v>
          </cell>
          <cell r="AF87">
            <v>1</v>
          </cell>
          <cell r="AG87">
            <v>1</v>
          </cell>
          <cell r="AH87">
            <v>1</v>
          </cell>
          <cell r="AI87">
            <v>1</v>
          </cell>
          <cell r="AJ87">
            <v>1</v>
          </cell>
          <cell r="AK87">
            <v>1</v>
          </cell>
          <cell r="AL87">
            <v>1</v>
          </cell>
          <cell r="AM87">
            <v>1</v>
          </cell>
          <cell r="AN87">
            <v>1</v>
          </cell>
          <cell r="AO87">
            <v>1</v>
          </cell>
          <cell r="AP87">
            <v>1</v>
          </cell>
          <cell r="AQ87">
            <v>1</v>
          </cell>
          <cell r="AR87">
            <v>1</v>
          </cell>
          <cell r="AS87">
            <v>1</v>
          </cell>
        </row>
        <row r="88">
          <cell r="B88" t="str">
            <v>11.04</v>
          </cell>
          <cell r="C88">
            <v>1</v>
          </cell>
          <cell r="D88">
            <v>1</v>
          </cell>
          <cell r="E88">
            <v>1</v>
          </cell>
          <cell r="F88">
            <v>1</v>
          </cell>
          <cell r="G88">
            <v>1</v>
          </cell>
          <cell r="H88">
            <v>1</v>
          </cell>
          <cell r="I88">
            <v>1</v>
          </cell>
          <cell r="J88">
            <v>1</v>
          </cell>
          <cell r="K88">
            <v>1</v>
          </cell>
          <cell r="L88">
            <v>1</v>
          </cell>
          <cell r="M88">
            <v>1</v>
          </cell>
          <cell r="N88">
            <v>1</v>
          </cell>
          <cell r="O88">
            <v>1</v>
          </cell>
          <cell r="P88">
            <v>1</v>
          </cell>
          <cell r="Q88">
            <v>1</v>
          </cell>
          <cell r="R88">
            <v>1</v>
          </cell>
          <cell r="S88">
            <v>1</v>
          </cell>
          <cell r="T88">
            <v>1</v>
          </cell>
          <cell r="U88">
            <v>1</v>
          </cell>
          <cell r="V88">
            <v>1</v>
          </cell>
          <cell r="W88">
            <v>1</v>
          </cell>
          <cell r="X88">
            <v>1</v>
          </cell>
          <cell r="Y88">
            <v>1</v>
          </cell>
          <cell r="Z88">
            <v>1</v>
          </cell>
          <cell r="AA88">
            <v>1</v>
          </cell>
          <cell r="AB88">
            <v>1</v>
          </cell>
          <cell r="AC88">
            <v>1</v>
          </cell>
          <cell r="AD88">
            <v>1</v>
          </cell>
          <cell r="AE88">
            <v>1</v>
          </cell>
          <cell r="AF88">
            <v>1</v>
          </cell>
          <cell r="AG88">
            <v>1</v>
          </cell>
          <cell r="AH88">
            <v>1</v>
          </cell>
          <cell r="AI88">
            <v>1</v>
          </cell>
          <cell r="AJ88">
            <v>1</v>
          </cell>
          <cell r="AK88">
            <v>1</v>
          </cell>
          <cell r="AL88">
            <v>1</v>
          </cell>
          <cell r="AM88">
            <v>1</v>
          </cell>
          <cell r="AN88">
            <v>1</v>
          </cell>
          <cell r="AO88">
            <v>1</v>
          </cell>
          <cell r="AP88">
            <v>1</v>
          </cell>
          <cell r="AQ88">
            <v>1</v>
          </cell>
          <cell r="AR88">
            <v>1</v>
          </cell>
          <cell r="AS88">
            <v>1</v>
          </cell>
        </row>
        <row r="89">
          <cell r="B89" t="str">
            <v>11.05</v>
          </cell>
          <cell r="C89">
            <v>2</v>
          </cell>
          <cell r="D89">
            <v>2</v>
          </cell>
          <cell r="E89">
            <v>2</v>
          </cell>
          <cell r="F89">
            <v>3</v>
          </cell>
          <cell r="G89">
            <v>3</v>
          </cell>
          <cell r="H89">
            <v>3</v>
          </cell>
          <cell r="I89">
            <v>3</v>
          </cell>
          <cell r="J89">
            <v>4</v>
          </cell>
          <cell r="K89">
            <v>4</v>
          </cell>
          <cell r="L89">
            <v>4</v>
          </cell>
          <cell r="M89">
            <v>4</v>
          </cell>
          <cell r="N89">
            <v>5</v>
          </cell>
          <cell r="O89">
            <v>5</v>
          </cell>
          <cell r="P89">
            <v>5</v>
          </cell>
          <cell r="Q89">
            <v>5</v>
          </cell>
          <cell r="R89">
            <v>6</v>
          </cell>
          <cell r="S89">
            <v>6</v>
          </cell>
          <cell r="T89">
            <v>6</v>
          </cell>
          <cell r="U89">
            <v>6</v>
          </cell>
          <cell r="V89">
            <v>6</v>
          </cell>
          <cell r="W89">
            <v>6</v>
          </cell>
          <cell r="X89">
            <v>6</v>
          </cell>
          <cell r="Y89">
            <v>6</v>
          </cell>
          <cell r="Z89">
            <v>6</v>
          </cell>
          <cell r="AA89">
            <v>6</v>
          </cell>
          <cell r="AB89">
            <v>6</v>
          </cell>
          <cell r="AC89">
            <v>6</v>
          </cell>
          <cell r="AD89">
            <v>6</v>
          </cell>
          <cell r="AE89">
            <v>6</v>
          </cell>
          <cell r="AF89">
            <v>6</v>
          </cell>
          <cell r="AG89">
            <v>6</v>
          </cell>
          <cell r="AH89">
            <v>6</v>
          </cell>
          <cell r="AI89">
            <v>6</v>
          </cell>
          <cell r="AJ89">
            <v>6</v>
          </cell>
          <cell r="AK89">
            <v>6</v>
          </cell>
          <cell r="AL89">
            <v>6</v>
          </cell>
          <cell r="AM89">
            <v>6</v>
          </cell>
          <cell r="AN89">
            <v>6</v>
          </cell>
          <cell r="AO89">
            <v>6</v>
          </cell>
          <cell r="AP89">
            <v>6</v>
          </cell>
          <cell r="AQ89">
            <v>6</v>
          </cell>
          <cell r="AR89">
            <v>6</v>
          </cell>
          <cell r="AS89">
            <v>6</v>
          </cell>
        </row>
        <row r="90">
          <cell r="B90" t="str">
            <v>11.06</v>
          </cell>
          <cell r="C90">
            <v>2</v>
          </cell>
          <cell r="D90">
            <v>2</v>
          </cell>
          <cell r="E90">
            <v>2</v>
          </cell>
          <cell r="F90">
            <v>4</v>
          </cell>
          <cell r="G90">
            <v>4</v>
          </cell>
          <cell r="H90">
            <v>4</v>
          </cell>
          <cell r="I90">
            <v>4</v>
          </cell>
          <cell r="J90">
            <v>4</v>
          </cell>
          <cell r="K90">
            <v>4</v>
          </cell>
          <cell r="L90">
            <v>4</v>
          </cell>
          <cell r="M90">
            <v>4</v>
          </cell>
          <cell r="N90">
            <v>4</v>
          </cell>
          <cell r="O90">
            <v>4</v>
          </cell>
          <cell r="P90">
            <v>4</v>
          </cell>
          <cell r="Q90">
            <v>4</v>
          </cell>
          <cell r="R90">
            <v>4</v>
          </cell>
          <cell r="S90">
            <v>4</v>
          </cell>
          <cell r="T90">
            <v>4</v>
          </cell>
          <cell r="U90">
            <v>4</v>
          </cell>
          <cell r="V90">
            <v>4</v>
          </cell>
          <cell r="W90">
            <v>4</v>
          </cell>
          <cell r="X90">
            <v>4</v>
          </cell>
          <cell r="Y90">
            <v>4</v>
          </cell>
          <cell r="Z90">
            <v>4</v>
          </cell>
          <cell r="AA90">
            <v>4</v>
          </cell>
          <cell r="AB90">
            <v>4</v>
          </cell>
          <cell r="AC90">
            <v>4</v>
          </cell>
          <cell r="AD90">
            <v>4</v>
          </cell>
          <cell r="AE90">
            <v>4</v>
          </cell>
          <cell r="AF90">
            <v>4</v>
          </cell>
          <cell r="AG90">
            <v>4</v>
          </cell>
          <cell r="AH90">
            <v>4</v>
          </cell>
          <cell r="AI90">
            <v>4</v>
          </cell>
          <cell r="AJ90">
            <v>4</v>
          </cell>
          <cell r="AK90">
            <v>4</v>
          </cell>
          <cell r="AL90">
            <v>4</v>
          </cell>
          <cell r="AM90">
            <v>4</v>
          </cell>
          <cell r="AN90">
            <v>4</v>
          </cell>
          <cell r="AO90">
            <v>4</v>
          </cell>
          <cell r="AP90">
            <v>4</v>
          </cell>
          <cell r="AQ90">
            <v>4</v>
          </cell>
          <cell r="AR90">
            <v>4</v>
          </cell>
          <cell r="AS90">
            <v>4</v>
          </cell>
        </row>
        <row r="91">
          <cell r="B91" t="str">
            <v>11.07</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row>
        <row r="92">
          <cell r="B92" t="str">
            <v>13.01</v>
          </cell>
          <cell r="C92">
            <v>1</v>
          </cell>
          <cell r="D92">
            <v>1</v>
          </cell>
          <cell r="E92">
            <v>1</v>
          </cell>
          <cell r="F92">
            <v>1</v>
          </cell>
          <cell r="G92">
            <v>1</v>
          </cell>
          <cell r="H92">
            <v>1</v>
          </cell>
          <cell r="I92">
            <v>1</v>
          </cell>
          <cell r="J92">
            <v>1</v>
          </cell>
          <cell r="K92">
            <v>1</v>
          </cell>
          <cell r="L92">
            <v>1</v>
          </cell>
          <cell r="M92">
            <v>1</v>
          </cell>
          <cell r="N92">
            <v>1</v>
          </cell>
          <cell r="O92">
            <v>1</v>
          </cell>
          <cell r="P92">
            <v>1</v>
          </cell>
          <cell r="Q92">
            <v>1</v>
          </cell>
          <cell r="R92">
            <v>1</v>
          </cell>
          <cell r="S92">
            <v>1</v>
          </cell>
          <cell r="T92">
            <v>1</v>
          </cell>
          <cell r="U92">
            <v>1</v>
          </cell>
          <cell r="V92">
            <v>1</v>
          </cell>
          <cell r="W92">
            <v>1</v>
          </cell>
          <cell r="X92">
            <v>1</v>
          </cell>
          <cell r="Y92">
            <v>1</v>
          </cell>
          <cell r="Z92">
            <v>1</v>
          </cell>
          <cell r="AA92">
            <v>1</v>
          </cell>
          <cell r="AB92">
            <v>1</v>
          </cell>
          <cell r="AC92">
            <v>1</v>
          </cell>
          <cell r="AD92">
            <v>1</v>
          </cell>
          <cell r="AE92">
            <v>1</v>
          </cell>
          <cell r="AF92">
            <v>1</v>
          </cell>
          <cell r="AG92">
            <v>1</v>
          </cell>
          <cell r="AH92">
            <v>1</v>
          </cell>
          <cell r="AI92">
            <v>1</v>
          </cell>
          <cell r="AJ92">
            <v>1</v>
          </cell>
          <cell r="AK92">
            <v>1</v>
          </cell>
          <cell r="AL92">
            <v>1</v>
          </cell>
          <cell r="AM92">
            <v>1</v>
          </cell>
          <cell r="AN92">
            <v>1</v>
          </cell>
          <cell r="AO92">
            <v>1</v>
          </cell>
          <cell r="AP92">
            <v>1</v>
          </cell>
          <cell r="AQ92">
            <v>1</v>
          </cell>
          <cell r="AR92">
            <v>1</v>
          </cell>
          <cell r="AS92">
            <v>1</v>
          </cell>
        </row>
        <row r="93">
          <cell r="B93" t="str">
            <v>13.02</v>
          </cell>
          <cell r="C93">
            <v>1</v>
          </cell>
          <cell r="D93">
            <v>1</v>
          </cell>
          <cell r="E93">
            <v>1</v>
          </cell>
          <cell r="F93">
            <v>1</v>
          </cell>
          <cell r="G93">
            <v>1</v>
          </cell>
          <cell r="H93">
            <v>1</v>
          </cell>
          <cell r="I93">
            <v>1</v>
          </cell>
          <cell r="J93">
            <v>1</v>
          </cell>
          <cell r="K93">
            <v>1</v>
          </cell>
          <cell r="L93">
            <v>1</v>
          </cell>
          <cell r="M93">
            <v>1</v>
          </cell>
          <cell r="N93">
            <v>1</v>
          </cell>
          <cell r="O93">
            <v>1</v>
          </cell>
          <cell r="P93">
            <v>1</v>
          </cell>
          <cell r="Q93">
            <v>1</v>
          </cell>
          <cell r="R93">
            <v>1</v>
          </cell>
          <cell r="S93">
            <v>1</v>
          </cell>
          <cell r="T93">
            <v>1</v>
          </cell>
          <cell r="U93">
            <v>1</v>
          </cell>
          <cell r="V93">
            <v>1</v>
          </cell>
          <cell r="W93">
            <v>1</v>
          </cell>
          <cell r="X93">
            <v>1</v>
          </cell>
          <cell r="Y93">
            <v>1</v>
          </cell>
          <cell r="Z93">
            <v>1</v>
          </cell>
          <cell r="AA93">
            <v>1</v>
          </cell>
          <cell r="AB93">
            <v>1</v>
          </cell>
          <cell r="AC93">
            <v>1</v>
          </cell>
          <cell r="AD93">
            <v>1</v>
          </cell>
          <cell r="AE93">
            <v>1</v>
          </cell>
          <cell r="AF93">
            <v>1</v>
          </cell>
          <cell r="AG93">
            <v>1</v>
          </cell>
          <cell r="AH93">
            <v>1</v>
          </cell>
          <cell r="AI93">
            <v>1</v>
          </cell>
          <cell r="AJ93">
            <v>1</v>
          </cell>
          <cell r="AK93">
            <v>1</v>
          </cell>
          <cell r="AL93">
            <v>1</v>
          </cell>
          <cell r="AM93">
            <v>1</v>
          </cell>
          <cell r="AN93">
            <v>1</v>
          </cell>
          <cell r="AO93">
            <v>1</v>
          </cell>
          <cell r="AP93">
            <v>1</v>
          </cell>
          <cell r="AQ93">
            <v>1</v>
          </cell>
          <cell r="AR93">
            <v>1</v>
          </cell>
          <cell r="AS93">
            <v>1</v>
          </cell>
        </row>
        <row r="94">
          <cell r="B94" t="str">
            <v>13.03</v>
          </cell>
          <cell r="C94">
            <v>1</v>
          </cell>
          <cell r="D94">
            <v>1</v>
          </cell>
          <cell r="E94">
            <v>1</v>
          </cell>
          <cell r="F94">
            <v>1</v>
          </cell>
          <cell r="G94">
            <v>1</v>
          </cell>
          <cell r="H94">
            <v>1</v>
          </cell>
          <cell r="I94">
            <v>1</v>
          </cell>
          <cell r="J94">
            <v>1</v>
          </cell>
          <cell r="K94">
            <v>1</v>
          </cell>
          <cell r="L94">
            <v>1</v>
          </cell>
          <cell r="M94">
            <v>1</v>
          </cell>
          <cell r="N94">
            <v>1</v>
          </cell>
          <cell r="O94">
            <v>1</v>
          </cell>
          <cell r="P94">
            <v>1</v>
          </cell>
          <cell r="Q94">
            <v>1</v>
          </cell>
          <cell r="R94">
            <v>1</v>
          </cell>
          <cell r="S94">
            <v>1</v>
          </cell>
          <cell r="T94">
            <v>1</v>
          </cell>
          <cell r="U94">
            <v>1</v>
          </cell>
          <cell r="V94">
            <v>1</v>
          </cell>
          <cell r="W94">
            <v>1</v>
          </cell>
          <cell r="X94">
            <v>1</v>
          </cell>
          <cell r="Y94">
            <v>1</v>
          </cell>
          <cell r="Z94">
            <v>1</v>
          </cell>
          <cell r="AA94">
            <v>1</v>
          </cell>
          <cell r="AB94">
            <v>1</v>
          </cell>
          <cell r="AC94">
            <v>1</v>
          </cell>
          <cell r="AD94">
            <v>1</v>
          </cell>
          <cell r="AE94">
            <v>1</v>
          </cell>
          <cell r="AF94">
            <v>1</v>
          </cell>
          <cell r="AG94">
            <v>1</v>
          </cell>
          <cell r="AH94">
            <v>1</v>
          </cell>
          <cell r="AI94">
            <v>1</v>
          </cell>
          <cell r="AJ94">
            <v>1</v>
          </cell>
          <cell r="AK94">
            <v>1</v>
          </cell>
          <cell r="AL94">
            <v>1</v>
          </cell>
          <cell r="AM94">
            <v>1</v>
          </cell>
          <cell r="AN94">
            <v>1</v>
          </cell>
          <cell r="AO94">
            <v>1</v>
          </cell>
          <cell r="AP94">
            <v>1</v>
          </cell>
          <cell r="AQ94">
            <v>1</v>
          </cell>
          <cell r="AR94">
            <v>1</v>
          </cell>
          <cell r="AS94">
            <v>1</v>
          </cell>
        </row>
        <row r="95">
          <cell r="B95" t="str">
            <v>13.04</v>
          </cell>
          <cell r="C95">
            <v>1</v>
          </cell>
          <cell r="D95">
            <v>1</v>
          </cell>
          <cell r="E95">
            <v>1</v>
          </cell>
          <cell r="F95">
            <v>1</v>
          </cell>
          <cell r="G95">
            <v>1</v>
          </cell>
          <cell r="H95">
            <v>1</v>
          </cell>
          <cell r="I95">
            <v>1</v>
          </cell>
          <cell r="J95">
            <v>1</v>
          </cell>
          <cell r="K95">
            <v>1</v>
          </cell>
          <cell r="L95">
            <v>1</v>
          </cell>
          <cell r="M95">
            <v>1</v>
          </cell>
          <cell r="N95">
            <v>1</v>
          </cell>
          <cell r="O95">
            <v>1</v>
          </cell>
          <cell r="P95">
            <v>1</v>
          </cell>
          <cell r="Q95">
            <v>1</v>
          </cell>
          <cell r="R95">
            <v>1</v>
          </cell>
          <cell r="S95">
            <v>1</v>
          </cell>
          <cell r="T95">
            <v>1</v>
          </cell>
          <cell r="U95">
            <v>1</v>
          </cell>
          <cell r="V95">
            <v>1</v>
          </cell>
          <cell r="W95">
            <v>1</v>
          </cell>
          <cell r="X95">
            <v>1</v>
          </cell>
          <cell r="Y95">
            <v>1</v>
          </cell>
          <cell r="Z95">
            <v>1</v>
          </cell>
          <cell r="AA95">
            <v>1</v>
          </cell>
          <cell r="AB95">
            <v>1</v>
          </cell>
          <cell r="AC95">
            <v>1</v>
          </cell>
          <cell r="AD95">
            <v>1</v>
          </cell>
          <cell r="AE95">
            <v>1</v>
          </cell>
          <cell r="AF95">
            <v>1</v>
          </cell>
          <cell r="AG95">
            <v>1</v>
          </cell>
          <cell r="AH95">
            <v>1</v>
          </cell>
          <cell r="AI95">
            <v>1</v>
          </cell>
          <cell r="AJ95">
            <v>1</v>
          </cell>
          <cell r="AK95">
            <v>1</v>
          </cell>
          <cell r="AL95">
            <v>1</v>
          </cell>
          <cell r="AM95">
            <v>1</v>
          </cell>
          <cell r="AN95">
            <v>1</v>
          </cell>
          <cell r="AO95">
            <v>1</v>
          </cell>
          <cell r="AP95">
            <v>1</v>
          </cell>
          <cell r="AQ95">
            <v>1</v>
          </cell>
          <cell r="AR95">
            <v>1</v>
          </cell>
          <cell r="AS95">
            <v>1</v>
          </cell>
        </row>
        <row r="96">
          <cell r="B96" t="str">
            <v>14.01</v>
          </cell>
          <cell r="C96">
            <v>1</v>
          </cell>
          <cell r="D96">
            <v>1</v>
          </cell>
          <cell r="E96">
            <v>1</v>
          </cell>
          <cell r="F96">
            <v>1</v>
          </cell>
          <cell r="G96">
            <v>1</v>
          </cell>
          <cell r="H96">
            <v>1</v>
          </cell>
          <cell r="I96">
            <v>1</v>
          </cell>
          <cell r="J96">
            <v>1</v>
          </cell>
          <cell r="K96">
            <v>1</v>
          </cell>
          <cell r="L96">
            <v>1</v>
          </cell>
          <cell r="M96">
            <v>1</v>
          </cell>
          <cell r="N96">
            <v>1</v>
          </cell>
          <cell r="O96">
            <v>1</v>
          </cell>
          <cell r="P96">
            <v>1</v>
          </cell>
          <cell r="Q96">
            <v>1</v>
          </cell>
          <cell r="R96">
            <v>1</v>
          </cell>
          <cell r="S96">
            <v>1</v>
          </cell>
          <cell r="T96">
            <v>1</v>
          </cell>
          <cell r="U96">
            <v>1</v>
          </cell>
          <cell r="V96">
            <v>1</v>
          </cell>
          <cell r="W96">
            <v>1</v>
          </cell>
          <cell r="X96">
            <v>1</v>
          </cell>
          <cell r="Y96">
            <v>1</v>
          </cell>
          <cell r="Z96">
            <v>1</v>
          </cell>
          <cell r="AA96">
            <v>1</v>
          </cell>
          <cell r="AB96">
            <v>1</v>
          </cell>
          <cell r="AC96">
            <v>1</v>
          </cell>
          <cell r="AD96">
            <v>1</v>
          </cell>
          <cell r="AE96">
            <v>1</v>
          </cell>
          <cell r="AF96">
            <v>1</v>
          </cell>
          <cell r="AG96">
            <v>1</v>
          </cell>
          <cell r="AH96">
            <v>1</v>
          </cell>
          <cell r="AI96">
            <v>1</v>
          </cell>
          <cell r="AJ96">
            <v>1</v>
          </cell>
          <cell r="AK96">
            <v>1</v>
          </cell>
          <cell r="AL96">
            <v>1</v>
          </cell>
          <cell r="AM96">
            <v>1</v>
          </cell>
          <cell r="AN96">
            <v>1</v>
          </cell>
          <cell r="AO96">
            <v>1</v>
          </cell>
          <cell r="AP96">
            <v>1</v>
          </cell>
          <cell r="AQ96">
            <v>1</v>
          </cell>
          <cell r="AR96">
            <v>1</v>
          </cell>
          <cell r="AS96">
            <v>1</v>
          </cell>
        </row>
        <row r="97">
          <cell r="B97" t="str">
            <v>14.02</v>
          </cell>
          <cell r="C97">
            <v>1</v>
          </cell>
          <cell r="D97">
            <v>1</v>
          </cell>
          <cell r="E97">
            <v>1</v>
          </cell>
          <cell r="F97">
            <v>1</v>
          </cell>
          <cell r="G97">
            <v>1</v>
          </cell>
          <cell r="H97">
            <v>1</v>
          </cell>
          <cell r="I97">
            <v>1</v>
          </cell>
          <cell r="J97">
            <v>1</v>
          </cell>
          <cell r="K97">
            <v>1</v>
          </cell>
          <cell r="L97">
            <v>1</v>
          </cell>
          <cell r="M97">
            <v>1</v>
          </cell>
          <cell r="N97">
            <v>1</v>
          </cell>
          <cell r="O97">
            <v>1</v>
          </cell>
          <cell r="P97">
            <v>1</v>
          </cell>
          <cell r="Q97">
            <v>1</v>
          </cell>
          <cell r="R97">
            <v>1</v>
          </cell>
          <cell r="S97">
            <v>1</v>
          </cell>
          <cell r="T97">
            <v>1</v>
          </cell>
          <cell r="U97">
            <v>1</v>
          </cell>
          <cell r="V97">
            <v>1</v>
          </cell>
          <cell r="W97">
            <v>1</v>
          </cell>
          <cell r="X97">
            <v>1</v>
          </cell>
          <cell r="Y97">
            <v>1</v>
          </cell>
          <cell r="Z97">
            <v>1</v>
          </cell>
          <cell r="AA97">
            <v>1</v>
          </cell>
          <cell r="AB97">
            <v>1</v>
          </cell>
          <cell r="AC97">
            <v>1</v>
          </cell>
          <cell r="AD97">
            <v>1</v>
          </cell>
          <cell r="AE97">
            <v>1</v>
          </cell>
          <cell r="AF97">
            <v>1</v>
          </cell>
          <cell r="AG97">
            <v>1</v>
          </cell>
          <cell r="AH97">
            <v>1</v>
          </cell>
          <cell r="AI97">
            <v>1</v>
          </cell>
          <cell r="AJ97">
            <v>1</v>
          </cell>
          <cell r="AK97">
            <v>1</v>
          </cell>
          <cell r="AL97">
            <v>1</v>
          </cell>
          <cell r="AM97">
            <v>1</v>
          </cell>
          <cell r="AN97">
            <v>1</v>
          </cell>
          <cell r="AO97">
            <v>1</v>
          </cell>
          <cell r="AP97">
            <v>1</v>
          </cell>
          <cell r="AQ97">
            <v>1</v>
          </cell>
          <cell r="AR97">
            <v>1</v>
          </cell>
          <cell r="AS97">
            <v>1</v>
          </cell>
        </row>
        <row r="98">
          <cell r="B98" t="str">
            <v>14.04</v>
          </cell>
          <cell r="C98">
            <v>1</v>
          </cell>
          <cell r="D98">
            <v>1</v>
          </cell>
          <cell r="E98">
            <v>1</v>
          </cell>
          <cell r="F98">
            <v>1</v>
          </cell>
          <cell r="G98">
            <v>1</v>
          </cell>
          <cell r="H98">
            <v>1</v>
          </cell>
          <cell r="I98">
            <v>1</v>
          </cell>
          <cell r="J98">
            <v>1</v>
          </cell>
          <cell r="K98">
            <v>1</v>
          </cell>
          <cell r="L98">
            <v>1</v>
          </cell>
          <cell r="M98">
            <v>1</v>
          </cell>
          <cell r="N98">
            <v>1</v>
          </cell>
          <cell r="O98">
            <v>1</v>
          </cell>
          <cell r="P98">
            <v>1</v>
          </cell>
          <cell r="Q98">
            <v>1</v>
          </cell>
          <cell r="R98">
            <v>1</v>
          </cell>
          <cell r="S98">
            <v>1</v>
          </cell>
          <cell r="T98">
            <v>1</v>
          </cell>
          <cell r="U98">
            <v>1</v>
          </cell>
          <cell r="V98">
            <v>1</v>
          </cell>
          <cell r="W98">
            <v>1</v>
          </cell>
          <cell r="X98">
            <v>1</v>
          </cell>
          <cell r="Y98">
            <v>1</v>
          </cell>
          <cell r="Z98">
            <v>1</v>
          </cell>
          <cell r="AA98">
            <v>1</v>
          </cell>
          <cell r="AB98">
            <v>1</v>
          </cell>
          <cell r="AC98">
            <v>1</v>
          </cell>
          <cell r="AD98">
            <v>1</v>
          </cell>
          <cell r="AE98">
            <v>1</v>
          </cell>
          <cell r="AF98">
            <v>1</v>
          </cell>
          <cell r="AG98">
            <v>1</v>
          </cell>
          <cell r="AH98">
            <v>1</v>
          </cell>
          <cell r="AI98">
            <v>1</v>
          </cell>
          <cell r="AJ98">
            <v>1</v>
          </cell>
          <cell r="AK98">
            <v>1</v>
          </cell>
          <cell r="AL98">
            <v>1</v>
          </cell>
          <cell r="AM98">
            <v>1</v>
          </cell>
          <cell r="AN98">
            <v>1</v>
          </cell>
          <cell r="AO98">
            <v>1</v>
          </cell>
          <cell r="AP98">
            <v>1</v>
          </cell>
          <cell r="AQ98">
            <v>1</v>
          </cell>
          <cell r="AR98">
            <v>1</v>
          </cell>
          <cell r="AS98">
            <v>1</v>
          </cell>
        </row>
        <row r="99">
          <cell r="B99" t="str">
            <v>14.06</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row>
        <row r="100">
          <cell r="B100" t="str">
            <v>15.01</v>
          </cell>
          <cell r="C100">
            <v>1</v>
          </cell>
          <cell r="D100">
            <v>1</v>
          </cell>
          <cell r="E100">
            <v>1</v>
          </cell>
          <cell r="F100">
            <v>1</v>
          </cell>
          <cell r="G100">
            <v>1</v>
          </cell>
          <cell r="H100">
            <v>1</v>
          </cell>
          <cell r="I100">
            <v>1</v>
          </cell>
          <cell r="J100">
            <v>1</v>
          </cell>
          <cell r="K100">
            <v>1</v>
          </cell>
          <cell r="L100">
            <v>1</v>
          </cell>
          <cell r="M100">
            <v>1</v>
          </cell>
          <cell r="N100">
            <v>1</v>
          </cell>
          <cell r="O100">
            <v>1</v>
          </cell>
          <cell r="P100">
            <v>1</v>
          </cell>
          <cell r="Q100">
            <v>1</v>
          </cell>
          <cell r="R100">
            <v>1</v>
          </cell>
          <cell r="S100">
            <v>1</v>
          </cell>
          <cell r="T100">
            <v>1</v>
          </cell>
          <cell r="U100">
            <v>1</v>
          </cell>
          <cell r="V100">
            <v>1</v>
          </cell>
          <cell r="W100">
            <v>1</v>
          </cell>
          <cell r="X100">
            <v>1</v>
          </cell>
          <cell r="Y100">
            <v>1</v>
          </cell>
          <cell r="Z100">
            <v>1</v>
          </cell>
          <cell r="AA100">
            <v>1</v>
          </cell>
          <cell r="AB100">
            <v>1</v>
          </cell>
          <cell r="AC100">
            <v>1</v>
          </cell>
          <cell r="AD100">
            <v>1</v>
          </cell>
          <cell r="AE100">
            <v>1</v>
          </cell>
          <cell r="AF100">
            <v>1</v>
          </cell>
          <cell r="AG100">
            <v>1</v>
          </cell>
          <cell r="AH100">
            <v>1</v>
          </cell>
          <cell r="AI100">
            <v>1</v>
          </cell>
          <cell r="AJ100">
            <v>1</v>
          </cell>
          <cell r="AK100">
            <v>1</v>
          </cell>
          <cell r="AL100">
            <v>1</v>
          </cell>
          <cell r="AM100">
            <v>1</v>
          </cell>
          <cell r="AN100">
            <v>1</v>
          </cell>
          <cell r="AO100">
            <v>1</v>
          </cell>
          <cell r="AP100">
            <v>1</v>
          </cell>
          <cell r="AQ100">
            <v>1</v>
          </cell>
          <cell r="AR100">
            <v>1</v>
          </cell>
          <cell r="AS100">
            <v>1</v>
          </cell>
        </row>
        <row r="101">
          <cell r="B101" t="str">
            <v>15.02</v>
          </cell>
          <cell r="C101">
            <v>1</v>
          </cell>
          <cell r="D101">
            <v>1</v>
          </cell>
          <cell r="E101">
            <v>1</v>
          </cell>
          <cell r="F101">
            <v>1</v>
          </cell>
          <cell r="G101">
            <v>1</v>
          </cell>
          <cell r="H101">
            <v>1</v>
          </cell>
          <cell r="I101">
            <v>1</v>
          </cell>
          <cell r="J101">
            <v>1</v>
          </cell>
          <cell r="K101">
            <v>1</v>
          </cell>
          <cell r="L101">
            <v>1</v>
          </cell>
          <cell r="M101">
            <v>1</v>
          </cell>
          <cell r="N101">
            <v>1</v>
          </cell>
          <cell r="O101">
            <v>1</v>
          </cell>
          <cell r="P101">
            <v>1</v>
          </cell>
          <cell r="Q101">
            <v>1</v>
          </cell>
          <cell r="R101">
            <v>1</v>
          </cell>
          <cell r="S101">
            <v>1</v>
          </cell>
          <cell r="T101">
            <v>1</v>
          </cell>
          <cell r="U101">
            <v>1</v>
          </cell>
          <cell r="V101">
            <v>1</v>
          </cell>
          <cell r="W101">
            <v>1</v>
          </cell>
          <cell r="X101">
            <v>1</v>
          </cell>
          <cell r="Y101">
            <v>1</v>
          </cell>
          <cell r="Z101">
            <v>1</v>
          </cell>
          <cell r="AA101">
            <v>1</v>
          </cell>
          <cell r="AB101">
            <v>1</v>
          </cell>
          <cell r="AC101">
            <v>1</v>
          </cell>
          <cell r="AD101">
            <v>1</v>
          </cell>
          <cell r="AE101">
            <v>1</v>
          </cell>
          <cell r="AF101">
            <v>1</v>
          </cell>
          <cell r="AG101">
            <v>1</v>
          </cell>
          <cell r="AH101">
            <v>1</v>
          </cell>
          <cell r="AI101">
            <v>1</v>
          </cell>
          <cell r="AJ101">
            <v>1</v>
          </cell>
          <cell r="AK101">
            <v>1</v>
          </cell>
          <cell r="AL101">
            <v>1</v>
          </cell>
          <cell r="AM101">
            <v>1</v>
          </cell>
          <cell r="AN101">
            <v>1</v>
          </cell>
          <cell r="AO101">
            <v>1</v>
          </cell>
          <cell r="AP101">
            <v>1</v>
          </cell>
          <cell r="AQ101">
            <v>1</v>
          </cell>
          <cell r="AR101">
            <v>1</v>
          </cell>
          <cell r="AS101">
            <v>1</v>
          </cell>
        </row>
      </sheetData>
      <sheetData sheetId="34">
        <row r="1">
          <cell r="B1" t="str">
            <v xml:space="preserve">Task </v>
          </cell>
          <cell r="C1">
            <v>6</v>
          </cell>
          <cell r="D1">
            <v>7</v>
          </cell>
          <cell r="E1">
            <v>8</v>
          </cell>
          <cell r="F1">
            <v>9</v>
          </cell>
          <cell r="G1">
            <v>10</v>
          </cell>
          <cell r="H1">
            <v>11</v>
          </cell>
          <cell r="I1">
            <v>12</v>
          </cell>
          <cell r="J1">
            <v>13</v>
          </cell>
          <cell r="K1">
            <v>14</v>
          </cell>
          <cell r="L1">
            <v>15</v>
          </cell>
          <cell r="M1">
            <v>16</v>
          </cell>
          <cell r="N1">
            <v>17</v>
          </cell>
          <cell r="O1">
            <v>18</v>
          </cell>
          <cell r="P1">
            <v>19</v>
          </cell>
          <cell r="Q1">
            <v>20</v>
          </cell>
          <cell r="R1">
            <v>21</v>
          </cell>
          <cell r="S1">
            <v>22</v>
          </cell>
          <cell r="T1">
            <v>23</v>
          </cell>
          <cell r="U1">
            <v>24</v>
          </cell>
          <cell r="V1">
            <v>25</v>
          </cell>
          <cell r="W1">
            <v>26</v>
          </cell>
          <cell r="X1">
            <v>27</v>
          </cell>
          <cell r="Y1">
            <v>28</v>
          </cell>
          <cell r="Z1">
            <v>29</v>
          </cell>
          <cell r="AA1">
            <v>30</v>
          </cell>
          <cell r="AB1">
            <v>31</v>
          </cell>
          <cell r="AC1">
            <v>32</v>
          </cell>
          <cell r="AD1">
            <v>33</v>
          </cell>
          <cell r="AE1">
            <v>34</v>
          </cell>
          <cell r="AF1">
            <v>35</v>
          </cell>
          <cell r="AG1">
            <v>36</v>
          </cell>
          <cell r="AH1">
            <v>37</v>
          </cell>
          <cell r="AI1">
            <v>38</v>
          </cell>
          <cell r="AJ1">
            <v>39</v>
          </cell>
          <cell r="AK1">
            <v>40</v>
          </cell>
          <cell r="AL1">
            <v>41</v>
          </cell>
          <cell r="AM1">
            <v>42</v>
          </cell>
          <cell r="AN1">
            <v>43</v>
          </cell>
          <cell r="AO1">
            <v>44</v>
          </cell>
          <cell r="AP1">
            <v>45</v>
          </cell>
          <cell r="AQ1">
            <v>46</v>
          </cell>
          <cell r="AR1">
            <v>47</v>
          </cell>
          <cell r="AS1">
            <v>48</v>
          </cell>
        </row>
        <row r="2">
          <cell r="B2" t="str">
            <v>04.01</v>
          </cell>
          <cell r="C2">
            <v>7800</v>
          </cell>
          <cell r="D2">
            <v>7800</v>
          </cell>
          <cell r="E2">
            <v>7800</v>
          </cell>
          <cell r="F2">
            <v>8800</v>
          </cell>
          <cell r="G2">
            <v>8800</v>
          </cell>
          <cell r="H2">
            <v>8800</v>
          </cell>
          <cell r="I2">
            <v>8800</v>
          </cell>
          <cell r="J2">
            <v>8800</v>
          </cell>
          <cell r="K2">
            <v>8800</v>
          </cell>
          <cell r="L2">
            <v>8800</v>
          </cell>
          <cell r="M2">
            <v>8800</v>
          </cell>
          <cell r="N2">
            <v>9500</v>
          </cell>
          <cell r="O2">
            <v>9500</v>
          </cell>
          <cell r="P2">
            <v>9500</v>
          </cell>
          <cell r="Q2">
            <v>9500</v>
          </cell>
          <cell r="R2">
            <v>9500</v>
          </cell>
          <cell r="S2">
            <v>9500</v>
          </cell>
          <cell r="T2">
            <v>9500</v>
          </cell>
          <cell r="U2">
            <v>9500</v>
          </cell>
          <cell r="V2">
            <v>9500</v>
          </cell>
          <cell r="W2">
            <v>9500</v>
          </cell>
          <cell r="X2">
            <v>9500</v>
          </cell>
          <cell r="Y2">
            <v>9500</v>
          </cell>
          <cell r="Z2">
            <v>9500</v>
          </cell>
          <cell r="AA2">
            <v>9500</v>
          </cell>
          <cell r="AB2">
            <v>9500</v>
          </cell>
          <cell r="AC2">
            <v>9500</v>
          </cell>
          <cell r="AD2">
            <v>9500</v>
          </cell>
          <cell r="AE2">
            <v>9500</v>
          </cell>
          <cell r="AF2">
            <v>9500</v>
          </cell>
          <cell r="AG2">
            <v>9500</v>
          </cell>
          <cell r="AH2">
            <v>9500</v>
          </cell>
          <cell r="AI2">
            <v>9500</v>
          </cell>
          <cell r="AJ2">
            <v>9500</v>
          </cell>
          <cell r="AK2">
            <v>9500</v>
          </cell>
          <cell r="AL2">
            <v>9500</v>
          </cell>
          <cell r="AM2">
            <v>9500</v>
          </cell>
          <cell r="AN2">
            <v>9500</v>
          </cell>
          <cell r="AO2">
            <v>9500</v>
          </cell>
          <cell r="AP2">
            <v>9500</v>
          </cell>
          <cell r="AQ2">
            <v>9500</v>
          </cell>
          <cell r="AR2">
            <v>9500</v>
          </cell>
          <cell r="AS2">
            <v>9500</v>
          </cell>
        </row>
        <row r="3">
          <cell r="B3" t="str">
            <v>04.02</v>
          </cell>
          <cell r="C3">
            <v>13500</v>
          </cell>
          <cell r="D3">
            <v>13500</v>
          </cell>
          <cell r="E3">
            <v>13500</v>
          </cell>
          <cell r="F3">
            <v>14220</v>
          </cell>
          <cell r="G3">
            <v>14220</v>
          </cell>
          <cell r="H3">
            <v>14220</v>
          </cell>
          <cell r="I3">
            <v>14220</v>
          </cell>
          <cell r="J3">
            <v>14950</v>
          </cell>
          <cell r="K3">
            <v>14950</v>
          </cell>
          <cell r="L3">
            <v>14950</v>
          </cell>
          <cell r="M3">
            <v>14950</v>
          </cell>
          <cell r="N3">
            <v>15680</v>
          </cell>
          <cell r="O3">
            <v>15680</v>
          </cell>
          <cell r="P3">
            <v>15680</v>
          </cell>
          <cell r="Q3">
            <v>15680</v>
          </cell>
          <cell r="R3">
            <v>18050</v>
          </cell>
          <cell r="S3">
            <v>18050</v>
          </cell>
          <cell r="T3">
            <v>18050</v>
          </cell>
          <cell r="U3">
            <v>18050</v>
          </cell>
          <cell r="V3">
            <v>18050</v>
          </cell>
          <cell r="W3">
            <v>18050</v>
          </cell>
          <cell r="X3">
            <v>18050</v>
          </cell>
          <cell r="Y3">
            <v>18050</v>
          </cell>
          <cell r="Z3">
            <v>18050</v>
          </cell>
          <cell r="AA3">
            <v>18050</v>
          </cell>
          <cell r="AB3">
            <v>18050</v>
          </cell>
          <cell r="AC3">
            <v>18050</v>
          </cell>
          <cell r="AD3">
            <v>18050</v>
          </cell>
          <cell r="AE3">
            <v>18050</v>
          </cell>
          <cell r="AF3">
            <v>18050</v>
          </cell>
          <cell r="AG3">
            <v>18050</v>
          </cell>
          <cell r="AH3">
            <v>18050</v>
          </cell>
          <cell r="AI3">
            <v>18050</v>
          </cell>
          <cell r="AJ3">
            <v>18050</v>
          </cell>
          <cell r="AK3">
            <v>18050</v>
          </cell>
          <cell r="AL3">
            <v>18050</v>
          </cell>
          <cell r="AM3">
            <v>18050</v>
          </cell>
          <cell r="AN3">
            <v>18050</v>
          </cell>
          <cell r="AO3">
            <v>18050</v>
          </cell>
          <cell r="AP3">
            <v>18050</v>
          </cell>
          <cell r="AQ3">
            <v>18050</v>
          </cell>
          <cell r="AR3">
            <v>18050</v>
          </cell>
          <cell r="AS3">
            <v>18050</v>
          </cell>
        </row>
        <row r="4">
          <cell r="B4" t="str">
            <v>04.03</v>
          </cell>
          <cell r="C4">
            <v>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12052.81</v>
          </cell>
          <cell r="X4">
            <v>12052.81</v>
          </cell>
          <cell r="Y4">
            <v>12052.81</v>
          </cell>
          <cell r="Z4">
            <v>12052.81</v>
          </cell>
          <cell r="AA4">
            <v>12052.81</v>
          </cell>
          <cell r="AB4">
            <v>12052.81</v>
          </cell>
          <cell r="AC4">
            <v>12052.81</v>
          </cell>
          <cell r="AD4">
            <v>12052.81</v>
          </cell>
          <cell r="AE4">
            <v>12052.81</v>
          </cell>
          <cell r="AF4">
            <v>12052.81</v>
          </cell>
          <cell r="AG4">
            <v>12052.81</v>
          </cell>
          <cell r="AH4">
            <v>12052.81</v>
          </cell>
          <cell r="AI4">
            <v>12052.81</v>
          </cell>
          <cell r="AJ4">
            <v>12052.81</v>
          </cell>
          <cell r="AK4">
            <v>12052.81</v>
          </cell>
          <cell r="AL4">
            <v>12052.81</v>
          </cell>
          <cell r="AM4">
            <v>12052.81</v>
          </cell>
          <cell r="AN4">
            <v>12052.81</v>
          </cell>
          <cell r="AO4">
            <v>12052.81</v>
          </cell>
          <cell r="AP4">
            <v>12052.81</v>
          </cell>
          <cell r="AQ4">
            <v>12052.81</v>
          </cell>
          <cell r="AR4">
            <v>12052.81</v>
          </cell>
          <cell r="AS4">
            <v>12052.81</v>
          </cell>
        </row>
        <row r="5">
          <cell r="B5" t="str">
            <v>04.04</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row>
        <row r="6">
          <cell r="B6" t="str">
            <v>04.05</v>
          </cell>
          <cell r="C6">
            <v>1500</v>
          </cell>
          <cell r="D6">
            <v>1500</v>
          </cell>
          <cell r="E6">
            <v>1500</v>
          </cell>
          <cell r="F6">
            <v>1500</v>
          </cell>
          <cell r="G6">
            <v>1500</v>
          </cell>
          <cell r="H6">
            <v>1500</v>
          </cell>
          <cell r="I6">
            <v>1500</v>
          </cell>
          <cell r="J6">
            <v>1500</v>
          </cell>
          <cell r="K6">
            <v>1500</v>
          </cell>
          <cell r="L6">
            <v>1500</v>
          </cell>
          <cell r="M6">
            <v>1500</v>
          </cell>
          <cell r="N6">
            <v>1500</v>
          </cell>
          <cell r="O6">
            <v>1500</v>
          </cell>
          <cell r="P6">
            <v>1500</v>
          </cell>
          <cell r="Q6">
            <v>1500</v>
          </cell>
          <cell r="R6">
            <v>1500</v>
          </cell>
          <cell r="S6">
            <v>1500</v>
          </cell>
          <cell r="T6">
            <v>1500</v>
          </cell>
          <cell r="U6">
            <v>1500</v>
          </cell>
          <cell r="V6">
            <v>1500</v>
          </cell>
          <cell r="W6">
            <v>1500</v>
          </cell>
          <cell r="X6">
            <v>1500</v>
          </cell>
          <cell r="Y6">
            <v>1500</v>
          </cell>
          <cell r="Z6">
            <v>1500</v>
          </cell>
          <cell r="AA6">
            <v>1500</v>
          </cell>
          <cell r="AB6">
            <v>1500</v>
          </cell>
          <cell r="AC6">
            <v>1500</v>
          </cell>
          <cell r="AD6">
            <v>1500</v>
          </cell>
          <cell r="AE6">
            <v>1500</v>
          </cell>
          <cell r="AF6">
            <v>1500</v>
          </cell>
          <cell r="AG6">
            <v>1500</v>
          </cell>
          <cell r="AH6">
            <v>1500</v>
          </cell>
          <cell r="AI6">
            <v>1500</v>
          </cell>
          <cell r="AJ6">
            <v>1500</v>
          </cell>
          <cell r="AK6">
            <v>1500</v>
          </cell>
          <cell r="AL6">
            <v>1500</v>
          </cell>
          <cell r="AM6">
            <v>1500</v>
          </cell>
          <cell r="AN6">
            <v>1500</v>
          </cell>
          <cell r="AO6">
            <v>1500</v>
          </cell>
          <cell r="AP6">
            <v>1500</v>
          </cell>
          <cell r="AQ6">
            <v>1500</v>
          </cell>
          <cell r="AR6">
            <v>1500</v>
          </cell>
          <cell r="AS6">
            <v>1500</v>
          </cell>
        </row>
        <row r="7">
          <cell r="B7" t="str">
            <v>04.06</v>
          </cell>
          <cell r="C7">
            <v>8000</v>
          </cell>
          <cell r="D7">
            <v>8000</v>
          </cell>
          <cell r="E7">
            <v>8000</v>
          </cell>
          <cell r="F7">
            <v>10000</v>
          </cell>
          <cell r="G7">
            <v>10000</v>
          </cell>
          <cell r="H7">
            <v>10000</v>
          </cell>
          <cell r="I7">
            <v>10000</v>
          </cell>
          <cell r="J7">
            <v>13000</v>
          </cell>
          <cell r="K7">
            <v>13000</v>
          </cell>
          <cell r="L7">
            <v>13000</v>
          </cell>
          <cell r="M7">
            <v>13000</v>
          </cell>
          <cell r="N7">
            <v>16000</v>
          </cell>
          <cell r="O7">
            <v>16000</v>
          </cell>
          <cell r="P7">
            <v>16000</v>
          </cell>
          <cell r="Q7">
            <v>16000</v>
          </cell>
          <cell r="R7">
            <v>19000</v>
          </cell>
          <cell r="S7">
            <v>19000</v>
          </cell>
          <cell r="T7">
            <v>19000</v>
          </cell>
          <cell r="U7">
            <v>19000</v>
          </cell>
          <cell r="V7">
            <v>19000</v>
          </cell>
          <cell r="W7">
            <v>19000</v>
          </cell>
          <cell r="X7">
            <v>19000</v>
          </cell>
          <cell r="Y7">
            <v>19000</v>
          </cell>
          <cell r="Z7">
            <v>19000</v>
          </cell>
          <cell r="AA7">
            <v>19000</v>
          </cell>
          <cell r="AB7">
            <v>19000</v>
          </cell>
          <cell r="AC7">
            <v>19000</v>
          </cell>
          <cell r="AD7">
            <v>19000</v>
          </cell>
          <cell r="AE7">
            <v>19000</v>
          </cell>
          <cell r="AF7">
            <v>19000</v>
          </cell>
          <cell r="AG7">
            <v>19000</v>
          </cell>
          <cell r="AH7">
            <v>19000</v>
          </cell>
          <cell r="AI7">
            <v>19000</v>
          </cell>
          <cell r="AJ7">
            <v>19000</v>
          </cell>
          <cell r="AK7">
            <v>19000</v>
          </cell>
          <cell r="AL7">
            <v>19000</v>
          </cell>
          <cell r="AM7">
            <v>19000</v>
          </cell>
          <cell r="AN7">
            <v>19000</v>
          </cell>
          <cell r="AO7">
            <v>19000</v>
          </cell>
          <cell r="AP7">
            <v>19000</v>
          </cell>
          <cell r="AQ7">
            <v>19000</v>
          </cell>
          <cell r="AR7">
            <v>19000</v>
          </cell>
          <cell r="AS7">
            <v>19000</v>
          </cell>
        </row>
        <row r="8">
          <cell r="B8" t="str">
            <v>04.07</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row>
        <row r="9">
          <cell r="B9" t="str">
            <v>04.08</v>
          </cell>
          <cell r="C9">
            <v>7660</v>
          </cell>
          <cell r="D9">
            <v>7660</v>
          </cell>
          <cell r="E9">
            <v>7660</v>
          </cell>
          <cell r="F9">
            <v>7660</v>
          </cell>
          <cell r="G9">
            <v>7660</v>
          </cell>
          <cell r="H9">
            <v>7660</v>
          </cell>
          <cell r="I9">
            <v>7660</v>
          </cell>
          <cell r="J9">
            <v>7660</v>
          </cell>
          <cell r="K9">
            <v>7660</v>
          </cell>
          <cell r="L9">
            <v>7660</v>
          </cell>
          <cell r="M9">
            <v>7660</v>
          </cell>
          <cell r="N9">
            <v>9310</v>
          </cell>
          <cell r="O9">
            <v>9310</v>
          </cell>
          <cell r="P9">
            <v>9310</v>
          </cell>
          <cell r="Q9">
            <v>9310</v>
          </cell>
          <cell r="R9">
            <v>9310</v>
          </cell>
          <cell r="S9">
            <v>9310</v>
          </cell>
          <cell r="T9">
            <v>9310</v>
          </cell>
          <cell r="U9">
            <v>9310</v>
          </cell>
          <cell r="V9">
            <v>9310</v>
          </cell>
          <cell r="W9">
            <v>9310</v>
          </cell>
          <cell r="X9">
            <v>9310</v>
          </cell>
          <cell r="Y9">
            <v>9310</v>
          </cell>
          <cell r="Z9">
            <v>9310</v>
          </cell>
          <cell r="AA9">
            <v>9310</v>
          </cell>
          <cell r="AB9">
            <v>9310</v>
          </cell>
          <cell r="AC9">
            <v>9310</v>
          </cell>
          <cell r="AD9">
            <v>9310</v>
          </cell>
          <cell r="AE9">
            <v>9310</v>
          </cell>
          <cell r="AF9">
            <v>9310</v>
          </cell>
          <cell r="AG9">
            <v>9310</v>
          </cell>
          <cell r="AH9">
            <v>9310</v>
          </cell>
          <cell r="AI9">
            <v>9310</v>
          </cell>
          <cell r="AJ9">
            <v>9310</v>
          </cell>
          <cell r="AK9">
            <v>9310</v>
          </cell>
          <cell r="AL9">
            <v>9310</v>
          </cell>
          <cell r="AM9">
            <v>9310</v>
          </cell>
          <cell r="AN9">
            <v>9310</v>
          </cell>
          <cell r="AO9">
            <v>9310</v>
          </cell>
          <cell r="AP9">
            <v>9310</v>
          </cell>
          <cell r="AQ9">
            <v>9310</v>
          </cell>
          <cell r="AR9">
            <v>9310</v>
          </cell>
          <cell r="AS9">
            <v>9310</v>
          </cell>
        </row>
        <row r="10">
          <cell r="B10" t="str">
            <v>04.09</v>
          </cell>
          <cell r="C10">
            <v>7072</v>
          </cell>
          <cell r="D10">
            <v>7072</v>
          </cell>
          <cell r="E10">
            <v>7072</v>
          </cell>
          <cell r="F10">
            <v>10333</v>
          </cell>
          <cell r="G10">
            <v>10333</v>
          </cell>
          <cell r="H10">
            <v>10333</v>
          </cell>
          <cell r="I10">
            <v>10333</v>
          </cell>
          <cell r="J10">
            <v>13595</v>
          </cell>
          <cell r="K10">
            <v>13595</v>
          </cell>
          <cell r="L10">
            <v>13595</v>
          </cell>
          <cell r="M10">
            <v>13595</v>
          </cell>
          <cell r="N10">
            <v>15225</v>
          </cell>
          <cell r="O10">
            <v>15225</v>
          </cell>
          <cell r="P10">
            <v>15225</v>
          </cell>
          <cell r="Q10">
            <v>15225</v>
          </cell>
          <cell r="R10">
            <v>20116</v>
          </cell>
          <cell r="S10">
            <v>20116</v>
          </cell>
          <cell r="T10">
            <v>20116</v>
          </cell>
          <cell r="U10">
            <v>20116</v>
          </cell>
          <cell r="V10">
            <v>20116</v>
          </cell>
          <cell r="W10">
            <v>20116</v>
          </cell>
          <cell r="X10">
            <v>20116</v>
          </cell>
          <cell r="Y10">
            <v>20116</v>
          </cell>
          <cell r="Z10">
            <v>20116</v>
          </cell>
          <cell r="AA10">
            <v>20116</v>
          </cell>
          <cell r="AB10">
            <v>20116</v>
          </cell>
          <cell r="AC10">
            <v>20116</v>
          </cell>
          <cell r="AD10">
            <v>20116</v>
          </cell>
          <cell r="AE10">
            <v>20116</v>
          </cell>
          <cell r="AF10">
            <v>20116</v>
          </cell>
          <cell r="AG10">
            <v>20116</v>
          </cell>
          <cell r="AH10">
            <v>20116</v>
          </cell>
          <cell r="AI10">
            <v>20116</v>
          </cell>
          <cell r="AJ10">
            <v>20116</v>
          </cell>
          <cell r="AK10">
            <v>20116</v>
          </cell>
          <cell r="AL10">
            <v>20116</v>
          </cell>
          <cell r="AM10">
            <v>20116</v>
          </cell>
          <cell r="AN10">
            <v>20116</v>
          </cell>
          <cell r="AO10">
            <v>20116</v>
          </cell>
          <cell r="AP10">
            <v>20116</v>
          </cell>
          <cell r="AQ10">
            <v>20116</v>
          </cell>
          <cell r="AR10">
            <v>20116</v>
          </cell>
          <cell r="AS10">
            <v>20116</v>
          </cell>
        </row>
        <row r="11">
          <cell r="B11" t="str">
            <v>05.01</v>
          </cell>
          <cell r="C11">
            <v>86000</v>
          </cell>
          <cell r="D11">
            <v>86000</v>
          </cell>
          <cell r="E11">
            <v>86000</v>
          </cell>
          <cell r="F11">
            <v>86000</v>
          </cell>
          <cell r="G11">
            <v>86000</v>
          </cell>
          <cell r="H11">
            <v>86000</v>
          </cell>
          <cell r="I11">
            <v>86000</v>
          </cell>
          <cell r="J11">
            <v>90000</v>
          </cell>
          <cell r="K11">
            <v>90000</v>
          </cell>
          <cell r="L11">
            <v>90000</v>
          </cell>
          <cell r="M11">
            <v>90000</v>
          </cell>
          <cell r="N11">
            <v>95000</v>
          </cell>
          <cell r="O11">
            <v>95000</v>
          </cell>
          <cell r="P11">
            <v>95000</v>
          </cell>
          <cell r="Q11">
            <v>95000</v>
          </cell>
          <cell r="R11">
            <v>95000</v>
          </cell>
          <cell r="S11">
            <v>95000</v>
          </cell>
          <cell r="T11">
            <v>95000</v>
          </cell>
          <cell r="U11">
            <v>95000</v>
          </cell>
          <cell r="V11">
            <v>95000</v>
          </cell>
          <cell r="W11">
            <v>95000</v>
          </cell>
          <cell r="X11">
            <v>95000</v>
          </cell>
          <cell r="Y11">
            <v>95000</v>
          </cell>
          <cell r="Z11">
            <v>95000</v>
          </cell>
          <cell r="AA11">
            <v>95000</v>
          </cell>
          <cell r="AB11">
            <v>95000</v>
          </cell>
          <cell r="AC11">
            <v>95000</v>
          </cell>
          <cell r="AD11">
            <v>95000</v>
          </cell>
          <cell r="AE11">
            <v>95000</v>
          </cell>
          <cell r="AF11">
            <v>95000</v>
          </cell>
          <cell r="AG11">
            <v>95000</v>
          </cell>
          <cell r="AH11">
            <v>95000</v>
          </cell>
          <cell r="AI11">
            <v>95000</v>
          </cell>
          <cell r="AJ11">
            <v>95000</v>
          </cell>
          <cell r="AK11">
            <v>95000</v>
          </cell>
          <cell r="AL11">
            <v>95000</v>
          </cell>
          <cell r="AM11">
            <v>95000</v>
          </cell>
          <cell r="AN11">
            <v>95000</v>
          </cell>
          <cell r="AO11">
            <v>95000</v>
          </cell>
          <cell r="AP11">
            <v>95000</v>
          </cell>
          <cell r="AQ11">
            <v>95000</v>
          </cell>
          <cell r="AR11">
            <v>95000</v>
          </cell>
          <cell r="AS11">
            <v>95000</v>
          </cell>
        </row>
        <row r="12">
          <cell r="B12" t="str">
            <v>05.02</v>
          </cell>
          <cell r="C12">
            <v>250</v>
          </cell>
          <cell r="D12">
            <v>250</v>
          </cell>
          <cell r="E12">
            <v>250</v>
          </cell>
          <cell r="F12">
            <v>250</v>
          </cell>
          <cell r="G12">
            <v>250</v>
          </cell>
          <cell r="H12">
            <v>250</v>
          </cell>
          <cell r="I12">
            <v>250</v>
          </cell>
          <cell r="J12">
            <v>250</v>
          </cell>
          <cell r="K12">
            <v>250</v>
          </cell>
          <cell r="L12">
            <v>250</v>
          </cell>
          <cell r="M12">
            <v>250</v>
          </cell>
          <cell r="N12">
            <v>250</v>
          </cell>
          <cell r="O12">
            <v>250</v>
          </cell>
          <cell r="P12">
            <v>250</v>
          </cell>
          <cell r="Q12">
            <v>250</v>
          </cell>
          <cell r="R12">
            <v>250</v>
          </cell>
          <cell r="S12">
            <v>250</v>
          </cell>
          <cell r="T12">
            <v>250</v>
          </cell>
          <cell r="U12">
            <v>250</v>
          </cell>
          <cell r="V12">
            <v>250</v>
          </cell>
          <cell r="W12">
            <v>250</v>
          </cell>
          <cell r="X12">
            <v>250</v>
          </cell>
          <cell r="Y12">
            <v>250</v>
          </cell>
          <cell r="Z12">
            <v>250</v>
          </cell>
          <cell r="AA12">
            <v>250</v>
          </cell>
          <cell r="AB12">
            <v>250</v>
          </cell>
          <cell r="AC12">
            <v>250</v>
          </cell>
          <cell r="AD12">
            <v>250</v>
          </cell>
          <cell r="AE12">
            <v>250</v>
          </cell>
          <cell r="AF12">
            <v>250</v>
          </cell>
          <cell r="AG12">
            <v>250</v>
          </cell>
          <cell r="AH12">
            <v>250</v>
          </cell>
          <cell r="AI12">
            <v>250</v>
          </cell>
          <cell r="AJ12">
            <v>250</v>
          </cell>
          <cell r="AK12">
            <v>250</v>
          </cell>
          <cell r="AL12">
            <v>250</v>
          </cell>
          <cell r="AM12">
            <v>250</v>
          </cell>
          <cell r="AN12">
            <v>250</v>
          </cell>
          <cell r="AO12">
            <v>250</v>
          </cell>
          <cell r="AP12">
            <v>250</v>
          </cell>
          <cell r="AQ12">
            <v>250</v>
          </cell>
          <cell r="AR12">
            <v>250</v>
          </cell>
          <cell r="AS12">
            <v>250</v>
          </cell>
        </row>
        <row r="13">
          <cell r="B13" t="str">
            <v>05.03</v>
          </cell>
          <cell r="C13">
            <v>3800</v>
          </cell>
          <cell r="D13">
            <v>3800</v>
          </cell>
          <cell r="E13">
            <v>3800</v>
          </cell>
          <cell r="F13">
            <v>3800</v>
          </cell>
          <cell r="G13">
            <v>3800</v>
          </cell>
          <cell r="H13">
            <v>3800</v>
          </cell>
          <cell r="I13">
            <v>3800</v>
          </cell>
          <cell r="J13">
            <v>3800</v>
          </cell>
          <cell r="K13">
            <v>3800</v>
          </cell>
          <cell r="L13">
            <v>3800</v>
          </cell>
          <cell r="M13">
            <v>3800</v>
          </cell>
          <cell r="N13">
            <v>3800</v>
          </cell>
          <cell r="O13">
            <v>3800</v>
          </cell>
          <cell r="P13">
            <v>3800</v>
          </cell>
          <cell r="Q13">
            <v>3800</v>
          </cell>
          <cell r="R13">
            <v>3800</v>
          </cell>
          <cell r="S13">
            <v>3800</v>
          </cell>
          <cell r="T13">
            <v>3800</v>
          </cell>
          <cell r="U13">
            <v>3800</v>
          </cell>
          <cell r="V13">
            <v>3800</v>
          </cell>
          <cell r="W13">
            <v>3800</v>
          </cell>
          <cell r="X13">
            <v>3800</v>
          </cell>
          <cell r="Y13">
            <v>3800</v>
          </cell>
          <cell r="Z13">
            <v>3800</v>
          </cell>
          <cell r="AA13">
            <v>3800</v>
          </cell>
          <cell r="AB13">
            <v>3800</v>
          </cell>
          <cell r="AC13">
            <v>3800</v>
          </cell>
          <cell r="AD13">
            <v>3800</v>
          </cell>
          <cell r="AE13">
            <v>3800</v>
          </cell>
          <cell r="AF13">
            <v>3800</v>
          </cell>
          <cell r="AG13">
            <v>3800</v>
          </cell>
          <cell r="AH13">
            <v>3800</v>
          </cell>
          <cell r="AI13">
            <v>3800</v>
          </cell>
          <cell r="AJ13">
            <v>3800</v>
          </cell>
          <cell r="AK13">
            <v>3800</v>
          </cell>
          <cell r="AL13">
            <v>3800</v>
          </cell>
          <cell r="AM13">
            <v>3800</v>
          </cell>
          <cell r="AN13">
            <v>3800</v>
          </cell>
          <cell r="AO13">
            <v>3800</v>
          </cell>
          <cell r="AP13">
            <v>3800</v>
          </cell>
          <cell r="AQ13">
            <v>3800</v>
          </cell>
          <cell r="AR13">
            <v>3800</v>
          </cell>
          <cell r="AS13">
            <v>3800</v>
          </cell>
        </row>
        <row r="14">
          <cell r="B14" t="str">
            <v>05.04</v>
          </cell>
          <cell r="C14">
            <v>1550</v>
          </cell>
          <cell r="D14">
            <v>1550</v>
          </cell>
          <cell r="E14">
            <v>1550</v>
          </cell>
          <cell r="F14">
            <v>1550</v>
          </cell>
          <cell r="G14">
            <v>1550</v>
          </cell>
          <cell r="H14">
            <v>1550</v>
          </cell>
          <cell r="I14">
            <v>1550</v>
          </cell>
          <cell r="J14">
            <v>1550</v>
          </cell>
          <cell r="K14">
            <v>1550</v>
          </cell>
          <cell r="L14">
            <v>1550</v>
          </cell>
          <cell r="M14">
            <v>1550</v>
          </cell>
          <cell r="N14">
            <v>1550</v>
          </cell>
          <cell r="O14">
            <v>1550</v>
          </cell>
          <cell r="P14">
            <v>1550</v>
          </cell>
          <cell r="Q14">
            <v>1550</v>
          </cell>
          <cell r="R14">
            <v>1550</v>
          </cell>
          <cell r="S14">
            <v>1550</v>
          </cell>
          <cell r="T14">
            <v>1550</v>
          </cell>
          <cell r="U14">
            <v>1550</v>
          </cell>
          <cell r="V14">
            <v>1550</v>
          </cell>
          <cell r="W14">
            <v>1550</v>
          </cell>
          <cell r="X14">
            <v>1550</v>
          </cell>
          <cell r="Y14">
            <v>1550</v>
          </cell>
          <cell r="Z14">
            <v>1550</v>
          </cell>
          <cell r="AA14">
            <v>1550</v>
          </cell>
          <cell r="AB14">
            <v>1550</v>
          </cell>
          <cell r="AC14">
            <v>1550</v>
          </cell>
          <cell r="AD14">
            <v>1550</v>
          </cell>
          <cell r="AE14">
            <v>1550</v>
          </cell>
          <cell r="AF14">
            <v>1550</v>
          </cell>
          <cell r="AG14">
            <v>1550</v>
          </cell>
          <cell r="AH14">
            <v>1550</v>
          </cell>
          <cell r="AI14">
            <v>1550</v>
          </cell>
          <cell r="AJ14">
            <v>1550</v>
          </cell>
          <cell r="AK14">
            <v>1550</v>
          </cell>
          <cell r="AL14">
            <v>1550</v>
          </cell>
          <cell r="AM14">
            <v>1550</v>
          </cell>
          <cell r="AN14">
            <v>1550</v>
          </cell>
          <cell r="AO14">
            <v>1550</v>
          </cell>
          <cell r="AP14">
            <v>1550</v>
          </cell>
          <cell r="AQ14">
            <v>1550</v>
          </cell>
          <cell r="AR14">
            <v>1550</v>
          </cell>
          <cell r="AS14">
            <v>1550</v>
          </cell>
        </row>
        <row r="15">
          <cell r="B15" t="str">
            <v>05.05</v>
          </cell>
          <cell r="C15">
            <v>800</v>
          </cell>
          <cell r="D15">
            <v>800</v>
          </cell>
          <cell r="E15">
            <v>800</v>
          </cell>
          <cell r="F15">
            <v>800</v>
          </cell>
          <cell r="G15">
            <v>800</v>
          </cell>
          <cell r="H15">
            <v>800</v>
          </cell>
          <cell r="I15">
            <v>800</v>
          </cell>
          <cell r="J15">
            <v>800</v>
          </cell>
          <cell r="K15">
            <v>800</v>
          </cell>
          <cell r="L15">
            <v>800</v>
          </cell>
          <cell r="M15">
            <v>800</v>
          </cell>
          <cell r="N15">
            <v>800</v>
          </cell>
          <cell r="O15">
            <v>800</v>
          </cell>
          <cell r="P15">
            <v>800</v>
          </cell>
          <cell r="Q15">
            <v>800</v>
          </cell>
          <cell r="R15">
            <v>800</v>
          </cell>
          <cell r="S15">
            <v>800</v>
          </cell>
          <cell r="T15">
            <v>800</v>
          </cell>
          <cell r="U15">
            <v>800</v>
          </cell>
          <cell r="V15">
            <v>800</v>
          </cell>
          <cell r="W15">
            <v>800</v>
          </cell>
          <cell r="X15">
            <v>800</v>
          </cell>
          <cell r="Y15">
            <v>800</v>
          </cell>
          <cell r="Z15">
            <v>800</v>
          </cell>
          <cell r="AA15">
            <v>800</v>
          </cell>
          <cell r="AB15">
            <v>800</v>
          </cell>
          <cell r="AC15">
            <v>800</v>
          </cell>
          <cell r="AD15">
            <v>800</v>
          </cell>
          <cell r="AE15">
            <v>800</v>
          </cell>
          <cell r="AF15">
            <v>800</v>
          </cell>
          <cell r="AG15">
            <v>800</v>
          </cell>
          <cell r="AH15">
            <v>800</v>
          </cell>
          <cell r="AI15">
            <v>800</v>
          </cell>
          <cell r="AJ15">
            <v>800</v>
          </cell>
          <cell r="AK15">
            <v>800</v>
          </cell>
          <cell r="AL15">
            <v>800</v>
          </cell>
          <cell r="AM15">
            <v>800</v>
          </cell>
          <cell r="AN15">
            <v>800</v>
          </cell>
          <cell r="AO15">
            <v>800</v>
          </cell>
          <cell r="AP15">
            <v>800</v>
          </cell>
          <cell r="AQ15">
            <v>800</v>
          </cell>
          <cell r="AR15">
            <v>800</v>
          </cell>
          <cell r="AS15">
            <v>800</v>
          </cell>
        </row>
        <row r="16">
          <cell r="B16" t="str">
            <v>05.06</v>
          </cell>
          <cell r="C16">
            <v>200</v>
          </cell>
          <cell r="D16">
            <v>200</v>
          </cell>
          <cell r="E16">
            <v>200</v>
          </cell>
          <cell r="F16">
            <v>200</v>
          </cell>
          <cell r="G16">
            <v>200</v>
          </cell>
          <cell r="H16">
            <v>200</v>
          </cell>
          <cell r="I16">
            <v>200</v>
          </cell>
          <cell r="J16">
            <v>200</v>
          </cell>
          <cell r="K16">
            <v>200</v>
          </cell>
          <cell r="L16">
            <v>200</v>
          </cell>
          <cell r="M16">
            <v>200</v>
          </cell>
          <cell r="N16">
            <v>200</v>
          </cell>
          <cell r="O16">
            <v>200</v>
          </cell>
          <cell r="P16">
            <v>200</v>
          </cell>
          <cell r="Q16">
            <v>200</v>
          </cell>
          <cell r="R16">
            <v>200</v>
          </cell>
          <cell r="S16">
            <v>200</v>
          </cell>
          <cell r="T16">
            <v>200</v>
          </cell>
          <cell r="U16">
            <v>200</v>
          </cell>
          <cell r="V16">
            <v>200</v>
          </cell>
          <cell r="W16">
            <v>200</v>
          </cell>
          <cell r="X16">
            <v>200</v>
          </cell>
          <cell r="Y16">
            <v>200</v>
          </cell>
          <cell r="Z16">
            <v>200</v>
          </cell>
          <cell r="AA16">
            <v>200</v>
          </cell>
          <cell r="AB16">
            <v>200</v>
          </cell>
          <cell r="AC16">
            <v>200</v>
          </cell>
          <cell r="AD16">
            <v>200</v>
          </cell>
          <cell r="AE16">
            <v>200</v>
          </cell>
          <cell r="AF16">
            <v>200</v>
          </cell>
          <cell r="AG16">
            <v>200</v>
          </cell>
          <cell r="AH16">
            <v>200</v>
          </cell>
          <cell r="AI16">
            <v>200</v>
          </cell>
          <cell r="AJ16">
            <v>200</v>
          </cell>
          <cell r="AK16">
            <v>200</v>
          </cell>
          <cell r="AL16">
            <v>200</v>
          </cell>
          <cell r="AM16">
            <v>200</v>
          </cell>
          <cell r="AN16">
            <v>200</v>
          </cell>
          <cell r="AO16">
            <v>200</v>
          </cell>
          <cell r="AP16">
            <v>200</v>
          </cell>
          <cell r="AQ16">
            <v>200</v>
          </cell>
          <cell r="AR16">
            <v>200</v>
          </cell>
          <cell r="AS16">
            <v>200</v>
          </cell>
        </row>
        <row r="17">
          <cell r="B17" t="str">
            <v>05.07</v>
          </cell>
          <cell r="C17">
            <v>9575</v>
          </cell>
          <cell r="D17">
            <v>9575</v>
          </cell>
          <cell r="E17">
            <v>9575</v>
          </cell>
          <cell r="F17">
            <v>9575</v>
          </cell>
          <cell r="G17">
            <v>9575</v>
          </cell>
          <cell r="H17">
            <v>9575</v>
          </cell>
          <cell r="I17">
            <v>9575</v>
          </cell>
          <cell r="J17">
            <v>9575</v>
          </cell>
          <cell r="K17">
            <v>9575</v>
          </cell>
          <cell r="L17">
            <v>9575</v>
          </cell>
          <cell r="M17">
            <v>9575</v>
          </cell>
          <cell r="N17">
            <v>9665</v>
          </cell>
          <cell r="O17">
            <v>9665</v>
          </cell>
          <cell r="P17">
            <v>9665</v>
          </cell>
          <cell r="Q17">
            <v>9665</v>
          </cell>
          <cell r="R17">
            <v>9665</v>
          </cell>
          <cell r="S17">
            <v>9665</v>
          </cell>
          <cell r="T17">
            <v>9665</v>
          </cell>
          <cell r="U17">
            <v>9665</v>
          </cell>
          <cell r="V17">
            <v>9056.33</v>
          </cell>
          <cell r="W17">
            <v>9056.33</v>
          </cell>
          <cell r="X17">
            <v>9056.33</v>
          </cell>
          <cell r="Y17">
            <v>9056.33</v>
          </cell>
          <cell r="Z17">
            <v>9056.33</v>
          </cell>
          <cell r="AA17">
            <v>9056.33</v>
          </cell>
          <cell r="AB17">
            <v>9056.33</v>
          </cell>
          <cell r="AC17">
            <v>9056.33</v>
          </cell>
          <cell r="AD17">
            <v>9056.33</v>
          </cell>
          <cell r="AE17">
            <v>9056.33</v>
          </cell>
          <cell r="AF17">
            <v>9056.33</v>
          </cell>
          <cell r="AG17">
            <v>9056.33</v>
          </cell>
          <cell r="AH17">
            <v>9056.33</v>
          </cell>
          <cell r="AI17">
            <v>9056.33</v>
          </cell>
          <cell r="AJ17">
            <v>9056.33</v>
          </cell>
          <cell r="AK17">
            <v>9056.33</v>
          </cell>
          <cell r="AL17">
            <v>9056.33</v>
          </cell>
          <cell r="AM17">
            <v>9056.33</v>
          </cell>
          <cell r="AN17">
            <v>9056.33</v>
          </cell>
          <cell r="AO17">
            <v>9056.33</v>
          </cell>
          <cell r="AP17">
            <v>9056.33</v>
          </cell>
          <cell r="AQ17">
            <v>9056.33</v>
          </cell>
          <cell r="AR17">
            <v>9056.33</v>
          </cell>
          <cell r="AS17">
            <v>9056.33</v>
          </cell>
        </row>
        <row r="18">
          <cell r="B18" t="str">
            <v>05.08</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3362.65</v>
          </cell>
          <cell r="W18">
            <v>3362.65</v>
          </cell>
          <cell r="X18">
            <v>3362.65</v>
          </cell>
          <cell r="Y18">
            <v>3362.65</v>
          </cell>
          <cell r="Z18">
            <v>3362.65</v>
          </cell>
          <cell r="AA18">
            <v>3362.65</v>
          </cell>
          <cell r="AB18">
            <v>3362.65</v>
          </cell>
          <cell r="AC18">
            <v>3362.65</v>
          </cell>
          <cell r="AD18">
            <v>3362.65</v>
          </cell>
          <cell r="AE18">
            <v>3362.65</v>
          </cell>
          <cell r="AF18">
            <v>3362.65</v>
          </cell>
          <cell r="AG18">
            <v>3362.65</v>
          </cell>
          <cell r="AH18">
            <v>3362.65</v>
          </cell>
          <cell r="AI18">
            <v>3362.65</v>
          </cell>
          <cell r="AJ18">
            <v>3362.65</v>
          </cell>
          <cell r="AK18">
            <v>3362.65</v>
          </cell>
          <cell r="AL18">
            <v>3362.65</v>
          </cell>
          <cell r="AM18">
            <v>3362.65</v>
          </cell>
          <cell r="AN18">
            <v>3362.65</v>
          </cell>
          <cell r="AO18">
            <v>3362.65</v>
          </cell>
          <cell r="AP18">
            <v>3362.65</v>
          </cell>
          <cell r="AQ18">
            <v>3362.65</v>
          </cell>
          <cell r="AR18">
            <v>3362.65</v>
          </cell>
          <cell r="AS18">
            <v>3362.65</v>
          </cell>
        </row>
        <row r="19">
          <cell r="B19" t="str">
            <v>05.09</v>
          </cell>
          <cell r="C19">
            <v>320</v>
          </cell>
          <cell r="D19">
            <v>320</v>
          </cell>
          <cell r="E19">
            <v>320</v>
          </cell>
          <cell r="F19">
            <v>320</v>
          </cell>
          <cell r="G19">
            <v>320</v>
          </cell>
          <cell r="H19">
            <v>320</v>
          </cell>
          <cell r="I19">
            <v>320</v>
          </cell>
          <cell r="J19">
            <v>320</v>
          </cell>
          <cell r="K19">
            <v>320</v>
          </cell>
          <cell r="L19">
            <v>320</v>
          </cell>
          <cell r="M19">
            <v>320</v>
          </cell>
          <cell r="N19">
            <v>320</v>
          </cell>
          <cell r="O19">
            <v>320</v>
          </cell>
          <cell r="P19">
            <v>320</v>
          </cell>
          <cell r="Q19">
            <v>320</v>
          </cell>
          <cell r="R19">
            <v>320</v>
          </cell>
          <cell r="S19">
            <v>320</v>
          </cell>
          <cell r="T19">
            <v>320</v>
          </cell>
          <cell r="U19">
            <v>320</v>
          </cell>
          <cell r="V19">
            <v>320</v>
          </cell>
          <cell r="W19">
            <v>320</v>
          </cell>
          <cell r="X19">
            <v>320</v>
          </cell>
          <cell r="Y19">
            <v>320</v>
          </cell>
          <cell r="Z19">
            <v>320</v>
          </cell>
          <cell r="AA19">
            <v>320</v>
          </cell>
          <cell r="AB19">
            <v>320</v>
          </cell>
          <cell r="AC19">
            <v>320</v>
          </cell>
          <cell r="AD19">
            <v>320</v>
          </cell>
          <cell r="AE19">
            <v>320</v>
          </cell>
          <cell r="AF19">
            <v>320</v>
          </cell>
          <cell r="AG19">
            <v>320</v>
          </cell>
          <cell r="AH19">
            <v>320</v>
          </cell>
          <cell r="AI19">
            <v>320</v>
          </cell>
          <cell r="AJ19">
            <v>320</v>
          </cell>
          <cell r="AK19">
            <v>320</v>
          </cell>
          <cell r="AL19">
            <v>320</v>
          </cell>
          <cell r="AM19">
            <v>320</v>
          </cell>
          <cell r="AN19">
            <v>320</v>
          </cell>
          <cell r="AO19">
            <v>320</v>
          </cell>
          <cell r="AP19">
            <v>320</v>
          </cell>
          <cell r="AQ19">
            <v>320</v>
          </cell>
          <cell r="AR19">
            <v>320</v>
          </cell>
          <cell r="AS19">
            <v>320</v>
          </cell>
        </row>
        <row r="20">
          <cell r="B20" t="str">
            <v>06.01</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row>
        <row r="21">
          <cell r="B21" t="str">
            <v>06.02</v>
          </cell>
          <cell r="C21">
            <v>2000</v>
          </cell>
          <cell r="D21">
            <v>2000</v>
          </cell>
          <cell r="E21">
            <v>2000</v>
          </cell>
          <cell r="F21">
            <v>2000</v>
          </cell>
          <cell r="G21">
            <v>2000</v>
          </cell>
          <cell r="H21">
            <v>2000</v>
          </cell>
          <cell r="I21">
            <v>2000</v>
          </cell>
          <cell r="J21">
            <v>2000</v>
          </cell>
          <cell r="K21">
            <v>2000</v>
          </cell>
          <cell r="L21">
            <v>2000</v>
          </cell>
          <cell r="M21">
            <v>2000</v>
          </cell>
          <cell r="N21">
            <v>2000</v>
          </cell>
          <cell r="O21">
            <v>2000</v>
          </cell>
          <cell r="P21">
            <v>2000</v>
          </cell>
          <cell r="Q21">
            <v>2000</v>
          </cell>
          <cell r="R21">
            <v>2000</v>
          </cell>
          <cell r="S21">
            <v>2000</v>
          </cell>
          <cell r="T21">
            <v>2000</v>
          </cell>
          <cell r="U21">
            <v>2000</v>
          </cell>
          <cell r="V21">
            <v>2000</v>
          </cell>
          <cell r="W21">
            <v>2000</v>
          </cell>
          <cell r="X21">
            <v>2000</v>
          </cell>
          <cell r="Y21">
            <v>2000</v>
          </cell>
          <cell r="Z21">
            <v>2000</v>
          </cell>
          <cell r="AA21">
            <v>2000</v>
          </cell>
          <cell r="AB21">
            <v>2000</v>
          </cell>
          <cell r="AC21">
            <v>2000</v>
          </cell>
          <cell r="AD21">
            <v>2000</v>
          </cell>
          <cell r="AE21">
            <v>2000</v>
          </cell>
          <cell r="AF21">
            <v>2000</v>
          </cell>
          <cell r="AG21">
            <v>2000</v>
          </cell>
          <cell r="AH21">
            <v>2000</v>
          </cell>
          <cell r="AI21">
            <v>2000</v>
          </cell>
          <cell r="AJ21">
            <v>2000</v>
          </cell>
          <cell r="AK21">
            <v>2000</v>
          </cell>
          <cell r="AL21">
            <v>2666.6666666666665</v>
          </cell>
          <cell r="AM21">
            <v>2666.6666666666665</v>
          </cell>
          <cell r="AN21">
            <v>2666.6666666666665</v>
          </cell>
          <cell r="AO21">
            <v>2666.6666666666665</v>
          </cell>
          <cell r="AP21">
            <v>2666.6666666666665</v>
          </cell>
          <cell r="AQ21">
            <v>2666.6666666666665</v>
          </cell>
          <cell r="AR21">
            <v>2666.6666666666665</v>
          </cell>
          <cell r="AS21">
            <v>2666.6666666666665</v>
          </cell>
        </row>
        <row r="22">
          <cell r="B22" t="str">
            <v>06.03</v>
          </cell>
          <cell r="C22">
            <v>2200</v>
          </cell>
          <cell r="D22">
            <v>2200</v>
          </cell>
          <cell r="E22">
            <v>2200</v>
          </cell>
          <cell r="F22">
            <v>2200</v>
          </cell>
          <cell r="G22">
            <v>2200</v>
          </cell>
          <cell r="H22">
            <v>2200</v>
          </cell>
          <cell r="I22">
            <v>2200</v>
          </cell>
          <cell r="J22">
            <v>2200</v>
          </cell>
          <cell r="K22">
            <v>2200</v>
          </cell>
          <cell r="L22">
            <v>2200</v>
          </cell>
          <cell r="M22">
            <v>2200</v>
          </cell>
          <cell r="N22">
            <v>2200</v>
          </cell>
          <cell r="O22">
            <v>2200</v>
          </cell>
          <cell r="P22">
            <v>2200</v>
          </cell>
          <cell r="Q22">
            <v>2200</v>
          </cell>
          <cell r="R22">
            <v>2200</v>
          </cell>
          <cell r="S22">
            <v>2200</v>
          </cell>
          <cell r="T22">
            <v>2200</v>
          </cell>
          <cell r="U22">
            <v>2200</v>
          </cell>
          <cell r="V22">
            <v>2200</v>
          </cell>
          <cell r="W22">
            <v>2200</v>
          </cell>
          <cell r="X22">
            <v>2200</v>
          </cell>
          <cell r="Y22">
            <v>2200</v>
          </cell>
          <cell r="Z22">
            <v>2200</v>
          </cell>
          <cell r="AA22">
            <v>2200</v>
          </cell>
          <cell r="AB22">
            <v>2200</v>
          </cell>
          <cell r="AC22">
            <v>2200</v>
          </cell>
          <cell r="AD22">
            <v>2200</v>
          </cell>
          <cell r="AE22">
            <v>2200</v>
          </cell>
          <cell r="AF22">
            <v>2200</v>
          </cell>
          <cell r="AG22">
            <v>2200</v>
          </cell>
          <cell r="AH22">
            <v>2200</v>
          </cell>
          <cell r="AI22">
            <v>2200</v>
          </cell>
          <cell r="AJ22">
            <v>2200</v>
          </cell>
          <cell r="AK22">
            <v>2200</v>
          </cell>
          <cell r="AL22">
            <v>2200</v>
          </cell>
          <cell r="AM22">
            <v>2200</v>
          </cell>
          <cell r="AN22">
            <v>2200</v>
          </cell>
          <cell r="AO22">
            <v>2200</v>
          </cell>
          <cell r="AP22">
            <v>2200</v>
          </cell>
          <cell r="AQ22">
            <v>2200</v>
          </cell>
          <cell r="AR22">
            <v>2200</v>
          </cell>
          <cell r="AS22">
            <v>2200</v>
          </cell>
        </row>
        <row r="23">
          <cell r="B23" t="str">
            <v>06.04</v>
          </cell>
          <cell r="C23">
            <v>500</v>
          </cell>
          <cell r="D23">
            <v>500</v>
          </cell>
          <cell r="E23">
            <v>500</v>
          </cell>
          <cell r="F23">
            <v>500</v>
          </cell>
          <cell r="G23">
            <v>500</v>
          </cell>
          <cell r="H23">
            <v>500</v>
          </cell>
          <cell r="I23">
            <v>500</v>
          </cell>
          <cell r="J23">
            <v>500</v>
          </cell>
          <cell r="K23">
            <v>500</v>
          </cell>
          <cell r="L23">
            <v>500</v>
          </cell>
          <cell r="M23">
            <v>500</v>
          </cell>
          <cell r="N23">
            <v>500</v>
          </cell>
          <cell r="O23">
            <v>500</v>
          </cell>
          <cell r="P23">
            <v>500</v>
          </cell>
          <cell r="Q23">
            <v>500</v>
          </cell>
          <cell r="R23">
            <v>500</v>
          </cell>
          <cell r="S23">
            <v>500</v>
          </cell>
          <cell r="T23">
            <v>500</v>
          </cell>
          <cell r="U23">
            <v>500</v>
          </cell>
          <cell r="V23">
            <v>500</v>
          </cell>
          <cell r="W23">
            <v>500</v>
          </cell>
          <cell r="X23">
            <v>500</v>
          </cell>
          <cell r="Y23">
            <v>500</v>
          </cell>
          <cell r="Z23">
            <v>500</v>
          </cell>
          <cell r="AA23">
            <v>500</v>
          </cell>
          <cell r="AB23">
            <v>500</v>
          </cell>
          <cell r="AC23">
            <v>500</v>
          </cell>
          <cell r="AD23">
            <v>500</v>
          </cell>
          <cell r="AE23">
            <v>500</v>
          </cell>
          <cell r="AF23">
            <v>500</v>
          </cell>
          <cell r="AG23">
            <v>500</v>
          </cell>
          <cell r="AH23">
            <v>500</v>
          </cell>
          <cell r="AI23">
            <v>500</v>
          </cell>
          <cell r="AJ23">
            <v>500</v>
          </cell>
          <cell r="AK23">
            <v>500</v>
          </cell>
          <cell r="AL23">
            <v>500</v>
          </cell>
          <cell r="AM23">
            <v>500</v>
          </cell>
          <cell r="AN23">
            <v>500</v>
          </cell>
          <cell r="AO23">
            <v>500</v>
          </cell>
          <cell r="AP23">
            <v>500</v>
          </cell>
          <cell r="AQ23">
            <v>500</v>
          </cell>
          <cell r="AR23">
            <v>500</v>
          </cell>
          <cell r="AS23">
            <v>500</v>
          </cell>
        </row>
        <row r="24">
          <cell r="B24" t="str">
            <v>06.05</v>
          </cell>
          <cell r="C24">
            <v>385</v>
          </cell>
          <cell r="D24">
            <v>385</v>
          </cell>
          <cell r="E24">
            <v>385</v>
          </cell>
          <cell r="F24">
            <v>385</v>
          </cell>
          <cell r="G24">
            <v>385</v>
          </cell>
          <cell r="H24">
            <v>385</v>
          </cell>
          <cell r="I24">
            <v>385</v>
          </cell>
          <cell r="J24">
            <v>385</v>
          </cell>
          <cell r="K24">
            <v>385</v>
          </cell>
          <cell r="L24">
            <v>385</v>
          </cell>
          <cell r="M24">
            <v>385</v>
          </cell>
          <cell r="N24">
            <v>385</v>
          </cell>
          <cell r="O24">
            <v>385</v>
          </cell>
          <cell r="P24">
            <v>385</v>
          </cell>
          <cell r="Q24">
            <v>385</v>
          </cell>
          <cell r="R24">
            <v>385</v>
          </cell>
          <cell r="S24">
            <v>385</v>
          </cell>
          <cell r="T24">
            <v>385</v>
          </cell>
          <cell r="U24">
            <v>385</v>
          </cell>
          <cell r="V24">
            <v>385</v>
          </cell>
          <cell r="W24">
            <v>385</v>
          </cell>
          <cell r="X24">
            <v>385</v>
          </cell>
          <cell r="Y24">
            <v>385</v>
          </cell>
          <cell r="Z24">
            <v>385</v>
          </cell>
          <cell r="AA24">
            <v>385</v>
          </cell>
          <cell r="AB24">
            <v>385</v>
          </cell>
          <cell r="AC24">
            <v>385</v>
          </cell>
          <cell r="AD24">
            <v>385</v>
          </cell>
          <cell r="AE24">
            <v>385</v>
          </cell>
          <cell r="AF24">
            <v>385</v>
          </cell>
          <cell r="AG24">
            <v>385</v>
          </cell>
          <cell r="AH24">
            <v>385</v>
          </cell>
          <cell r="AI24">
            <v>385</v>
          </cell>
          <cell r="AJ24">
            <v>385</v>
          </cell>
          <cell r="AK24">
            <v>385</v>
          </cell>
          <cell r="AL24">
            <v>385</v>
          </cell>
          <cell r="AM24">
            <v>385</v>
          </cell>
          <cell r="AN24">
            <v>385</v>
          </cell>
          <cell r="AO24">
            <v>385</v>
          </cell>
          <cell r="AP24">
            <v>385</v>
          </cell>
          <cell r="AQ24">
            <v>385</v>
          </cell>
          <cell r="AR24">
            <v>385</v>
          </cell>
          <cell r="AS24">
            <v>385</v>
          </cell>
        </row>
        <row r="25">
          <cell r="B25" t="str">
            <v>06.06</v>
          </cell>
          <cell r="C25">
            <v>50</v>
          </cell>
          <cell r="D25">
            <v>50</v>
          </cell>
          <cell r="E25">
            <v>50</v>
          </cell>
          <cell r="F25">
            <v>50</v>
          </cell>
          <cell r="G25">
            <v>50</v>
          </cell>
          <cell r="H25">
            <v>50</v>
          </cell>
          <cell r="I25">
            <v>50</v>
          </cell>
          <cell r="J25">
            <v>50</v>
          </cell>
          <cell r="K25">
            <v>50</v>
          </cell>
          <cell r="L25">
            <v>50</v>
          </cell>
          <cell r="M25">
            <v>50</v>
          </cell>
          <cell r="N25">
            <v>50</v>
          </cell>
          <cell r="O25">
            <v>50</v>
          </cell>
          <cell r="P25">
            <v>50</v>
          </cell>
          <cell r="Q25">
            <v>50</v>
          </cell>
          <cell r="R25">
            <v>50</v>
          </cell>
          <cell r="S25">
            <v>50</v>
          </cell>
          <cell r="T25">
            <v>50</v>
          </cell>
          <cell r="U25">
            <v>50</v>
          </cell>
          <cell r="V25">
            <v>50</v>
          </cell>
          <cell r="W25">
            <v>50</v>
          </cell>
          <cell r="X25">
            <v>50</v>
          </cell>
          <cell r="Y25">
            <v>50</v>
          </cell>
          <cell r="Z25">
            <v>50</v>
          </cell>
          <cell r="AA25">
            <v>50</v>
          </cell>
          <cell r="AB25">
            <v>50</v>
          </cell>
          <cell r="AC25">
            <v>50</v>
          </cell>
          <cell r="AD25">
            <v>50</v>
          </cell>
          <cell r="AE25">
            <v>50</v>
          </cell>
          <cell r="AF25">
            <v>50</v>
          </cell>
          <cell r="AG25">
            <v>50</v>
          </cell>
          <cell r="AH25">
            <v>50</v>
          </cell>
          <cell r="AI25">
            <v>50</v>
          </cell>
          <cell r="AJ25">
            <v>50</v>
          </cell>
          <cell r="AK25">
            <v>50</v>
          </cell>
          <cell r="AL25">
            <v>50</v>
          </cell>
          <cell r="AM25">
            <v>50</v>
          </cell>
          <cell r="AN25">
            <v>50</v>
          </cell>
          <cell r="AO25">
            <v>50</v>
          </cell>
          <cell r="AP25">
            <v>50</v>
          </cell>
          <cell r="AQ25">
            <v>50</v>
          </cell>
          <cell r="AR25">
            <v>50</v>
          </cell>
          <cell r="AS25">
            <v>50</v>
          </cell>
        </row>
        <row r="26">
          <cell r="B26" t="str">
            <v>06.07</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row>
        <row r="27">
          <cell r="B27" t="str">
            <v>06.08</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row>
        <row r="28">
          <cell r="B28" t="str">
            <v>06.09</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row>
        <row r="29">
          <cell r="B29" t="str">
            <v>06.10</v>
          </cell>
          <cell r="C29">
            <v>250</v>
          </cell>
          <cell r="D29">
            <v>250</v>
          </cell>
          <cell r="E29">
            <v>250</v>
          </cell>
          <cell r="F29">
            <v>250</v>
          </cell>
          <cell r="G29">
            <v>250</v>
          </cell>
          <cell r="H29">
            <v>250</v>
          </cell>
          <cell r="I29">
            <v>250</v>
          </cell>
          <cell r="J29">
            <v>250</v>
          </cell>
          <cell r="K29">
            <v>250</v>
          </cell>
          <cell r="L29">
            <v>250</v>
          </cell>
          <cell r="M29">
            <v>250</v>
          </cell>
          <cell r="N29">
            <v>250</v>
          </cell>
          <cell r="O29">
            <v>250</v>
          </cell>
          <cell r="P29">
            <v>250</v>
          </cell>
          <cell r="Q29">
            <v>250</v>
          </cell>
          <cell r="R29">
            <v>250</v>
          </cell>
          <cell r="S29">
            <v>250</v>
          </cell>
          <cell r="T29">
            <v>250</v>
          </cell>
          <cell r="U29">
            <v>250</v>
          </cell>
          <cell r="V29">
            <v>250</v>
          </cell>
          <cell r="W29">
            <v>250</v>
          </cell>
          <cell r="X29">
            <v>250</v>
          </cell>
          <cell r="Y29">
            <v>250</v>
          </cell>
          <cell r="Z29">
            <v>250</v>
          </cell>
          <cell r="AA29">
            <v>250</v>
          </cell>
          <cell r="AB29">
            <v>250</v>
          </cell>
          <cell r="AC29">
            <v>250</v>
          </cell>
          <cell r="AD29">
            <v>250</v>
          </cell>
          <cell r="AE29">
            <v>250</v>
          </cell>
          <cell r="AF29">
            <v>250</v>
          </cell>
          <cell r="AG29">
            <v>250</v>
          </cell>
          <cell r="AH29">
            <v>250</v>
          </cell>
          <cell r="AI29">
            <v>250</v>
          </cell>
          <cell r="AJ29">
            <v>250</v>
          </cell>
          <cell r="AK29">
            <v>250</v>
          </cell>
          <cell r="AL29">
            <v>250</v>
          </cell>
          <cell r="AM29">
            <v>250</v>
          </cell>
          <cell r="AN29">
            <v>250</v>
          </cell>
          <cell r="AO29">
            <v>250</v>
          </cell>
          <cell r="AP29">
            <v>250</v>
          </cell>
          <cell r="AQ29">
            <v>250</v>
          </cell>
          <cell r="AR29">
            <v>250</v>
          </cell>
          <cell r="AS29">
            <v>250</v>
          </cell>
        </row>
        <row r="30">
          <cell r="B30" t="str">
            <v>06.11</v>
          </cell>
          <cell r="C30">
            <v>300</v>
          </cell>
          <cell r="D30">
            <v>300</v>
          </cell>
          <cell r="E30">
            <v>300</v>
          </cell>
          <cell r="F30">
            <v>300</v>
          </cell>
          <cell r="G30">
            <v>300</v>
          </cell>
          <cell r="H30">
            <v>300</v>
          </cell>
          <cell r="I30">
            <v>300</v>
          </cell>
          <cell r="J30">
            <v>300</v>
          </cell>
          <cell r="K30">
            <v>300</v>
          </cell>
          <cell r="L30">
            <v>300</v>
          </cell>
          <cell r="M30">
            <v>300</v>
          </cell>
          <cell r="N30">
            <v>300</v>
          </cell>
          <cell r="O30">
            <v>300</v>
          </cell>
          <cell r="P30">
            <v>300</v>
          </cell>
          <cell r="Q30">
            <v>300</v>
          </cell>
          <cell r="R30">
            <v>300</v>
          </cell>
          <cell r="S30">
            <v>300</v>
          </cell>
          <cell r="T30">
            <v>300</v>
          </cell>
          <cell r="U30">
            <v>300</v>
          </cell>
          <cell r="V30">
            <v>300</v>
          </cell>
          <cell r="W30">
            <v>300</v>
          </cell>
          <cell r="X30">
            <v>300</v>
          </cell>
          <cell r="Y30">
            <v>300</v>
          </cell>
          <cell r="Z30">
            <v>300</v>
          </cell>
          <cell r="AA30">
            <v>300</v>
          </cell>
          <cell r="AB30">
            <v>300</v>
          </cell>
          <cell r="AC30">
            <v>300</v>
          </cell>
          <cell r="AD30">
            <v>300</v>
          </cell>
          <cell r="AE30">
            <v>300</v>
          </cell>
          <cell r="AF30">
            <v>300</v>
          </cell>
          <cell r="AG30">
            <v>300</v>
          </cell>
          <cell r="AH30">
            <v>300</v>
          </cell>
          <cell r="AI30">
            <v>300</v>
          </cell>
          <cell r="AJ30">
            <v>300</v>
          </cell>
          <cell r="AK30">
            <v>300</v>
          </cell>
          <cell r="AL30">
            <v>300</v>
          </cell>
          <cell r="AM30">
            <v>300</v>
          </cell>
          <cell r="AN30">
            <v>300</v>
          </cell>
          <cell r="AO30">
            <v>300</v>
          </cell>
          <cell r="AP30">
            <v>300</v>
          </cell>
          <cell r="AQ30">
            <v>300</v>
          </cell>
          <cell r="AR30">
            <v>300</v>
          </cell>
          <cell r="AS30">
            <v>300</v>
          </cell>
        </row>
        <row r="31">
          <cell r="B31" t="str">
            <v>06.12</v>
          </cell>
          <cell r="C31">
            <v>1500</v>
          </cell>
          <cell r="D31">
            <v>1500</v>
          </cell>
          <cell r="E31">
            <v>1500</v>
          </cell>
          <cell r="F31">
            <v>2000</v>
          </cell>
          <cell r="G31">
            <v>2000</v>
          </cell>
          <cell r="H31">
            <v>2000</v>
          </cell>
          <cell r="I31">
            <v>2000</v>
          </cell>
          <cell r="J31">
            <v>2000</v>
          </cell>
          <cell r="K31">
            <v>2000</v>
          </cell>
          <cell r="L31">
            <v>2000</v>
          </cell>
          <cell r="M31">
            <v>2000</v>
          </cell>
          <cell r="N31">
            <v>2000</v>
          </cell>
          <cell r="O31">
            <v>2000</v>
          </cell>
          <cell r="P31">
            <v>2000</v>
          </cell>
          <cell r="Q31">
            <v>2000</v>
          </cell>
          <cell r="R31">
            <v>2000</v>
          </cell>
          <cell r="S31">
            <v>2000</v>
          </cell>
          <cell r="T31">
            <v>2000</v>
          </cell>
          <cell r="U31">
            <v>2000</v>
          </cell>
          <cell r="V31">
            <v>2000</v>
          </cell>
          <cell r="W31">
            <v>2000</v>
          </cell>
          <cell r="X31">
            <v>2000</v>
          </cell>
          <cell r="Y31">
            <v>2000</v>
          </cell>
          <cell r="Z31">
            <v>2000</v>
          </cell>
          <cell r="AA31">
            <v>2000</v>
          </cell>
          <cell r="AB31">
            <v>2000</v>
          </cell>
          <cell r="AC31">
            <v>2000</v>
          </cell>
          <cell r="AD31">
            <v>2000</v>
          </cell>
          <cell r="AE31">
            <v>2000</v>
          </cell>
          <cell r="AF31">
            <v>2000</v>
          </cell>
          <cell r="AG31">
            <v>2000</v>
          </cell>
          <cell r="AH31">
            <v>2000</v>
          </cell>
          <cell r="AI31">
            <v>2000</v>
          </cell>
          <cell r="AJ31">
            <v>2000</v>
          </cell>
          <cell r="AK31">
            <v>2000</v>
          </cell>
          <cell r="AL31">
            <v>2000</v>
          </cell>
          <cell r="AM31">
            <v>2000</v>
          </cell>
          <cell r="AN31">
            <v>2000</v>
          </cell>
          <cell r="AO31">
            <v>2000</v>
          </cell>
          <cell r="AP31">
            <v>2000</v>
          </cell>
          <cell r="AQ31">
            <v>2000</v>
          </cell>
          <cell r="AR31">
            <v>2000</v>
          </cell>
          <cell r="AS31">
            <v>2000</v>
          </cell>
        </row>
        <row r="32">
          <cell r="B32" t="str">
            <v>06.13</v>
          </cell>
          <cell r="C32">
            <v>2000</v>
          </cell>
          <cell r="D32">
            <v>2000</v>
          </cell>
          <cell r="E32">
            <v>2000</v>
          </cell>
          <cell r="F32">
            <v>1200</v>
          </cell>
          <cell r="G32">
            <v>1200</v>
          </cell>
          <cell r="H32">
            <v>1200</v>
          </cell>
          <cell r="I32">
            <v>1200</v>
          </cell>
          <cell r="J32">
            <v>3200</v>
          </cell>
          <cell r="K32">
            <v>3200</v>
          </cell>
          <cell r="L32">
            <v>3200</v>
          </cell>
          <cell r="M32">
            <v>3200</v>
          </cell>
          <cell r="N32">
            <v>4000</v>
          </cell>
          <cell r="O32">
            <v>4000</v>
          </cell>
          <cell r="P32">
            <v>4000</v>
          </cell>
          <cell r="Q32">
            <v>4000</v>
          </cell>
          <cell r="R32">
            <v>4800</v>
          </cell>
          <cell r="S32">
            <v>4800</v>
          </cell>
          <cell r="T32">
            <v>4800</v>
          </cell>
          <cell r="U32">
            <v>4800</v>
          </cell>
          <cell r="V32">
            <v>4800</v>
          </cell>
          <cell r="W32">
            <v>4800</v>
          </cell>
          <cell r="X32">
            <v>4800</v>
          </cell>
          <cell r="Y32">
            <v>4800</v>
          </cell>
          <cell r="Z32">
            <v>4800</v>
          </cell>
          <cell r="AA32">
            <v>4800</v>
          </cell>
          <cell r="AB32">
            <v>4800</v>
          </cell>
          <cell r="AC32">
            <v>4800</v>
          </cell>
          <cell r="AD32">
            <v>4800</v>
          </cell>
          <cell r="AE32">
            <v>4800</v>
          </cell>
          <cell r="AF32">
            <v>4800</v>
          </cell>
          <cell r="AG32">
            <v>4800</v>
          </cell>
          <cell r="AH32">
            <v>4800</v>
          </cell>
          <cell r="AI32">
            <v>4800</v>
          </cell>
          <cell r="AJ32">
            <v>4800</v>
          </cell>
          <cell r="AK32">
            <v>4800</v>
          </cell>
          <cell r="AL32">
            <v>4800</v>
          </cell>
          <cell r="AM32">
            <v>4800</v>
          </cell>
          <cell r="AN32">
            <v>4800</v>
          </cell>
          <cell r="AO32">
            <v>4800</v>
          </cell>
          <cell r="AP32">
            <v>4800</v>
          </cell>
          <cell r="AQ32">
            <v>4800</v>
          </cell>
          <cell r="AR32">
            <v>4800</v>
          </cell>
          <cell r="AS32">
            <v>4800</v>
          </cell>
        </row>
        <row r="33">
          <cell r="B33" t="str">
            <v>07.01</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row>
        <row r="34">
          <cell r="B34" t="str">
            <v>07.02</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3000</v>
          </cell>
          <cell r="AC34">
            <v>3000</v>
          </cell>
          <cell r="AD34">
            <v>3000</v>
          </cell>
          <cell r="AE34">
            <v>3000</v>
          </cell>
          <cell r="AF34">
            <v>3000</v>
          </cell>
          <cell r="AG34">
            <v>3000</v>
          </cell>
          <cell r="AH34">
            <v>3000</v>
          </cell>
          <cell r="AI34">
            <v>3000</v>
          </cell>
          <cell r="AJ34">
            <v>3000</v>
          </cell>
          <cell r="AK34">
            <v>3000</v>
          </cell>
          <cell r="AL34">
            <v>3000</v>
          </cell>
          <cell r="AM34">
            <v>3000</v>
          </cell>
          <cell r="AN34">
            <v>3000</v>
          </cell>
          <cell r="AO34">
            <v>3000</v>
          </cell>
          <cell r="AP34">
            <v>3000</v>
          </cell>
          <cell r="AQ34">
            <v>3000</v>
          </cell>
          <cell r="AR34">
            <v>3000</v>
          </cell>
          <cell r="AS34">
            <v>3000</v>
          </cell>
        </row>
        <row r="35">
          <cell r="B35" t="str">
            <v>07.03</v>
          </cell>
          <cell r="C35">
            <v>19675</v>
          </cell>
          <cell r="D35">
            <v>19675</v>
          </cell>
          <cell r="E35">
            <v>19675</v>
          </cell>
          <cell r="F35">
            <v>19675</v>
          </cell>
          <cell r="G35">
            <v>19675</v>
          </cell>
          <cell r="H35">
            <v>19675</v>
          </cell>
          <cell r="I35">
            <v>19675</v>
          </cell>
          <cell r="J35">
            <v>19675</v>
          </cell>
          <cell r="K35">
            <v>19675</v>
          </cell>
          <cell r="L35">
            <v>19675</v>
          </cell>
          <cell r="M35">
            <v>19675</v>
          </cell>
          <cell r="N35">
            <v>19675</v>
          </cell>
          <cell r="O35">
            <v>19675</v>
          </cell>
          <cell r="P35">
            <v>19675</v>
          </cell>
          <cell r="Q35">
            <v>19675</v>
          </cell>
          <cell r="R35">
            <v>19675</v>
          </cell>
          <cell r="S35">
            <v>19675</v>
          </cell>
          <cell r="T35">
            <v>19675</v>
          </cell>
          <cell r="U35">
            <v>19675</v>
          </cell>
          <cell r="V35">
            <v>31419.54</v>
          </cell>
          <cell r="W35">
            <v>31419.54</v>
          </cell>
          <cell r="X35">
            <v>31419.54</v>
          </cell>
          <cell r="Y35">
            <v>31419.54</v>
          </cell>
          <cell r="Z35">
            <v>31419.54</v>
          </cell>
          <cell r="AA35">
            <v>31419.54</v>
          </cell>
          <cell r="AB35">
            <v>31419.54</v>
          </cell>
          <cell r="AC35">
            <v>31419.54</v>
          </cell>
          <cell r="AD35">
            <v>28293.599999999999</v>
          </cell>
          <cell r="AE35">
            <v>28293.599999999999</v>
          </cell>
          <cell r="AF35">
            <v>28293.599999999999</v>
          </cell>
          <cell r="AG35">
            <v>28293.599999999999</v>
          </cell>
          <cell r="AH35">
            <v>28293.599999999999</v>
          </cell>
          <cell r="AI35">
            <v>28293.599999999999</v>
          </cell>
          <cell r="AJ35">
            <v>28293.599999999999</v>
          </cell>
          <cell r="AK35">
            <v>28293.599999999999</v>
          </cell>
          <cell r="AL35">
            <v>28293.599999999999</v>
          </cell>
          <cell r="AM35">
            <v>28293.599999999999</v>
          </cell>
          <cell r="AN35">
            <v>28293.599999999999</v>
          </cell>
          <cell r="AO35">
            <v>28293.599999999999</v>
          </cell>
          <cell r="AP35">
            <v>28293.599999999999</v>
          </cell>
          <cell r="AQ35">
            <v>28293.599999999999</v>
          </cell>
          <cell r="AR35">
            <v>28293.599999999999</v>
          </cell>
          <cell r="AS35">
            <v>28293.599999999999</v>
          </cell>
        </row>
        <row r="36">
          <cell r="B36" t="str">
            <v>07.04</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row>
        <row r="37">
          <cell r="B37" t="str">
            <v>07.05</v>
          </cell>
          <cell r="C37">
            <v>630</v>
          </cell>
          <cell r="D37">
            <v>630</v>
          </cell>
          <cell r="E37">
            <v>630</v>
          </cell>
          <cell r="F37">
            <v>630</v>
          </cell>
          <cell r="G37">
            <v>630</v>
          </cell>
          <cell r="H37">
            <v>630</v>
          </cell>
          <cell r="I37">
            <v>630</v>
          </cell>
          <cell r="J37">
            <v>630</v>
          </cell>
          <cell r="K37">
            <v>630</v>
          </cell>
          <cell r="L37">
            <v>630</v>
          </cell>
          <cell r="M37">
            <v>630</v>
          </cell>
          <cell r="N37">
            <v>630</v>
          </cell>
          <cell r="O37">
            <v>630</v>
          </cell>
          <cell r="P37">
            <v>630</v>
          </cell>
          <cell r="Q37">
            <v>630</v>
          </cell>
          <cell r="R37">
            <v>630</v>
          </cell>
          <cell r="S37">
            <v>630</v>
          </cell>
          <cell r="T37">
            <v>630</v>
          </cell>
          <cell r="U37">
            <v>630</v>
          </cell>
          <cell r="V37">
            <v>630</v>
          </cell>
          <cell r="W37">
            <v>630</v>
          </cell>
          <cell r="X37">
            <v>630</v>
          </cell>
          <cell r="Y37">
            <v>630</v>
          </cell>
          <cell r="Z37">
            <v>630</v>
          </cell>
          <cell r="AA37">
            <v>630</v>
          </cell>
          <cell r="AB37">
            <v>630</v>
          </cell>
          <cell r="AC37">
            <v>630</v>
          </cell>
          <cell r="AD37">
            <v>630</v>
          </cell>
          <cell r="AE37">
            <v>630</v>
          </cell>
          <cell r="AF37">
            <v>630</v>
          </cell>
          <cell r="AG37">
            <v>630</v>
          </cell>
          <cell r="AH37">
            <v>630</v>
          </cell>
          <cell r="AI37">
            <v>630</v>
          </cell>
          <cell r="AJ37">
            <v>630</v>
          </cell>
          <cell r="AK37">
            <v>630</v>
          </cell>
          <cell r="AL37">
            <v>630</v>
          </cell>
          <cell r="AM37">
            <v>630</v>
          </cell>
          <cell r="AN37">
            <v>630</v>
          </cell>
          <cell r="AO37">
            <v>630</v>
          </cell>
          <cell r="AP37">
            <v>630</v>
          </cell>
          <cell r="AQ37">
            <v>630</v>
          </cell>
          <cell r="AR37">
            <v>630</v>
          </cell>
          <cell r="AS37">
            <v>630</v>
          </cell>
        </row>
        <row r="38">
          <cell r="B38" t="str">
            <v>07.06</v>
          </cell>
          <cell r="C38">
            <v>540</v>
          </cell>
          <cell r="D38">
            <v>540</v>
          </cell>
          <cell r="E38">
            <v>540</v>
          </cell>
          <cell r="F38">
            <v>540</v>
          </cell>
          <cell r="G38">
            <v>540</v>
          </cell>
          <cell r="H38">
            <v>540</v>
          </cell>
          <cell r="I38">
            <v>540</v>
          </cell>
          <cell r="J38">
            <v>540</v>
          </cell>
          <cell r="K38">
            <v>540</v>
          </cell>
          <cell r="L38">
            <v>540</v>
          </cell>
          <cell r="M38">
            <v>540</v>
          </cell>
          <cell r="N38">
            <v>540</v>
          </cell>
          <cell r="O38">
            <v>540</v>
          </cell>
          <cell r="P38">
            <v>540</v>
          </cell>
          <cell r="Q38">
            <v>540</v>
          </cell>
          <cell r="R38">
            <v>540</v>
          </cell>
          <cell r="S38">
            <v>540</v>
          </cell>
          <cell r="T38">
            <v>540</v>
          </cell>
          <cell r="U38">
            <v>540</v>
          </cell>
          <cell r="V38">
            <v>540</v>
          </cell>
          <cell r="W38">
            <v>540</v>
          </cell>
          <cell r="X38">
            <v>540</v>
          </cell>
          <cell r="Y38">
            <v>540</v>
          </cell>
          <cell r="Z38">
            <v>540</v>
          </cell>
          <cell r="AA38">
            <v>540</v>
          </cell>
          <cell r="AB38">
            <v>540</v>
          </cell>
          <cell r="AC38">
            <v>540</v>
          </cell>
          <cell r="AD38">
            <v>540</v>
          </cell>
          <cell r="AE38">
            <v>540</v>
          </cell>
          <cell r="AF38">
            <v>540</v>
          </cell>
          <cell r="AG38">
            <v>540</v>
          </cell>
          <cell r="AH38">
            <v>540</v>
          </cell>
          <cell r="AI38">
            <v>540</v>
          </cell>
          <cell r="AJ38">
            <v>540</v>
          </cell>
          <cell r="AK38">
            <v>540</v>
          </cell>
          <cell r="AL38">
            <v>540</v>
          </cell>
          <cell r="AM38">
            <v>540</v>
          </cell>
          <cell r="AN38">
            <v>540</v>
          </cell>
          <cell r="AO38">
            <v>540</v>
          </cell>
          <cell r="AP38">
            <v>540</v>
          </cell>
          <cell r="AQ38">
            <v>540</v>
          </cell>
          <cell r="AR38">
            <v>540</v>
          </cell>
          <cell r="AS38">
            <v>540</v>
          </cell>
        </row>
        <row r="39">
          <cell r="B39" t="str">
            <v>08.01</v>
          </cell>
          <cell r="C39">
            <v>13170</v>
          </cell>
          <cell r="D39">
            <v>13170</v>
          </cell>
          <cell r="E39">
            <v>13170</v>
          </cell>
          <cell r="F39">
            <v>13170</v>
          </cell>
          <cell r="G39">
            <v>13170</v>
          </cell>
          <cell r="H39">
            <v>13170</v>
          </cell>
          <cell r="I39">
            <v>13170</v>
          </cell>
          <cell r="J39">
            <v>13170</v>
          </cell>
          <cell r="K39">
            <v>13170</v>
          </cell>
          <cell r="L39">
            <v>13170</v>
          </cell>
          <cell r="M39">
            <v>13170</v>
          </cell>
          <cell r="N39">
            <v>13170</v>
          </cell>
          <cell r="O39">
            <v>13170</v>
          </cell>
          <cell r="P39">
            <v>13170</v>
          </cell>
          <cell r="Q39">
            <v>13170</v>
          </cell>
          <cell r="R39">
            <v>13170</v>
          </cell>
          <cell r="S39">
            <v>13170</v>
          </cell>
          <cell r="T39">
            <v>13170</v>
          </cell>
          <cell r="U39">
            <v>13170</v>
          </cell>
          <cell r="V39">
            <v>13170</v>
          </cell>
          <cell r="W39">
            <v>13170</v>
          </cell>
          <cell r="X39">
            <v>13170</v>
          </cell>
          <cell r="Y39">
            <v>13170</v>
          </cell>
          <cell r="Z39">
            <v>13170</v>
          </cell>
          <cell r="AA39">
            <v>13170</v>
          </cell>
          <cell r="AB39">
            <v>13170</v>
          </cell>
          <cell r="AC39">
            <v>13170</v>
          </cell>
          <cell r="AD39">
            <v>13170</v>
          </cell>
          <cell r="AE39">
            <v>13170</v>
          </cell>
          <cell r="AF39">
            <v>13170</v>
          </cell>
          <cell r="AG39">
            <v>13170</v>
          </cell>
          <cell r="AH39">
            <v>13170</v>
          </cell>
          <cell r="AI39">
            <v>13170</v>
          </cell>
          <cell r="AJ39">
            <v>13170</v>
          </cell>
          <cell r="AK39">
            <v>13170</v>
          </cell>
          <cell r="AL39">
            <v>13170</v>
          </cell>
          <cell r="AM39">
            <v>13170</v>
          </cell>
          <cell r="AN39">
            <v>13170</v>
          </cell>
          <cell r="AO39">
            <v>13170</v>
          </cell>
          <cell r="AP39">
            <v>13170</v>
          </cell>
          <cell r="AQ39">
            <v>13170</v>
          </cell>
          <cell r="AR39">
            <v>13170</v>
          </cell>
          <cell r="AS39">
            <v>13170</v>
          </cell>
        </row>
        <row r="40">
          <cell r="B40" t="str">
            <v>08.02</v>
          </cell>
          <cell r="C40">
            <v>595</v>
          </cell>
          <cell r="D40">
            <v>595</v>
          </cell>
          <cell r="E40">
            <v>595</v>
          </cell>
          <cell r="F40">
            <v>595</v>
          </cell>
          <cell r="G40">
            <v>595</v>
          </cell>
          <cell r="H40">
            <v>595</v>
          </cell>
          <cell r="I40">
            <v>595</v>
          </cell>
          <cell r="J40">
            <v>595</v>
          </cell>
          <cell r="K40">
            <v>595</v>
          </cell>
          <cell r="L40">
            <v>595</v>
          </cell>
          <cell r="M40">
            <v>595</v>
          </cell>
          <cell r="N40">
            <v>595</v>
          </cell>
          <cell r="O40">
            <v>595</v>
          </cell>
          <cell r="P40">
            <v>595</v>
          </cell>
          <cell r="Q40">
            <v>595</v>
          </cell>
          <cell r="R40">
            <v>595</v>
          </cell>
          <cell r="S40">
            <v>595</v>
          </cell>
          <cell r="T40">
            <v>595</v>
          </cell>
          <cell r="U40">
            <v>595</v>
          </cell>
          <cell r="V40">
            <v>595</v>
          </cell>
          <cell r="W40">
            <v>595</v>
          </cell>
          <cell r="X40">
            <v>595</v>
          </cell>
          <cell r="Y40">
            <v>595</v>
          </cell>
          <cell r="Z40">
            <v>595</v>
          </cell>
          <cell r="AA40">
            <v>595</v>
          </cell>
          <cell r="AB40">
            <v>595</v>
          </cell>
          <cell r="AC40">
            <v>595</v>
          </cell>
          <cell r="AD40">
            <v>1190</v>
          </cell>
          <cell r="AE40">
            <v>1190</v>
          </cell>
          <cell r="AF40">
            <v>1190</v>
          </cell>
          <cell r="AG40">
            <v>1190</v>
          </cell>
          <cell r="AH40">
            <v>1190</v>
          </cell>
          <cell r="AI40">
            <v>1190</v>
          </cell>
          <cell r="AJ40">
            <v>1190</v>
          </cell>
          <cell r="AK40">
            <v>1190</v>
          </cell>
          <cell r="AL40">
            <v>1190</v>
          </cell>
          <cell r="AM40">
            <v>1190</v>
          </cell>
          <cell r="AN40">
            <v>1190</v>
          </cell>
          <cell r="AO40">
            <v>1190</v>
          </cell>
          <cell r="AP40">
            <v>1190</v>
          </cell>
          <cell r="AQ40">
            <v>1190</v>
          </cell>
          <cell r="AR40">
            <v>1190</v>
          </cell>
          <cell r="AS40">
            <v>1190</v>
          </cell>
        </row>
        <row r="41">
          <cell r="B41" t="str">
            <v>08.03</v>
          </cell>
          <cell r="C41">
            <v>4475</v>
          </cell>
          <cell r="D41">
            <v>4475</v>
          </cell>
          <cell r="E41">
            <v>4475</v>
          </cell>
          <cell r="F41">
            <v>4475</v>
          </cell>
          <cell r="G41">
            <v>4475</v>
          </cell>
          <cell r="H41">
            <v>4475</v>
          </cell>
          <cell r="I41">
            <v>4475</v>
          </cell>
          <cell r="J41">
            <v>4475</v>
          </cell>
          <cell r="K41">
            <v>4475</v>
          </cell>
          <cell r="L41">
            <v>4475</v>
          </cell>
          <cell r="M41">
            <v>4475</v>
          </cell>
          <cell r="N41">
            <v>4475</v>
          </cell>
          <cell r="O41">
            <v>4475</v>
          </cell>
          <cell r="P41">
            <v>4475</v>
          </cell>
          <cell r="Q41">
            <v>4475</v>
          </cell>
          <cell r="R41">
            <v>4475</v>
          </cell>
          <cell r="S41">
            <v>4475</v>
          </cell>
          <cell r="T41">
            <v>4475</v>
          </cell>
          <cell r="U41">
            <v>4475</v>
          </cell>
          <cell r="V41">
            <v>4475</v>
          </cell>
          <cell r="W41">
            <v>4475</v>
          </cell>
          <cell r="X41">
            <v>4475</v>
          </cell>
          <cell r="Y41">
            <v>4475</v>
          </cell>
          <cell r="Z41">
            <v>4475</v>
          </cell>
          <cell r="AA41">
            <v>4475</v>
          </cell>
          <cell r="AB41">
            <v>4475</v>
          </cell>
          <cell r="AC41">
            <v>4475</v>
          </cell>
          <cell r="AD41">
            <v>4475</v>
          </cell>
          <cell r="AE41">
            <v>4475</v>
          </cell>
          <cell r="AF41">
            <v>4475</v>
          </cell>
          <cell r="AG41">
            <v>4475</v>
          </cell>
          <cell r="AH41">
            <v>4475</v>
          </cell>
          <cell r="AI41">
            <v>4475</v>
          </cell>
          <cell r="AJ41">
            <v>4475</v>
          </cell>
          <cell r="AK41">
            <v>4475</v>
          </cell>
          <cell r="AL41">
            <v>4475</v>
          </cell>
          <cell r="AM41">
            <v>4475</v>
          </cell>
          <cell r="AN41">
            <v>4475</v>
          </cell>
          <cell r="AO41">
            <v>4475</v>
          </cell>
          <cell r="AP41">
            <v>4475</v>
          </cell>
          <cell r="AQ41">
            <v>4475</v>
          </cell>
          <cell r="AR41">
            <v>4475</v>
          </cell>
          <cell r="AS41">
            <v>4475</v>
          </cell>
        </row>
        <row r="42">
          <cell r="B42" t="str">
            <v>08.04</v>
          </cell>
          <cell r="C42">
            <v>3360</v>
          </cell>
          <cell r="D42">
            <v>3360</v>
          </cell>
          <cell r="E42">
            <v>3360</v>
          </cell>
          <cell r="F42">
            <v>3360</v>
          </cell>
          <cell r="G42">
            <v>3360</v>
          </cell>
          <cell r="H42">
            <v>3360</v>
          </cell>
          <cell r="I42">
            <v>3360</v>
          </cell>
          <cell r="J42">
            <v>3360</v>
          </cell>
          <cell r="K42">
            <v>3360</v>
          </cell>
          <cell r="L42">
            <v>3360</v>
          </cell>
          <cell r="M42">
            <v>3360</v>
          </cell>
          <cell r="N42">
            <v>3360</v>
          </cell>
          <cell r="O42">
            <v>3360</v>
          </cell>
          <cell r="P42">
            <v>3360</v>
          </cell>
          <cell r="Q42">
            <v>3360</v>
          </cell>
          <cell r="R42">
            <v>3360</v>
          </cell>
          <cell r="S42">
            <v>3360</v>
          </cell>
          <cell r="T42">
            <v>3360</v>
          </cell>
          <cell r="U42">
            <v>3360</v>
          </cell>
          <cell r="V42">
            <v>3360</v>
          </cell>
          <cell r="W42">
            <v>3360</v>
          </cell>
          <cell r="X42">
            <v>3360</v>
          </cell>
          <cell r="Y42">
            <v>3360</v>
          </cell>
          <cell r="Z42">
            <v>3360</v>
          </cell>
          <cell r="AA42">
            <v>3360</v>
          </cell>
          <cell r="AB42">
            <v>3360</v>
          </cell>
          <cell r="AC42">
            <v>3360</v>
          </cell>
          <cell r="AD42">
            <v>3360</v>
          </cell>
          <cell r="AE42">
            <v>3360</v>
          </cell>
          <cell r="AF42">
            <v>3360</v>
          </cell>
          <cell r="AG42">
            <v>3360</v>
          </cell>
          <cell r="AH42">
            <v>3360</v>
          </cell>
          <cell r="AI42">
            <v>3360</v>
          </cell>
          <cell r="AJ42">
            <v>3360</v>
          </cell>
          <cell r="AK42">
            <v>3360</v>
          </cell>
          <cell r="AL42">
            <v>3360</v>
          </cell>
          <cell r="AM42">
            <v>3360</v>
          </cell>
          <cell r="AN42">
            <v>3360</v>
          </cell>
          <cell r="AO42">
            <v>3360</v>
          </cell>
          <cell r="AP42">
            <v>3360</v>
          </cell>
          <cell r="AQ42">
            <v>3360</v>
          </cell>
          <cell r="AR42">
            <v>3360</v>
          </cell>
          <cell r="AS42">
            <v>3360</v>
          </cell>
        </row>
        <row r="43">
          <cell r="B43" t="str">
            <v>08.05</v>
          </cell>
          <cell r="C43">
            <v>425</v>
          </cell>
          <cell r="D43">
            <v>425</v>
          </cell>
          <cell r="E43">
            <v>425</v>
          </cell>
          <cell r="F43">
            <v>425</v>
          </cell>
          <cell r="G43">
            <v>425</v>
          </cell>
          <cell r="H43">
            <v>425</v>
          </cell>
          <cell r="I43">
            <v>425</v>
          </cell>
          <cell r="J43">
            <v>425</v>
          </cell>
          <cell r="K43">
            <v>425</v>
          </cell>
          <cell r="L43">
            <v>425</v>
          </cell>
          <cell r="M43">
            <v>425</v>
          </cell>
          <cell r="N43">
            <v>425</v>
          </cell>
          <cell r="O43">
            <v>425</v>
          </cell>
          <cell r="P43">
            <v>425</v>
          </cell>
          <cell r="Q43">
            <v>425</v>
          </cell>
          <cell r="R43">
            <v>425</v>
          </cell>
          <cell r="S43">
            <v>425</v>
          </cell>
          <cell r="T43">
            <v>425</v>
          </cell>
          <cell r="U43">
            <v>425</v>
          </cell>
          <cell r="V43">
            <v>425</v>
          </cell>
          <cell r="W43">
            <v>425</v>
          </cell>
          <cell r="X43">
            <v>425</v>
          </cell>
          <cell r="Y43">
            <v>425</v>
          </cell>
          <cell r="Z43">
            <v>425</v>
          </cell>
          <cell r="AA43">
            <v>425</v>
          </cell>
          <cell r="AB43">
            <v>425</v>
          </cell>
          <cell r="AC43">
            <v>425</v>
          </cell>
          <cell r="AD43">
            <v>425</v>
          </cell>
          <cell r="AE43">
            <v>425</v>
          </cell>
          <cell r="AF43">
            <v>425</v>
          </cell>
          <cell r="AG43">
            <v>425</v>
          </cell>
          <cell r="AH43">
            <v>425</v>
          </cell>
          <cell r="AI43">
            <v>425</v>
          </cell>
          <cell r="AJ43">
            <v>425</v>
          </cell>
          <cell r="AK43">
            <v>425</v>
          </cell>
          <cell r="AL43">
            <v>425</v>
          </cell>
          <cell r="AM43">
            <v>425</v>
          </cell>
          <cell r="AN43">
            <v>425</v>
          </cell>
          <cell r="AO43">
            <v>425</v>
          </cell>
          <cell r="AP43">
            <v>425</v>
          </cell>
          <cell r="AQ43">
            <v>425</v>
          </cell>
          <cell r="AR43">
            <v>425</v>
          </cell>
          <cell r="AS43">
            <v>425</v>
          </cell>
        </row>
        <row r="44">
          <cell r="B44" t="str">
            <v>08.06</v>
          </cell>
          <cell r="C44">
            <v>525</v>
          </cell>
          <cell r="D44">
            <v>525</v>
          </cell>
          <cell r="E44">
            <v>525</v>
          </cell>
          <cell r="F44">
            <v>525</v>
          </cell>
          <cell r="G44">
            <v>525</v>
          </cell>
          <cell r="H44">
            <v>525</v>
          </cell>
          <cell r="I44">
            <v>525</v>
          </cell>
          <cell r="J44">
            <v>525</v>
          </cell>
          <cell r="K44">
            <v>525</v>
          </cell>
          <cell r="L44">
            <v>525</v>
          </cell>
          <cell r="M44">
            <v>525</v>
          </cell>
          <cell r="N44">
            <v>525</v>
          </cell>
          <cell r="O44">
            <v>525</v>
          </cell>
          <cell r="P44">
            <v>525</v>
          </cell>
          <cell r="Q44">
            <v>525</v>
          </cell>
          <cell r="R44">
            <v>525</v>
          </cell>
          <cell r="S44">
            <v>525</v>
          </cell>
          <cell r="T44">
            <v>525</v>
          </cell>
          <cell r="U44">
            <v>525</v>
          </cell>
          <cell r="V44">
            <v>525</v>
          </cell>
          <cell r="W44">
            <v>525</v>
          </cell>
          <cell r="X44">
            <v>525</v>
          </cell>
          <cell r="Y44">
            <v>525</v>
          </cell>
          <cell r="Z44">
            <v>525</v>
          </cell>
          <cell r="AA44">
            <v>525</v>
          </cell>
          <cell r="AB44">
            <v>525</v>
          </cell>
          <cell r="AC44">
            <v>525</v>
          </cell>
          <cell r="AD44">
            <v>525</v>
          </cell>
          <cell r="AE44">
            <v>525</v>
          </cell>
          <cell r="AF44">
            <v>525</v>
          </cell>
          <cell r="AG44">
            <v>525</v>
          </cell>
          <cell r="AH44">
            <v>525</v>
          </cell>
          <cell r="AI44">
            <v>525</v>
          </cell>
          <cell r="AJ44">
            <v>525</v>
          </cell>
          <cell r="AK44">
            <v>525</v>
          </cell>
          <cell r="AL44">
            <v>525</v>
          </cell>
          <cell r="AM44">
            <v>525</v>
          </cell>
          <cell r="AN44">
            <v>525</v>
          </cell>
          <cell r="AO44">
            <v>525</v>
          </cell>
          <cell r="AP44">
            <v>525</v>
          </cell>
          <cell r="AQ44">
            <v>525</v>
          </cell>
          <cell r="AR44">
            <v>525</v>
          </cell>
          <cell r="AS44">
            <v>525</v>
          </cell>
        </row>
        <row r="45">
          <cell r="B45" t="str">
            <v>08.07</v>
          </cell>
          <cell r="C45">
            <v>465</v>
          </cell>
          <cell r="D45">
            <v>465</v>
          </cell>
          <cell r="E45">
            <v>465</v>
          </cell>
          <cell r="F45">
            <v>465</v>
          </cell>
          <cell r="G45">
            <v>465</v>
          </cell>
          <cell r="H45">
            <v>465</v>
          </cell>
          <cell r="I45">
            <v>465</v>
          </cell>
          <cell r="J45">
            <v>465</v>
          </cell>
          <cell r="K45">
            <v>465</v>
          </cell>
          <cell r="L45">
            <v>465</v>
          </cell>
          <cell r="M45">
            <v>465</v>
          </cell>
          <cell r="N45">
            <v>465</v>
          </cell>
          <cell r="O45">
            <v>465</v>
          </cell>
          <cell r="P45">
            <v>465</v>
          </cell>
          <cell r="Q45">
            <v>465</v>
          </cell>
          <cell r="R45">
            <v>465</v>
          </cell>
          <cell r="S45">
            <v>465</v>
          </cell>
          <cell r="T45">
            <v>465</v>
          </cell>
          <cell r="U45">
            <v>465</v>
          </cell>
          <cell r="V45">
            <v>465</v>
          </cell>
          <cell r="W45">
            <v>465</v>
          </cell>
          <cell r="X45">
            <v>465</v>
          </cell>
          <cell r="Y45">
            <v>465</v>
          </cell>
          <cell r="Z45">
            <v>465</v>
          </cell>
          <cell r="AA45">
            <v>465</v>
          </cell>
          <cell r="AB45">
            <v>465</v>
          </cell>
          <cell r="AC45">
            <v>465</v>
          </cell>
          <cell r="AD45">
            <v>465</v>
          </cell>
          <cell r="AE45">
            <v>465</v>
          </cell>
          <cell r="AF45">
            <v>465</v>
          </cell>
          <cell r="AG45">
            <v>465</v>
          </cell>
          <cell r="AH45">
            <v>465</v>
          </cell>
          <cell r="AI45">
            <v>465</v>
          </cell>
          <cell r="AJ45">
            <v>465</v>
          </cell>
          <cell r="AK45">
            <v>465</v>
          </cell>
          <cell r="AL45">
            <v>465</v>
          </cell>
          <cell r="AM45">
            <v>465</v>
          </cell>
          <cell r="AN45">
            <v>465</v>
          </cell>
          <cell r="AO45">
            <v>465</v>
          </cell>
          <cell r="AP45">
            <v>465</v>
          </cell>
          <cell r="AQ45">
            <v>465</v>
          </cell>
          <cell r="AR45">
            <v>465</v>
          </cell>
          <cell r="AS45">
            <v>465</v>
          </cell>
        </row>
        <row r="46">
          <cell r="B46" t="str">
            <v>08.09</v>
          </cell>
          <cell r="C46">
            <v>465</v>
          </cell>
          <cell r="D46">
            <v>465</v>
          </cell>
          <cell r="E46">
            <v>465</v>
          </cell>
          <cell r="F46">
            <v>465</v>
          </cell>
          <cell r="G46">
            <v>465</v>
          </cell>
          <cell r="H46">
            <v>465</v>
          </cell>
          <cell r="I46">
            <v>465</v>
          </cell>
          <cell r="J46">
            <v>465</v>
          </cell>
          <cell r="K46">
            <v>465</v>
          </cell>
          <cell r="L46">
            <v>465</v>
          </cell>
          <cell r="M46">
            <v>465</v>
          </cell>
          <cell r="N46">
            <v>465</v>
          </cell>
          <cell r="O46">
            <v>465</v>
          </cell>
          <cell r="P46">
            <v>465</v>
          </cell>
          <cell r="Q46">
            <v>465</v>
          </cell>
          <cell r="R46">
            <v>465</v>
          </cell>
          <cell r="S46">
            <v>465</v>
          </cell>
          <cell r="T46">
            <v>465</v>
          </cell>
          <cell r="U46">
            <v>465</v>
          </cell>
          <cell r="V46">
            <v>465</v>
          </cell>
          <cell r="W46">
            <v>465</v>
          </cell>
          <cell r="X46">
            <v>465</v>
          </cell>
          <cell r="Y46">
            <v>465</v>
          </cell>
          <cell r="Z46">
            <v>465</v>
          </cell>
          <cell r="AA46">
            <v>465</v>
          </cell>
          <cell r="AB46">
            <v>465</v>
          </cell>
          <cell r="AC46">
            <v>465</v>
          </cell>
          <cell r="AD46">
            <v>465</v>
          </cell>
          <cell r="AE46">
            <v>465</v>
          </cell>
          <cell r="AF46">
            <v>465</v>
          </cell>
          <cell r="AG46">
            <v>465</v>
          </cell>
          <cell r="AH46">
            <v>465</v>
          </cell>
          <cell r="AI46">
            <v>465</v>
          </cell>
          <cell r="AJ46">
            <v>465</v>
          </cell>
          <cell r="AK46">
            <v>465</v>
          </cell>
          <cell r="AL46">
            <v>465</v>
          </cell>
          <cell r="AM46">
            <v>465</v>
          </cell>
          <cell r="AN46">
            <v>465</v>
          </cell>
          <cell r="AO46">
            <v>465</v>
          </cell>
          <cell r="AP46">
            <v>465</v>
          </cell>
          <cell r="AQ46">
            <v>465</v>
          </cell>
          <cell r="AR46">
            <v>465</v>
          </cell>
          <cell r="AS46">
            <v>465</v>
          </cell>
        </row>
        <row r="47">
          <cell r="B47" t="str">
            <v>08.10</v>
          </cell>
          <cell r="C47">
            <v>250</v>
          </cell>
          <cell r="D47">
            <v>250</v>
          </cell>
          <cell r="E47">
            <v>250</v>
          </cell>
          <cell r="F47">
            <v>250</v>
          </cell>
          <cell r="G47">
            <v>250</v>
          </cell>
          <cell r="H47">
            <v>250</v>
          </cell>
          <cell r="I47">
            <v>250</v>
          </cell>
          <cell r="J47">
            <v>250</v>
          </cell>
          <cell r="K47">
            <v>250</v>
          </cell>
          <cell r="L47">
            <v>250</v>
          </cell>
          <cell r="M47">
            <v>250</v>
          </cell>
          <cell r="N47">
            <v>250</v>
          </cell>
          <cell r="O47">
            <v>250</v>
          </cell>
          <cell r="P47">
            <v>250</v>
          </cell>
          <cell r="Q47">
            <v>250</v>
          </cell>
          <cell r="R47">
            <v>250</v>
          </cell>
          <cell r="S47">
            <v>250</v>
          </cell>
          <cell r="T47">
            <v>250</v>
          </cell>
          <cell r="U47">
            <v>250</v>
          </cell>
          <cell r="V47">
            <v>250</v>
          </cell>
          <cell r="W47">
            <v>250</v>
          </cell>
          <cell r="X47">
            <v>250</v>
          </cell>
          <cell r="Y47">
            <v>250</v>
          </cell>
          <cell r="Z47">
            <v>250</v>
          </cell>
          <cell r="AA47">
            <v>250</v>
          </cell>
          <cell r="AB47">
            <v>250</v>
          </cell>
          <cell r="AC47">
            <v>250</v>
          </cell>
          <cell r="AD47">
            <v>250</v>
          </cell>
          <cell r="AE47">
            <v>250</v>
          </cell>
          <cell r="AF47">
            <v>250</v>
          </cell>
          <cell r="AG47">
            <v>250</v>
          </cell>
          <cell r="AH47">
            <v>250</v>
          </cell>
          <cell r="AI47">
            <v>250</v>
          </cell>
          <cell r="AJ47">
            <v>250</v>
          </cell>
          <cell r="AK47">
            <v>250</v>
          </cell>
          <cell r="AL47">
            <v>250</v>
          </cell>
          <cell r="AM47">
            <v>250</v>
          </cell>
          <cell r="AN47">
            <v>250</v>
          </cell>
          <cell r="AO47">
            <v>250</v>
          </cell>
          <cell r="AP47">
            <v>250</v>
          </cell>
          <cell r="AQ47">
            <v>250</v>
          </cell>
          <cell r="AR47">
            <v>250</v>
          </cell>
          <cell r="AS47">
            <v>250</v>
          </cell>
        </row>
        <row r="48">
          <cell r="B48" t="str">
            <v>08.11</v>
          </cell>
          <cell r="C48">
            <v>3885</v>
          </cell>
          <cell r="D48">
            <v>3885</v>
          </cell>
          <cell r="E48">
            <v>3885</v>
          </cell>
          <cell r="F48">
            <v>3885</v>
          </cell>
          <cell r="G48">
            <v>3885</v>
          </cell>
          <cell r="H48">
            <v>3885</v>
          </cell>
          <cell r="I48">
            <v>3885</v>
          </cell>
          <cell r="J48">
            <v>3885</v>
          </cell>
          <cell r="K48">
            <v>3885</v>
          </cell>
          <cell r="L48">
            <v>3885</v>
          </cell>
          <cell r="M48">
            <v>3885</v>
          </cell>
          <cell r="N48">
            <v>3885</v>
          </cell>
          <cell r="O48">
            <v>3885</v>
          </cell>
          <cell r="P48">
            <v>3885</v>
          </cell>
          <cell r="Q48">
            <v>3885</v>
          </cell>
          <cell r="R48">
            <v>3885</v>
          </cell>
          <cell r="S48">
            <v>3885</v>
          </cell>
          <cell r="T48">
            <v>3885</v>
          </cell>
          <cell r="U48">
            <v>3885</v>
          </cell>
          <cell r="V48">
            <v>3885</v>
          </cell>
          <cell r="W48">
            <v>3885</v>
          </cell>
          <cell r="X48">
            <v>3885</v>
          </cell>
          <cell r="Y48">
            <v>3885</v>
          </cell>
          <cell r="Z48">
            <v>3885</v>
          </cell>
          <cell r="AA48">
            <v>3885</v>
          </cell>
          <cell r="AB48">
            <v>3885</v>
          </cell>
          <cell r="AC48">
            <v>3885</v>
          </cell>
          <cell r="AD48">
            <v>3885</v>
          </cell>
          <cell r="AE48">
            <v>3885</v>
          </cell>
          <cell r="AF48">
            <v>3885</v>
          </cell>
          <cell r="AG48">
            <v>3885</v>
          </cell>
          <cell r="AH48">
            <v>3885</v>
          </cell>
          <cell r="AI48">
            <v>3885</v>
          </cell>
          <cell r="AJ48">
            <v>3885</v>
          </cell>
          <cell r="AK48">
            <v>3885</v>
          </cell>
          <cell r="AL48">
            <v>3885</v>
          </cell>
          <cell r="AM48">
            <v>3885</v>
          </cell>
          <cell r="AN48">
            <v>3885</v>
          </cell>
          <cell r="AO48">
            <v>3885</v>
          </cell>
          <cell r="AP48">
            <v>3885</v>
          </cell>
          <cell r="AQ48">
            <v>3885</v>
          </cell>
          <cell r="AR48">
            <v>3885</v>
          </cell>
          <cell r="AS48">
            <v>3885</v>
          </cell>
        </row>
        <row r="49">
          <cell r="B49" t="str">
            <v>08.12</v>
          </cell>
          <cell r="C49">
            <v>1050</v>
          </cell>
          <cell r="D49">
            <v>1050</v>
          </cell>
          <cell r="E49">
            <v>1050</v>
          </cell>
          <cell r="F49">
            <v>1050</v>
          </cell>
          <cell r="G49">
            <v>1050</v>
          </cell>
          <cell r="H49">
            <v>1050</v>
          </cell>
          <cell r="I49">
            <v>1050</v>
          </cell>
          <cell r="J49">
            <v>1050</v>
          </cell>
          <cell r="K49">
            <v>1050</v>
          </cell>
          <cell r="L49">
            <v>1050</v>
          </cell>
          <cell r="M49">
            <v>1050</v>
          </cell>
          <cell r="N49">
            <v>1050</v>
          </cell>
          <cell r="O49">
            <v>1050</v>
          </cell>
          <cell r="P49">
            <v>1050</v>
          </cell>
          <cell r="Q49">
            <v>1050</v>
          </cell>
          <cell r="R49">
            <v>1050</v>
          </cell>
          <cell r="S49">
            <v>1050</v>
          </cell>
          <cell r="T49">
            <v>1050</v>
          </cell>
          <cell r="U49">
            <v>1050</v>
          </cell>
          <cell r="V49">
            <v>1050</v>
          </cell>
          <cell r="W49">
            <v>1050</v>
          </cell>
          <cell r="X49">
            <v>1050</v>
          </cell>
          <cell r="Y49">
            <v>1050</v>
          </cell>
          <cell r="Z49">
            <v>1050</v>
          </cell>
          <cell r="AA49">
            <v>1050</v>
          </cell>
          <cell r="AB49">
            <v>1050</v>
          </cell>
          <cell r="AC49">
            <v>1050</v>
          </cell>
          <cell r="AD49">
            <v>1050</v>
          </cell>
          <cell r="AE49">
            <v>1050</v>
          </cell>
          <cell r="AF49">
            <v>1050</v>
          </cell>
          <cell r="AG49">
            <v>1050</v>
          </cell>
          <cell r="AH49">
            <v>1050</v>
          </cell>
          <cell r="AI49">
            <v>1050</v>
          </cell>
          <cell r="AJ49">
            <v>1050</v>
          </cell>
          <cell r="AK49">
            <v>1050</v>
          </cell>
          <cell r="AL49">
            <v>1050</v>
          </cell>
          <cell r="AM49">
            <v>1050</v>
          </cell>
          <cell r="AN49">
            <v>1050</v>
          </cell>
          <cell r="AO49">
            <v>1050</v>
          </cell>
          <cell r="AP49">
            <v>1050</v>
          </cell>
          <cell r="AQ49">
            <v>1050</v>
          </cell>
          <cell r="AR49">
            <v>1050</v>
          </cell>
          <cell r="AS49">
            <v>1050</v>
          </cell>
        </row>
        <row r="50">
          <cell r="B50" t="str">
            <v>08.13</v>
          </cell>
          <cell r="C50">
            <v>1322</v>
          </cell>
          <cell r="D50">
            <v>1322</v>
          </cell>
          <cell r="E50">
            <v>1322</v>
          </cell>
          <cell r="F50">
            <v>1321.23</v>
          </cell>
          <cell r="G50">
            <v>1321.23</v>
          </cell>
          <cell r="H50">
            <v>1321.23</v>
          </cell>
          <cell r="I50">
            <v>1321.23</v>
          </cell>
          <cell r="J50">
            <v>1321.23</v>
          </cell>
          <cell r="K50">
            <v>1321.23</v>
          </cell>
          <cell r="L50">
            <v>1321.23</v>
          </cell>
          <cell r="M50">
            <v>1321.23</v>
          </cell>
          <cell r="N50">
            <v>1321.23</v>
          </cell>
          <cell r="O50">
            <v>1321.23</v>
          </cell>
          <cell r="P50">
            <v>1321.23</v>
          </cell>
          <cell r="Q50">
            <v>1321.23</v>
          </cell>
          <cell r="R50">
            <v>1321.23</v>
          </cell>
          <cell r="S50">
            <v>1321.23</v>
          </cell>
          <cell r="T50">
            <v>1321.23</v>
          </cell>
          <cell r="U50">
            <v>1321.23</v>
          </cell>
          <cell r="V50">
            <v>1321.23</v>
          </cell>
          <cell r="W50">
            <v>1321.23</v>
          </cell>
          <cell r="X50">
            <v>1321.23</v>
          </cell>
          <cell r="Y50">
            <v>1321.23</v>
          </cell>
          <cell r="Z50">
            <v>1321.23</v>
          </cell>
          <cell r="AA50">
            <v>1321.23</v>
          </cell>
          <cell r="AB50">
            <v>1321.23</v>
          </cell>
          <cell r="AC50">
            <v>1321.23</v>
          </cell>
          <cell r="AD50">
            <v>1321.23</v>
          </cell>
          <cell r="AE50">
            <v>1321.23</v>
          </cell>
          <cell r="AF50">
            <v>1321.23</v>
          </cell>
          <cell r="AG50">
            <v>1321.23</v>
          </cell>
          <cell r="AH50">
            <v>1321.23</v>
          </cell>
          <cell r="AI50">
            <v>1321.23</v>
          </cell>
          <cell r="AJ50">
            <v>1321.23</v>
          </cell>
          <cell r="AK50">
            <v>1321.23</v>
          </cell>
          <cell r="AL50">
            <v>1321.23</v>
          </cell>
          <cell r="AM50">
            <v>1321.23</v>
          </cell>
          <cell r="AN50">
            <v>1321.23</v>
          </cell>
          <cell r="AO50">
            <v>1321.23</v>
          </cell>
          <cell r="AP50">
            <v>1321.23</v>
          </cell>
          <cell r="AQ50">
            <v>1321.23</v>
          </cell>
          <cell r="AR50">
            <v>1321.23</v>
          </cell>
          <cell r="AS50">
            <v>1321.23</v>
          </cell>
        </row>
        <row r="51">
          <cell r="B51" t="str">
            <v>08.14</v>
          </cell>
          <cell r="C51">
            <v>2250</v>
          </cell>
          <cell r="D51">
            <v>2250</v>
          </cell>
          <cell r="E51">
            <v>2250</v>
          </cell>
          <cell r="F51">
            <v>2250</v>
          </cell>
          <cell r="G51">
            <v>2250</v>
          </cell>
          <cell r="H51">
            <v>2250</v>
          </cell>
          <cell r="I51">
            <v>2250</v>
          </cell>
          <cell r="J51">
            <v>2250</v>
          </cell>
          <cell r="K51">
            <v>2250</v>
          </cell>
          <cell r="L51">
            <v>2250</v>
          </cell>
          <cell r="M51">
            <v>2250</v>
          </cell>
          <cell r="N51">
            <v>2250</v>
          </cell>
          <cell r="O51">
            <v>2250</v>
          </cell>
          <cell r="P51">
            <v>2250</v>
          </cell>
          <cell r="Q51">
            <v>2250</v>
          </cell>
          <cell r="R51">
            <v>2250</v>
          </cell>
          <cell r="S51">
            <v>2250</v>
          </cell>
          <cell r="T51">
            <v>2250</v>
          </cell>
          <cell r="U51">
            <v>2250</v>
          </cell>
          <cell r="V51">
            <v>2250</v>
          </cell>
          <cell r="W51">
            <v>2250</v>
          </cell>
          <cell r="X51">
            <v>2250</v>
          </cell>
          <cell r="Y51">
            <v>2250</v>
          </cell>
          <cell r="Z51">
            <v>2250</v>
          </cell>
          <cell r="AA51">
            <v>2250</v>
          </cell>
          <cell r="AB51">
            <v>2250</v>
          </cell>
          <cell r="AC51">
            <v>2250</v>
          </cell>
          <cell r="AD51">
            <v>2250</v>
          </cell>
          <cell r="AE51">
            <v>2250</v>
          </cell>
          <cell r="AF51">
            <v>2250</v>
          </cell>
          <cell r="AG51">
            <v>2250</v>
          </cell>
          <cell r="AH51">
            <v>2250</v>
          </cell>
          <cell r="AI51">
            <v>2250</v>
          </cell>
          <cell r="AJ51">
            <v>2250</v>
          </cell>
          <cell r="AK51">
            <v>2250</v>
          </cell>
          <cell r="AL51">
            <v>2250</v>
          </cell>
          <cell r="AM51">
            <v>2250</v>
          </cell>
          <cell r="AN51">
            <v>2250</v>
          </cell>
          <cell r="AO51">
            <v>2250</v>
          </cell>
          <cell r="AP51">
            <v>2250</v>
          </cell>
          <cell r="AQ51">
            <v>2250</v>
          </cell>
          <cell r="AR51">
            <v>2250</v>
          </cell>
          <cell r="AS51">
            <v>2250</v>
          </cell>
        </row>
        <row r="52">
          <cell r="B52" t="str">
            <v>08.15</v>
          </cell>
          <cell r="C52">
            <v>1995</v>
          </cell>
          <cell r="D52">
            <v>1995</v>
          </cell>
          <cell r="E52">
            <v>1995</v>
          </cell>
          <cell r="F52">
            <v>1995</v>
          </cell>
          <cell r="G52">
            <v>1995</v>
          </cell>
          <cell r="H52">
            <v>1995</v>
          </cell>
          <cell r="I52">
            <v>1995</v>
          </cell>
          <cell r="J52">
            <v>1995</v>
          </cell>
          <cell r="K52">
            <v>1995</v>
          </cell>
          <cell r="L52">
            <v>1995</v>
          </cell>
          <cell r="M52">
            <v>1995</v>
          </cell>
          <cell r="N52">
            <v>1995</v>
          </cell>
          <cell r="O52">
            <v>1995</v>
          </cell>
          <cell r="P52">
            <v>1995</v>
          </cell>
          <cell r="Q52">
            <v>1995</v>
          </cell>
          <cell r="R52">
            <v>1995</v>
          </cell>
          <cell r="S52">
            <v>1995</v>
          </cell>
          <cell r="T52">
            <v>1995</v>
          </cell>
          <cell r="U52">
            <v>1995</v>
          </cell>
          <cell r="V52">
            <v>1995</v>
          </cell>
          <cell r="W52">
            <v>1995</v>
          </cell>
          <cell r="X52">
            <v>1995</v>
          </cell>
          <cell r="Y52">
            <v>1995</v>
          </cell>
          <cell r="Z52">
            <v>1995</v>
          </cell>
          <cell r="AA52">
            <v>1995</v>
          </cell>
          <cell r="AB52">
            <v>1995</v>
          </cell>
          <cell r="AC52">
            <v>1995</v>
          </cell>
          <cell r="AD52">
            <v>1995</v>
          </cell>
          <cell r="AE52">
            <v>1995</v>
          </cell>
          <cell r="AF52">
            <v>1995</v>
          </cell>
          <cell r="AG52">
            <v>1995</v>
          </cell>
          <cell r="AH52">
            <v>1995</v>
          </cell>
          <cell r="AI52">
            <v>1995</v>
          </cell>
          <cell r="AJ52">
            <v>1995</v>
          </cell>
          <cell r="AK52">
            <v>1995</v>
          </cell>
          <cell r="AL52">
            <v>1995</v>
          </cell>
          <cell r="AM52">
            <v>1995</v>
          </cell>
          <cell r="AN52">
            <v>1995</v>
          </cell>
          <cell r="AO52">
            <v>1995</v>
          </cell>
          <cell r="AP52">
            <v>1995</v>
          </cell>
          <cell r="AQ52">
            <v>1995</v>
          </cell>
          <cell r="AR52">
            <v>1995</v>
          </cell>
          <cell r="AS52">
            <v>1995</v>
          </cell>
        </row>
        <row r="53">
          <cell r="B53" t="str">
            <v>08.16</v>
          </cell>
          <cell r="C53">
            <v>10</v>
          </cell>
          <cell r="D53">
            <v>10</v>
          </cell>
          <cell r="E53">
            <v>10</v>
          </cell>
          <cell r="F53">
            <v>10</v>
          </cell>
          <cell r="G53">
            <v>10</v>
          </cell>
          <cell r="H53">
            <v>10</v>
          </cell>
          <cell r="I53">
            <v>10</v>
          </cell>
          <cell r="J53">
            <v>10</v>
          </cell>
          <cell r="K53">
            <v>10</v>
          </cell>
          <cell r="L53">
            <v>10</v>
          </cell>
          <cell r="M53">
            <v>10</v>
          </cell>
          <cell r="N53">
            <v>10</v>
          </cell>
          <cell r="O53">
            <v>10</v>
          </cell>
          <cell r="P53">
            <v>10</v>
          </cell>
          <cell r="Q53">
            <v>10</v>
          </cell>
          <cell r="R53">
            <v>10</v>
          </cell>
          <cell r="S53">
            <v>10</v>
          </cell>
          <cell r="T53">
            <v>10</v>
          </cell>
          <cell r="U53">
            <v>10</v>
          </cell>
          <cell r="V53">
            <v>10</v>
          </cell>
          <cell r="W53">
            <v>10</v>
          </cell>
          <cell r="X53">
            <v>10</v>
          </cell>
          <cell r="Y53">
            <v>10</v>
          </cell>
          <cell r="Z53">
            <v>10</v>
          </cell>
          <cell r="AA53">
            <v>10</v>
          </cell>
          <cell r="AB53">
            <v>10</v>
          </cell>
          <cell r="AC53">
            <v>10</v>
          </cell>
          <cell r="AD53">
            <v>10</v>
          </cell>
          <cell r="AE53">
            <v>10</v>
          </cell>
          <cell r="AF53">
            <v>10</v>
          </cell>
          <cell r="AG53">
            <v>10</v>
          </cell>
          <cell r="AH53">
            <v>10</v>
          </cell>
          <cell r="AI53">
            <v>10</v>
          </cell>
          <cell r="AJ53">
            <v>10</v>
          </cell>
          <cell r="AK53">
            <v>10</v>
          </cell>
          <cell r="AL53">
            <v>10</v>
          </cell>
          <cell r="AM53">
            <v>10</v>
          </cell>
          <cell r="AN53">
            <v>10</v>
          </cell>
          <cell r="AO53">
            <v>10</v>
          </cell>
          <cell r="AP53">
            <v>10</v>
          </cell>
          <cell r="AQ53">
            <v>10</v>
          </cell>
          <cell r="AR53">
            <v>10</v>
          </cell>
          <cell r="AS53">
            <v>10</v>
          </cell>
        </row>
        <row r="54">
          <cell r="B54" t="str">
            <v>08.17</v>
          </cell>
          <cell r="C54">
            <v>315</v>
          </cell>
          <cell r="D54">
            <v>315</v>
          </cell>
          <cell r="E54">
            <v>315</v>
          </cell>
          <cell r="F54">
            <v>315</v>
          </cell>
          <cell r="G54">
            <v>315</v>
          </cell>
          <cell r="H54">
            <v>315</v>
          </cell>
          <cell r="I54">
            <v>315</v>
          </cell>
          <cell r="J54">
            <v>315</v>
          </cell>
          <cell r="K54">
            <v>315</v>
          </cell>
          <cell r="L54">
            <v>315</v>
          </cell>
          <cell r="M54">
            <v>315</v>
          </cell>
          <cell r="N54">
            <v>315</v>
          </cell>
          <cell r="O54">
            <v>315</v>
          </cell>
          <cell r="P54">
            <v>315</v>
          </cell>
          <cell r="Q54">
            <v>315</v>
          </cell>
          <cell r="R54">
            <v>315</v>
          </cell>
          <cell r="S54">
            <v>315</v>
          </cell>
          <cell r="T54">
            <v>315</v>
          </cell>
          <cell r="U54">
            <v>315</v>
          </cell>
          <cell r="V54">
            <v>315</v>
          </cell>
          <cell r="W54">
            <v>315</v>
          </cell>
          <cell r="X54">
            <v>315</v>
          </cell>
          <cell r="Y54">
            <v>315</v>
          </cell>
          <cell r="Z54">
            <v>315</v>
          </cell>
          <cell r="AA54">
            <v>315</v>
          </cell>
          <cell r="AB54">
            <v>315</v>
          </cell>
          <cell r="AC54">
            <v>315</v>
          </cell>
          <cell r="AD54">
            <v>315</v>
          </cell>
          <cell r="AE54">
            <v>315</v>
          </cell>
          <cell r="AF54">
            <v>315</v>
          </cell>
          <cell r="AG54">
            <v>315</v>
          </cell>
          <cell r="AH54">
            <v>315</v>
          </cell>
          <cell r="AI54">
            <v>315</v>
          </cell>
          <cell r="AJ54">
            <v>315</v>
          </cell>
          <cell r="AK54">
            <v>315</v>
          </cell>
          <cell r="AL54">
            <v>315</v>
          </cell>
          <cell r="AM54">
            <v>315</v>
          </cell>
          <cell r="AN54">
            <v>315</v>
          </cell>
          <cell r="AO54">
            <v>315</v>
          </cell>
          <cell r="AP54">
            <v>315</v>
          </cell>
          <cell r="AQ54">
            <v>315</v>
          </cell>
          <cell r="AR54">
            <v>315</v>
          </cell>
          <cell r="AS54">
            <v>315</v>
          </cell>
        </row>
        <row r="55">
          <cell r="B55" t="str">
            <v>08.18</v>
          </cell>
          <cell r="C55">
            <v>700</v>
          </cell>
          <cell r="D55">
            <v>700</v>
          </cell>
          <cell r="E55">
            <v>700</v>
          </cell>
          <cell r="F55">
            <v>700</v>
          </cell>
          <cell r="G55">
            <v>700</v>
          </cell>
          <cell r="H55">
            <v>700</v>
          </cell>
          <cell r="I55">
            <v>700</v>
          </cell>
          <cell r="J55">
            <v>700</v>
          </cell>
          <cell r="K55">
            <v>700</v>
          </cell>
          <cell r="L55">
            <v>700</v>
          </cell>
          <cell r="M55">
            <v>700</v>
          </cell>
          <cell r="N55">
            <v>700</v>
          </cell>
          <cell r="O55">
            <v>700</v>
          </cell>
          <cell r="P55">
            <v>700</v>
          </cell>
          <cell r="Q55">
            <v>700</v>
          </cell>
          <cell r="R55">
            <v>700</v>
          </cell>
          <cell r="S55">
            <v>700</v>
          </cell>
          <cell r="T55">
            <v>700</v>
          </cell>
          <cell r="U55">
            <v>700</v>
          </cell>
          <cell r="V55">
            <v>700</v>
          </cell>
          <cell r="W55">
            <v>700</v>
          </cell>
          <cell r="X55">
            <v>700</v>
          </cell>
          <cell r="Y55">
            <v>700</v>
          </cell>
          <cell r="Z55">
            <v>700</v>
          </cell>
          <cell r="AA55">
            <v>700</v>
          </cell>
          <cell r="AB55">
            <v>700</v>
          </cell>
          <cell r="AC55">
            <v>700</v>
          </cell>
          <cell r="AD55">
            <v>700</v>
          </cell>
          <cell r="AE55">
            <v>700</v>
          </cell>
          <cell r="AF55">
            <v>700</v>
          </cell>
          <cell r="AG55">
            <v>700</v>
          </cell>
          <cell r="AH55">
            <v>700</v>
          </cell>
          <cell r="AI55">
            <v>700</v>
          </cell>
          <cell r="AJ55">
            <v>700</v>
          </cell>
          <cell r="AK55">
            <v>1000</v>
          </cell>
          <cell r="AL55">
            <v>1000</v>
          </cell>
          <cell r="AM55">
            <v>1000</v>
          </cell>
          <cell r="AN55">
            <v>1000</v>
          </cell>
          <cell r="AO55">
            <v>1000</v>
          </cell>
          <cell r="AP55">
            <v>1000</v>
          </cell>
          <cell r="AQ55">
            <v>1000</v>
          </cell>
          <cell r="AR55">
            <v>1000</v>
          </cell>
          <cell r="AS55">
            <v>1000</v>
          </cell>
        </row>
        <row r="56">
          <cell r="B56" t="str">
            <v>08.19</v>
          </cell>
          <cell r="C56">
            <v>1000</v>
          </cell>
          <cell r="D56">
            <v>1000</v>
          </cell>
          <cell r="E56">
            <v>1000</v>
          </cell>
          <cell r="F56">
            <v>1000</v>
          </cell>
          <cell r="G56">
            <v>1000</v>
          </cell>
          <cell r="H56">
            <v>1000</v>
          </cell>
          <cell r="I56">
            <v>1000</v>
          </cell>
          <cell r="J56">
            <v>1000</v>
          </cell>
          <cell r="K56">
            <v>1000</v>
          </cell>
          <cell r="L56">
            <v>1000</v>
          </cell>
          <cell r="M56">
            <v>1000</v>
          </cell>
          <cell r="N56">
            <v>1000</v>
          </cell>
          <cell r="O56">
            <v>1000</v>
          </cell>
          <cell r="P56">
            <v>1000</v>
          </cell>
          <cell r="Q56">
            <v>1000</v>
          </cell>
          <cell r="R56">
            <v>1000</v>
          </cell>
          <cell r="S56">
            <v>1000</v>
          </cell>
          <cell r="T56">
            <v>1000</v>
          </cell>
          <cell r="U56">
            <v>1000</v>
          </cell>
          <cell r="V56">
            <v>1000</v>
          </cell>
          <cell r="W56">
            <v>1000</v>
          </cell>
          <cell r="X56">
            <v>1000</v>
          </cell>
          <cell r="Y56">
            <v>1000</v>
          </cell>
          <cell r="Z56">
            <v>1000</v>
          </cell>
          <cell r="AA56">
            <v>1000</v>
          </cell>
          <cell r="AB56">
            <v>1000</v>
          </cell>
          <cell r="AC56">
            <v>1000</v>
          </cell>
          <cell r="AD56">
            <v>1000</v>
          </cell>
          <cell r="AE56">
            <v>1000</v>
          </cell>
          <cell r="AF56">
            <v>1000</v>
          </cell>
          <cell r="AG56">
            <v>1000</v>
          </cell>
          <cell r="AH56">
            <v>1000</v>
          </cell>
          <cell r="AI56">
            <v>1000</v>
          </cell>
          <cell r="AJ56">
            <v>1000</v>
          </cell>
          <cell r="AK56">
            <v>1000</v>
          </cell>
          <cell r="AL56">
            <v>1000</v>
          </cell>
          <cell r="AM56">
            <v>1000</v>
          </cell>
          <cell r="AN56">
            <v>1000</v>
          </cell>
          <cell r="AO56">
            <v>1000</v>
          </cell>
          <cell r="AP56">
            <v>1000</v>
          </cell>
          <cell r="AQ56">
            <v>1000</v>
          </cell>
          <cell r="AR56">
            <v>1000</v>
          </cell>
          <cell r="AS56">
            <v>1000</v>
          </cell>
        </row>
        <row r="57">
          <cell r="B57" t="str">
            <v>08.20</v>
          </cell>
          <cell r="C57">
            <v>71</v>
          </cell>
          <cell r="D57">
            <v>71</v>
          </cell>
          <cell r="E57">
            <v>71</v>
          </cell>
          <cell r="F57">
            <v>71</v>
          </cell>
          <cell r="G57">
            <v>71</v>
          </cell>
          <cell r="H57">
            <v>71</v>
          </cell>
          <cell r="I57">
            <v>71</v>
          </cell>
          <cell r="J57">
            <v>71</v>
          </cell>
          <cell r="K57">
            <v>71</v>
          </cell>
          <cell r="L57">
            <v>71</v>
          </cell>
          <cell r="M57">
            <v>71</v>
          </cell>
          <cell r="N57">
            <v>71</v>
          </cell>
          <cell r="O57">
            <v>71</v>
          </cell>
          <cell r="P57">
            <v>71</v>
          </cell>
          <cell r="Q57">
            <v>71</v>
          </cell>
          <cell r="R57">
            <v>71</v>
          </cell>
          <cell r="S57">
            <v>71</v>
          </cell>
          <cell r="T57">
            <v>71</v>
          </cell>
          <cell r="U57">
            <v>71</v>
          </cell>
          <cell r="V57">
            <v>71</v>
          </cell>
          <cell r="W57">
            <v>71</v>
          </cell>
          <cell r="X57">
            <v>71</v>
          </cell>
          <cell r="Y57">
            <v>71</v>
          </cell>
          <cell r="Z57">
            <v>71</v>
          </cell>
          <cell r="AA57">
            <v>71</v>
          </cell>
          <cell r="AB57">
            <v>71</v>
          </cell>
          <cell r="AC57">
            <v>71</v>
          </cell>
          <cell r="AD57">
            <v>71</v>
          </cell>
          <cell r="AE57">
            <v>71</v>
          </cell>
          <cell r="AF57">
            <v>71</v>
          </cell>
          <cell r="AG57">
            <v>71</v>
          </cell>
          <cell r="AH57">
            <v>71</v>
          </cell>
          <cell r="AI57">
            <v>71</v>
          </cell>
          <cell r="AJ57">
            <v>71</v>
          </cell>
          <cell r="AK57">
            <v>71</v>
          </cell>
          <cell r="AL57">
            <v>71</v>
          </cell>
          <cell r="AM57">
            <v>71</v>
          </cell>
          <cell r="AN57">
            <v>71</v>
          </cell>
          <cell r="AO57">
            <v>71</v>
          </cell>
          <cell r="AP57">
            <v>71</v>
          </cell>
          <cell r="AQ57">
            <v>71</v>
          </cell>
          <cell r="AR57">
            <v>71</v>
          </cell>
          <cell r="AS57">
            <v>71</v>
          </cell>
        </row>
        <row r="58">
          <cell r="B58" t="str">
            <v>08.21</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row>
        <row r="59">
          <cell r="B59" t="str">
            <v>08.22</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row>
        <row r="60">
          <cell r="B60" t="str">
            <v>08.23</v>
          </cell>
          <cell r="C60">
            <v>5</v>
          </cell>
          <cell r="D60">
            <v>5</v>
          </cell>
          <cell r="E60">
            <v>5</v>
          </cell>
          <cell r="F60">
            <v>5</v>
          </cell>
          <cell r="G60">
            <v>5</v>
          </cell>
          <cell r="H60">
            <v>5</v>
          </cell>
          <cell r="I60">
            <v>5</v>
          </cell>
          <cell r="J60">
            <v>5</v>
          </cell>
          <cell r="K60">
            <v>5</v>
          </cell>
          <cell r="L60">
            <v>5</v>
          </cell>
          <cell r="M60">
            <v>5</v>
          </cell>
          <cell r="N60">
            <v>5</v>
          </cell>
          <cell r="O60">
            <v>5</v>
          </cell>
          <cell r="P60">
            <v>5</v>
          </cell>
          <cell r="Q60">
            <v>5</v>
          </cell>
          <cell r="R60">
            <v>5</v>
          </cell>
          <cell r="S60">
            <v>5</v>
          </cell>
          <cell r="T60">
            <v>5</v>
          </cell>
          <cell r="U60">
            <v>5</v>
          </cell>
          <cell r="V60">
            <v>5</v>
          </cell>
          <cell r="W60">
            <v>5</v>
          </cell>
          <cell r="X60">
            <v>5</v>
          </cell>
          <cell r="Y60">
            <v>5</v>
          </cell>
          <cell r="Z60">
            <v>5</v>
          </cell>
          <cell r="AA60">
            <v>5</v>
          </cell>
          <cell r="AB60">
            <v>5</v>
          </cell>
          <cell r="AC60">
            <v>5</v>
          </cell>
          <cell r="AD60">
            <v>5</v>
          </cell>
          <cell r="AE60">
            <v>5</v>
          </cell>
          <cell r="AF60">
            <v>5</v>
          </cell>
          <cell r="AG60">
            <v>5</v>
          </cell>
          <cell r="AH60">
            <v>5</v>
          </cell>
          <cell r="AI60">
            <v>5</v>
          </cell>
          <cell r="AJ60">
            <v>5</v>
          </cell>
          <cell r="AK60">
            <v>5</v>
          </cell>
          <cell r="AL60">
            <v>5</v>
          </cell>
          <cell r="AM60">
            <v>5</v>
          </cell>
          <cell r="AN60">
            <v>5</v>
          </cell>
          <cell r="AO60">
            <v>5</v>
          </cell>
          <cell r="AP60">
            <v>5</v>
          </cell>
          <cell r="AQ60">
            <v>5</v>
          </cell>
          <cell r="AR60">
            <v>5</v>
          </cell>
          <cell r="AS60">
            <v>5</v>
          </cell>
        </row>
        <row r="61">
          <cell r="B61" t="str">
            <v>08.24</v>
          </cell>
          <cell r="C61">
            <v>4</v>
          </cell>
          <cell r="D61">
            <v>4</v>
          </cell>
          <cell r="E61">
            <v>4</v>
          </cell>
          <cell r="F61">
            <v>4</v>
          </cell>
          <cell r="G61">
            <v>4</v>
          </cell>
          <cell r="H61">
            <v>4</v>
          </cell>
          <cell r="I61">
            <v>4</v>
          </cell>
          <cell r="J61">
            <v>4</v>
          </cell>
          <cell r="K61">
            <v>4</v>
          </cell>
          <cell r="L61">
            <v>4</v>
          </cell>
          <cell r="M61">
            <v>4</v>
          </cell>
          <cell r="N61">
            <v>4</v>
          </cell>
          <cell r="O61">
            <v>4</v>
          </cell>
          <cell r="P61">
            <v>4</v>
          </cell>
          <cell r="Q61">
            <v>4</v>
          </cell>
          <cell r="R61">
            <v>4</v>
          </cell>
          <cell r="S61">
            <v>4</v>
          </cell>
          <cell r="T61">
            <v>4</v>
          </cell>
          <cell r="U61">
            <v>4</v>
          </cell>
          <cell r="V61">
            <v>4</v>
          </cell>
          <cell r="W61">
            <v>4</v>
          </cell>
          <cell r="X61">
            <v>4</v>
          </cell>
          <cell r="Y61">
            <v>4</v>
          </cell>
          <cell r="Z61">
            <v>4</v>
          </cell>
          <cell r="AA61">
            <v>4</v>
          </cell>
          <cell r="AB61">
            <v>4</v>
          </cell>
          <cell r="AC61">
            <v>4</v>
          </cell>
          <cell r="AD61">
            <v>4</v>
          </cell>
          <cell r="AE61">
            <v>4</v>
          </cell>
          <cell r="AF61">
            <v>4</v>
          </cell>
          <cell r="AG61">
            <v>4</v>
          </cell>
          <cell r="AH61">
            <v>4</v>
          </cell>
          <cell r="AI61">
            <v>4</v>
          </cell>
          <cell r="AJ61">
            <v>4</v>
          </cell>
          <cell r="AK61">
            <v>4</v>
          </cell>
          <cell r="AL61">
            <v>4</v>
          </cell>
          <cell r="AM61">
            <v>4</v>
          </cell>
          <cell r="AN61">
            <v>4</v>
          </cell>
          <cell r="AO61">
            <v>4</v>
          </cell>
          <cell r="AP61">
            <v>4</v>
          </cell>
          <cell r="AQ61">
            <v>4</v>
          </cell>
          <cell r="AR61">
            <v>4</v>
          </cell>
          <cell r="AS61">
            <v>4</v>
          </cell>
        </row>
        <row r="62">
          <cell r="B62" t="str">
            <v>08.25</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row>
        <row r="63">
          <cell r="B63" t="str">
            <v>08.26</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row>
        <row r="64">
          <cell r="B64" t="str">
            <v>08.27</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row>
        <row r="65">
          <cell r="B65" t="str">
            <v>08.28</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row>
        <row r="66">
          <cell r="B66" t="str">
            <v>08.29</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67">
          <cell r="B67" t="str">
            <v>08.30</v>
          </cell>
          <cell r="C67">
            <v>145</v>
          </cell>
          <cell r="D67">
            <v>145</v>
          </cell>
          <cell r="E67">
            <v>145</v>
          </cell>
          <cell r="F67">
            <v>145</v>
          </cell>
          <cell r="G67">
            <v>145</v>
          </cell>
          <cell r="H67">
            <v>145</v>
          </cell>
          <cell r="I67">
            <v>145</v>
          </cell>
          <cell r="J67">
            <v>145</v>
          </cell>
          <cell r="K67">
            <v>145</v>
          </cell>
          <cell r="L67">
            <v>145</v>
          </cell>
          <cell r="M67">
            <v>145</v>
          </cell>
          <cell r="N67">
            <v>145</v>
          </cell>
          <cell r="O67">
            <v>145</v>
          </cell>
          <cell r="P67">
            <v>145</v>
          </cell>
          <cell r="Q67">
            <v>145</v>
          </cell>
          <cell r="R67">
            <v>145</v>
          </cell>
          <cell r="S67">
            <v>145</v>
          </cell>
          <cell r="T67">
            <v>145</v>
          </cell>
          <cell r="U67">
            <v>145</v>
          </cell>
          <cell r="V67">
            <v>145</v>
          </cell>
          <cell r="W67">
            <v>145</v>
          </cell>
          <cell r="X67">
            <v>145</v>
          </cell>
          <cell r="Y67">
            <v>145</v>
          </cell>
          <cell r="Z67">
            <v>145</v>
          </cell>
          <cell r="AA67">
            <v>145</v>
          </cell>
          <cell r="AB67">
            <v>145</v>
          </cell>
          <cell r="AC67">
            <v>145</v>
          </cell>
          <cell r="AD67">
            <v>145</v>
          </cell>
          <cell r="AE67">
            <v>145</v>
          </cell>
          <cell r="AF67">
            <v>145</v>
          </cell>
          <cell r="AG67">
            <v>145</v>
          </cell>
          <cell r="AH67">
            <v>145</v>
          </cell>
          <cell r="AI67">
            <v>145</v>
          </cell>
          <cell r="AJ67">
            <v>145</v>
          </cell>
          <cell r="AK67">
            <v>145</v>
          </cell>
          <cell r="AL67">
            <v>145</v>
          </cell>
          <cell r="AM67">
            <v>145</v>
          </cell>
          <cell r="AN67">
            <v>145</v>
          </cell>
          <cell r="AO67">
            <v>145</v>
          </cell>
          <cell r="AP67">
            <v>145</v>
          </cell>
          <cell r="AQ67">
            <v>145</v>
          </cell>
          <cell r="AR67">
            <v>145</v>
          </cell>
          <cell r="AS67">
            <v>145</v>
          </cell>
        </row>
        <row r="68">
          <cell r="B68" t="str">
            <v>08.32</v>
          </cell>
          <cell r="C68">
            <v>250</v>
          </cell>
          <cell r="D68">
            <v>250</v>
          </cell>
          <cell r="E68">
            <v>250</v>
          </cell>
          <cell r="F68">
            <v>250</v>
          </cell>
          <cell r="G68">
            <v>250</v>
          </cell>
          <cell r="H68">
            <v>250</v>
          </cell>
          <cell r="I68">
            <v>250</v>
          </cell>
          <cell r="J68">
            <v>250</v>
          </cell>
          <cell r="K68">
            <v>250</v>
          </cell>
          <cell r="L68">
            <v>250</v>
          </cell>
          <cell r="M68">
            <v>250</v>
          </cell>
          <cell r="N68">
            <v>250</v>
          </cell>
          <cell r="O68">
            <v>250</v>
          </cell>
          <cell r="P68">
            <v>250</v>
          </cell>
          <cell r="Q68">
            <v>250</v>
          </cell>
          <cell r="R68">
            <v>250</v>
          </cell>
          <cell r="S68">
            <v>250</v>
          </cell>
          <cell r="T68">
            <v>250</v>
          </cell>
          <cell r="U68">
            <v>250</v>
          </cell>
          <cell r="V68">
            <v>250</v>
          </cell>
          <cell r="W68">
            <v>250</v>
          </cell>
          <cell r="X68">
            <v>250</v>
          </cell>
          <cell r="Y68">
            <v>250</v>
          </cell>
          <cell r="Z68">
            <v>250</v>
          </cell>
          <cell r="AA68">
            <v>250</v>
          </cell>
          <cell r="AB68">
            <v>250</v>
          </cell>
          <cell r="AC68">
            <v>250</v>
          </cell>
          <cell r="AD68">
            <v>250</v>
          </cell>
          <cell r="AE68">
            <v>250</v>
          </cell>
          <cell r="AF68">
            <v>250</v>
          </cell>
          <cell r="AG68">
            <v>250</v>
          </cell>
          <cell r="AH68">
            <v>250</v>
          </cell>
          <cell r="AI68">
            <v>250</v>
          </cell>
          <cell r="AJ68">
            <v>250</v>
          </cell>
          <cell r="AK68">
            <v>250</v>
          </cell>
          <cell r="AL68">
            <v>250</v>
          </cell>
          <cell r="AM68">
            <v>250</v>
          </cell>
          <cell r="AN68">
            <v>250</v>
          </cell>
          <cell r="AO68">
            <v>250</v>
          </cell>
          <cell r="AP68">
            <v>250</v>
          </cell>
          <cell r="AQ68">
            <v>250</v>
          </cell>
          <cell r="AR68">
            <v>250</v>
          </cell>
          <cell r="AS68">
            <v>250</v>
          </cell>
        </row>
        <row r="69">
          <cell r="B69" t="str">
            <v>08.33</v>
          </cell>
          <cell r="C69">
            <v>1500</v>
          </cell>
          <cell r="D69">
            <v>1500</v>
          </cell>
          <cell r="E69">
            <v>1500</v>
          </cell>
          <cell r="F69">
            <v>1500</v>
          </cell>
          <cell r="G69">
            <v>1500</v>
          </cell>
          <cell r="H69">
            <v>1500</v>
          </cell>
          <cell r="I69">
            <v>1500</v>
          </cell>
          <cell r="J69">
            <v>2000</v>
          </cell>
          <cell r="K69">
            <v>2000</v>
          </cell>
          <cell r="L69">
            <v>2000</v>
          </cell>
          <cell r="M69">
            <v>2000</v>
          </cell>
          <cell r="N69">
            <v>2500</v>
          </cell>
          <cell r="O69">
            <v>2500</v>
          </cell>
          <cell r="P69">
            <v>2500</v>
          </cell>
          <cell r="Q69">
            <v>2500</v>
          </cell>
          <cell r="R69">
            <v>3000</v>
          </cell>
          <cell r="S69">
            <v>3000</v>
          </cell>
          <cell r="T69">
            <v>3000</v>
          </cell>
          <cell r="U69">
            <v>3000</v>
          </cell>
          <cell r="V69">
            <v>3000</v>
          </cell>
          <cell r="W69">
            <v>3000</v>
          </cell>
          <cell r="X69">
            <v>3000</v>
          </cell>
          <cell r="Y69">
            <v>3000</v>
          </cell>
          <cell r="Z69">
            <v>3000</v>
          </cell>
          <cell r="AA69">
            <v>3000</v>
          </cell>
          <cell r="AB69">
            <v>3000</v>
          </cell>
          <cell r="AC69">
            <v>3000</v>
          </cell>
          <cell r="AD69">
            <v>3000</v>
          </cell>
          <cell r="AE69">
            <v>3000</v>
          </cell>
          <cell r="AF69">
            <v>3000</v>
          </cell>
          <cell r="AG69">
            <v>3000</v>
          </cell>
          <cell r="AH69">
            <v>3000</v>
          </cell>
          <cell r="AI69">
            <v>3000</v>
          </cell>
          <cell r="AJ69">
            <v>3000</v>
          </cell>
          <cell r="AK69">
            <v>3000</v>
          </cell>
          <cell r="AL69">
            <v>3000</v>
          </cell>
          <cell r="AM69">
            <v>3000</v>
          </cell>
          <cell r="AN69">
            <v>3000</v>
          </cell>
          <cell r="AO69">
            <v>3000</v>
          </cell>
          <cell r="AP69">
            <v>3000</v>
          </cell>
          <cell r="AQ69">
            <v>3000</v>
          </cell>
          <cell r="AR69">
            <v>3000</v>
          </cell>
          <cell r="AS69">
            <v>3000</v>
          </cell>
        </row>
        <row r="70">
          <cell r="B70" t="str">
            <v>08.34</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row>
        <row r="71">
          <cell r="B71" t="str">
            <v>09.01</v>
          </cell>
          <cell r="C71">
            <v>920</v>
          </cell>
          <cell r="D71">
            <v>920</v>
          </cell>
          <cell r="E71">
            <v>920</v>
          </cell>
          <cell r="F71">
            <v>920</v>
          </cell>
          <cell r="G71">
            <v>920</v>
          </cell>
          <cell r="H71">
            <v>920</v>
          </cell>
          <cell r="I71">
            <v>920</v>
          </cell>
          <cell r="J71">
            <v>920</v>
          </cell>
          <cell r="K71">
            <v>920</v>
          </cell>
          <cell r="L71">
            <v>920</v>
          </cell>
          <cell r="M71">
            <v>920</v>
          </cell>
          <cell r="N71">
            <v>920</v>
          </cell>
          <cell r="O71">
            <v>920</v>
          </cell>
          <cell r="P71">
            <v>920</v>
          </cell>
          <cell r="Q71">
            <v>920</v>
          </cell>
          <cell r="R71">
            <v>920</v>
          </cell>
          <cell r="S71">
            <v>920</v>
          </cell>
          <cell r="T71">
            <v>920</v>
          </cell>
          <cell r="U71">
            <v>920</v>
          </cell>
          <cell r="V71">
            <v>920</v>
          </cell>
          <cell r="W71">
            <v>920</v>
          </cell>
          <cell r="X71">
            <v>920</v>
          </cell>
          <cell r="Y71">
            <v>920</v>
          </cell>
          <cell r="Z71">
            <v>920</v>
          </cell>
          <cell r="AA71">
            <v>920</v>
          </cell>
          <cell r="AB71">
            <v>920</v>
          </cell>
          <cell r="AC71">
            <v>920</v>
          </cell>
          <cell r="AD71">
            <v>920</v>
          </cell>
          <cell r="AE71">
            <v>920</v>
          </cell>
          <cell r="AF71">
            <v>920</v>
          </cell>
          <cell r="AG71">
            <v>920</v>
          </cell>
          <cell r="AH71">
            <v>920</v>
          </cell>
          <cell r="AI71">
            <v>920</v>
          </cell>
          <cell r="AJ71">
            <v>920</v>
          </cell>
          <cell r="AK71">
            <v>920</v>
          </cell>
          <cell r="AL71">
            <v>920</v>
          </cell>
          <cell r="AM71">
            <v>920</v>
          </cell>
          <cell r="AN71">
            <v>920</v>
          </cell>
          <cell r="AO71">
            <v>920</v>
          </cell>
          <cell r="AP71">
            <v>920</v>
          </cell>
          <cell r="AQ71">
            <v>920</v>
          </cell>
          <cell r="AR71">
            <v>920</v>
          </cell>
          <cell r="AS71">
            <v>920</v>
          </cell>
        </row>
        <row r="72">
          <cell r="B72" t="str">
            <v>09.02</v>
          </cell>
          <cell r="C72">
            <v>1170</v>
          </cell>
          <cell r="D72">
            <v>1170</v>
          </cell>
          <cell r="E72">
            <v>1170</v>
          </cell>
          <cell r="F72">
            <v>1170</v>
          </cell>
          <cell r="G72">
            <v>1170</v>
          </cell>
          <cell r="H72">
            <v>1170</v>
          </cell>
          <cell r="I72">
            <v>1170</v>
          </cell>
          <cell r="J72">
            <v>1170</v>
          </cell>
          <cell r="K72">
            <v>1170</v>
          </cell>
          <cell r="L72">
            <v>1170</v>
          </cell>
          <cell r="M72">
            <v>1170</v>
          </cell>
          <cell r="N72">
            <v>1170</v>
          </cell>
          <cell r="O72">
            <v>1170</v>
          </cell>
          <cell r="P72">
            <v>1170</v>
          </cell>
          <cell r="Q72">
            <v>1170</v>
          </cell>
          <cell r="R72">
            <v>1170</v>
          </cell>
          <cell r="S72">
            <v>1170</v>
          </cell>
          <cell r="T72">
            <v>1170</v>
          </cell>
          <cell r="U72">
            <v>1170</v>
          </cell>
          <cell r="V72">
            <v>1170</v>
          </cell>
          <cell r="W72">
            <v>1170</v>
          </cell>
          <cell r="X72">
            <v>1170</v>
          </cell>
          <cell r="Y72">
            <v>1170</v>
          </cell>
          <cell r="Z72">
            <v>1170</v>
          </cell>
          <cell r="AA72">
            <v>1170</v>
          </cell>
          <cell r="AB72">
            <v>1170</v>
          </cell>
          <cell r="AC72">
            <v>1170</v>
          </cell>
          <cell r="AD72">
            <v>1170</v>
          </cell>
          <cell r="AE72">
            <v>1170</v>
          </cell>
          <cell r="AF72">
            <v>1170</v>
          </cell>
          <cell r="AG72">
            <v>1170</v>
          </cell>
          <cell r="AH72">
            <v>1170</v>
          </cell>
          <cell r="AI72">
            <v>1170</v>
          </cell>
          <cell r="AJ72">
            <v>1170</v>
          </cell>
          <cell r="AK72">
            <v>1170</v>
          </cell>
          <cell r="AL72">
            <v>1170</v>
          </cell>
          <cell r="AM72">
            <v>1170</v>
          </cell>
          <cell r="AN72">
            <v>1170</v>
          </cell>
          <cell r="AO72">
            <v>1170</v>
          </cell>
          <cell r="AP72">
            <v>1170</v>
          </cell>
          <cell r="AQ72">
            <v>1170</v>
          </cell>
          <cell r="AR72">
            <v>1170</v>
          </cell>
          <cell r="AS72">
            <v>1170</v>
          </cell>
        </row>
        <row r="73">
          <cell r="B73" t="str">
            <v>09.03</v>
          </cell>
          <cell r="C73">
            <v>155</v>
          </cell>
          <cell r="D73">
            <v>155</v>
          </cell>
          <cell r="E73">
            <v>155</v>
          </cell>
          <cell r="F73">
            <v>155</v>
          </cell>
          <cell r="G73">
            <v>155</v>
          </cell>
          <cell r="H73">
            <v>155</v>
          </cell>
          <cell r="I73">
            <v>155</v>
          </cell>
          <cell r="J73">
            <v>155</v>
          </cell>
          <cell r="K73">
            <v>155</v>
          </cell>
          <cell r="L73">
            <v>155</v>
          </cell>
          <cell r="M73">
            <v>155</v>
          </cell>
          <cell r="N73">
            <v>155</v>
          </cell>
          <cell r="O73">
            <v>155</v>
          </cell>
          <cell r="P73">
            <v>155</v>
          </cell>
          <cell r="Q73">
            <v>155</v>
          </cell>
          <cell r="R73">
            <v>155</v>
          </cell>
          <cell r="S73">
            <v>155</v>
          </cell>
          <cell r="T73">
            <v>155</v>
          </cell>
          <cell r="U73">
            <v>155</v>
          </cell>
          <cell r="V73">
            <v>155</v>
          </cell>
          <cell r="W73">
            <v>155</v>
          </cell>
          <cell r="X73">
            <v>155</v>
          </cell>
          <cell r="Y73">
            <v>155</v>
          </cell>
          <cell r="Z73">
            <v>155</v>
          </cell>
          <cell r="AA73">
            <v>155</v>
          </cell>
          <cell r="AB73">
            <v>155</v>
          </cell>
          <cell r="AC73">
            <v>155</v>
          </cell>
          <cell r="AD73">
            <v>155</v>
          </cell>
          <cell r="AE73">
            <v>155</v>
          </cell>
          <cell r="AF73">
            <v>155</v>
          </cell>
          <cell r="AG73">
            <v>155</v>
          </cell>
          <cell r="AH73">
            <v>155</v>
          </cell>
          <cell r="AI73">
            <v>155</v>
          </cell>
          <cell r="AJ73">
            <v>155</v>
          </cell>
          <cell r="AK73">
            <v>155</v>
          </cell>
          <cell r="AL73">
            <v>155</v>
          </cell>
          <cell r="AM73">
            <v>155</v>
          </cell>
          <cell r="AN73">
            <v>155</v>
          </cell>
          <cell r="AO73">
            <v>155</v>
          </cell>
          <cell r="AP73">
            <v>155</v>
          </cell>
          <cell r="AQ73">
            <v>155</v>
          </cell>
          <cell r="AR73">
            <v>155</v>
          </cell>
          <cell r="AS73">
            <v>155</v>
          </cell>
        </row>
        <row r="74">
          <cell r="B74" t="str">
            <v>09.04</v>
          </cell>
          <cell r="C74">
            <v>115</v>
          </cell>
          <cell r="D74">
            <v>115</v>
          </cell>
          <cell r="E74">
            <v>115</v>
          </cell>
          <cell r="F74">
            <v>115</v>
          </cell>
          <cell r="G74">
            <v>115</v>
          </cell>
          <cell r="H74">
            <v>115</v>
          </cell>
          <cell r="I74">
            <v>115</v>
          </cell>
          <cell r="J74">
            <v>115</v>
          </cell>
          <cell r="K74">
            <v>115</v>
          </cell>
          <cell r="L74">
            <v>115</v>
          </cell>
          <cell r="M74">
            <v>115</v>
          </cell>
          <cell r="N74">
            <v>115</v>
          </cell>
          <cell r="O74">
            <v>115</v>
          </cell>
          <cell r="P74">
            <v>115</v>
          </cell>
          <cell r="Q74">
            <v>115</v>
          </cell>
          <cell r="R74">
            <v>115</v>
          </cell>
          <cell r="S74">
            <v>115</v>
          </cell>
          <cell r="T74">
            <v>115</v>
          </cell>
          <cell r="U74">
            <v>115</v>
          </cell>
          <cell r="V74">
            <v>115</v>
          </cell>
          <cell r="W74">
            <v>115</v>
          </cell>
          <cell r="X74">
            <v>115</v>
          </cell>
          <cell r="Y74">
            <v>115</v>
          </cell>
          <cell r="Z74">
            <v>115</v>
          </cell>
          <cell r="AA74">
            <v>115</v>
          </cell>
          <cell r="AB74">
            <v>115</v>
          </cell>
          <cell r="AC74">
            <v>115</v>
          </cell>
          <cell r="AD74">
            <v>115</v>
          </cell>
          <cell r="AE74">
            <v>115</v>
          </cell>
          <cell r="AF74">
            <v>115</v>
          </cell>
          <cell r="AG74">
            <v>115</v>
          </cell>
          <cell r="AH74">
            <v>115</v>
          </cell>
          <cell r="AI74">
            <v>115</v>
          </cell>
          <cell r="AJ74">
            <v>115</v>
          </cell>
          <cell r="AK74">
            <v>115</v>
          </cell>
          <cell r="AL74">
            <v>115</v>
          </cell>
          <cell r="AM74">
            <v>115</v>
          </cell>
          <cell r="AN74">
            <v>115</v>
          </cell>
          <cell r="AO74">
            <v>115</v>
          </cell>
          <cell r="AP74">
            <v>115</v>
          </cell>
          <cell r="AQ74">
            <v>115</v>
          </cell>
          <cell r="AR74">
            <v>115</v>
          </cell>
          <cell r="AS74">
            <v>115</v>
          </cell>
        </row>
        <row r="75">
          <cell r="B75" t="str">
            <v>09.05</v>
          </cell>
          <cell r="C75">
            <v>790</v>
          </cell>
          <cell r="D75">
            <v>790</v>
          </cell>
          <cell r="E75">
            <v>790</v>
          </cell>
          <cell r="F75">
            <v>790</v>
          </cell>
          <cell r="G75">
            <v>790</v>
          </cell>
          <cell r="H75">
            <v>790</v>
          </cell>
          <cell r="I75">
            <v>790</v>
          </cell>
          <cell r="J75">
            <v>790</v>
          </cell>
          <cell r="K75">
            <v>790</v>
          </cell>
          <cell r="L75">
            <v>790</v>
          </cell>
          <cell r="M75">
            <v>790</v>
          </cell>
          <cell r="N75">
            <v>790</v>
          </cell>
          <cell r="O75">
            <v>790</v>
          </cell>
          <cell r="P75">
            <v>790</v>
          </cell>
          <cell r="Q75">
            <v>790</v>
          </cell>
          <cell r="R75">
            <v>790</v>
          </cell>
          <cell r="S75">
            <v>790</v>
          </cell>
          <cell r="T75">
            <v>790</v>
          </cell>
          <cell r="U75">
            <v>790</v>
          </cell>
          <cell r="V75">
            <v>790</v>
          </cell>
          <cell r="W75">
            <v>790</v>
          </cell>
          <cell r="X75">
            <v>790</v>
          </cell>
          <cell r="Y75">
            <v>790</v>
          </cell>
          <cell r="Z75">
            <v>790</v>
          </cell>
          <cell r="AA75">
            <v>790</v>
          </cell>
          <cell r="AB75">
            <v>790</v>
          </cell>
          <cell r="AC75">
            <v>790</v>
          </cell>
          <cell r="AD75">
            <v>790</v>
          </cell>
          <cell r="AE75">
            <v>790</v>
          </cell>
          <cell r="AF75">
            <v>790</v>
          </cell>
          <cell r="AG75">
            <v>790</v>
          </cell>
          <cell r="AH75">
            <v>790</v>
          </cell>
          <cell r="AI75">
            <v>790</v>
          </cell>
          <cell r="AJ75">
            <v>790</v>
          </cell>
          <cell r="AK75">
            <v>790</v>
          </cell>
          <cell r="AL75">
            <v>790</v>
          </cell>
          <cell r="AM75">
            <v>790</v>
          </cell>
          <cell r="AN75">
            <v>790</v>
          </cell>
          <cell r="AO75">
            <v>790</v>
          </cell>
          <cell r="AP75">
            <v>790</v>
          </cell>
          <cell r="AQ75">
            <v>790</v>
          </cell>
          <cell r="AR75">
            <v>790</v>
          </cell>
          <cell r="AS75">
            <v>790</v>
          </cell>
        </row>
        <row r="76">
          <cell r="B76" t="str">
            <v>09.06</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row>
        <row r="77">
          <cell r="B77" t="str">
            <v>09.07</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row>
        <row r="78">
          <cell r="B78" t="str">
            <v>09.08</v>
          </cell>
          <cell r="C78">
            <v>1327</v>
          </cell>
          <cell r="D78">
            <v>1327</v>
          </cell>
          <cell r="E78">
            <v>1327</v>
          </cell>
          <cell r="F78">
            <v>1327</v>
          </cell>
          <cell r="G78">
            <v>1327</v>
          </cell>
          <cell r="H78">
            <v>1327</v>
          </cell>
          <cell r="I78">
            <v>1327</v>
          </cell>
          <cell r="J78">
            <v>1327</v>
          </cell>
          <cell r="K78">
            <v>1327</v>
          </cell>
          <cell r="L78">
            <v>1327</v>
          </cell>
          <cell r="M78">
            <v>1327</v>
          </cell>
          <cell r="N78">
            <v>1327</v>
          </cell>
          <cell r="O78">
            <v>1327</v>
          </cell>
          <cell r="P78">
            <v>1327</v>
          </cell>
          <cell r="Q78">
            <v>1327</v>
          </cell>
          <cell r="R78">
            <v>1327</v>
          </cell>
          <cell r="S78">
            <v>1327</v>
          </cell>
          <cell r="T78">
            <v>1327</v>
          </cell>
          <cell r="U78">
            <v>1327</v>
          </cell>
          <cell r="V78">
            <v>1327</v>
          </cell>
          <cell r="W78">
            <v>1327</v>
          </cell>
          <cell r="X78">
            <v>1327</v>
          </cell>
          <cell r="Y78">
            <v>1327</v>
          </cell>
          <cell r="Z78">
            <v>1327</v>
          </cell>
          <cell r="AA78">
            <v>1327</v>
          </cell>
          <cell r="AB78">
            <v>1327</v>
          </cell>
          <cell r="AC78">
            <v>1327</v>
          </cell>
          <cell r="AD78">
            <v>1327</v>
          </cell>
          <cell r="AE78">
            <v>1327</v>
          </cell>
          <cell r="AF78">
            <v>1327</v>
          </cell>
          <cell r="AG78">
            <v>1327</v>
          </cell>
          <cell r="AH78">
            <v>1327</v>
          </cell>
          <cell r="AI78">
            <v>1327</v>
          </cell>
          <cell r="AJ78">
            <v>1327</v>
          </cell>
          <cell r="AK78">
            <v>1327</v>
          </cell>
          <cell r="AL78">
            <v>1327</v>
          </cell>
          <cell r="AM78">
            <v>1327</v>
          </cell>
          <cell r="AN78">
            <v>1327</v>
          </cell>
          <cell r="AO78">
            <v>1327</v>
          </cell>
          <cell r="AP78">
            <v>1327</v>
          </cell>
          <cell r="AQ78">
            <v>1327</v>
          </cell>
          <cell r="AR78">
            <v>1327</v>
          </cell>
          <cell r="AS78">
            <v>1327</v>
          </cell>
        </row>
        <row r="79">
          <cell r="B79" t="str">
            <v>09.09</v>
          </cell>
          <cell r="C79">
            <v>200</v>
          </cell>
          <cell r="D79">
            <v>200</v>
          </cell>
          <cell r="E79">
            <v>200</v>
          </cell>
          <cell r="F79">
            <v>200</v>
          </cell>
          <cell r="G79">
            <v>200</v>
          </cell>
          <cell r="H79">
            <v>200</v>
          </cell>
          <cell r="I79">
            <v>200</v>
          </cell>
          <cell r="J79">
            <v>200</v>
          </cell>
          <cell r="K79">
            <v>200</v>
          </cell>
          <cell r="L79">
            <v>200</v>
          </cell>
          <cell r="M79">
            <v>200</v>
          </cell>
          <cell r="N79">
            <v>200</v>
          </cell>
          <cell r="O79">
            <v>200</v>
          </cell>
          <cell r="P79">
            <v>200</v>
          </cell>
          <cell r="Q79">
            <v>200</v>
          </cell>
          <cell r="R79">
            <v>200</v>
          </cell>
          <cell r="S79">
            <v>200</v>
          </cell>
          <cell r="T79">
            <v>200</v>
          </cell>
          <cell r="U79">
            <v>200</v>
          </cell>
          <cell r="V79">
            <v>200</v>
          </cell>
          <cell r="W79">
            <v>200</v>
          </cell>
          <cell r="X79">
            <v>200</v>
          </cell>
          <cell r="Y79">
            <v>200</v>
          </cell>
          <cell r="Z79">
            <v>200</v>
          </cell>
          <cell r="AA79">
            <v>200</v>
          </cell>
          <cell r="AB79">
            <v>200</v>
          </cell>
          <cell r="AC79">
            <v>200</v>
          </cell>
          <cell r="AD79">
            <v>200</v>
          </cell>
          <cell r="AE79">
            <v>200</v>
          </cell>
          <cell r="AF79">
            <v>200</v>
          </cell>
          <cell r="AG79">
            <v>200</v>
          </cell>
          <cell r="AH79">
            <v>200</v>
          </cell>
          <cell r="AI79">
            <v>200</v>
          </cell>
          <cell r="AJ79">
            <v>200</v>
          </cell>
          <cell r="AK79">
            <v>200</v>
          </cell>
          <cell r="AL79">
            <v>200</v>
          </cell>
          <cell r="AM79">
            <v>200</v>
          </cell>
          <cell r="AN79">
            <v>200</v>
          </cell>
          <cell r="AO79">
            <v>200</v>
          </cell>
          <cell r="AP79">
            <v>200</v>
          </cell>
          <cell r="AQ79">
            <v>200</v>
          </cell>
          <cell r="AR79">
            <v>200</v>
          </cell>
          <cell r="AS79">
            <v>200</v>
          </cell>
        </row>
        <row r="80">
          <cell r="B80" t="str">
            <v>10.01</v>
          </cell>
          <cell r="C80">
            <v>960</v>
          </cell>
          <cell r="D80">
            <v>960</v>
          </cell>
          <cell r="E80">
            <v>960</v>
          </cell>
          <cell r="F80">
            <v>960</v>
          </cell>
          <cell r="G80">
            <v>960</v>
          </cell>
          <cell r="H80">
            <v>960</v>
          </cell>
          <cell r="I80">
            <v>960</v>
          </cell>
          <cell r="J80">
            <v>960</v>
          </cell>
          <cell r="K80">
            <v>960</v>
          </cell>
          <cell r="L80">
            <v>960</v>
          </cell>
          <cell r="M80">
            <v>960</v>
          </cell>
          <cell r="N80">
            <v>960</v>
          </cell>
          <cell r="O80">
            <v>960</v>
          </cell>
          <cell r="P80">
            <v>960</v>
          </cell>
          <cell r="Q80">
            <v>960</v>
          </cell>
          <cell r="R80">
            <v>960</v>
          </cell>
          <cell r="S80">
            <v>960</v>
          </cell>
          <cell r="T80">
            <v>960</v>
          </cell>
          <cell r="U80">
            <v>960</v>
          </cell>
          <cell r="V80">
            <v>960</v>
          </cell>
          <cell r="W80">
            <v>960</v>
          </cell>
          <cell r="X80">
            <v>960</v>
          </cell>
          <cell r="Y80">
            <v>960</v>
          </cell>
          <cell r="Z80">
            <v>960</v>
          </cell>
          <cell r="AA80">
            <v>960</v>
          </cell>
          <cell r="AB80">
            <v>960</v>
          </cell>
          <cell r="AC80">
            <v>960</v>
          </cell>
          <cell r="AD80">
            <v>960</v>
          </cell>
          <cell r="AE80">
            <v>960</v>
          </cell>
          <cell r="AF80">
            <v>960</v>
          </cell>
          <cell r="AG80">
            <v>960</v>
          </cell>
          <cell r="AH80">
            <v>960</v>
          </cell>
          <cell r="AI80">
            <v>960</v>
          </cell>
          <cell r="AJ80">
            <v>960</v>
          </cell>
          <cell r="AK80">
            <v>960</v>
          </cell>
          <cell r="AL80">
            <v>960</v>
          </cell>
          <cell r="AM80">
            <v>960</v>
          </cell>
          <cell r="AN80">
            <v>960</v>
          </cell>
          <cell r="AO80">
            <v>960</v>
          </cell>
          <cell r="AP80">
            <v>960</v>
          </cell>
          <cell r="AQ80">
            <v>960</v>
          </cell>
          <cell r="AR80">
            <v>960</v>
          </cell>
          <cell r="AS80">
            <v>960</v>
          </cell>
        </row>
        <row r="81">
          <cell r="B81" t="str">
            <v>10.02</v>
          </cell>
          <cell r="C81">
            <v>130</v>
          </cell>
          <cell r="D81">
            <v>130</v>
          </cell>
          <cell r="E81">
            <v>130</v>
          </cell>
          <cell r="F81">
            <v>130</v>
          </cell>
          <cell r="G81">
            <v>130</v>
          </cell>
          <cell r="H81">
            <v>130</v>
          </cell>
          <cell r="I81">
            <v>130</v>
          </cell>
          <cell r="J81">
            <v>130</v>
          </cell>
          <cell r="K81">
            <v>130</v>
          </cell>
          <cell r="L81">
            <v>130</v>
          </cell>
          <cell r="M81">
            <v>130</v>
          </cell>
          <cell r="N81">
            <v>130</v>
          </cell>
          <cell r="O81">
            <v>130</v>
          </cell>
          <cell r="P81">
            <v>130</v>
          </cell>
          <cell r="Q81">
            <v>130</v>
          </cell>
          <cell r="R81">
            <v>130</v>
          </cell>
          <cell r="S81">
            <v>130</v>
          </cell>
          <cell r="T81">
            <v>130</v>
          </cell>
          <cell r="U81">
            <v>130</v>
          </cell>
          <cell r="V81">
            <v>130</v>
          </cell>
          <cell r="W81">
            <v>130</v>
          </cell>
          <cell r="X81">
            <v>130</v>
          </cell>
          <cell r="Y81">
            <v>130</v>
          </cell>
          <cell r="Z81">
            <v>130</v>
          </cell>
          <cell r="AA81">
            <v>130</v>
          </cell>
          <cell r="AB81">
            <v>130</v>
          </cell>
          <cell r="AC81">
            <v>130</v>
          </cell>
          <cell r="AD81">
            <v>130</v>
          </cell>
          <cell r="AE81">
            <v>130</v>
          </cell>
          <cell r="AF81">
            <v>130</v>
          </cell>
          <cell r="AG81">
            <v>130</v>
          </cell>
          <cell r="AH81">
            <v>130</v>
          </cell>
          <cell r="AI81">
            <v>130</v>
          </cell>
          <cell r="AJ81">
            <v>130</v>
          </cell>
          <cell r="AK81">
            <v>130</v>
          </cell>
          <cell r="AL81">
            <v>130</v>
          </cell>
          <cell r="AM81">
            <v>130</v>
          </cell>
          <cell r="AN81">
            <v>130</v>
          </cell>
          <cell r="AO81">
            <v>130</v>
          </cell>
          <cell r="AP81">
            <v>130</v>
          </cell>
          <cell r="AQ81">
            <v>130</v>
          </cell>
          <cell r="AR81">
            <v>130</v>
          </cell>
          <cell r="AS81">
            <v>130</v>
          </cell>
        </row>
        <row r="82">
          <cell r="B82" t="str">
            <v>10.04</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row>
        <row r="83">
          <cell r="B83" t="str">
            <v>10.05</v>
          </cell>
          <cell r="C83">
            <v>125</v>
          </cell>
          <cell r="D83">
            <v>125</v>
          </cell>
          <cell r="E83">
            <v>125</v>
          </cell>
          <cell r="F83">
            <v>125</v>
          </cell>
          <cell r="G83">
            <v>125</v>
          </cell>
          <cell r="H83">
            <v>125</v>
          </cell>
          <cell r="I83">
            <v>125</v>
          </cell>
          <cell r="J83">
            <v>125</v>
          </cell>
          <cell r="K83">
            <v>125</v>
          </cell>
          <cell r="L83">
            <v>125</v>
          </cell>
          <cell r="M83">
            <v>125</v>
          </cell>
          <cell r="N83">
            <v>125</v>
          </cell>
          <cell r="O83">
            <v>125</v>
          </cell>
          <cell r="P83">
            <v>125</v>
          </cell>
          <cell r="Q83">
            <v>125</v>
          </cell>
          <cell r="R83">
            <v>125</v>
          </cell>
          <cell r="S83">
            <v>125</v>
          </cell>
          <cell r="T83">
            <v>125</v>
          </cell>
          <cell r="U83">
            <v>125</v>
          </cell>
          <cell r="V83">
            <v>125</v>
          </cell>
          <cell r="W83">
            <v>125</v>
          </cell>
          <cell r="X83">
            <v>125</v>
          </cell>
          <cell r="Y83">
            <v>125</v>
          </cell>
          <cell r="Z83">
            <v>125</v>
          </cell>
          <cell r="AA83">
            <v>125</v>
          </cell>
          <cell r="AB83">
            <v>125</v>
          </cell>
          <cell r="AC83">
            <v>125</v>
          </cell>
          <cell r="AD83">
            <v>125</v>
          </cell>
          <cell r="AE83">
            <v>125</v>
          </cell>
          <cell r="AF83">
            <v>125</v>
          </cell>
          <cell r="AG83">
            <v>125</v>
          </cell>
          <cell r="AH83">
            <v>125</v>
          </cell>
          <cell r="AI83">
            <v>125</v>
          </cell>
          <cell r="AJ83">
            <v>125</v>
          </cell>
          <cell r="AK83">
            <v>125</v>
          </cell>
          <cell r="AL83">
            <v>125</v>
          </cell>
          <cell r="AM83">
            <v>125</v>
          </cell>
          <cell r="AN83">
            <v>125</v>
          </cell>
          <cell r="AO83">
            <v>125</v>
          </cell>
          <cell r="AP83">
            <v>125</v>
          </cell>
          <cell r="AQ83">
            <v>125</v>
          </cell>
          <cell r="AR83">
            <v>125</v>
          </cell>
          <cell r="AS83">
            <v>125</v>
          </cell>
        </row>
        <row r="84">
          <cell r="B84" t="str">
            <v>10.06</v>
          </cell>
          <cell r="C84">
            <v>1600</v>
          </cell>
          <cell r="D84">
            <v>1600</v>
          </cell>
          <cell r="E84">
            <v>1600</v>
          </cell>
          <cell r="F84">
            <v>1600</v>
          </cell>
          <cell r="G84">
            <v>1600</v>
          </cell>
          <cell r="H84">
            <v>1600</v>
          </cell>
          <cell r="I84">
            <v>1600</v>
          </cell>
          <cell r="J84">
            <v>1600</v>
          </cell>
          <cell r="K84">
            <v>1600</v>
          </cell>
          <cell r="L84">
            <v>1600</v>
          </cell>
          <cell r="M84">
            <v>1600</v>
          </cell>
          <cell r="N84">
            <v>1600</v>
          </cell>
          <cell r="O84">
            <v>1600</v>
          </cell>
          <cell r="P84">
            <v>1600</v>
          </cell>
          <cell r="Q84">
            <v>1600</v>
          </cell>
          <cell r="R84">
            <v>1600</v>
          </cell>
          <cell r="S84">
            <v>1600</v>
          </cell>
          <cell r="T84">
            <v>1600</v>
          </cell>
          <cell r="U84">
            <v>1600</v>
          </cell>
          <cell r="V84">
            <v>1600</v>
          </cell>
          <cell r="W84">
            <v>1600</v>
          </cell>
          <cell r="X84">
            <v>1600</v>
          </cell>
          <cell r="Y84">
            <v>1600</v>
          </cell>
          <cell r="Z84">
            <v>1600</v>
          </cell>
          <cell r="AA84">
            <v>3500</v>
          </cell>
          <cell r="AB84">
            <v>3500</v>
          </cell>
          <cell r="AC84">
            <v>3500</v>
          </cell>
          <cell r="AD84">
            <v>3500</v>
          </cell>
          <cell r="AE84">
            <v>3500</v>
          </cell>
          <cell r="AF84">
            <v>3500</v>
          </cell>
          <cell r="AG84">
            <v>3500</v>
          </cell>
          <cell r="AH84">
            <v>3500</v>
          </cell>
          <cell r="AI84">
            <v>3500</v>
          </cell>
          <cell r="AJ84">
            <v>3500</v>
          </cell>
          <cell r="AK84">
            <v>4000</v>
          </cell>
          <cell r="AL84">
            <v>4000</v>
          </cell>
          <cell r="AM84">
            <v>4000</v>
          </cell>
          <cell r="AN84">
            <v>4000</v>
          </cell>
          <cell r="AO84">
            <v>4000</v>
          </cell>
          <cell r="AP84">
            <v>4000</v>
          </cell>
          <cell r="AQ84">
            <v>4000</v>
          </cell>
          <cell r="AR84">
            <v>4000</v>
          </cell>
          <cell r="AS84">
            <v>4000</v>
          </cell>
        </row>
        <row r="85">
          <cell r="B85" t="str">
            <v>11.01</v>
          </cell>
          <cell r="C85">
            <v>136.71</v>
          </cell>
          <cell r="D85">
            <v>136.71</v>
          </cell>
          <cell r="E85">
            <v>136.71</v>
          </cell>
          <cell r="F85">
            <v>136.71</v>
          </cell>
          <cell r="G85">
            <v>136.71</v>
          </cell>
          <cell r="H85">
            <v>136.71</v>
          </cell>
          <cell r="I85">
            <v>136.71</v>
          </cell>
          <cell r="J85">
            <v>136.71</v>
          </cell>
          <cell r="K85">
            <v>136.71</v>
          </cell>
          <cell r="L85">
            <v>136.71</v>
          </cell>
          <cell r="M85">
            <v>136.71</v>
          </cell>
          <cell r="N85">
            <v>136.71</v>
          </cell>
          <cell r="O85">
            <v>136.71</v>
          </cell>
          <cell r="P85">
            <v>136.71</v>
          </cell>
          <cell r="Q85">
            <v>136.71</v>
          </cell>
          <cell r="R85">
            <v>136.71</v>
          </cell>
          <cell r="S85">
            <v>136.71</v>
          </cell>
          <cell r="T85">
            <v>136.71</v>
          </cell>
          <cell r="U85">
            <v>136.71</v>
          </cell>
          <cell r="V85">
            <v>136.71</v>
          </cell>
          <cell r="W85">
            <v>136.71</v>
          </cell>
          <cell r="X85">
            <v>136.71</v>
          </cell>
          <cell r="Y85">
            <v>136.71</v>
          </cell>
          <cell r="Z85">
            <v>136.71</v>
          </cell>
          <cell r="AA85">
            <v>136.71</v>
          </cell>
          <cell r="AB85">
            <v>136.71</v>
          </cell>
          <cell r="AC85">
            <v>136.71</v>
          </cell>
          <cell r="AD85">
            <v>136.71</v>
          </cell>
          <cell r="AE85">
            <v>136.71</v>
          </cell>
          <cell r="AF85">
            <v>136.71</v>
          </cell>
          <cell r="AG85">
            <v>136.71</v>
          </cell>
          <cell r="AH85">
            <v>136.71</v>
          </cell>
          <cell r="AI85">
            <v>136.71</v>
          </cell>
          <cell r="AJ85">
            <v>136.71</v>
          </cell>
          <cell r="AK85">
            <v>136.71</v>
          </cell>
          <cell r="AL85">
            <v>136.71</v>
          </cell>
          <cell r="AM85">
            <v>136.71</v>
          </cell>
          <cell r="AN85">
            <v>136.71</v>
          </cell>
          <cell r="AO85">
            <v>136.71</v>
          </cell>
          <cell r="AP85">
            <v>136.71</v>
          </cell>
          <cell r="AQ85">
            <v>136.71</v>
          </cell>
          <cell r="AR85">
            <v>136.71</v>
          </cell>
          <cell r="AS85">
            <v>136.71</v>
          </cell>
        </row>
        <row r="86">
          <cell r="B86" t="str">
            <v>11.02</v>
          </cell>
          <cell r="C86">
            <v>3500</v>
          </cell>
          <cell r="D86">
            <v>3500</v>
          </cell>
          <cell r="E86">
            <v>3500</v>
          </cell>
          <cell r="F86">
            <v>4000</v>
          </cell>
          <cell r="G86">
            <v>4000</v>
          </cell>
          <cell r="H86">
            <v>4000</v>
          </cell>
          <cell r="I86">
            <v>4000</v>
          </cell>
          <cell r="J86">
            <v>5000</v>
          </cell>
          <cell r="K86">
            <v>5000</v>
          </cell>
          <cell r="L86">
            <v>5000</v>
          </cell>
          <cell r="M86">
            <v>5000</v>
          </cell>
          <cell r="N86">
            <v>5500</v>
          </cell>
          <cell r="O86">
            <v>5500</v>
          </cell>
          <cell r="P86">
            <v>5500</v>
          </cell>
          <cell r="Q86">
            <v>5500</v>
          </cell>
          <cell r="R86">
            <v>6000</v>
          </cell>
          <cell r="S86">
            <v>6000</v>
          </cell>
          <cell r="T86">
            <v>6000</v>
          </cell>
          <cell r="U86">
            <v>6000</v>
          </cell>
          <cell r="V86">
            <v>6000</v>
          </cell>
          <cell r="W86">
            <v>6000</v>
          </cell>
          <cell r="X86">
            <v>6000</v>
          </cell>
          <cell r="Y86">
            <v>6000</v>
          </cell>
          <cell r="Z86">
            <v>6000</v>
          </cell>
          <cell r="AA86">
            <v>6000</v>
          </cell>
          <cell r="AB86">
            <v>6000</v>
          </cell>
          <cell r="AC86">
            <v>6000</v>
          </cell>
          <cell r="AD86">
            <v>6000</v>
          </cell>
          <cell r="AE86">
            <v>6000</v>
          </cell>
          <cell r="AF86">
            <v>6000</v>
          </cell>
          <cell r="AG86">
            <v>6000</v>
          </cell>
          <cell r="AH86">
            <v>6000</v>
          </cell>
          <cell r="AI86">
            <v>6000</v>
          </cell>
          <cell r="AJ86">
            <v>6000</v>
          </cell>
          <cell r="AK86">
            <v>6000</v>
          </cell>
          <cell r="AL86">
            <v>6000</v>
          </cell>
          <cell r="AM86">
            <v>6000</v>
          </cell>
          <cell r="AN86">
            <v>6000</v>
          </cell>
          <cell r="AO86">
            <v>6000</v>
          </cell>
          <cell r="AP86">
            <v>6000</v>
          </cell>
          <cell r="AQ86">
            <v>6000</v>
          </cell>
          <cell r="AR86">
            <v>6000</v>
          </cell>
          <cell r="AS86">
            <v>6000</v>
          </cell>
        </row>
        <row r="87">
          <cell r="B87" t="str">
            <v>11.03</v>
          </cell>
          <cell r="C87">
            <v>100</v>
          </cell>
          <cell r="D87">
            <v>100</v>
          </cell>
          <cell r="E87">
            <v>100</v>
          </cell>
          <cell r="F87">
            <v>100</v>
          </cell>
          <cell r="G87">
            <v>100</v>
          </cell>
          <cell r="H87">
            <v>100</v>
          </cell>
          <cell r="I87">
            <v>100</v>
          </cell>
          <cell r="J87">
            <v>100</v>
          </cell>
          <cell r="K87">
            <v>100</v>
          </cell>
          <cell r="L87">
            <v>100</v>
          </cell>
          <cell r="M87">
            <v>100</v>
          </cell>
          <cell r="N87">
            <v>100</v>
          </cell>
          <cell r="O87">
            <v>100</v>
          </cell>
          <cell r="P87">
            <v>100</v>
          </cell>
          <cell r="Q87">
            <v>100</v>
          </cell>
          <cell r="R87">
            <v>100</v>
          </cell>
          <cell r="S87">
            <v>100</v>
          </cell>
          <cell r="T87">
            <v>100</v>
          </cell>
          <cell r="U87">
            <v>100</v>
          </cell>
          <cell r="V87">
            <v>100</v>
          </cell>
          <cell r="W87">
            <v>100</v>
          </cell>
          <cell r="X87">
            <v>100</v>
          </cell>
          <cell r="Y87">
            <v>100</v>
          </cell>
          <cell r="Z87">
            <v>100</v>
          </cell>
          <cell r="AA87">
            <v>100</v>
          </cell>
          <cell r="AB87">
            <v>100</v>
          </cell>
          <cell r="AC87">
            <v>100</v>
          </cell>
          <cell r="AD87">
            <v>100</v>
          </cell>
          <cell r="AE87">
            <v>100</v>
          </cell>
          <cell r="AF87">
            <v>100</v>
          </cell>
          <cell r="AG87">
            <v>100</v>
          </cell>
          <cell r="AH87">
            <v>100</v>
          </cell>
          <cell r="AI87">
            <v>100</v>
          </cell>
          <cell r="AJ87">
            <v>100</v>
          </cell>
          <cell r="AK87">
            <v>100</v>
          </cell>
          <cell r="AL87">
            <v>100</v>
          </cell>
          <cell r="AM87">
            <v>100</v>
          </cell>
          <cell r="AN87">
            <v>100</v>
          </cell>
          <cell r="AO87">
            <v>100</v>
          </cell>
          <cell r="AP87">
            <v>100</v>
          </cell>
          <cell r="AQ87">
            <v>100</v>
          </cell>
          <cell r="AR87">
            <v>100</v>
          </cell>
          <cell r="AS87">
            <v>100</v>
          </cell>
        </row>
        <row r="88">
          <cell r="B88" t="str">
            <v>11.04</v>
          </cell>
          <cell r="C88">
            <v>200</v>
          </cell>
          <cell r="D88">
            <v>200</v>
          </cell>
          <cell r="E88">
            <v>200</v>
          </cell>
          <cell r="F88">
            <v>200</v>
          </cell>
          <cell r="G88">
            <v>200</v>
          </cell>
          <cell r="H88">
            <v>200</v>
          </cell>
          <cell r="I88">
            <v>200</v>
          </cell>
          <cell r="J88">
            <v>200</v>
          </cell>
          <cell r="K88">
            <v>200</v>
          </cell>
          <cell r="L88">
            <v>200</v>
          </cell>
          <cell r="M88">
            <v>200</v>
          </cell>
          <cell r="N88">
            <v>200</v>
          </cell>
          <cell r="O88">
            <v>200</v>
          </cell>
          <cell r="P88">
            <v>200</v>
          </cell>
          <cell r="Q88">
            <v>200</v>
          </cell>
          <cell r="R88">
            <v>200</v>
          </cell>
          <cell r="S88">
            <v>200</v>
          </cell>
          <cell r="T88">
            <v>200</v>
          </cell>
          <cell r="U88">
            <v>200</v>
          </cell>
          <cell r="V88">
            <v>200</v>
          </cell>
          <cell r="W88">
            <v>200</v>
          </cell>
          <cell r="X88">
            <v>200</v>
          </cell>
          <cell r="Y88">
            <v>200</v>
          </cell>
          <cell r="Z88">
            <v>200</v>
          </cell>
          <cell r="AA88">
            <v>200</v>
          </cell>
          <cell r="AB88">
            <v>200</v>
          </cell>
          <cell r="AC88">
            <v>200</v>
          </cell>
          <cell r="AD88">
            <v>200</v>
          </cell>
          <cell r="AE88">
            <v>200</v>
          </cell>
          <cell r="AF88">
            <v>200</v>
          </cell>
          <cell r="AG88">
            <v>200</v>
          </cell>
          <cell r="AH88">
            <v>200</v>
          </cell>
          <cell r="AI88">
            <v>200</v>
          </cell>
          <cell r="AJ88">
            <v>200</v>
          </cell>
          <cell r="AK88">
            <v>200</v>
          </cell>
          <cell r="AL88">
            <v>200</v>
          </cell>
          <cell r="AM88">
            <v>200</v>
          </cell>
          <cell r="AN88">
            <v>200</v>
          </cell>
          <cell r="AO88">
            <v>200</v>
          </cell>
          <cell r="AP88">
            <v>200</v>
          </cell>
          <cell r="AQ88">
            <v>200</v>
          </cell>
          <cell r="AR88">
            <v>200</v>
          </cell>
          <cell r="AS88">
            <v>200</v>
          </cell>
        </row>
        <row r="89">
          <cell r="B89" t="str">
            <v>11.05</v>
          </cell>
          <cell r="C89">
            <v>175</v>
          </cell>
          <cell r="D89">
            <v>175</v>
          </cell>
          <cell r="E89">
            <v>175</v>
          </cell>
          <cell r="F89">
            <v>175</v>
          </cell>
          <cell r="G89">
            <v>175</v>
          </cell>
          <cell r="H89">
            <v>175</v>
          </cell>
          <cell r="I89">
            <v>175</v>
          </cell>
          <cell r="J89">
            <v>175</v>
          </cell>
          <cell r="K89">
            <v>175</v>
          </cell>
          <cell r="L89">
            <v>175</v>
          </cell>
          <cell r="M89">
            <v>175</v>
          </cell>
          <cell r="N89">
            <v>175</v>
          </cell>
          <cell r="O89">
            <v>175</v>
          </cell>
          <cell r="P89">
            <v>175</v>
          </cell>
          <cell r="Q89">
            <v>175</v>
          </cell>
          <cell r="R89">
            <v>175</v>
          </cell>
          <cell r="S89">
            <v>175</v>
          </cell>
          <cell r="T89">
            <v>175</v>
          </cell>
          <cell r="U89">
            <v>175</v>
          </cell>
          <cell r="V89">
            <v>175</v>
          </cell>
          <cell r="W89">
            <v>175</v>
          </cell>
          <cell r="X89">
            <v>175</v>
          </cell>
          <cell r="Y89">
            <v>175</v>
          </cell>
          <cell r="Z89">
            <v>175</v>
          </cell>
          <cell r="AA89">
            <v>175</v>
          </cell>
          <cell r="AB89">
            <v>175</v>
          </cell>
          <cell r="AC89">
            <v>175</v>
          </cell>
          <cell r="AD89">
            <v>175</v>
          </cell>
          <cell r="AE89">
            <v>175</v>
          </cell>
          <cell r="AF89">
            <v>175</v>
          </cell>
          <cell r="AG89">
            <v>175</v>
          </cell>
          <cell r="AH89">
            <v>175</v>
          </cell>
          <cell r="AI89">
            <v>175</v>
          </cell>
          <cell r="AJ89">
            <v>175</v>
          </cell>
          <cell r="AK89">
            <v>175</v>
          </cell>
          <cell r="AL89">
            <v>175</v>
          </cell>
          <cell r="AM89">
            <v>175</v>
          </cell>
          <cell r="AN89">
            <v>175</v>
          </cell>
          <cell r="AO89">
            <v>175</v>
          </cell>
          <cell r="AP89">
            <v>175</v>
          </cell>
          <cell r="AQ89">
            <v>175</v>
          </cell>
          <cell r="AR89">
            <v>175</v>
          </cell>
          <cell r="AS89">
            <v>175</v>
          </cell>
        </row>
        <row r="90">
          <cell r="B90" t="str">
            <v>11.06</v>
          </cell>
          <cell r="C90">
            <v>100</v>
          </cell>
          <cell r="D90">
            <v>100</v>
          </cell>
          <cell r="E90">
            <v>100</v>
          </cell>
          <cell r="F90">
            <v>100</v>
          </cell>
          <cell r="G90">
            <v>100</v>
          </cell>
          <cell r="H90">
            <v>100</v>
          </cell>
          <cell r="I90">
            <v>100</v>
          </cell>
          <cell r="J90">
            <v>100</v>
          </cell>
          <cell r="K90">
            <v>100</v>
          </cell>
          <cell r="L90">
            <v>100</v>
          </cell>
          <cell r="M90">
            <v>100</v>
          </cell>
          <cell r="N90">
            <v>100</v>
          </cell>
          <cell r="O90">
            <v>100</v>
          </cell>
          <cell r="P90">
            <v>100</v>
          </cell>
          <cell r="Q90">
            <v>100</v>
          </cell>
          <cell r="R90">
            <v>100</v>
          </cell>
          <cell r="S90">
            <v>100</v>
          </cell>
          <cell r="T90">
            <v>100</v>
          </cell>
          <cell r="U90">
            <v>100</v>
          </cell>
          <cell r="V90">
            <v>100</v>
          </cell>
          <cell r="W90">
            <v>100</v>
          </cell>
          <cell r="X90">
            <v>100</v>
          </cell>
          <cell r="Y90">
            <v>100</v>
          </cell>
          <cell r="Z90">
            <v>100</v>
          </cell>
          <cell r="AA90">
            <v>100</v>
          </cell>
          <cell r="AB90">
            <v>100</v>
          </cell>
          <cell r="AC90">
            <v>100</v>
          </cell>
          <cell r="AD90">
            <v>100</v>
          </cell>
          <cell r="AE90">
            <v>100</v>
          </cell>
          <cell r="AF90">
            <v>100</v>
          </cell>
          <cell r="AG90">
            <v>100</v>
          </cell>
          <cell r="AH90">
            <v>100</v>
          </cell>
          <cell r="AI90">
            <v>100</v>
          </cell>
          <cell r="AJ90">
            <v>100</v>
          </cell>
          <cell r="AK90">
            <v>100</v>
          </cell>
          <cell r="AL90">
            <v>100</v>
          </cell>
          <cell r="AM90">
            <v>100</v>
          </cell>
          <cell r="AN90">
            <v>100</v>
          </cell>
          <cell r="AO90">
            <v>100</v>
          </cell>
          <cell r="AP90">
            <v>100</v>
          </cell>
          <cell r="AQ90">
            <v>100</v>
          </cell>
          <cell r="AR90">
            <v>100</v>
          </cell>
          <cell r="AS90">
            <v>100</v>
          </cell>
        </row>
        <row r="91">
          <cell r="B91" t="str">
            <v>11.07</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row>
        <row r="92">
          <cell r="B92" t="str">
            <v>13.01</v>
          </cell>
          <cell r="C92">
            <v>2420</v>
          </cell>
          <cell r="D92">
            <v>2420</v>
          </cell>
          <cell r="E92">
            <v>2420</v>
          </cell>
          <cell r="F92">
            <v>2420</v>
          </cell>
          <cell r="G92">
            <v>2420</v>
          </cell>
          <cell r="H92">
            <v>2420</v>
          </cell>
          <cell r="I92">
            <v>2420</v>
          </cell>
          <cell r="J92">
            <v>2420</v>
          </cell>
          <cell r="K92">
            <v>2420</v>
          </cell>
          <cell r="L92">
            <v>2420</v>
          </cell>
          <cell r="M92">
            <v>2420</v>
          </cell>
          <cell r="N92">
            <v>2420</v>
          </cell>
          <cell r="O92">
            <v>2420</v>
          </cell>
          <cell r="P92">
            <v>2420</v>
          </cell>
          <cell r="Q92">
            <v>2420</v>
          </cell>
          <cell r="R92">
            <v>2420</v>
          </cell>
          <cell r="S92">
            <v>2420</v>
          </cell>
          <cell r="T92">
            <v>2420</v>
          </cell>
          <cell r="U92">
            <v>2420</v>
          </cell>
          <cell r="V92">
            <v>2420</v>
          </cell>
          <cell r="W92">
            <v>2420</v>
          </cell>
          <cell r="X92">
            <v>2420</v>
          </cell>
          <cell r="Y92">
            <v>2420</v>
          </cell>
          <cell r="Z92">
            <v>2420</v>
          </cell>
          <cell r="AA92">
            <v>2420</v>
          </cell>
          <cell r="AB92">
            <v>2420</v>
          </cell>
          <cell r="AC92">
            <v>2420</v>
          </cell>
          <cell r="AD92">
            <v>2420</v>
          </cell>
          <cell r="AE92">
            <v>2420</v>
          </cell>
          <cell r="AF92">
            <v>2420</v>
          </cell>
          <cell r="AG92">
            <v>2420</v>
          </cell>
          <cell r="AH92">
            <v>2420</v>
          </cell>
          <cell r="AI92">
            <v>2420</v>
          </cell>
          <cell r="AJ92">
            <v>2420</v>
          </cell>
          <cell r="AK92">
            <v>2420</v>
          </cell>
          <cell r="AL92">
            <v>2420</v>
          </cell>
          <cell r="AM92">
            <v>2420</v>
          </cell>
          <cell r="AN92">
            <v>2420</v>
          </cell>
          <cell r="AO92">
            <v>2420</v>
          </cell>
          <cell r="AP92">
            <v>2420</v>
          </cell>
          <cell r="AQ92">
            <v>2420</v>
          </cell>
          <cell r="AR92">
            <v>2420</v>
          </cell>
          <cell r="AS92">
            <v>2420</v>
          </cell>
        </row>
        <row r="93">
          <cell r="B93" t="str">
            <v>13.02</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row>
        <row r="94">
          <cell r="B94" t="str">
            <v>13.03</v>
          </cell>
          <cell r="C94">
            <v>905</v>
          </cell>
          <cell r="D94">
            <v>905</v>
          </cell>
          <cell r="E94">
            <v>905</v>
          </cell>
          <cell r="F94">
            <v>905</v>
          </cell>
          <cell r="G94">
            <v>905</v>
          </cell>
          <cell r="H94">
            <v>905</v>
          </cell>
          <cell r="I94">
            <v>905</v>
          </cell>
          <cell r="J94">
            <v>905</v>
          </cell>
          <cell r="K94">
            <v>905</v>
          </cell>
          <cell r="L94">
            <v>905</v>
          </cell>
          <cell r="M94">
            <v>905</v>
          </cell>
          <cell r="N94">
            <v>905</v>
          </cell>
          <cell r="O94">
            <v>905</v>
          </cell>
          <cell r="P94">
            <v>905</v>
          </cell>
          <cell r="Q94">
            <v>905</v>
          </cell>
          <cell r="R94">
            <v>905</v>
          </cell>
          <cell r="S94">
            <v>905</v>
          </cell>
          <cell r="T94">
            <v>905</v>
          </cell>
          <cell r="U94">
            <v>905</v>
          </cell>
          <cell r="V94">
            <v>905</v>
          </cell>
          <cell r="W94">
            <v>905</v>
          </cell>
          <cell r="X94">
            <v>905</v>
          </cell>
          <cell r="Y94">
            <v>905</v>
          </cell>
          <cell r="Z94">
            <v>905</v>
          </cell>
          <cell r="AA94">
            <v>905</v>
          </cell>
          <cell r="AB94">
            <v>905</v>
          </cell>
          <cell r="AC94">
            <v>905</v>
          </cell>
          <cell r="AD94">
            <v>905</v>
          </cell>
          <cell r="AE94">
            <v>905</v>
          </cell>
          <cell r="AF94">
            <v>905</v>
          </cell>
          <cell r="AG94">
            <v>905</v>
          </cell>
          <cell r="AH94">
            <v>905</v>
          </cell>
          <cell r="AI94">
            <v>905</v>
          </cell>
          <cell r="AJ94">
            <v>905</v>
          </cell>
          <cell r="AK94">
            <v>905</v>
          </cell>
          <cell r="AL94">
            <v>905</v>
          </cell>
          <cell r="AM94">
            <v>905</v>
          </cell>
          <cell r="AN94">
            <v>905</v>
          </cell>
          <cell r="AO94">
            <v>905</v>
          </cell>
          <cell r="AP94">
            <v>905</v>
          </cell>
          <cell r="AQ94">
            <v>905</v>
          </cell>
          <cell r="AR94">
            <v>905</v>
          </cell>
          <cell r="AS94">
            <v>905</v>
          </cell>
        </row>
        <row r="95">
          <cell r="B95" t="str">
            <v>13.04</v>
          </cell>
          <cell r="C95">
            <v>9610</v>
          </cell>
          <cell r="D95">
            <v>9610</v>
          </cell>
          <cell r="E95">
            <v>9610</v>
          </cell>
          <cell r="F95">
            <v>9935</v>
          </cell>
          <cell r="G95">
            <v>9935</v>
          </cell>
          <cell r="H95">
            <v>9935</v>
          </cell>
          <cell r="I95">
            <v>9935</v>
          </cell>
          <cell r="J95">
            <v>10270</v>
          </cell>
          <cell r="K95">
            <v>10270</v>
          </cell>
          <cell r="L95">
            <v>10270</v>
          </cell>
          <cell r="M95">
            <v>10270</v>
          </cell>
          <cell r="N95">
            <v>10600</v>
          </cell>
          <cell r="O95">
            <v>10600</v>
          </cell>
          <cell r="P95">
            <v>10600</v>
          </cell>
          <cell r="Q95">
            <v>10600</v>
          </cell>
          <cell r="R95">
            <v>10925</v>
          </cell>
          <cell r="S95">
            <v>10925</v>
          </cell>
          <cell r="T95">
            <v>10925</v>
          </cell>
          <cell r="U95">
            <v>10925</v>
          </cell>
          <cell r="V95">
            <v>10925</v>
          </cell>
          <cell r="W95">
            <v>10925</v>
          </cell>
          <cell r="X95">
            <v>10925</v>
          </cell>
          <cell r="Y95">
            <v>10925</v>
          </cell>
          <cell r="Z95">
            <v>10925</v>
          </cell>
          <cell r="AA95">
            <v>10925</v>
          </cell>
          <cell r="AB95">
            <v>10925</v>
          </cell>
          <cell r="AC95">
            <v>10925</v>
          </cell>
          <cell r="AD95">
            <v>10925</v>
          </cell>
          <cell r="AE95">
            <v>10925</v>
          </cell>
          <cell r="AF95">
            <v>10925</v>
          </cell>
          <cell r="AG95">
            <v>10925</v>
          </cell>
          <cell r="AH95">
            <v>10925</v>
          </cell>
          <cell r="AI95">
            <v>10925</v>
          </cell>
          <cell r="AJ95">
            <v>10925</v>
          </cell>
          <cell r="AK95">
            <v>10925</v>
          </cell>
          <cell r="AL95">
            <v>10925</v>
          </cell>
          <cell r="AM95">
            <v>10925</v>
          </cell>
          <cell r="AN95">
            <v>10925</v>
          </cell>
          <cell r="AO95">
            <v>10925</v>
          </cell>
          <cell r="AP95">
            <v>10925</v>
          </cell>
          <cell r="AQ95">
            <v>10925</v>
          </cell>
          <cell r="AR95">
            <v>10925</v>
          </cell>
          <cell r="AS95">
            <v>10925</v>
          </cell>
        </row>
        <row r="96">
          <cell r="B96" t="str">
            <v>14.01</v>
          </cell>
          <cell r="C96">
            <v>12500</v>
          </cell>
          <cell r="D96">
            <v>12500</v>
          </cell>
          <cell r="E96">
            <v>12500</v>
          </cell>
          <cell r="F96">
            <v>15955</v>
          </cell>
          <cell r="G96">
            <v>15955</v>
          </cell>
          <cell r="H96">
            <v>15955</v>
          </cell>
          <cell r="I96">
            <v>15955</v>
          </cell>
          <cell r="J96">
            <v>16275</v>
          </cell>
          <cell r="K96">
            <v>16275</v>
          </cell>
          <cell r="L96">
            <v>16275</v>
          </cell>
          <cell r="M96">
            <v>16275</v>
          </cell>
          <cell r="N96">
            <v>20200</v>
          </cell>
          <cell r="O96">
            <v>20200</v>
          </cell>
          <cell r="P96">
            <v>20200</v>
          </cell>
          <cell r="Q96">
            <v>20200</v>
          </cell>
          <cell r="R96">
            <v>22100</v>
          </cell>
          <cell r="S96">
            <v>22100</v>
          </cell>
          <cell r="T96">
            <v>22100</v>
          </cell>
          <cell r="U96">
            <v>22100</v>
          </cell>
          <cell r="V96">
            <v>22600</v>
          </cell>
          <cell r="W96">
            <v>23100</v>
          </cell>
          <cell r="X96">
            <v>23600</v>
          </cell>
          <cell r="Y96">
            <v>24100</v>
          </cell>
          <cell r="Z96">
            <v>24600</v>
          </cell>
          <cell r="AA96">
            <v>25100</v>
          </cell>
          <cell r="AB96">
            <v>25600</v>
          </cell>
          <cell r="AC96">
            <v>26100</v>
          </cell>
          <cell r="AD96">
            <v>26600</v>
          </cell>
          <cell r="AE96">
            <v>27100</v>
          </cell>
          <cell r="AF96">
            <v>27600</v>
          </cell>
          <cell r="AG96">
            <v>28100</v>
          </cell>
          <cell r="AH96">
            <v>28600</v>
          </cell>
          <cell r="AI96">
            <v>29100</v>
          </cell>
          <cell r="AJ96">
            <v>29600</v>
          </cell>
          <cell r="AK96">
            <v>30100</v>
          </cell>
          <cell r="AL96">
            <v>30600</v>
          </cell>
          <cell r="AM96">
            <v>31100</v>
          </cell>
          <cell r="AN96">
            <v>31600</v>
          </cell>
          <cell r="AO96">
            <v>32100</v>
          </cell>
          <cell r="AP96">
            <v>32600</v>
          </cell>
          <cell r="AQ96">
            <v>33100</v>
          </cell>
          <cell r="AR96">
            <v>33600</v>
          </cell>
          <cell r="AS96">
            <v>34100</v>
          </cell>
        </row>
        <row r="97">
          <cell r="B97" t="str">
            <v>14.02</v>
          </cell>
          <cell r="C97">
            <v>2500</v>
          </cell>
          <cell r="D97">
            <v>2500</v>
          </cell>
          <cell r="E97">
            <v>2500</v>
          </cell>
          <cell r="F97">
            <v>2500</v>
          </cell>
          <cell r="G97">
            <v>2500</v>
          </cell>
          <cell r="H97">
            <v>2500</v>
          </cell>
          <cell r="I97">
            <v>2500</v>
          </cell>
          <cell r="J97">
            <v>3000</v>
          </cell>
          <cell r="K97">
            <v>3000</v>
          </cell>
          <cell r="L97">
            <v>3000</v>
          </cell>
          <cell r="M97">
            <v>3000</v>
          </cell>
          <cell r="N97">
            <v>3000</v>
          </cell>
          <cell r="O97">
            <v>3000</v>
          </cell>
          <cell r="P97">
            <v>3000</v>
          </cell>
          <cell r="Q97">
            <v>3000</v>
          </cell>
          <cell r="R97">
            <v>3000</v>
          </cell>
          <cell r="S97">
            <v>3000</v>
          </cell>
          <cell r="T97">
            <v>3000</v>
          </cell>
          <cell r="U97">
            <v>3000</v>
          </cell>
          <cell r="V97">
            <v>3000</v>
          </cell>
          <cell r="W97">
            <v>3000</v>
          </cell>
          <cell r="X97">
            <v>3000</v>
          </cell>
          <cell r="Y97">
            <v>3000</v>
          </cell>
          <cell r="Z97">
            <v>3000</v>
          </cell>
          <cell r="AA97">
            <v>3000</v>
          </cell>
          <cell r="AB97">
            <v>3000</v>
          </cell>
          <cell r="AC97">
            <v>3000</v>
          </cell>
          <cell r="AD97">
            <v>3000</v>
          </cell>
          <cell r="AE97">
            <v>3000</v>
          </cell>
          <cell r="AF97">
            <v>3000</v>
          </cell>
          <cell r="AG97">
            <v>3000</v>
          </cell>
          <cell r="AH97">
            <v>3000</v>
          </cell>
          <cell r="AI97">
            <v>3000</v>
          </cell>
          <cell r="AJ97">
            <v>3000</v>
          </cell>
          <cell r="AK97">
            <v>3000</v>
          </cell>
          <cell r="AL97">
            <v>3000</v>
          </cell>
          <cell r="AM97">
            <v>3000</v>
          </cell>
          <cell r="AN97">
            <v>3000</v>
          </cell>
          <cell r="AO97">
            <v>3000</v>
          </cell>
          <cell r="AP97">
            <v>3000</v>
          </cell>
          <cell r="AQ97">
            <v>3000</v>
          </cell>
          <cell r="AR97">
            <v>3000</v>
          </cell>
          <cell r="AS97">
            <v>3000</v>
          </cell>
        </row>
        <row r="98">
          <cell r="B98" t="str">
            <v>14.04</v>
          </cell>
          <cell r="C98">
            <v>3000</v>
          </cell>
          <cell r="D98">
            <v>3000</v>
          </cell>
          <cell r="E98">
            <v>3000</v>
          </cell>
          <cell r="F98">
            <v>3000</v>
          </cell>
          <cell r="G98">
            <v>3000</v>
          </cell>
          <cell r="H98">
            <v>3000</v>
          </cell>
          <cell r="I98">
            <v>3000</v>
          </cell>
          <cell r="J98">
            <v>3000</v>
          </cell>
          <cell r="K98">
            <v>3000</v>
          </cell>
          <cell r="L98">
            <v>3000</v>
          </cell>
          <cell r="M98">
            <v>3000</v>
          </cell>
          <cell r="N98">
            <v>3000</v>
          </cell>
          <cell r="O98">
            <v>3000</v>
          </cell>
          <cell r="P98">
            <v>3000</v>
          </cell>
          <cell r="Q98">
            <v>3000</v>
          </cell>
          <cell r="R98">
            <v>3000</v>
          </cell>
          <cell r="S98">
            <v>3000</v>
          </cell>
          <cell r="T98">
            <v>3000</v>
          </cell>
          <cell r="U98">
            <v>3000</v>
          </cell>
          <cell r="V98">
            <v>3000</v>
          </cell>
          <cell r="W98">
            <v>3000</v>
          </cell>
          <cell r="X98">
            <v>3000</v>
          </cell>
          <cell r="Y98">
            <v>3000</v>
          </cell>
          <cell r="Z98">
            <v>3000</v>
          </cell>
          <cell r="AA98">
            <v>3000</v>
          </cell>
          <cell r="AB98">
            <v>3000</v>
          </cell>
          <cell r="AC98">
            <v>3000</v>
          </cell>
          <cell r="AD98">
            <v>3000</v>
          </cell>
          <cell r="AE98">
            <v>3000</v>
          </cell>
          <cell r="AF98">
            <v>3000</v>
          </cell>
          <cell r="AG98">
            <v>3000</v>
          </cell>
          <cell r="AH98">
            <v>3000</v>
          </cell>
          <cell r="AI98">
            <v>3000</v>
          </cell>
          <cell r="AJ98">
            <v>3000</v>
          </cell>
          <cell r="AK98">
            <v>3000</v>
          </cell>
          <cell r="AL98">
            <v>3000</v>
          </cell>
          <cell r="AM98">
            <v>3000</v>
          </cell>
          <cell r="AN98">
            <v>3000</v>
          </cell>
          <cell r="AO98">
            <v>3000</v>
          </cell>
          <cell r="AP98">
            <v>3000</v>
          </cell>
          <cell r="AQ98">
            <v>3000</v>
          </cell>
          <cell r="AR98">
            <v>3000</v>
          </cell>
          <cell r="AS98">
            <v>3000</v>
          </cell>
        </row>
        <row r="99">
          <cell r="B99" t="str">
            <v>14.06</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23</v>
          </cell>
          <cell r="AC99">
            <v>23</v>
          </cell>
          <cell r="AD99">
            <v>23</v>
          </cell>
          <cell r="AE99">
            <v>23</v>
          </cell>
          <cell r="AF99">
            <v>23</v>
          </cell>
          <cell r="AG99">
            <v>23</v>
          </cell>
          <cell r="AH99">
            <v>23</v>
          </cell>
          <cell r="AI99">
            <v>23</v>
          </cell>
          <cell r="AJ99">
            <v>23</v>
          </cell>
          <cell r="AK99">
            <v>23</v>
          </cell>
          <cell r="AL99">
            <v>23</v>
          </cell>
          <cell r="AM99">
            <v>23</v>
          </cell>
          <cell r="AN99">
            <v>23</v>
          </cell>
          <cell r="AO99">
            <v>23</v>
          </cell>
          <cell r="AP99">
            <v>23</v>
          </cell>
          <cell r="AQ99">
            <v>23</v>
          </cell>
          <cell r="AR99">
            <v>23</v>
          </cell>
          <cell r="AS99">
            <v>23</v>
          </cell>
        </row>
      </sheetData>
      <sheetData sheetId="35">
        <row r="49">
          <cell r="E49">
            <v>0</v>
          </cell>
        </row>
        <row r="50">
          <cell r="E50">
            <v>0</v>
          </cell>
        </row>
        <row r="51">
          <cell r="E51">
            <v>0</v>
          </cell>
        </row>
        <row r="52">
          <cell r="E52">
            <v>0</v>
          </cell>
        </row>
        <row r="53">
          <cell r="E53">
            <v>0</v>
          </cell>
        </row>
        <row r="54">
          <cell r="E54">
            <v>0</v>
          </cell>
        </row>
      </sheetData>
      <sheetData sheetId="36">
        <row r="328">
          <cell r="G328">
            <v>0.5</v>
          </cell>
        </row>
      </sheetData>
      <sheetData sheetId="37">
        <row r="241">
          <cell r="Z241">
            <v>1.6978518793040857E-2</v>
          </cell>
        </row>
        <row r="255">
          <cell r="X255">
            <v>0.1744669111223727</v>
          </cell>
        </row>
      </sheetData>
      <sheetData sheetId="38">
        <row r="28">
          <cell r="C28">
            <v>1.8309172570230559E-2</v>
          </cell>
        </row>
      </sheetData>
      <sheetData sheetId="39"/>
      <sheetData sheetId="40"/>
      <sheetData sheetId="41"/>
      <sheetData sheetId="42"/>
      <sheetData sheetId="43">
        <row r="3">
          <cell r="B3" t="str">
            <v>Yes</v>
          </cell>
        </row>
        <row r="4">
          <cell r="B4" t="str">
            <v>No</v>
          </cell>
        </row>
        <row r="23">
          <cell r="B23" t="str">
            <v>Owner</v>
          </cell>
        </row>
        <row r="24">
          <cell r="B24" t="str">
            <v>Partner</v>
          </cell>
        </row>
        <row r="27">
          <cell r="B27" t="str">
            <v>DeNovo</v>
          </cell>
        </row>
        <row r="28">
          <cell r="B28" t="str">
            <v>Relocation</v>
          </cell>
        </row>
        <row r="29">
          <cell r="B29" t="str">
            <v>Expansion</v>
          </cell>
        </row>
        <row r="32">
          <cell r="B32" t="str">
            <v>Groundup</v>
          </cell>
        </row>
        <row r="33">
          <cell r="B33" t="str">
            <v>Buildout</v>
          </cell>
        </row>
        <row r="36">
          <cell r="B36" t="str">
            <v>Jan</v>
          </cell>
        </row>
        <row r="37">
          <cell r="B37" t="str">
            <v>Feb</v>
          </cell>
        </row>
        <row r="38">
          <cell r="B38" t="str">
            <v>Mar</v>
          </cell>
        </row>
        <row r="39">
          <cell r="B39" t="str">
            <v>Apr</v>
          </cell>
        </row>
        <row r="40">
          <cell r="B40" t="str">
            <v>May</v>
          </cell>
        </row>
        <row r="41">
          <cell r="B41" t="str">
            <v>Jun</v>
          </cell>
        </row>
        <row r="42">
          <cell r="B42" t="str">
            <v>Jul</v>
          </cell>
        </row>
        <row r="43">
          <cell r="B43" t="str">
            <v>Aug</v>
          </cell>
        </row>
        <row r="44">
          <cell r="B44" t="str">
            <v>Sep</v>
          </cell>
        </row>
        <row r="45">
          <cell r="B45" t="str">
            <v>Oct</v>
          </cell>
        </row>
        <row r="46">
          <cell r="B46" t="str">
            <v>Nov</v>
          </cell>
        </row>
        <row r="47">
          <cell r="B47" t="str">
            <v>Dec</v>
          </cell>
        </row>
        <row r="50">
          <cell r="B50">
            <v>2005</v>
          </cell>
        </row>
        <row r="51">
          <cell r="B51">
            <v>2006</v>
          </cell>
        </row>
        <row r="52">
          <cell r="B52">
            <v>2007</v>
          </cell>
        </row>
        <row r="53">
          <cell r="B53">
            <v>2008</v>
          </cell>
        </row>
        <row r="54">
          <cell r="B54">
            <v>2009</v>
          </cell>
        </row>
        <row r="55">
          <cell r="B55">
            <v>2010</v>
          </cell>
        </row>
        <row r="56">
          <cell r="B56">
            <v>2011</v>
          </cell>
        </row>
        <row r="57">
          <cell r="B57">
            <v>2012</v>
          </cell>
        </row>
        <row r="58">
          <cell r="B58">
            <v>2013</v>
          </cell>
        </row>
        <row r="59">
          <cell r="B59">
            <v>2014</v>
          </cell>
        </row>
        <row r="60">
          <cell r="B60">
            <v>2015</v>
          </cell>
        </row>
        <row r="61">
          <cell r="B61">
            <v>2016</v>
          </cell>
        </row>
        <row r="62">
          <cell r="B62">
            <v>2017</v>
          </cell>
        </row>
        <row r="63">
          <cell r="B63">
            <v>2018</v>
          </cell>
        </row>
        <row r="64">
          <cell r="B64">
            <v>2019</v>
          </cell>
        </row>
        <row r="65">
          <cell r="B65">
            <v>2020</v>
          </cell>
        </row>
        <row r="68">
          <cell r="B68" t="str">
            <v>Last 12 Months</v>
          </cell>
        </row>
        <row r="69">
          <cell r="B69" t="str">
            <v>Last 3 Months</v>
          </cell>
        </row>
        <row r="70">
          <cell r="B70" t="str">
            <v>Jan</v>
          </cell>
        </row>
        <row r="71">
          <cell r="B71" t="str">
            <v>Feb</v>
          </cell>
        </row>
        <row r="72">
          <cell r="B72" t="str">
            <v>Mar</v>
          </cell>
        </row>
        <row r="73">
          <cell r="B73" t="str">
            <v>Apr</v>
          </cell>
        </row>
        <row r="74">
          <cell r="B74" t="str">
            <v>May</v>
          </cell>
        </row>
        <row r="75">
          <cell r="B75" t="str">
            <v>Jun</v>
          </cell>
        </row>
        <row r="76">
          <cell r="B76" t="str">
            <v>Jul</v>
          </cell>
        </row>
        <row r="77">
          <cell r="B77" t="str">
            <v>Aug</v>
          </cell>
        </row>
        <row r="78">
          <cell r="B78" t="str">
            <v>Sep</v>
          </cell>
        </row>
        <row r="79">
          <cell r="B79" t="str">
            <v>Oct</v>
          </cell>
        </row>
        <row r="80">
          <cell r="B80" t="str">
            <v>Nov</v>
          </cell>
        </row>
        <row r="81">
          <cell r="B81" t="str">
            <v>Dec</v>
          </cell>
        </row>
        <row r="82">
          <cell r="B82" t="str">
            <v>2011 YTD</v>
          </cell>
        </row>
        <row r="85">
          <cell r="B85" t="str">
            <v>Buy</v>
          </cell>
        </row>
        <row r="86">
          <cell r="B86" t="str">
            <v>Lease</v>
          </cell>
        </row>
      </sheetData>
      <sheetData sheetId="44">
        <row r="5">
          <cell r="C5" t="str">
            <v>Abbeville, SC</v>
          </cell>
          <cell r="D5">
            <v>4.3999999999999997E-2</v>
          </cell>
        </row>
        <row r="6">
          <cell r="C6" t="str">
            <v>Acadia, LA</v>
          </cell>
          <cell r="D6">
            <v>0.09</v>
          </cell>
        </row>
        <row r="7">
          <cell r="C7" t="str">
            <v>Accomack, VA</v>
          </cell>
          <cell r="D7">
            <v>4.3999999999999997E-2</v>
          </cell>
        </row>
        <row r="8">
          <cell r="C8" t="str">
            <v>Ada, ID</v>
          </cell>
          <cell r="D8">
            <v>6.0999999999999999E-2</v>
          </cell>
        </row>
        <row r="9">
          <cell r="C9" t="str">
            <v>Adair, IA</v>
          </cell>
          <cell r="D9">
            <v>0.09</v>
          </cell>
        </row>
        <row r="10">
          <cell r="C10" t="str">
            <v>Adair, KY</v>
          </cell>
          <cell r="D10">
            <v>0.09</v>
          </cell>
        </row>
        <row r="11">
          <cell r="C11" t="str">
            <v>Adair, MO</v>
          </cell>
          <cell r="D11">
            <v>0.09</v>
          </cell>
        </row>
        <row r="12">
          <cell r="C12" t="str">
            <v>Adair, OK</v>
          </cell>
          <cell r="D12">
            <v>0.09</v>
          </cell>
        </row>
        <row r="13">
          <cell r="C13" t="str">
            <v>Adams, CO</v>
          </cell>
          <cell r="D13">
            <v>5.7000000000000002E-2</v>
          </cell>
        </row>
        <row r="14">
          <cell r="C14" t="str">
            <v>Adams, IA</v>
          </cell>
          <cell r="D14">
            <v>0.09</v>
          </cell>
        </row>
        <row r="15">
          <cell r="C15" t="str">
            <v>Adams, ID</v>
          </cell>
          <cell r="D15">
            <v>4.3999999999999997E-2</v>
          </cell>
        </row>
        <row r="16">
          <cell r="C16" t="str">
            <v>Adams, IL</v>
          </cell>
          <cell r="D16">
            <v>0.09</v>
          </cell>
        </row>
        <row r="17">
          <cell r="C17" t="str">
            <v>Adams, IN</v>
          </cell>
          <cell r="D17">
            <v>6.0999999999999999E-2</v>
          </cell>
        </row>
        <row r="18">
          <cell r="C18" t="str">
            <v>Adams, MS</v>
          </cell>
          <cell r="D18">
            <v>5.7000000000000002E-2</v>
          </cell>
        </row>
        <row r="19">
          <cell r="C19" t="str">
            <v>Adams, ND</v>
          </cell>
          <cell r="D19">
            <v>0.09</v>
          </cell>
        </row>
        <row r="20">
          <cell r="C20" t="str">
            <v>Adams, NE</v>
          </cell>
          <cell r="D20">
            <v>0.09</v>
          </cell>
        </row>
        <row r="21">
          <cell r="C21" t="str">
            <v>Adams, OH</v>
          </cell>
          <cell r="D21">
            <v>0.09</v>
          </cell>
        </row>
        <row r="22">
          <cell r="C22" t="str">
            <v>Adams, PA</v>
          </cell>
          <cell r="D22">
            <v>0.09</v>
          </cell>
        </row>
        <row r="23">
          <cell r="C23" t="str">
            <v>Adams, WA</v>
          </cell>
          <cell r="D23">
            <v>0.09</v>
          </cell>
        </row>
        <row r="24">
          <cell r="C24" t="str">
            <v>Adams, WI</v>
          </cell>
          <cell r="D24">
            <v>0.09</v>
          </cell>
        </row>
        <row r="25">
          <cell r="C25" t="str">
            <v>Addison, VT</v>
          </cell>
          <cell r="D25">
            <v>0.09</v>
          </cell>
        </row>
        <row r="26">
          <cell r="C26" t="str">
            <v>Aiken, SC</v>
          </cell>
          <cell r="D26">
            <v>4.3999999999999997E-2</v>
          </cell>
        </row>
        <row r="27">
          <cell r="C27" t="str">
            <v>Aitkin, MN</v>
          </cell>
          <cell r="D27">
            <v>0.09</v>
          </cell>
        </row>
        <row r="28">
          <cell r="C28" t="str">
            <v>Alachua, FL</v>
          </cell>
          <cell r="D28">
            <v>4.3999999999999997E-2</v>
          </cell>
        </row>
        <row r="29">
          <cell r="C29" t="str">
            <v>Alamance, NC</v>
          </cell>
          <cell r="D29">
            <v>6.0999999999999999E-2</v>
          </cell>
        </row>
        <row r="30">
          <cell r="C30" t="str">
            <v>Alameda, CA</v>
          </cell>
          <cell r="D30">
            <v>2.4E-2</v>
          </cell>
        </row>
        <row r="31">
          <cell r="C31" t="str">
            <v>Alamosa, CO</v>
          </cell>
          <cell r="D31">
            <v>5.7000000000000002E-2</v>
          </cell>
        </row>
        <row r="32">
          <cell r="C32" t="str">
            <v>Albany, NY</v>
          </cell>
          <cell r="D32">
            <v>3.5000000000000003E-2</v>
          </cell>
        </row>
        <row r="33">
          <cell r="C33" t="str">
            <v>Albany, WY</v>
          </cell>
          <cell r="D33">
            <v>0.09</v>
          </cell>
        </row>
        <row r="34">
          <cell r="C34" t="str">
            <v>Albemarle, VA</v>
          </cell>
          <cell r="D34">
            <v>6.0999999999999999E-2</v>
          </cell>
        </row>
        <row r="35">
          <cell r="C35" t="str">
            <v>Alcona, MI</v>
          </cell>
          <cell r="D35">
            <v>0.09</v>
          </cell>
        </row>
        <row r="36">
          <cell r="C36" t="str">
            <v>Alcorn, MS</v>
          </cell>
          <cell r="D36">
            <v>4.3999999999999997E-2</v>
          </cell>
        </row>
        <row r="37">
          <cell r="C37" t="str">
            <v>Aleutians East, AK</v>
          </cell>
          <cell r="D37">
            <v>6.0999999999999999E-2</v>
          </cell>
        </row>
        <row r="38">
          <cell r="C38" t="str">
            <v>Aleutians West, AK</v>
          </cell>
          <cell r="D38">
            <v>6.0999999999999999E-2</v>
          </cell>
        </row>
        <row r="39">
          <cell r="C39" t="str">
            <v>Alexander, IL</v>
          </cell>
          <cell r="D39">
            <v>5.7000000000000002E-2</v>
          </cell>
        </row>
        <row r="40">
          <cell r="C40" t="str">
            <v>Alexander, NC</v>
          </cell>
          <cell r="D40">
            <v>4.3999999999999997E-2</v>
          </cell>
        </row>
        <row r="41">
          <cell r="C41" t="str">
            <v>Alexandria City, VA</v>
          </cell>
          <cell r="D41">
            <v>6.0999999999999999E-2</v>
          </cell>
        </row>
        <row r="42">
          <cell r="C42" t="str">
            <v>Alfalfa, OK</v>
          </cell>
          <cell r="D42">
            <v>0.09</v>
          </cell>
        </row>
        <row r="43">
          <cell r="C43" t="str">
            <v>Alger, MI</v>
          </cell>
          <cell r="D43">
            <v>0.09</v>
          </cell>
        </row>
        <row r="44">
          <cell r="C44" t="str">
            <v>Allamakee, IA</v>
          </cell>
          <cell r="D44">
            <v>0.09</v>
          </cell>
        </row>
        <row r="45">
          <cell r="C45" t="str">
            <v>Allegan, MI</v>
          </cell>
          <cell r="D45">
            <v>6.0999999999999999E-2</v>
          </cell>
        </row>
        <row r="46">
          <cell r="C46" t="str">
            <v>Allegany, MD</v>
          </cell>
          <cell r="D46">
            <v>0.09</v>
          </cell>
        </row>
        <row r="47">
          <cell r="C47" t="str">
            <v>Allegany, NY</v>
          </cell>
          <cell r="D47">
            <v>0.09</v>
          </cell>
        </row>
        <row r="48">
          <cell r="C48" t="str">
            <v>Alleghany, NC</v>
          </cell>
          <cell r="D48">
            <v>4.3999999999999997E-2</v>
          </cell>
        </row>
        <row r="49">
          <cell r="C49" t="str">
            <v>Alleghany, VA</v>
          </cell>
          <cell r="D49">
            <v>4.3999999999999997E-2</v>
          </cell>
        </row>
        <row r="50">
          <cell r="C50" t="str">
            <v>Allegheny, PA</v>
          </cell>
          <cell r="D50">
            <v>6.0999999999999999E-2</v>
          </cell>
        </row>
        <row r="51">
          <cell r="C51" t="str">
            <v>Allen, IN</v>
          </cell>
          <cell r="D51">
            <v>6.0999999999999999E-2</v>
          </cell>
        </row>
        <row r="52">
          <cell r="C52" t="str">
            <v>Allen, KS</v>
          </cell>
          <cell r="D52">
            <v>0.09</v>
          </cell>
        </row>
        <row r="53">
          <cell r="C53" t="str">
            <v>Allen, KY</v>
          </cell>
          <cell r="D53">
            <v>0.09</v>
          </cell>
        </row>
        <row r="54">
          <cell r="C54" t="str">
            <v>Allen, LA</v>
          </cell>
          <cell r="D54">
            <v>0.09</v>
          </cell>
        </row>
        <row r="55">
          <cell r="C55" t="str">
            <v>Allen, OH</v>
          </cell>
          <cell r="D55">
            <v>0.09</v>
          </cell>
        </row>
        <row r="56">
          <cell r="C56" t="str">
            <v>Allendale, SC</v>
          </cell>
          <cell r="D56">
            <v>4.3999999999999997E-2</v>
          </cell>
        </row>
        <row r="57">
          <cell r="C57" t="str">
            <v>Alpena, MI</v>
          </cell>
          <cell r="D57">
            <v>0.09</v>
          </cell>
        </row>
        <row r="58">
          <cell r="C58" t="str">
            <v>Alpine, CA</v>
          </cell>
          <cell r="D58">
            <v>0.09</v>
          </cell>
        </row>
        <row r="59">
          <cell r="C59" t="str">
            <v>Amador, CA</v>
          </cell>
          <cell r="D59">
            <v>0.09</v>
          </cell>
        </row>
        <row r="60">
          <cell r="C60" t="str">
            <v>Amelia, VA</v>
          </cell>
          <cell r="D60">
            <v>4.3999999999999997E-2</v>
          </cell>
        </row>
        <row r="61">
          <cell r="C61" t="str">
            <v>Amherst, VA</v>
          </cell>
          <cell r="D61">
            <v>4.3999999999999997E-2</v>
          </cell>
        </row>
        <row r="62">
          <cell r="C62" t="str">
            <v>Amite, MS</v>
          </cell>
          <cell r="D62">
            <v>4.3999999999999997E-2</v>
          </cell>
        </row>
        <row r="63">
          <cell r="C63" t="str">
            <v>Anchorage, AK</v>
          </cell>
          <cell r="D63">
            <v>6.0999999999999999E-2</v>
          </cell>
        </row>
        <row r="64">
          <cell r="C64" t="str">
            <v>Anderson, KS</v>
          </cell>
          <cell r="D64">
            <v>0.09</v>
          </cell>
        </row>
        <row r="65">
          <cell r="C65" t="str">
            <v>Anderson, KY</v>
          </cell>
          <cell r="D65">
            <v>0.09</v>
          </cell>
        </row>
        <row r="66">
          <cell r="C66" t="str">
            <v>Anderson, SC</v>
          </cell>
          <cell r="D66">
            <v>4.3999999999999997E-2</v>
          </cell>
        </row>
        <row r="67">
          <cell r="C67" t="str">
            <v>Anderson, TN</v>
          </cell>
          <cell r="D67">
            <v>0.09</v>
          </cell>
        </row>
        <row r="68">
          <cell r="C68" t="str">
            <v>Anderson, TX</v>
          </cell>
          <cell r="D68">
            <v>4.3999999999999997E-2</v>
          </cell>
        </row>
        <row r="69">
          <cell r="C69" t="str">
            <v>Andrew, MO</v>
          </cell>
          <cell r="D69">
            <v>0.09</v>
          </cell>
        </row>
        <row r="70">
          <cell r="C70" t="str">
            <v>Andrews, TX</v>
          </cell>
          <cell r="D70">
            <v>4.3999999999999997E-2</v>
          </cell>
        </row>
        <row r="71">
          <cell r="C71" t="str">
            <v>Androscoggin, ME</v>
          </cell>
          <cell r="D71">
            <v>0.09</v>
          </cell>
        </row>
        <row r="72">
          <cell r="C72" t="str">
            <v>Angelina, TX</v>
          </cell>
          <cell r="D72">
            <v>4.3999999999999997E-2</v>
          </cell>
        </row>
        <row r="73">
          <cell r="C73" t="str">
            <v>Anne Arundel, MD</v>
          </cell>
          <cell r="D73">
            <v>6.0999999999999999E-2</v>
          </cell>
        </row>
        <row r="74">
          <cell r="C74" t="str">
            <v>Anoka, MN</v>
          </cell>
          <cell r="D74">
            <v>6.0999999999999999E-2</v>
          </cell>
        </row>
        <row r="75">
          <cell r="C75" t="str">
            <v>Anson, NC</v>
          </cell>
          <cell r="D75">
            <v>4.3999999999999997E-2</v>
          </cell>
        </row>
        <row r="76">
          <cell r="C76" t="str">
            <v>Antelope, NE</v>
          </cell>
          <cell r="D76">
            <v>0.09</v>
          </cell>
        </row>
        <row r="77">
          <cell r="C77" t="str">
            <v>Antrim, MI</v>
          </cell>
          <cell r="D77">
            <v>0.09</v>
          </cell>
        </row>
        <row r="78">
          <cell r="C78" t="str">
            <v>Apache, AZ</v>
          </cell>
          <cell r="D78">
            <v>4.3999999999999997E-2</v>
          </cell>
        </row>
        <row r="79">
          <cell r="C79" t="str">
            <v>Appanoose, IA</v>
          </cell>
          <cell r="D79">
            <v>0.09</v>
          </cell>
        </row>
        <row r="80">
          <cell r="C80" t="str">
            <v>Appling, GA</v>
          </cell>
          <cell r="D80">
            <v>4.3999999999999997E-2</v>
          </cell>
        </row>
        <row r="81">
          <cell r="C81" t="str">
            <v>Appomattox, VA</v>
          </cell>
          <cell r="D81">
            <v>4.3999999999999997E-2</v>
          </cell>
        </row>
        <row r="82">
          <cell r="C82" t="str">
            <v>Aransas, TX</v>
          </cell>
          <cell r="D82">
            <v>4.3999999999999997E-2</v>
          </cell>
        </row>
        <row r="83">
          <cell r="C83" t="str">
            <v>Arapahoe, CO</v>
          </cell>
          <cell r="D83">
            <v>5.7000000000000002E-2</v>
          </cell>
        </row>
        <row r="84">
          <cell r="C84" t="str">
            <v>Archer, TX</v>
          </cell>
          <cell r="D84">
            <v>4.3999999999999997E-2</v>
          </cell>
        </row>
        <row r="85">
          <cell r="C85" t="str">
            <v>Archuleta, CO</v>
          </cell>
          <cell r="D85">
            <v>4.3999999999999997E-2</v>
          </cell>
        </row>
        <row r="86">
          <cell r="C86" t="str">
            <v>Arenac, MI</v>
          </cell>
          <cell r="D86">
            <v>0.09</v>
          </cell>
        </row>
        <row r="87">
          <cell r="C87" t="str">
            <v>Arkansas, AR</v>
          </cell>
          <cell r="D87">
            <v>4.3999999999999997E-2</v>
          </cell>
        </row>
        <row r="88">
          <cell r="C88" t="str">
            <v>Arlington, VA</v>
          </cell>
          <cell r="D88">
            <v>6.0999999999999999E-2</v>
          </cell>
        </row>
        <row r="89">
          <cell r="C89" t="str">
            <v>Armstrong, PA</v>
          </cell>
          <cell r="D89">
            <v>0.09</v>
          </cell>
        </row>
        <row r="90">
          <cell r="C90" t="str">
            <v>Armstrong, TX</v>
          </cell>
          <cell r="D90">
            <v>4.3999999999999997E-2</v>
          </cell>
        </row>
        <row r="91">
          <cell r="C91" t="str">
            <v>Aroostook, ME</v>
          </cell>
          <cell r="D91">
            <v>5.7000000000000002E-2</v>
          </cell>
        </row>
        <row r="92">
          <cell r="C92" t="str">
            <v>Arthur, NE</v>
          </cell>
          <cell r="D92">
            <v>0.09</v>
          </cell>
        </row>
        <row r="93">
          <cell r="C93" t="str">
            <v>Ascension, LA</v>
          </cell>
          <cell r="D93">
            <v>0.09</v>
          </cell>
        </row>
        <row r="94">
          <cell r="C94" t="str">
            <v>Ashe, NC</v>
          </cell>
          <cell r="D94">
            <v>4.3999999999999997E-2</v>
          </cell>
        </row>
        <row r="95">
          <cell r="C95" t="str">
            <v>Ashland, OH</v>
          </cell>
          <cell r="D95">
            <v>0.09</v>
          </cell>
        </row>
        <row r="96">
          <cell r="C96" t="str">
            <v>Ashland, WI</v>
          </cell>
          <cell r="D96">
            <v>5.7000000000000002E-2</v>
          </cell>
        </row>
        <row r="97">
          <cell r="C97" t="str">
            <v>Ashley, AR</v>
          </cell>
          <cell r="D97">
            <v>4.3999999999999997E-2</v>
          </cell>
        </row>
        <row r="98">
          <cell r="C98" t="str">
            <v>Ashtabula, OH</v>
          </cell>
          <cell r="D98">
            <v>6.0999999999999999E-2</v>
          </cell>
        </row>
        <row r="99">
          <cell r="C99" t="str">
            <v>Asotin, WA</v>
          </cell>
          <cell r="D99">
            <v>0.09</v>
          </cell>
        </row>
        <row r="100">
          <cell r="C100" t="str">
            <v>Assumption, LA</v>
          </cell>
          <cell r="D100">
            <v>0.09</v>
          </cell>
        </row>
        <row r="101">
          <cell r="C101" t="str">
            <v>Atascosa, TX</v>
          </cell>
          <cell r="D101">
            <v>4.3999999999999997E-2</v>
          </cell>
        </row>
        <row r="102">
          <cell r="C102" t="str">
            <v>Atchison, KS</v>
          </cell>
          <cell r="D102">
            <v>0.09</v>
          </cell>
        </row>
        <row r="103">
          <cell r="C103" t="str">
            <v>Atchison, MO</v>
          </cell>
          <cell r="D103">
            <v>0.09</v>
          </cell>
        </row>
        <row r="104">
          <cell r="C104" t="str">
            <v>Athens, OH</v>
          </cell>
          <cell r="D104">
            <v>0.09</v>
          </cell>
        </row>
        <row r="105">
          <cell r="C105" t="str">
            <v>Atkinson, GA</v>
          </cell>
          <cell r="D105">
            <v>4.3999999999999997E-2</v>
          </cell>
        </row>
        <row r="106">
          <cell r="C106" t="str">
            <v>Atlantic, NJ</v>
          </cell>
          <cell r="D106">
            <v>6.0999999999999999E-2</v>
          </cell>
        </row>
        <row r="107">
          <cell r="C107" t="str">
            <v>Atoka, OK</v>
          </cell>
          <cell r="D107">
            <v>0.09</v>
          </cell>
        </row>
        <row r="108">
          <cell r="C108" t="str">
            <v>Attala, MS</v>
          </cell>
          <cell r="D108">
            <v>5.7000000000000002E-2</v>
          </cell>
        </row>
        <row r="109">
          <cell r="C109" t="str">
            <v>Audrain, MO</v>
          </cell>
          <cell r="D109">
            <v>0.09</v>
          </cell>
        </row>
        <row r="110">
          <cell r="C110" t="str">
            <v>Audubon, IA</v>
          </cell>
          <cell r="D110">
            <v>0.09</v>
          </cell>
        </row>
        <row r="111">
          <cell r="C111" t="str">
            <v>Auglaize, OH</v>
          </cell>
          <cell r="D111">
            <v>0.09</v>
          </cell>
        </row>
        <row r="112">
          <cell r="C112" t="str">
            <v>Augusta, VA</v>
          </cell>
          <cell r="D112">
            <v>4.3999999999999997E-2</v>
          </cell>
        </row>
        <row r="113">
          <cell r="C113" t="str">
            <v>Aurora, SD</v>
          </cell>
          <cell r="D113">
            <v>4.3999999999999997E-2</v>
          </cell>
        </row>
        <row r="114">
          <cell r="C114" t="str">
            <v>Austin, TX</v>
          </cell>
          <cell r="D114">
            <v>4.3999999999999997E-2</v>
          </cell>
        </row>
        <row r="115">
          <cell r="C115" t="str">
            <v>Autauga, AL</v>
          </cell>
          <cell r="D115">
            <v>0.09</v>
          </cell>
        </row>
        <row r="116">
          <cell r="C116" t="str">
            <v>Avery, NC</v>
          </cell>
          <cell r="D116">
            <v>4.3999999999999997E-2</v>
          </cell>
        </row>
        <row r="117">
          <cell r="C117" t="str">
            <v>Avoyelles, LA</v>
          </cell>
          <cell r="D117">
            <v>0.09</v>
          </cell>
        </row>
        <row r="118">
          <cell r="C118" t="str">
            <v>Baca, CO</v>
          </cell>
          <cell r="D118">
            <v>4.3999999999999997E-2</v>
          </cell>
        </row>
        <row r="119">
          <cell r="C119" t="str">
            <v>Bacon, GA</v>
          </cell>
          <cell r="D119">
            <v>4.3999999999999997E-2</v>
          </cell>
        </row>
        <row r="120">
          <cell r="C120" t="str">
            <v>Bailey, TX</v>
          </cell>
          <cell r="D120">
            <v>4.3999999999999997E-2</v>
          </cell>
        </row>
        <row r="121">
          <cell r="C121" t="str">
            <v>Baker, FL</v>
          </cell>
          <cell r="D121">
            <v>5.7000000000000002E-2</v>
          </cell>
        </row>
        <row r="122">
          <cell r="C122" t="str">
            <v>Baker, GA</v>
          </cell>
          <cell r="D122">
            <v>4.3999999999999997E-2</v>
          </cell>
        </row>
        <row r="123">
          <cell r="C123" t="str">
            <v>Baker, OR</v>
          </cell>
          <cell r="D123">
            <v>0.09</v>
          </cell>
        </row>
        <row r="124">
          <cell r="C124" t="str">
            <v>Baldwin, AL</v>
          </cell>
          <cell r="D124">
            <v>0.09</v>
          </cell>
        </row>
        <row r="125">
          <cell r="C125" t="str">
            <v>Baldwin, GA</v>
          </cell>
          <cell r="D125">
            <v>4.3999999999999997E-2</v>
          </cell>
        </row>
        <row r="126">
          <cell r="C126" t="str">
            <v>Ballard, KY</v>
          </cell>
          <cell r="D126">
            <v>0.09</v>
          </cell>
        </row>
        <row r="127">
          <cell r="C127" t="str">
            <v>Baltimore, MD</v>
          </cell>
          <cell r="D127">
            <v>6.0999999999999999E-2</v>
          </cell>
        </row>
        <row r="128">
          <cell r="C128" t="str">
            <v>Baltimore City, MD</v>
          </cell>
          <cell r="D128">
            <v>3.5000000000000003E-2</v>
          </cell>
        </row>
        <row r="129">
          <cell r="C129" t="str">
            <v>Bamberg, SC</v>
          </cell>
          <cell r="D129">
            <v>4.3999999999999997E-2</v>
          </cell>
        </row>
        <row r="130">
          <cell r="C130" t="str">
            <v>Bandera, TX</v>
          </cell>
          <cell r="D130">
            <v>4.3999999999999997E-2</v>
          </cell>
        </row>
        <row r="131">
          <cell r="C131" t="str">
            <v>Banks, GA</v>
          </cell>
          <cell r="D131">
            <v>4.3999999999999997E-2</v>
          </cell>
        </row>
        <row r="132">
          <cell r="C132" t="str">
            <v>Banner, NE</v>
          </cell>
          <cell r="D132">
            <v>0.09</v>
          </cell>
        </row>
        <row r="133">
          <cell r="C133" t="str">
            <v>Bannock, ID</v>
          </cell>
          <cell r="D133">
            <v>4.3999999999999997E-2</v>
          </cell>
        </row>
        <row r="134">
          <cell r="C134" t="str">
            <v>Baraga, MI</v>
          </cell>
          <cell r="D134">
            <v>0.09</v>
          </cell>
        </row>
        <row r="135">
          <cell r="C135" t="str">
            <v>Barber, KS</v>
          </cell>
          <cell r="D135">
            <v>0.09</v>
          </cell>
        </row>
        <row r="136">
          <cell r="C136" t="str">
            <v>Barbour, AL</v>
          </cell>
          <cell r="D136">
            <v>0.09</v>
          </cell>
        </row>
        <row r="137">
          <cell r="C137" t="str">
            <v>Barbour, WV</v>
          </cell>
          <cell r="D137">
            <v>0.09</v>
          </cell>
        </row>
        <row r="138">
          <cell r="C138" t="str">
            <v>Barnes, ND</v>
          </cell>
          <cell r="D138">
            <v>0.09</v>
          </cell>
        </row>
        <row r="139">
          <cell r="C139" t="str">
            <v>Barnstable, MA</v>
          </cell>
          <cell r="D139">
            <v>0.09</v>
          </cell>
        </row>
        <row r="140">
          <cell r="C140" t="str">
            <v>Barnwell, SC</v>
          </cell>
          <cell r="D140">
            <v>4.3999999999999997E-2</v>
          </cell>
        </row>
        <row r="141">
          <cell r="C141" t="str">
            <v>Barren, KY</v>
          </cell>
          <cell r="D141">
            <v>0.09</v>
          </cell>
        </row>
        <row r="142">
          <cell r="C142" t="str">
            <v>Barron, WI</v>
          </cell>
          <cell r="D142">
            <v>0.09</v>
          </cell>
        </row>
        <row r="143">
          <cell r="C143" t="str">
            <v>Barrow, GA</v>
          </cell>
          <cell r="D143">
            <v>5.7000000000000002E-2</v>
          </cell>
        </row>
        <row r="144">
          <cell r="C144" t="str">
            <v>Barry, MI</v>
          </cell>
          <cell r="D144">
            <v>0.09</v>
          </cell>
        </row>
        <row r="145">
          <cell r="C145" t="str">
            <v>Barry, MO</v>
          </cell>
          <cell r="D145">
            <v>0.09</v>
          </cell>
        </row>
        <row r="146">
          <cell r="C146" t="str">
            <v>Bartholomew, IN</v>
          </cell>
          <cell r="D146">
            <v>0.09</v>
          </cell>
        </row>
        <row r="147">
          <cell r="C147" t="str">
            <v>Barton, KS</v>
          </cell>
          <cell r="D147">
            <v>0.09</v>
          </cell>
        </row>
        <row r="148">
          <cell r="C148" t="str">
            <v>Barton, MO</v>
          </cell>
          <cell r="D148">
            <v>0.09</v>
          </cell>
        </row>
        <row r="149">
          <cell r="C149" t="str">
            <v>Bartow, GA</v>
          </cell>
          <cell r="D149">
            <v>6.0999999999999999E-2</v>
          </cell>
        </row>
        <row r="150">
          <cell r="C150" t="str">
            <v>Bastrop, TX</v>
          </cell>
          <cell r="D150">
            <v>6.0999999999999999E-2</v>
          </cell>
        </row>
        <row r="151">
          <cell r="C151" t="str">
            <v>Bates, MO</v>
          </cell>
          <cell r="D151">
            <v>0.09</v>
          </cell>
        </row>
        <row r="152">
          <cell r="C152" t="str">
            <v>Bath, KY</v>
          </cell>
          <cell r="D152">
            <v>0.09</v>
          </cell>
        </row>
        <row r="153">
          <cell r="C153" t="str">
            <v>Bath, VA</v>
          </cell>
          <cell r="D153">
            <v>4.3999999999999997E-2</v>
          </cell>
        </row>
        <row r="154">
          <cell r="C154" t="str">
            <v>Baxter, AR</v>
          </cell>
          <cell r="D154">
            <v>4.3999999999999997E-2</v>
          </cell>
        </row>
        <row r="155">
          <cell r="C155" t="str">
            <v>Bay, FL</v>
          </cell>
          <cell r="D155">
            <v>4.3999999999999997E-2</v>
          </cell>
        </row>
        <row r="156">
          <cell r="C156" t="str">
            <v>Bay, MI</v>
          </cell>
          <cell r="D156">
            <v>0.09</v>
          </cell>
        </row>
        <row r="157">
          <cell r="C157" t="str">
            <v>Bayfield, WI</v>
          </cell>
          <cell r="D157">
            <v>0.09</v>
          </cell>
        </row>
        <row r="158">
          <cell r="C158" t="str">
            <v>Baylor, TX</v>
          </cell>
          <cell r="D158">
            <v>4.3999999999999997E-2</v>
          </cell>
        </row>
        <row r="159">
          <cell r="C159" t="str">
            <v>Beadle, SD</v>
          </cell>
          <cell r="D159">
            <v>4.3999999999999997E-2</v>
          </cell>
        </row>
        <row r="160">
          <cell r="C160" t="str">
            <v>Bear Lake, ID</v>
          </cell>
          <cell r="D160">
            <v>4.3999999999999997E-2</v>
          </cell>
        </row>
        <row r="161">
          <cell r="C161" t="str">
            <v>Beaufort, NC</v>
          </cell>
          <cell r="D161">
            <v>4.3999999999999997E-2</v>
          </cell>
        </row>
        <row r="162">
          <cell r="C162" t="str">
            <v>Beaufort, SC</v>
          </cell>
          <cell r="D162">
            <v>4.3999999999999997E-2</v>
          </cell>
        </row>
        <row r="163">
          <cell r="C163" t="str">
            <v>Beauregard, LA</v>
          </cell>
          <cell r="D163">
            <v>0.09</v>
          </cell>
        </row>
        <row r="164">
          <cell r="C164" t="str">
            <v>Beaver, OK</v>
          </cell>
          <cell r="D164">
            <v>0.09</v>
          </cell>
        </row>
        <row r="165">
          <cell r="C165" t="str">
            <v>Beaver, PA</v>
          </cell>
          <cell r="D165">
            <v>6.0999999999999999E-2</v>
          </cell>
        </row>
        <row r="166">
          <cell r="C166" t="str">
            <v>Beaver, UT</v>
          </cell>
          <cell r="D166">
            <v>4.3999999999999997E-2</v>
          </cell>
        </row>
        <row r="167">
          <cell r="C167" t="str">
            <v>Beaverhead, MT</v>
          </cell>
          <cell r="D167">
            <v>0.09</v>
          </cell>
        </row>
        <row r="168">
          <cell r="C168" t="str">
            <v>Becker, MN</v>
          </cell>
          <cell r="D168">
            <v>0.09</v>
          </cell>
        </row>
        <row r="169">
          <cell r="C169" t="str">
            <v>Beckham, OK</v>
          </cell>
          <cell r="D169">
            <v>0.09</v>
          </cell>
        </row>
        <row r="170">
          <cell r="C170" t="str">
            <v>Bedford, PA</v>
          </cell>
          <cell r="D170">
            <v>0.09</v>
          </cell>
        </row>
        <row r="171">
          <cell r="C171" t="str">
            <v>Bedford, TN</v>
          </cell>
          <cell r="D171">
            <v>0.09</v>
          </cell>
        </row>
        <row r="172">
          <cell r="C172" t="str">
            <v>Bedford, VA</v>
          </cell>
          <cell r="D172">
            <v>4.3999999999999997E-2</v>
          </cell>
        </row>
        <row r="173">
          <cell r="C173" t="str">
            <v>Bedford City, VA</v>
          </cell>
          <cell r="D173">
            <v>3.5000000000000003E-2</v>
          </cell>
        </row>
        <row r="174">
          <cell r="C174" t="str">
            <v>Bee, TX</v>
          </cell>
          <cell r="D174">
            <v>4.3999999999999997E-2</v>
          </cell>
        </row>
        <row r="175">
          <cell r="C175" t="str">
            <v>Belknap, NH</v>
          </cell>
          <cell r="D175">
            <v>5.7000000000000002E-2</v>
          </cell>
        </row>
        <row r="176">
          <cell r="C176" t="str">
            <v>Bell, KY</v>
          </cell>
          <cell r="D176">
            <v>5.7000000000000002E-2</v>
          </cell>
        </row>
        <row r="177">
          <cell r="C177" t="str">
            <v>Bell, TX</v>
          </cell>
          <cell r="D177">
            <v>4.3999999999999997E-2</v>
          </cell>
        </row>
        <row r="178">
          <cell r="C178" t="str">
            <v>Belmont, OH</v>
          </cell>
          <cell r="D178">
            <v>5.7000000000000002E-2</v>
          </cell>
        </row>
        <row r="179">
          <cell r="C179" t="str">
            <v>Beltrami, MN</v>
          </cell>
          <cell r="D179">
            <v>0.09</v>
          </cell>
        </row>
        <row r="180">
          <cell r="C180" t="str">
            <v>Ben Hill, GA</v>
          </cell>
          <cell r="D180">
            <v>4.3999999999999997E-2</v>
          </cell>
        </row>
        <row r="181">
          <cell r="C181" t="str">
            <v>Benewah, ID</v>
          </cell>
          <cell r="D181">
            <v>4.3999999999999997E-2</v>
          </cell>
        </row>
        <row r="182">
          <cell r="C182" t="str">
            <v>Bennett, SD</v>
          </cell>
          <cell r="D182">
            <v>4.3999999999999997E-2</v>
          </cell>
        </row>
        <row r="183">
          <cell r="C183" t="str">
            <v>Bennington, VT</v>
          </cell>
          <cell r="D183">
            <v>3.5000000000000003E-2</v>
          </cell>
        </row>
        <row r="184">
          <cell r="C184" t="str">
            <v>Benson, ND</v>
          </cell>
          <cell r="D184">
            <v>0.09</v>
          </cell>
        </row>
        <row r="185">
          <cell r="C185" t="str">
            <v>Bent, CO</v>
          </cell>
          <cell r="D185">
            <v>4.3999999999999997E-2</v>
          </cell>
        </row>
        <row r="186">
          <cell r="C186" t="str">
            <v>Benton, AR</v>
          </cell>
          <cell r="D186">
            <v>4.3999999999999997E-2</v>
          </cell>
        </row>
        <row r="187">
          <cell r="C187" t="str">
            <v>Benton, IA</v>
          </cell>
          <cell r="D187">
            <v>0.09</v>
          </cell>
        </row>
        <row r="188">
          <cell r="C188" t="str">
            <v>Benton, IN</v>
          </cell>
          <cell r="D188">
            <v>0.09</v>
          </cell>
        </row>
        <row r="189">
          <cell r="C189" t="str">
            <v>Benton, MN</v>
          </cell>
          <cell r="D189">
            <v>0.09</v>
          </cell>
        </row>
        <row r="190">
          <cell r="C190" t="str">
            <v>Benton, MO</v>
          </cell>
          <cell r="D190">
            <v>0.09</v>
          </cell>
        </row>
        <row r="191">
          <cell r="C191" t="str">
            <v>Benton, MS</v>
          </cell>
          <cell r="D191">
            <v>5.7000000000000002E-2</v>
          </cell>
        </row>
        <row r="192">
          <cell r="C192" t="str">
            <v>Benton, OR</v>
          </cell>
          <cell r="D192">
            <v>6.0999999999999999E-2</v>
          </cell>
        </row>
        <row r="193">
          <cell r="C193" t="str">
            <v>Benton, TN</v>
          </cell>
          <cell r="D193">
            <v>0.09</v>
          </cell>
        </row>
        <row r="194">
          <cell r="C194" t="str">
            <v>Benton, WA</v>
          </cell>
          <cell r="D194">
            <v>0.09</v>
          </cell>
        </row>
        <row r="195">
          <cell r="C195" t="str">
            <v>Benzie, MI</v>
          </cell>
          <cell r="D195">
            <v>0.09</v>
          </cell>
        </row>
        <row r="196">
          <cell r="C196" t="str">
            <v>Bergen, NJ</v>
          </cell>
          <cell r="D196">
            <v>6.0999999999999999E-2</v>
          </cell>
        </row>
        <row r="197">
          <cell r="C197" t="str">
            <v>Berkeley, SC</v>
          </cell>
          <cell r="D197">
            <v>4.3999999999999997E-2</v>
          </cell>
        </row>
        <row r="198">
          <cell r="C198" t="str">
            <v>Berkeley, WV</v>
          </cell>
          <cell r="D198">
            <v>6.0999999999999999E-2</v>
          </cell>
        </row>
        <row r="199">
          <cell r="C199" t="str">
            <v>Berks, PA</v>
          </cell>
          <cell r="D199">
            <v>6.0999999999999999E-2</v>
          </cell>
        </row>
        <row r="200">
          <cell r="C200" t="str">
            <v>Berkshire, MA</v>
          </cell>
          <cell r="D200">
            <v>3.5000000000000003E-2</v>
          </cell>
        </row>
        <row r="201">
          <cell r="C201" t="str">
            <v>Bernalillo, NM</v>
          </cell>
          <cell r="D201">
            <v>4.3999999999999997E-2</v>
          </cell>
        </row>
        <row r="202">
          <cell r="C202" t="str">
            <v>Berrien, GA</v>
          </cell>
          <cell r="D202">
            <v>4.3999999999999997E-2</v>
          </cell>
        </row>
        <row r="203">
          <cell r="C203" t="str">
            <v>Berrien, MI</v>
          </cell>
          <cell r="D203">
            <v>0.09</v>
          </cell>
        </row>
        <row r="204">
          <cell r="C204" t="str">
            <v>Bertie, NC</v>
          </cell>
          <cell r="D204">
            <v>5.7000000000000002E-2</v>
          </cell>
        </row>
        <row r="205">
          <cell r="C205" t="str">
            <v>Bethel, AK</v>
          </cell>
          <cell r="D205">
            <v>6.0999999999999999E-2</v>
          </cell>
        </row>
        <row r="206">
          <cell r="C206" t="str">
            <v>Bexar, TX</v>
          </cell>
          <cell r="D206">
            <v>4.3999999999999997E-2</v>
          </cell>
        </row>
        <row r="207">
          <cell r="C207" t="str">
            <v>Bibb, AL</v>
          </cell>
          <cell r="D207">
            <v>0.09</v>
          </cell>
        </row>
        <row r="208">
          <cell r="C208" t="str">
            <v>Bibb, GA</v>
          </cell>
          <cell r="D208">
            <v>4.3999999999999997E-2</v>
          </cell>
        </row>
        <row r="209">
          <cell r="C209" t="str">
            <v>Bienville, LA</v>
          </cell>
          <cell r="D209">
            <v>5.7000000000000002E-2</v>
          </cell>
        </row>
        <row r="210">
          <cell r="C210" t="str">
            <v>Big Horn, MT</v>
          </cell>
          <cell r="D210">
            <v>0.09</v>
          </cell>
        </row>
        <row r="211">
          <cell r="C211" t="str">
            <v>Big Horn, WY</v>
          </cell>
          <cell r="D211">
            <v>0.09</v>
          </cell>
        </row>
        <row r="212">
          <cell r="C212" t="str">
            <v>Big Stone, MN</v>
          </cell>
          <cell r="D212">
            <v>0.09</v>
          </cell>
        </row>
        <row r="213">
          <cell r="C213" t="str">
            <v>Billings, ND</v>
          </cell>
          <cell r="D213">
            <v>0.09</v>
          </cell>
        </row>
        <row r="214">
          <cell r="C214" t="str">
            <v>Bingham, ID</v>
          </cell>
          <cell r="D214">
            <v>4.3999999999999997E-2</v>
          </cell>
        </row>
        <row r="215">
          <cell r="C215" t="str">
            <v>Black Hawk, IA</v>
          </cell>
          <cell r="D215">
            <v>0.09</v>
          </cell>
        </row>
        <row r="216">
          <cell r="C216" t="str">
            <v>Blackford, IN</v>
          </cell>
          <cell r="D216">
            <v>0.09</v>
          </cell>
        </row>
        <row r="217">
          <cell r="C217" t="str">
            <v>Bladen, NC</v>
          </cell>
          <cell r="D217">
            <v>4.3999999999999997E-2</v>
          </cell>
        </row>
        <row r="218">
          <cell r="C218" t="str">
            <v>Blaine, ID</v>
          </cell>
          <cell r="D218">
            <v>6.0999999999999999E-2</v>
          </cell>
        </row>
        <row r="219">
          <cell r="C219" t="str">
            <v>Blaine, MT</v>
          </cell>
          <cell r="D219">
            <v>0.09</v>
          </cell>
        </row>
        <row r="220">
          <cell r="C220" t="str">
            <v>Blaine, NE</v>
          </cell>
          <cell r="D220">
            <v>0.09</v>
          </cell>
        </row>
        <row r="221">
          <cell r="C221" t="str">
            <v>Blaine, OK</v>
          </cell>
          <cell r="D221">
            <v>0.09</v>
          </cell>
        </row>
        <row r="222">
          <cell r="C222" t="str">
            <v>Blair, PA</v>
          </cell>
          <cell r="D222">
            <v>0.09</v>
          </cell>
        </row>
        <row r="223">
          <cell r="C223" t="str">
            <v>Blanco, TX</v>
          </cell>
          <cell r="D223">
            <v>5.7000000000000002E-2</v>
          </cell>
        </row>
        <row r="224">
          <cell r="C224" t="str">
            <v>Bland, VA</v>
          </cell>
          <cell r="D224">
            <v>4.3999999999999997E-2</v>
          </cell>
        </row>
        <row r="225">
          <cell r="C225" t="str">
            <v>Bleckley, GA</v>
          </cell>
          <cell r="D225">
            <v>4.3999999999999997E-2</v>
          </cell>
        </row>
        <row r="226">
          <cell r="C226" t="str">
            <v>Bledsoe, TN</v>
          </cell>
          <cell r="D226">
            <v>0.09</v>
          </cell>
        </row>
        <row r="227">
          <cell r="C227" t="str">
            <v>Blount, AL</v>
          </cell>
          <cell r="D227">
            <v>6.0999999999999999E-2</v>
          </cell>
        </row>
        <row r="228">
          <cell r="C228" t="str">
            <v>Blount, TN</v>
          </cell>
          <cell r="D228">
            <v>0.09</v>
          </cell>
        </row>
        <row r="229">
          <cell r="C229" t="str">
            <v>Blue Earth, MN</v>
          </cell>
          <cell r="D229">
            <v>0.09</v>
          </cell>
        </row>
        <row r="230">
          <cell r="C230" t="str">
            <v>Boise, ID</v>
          </cell>
          <cell r="D230">
            <v>4.3999999999999997E-2</v>
          </cell>
        </row>
        <row r="231">
          <cell r="C231" t="str">
            <v>Bolivar, MS</v>
          </cell>
          <cell r="D231">
            <v>5.7000000000000002E-2</v>
          </cell>
        </row>
        <row r="232">
          <cell r="C232" t="str">
            <v>Bollinger, MO</v>
          </cell>
          <cell r="D232">
            <v>0.09</v>
          </cell>
        </row>
        <row r="233">
          <cell r="C233" t="str">
            <v>Bon Homme, SD</v>
          </cell>
          <cell r="D233">
            <v>4.3999999999999997E-2</v>
          </cell>
        </row>
        <row r="234">
          <cell r="C234" t="str">
            <v>Bond, IL</v>
          </cell>
          <cell r="D234">
            <v>0.09</v>
          </cell>
        </row>
        <row r="235">
          <cell r="C235" t="str">
            <v>Bonner, ID</v>
          </cell>
          <cell r="D235">
            <v>4.3999999999999997E-2</v>
          </cell>
        </row>
        <row r="236">
          <cell r="C236" t="str">
            <v>Bonneville, ID</v>
          </cell>
          <cell r="D236">
            <v>4.3999999999999997E-2</v>
          </cell>
        </row>
        <row r="237">
          <cell r="C237" t="str">
            <v>Boone, AR</v>
          </cell>
          <cell r="D237">
            <v>4.3999999999999997E-2</v>
          </cell>
        </row>
        <row r="238">
          <cell r="C238" t="str">
            <v>Boone, IA</v>
          </cell>
          <cell r="D238">
            <v>0.09</v>
          </cell>
        </row>
        <row r="239">
          <cell r="C239" t="str">
            <v>Boone, IL</v>
          </cell>
          <cell r="D239">
            <v>5.7000000000000002E-2</v>
          </cell>
        </row>
        <row r="240">
          <cell r="C240" t="str">
            <v>Boone, IN</v>
          </cell>
          <cell r="D240">
            <v>6.0999999999999999E-2</v>
          </cell>
        </row>
        <row r="241">
          <cell r="C241" t="str">
            <v>Boone, KY</v>
          </cell>
          <cell r="D241">
            <v>6.0999999999999999E-2</v>
          </cell>
        </row>
        <row r="242">
          <cell r="C242" t="str">
            <v>Boone, MO</v>
          </cell>
          <cell r="D242">
            <v>6.0999999999999999E-2</v>
          </cell>
        </row>
        <row r="243">
          <cell r="C243" t="str">
            <v>Boone, NE</v>
          </cell>
          <cell r="D243">
            <v>0.09</v>
          </cell>
        </row>
        <row r="244">
          <cell r="C244" t="str">
            <v>Boone, WV</v>
          </cell>
          <cell r="D244">
            <v>0.09</v>
          </cell>
        </row>
        <row r="245">
          <cell r="C245" t="str">
            <v>Borden, TX</v>
          </cell>
          <cell r="D245">
            <v>4.3999999999999997E-2</v>
          </cell>
        </row>
        <row r="246">
          <cell r="C246" t="str">
            <v>Bosque, TX</v>
          </cell>
          <cell r="D246">
            <v>5.7000000000000002E-2</v>
          </cell>
        </row>
        <row r="247">
          <cell r="C247" t="str">
            <v>Bossier, LA</v>
          </cell>
          <cell r="D247">
            <v>0.09</v>
          </cell>
        </row>
        <row r="248">
          <cell r="C248" t="str">
            <v>Botetourt, VA</v>
          </cell>
          <cell r="D248">
            <v>6.0999999999999999E-2</v>
          </cell>
        </row>
        <row r="249">
          <cell r="C249" t="str">
            <v>Bottineau, ND</v>
          </cell>
          <cell r="D249">
            <v>0.09</v>
          </cell>
        </row>
        <row r="250">
          <cell r="C250" t="str">
            <v>Boulder, CO</v>
          </cell>
          <cell r="D250">
            <v>6.0999999999999999E-2</v>
          </cell>
        </row>
        <row r="251">
          <cell r="C251" t="str">
            <v>Boundary, ID</v>
          </cell>
          <cell r="D251">
            <v>4.3999999999999997E-2</v>
          </cell>
        </row>
        <row r="252">
          <cell r="C252" t="str">
            <v>Bourbon, KS</v>
          </cell>
          <cell r="D252">
            <v>0.09</v>
          </cell>
        </row>
        <row r="253">
          <cell r="C253" t="str">
            <v>Bourbon, KY</v>
          </cell>
          <cell r="D253">
            <v>3.5000000000000003E-2</v>
          </cell>
        </row>
        <row r="254">
          <cell r="C254" t="str">
            <v>Bowie, TX</v>
          </cell>
          <cell r="D254">
            <v>4.3999999999999997E-2</v>
          </cell>
        </row>
        <row r="255">
          <cell r="C255" t="str">
            <v>Bowman, ND</v>
          </cell>
          <cell r="D255">
            <v>0.09</v>
          </cell>
        </row>
        <row r="256">
          <cell r="C256" t="str">
            <v>Box Butte, NE</v>
          </cell>
          <cell r="D256">
            <v>0.09</v>
          </cell>
        </row>
        <row r="257">
          <cell r="C257" t="str">
            <v>Box Elder, UT</v>
          </cell>
          <cell r="D257">
            <v>4.3999999999999997E-2</v>
          </cell>
        </row>
        <row r="258">
          <cell r="C258" t="str">
            <v>Boyd, KY</v>
          </cell>
          <cell r="D258">
            <v>0.09</v>
          </cell>
        </row>
        <row r="259">
          <cell r="C259" t="str">
            <v>Boyd, NE</v>
          </cell>
          <cell r="D259">
            <v>0.09</v>
          </cell>
        </row>
        <row r="260">
          <cell r="C260" t="str">
            <v>Boyle, KY</v>
          </cell>
          <cell r="D260">
            <v>0.09</v>
          </cell>
        </row>
        <row r="261">
          <cell r="C261" t="str">
            <v>Bracken, KY</v>
          </cell>
          <cell r="D261">
            <v>0.09</v>
          </cell>
        </row>
        <row r="262">
          <cell r="C262" t="str">
            <v>Bradford, FL</v>
          </cell>
          <cell r="D262">
            <v>4.3999999999999997E-2</v>
          </cell>
        </row>
        <row r="263">
          <cell r="C263" t="str">
            <v>Bradford, PA</v>
          </cell>
          <cell r="D263">
            <v>0.09</v>
          </cell>
        </row>
        <row r="264">
          <cell r="C264" t="str">
            <v>Bradley, AR</v>
          </cell>
          <cell r="D264">
            <v>4.3999999999999997E-2</v>
          </cell>
        </row>
        <row r="265">
          <cell r="C265" t="str">
            <v>Bradley, TN</v>
          </cell>
          <cell r="D265">
            <v>0.09</v>
          </cell>
        </row>
        <row r="266">
          <cell r="C266" t="str">
            <v>Branch, MI</v>
          </cell>
          <cell r="D266">
            <v>0.09</v>
          </cell>
        </row>
        <row r="267">
          <cell r="C267" t="str">
            <v>Brantley, GA</v>
          </cell>
          <cell r="D267">
            <v>4.3999999999999997E-2</v>
          </cell>
        </row>
        <row r="268">
          <cell r="C268" t="str">
            <v>Braxton, WV</v>
          </cell>
          <cell r="D268">
            <v>0.09</v>
          </cell>
        </row>
        <row r="269">
          <cell r="C269" t="str">
            <v>Brazoria, TX</v>
          </cell>
          <cell r="D269">
            <v>4.3999999999999997E-2</v>
          </cell>
        </row>
        <row r="270">
          <cell r="C270" t="str">
            <v>Brazos, TX</v>
          </cell>
          <cell r="D270">
            <v>4.3999999999999997E-2</v>
          </cell>
        </row>
        <row r="271">
          <cell r="C271" t="str">
            <v>Breathitt, KY</v>
          </cell>
          <cell r="D271">
            <v>5.7000000000000002E-2</v>
          </cell>
        </row>
        <row r="272">
          <cell r="C272" t="str">
            <v>Breckinridge, KY</v>
          </cell>
          <cell r="D272">
            <v>0.09</v>
          </cell>
        </row>
        <row r="273">
          <cell r="C273" t="str">
            <v>Bremer, IA</v>
          </cell>
          <cell r="D273">
            <v>0.09</v>
          </cell>
        </row>
        <row r="274">
          <cell r="C274" t="str">
            <v>Brevard, FL</v>
          </cell>
          <cell r="D274">
            <v>5.7000000000000002E-2</v>
          </cell>
        </row>
        <row r="275">
          <cell r="C275" t="str">
            <v>Brewster, TX</v>
          </cell>
          <cell r="D275">
            <v>4.3999999999999997E-2</v>
          </cell>
        </row>
        <row r="276">
          <cell r="C276" t="str">
            <v>Briscoe, TX</v>
          </cell>
          <cell r="D276">
            <v>4.3999999999999997E-2</v>
          </cell>
        </row>
        <row r="277">
          <cell r="C277" t="str">
            <v>Bristol, MA</v>
          </cell>
          <cell r="D277">
            <v>2.4E-2</v>
          </cell>
        </row>
        <row r="278">
          <cell r="C278" t="str">
            <v>Bristol, RI</v>
          </cell>
          <cell r="D278">
            <v>6.0999999999999999E-2</v>
          </cell>
        </row>
        <row r="279">
          <cell r="C279" t="str">
            <v>Bristol Bay, AK</v>
          </cell>
          <cell r="D279">
            <v>6.0999999999999999E-2</v>
          </cell>
        </row>
        <row r="280">
          <cell r="C280" t="str">
            <v>Bristol City, VA</v>
          </cell>
          <cell r="D280">
            <v>4.3999999999999997E-2</v>
          </cell>
        </row>
        <row r="281">
          <cell r="C281" t="str">
            <v>Broadwater, MT</v>
          </cell>
          <cell r="D281">
            <v>0.09</v>
          </cell>
        </row>
        <row r="282">
          <cell r="C282" t="str">
            <v>Bronx, NY</v>
          </cell>
          <cell r="D282">
            <v>6.0999999999999999E-2</v>
          </cell>
        </row>
        <row r="283">
          <cell r="C283" t="str">
            <v>Brooke, WV</v>
          </cell>
          <cell r="D283">
            <v>0.09</v>
          </cell>
        </row>
        <row r="284">
          <cell r="C284" t="str">
            <v>Brookings, SD</v>
          </cell>
          <cell r="D284">
            <v>4.3999999999999997E-2</v>
          </cell>
        </row>
        <row r="285">
          <cell r="C285" t="str">
            <v>Brooks, GA</v>
          </cell>
          <cell r="D285">
            <v>4.3999999999999997E-2</v>
          </cell>
        </row>
        <row r="286">
          <cell r="C286" t="str">
            <v>Brooks, TX</v>
          </cell>
          <cell r="D286">
            <v>5.7000000000000002E-2</v>
          </cell>
        </row>
        <row r="287">
          <cell r="C287" t="str">
            <v>Broome, NY</v>
          </cell>
          <cell r="D287">
            <v>0.09</v>
          </cell>
        </row>
        <row r="288">
          <cell r="C288" t="str">
            <v>Broward, FL</v>
          </cell>
          <cell r="D288">
            <v>2.1999999999999999E-2</v>
          </cell>
        </row>
        <row r="289">
          <cell r="C289" t="str">
            <v>Brown, IL</v>
          </cell>
          <cell r="D289">
            <v>0.09</v>
          </cell>
        </row>
        <row r="290">
          <cell r="C290" t="str">
            <v>Brown, IN</v>
          </cell>
          <cell r="D290">
            <v>0.09</v>
          </cell>
        </row>
        <row r="291">
          <cell r="C291" t="str">
            <v>Brown, KS</v>
          </cell>
          <cell r="D291">
            <v>0.09</v>
          </cell>
        </row>
        <row r="292">
          <cell r="C292" t="str">
            <v>Brown, MN</v>
          </cell>
          <cell r="D292">
            <v>0.09</v>
          </cell>
        </row>
        <row r="293">
          <cell r="C293" t="str">
            <v>Brown, NE</v>
          </cell>
          <cell r="D293">
            <v>0.09</v>
          </cell>
        </row>
        <row r="294">
          <cell r="C294" t="str">
            <v>Brown, OH</v>
          </cell>
          <cell r="D294">
            <v>6.0999999999999999E-2</v>
          </cell>
        </row>
        <row r="295">
          <cell r="C295" t="str">
            <v>Brown, SD</v>
          </cell>
          <cell r="D295">
            <v>4.3999999999999997E-2</v>
          </cell>
        </row>
        <row r="296">
          <cell r="C296" t="str">
            <v>Brown, TX</v>
          </cell>
          <cell r="D296">
            <v>4.3999999999999997E-2</v>
          </cell>
        </row>
        <row r="297">
          <cell r="C297" t="str">
            <v>Brown, WI</v>
          </cell>
          <cell r="D297">
            <v>6.0999999999999999E-2</v>
          </cell>
        </row>
        <row r="298">
          <cell r="C298" t="str">
            <v>Brule, SD</v>
          </cell>
          <cell r="D298">
            <v>4.3999999999999997E-2</v>
          </cell>
        </row>
        <row r="299">
          <cell r="C299" t="str">
            <v>Brunswick, NC</v>
          </cell>
          <cell r="D299">
            <v>4.3999999999999997E-2</v>
          </cell>
        </row>
        <row r="300">
          <cell r="C300" t="str">
            <v>Brunswick, VA</v>
          </cell>
          <cell r="D300">
            <v>4.3999999999999997E-2</v>
          </cell>
        </row>
        <row r="301">
          <cell r="C301" t="str">
            <v>Bryan, GA</v>
          </cell>
          <cell r="D301">
            <v>6.0999999999999999E-2</v>
          </cell>
        </row>
        <row r="302">
          <cell r="C302" t="str">
            <v>Bryan, OK</v>
          </cell>
          <cell r="D302">
            <v>0.09</v>
          </cell>
        </row>
        <row r="303">
          <cell r="C303" t="str">
            <v>Buchanan, IA</v>
          </cell>
          <cell r="D303">
            <v>0.09</v>
          </cell>
        </row>
        <row r="304">
          <cell r="C304" t="str">
            <v>Buchanan, MO</v>
          </cell>
          <cell r="D304">
            <v>5.7000000000000002E-2</v>
          </cell>
        </row>
        <row r="305">
          <cell r="C305" t="str">
            <v>Buchanan, VA</v>
          </cell>
          <cell r="D305">
            <v>4.3999999999999997E-2</v>
          </cell>
        </row>
        <row r="306">
          <cell r="C306" t="str">
            <v>Buckingham, VA</v>
          </cell>
          <cell r="D306">
            <v>4.3999999999999997E-2</v>
          </cell>
        </row>
        <row r="307">
          <cell r="C307" t="str">
            <v>Bucks, PA</v>
          </cell>
          <cell r="D307">
            <v>6.0999999999999999E-2</v>
          </cell>
        </row>
        <row r="308">
          <cell r="C308" t="str">
            <v>Buena Vista, IA</v>
          </cell>
          <cell r="D308">
            <v>0.09</v>
          </cell>
        </row>
        <row r="309">
          <cell r="C309" t="str">
            <v>Buena Vista City, VA</v>
          </cell>
          <cell r="D309">
            <v>4.3999999999999997E-2</v>
          </cell>
        </row>
        <row r="310">
          <cell r="C310" t="str">
            <v>Buffalo, NE</v>
          </cell>
          <cell r="D310">
            <v>0.09</v>
          </cell>
        </row>
        <row r="311">
          <cell r="C311" t="str">
            <v>Buffalo, SD</v>
          </cell>
          <cell r="D311">
            <v>4.3999999999999997E-2</v>
          </cell>
        </row>
        <row r="312">
          <cell r="C312" t="str">
            <v>Buffalo, WI</v>
          </cell>
          <cell r="D312">
            <v>0.09</v>
          </cell>
        </row>
        <row r="313">
          <cell r="C313" t="str">
            <v>Bullitt, KY</v>
          </cell>
          <cell r="D313">
            <v>6.0999999999999999E-2</v>
          </cell>
        </row>
        <row r="314">
          <cell r="C314" t="str">
            <v>Bulloch, GA</v>
          </cell>
          <cell r="D314">
            <v>4.3999999999999997E-2</v>
          </cell>
        </row>
        <row r="315">
          <cell r="C315" t="str">
            <v>Bullock, AL</v>
          </cell>
          <cell r="D315">
            <v>0.09</v>
          </cell>
        </row>
        <row r="316">
          <cell r="C316" t="str">
            <v>Buncombe, NC</v>
          </cell>
          <cell r="D316">
            <v>6.0999999999999999E-2</v>
          </cell>
        </row>
        <row r="317">
          <cell r="C317" t="str">
            <v>Bureau, IL</v>
          </cell>
          <cell r="D317">
            <v>0.09</v>
          </cell>
        </row>
        <row r="318">
          <cell r="C318" t="str">
            <v>Burke, GA</v>
          </cell>
          <cell r="D318">
            <v>5.7000000000000002E-2</v>
          </cell>
        </row>
        <row r="319">
          <cell r="C319" t="str">
            <v>Burke, NC</v>
          </cell>
          <cell r="D319">
            <v>4.3999999999999997E-2</v>
          </cell>
        </row>
        <row r="320">
          <cell r="C320" t="str">
            <v>Burke, ND</v>
          </cell>
          <cell r="D320">
            <v>0.09</v>
          </cell>
        </row>
        <row r="321">
          <cell r="C321" t="str">
            <v>Burleigh, ND</v>
          </cell>
          <cell r="D321">
            <v>0.09</v>
          </cell>
        </row>
        <row r="322">
          <cell r="C322" t="str">
            <v>Burleson, TX</v>
          </cell>
          <cell r="D322">
            <v>5.7000000000000002E-2</v>
          </cell>
        </row>
        <row r="323">
          <cell r="C323" t="str">
            <v>Burlington, NJ</v>
          </cell>
          <cell r="D323">
            <v>6.0999999999999999E-2</v>
          </cell>
        </row>
        <row r="324">
          <cell r="C324" t="str">
            <v>Burnet, TX</v>
          </cell>
          <cell r="D324">
            <v>4.3999999999999997E-2</v>
          </cell>
        </row>
        <row r="325">
          <cell r="C325" t="str">
            <v>Burnett, WI</v>
          </cell>
          <cell r="D325">
            <v>0.09</v>
          </cell>
        </row>
        <row r="326">
          <cell r="C326" t="str">
            <v>Burt, NE</v>
          </cell>
          <cell r="D326">
            <v>0.09</v>
          </cell>
        </row>
        <row r="327">
          <cell r="C327" t="str">
            <v>Butler, AL</v>
          </cell>
          <cell r="D327">
            <v>0.09</v>
          </cell>
        </row>
        <row r="328">
          <cell r="C328" t="str">
            <v>Butler, IA</v>
          </cell>
          <cell r="D328">
            <v>0.09</v>
          </cell>
        </row>
        <row r="329">
          <cell r="C329" t="str">
            <v>Butler, KS</v>
          </cell>
          <cell r="D329">
            <v>6.0999999999999999E-2</v>
          </cell>
        </row>
        <row r="330">
          <cell r="C330" t="str">
            <v>Butler, KY</v>
          </cell>
          <cell r="D330">
            <v>0.09</v>
          </cell>
        </row>
        <row r="331">
          <cell r="C331" t="str">
            <v>Butler, MO</v>
          </cell>
          <cell r="D331">
            <v>0.09</v>
          </cell>
        </row>
        <row r="332">
          <cell r="C332" t="str">
            <v>Butler, NE</v>
          </cell>
          <cell r="D332">
            <v>0.09</v>
          </cell>
        </row>
        <row r="333">
          <cell r="C333" t="str">
            <v>Butler, OH</v>
          </cell>
          <cell r="D333">
            <v>6.0999999999999999E-2</v>
          </cell>
        </row>
        <row r="334">
          <cell r="C334" t="str">
            <v>Butler, PA</v>
          </cell>
          <cell r="D334">
            <v>6.0999999999999999E-2</v>
          </cell>
        </row>
        <row r="335">
          <cell r="C335" t="str">
            <v>Butte, CA</v>
          </cell>
          <cell r="D335">
            <v>5.7000000000000002E-2</v>
          </cell>
        </row>
        <row r="336">
          <cell r="C336" t="str">
            <v>Butte, ID</v>
          </cell>
          <cell r="D336">
            <v>4.3999999999999997E-2</v>
          </cell>
        </row>
        <row r="337">
          <cell r="C337" t="str">
            <v>Butte, SD</v>
          </cell>
          <cell r="D337">
            <v>4.3999999999999997E-2</v>
          </cell>
        </row>
        <row r="338">
          <cell r="C338" t="str">
            <v>Butts, GA</v>
          </cell>
          <cell r="D338">
            <v>5.7000000000000002E-2</v>
          </cell>
        </row>
        <row r="339">
          <cell r="C339" t="str">
            <v>Cabarrus, NC</v>
          </cell>
          <cell r="D339">
            <v>6.0999999999999999E-2</v>
          </cell>
        </row>
        <row r="340">
          <cell r="C340" t="str">
            <v>Cabell, WV</v>
          </cell>
          <cell r="D340">
            <v>0.09</v>
          </cell>
        </row>
        <row r="341">
          <cell r="C341" t="str">
            <v>Cache, UT</v>
          </cell>
          <cell r="D341">
            <v>4.3999999999999997E-2</v>
          </cell>
        </row>
        <row r="342">
          <cell r="C342" t="str">
            <v>Caddo, LA</v>
          </cell>
          <cell r="D342">
            <v>5.7000000000000002E-2</v>
          </cell>
        </row>
        <row r="343">
          <cell r="C343" t="str">
            <v>Caddo, OK</v>
          </cell>
          <cell r="D343">
            <v>0.09</v>
          </cell>
        </row>
        <row r="344">
          <cell r="C344" t="str">
            <v>Calaveras, CA</v>
          </cell>
          <cell r="D344">
            <v>0.09</v>
          </cell>
        </row>
        <row r="345">
          <cell r="C345" t="str">
            <v>Calcasieu, LA</v>
          </cell>
          <cell r="D345">
            <v>0.09</v>
          </cell>
        </row>
        <row r="346">
          <cell r="C346" t="str">
            <v>Caldwell, KY</v>
          </cell>
          <cell r="D346">
            <v>0.09</v>
          </cell>
        </row>
        <row r="347">
          <cell r="C347" t="str">
            <v>Caldwell, LA</v>
          </cell>
          <cell r="D347">
            <v>0.09</v>
          </cell>
        </row>
        <row r="348">
          <cell r="C348" t="str">
            <v>Caldwell, MO</v>
          </cell>
          <cell r="D348">
            <v>0.09</v>
          </cell>
        </row>
        <row r="349">
          <cell r="C349" t="str">
            <v>Caldwell, NC</v>
          </cell>
          <cell r="D349">
            <v>4.3999999999999997E-2</v>
          </cell>
        </row>
        <row r="350">
          <cell r="C350" t="str">
            <v>Caldwell, TX</v>
          </cell>
          <cell r="D350">
            <v>6.0999999999999999E-2</v>
          </cell>
        </row>
        <row r="351">
          <cell r="C351" t="str">
            <v>Caledonia, VT</v>
          </cell>
          <cell r="D351">
            <v>0.09</v>
          </cell>
        </row>
        <row r="352">
          <cell r="C352" t="str">
            <v>Calhoun, AL</v>
          </cell>
          <cell r="D352">
            <v>0.09</v>
          </cell>
        </row>
        <row r="353">
          <cell r="C353" t="str">
            <v>Calhoun, AR</v>
          </cell>
          <cell r="D353">
            <v>4.3999999999999997E-2</v>
          </cell>
        </row>
        <row r="354">
          <cell r="C354" t="str">
            <v>Calhoun, FL</v>
          </cell>
          <cell r="D354">
            <v>4.3999999999999997E-2</v>
          </cell>
        </row>
        <row r="355">
          <cell r="C355" t="str">
            <v>Calhoun, GA</v>
          </cell>
          <cell r="D355">
            <v>4.3999999999999997E-2</v>
          </cell>
        </row>
        <row r="356">
          <cell r="C356" t="str">
            <v>Calhoun, IA</v>
          </cell>
          <cell r="D356">
            <v>0.09</v>
          </cell>
        </row>
        <row r="357">
          <cell r="C357" t="str">
            <v>Calhoun, IL</v>
          </cell>
          <cell r="D357">
            <v>0.09</v>
          </cell>
        </row>
        <row r="358">
          <cell r="C358" t="str">
            <v>Calhoun, MI</v>
          </cell>
          <cell r="D358">
            <v>0.09</v>
          </cell>
        </row>
        <row r="359">
          <cell r="C359" t="str">
            <v>Calhoun, MS</v>
          </cell>
          <cell r="D359">
            <v>4.3999999999999997E-2</v>
          </cell>
        </row>
        <row r="360">
          <cell r="C360" t="str">
            <v>Calhoun, SC</v>
          </cell>
          <cell r="D360">
            <v>4.3999999999999997E-2</v>
          </cell>
        </row>
        <row r="361">
          <cell r="C361" t="str">
            <v>Calhoun, TX</v>
          </cell>
          <cell r="D361">
            <v>4.3999999999999997E-2</v>
          </cell>
        </row>
        <row r="362">
          <cell r="C362" t="str">
            <v>Calhoun, WV</v>
          </cell>
          <cell r="D362">
            <v>0.09</v>
          </cell>
        </row>
        <row r="363">
          <cell r="C363" t="str">
            <v>Callahan, TX</v>
          </cell>
          <cell r="D363">
            <v>4.3999999999999997E-2</v>
          </cell>
        </row>
        <row r="364">
          <cell r="C364" t="str">
            <v>Callaway, MO</v>
          </cell>
          <cell r="D364">
            <v>0.09</v>
          </cell>
        </row>
        <row r="365">
          <cell r="C365" t="str">
            <v>Calloway, KY</v>
          </cell>
          <cell r="D365">
            <v>0.09</v>
          </cell>
        </row>
        <row r="366">
          <cell r="C366" t="str">
            <v>Calumet, WI</v>
          </cell>
          <cell r="D366">
            <v>6.0999999999999999E-2</v>
          </cell>
        </row>
        <row r="367">
          <cell r="C367" t="str">
            <v>Calvert, MD</v>
          </cell>
          <cell r="D367">
            <v>6.0999999999999999E-2</v>
          </cell>
        </row>
        <row r="368">
          <cell r="C368" t="str">
            <v>Camas, ID</v>
          </cell>
          <cell r="D368">
            <v>4.3999999999999997E-2</v>
          </cell>
        </row>
        <row r="369">
          <cell r="C369" t="str">
            <v>Cambria, PA</v>
          </cell>
          <cell r="D369">
            <v>0.09</v>
          </cell>
        </row>
        <row r="370">
          <cell r="C370" t="str">
            <v>Camden, GA</v>
          </cell>
          <cell r="D370">
            <v>4.3999999999999997E-2</v>
          </cell>
        </row>
        <row r="371">
          <cell r="C371" t="str">
            <v>Camden, MO</v>
          </cell>
          <cell r="D371">
            <v>0.09</v>
          </cell>
        </row>
        <row r="372">
          <cell r="C372" t="str">
            <v>Camden, NC</v>
          </cell>
          <cell r="D372">
            <v>4.3999999999999997E-2</v>
          </cell>
        </row>
        <row r="373">
          <cell r="C373" t="str">
            <v>Camden, NJ</v>
          </cell>
          <cell r="D373">
            <v>6.0999999999999999E-2</v>
          </cell>
        </row>
        <row r="374">
          <cell r="C374" t="str">
            <v>Cameron, LA</v>
          </cell>
          <cell r="D374">
            <v>0.09</v>
          </cell>
        </row>
        <row r="375">
          <cell r="C375" t="str">
            <v>Cameron, PA</v>
          </cell>
          <cell r="D375">
            <v>0.09</v>
          </cell>
        </row>
        <row r="376">
          <cell r="C376" t="str">
            <v>Cameron, TX</v>
          </cell>
          <cell r="D376">
            <v>4.3999999999999997E-2</v>
          </cell>
        </row>
        <row r="377">
          <cell r="C377" t="str">
            <v>Camp, TX</v>
          </cell>
          <cell r="D377">
            <v>4.3999999999999997E-2</v>
          </cell>
        </row>
        <row r="378">
          <cell r="C378" t="str">
            <v>Campbell, KY</v>
          </cell>
          <cell r="D378">
            <v>6.0999999999999999E-2</v>
          </cell>
        </row>
        <row r="379">
          <cell r="C379" t="str">
            <v>Campbell, SD</v>
          </cell>
          <cell r="D379">
            <v>4.3999999999999997E-2</v>
          </cell>
        </row>
        <row r="380">
          <cell r="C380" t="str">
            <v>Campbell, TN</v>
          </cell>
          <cell r="D380">
            <v>0.09</v>
          </cell>
        </row>
        <row r="381">
          <cell r="C381" t="str">
            <v>Campbell, VA</v>
          </cell>
          <cell r="D381">
            <v>4.3999999999999997E-2</v>
          </cell>
        </row>
        <row r="382">
          <cell r="C382" t="str">
            <v>Campbell, WY</v>
          </cell>
          <cell r="D382">
            <v>0.09</v>
          </cell>
        </row>
        <row r="383">
          <cell r="C383" t="str">
            <v>Canadian, OK</v>
          </cell>
          <cell r="D383">
            <v>0.09</v>
          </cell>
        </row>
        <row r="384">
          <cell r="C384" t="str">
            <v>Candler, GA</v>
          </cell>
          <cell r="D384">
            <v>4.3999999999999997E-2</v>
          </cell>
        </row>
        <row r="385">
          <cell r="C385" t="str">
            <v>Cannon, TN</v>
          </cell>
          <cell r="D385">
            <v>0.09</v>
          </cell>
        </row>
        <row r="386">
          <cell r="C386" t="str">
            <v>Canyon, ID</v>
          </cell>
          <cell r="D386">
            <v>6.0999999999999999E-2</v>
          </cell>
        </row>
        <row r="387">
          <cell r="C387" t="str">
            <v>Cape Girardeau, MO</v>
          </cell>
          <cell r="D387">
            <v>0.09</v>
          </cell>
        </row>
        <row r="388">
          <cell r="C388" t="str">
            <v>Cape May, NJ</v>
          </cell>
          <cell r="D388">
            <v>6.0999999999999999E-2</v>
          </cell>
        </row>
        <row r="389">
          <cell r="C389" t="str">
            <v>Carbon, MT</v>
          </cell>
          <cell r="D389">
            <v>0.09</v>
          </cell>
        </row>
        <row r="390">
          <cell r="C390" t="str">
            <v>Carbon, PA</v>
          </cell>
          <cell r="D390">
            <v>6.0999999999999999E-2</v>
          </cell>
        </row>
        <row r="391">
          <cell r="C391" t="str">
            <v>Carbon, UT</v>
          </cell>
          <cell r="D391">
            <v>4.3999999999999997E-2</v>
          </cell>
        </row>
        <row r="392">
          <cell r="C392" t="str">
            <v>Carbon, WY</v>
          </cell>
          <cell r="D392">
            <v>0.09</v>
          </cell>
        </row>
        <row r="393">
          <cell r="C393" t="str">
            <v>Caribou, ID</v>
          </cell>
          <cell r="D393">
            <v>4.3999999999999997E-2</v>
          </cell>
        </row>
        <row r="394">
          <cell r="C394" t="str">
            <v>Carlisle, KY</v>
          </cell>
          <cell r="D394">
            <v>0.09</v>
          </cell>
        </row>
        <row r="395">
          <cell r="C395" t="str">
            <v>Carlton, MN</v>
          </cell>
          <cell r="D395">
            <v>0.09</v>
          </cell>
        </row>
        <row r="396">
          <cell r="C396" t="str">
            <v>Caroline, MD</v>
          </cell>
          <cell r="D396">
            <v>5.7000000000000002E-2</v>
          </cell>
        </row>
        <row r="397">
          <cell r="C397" t="str">
            <v>Caroline, VA</v>
          </cell>
          <cell r="D397">
            <v>4.3999999999999997E-2</v>
          </cell>
        </row>
        <row r="398">
          <cell r="C398" t="str">
            <v>Carroll, AR</v>
          </cell>
          <cell r="D398">
            <v>4.3999999999999997E-2</v>
          </cell>
        </row>
        <row r="399">
          <cell r="C399" t="str">
            <v>Carroll, GA</v>
          </cell>
          <cell r="D399">
            <v>6.0999999999999999E-2</v>
          </cell>
        </row>
        <row r="400">
          <cell r="C400" t="str">
            <v>Carroll, IA</v>
          </cell>
          <cell r="D400">
            <v>0.09</v>
          </cell>
        </row>
        <row r="401">
          <cell r="C401" t="str">
            <v>Carroll, IL</v>
          </cell>
          <cell r="D401">
            <v>0.09</v>
          </cell>
        </row>
        <row r="402">
          <cell r="C402" t="str">
            <v>Carroll, IN</v>
          </cell>
          <cell r="D402">
            <v>0.09</v>
          </cell>
        </row>
        <row r="403">
          <cell r="C403" t="str">
            <v>Carroll, KY</v>
          </cell>
          <cell r="D403">
            <v>0.09</v>
          </cell>
        </row>
        <row r="404">
          <cell r="C404" t="str">
            <v>Carroll, MD</v>
          </cell>
          <cell r="D404">
            <v>6.0999999999999999E-2</v>
          </cell>
        </row>
        <row r="405">
          <cell r="C405" t="str">
            <v>Carroll, MO</v>
          </cell>
          <cell r="D405">
            <v>0.09</v>
          </cell>
        </row>
        <row r="406">
          <cell r="C406" t="str">
            <v>Carroll, MS</v>
          </cell>
          <cell r="D406">
            <v>4.3999999999999997E-2</v>
          </cell>
        </row>
        <row r="407">
          <cell r="C407" t="str">
            <v>Carroll, NH</v>
          </cell>
          <cell r="D407">
            <v>0.09</v>
          </cell>
        </row>
        <row r="408">
          <cell r="C408" t="str">
            <v>Carroll, OH</v>
          </cell>
          <cell r="D408">
            <v>0.09</v>
          </cell>
        </row>
        <row r="409">
          <cell r="C409" t="str">
            <v>Carroll, TN</v>
          </cell>
          <cell r="D409">
            <v>0.09</v>
          </cell>
        </row>
        <row r="410">
          <cell r="C410" t="str">
            <v>Carroll, VA</v>
          </cell>
          <cell r="D410">
            <v>4.3999999999999997E-2</v>
          </cell>
        </row>
        <row r="411">
          <cell r="C411" t="str">
            <v>Carson, TX</v>
          </cell>
          <cell r="D411">
            <v>4.3999999999999997E-2</v>
          </cell>
        </row>
        <row r="412">
          <cell r="C412" t="str">
            <v>Carson City, NV</v>
          </cell>
          <cell r="D412">
            <v>0.09</v>
          </cell>
        </row>
        <row r="413">
          <cell r="C413" t="str">
            <v>Carter, KY</v>
          </cell>
          <cell r="D413">
            <v>0.09</v>
          </cell>
        </row>
        <row r="414">
          <cell r="C414" t="str">
            <v>Carter, MO</v>
          </cell>
          <cell r="D414">
            <v>5.7000000000000002E-2</v>
          </cell>
        </row>
        <row r="415">
          <cell r="C415" t="str">
            <v>Carter, MT</v>
          </cell>
          <cell r="D415">
            <v>0.09</v>
          </cell>
        </row>
        <row r="416">
          <cell r="C416" t="str">
            <v>Carter, OK</v>
          </cell>
          <cell r="D416">
            <v>0.09</v>
          </cell>
        </row>
        <row r="417">
          <cell r="C417" t="str">
            <v>Carter, TN</v>
          </cell>
          <cell r="D417">
            <v>0.09</v>
          </cell>
        </row>
        <row r="418">
          <cell r="C418" t="str">
            <v>Carteret, NC</v>
          </cell>
          <cell r="D418">
            <v>4.3999999999999997E-2</v>
          </cell>
        </row>
        <row r="419">
          <cell r="C419" t="str">
            <v>Carver, MN</v>
          </cell>
          <cell r="D419">
            <v>6.0999999999999999E-2</v>
          </cell>
        </row>
        <row r="420">
          <cell r="C420" t="str">
            <v>Cascade, MT</v>
          </cell>
          <cell r="D420">
            <v>0.09</v>
          </cell>
        </row>
        <row r="421">
          <cell r="C421" t="str">
            <v>Casey, KY</v>
          </cell>
          <cell r="D421">
            <v>0.09</v>
          </cell>
        </row>
        <row r="422">
          <cell r="C422" t="str">
            <v>Cass, IA</v>
          </cell>
          <cell r="D422">
            <v>0.09</v>
          </cell>
        </row>
        <row r="423">
          <cell r="C423" t="str">
            <v>Cass, IL</v>
          </cell>
          <cell r="D423">
            <v>0.09</v>
          </cell>
        </row>
        <row r="424">
          <cell r="C424" t="str">
            <v>Cass, IN</v>
          </cell>
          <cell r="D424">
            <v>0.09</v>
          </cell>
        </row>
        <row r="425">
          <cell r="C425" t="str">
            <v>Cass, MI</v>
          </cell>
          <cell r="D425">
            <v>0.09</v>
          </cell>
        </row>
        <row r="426">
          <cell r="C426" t="str">
            <v>Cass, MN</v>
          </cell>
          <cell r="D426">
            <v>0.09</v>
          </cell>
        </row>
        <row r="427">
          <cell r="C427" t="str">
            <v>Cass, MO</v>
          </cell>
          <cell r="D427">
            <v>6.0999999999999999E-2</v>
          </cell>
        </row>
        <row r="428">
          <cell r="C428" t="str">
            <v>Cass, ND</v>
          </cell>
          <cell r="D428">
            <v>6.0999999999999999E-2</v>
          </cell>
        </row>
        <row r="429">
          <cell r="C429" t="str">
            <v>Cass, NE</v>
          </cell>
          <cell r="D429">
            <v>6.0999999999999999E-2</v>
          </cell>
        </row>
        <row r="430">
          <cell r="C430" t="str">
            <v>Cass, TX</v>
          </cell>
          <cell r="D430">
            <v>4.3999999999999997E-2</v>
          </cell>
        </row>
        <row r="431">
          <cell r="C431" t="str">
            <v>Cassia, ID</v>
          </cell>
          <cell r="D431">
            <v>4.3999999999999997E-2</v>
          </cell>
        </row>
        <row r="432">
          <cell r="C432" t="str">
            <v>Castro, TX</v>
          </cell>
          <cell r="D432">
            <v>4.3999999999999997E-2</v>
          </cell>
        </row>
        <row r="433">
          <cell r="C433" t="str">
            <v>Caswell, NC</v>
          </cell>
          <cell r="D433">
            <v>4.3999999999999997E-2</v>
          </cell>
        </row>
        <row r="434">
          <cell r="C434" t="str">
            <v>Catahoula, LA</v>
          </cell>
          <cell r="D434">
            <v>0.09</v>
          </cell>
        </row>
        <row r="435">
          <cell r="C435" t="str">
            <v>Catawba, NC</v>
          </cell>
          <cell r="D435">
            <v>4.3999999999999997E-2</v>
          </cell>
        </row>
        <row r="436">
          <cell r="C436" t="str">
            <v>Catoosa, GA</v>
          </cell>
          <cell r="D436">
            <v>4.3999999999999997E-2</v>
          </cell>
        </row>
        <row r="437">
          <cell r="C437" t="str">
            <v>Catron, NM</v>
          </cell>
          <cell r="D437">
            <v>4.3999999999999997E-2</v>
          </cell>
        </row>
        <row r="438">
          <cell r="C438" t="str">
            <v>Cattaraugus, NY</v>
          </cell>
          <cell r="D438">
            <v>3.5000000000000003E-2</v>
          </cell>
        </row>
        <row r="439">
          <cell r="C439" t="str">
            <v>Cavalier, ND</v>
          </cell>
          <cell r="D439">
            <v>0.09</v>
          </cell>
        </row>
        <row r="440">
          <cell r="C440" t="str">
            <v>Cayuga, NY</v>
          </cell>
          <cell r="D440">
            <v>0.09</v>
          </cell>
        </row>
        <row r="441">
          <cell r="C441" t="str">
            <v>Cecil, MD</v>
          </cell>
          <cell r="D441">
            <v>6.0999999999999999E-2</v>
          </cell>
        </row>
        <row r="442">
          <cell r="C442" t="str">
            <v>Cedar, IA</v>
          </cell>
          <cell r="D442">
            <v>0.09</v>
          </cell>
        </row>
        <row r="443">
          <cell r="C443" t="str">
            <v>Cedar, MO</v>
          </cell>
          <cell r="D443">
            <v>0.09</v>
          </cell>
        </row>
        <row r="444">
          <cell r="C444" t="str">
            <v>Cedar, NE</v>
          </cell>
          <cell r="D444">
            <v>0.09</v>
          </cell>
        </row>
        <row r="445">
          <cell r="C445" t="str">
            <v>Centre, PA</v>
          </cell>
          <cell r="D445">
            <v>0.09</v>
          </cell>
        </row>
        <row r="446">
          <cell r="C446" t="str">
            <v>Cerro Gordo, IA</v>
          </cell>
          <cell r="D446">
            <v>0.09</v>
          </cell>
        </row>
        <row r="447">
          <cell r="C447" t="str">
            <v>Chaffee, CO</v>
          </cell>
          <cell r="D447">
            <v>4.3999999999999997E-2</v>
          </cell>
        </row>
        <row r="448">
          <cell r="C448" t="str">
            <v>Chambers, AL</v>
          </cell>
          <cell r="D448">
            <v>0.09</v>
          </cell>
        </row>
        <row r="449">
          <cell r="C449" t="str">
            <v>Chambers, TX</v>
          </cell>
          <cell r="D449">
            <v>6.0999999999999999E-2</v>
          </cell>
        </row>
        <row r="450">
          <cell r="C450" t="str">
            <v>Champaign, IL</v>
          </cell>
          <cell r="D450">
            <v>3.5000000000000003E-2</v>
          </cell>
        </row>
        <row r="451">
          <cell r="C451" t="str">
            <v>Champaign, OH</v>
          </cell>
          <cell r="D451">
            <v>0.09</v>
          </cell>
        </row>
        <row r="452">
          <cell r="C452" t="str">
            <v>Chariton, MO</v>
          </cell>
          <cell r="D452">
            <v>0.09</v>
          </cell>
        </row>
        <row r="453">
          <cell r="C453" t="str">
            <v>Charles, MD</v>
          </cell>
          <cell r="D453">
            <v>6.0999999999999999E-2</v>
          </cell>
        </row>
        <row r="454">
          <cell r="C454" t="str">
            <v>Charles City, VA</v>
          </cell>
          <cell r="D454">
            <v>6.0999999999999999E-2</v>
          </cell>
        </row>
        <row r="455">
          <cell r="C455" t="str">
            <v>Charles Mix, SD</v>
          </cell>
          <cell r="D455">
            <v>4.3999999999999997E-2</v>
          </cell>
        </row>
        <row r="456">
          <cell r="C456" t="str">
            <v>Charleston, SC</v>
          </cell>
          <cell r="D456">
            <v>4.3999999999999997E-2</v>
          </cell>
        </row>
        <row r="457">
          <cell r="C457" t="str">
            <v>Charlevoix, MI</v>
          </cell>
          <cell r="D457">
            <v>0.09</v>
          </cell>
        </row>
        <row r="458">
          <cell r="C458" t="str">
            <v>Charlotte, FL</v>
          </cell>
          <cell r="D458">
            <v>6.0999999999999999E-2</v>
          </cell>
        </row>
        <row r="459">
          <cell r="C459" t="str">
            <v>Charlotte, VA</v>
          </cell>
          <cell r="D459">
            <v>4.3999999999999997E-2</v>
          </cell>
        </row>
        <row r="460">
          <cell r="C460" t="str">
            <v>Charlottesville City, VA</v>
          </cell>
          <cell r="D460">
            <v>6.0999999999999999E-2</v>
          </cell>
        </row>
        <row r="461">
          <cell r="C461" t="str">
            <v>Charlton, GA</v>
          </cell>
          <cell r="D461">
            <v>4.3999999999999997E-2</v>
          </cell>
        </row>
        <row r="462">
          <cell r="C462" t="str">
            <v>Chase, KS</v>
          </cell>
          <cell r="D462">
            <v>0.09</v>
          </cell>
        </row>
        <row r="463">
          <cell r="C463" t="str">
            <v>Chase, NE</v>
          </cell>
          <cell r="D463">
            <v>0.09</v>
          </cell>
        </row>
        <row r="464">
          <cell r="C464" t="str">
            <v>Chatham, GA</v>
          </cell>
          <cell r="D464">
            <v>6.0999999999999999E-2</v>
          </cell>
        </row>
        <row r="465">
          <cell r="C465" t="str">
            <v>Chatham, NC</v>
          </cell>
          <cell r="D465">
            <v>6.0999999999999999E-2</v>
          </cell>
        </row>
        <row r="466">
          <cell r="C466" t="str">
            <v>Chattahoochee, GA</v>
          </cell>
          <cell r="D466">
            <v>4.3999999999999997E-2</v>
          </cell>
        </row>
        <row r="467">
          <cell r="C467" t="str">
            <v>Chattooga, GA</v>
          </cell>
          <cell r="D467">
            <v>4.3999999999999997E-2</v>
          </cell>
        </row>
        <row r="468">
          <cell r="C468" t="str">
            <v>Chautauqua, KS</v>
          </cell>
          <cell r="D468">
            <v>0.09</v>
          </cell>
        </row>
        <row r="469">
          <cell r="C469" t="str">
            <v>Chautauqua, NY</v>
          </cell>
          <cell r="D469">
            <v>0.09</v>
          </cell>
        </row>
        <row r="470">
          <cell r="C470" t="str">
            <v>Chaves, NM</v>
          </cell>
          <cell r="D470">
            <v>3.5000000000000003E-2</v>
          </cell>
        </row>
        <row r="471">
          <cell r="C471" t="str">
            <v>Cheatham, TN</v>
          </cell>
          <cell r="D471">
            <v>6.0999999999999999E-2</v>
          </cell>
        </row>
        <row r="472">
          <cell r="C472" t="str">
            <v>Cheboygan, MI</v>
          </cell>
          <cell r="D472">
            <v>0.09</v>
          </cell>
        </row>
        <row r="473">
          <cell r="C473" t="str">
            <v>Chelan, WA</v>
          </cell>
          <cell r="D473">
            <v>0.09</v>
          </cell>
        </row>
        <row r="474">
          <cell r="C474" t="str">
            <v>Chemung, NY</v>
          </cell>
          <cell r="D474">
            <v>0.09</v>
          </cell>
        </row>
        <row r="475">
          <cell r="C475" t="str">
            <v>Chenango, NY</v>
          </cell>
          <cell r="D475">
            <v>0.09</v>
          </cell>
        </row>
        <row r="476">
          <cell r="C476" t="str">
            <v>Cherokee, AL</v>
          </cell>
          <cell r="D476">
            <v>0.09</v>
          </cell>
        </row>
        <row r="477">
          <cell r="C477" t="str">
            <v>Cherokee, GA</v>
          </cell>
          <cell r="D477">
            <v>6.0999999999999999E-2</v>
          </cell>
        </row>
        <row r="478">
          <cell r="C478" t="str">
            <v>Cherokee, IA</v>
          </cell>
          <cell r="D478">
            <v>0.09</v>
          </cell>
        </row>
        <row r="479">
          <cell r="C479" t="str">
            <v>Cherokee, KS</v>
          </cell>
          <cell r="D479">
            <v>0.09</v>
          </cell>
        </row>
        <row r="480">
          <cell r="C480" t="str">
            <v>Cherokee, NC</v>
          </cell>
          <cell r="D480">
            <v>4.3999999999999997E-2</v>
          </cell>
        </row>
        <row r="481">
          <cell r="C481" t="str">
            <v>Cherokee, OK</v>
          </cell>
          <cell r="D481">
            <v>0.09</v>
          </cell>
        </row>
        <row r="482">
          <cell r="C482" t="str">
            <v>Cherokee, SC</v>
          </cell>
          <cell r="D482">
            <v>4.3999999999999997E-2</v>
          </cell>
        </row>
        <row r="483">
          <cell r="C483" t="str">
            <v>Cherokee, TX</v>
          </cell>
          <cell r="D483">
            <v>4.3999999999999997E-2</v>
          </cell>
        </row>
        <row r="484">
          <cell r="C484" t="str">
            <v>Cherry, NE</v>
          </cell>
          <cell r="D484">
            <v>0.09</v>
          </cell>
        </row>
        <row r="485">
          <cell r="C485" t="str">
            <v>Chesapeake City, VA</v>
          </cell>
          <cell r="D485">
            <v>6.0999999999999999E-2</v>
          </cell>
        </row>
        <row r="486">
          <cell r="C486" t="str">
            <v>Cheshire, NH</v>
          </cell>
          <cell r="D486">
            <v>0.09</v>
          </cell>
        </row>
        <row r="487">
          <cell r="C487" t="str">
            <v>Chester, PA</v>
          </cell>
          <cell r="D487">
            <v>6.0999999999999999E-2</v>
          </cell>
        </row>
        <row r="488">
          <cell r="C488" t="str">
            <v>Chester, SC</v>
          </cell>
          <cell r="D488">
            <v>4.3999999999999997E-2</v>
          </cell>
        </row>
        <row r="489">
          <cell r="C489" t="str">
            <v>Chester, TN</v>
          </cell>
          <cell r="D489">
            <v>0.09</v>
          </cell>
        </row>
        <row r="490">
          <cell r="C490" t="str">
            <v>Chesterfield, SC</v>
          </cell>
          <cell r="D490">
            <v>4.3999999999999997E-2</v>
          </cell>
        </row>
        <row r="491">
          <cell r="C491" t="str">
            <v>Chesterfield, VA</v>
          </cell>
          <cell r="D491">
            <v>6.0999999999999999E-2</v>
          </cell>
        </row>
        <row r="492">
          <cell r="C492" t="str">
            <v>Cheyenne, CO</v>
          </cell>
          <cell r="D492">
            <v>4.3999999999999997E-2</v>
          </cell>
        </row>
        <row r="493">
          <cell r="C493" t="str">
            <v>Cheyenne, KS</v>
          </cell>
          <cell r="D493">
            <v>0.09</v>
          </cell>
        </row>
        <row r="494">
          <cell r="C494" t="str">
            <v>Cheyenne, NE</v>
          </cell>
          <cell r="D494">
            <v>0.09</v>
          </cell>
        </row>
        <row r="495">
          <cell r="C495" t="str">
            <v>Chickasaw, IA</v>
          </cell>
          <cell r="D495">
            <v>0.09</v>
          </cell>
        </row>
        <row r="496">
          <cell r="C496" t="str">
            <v>Chickasaw, MS</v>
          </cell>
          <cell r="D496">
            <v>4.3999999999999997E-2</v>
          </cell>
        </row>
        <row r="497">
          <cell r="C497" t="str">
            <v>Chicot, AR</v>
          </cell>
          <cell r="D497">
            <v>5.7000000000000002E-2</v>
          </cell>
        </row>
        <row r="498">
          <cell r="C498" t="str">
            <v>Childress, TX</v>
          </cell>
          <cell r="D498">
            <v>4.3999999999999997E-2</v>
          </cell>
        </row>
        <row r="499">
          <cell r="C499" t="str">
            <v>Chilton, AL</v>
          </cell>
          <cell r="D499">
            <v>0.09</v>
          </cell>
        </row>
        <row r="500">
          <cell r="C500" t="str">
            <v>Chippewa, MI</v>
          </cell>
          <cell r="D500">
            <v>0.09</v>
          </cell>
        </row>
        <row r="501">
          <cell r="C501" t="str">
            <v>Chippewa, MN</v>
          </cell>
          <cell r="D501">
            <v>0.09</v>
          </cell>
        </row>
        <row r="502">
          <cell r="C502" t="str">
            <v>Chippewa, WI</v>
          </cell>
          <cell r="D502">
            <v>0.09</v>
          </cell>
        </row>
        <row r="503">
          <cell r="C503" t="str">
            <v>Chisago, MN</v>
          </cell>
          <cell r="D503">
            <v>6.0999999999999999E-2</v>
          </cell>
        </row>
        <row r="504">
          <cell r="C504" t="str">
            <v>Chittenden, VT</v>
          </cell>
          <cell r="D504">
            <v>0.09</v>
          </cell>
        </row>
        <row r="505">
          <cell r="C505" t="str">
            <v>Choctaw, AL</v>
          </cell>
          <cell r="D505">
            <v>0.09</v>
          </cell>
        </row>
        <row r="506">
          <cell r="C506" t="str">
            <v>Choctaw, MS</v>
          </cell>
          <cell r="D506">
            <v>4.3999999999999997E-2</v>
          </cell>
        </row>
        <row r="507">
          <cell r="C507" t="str">
            <v>Choctaw, OK</v>
          </cell>
          <cell r="D507">
            <v>0.09</v>
          </cell>
        </row>
        <row r="508">
          <cell r="C508" t="str">
            <v>Chouteau, MT</v>
          </cell>
          <cell r="D508">
            <v>0.09</v>
          </cell>
        </row>
        <row r="509">
          <cell r="C509" t="str">
            <v>Chowan, NC</v>
          </cell>
          <cell r="D509">
            <v>4.3999999999999997E-2</v>
          </cell>
        </row>
        <row r="510">
          <cell r="C510" t="str">
            <v>Christian, IL</v>
          </cell>
          <cell r="D510">
            <v>0.09</v>
          </cell>
        </row>
        <row r="511">
          <cell r="C511" t="str">
            <v>Christian, KY</v>
          </cell>
          <cell r="D511">
            <v>0.09</v>
          </cell>
        </row>
        <row r="512">
          <cell r="C512" t="str">
            <v>Christian, MO</v>
          </cell>
          <cell r="D512">
            <v>5.7000000000000002E-2</v>
          </cell>
        </row>
        <row r="513">
          <cell r="C513" t="str">
            <v>Churchill, NV</v>
          </cell>
          <cell r="D513">
            <v>0.09</v>
          </cell>
        </row>
        <row r="514">
          <cell r="C514" t="str">
            <v>Cibola, NM</v>
          </cell>
          <cell r="D514">
            <v>5.7000000000000002E-2</v>
          </cell>
        </row>
        <row r="515">
          <cell r="C515" t="str">
            <v>Cimarron, OK</v>
          </cell>
          <cell r="D515">
            <v>0.09</v>
          </cell>
        </row>
        <row r="516">
          <cell r="C516" t="str">
            <v>Citrus, FL</v>
          </cell>
          <cell r="D516">
            <v>4.3999999999999997E-2</v>
          </cell>
        </row>
        <row r="517">
          <cell r="C517" t="str">
            <v>Clackamas, OR</v>
          </cell>
          <cell r="D517">
            <v>6.0999999999999999E-2</v>
          </cell>
        </row>
        <row r="518">
          <cell r="C518" t="str">
            <v>Claiborne, LA</v>
          </cell>
          <cell r="D518">
            <v>0.09</v>
          </cell>
        </row>
        <row r="519">
          <cell r="C519" t="str">
            <v>Claiborne, MS</v>
          </cell>
          <cell r="D519">
            <v>4.3999999999999997E-2</v>
          </cell>
        </row>
        <row r="520">
          <cell r="C520" t="str">
            <v>Claiborne, TN</v>
          </cell>
          <cell r="D520">
            <v>0.09</v>
          </cell>
        </row>
        <row r="521">
          <cell r="C521" t="str">
            <v>Clallam, WA</v>
          </cell>
          <cell r="D521">
            <v>0.09</v>
          </cell>
        </row>
        <row r="522">
          <cell r="C522" t="str">
            <v>Clare, MI</v>
          </cell>
          <cell r="D522">
            <v>0.09</v>
          </cell>
        </row>
        <row r="523">
          <cell r="C523" t="str">
            <v>Clarendon, SC</v>
          </cell>
          <cell r="D523">
            <v>4.3999999999999997E-2</v>
          </cell>
        </row>
        <row r="524">
          <cell r="C524" t="str">
            <v>Clarion, PA</v>
          </cell>
          <cell r="D524">
            <v>0.09</v>
          </cell>
        </row>
        <row r="525">
          <cell r="C525" t="str">
            <v>Clark, AR</v>
          </cell>
          <cell r="D525">
            <v>4.3999999999999997E-2</v>
          </cell>
        </row>
        <row r="526">
          <cell r="C526" t="str">
            <v>Clark, ID</v>
          </cell>
          <cell r="D526">
            <v>4.3999999999999997E-2</v>
          </cell>
        </row>
        <row r="527">
          <cell r="C527" t="str">
            <v>Clark, IL</v>
          </cell>
          <cell r="D527">
            <v>0.09</v>
          </cell>
        </row>
        <row r="528">
          <cell r="C528" t="str">
            <v>Clark, IN</v>
          </cell>
          <cell r="D528">
            <v>5.7000000000000002E-2</v>
          </cell>
        </row>
        <row r="529">
          <cell r="C529" t="str">
            <v>Clark, KS</v>
          </cell>
          <cell r="D529">
            <v>0.09</v>
          </cell>
        </row>
        <row r="530">
          <cell r="C530" t="str">
            <v>Clark, KY</v>
          </cell>
          <cell r="D530">
            <v>3.5000000000000003E-2</v>
          </cell>
        </row>
        <row r="531">
          <cell r="C531" t="str">
            <v>Clark, MO</v>
          </cell>
          <cell r="D531">
            <v>0.09</v>
          </cell>
        </row>
        <row r="532">
          <cell r="C532" t="str">
            <v>Clark, NV</v>
          </cell>
          <cell r="D532">
            <v>6.0999999999999999E-2</v>
          </cell>
        </row>
        <row r="533">
          <cell r="C533" t="str">
            <v>Clark, OH</v>
          </cell>
          <cell r="D533">
            <v>5.7000000000000002E-2</v>
          </cell>
        </row>
        <row r="534">
          <cell r="C534" t="str">
            <v>Clark, SD</v>
          </cell>
          <cell r="D534">
            <v>4.3999999999999997E-2</v>
          </cell>
        </row>
        <row r="535">
          <cell r="C535" t="str">
            <v>Clark, WA</v>
          </cell>
          <cell r="D535">
            <v>5.7000000000000002E-2</v>
          </cell>
        </row>
        <row r="536">
          <cell r="C536" t="str">
            <v>Clark, WI</v>
          </cell>
          <cell r="D536">
            <v>0.09</v>
          </cell>
        </row>
        <row r="537">
          <cell r="C537" t="str">
            <v>Clarke, AL</v>
          </cell>
          <cell r="D537">
            <v>0.09</v>
          </cell>
        </row>
        <row r="538">
          <cell r="C538" t="str">
            <v>Clarke, GA</v>
          </cell>
          <cell r="D538">
            <v>4.3999999999999997E-2</v>
          </cell>
        </row>
        <row r="539">
          <cell r="C539" t="str">
            <v>Clarke, IA</v>
          </cell>
          <cell r="D539">
            <v>0.09</v>
          </cell>
        </row>
        <row r="540">
          <cell r="C540" t="str">
            <v>Clarke, MS</v>
          </cell>
          <cell r="D540">
            <v>4.3999999999999997E-2</v>
          </cell>
        </row>
        <row r="541">
          <cell r="C541" t="str">
            <v>Clarke, VA</v>
          </cell>
          <cell r="D541">
            <v>6.0999999999999999E-2</v>
          </cell>
        </row>
        <row r="542">
          <cell r="C542" t="str">
            <v>Clatsop, OR</v>
          </cell>
          <cell r="D542">
            <v>0.09</v>
          </cell>
        </row>
        <row r="543">
          <cell r="C543" t="str">
            <v>Clay, AL</v>
          </cell>
          <cell r="D543">
            <v>0.09</v>
          </cell>
        </row>
        <row r="544">
          <cell r="C544" t="str">
            <v>Clay, AR</v>
          </cell>
          <cell r="D544">
            <v>4.3999999999999997E-2</v>
          </cell>
        </row>
        <row r="545">
          <cell r="C545" t="str">
            <v>Clay, FL</v>
          </cell>
          <cell r="D545">
            <v>6.0999999999999999E-2</v>
          </cell>
        </row>
        <row r="546">
          <cell r="C546" t="str">
            <v>Clay, GA</v>
          </cell>
          <cell r="D546" t="str">
            <v xml:space="preserve"> </v>
          </cell>
        </row>
        <row r="547">
          <cell r="C547" t="str">
            <v>Clay, IA</v>
          </cell>
          <cell r="D547">
            <v>0.09</v>
          </cell>
        </row>
        <row r="548">
          <cell r="C548" t="str">
            <v>Clay, IL</v>
          </cell>
          <cell r="D548">
            <v>0.09</v>
          </cell>
        </row>
        <row r="549">
          <cell r="C549" t="str">
            <v>Clay, IN</v>
          </cell>
          <cell r="D549">
            <v>0.09</v>
          </cell>
        </row>
        <row r="550">
          <cell r="C550" t="str">
            <v>Clay, KS</v>
          </cell>
          <cell r="D550">
            <v>0.09</v>
          </cell>
        </row>
        <row r="551">
          <cell r="C551" t="str">
            <v>Clay, KY</v>
          </cell>
          <cell r="D551">
            <v>5.7000000000000002E-2</v>
          </cell>
        </row>
        <row r="552">
          <cell r="C552" t="str">
            <v>Clay, MN</v>
          </cell>
          <cell r="D552">
            <v>6.0999999999999999E-2</v>
          </cell>
        </row>
        <row r="553">
          <cell r="C553" t="str">
            <v>Clay, MO</v>
          </cell>
          <cell r="D553">
            <v>6.0999999999999999E-2</v>
          </cell>
        </row>
        <row r="554">
          <cell r="C554" t="str">
            <v>Clay, MS</v>
          </cell>
          <cell r="D554">
            <v>5.7000000000000002E-2</v>
          </cell>
        </row>
        <row r="555">
          <cell r="C555" t="str">
            <v>Clay, NC</v>
          </cell>
          <cell r="D555">
            <v>4.3999999999999997E-2</v>
          </cell>
        </row>
        <row r="556">
          <cell r="C556" t="str">
            <v>Clay, NE</v>
          </cell>
          <cell r="D556">
            <v>0.09</v>
          </cell>
        </row>
        <row r="557">
          <cell r="C557" t="str">
            <v>Clay, SD</v>
          </cell>
          <cell r="D557">
            <v>4.3999999999999997E-2</v>
          </cell>
        </row>
        <row r="558">
          <cell r="C558" t="str">
            <v>Clay, TN</v>
          </cell>
          <cell r="D558">
            <v>0.09</v>
          </cell>
        </row>
        <row r="559">
          <cell r="C559" t="str">
            <v>Clay, TX</v>
          </cell>
          <cell r="D559">
            <v>4.3999999999999997E-2</v>
          </cell>
        </row>
        <row r="560">
          <cell r="C560" t="str">
            <v>Clay, WV</v>
          </cell>
          <cell r="D560">
            <v>0.09</v>
          </cell>
        </row>
        <row r="561">
          <cell r="C561" t="str">
            <v>Clayton, GA</v>
          </cell>
          <cell r="D561">
            <v>4.4999999999999998E-2</v>
          </cell>
        </row>
        <row r="562">
          <cell r="C562" t="str">
            <v>Clayton, IA</v>
          </cell>
          <cell r="D562">
            <v>0.09</v>
          </cell>
        </row>
        <row r="563">
          <cell r="C563" t="str">
            <v>Clear Creek, CO</v>
          </cell>
          <cell r="D563">
            <v>4.3999999999999997E-2</v>
          </cell>
        </row>
        <row r="564">
          <cell r="C564" t="str">
            <v>Clearfield, PA</v>
          </cell>
          <cell r="D564">
            <v>0.09</v>
          </cell>
        </row>
        <row r="565">
          <cell r="C565" t="str">
            <v>Clearwater, ID</v>
          </cell>
          <cell r="D565">
            <v>4.3999999999999997E-2</v>
          </cell>
        </row>
        <row r="566">
          <cell r="C566" t="str">
            <v>Clearwater, MN</v>
          </cell>
          <cell r="D566">
            <v>0.09</v>
          </cell>
        </row>
        <row r="567">
          <cell r="C567" t="str">
            <v>Cleburne, AL</v>
          </cell>
          <cell r="D567">
            <v>0.09</v>
          </cell>
        </row>
        <row r="568">
          <cell r="C568" t="str">
            <v>Cleburne, AR</v>
          </cell>
          <cell r="D568">
            <v>4.3999999999999997E-2</v>
          </cell>
        </row>
        <row r="569">
          <cell r="C569" t="str">
            <v>Clermont, OH</v>
          </cell>
          <cell r="D569">
            <v>6.0999999999999999E-2</v>
          </cell>
        </row>
        <row r="570">
          <cell r="C570" t="str">
            <v>Cleveland, AR</v>
          </cell>
          <cell r="D570">
            <v>4.3999999999999997E-2</v>
          </cell>
        </row>
        <row r="571">
          <cell r="C571" t="str">
            <v>Cleveland, NC</v>
          </cell>
          <cell r="D571">
            <v>4.3999999999999997E-2</v>
          </cell>
        </row>
        <row r="572">
          <cell r="C572" t="str">
            <v>Cleveland, OK</v>
          </cell>
          <cell r="D572">
            <v>0.09</v>
          </cell>
        </row>
        <row r="573">
          <cell r="C573" t="str">
            <v>Clifton Forge City, VA</v>
          </cell>
          <cell r="D573">
            <v>4.3999999999999997E-2</v>
          </cell>
        </row>
        <row r="574">
          <cell r="C574" t="str">
            <v>Clinch, GA</v>
          </cell>
          <cell r="D574">
            <v>4.3999999999999997E-2</v>
          </cell>
        </row>
        <row r="575">
          <cell r="C575" t="str">
            <v>Clinton, IA</v>
          </cell>
          <cell r="D575">
            <v>0.09</v>
          </cell>
        </row>
        <row r="576">
          <cell r="C576" t="str">
            <v>Clinton, IL</v>
          </cell>
          <cell r="D576">
            <v>6.0999999999999999E-2</v>
          </cell>
        </row>
        <row r="577">
          <cell r="C577" t="str">
            <v>Clinton, IN</v>
          </cell>
          <cell r="D577">
            <v>0.09</v>
          </cell>
        </row>
        <row r="578">
          <cell r="C578" t="str">
            <v>Clinton, KY</v>
          </cell>
          <cell r="D578">
            <v>5.7000000000000002E-2</v>
          </cell>
        </row>
        <row r="579">
          <cell r="C579" t="str">
            <v>Clinton, MI</v>
          </cell>
          <cell r="D579">
            <v>6.0999999999999999E-2</v>
          </cell>
        </row>
        <row r="580">
          <cell r="C580" t="str">
            <v>Clinton, MO</v>
          </cell>
          <cell r="D580">
            <v>6.0999999999999999E-2</v>
          </cell>
        </row>
        <row r="581">
          <cell r="C581" t="str">
            <v>Clinton, NY</v>
          </cell>
          <cell r="D581">
            <v>0.09</v>
          </cell>
        </row>
        <row r="582">
          <cell r="C582" t="str">
            <v>Clinton, OH</v>
          </cell>
          <cell r="D582">
            <v>0.09</v>
          </cell>
        </row>
        <row r="583">
          <cell r="C583" t="str">
            <v>Clinton, PA</v>
          </cell>
          <cell r="D583">
            <v>0.09</v>
          </cell>
        </row>
        <row r="584">
          <cell r="C584" t="str">
            <v>Cloud, KS</v>
          </cell>
          <cell r="D584">
            <v>0.09</v>
          </cell>
        </row>
        <row r="585">
          <cell r="C585" t="str">
            <v>Coahoma, MS</v>
          </cell>
          <cell r="D585">
            <v>5.7000000000000002E-2</v>
          </cell>
        </row>
        <row r="586">
          <cell r="C586" t="str">
            <v>Coal, OK</v>
          </cell>
          <cell r="D586">
            <v>0.09</v>
          </cell>
        </row>
        <row r="587">
          <cell r="C587" t="str">
            <v>Cobb, GA</v>
          </cell>
          <cell r="D587">
            <v>6.0999999999999999E-2</v>
          </cell>
        </row>
        <row r="588">
          <cell r="C588" t="str">
            <v>Cochise, AZ</v>
          </cell>
          <cell r="D588">
            <v>5.7000000000000002E-2</v>
          </cell>
        </row>
        <row r="589">
          <cell r="C589" t="str">
            <v>Cochran, TX</v>
          </cell>
          <cell r="D589">
            <v>4.3999999999999997E-2</v>
          </cell>
        </row>
        <row r="590">
          <cell r="C590" t="str">
            <v>Cocke, TN</v>
          </cell>
          <cell r="D590">
            <v>0.09</v>
          </cell>
        </row>
        <row r="591">
          <cell r="C591" t="str">
            <v>Coconino, AZ</v>
          </cell>
          <cell r="D591">
            <v>4.3999999999999997E-2</v>
          </cell>
        </row>
        <row r="592">
          <cell r="C592" t="str">
            <v>Codington, SD</v>
          </cell>
          <cell r="D592">
            <v>4.3999999999999997E-2</v>
          </cell>
        </row>
        <row r="593">
          <cell r="C593" t="str">
            <v>Coffee, AL</v>
          </cell>
          <cell r="D593">
            <v>0.09</v>
          </cell>
        </row>
        <row r="594">
          <cell r="C594" t="str">
            <v>Coffee, GA</v>
          </cell>
          <cell r="D594">
            <v>4.3999999999999997E-2</v>
          </cell>
        </row>
        <row r="595">
          <cell r="C595" t="str">
            <v>Coffee, TN</v>
          </cell>
          <cell r="D595">
            <v>0.09</v>
          </cell>
        </row>
        <row r="596">
          <cell r="C596" t="str">
            <v>Coffey, KS</v>
          </cell>
          <cell r="D596">
            <v>0.09</v>
          </cell>
        </row>
        <row r="597">
          <cell r="C597" t="str">
            <v>Coke, TX</v>
          </cell>
          <cell r="D597">
            <v>4.3999999999999997E-2</v>
          </cell>
        </row>
        <row r="598">
          <cell r="C598" t="str">
            <v>Colbert, AL</v>
          </cell>
          <cell r="D598">
            <v>0.09</v>
          </cell>
        </row>
        <row r="599">
          <cell r="C599" t="str">
            <v>Cole, MO</v>
          </cell>
          <cell r="D599">
            <v>0.09</v>
          </cell>
        </row>
        <row r="600">
          <cell r="C600" t="str">
            <v>Coleman, TX</v>
          </cell>
          <cell r="D600">
            <v>5.7000000000000002E-2</v>
          </cell>
        </row>
        <row r="601">
          <cell r="C601" t="str">
            <v>Coles, IL</v>
          </cell>
          <cell r="D601">
            <v>0.09</v>
          </cell>
        </row>
        <row r="602">
          <cell r="C602" t="str">
            <v>Colfax, NE</v>
          </cell>
          <cell r="D602">
            <v>0.09</v>
          </cell>
        </row>
        <row r="603">
          <cell r="C603" t="str">
            <v>Colfax, NM</v>
          </cell>
          <cell r="D603">
            <v>5.7000000000000002E-2</v>
          </cell>
        </row>
        <row r="604">
          <cell r="C604" t="str">
            <v>Colleton, SC</v>
          </cell>
          <cell r="D604">
            <v>4.3999999999999997E-2</v>
          </cell>
        </row>
        <row r="605">
          <cell r="C605" t="str">
            <v>Collier, FL</v>
          </cell>
          <cell r="D605">
            <v>6.0999999999999999E-2</v>
          </cell>
        </row>
        <row r="606">
          <cell r="C606" t="str">
            <v>Collin, TX</v>
          </cell>
          <cell r="D606">
            <v>6.0999999999999999E-2</v>
          </cell>
        </row>
        <row r="607">
          <cell r="C607" t="str">
            <v>Collingsworth, TX</v>
          </cell>
          <cell r="D607">
            <v>4.3999999999999997E-2</v>
          </cell>
        </row>
        <row r="608">
          <cell r="C608" t="str">
            <v>Colonial Heights City, VA</v>
          </cell>
          <cell r="D608">
            <v>6.0999999999999999E-2</v>
          </cell>
        </row>
        <row r="609">
          <cell r="C609" t="str">
            <v>Colorado, TX</v>
          </cell>
          <cell r="D609">
            <v>4.3999999999999997E-2</v>
          </cell>
        </row>
        <row r="610">
          <cell r="C610" t="str">
            <v>Colquitt, GA</v>
          </cell>
          <cell r="D610">
            <v>4.3999999999999997E-2</v>
          </cell>
        </row>
        <row r="611">
          <cell r="C611" t="str">
            <v>Columbia, AR</v>
          </cell>
          <cell r="D611">
            <v>4.3999999999999997E-2</v>
          </cell>
        </row>
        <row r="612">
          <cell r="C612" t="str">
            <v>Columbia, FL</v>
          </cell>
          <cell r="D612">
            <v>4.3999999999999997E-2</v>
          </cell>
        </row>
        <row r="613">
          <cell r="C613" t="str">
            <v>Columbia, GA</v>
          </cell>
          <cell r="D613">
            <v>4.3999999999999997E-2</v>
          </cell>
        </row>
        <row r="614">
          <cell r="C614" t="str">
            <v>Columbia, NY</v>
          </cell>
          <cell r="D614">
            <v>5.7000000000000002E-2</v>
          </cell>
        </row>
        <row r="615">
          <cell r="C615" t="str">
            <v>Columbia, OR</v>
          </cell>
          <cell r="D615">
            <v>6.0999999999999999E-2</v>
          </cell>
        </row>
        <row r="616">
          <cell r="C616" t="str">
            <v>Columbia, PA</v>
          </cell>
          <cell r="D616">
            <v>5.7000000000000002E-2</v>
          </cell>
        </row>
        <row r="617">
          <cell r="C617" t="str">
            <v>Columbia, WA</v>
          </cell>
          <cell r="D617">
            <v>0.09</v>
          </cell>
        </row>
        <row r="618">
          <cell r="C618" t="str">
            <v>Columbia, WI</v>
          </cell>
          <cell r="D618">
            <v>0.09</v>
          </cell>
        </row>
        <row r="619">
          <cell r="C619" t="str">
            <v>Columbiana, OH</v>
          </cell>
          <cell r="D619">
            <v>0.09</v>
          </cell>
        </row>
        <row r="620">
          <cell r="C620" t="str">
            <v>Columbus, NC</v>
          </cell>
          <cell r="D620">
            <v>5.7000000000000002E-2</v>
          </cell>
        </row>
        <row r="621">
          <cell r="C621" t="str">
            <v>Colusa, CA</v>
          </cell>
          <cell r="D621">
            <v>0.09</v>
          </cell>
        </row>
        <row r="622">
          <cell r="C622" t="str">
            <v>Comal, TX</v>
          </cell>
          <cell r="D622">
            <v>4.3999999999999997E-2</v>
          </cell>
        </row>
        <row r="623">
          <cell r="C623" t="str">
            <v>Comanche, KS</v>
          </cell>
          <cell r="D623">
            <v>0.09</v>
          </cell>
        </row>
        <row r="624">
          <cell r="C624" t="str">
            <v>Comanche, OK</v>
          </cell>
          <cell r="D624">
            <v>0.09</v>
          </cell>
        </row>
        <row r="625">
          <cell r="C625" t="str">
            <v>Comanche, TX</v>
          </cell>
          <cell r="D625">
            <v>4.3999999999999997E-2</v>
          </cell>
        </row>
        <row r="626">
          <cell r="C626" t="str">
            <v>Concho, TX</v>
          </cell>
          <cell r="D626">
            <v>4.3999999999999997E-2</v>
          </cell>
        </row>
        <row r="627">
          <cell r="C627" t="str">
            <v>Concordia, LA</v>
          </cell>
          <cell r="D627">
            <v>0.09</v>
          </cell>
        </row>
        <row r="628">
          <cell r="C628" t="str">
            <v>Conecuh, AL</v>
          </cell>
          <cell r="D628">
            <v>0.09</v>
          </cell>
        </row>
        <row r="629">
          <cell r="C629" t="str">
            <v>Conejos, CO</v>
          </cell>
          <cell r="D629">
            <v>5.7000000000000002E-2</v>
          </cell>
        </row>
        <row r="630">
          <cell r="C630" t="str">
            <v>Contra Costa, CA</v>
          </cell>
          <cell r="D630">
            <v>2.4E-2</v>
          </cell>
        </row>
        <row r="631">
          <cell r="C631" t="str">
            <v>Converse, WY</v>
          </cell>
          <cell r="D631">
            <v>0.09</v>
          </cell>
        </row>
        <row r="632">
          <cell r="C632" t="str">
            <v>Conway, AR</v>
          </cell>
          <cell r="D632">
            <v>5.7000000000000002E-2</v>
          </cell>
        </row>
        <row r="633">
          <cell r="C633" t="str">
            <v>Cook, GA</v>
          </cell>
          <cell r="D633">
            <v>4.3999999999999997E-2</v>
          </cell>
        </row>
        <row r="634">
          <cell r="C634" t="str">
            <v>Cook, IL</v>
          </cell>
          <cell r="D634">
            <v>6.0999999999999999E-2</v>
          </cell>
        </row>
        <row r="635">
          <cell r="C635" t="str">
            <v>Cook, MN</v>
          </cell>
          <cell r="D635">
            <v>0.09</v>
          </cell>
        </row>
        <row r="636">
          <cell r="C636" t="str">
            <v>Cooke, TX</v>
          </cell>
          <cell r="D636">
            <v>4.3999999999999997E-2</v>
          </cell>
        </row>
        <row r="637">
          <cell r="C637" t="str">
            <v>Cooper, MO</v>
          </cell>
          <cell r="D637">
            <v>0.09</v>
          </cell>
        </row>
        <row r="638">
          <cell r="C638" t="str">
            <v>Coos, NH</v>
          </cell>
          <cell r="D638">
            <v>3.5000000000000003E-2</v>
          </cell>
        </row>
        <row r="639">
          <cell r="C639" t="str">
            <v>Coos, OR</v>
          </cell>
          <cell r="D639">
            <v>0.09</v>
          </cell>
        </row>
        <row r="640">
          <cell r="C640" t="str">
            <v>Coosa, AL</v>
          </cell>
          <cell r="D640">
            <v>0.09</v>
          </cell>
        </row>
        <row r="641">
          <cell r="C641" t="str">
            <v>Copiah, MS</v>
          </cell>
          <cell r="D641">
            <v>4.3999999999999997E-2</v>
          </cell>
        </row>
        <row r="642">
          <cell r="C642" t="str">
            <v>Corson, SD</v>
          </cell>
          <cell r="D642">
            <v>5.7000000000000002E-2</v>
          </cell>
        </row>
        <row r="643">
          <cell r="C643" t="str">
            <v>Cortland, NY</v>
          </cell>
          <cell r="D643">
            <v>0.09</v>
          </cell>
        </row>
        <row r="644">
          <cell r="C644" t="str">
            <v>Coryell, TX</v>
          </cell>
          <cell r="D644">
            <v>4.3999999999999997E-2</v>
          </cell>
        </row>
        <row r="645">
          <cell r="C645" t="str">
            <v>Coshocton, OH</v>
          </cell>
          <cell r="D645">
            <v>0.09</v>
          </cell>
        </row>
        <row r="646">
          <cell r="C646" t="str">
            <v>Costilla, CO</v>
          </cell>
          <cell r="D646">
            <v>3.5000000000000003E-2</v>
          </cell>
        </row>
        <row r="647">
          <cell r="C647" t="str">
            <v>Cottle, TX</v>
          </cell>
          <cell r="D647">
            <v>5.7000000000000002E-2</v>
          </cell>
        </row>
        <row r="648">
          <cell r="C648" t="str">
            <v>Cotton, OK</v>
          </cell>
          <cell r="D648">
            <v>0.09</v>
          </cell>
        </row>
        <row r="649">
          <cell r="C649" t="str">
            <v>Cottonwood, MN</v>
          </cell>
          <cell r="D649">
            <v>0.09</v>
          </cell>
        </row>
        <row r="650">
          <cell r="C650" t="str">
            <v>Covington, AL</v>
          </cell>
          <cell r="D650">
            <v>0.09</v>
          </cell>
        </row>
        <row r="651">
          <cell r="C651" t="str">
            <v>Covington, MS</v>
          </cell>
          <cell r="D651">
            <v>4.3999999999999997E-2</v>
          </cell>
        </row>
        <row r="652">
          <cell r="C652" t="str">
            <v>Covington City, VA</v>
          </cell>
          <cell r="D652" t="str">
            <v xml:space="preserve"> </v>
          </cell>
        </row>
        <row r="653">
          <cell r="C653" t="str">
            <v>Coweta, GA</v>
          </cell>
          <cell r="D653">
            <v>6.0999999999999999E-2</v>
          </cell>
        </row>
        <row r="654">
          <cell r="C654" t="str">
            <v>Cowley, KS</v>
          </cell>
          <cell r="D654">
            <v>0.09</v>
          </cell>
        </row>
        <row r="655">
          <cell r="C655" t="str">
            <v>Cowlitz, WA</v>
          </cell>
          <cell r="D655">
            <v>3.5000000000000003E-2</v>
          </cell>
        </row>
        <row r="656">
          <cell r="C656" t="str">
            <v>Craig, OK</v>
          </cell>
          <cell r="D656">
            <v>0.09</v>
          </cell>
        </row>
        <row r="657">
          <cell r="C657" t="str">
            <v>Craig, VA</v>
          </cell>
          <cell r="D657">
            <v>4.3999999999999997E-2</v>
          </cell>
        </row>
        <row r="658">
          <cell r="C658" t="str">
            <v>Craighead, AR</v>
          </cell>
          <cell r="D658">
            <v>4.3999999999999997E-2</v>
          </cell>
        </row>
        <row r="659">
          <cell r="C659" t="str">
            <v>Crane, TX</v>
          </cell>
          <cell r="D659">
            <v>4.3999999999999997E-2</v>
          </cell>
        </row>
        <row r="660">
          <cell r="C660" t="str">
            <v>Craven, NC</v>
          </cell>
          <cell r="D660">
            <v>4.3999999999999997E-2</v>
          </cell>
        </row>
        <row r="661">
          <cell r="C661" t="str">
            <v>Crawford, AR</v>
          </cell>
          <cell r="D661">
            <v>4.3999999999999997E-2</v>
          </cell>
        </row>
        <row r="662">
          <cell r="C662" t="str">
            <v>Crawford, GA</v>
          </cell>
          <cell r="D662">
            <v>4.3999999999999997E-2</v>
          </cell>
        </row>
        <row r="663">
          <cell r="C663" t="str">
            <v>Crawford, IA</v>
          </cell>
          <cell r="D663">
            <v>0.09</v>
          </cell>
        </row>
        <row r="664">
          <cell r="C664" t="str">
            <v>Crawford, IL</v>
          </cell>
          <cell r="D664">
            <v>0.09</v>
          </cell>
        </row>
        <row r="665">
          <cell r="C665" t="str">
            <v>Crawford, IN</v>
          </cell>
          <cell r="D665">
            <v>0.09</v>
          </cell>
        </row>
        <row r="666">
          <cell r="C666" t="str">
            <v>Crawford, KS</v>
          </cell>
          <cell r="D666">
            <v>0.09</v>
          </cell>
        </row>
        <row r="667">
          <cell r="C667" t="str">
            <v>Crawford, MI</v>
          </cell>
          <cell r="D667">
            <v>0.09</v>
          </cell>
        </row>
        <row r="668">
          <cell r="C668" t="str">
            <v>Crawford, MO</v>
          </cell>
          <cell r="D668">
            <v>5.7000000000000002E-2</v>
          </cell>
        </row>
        <row r="669">
          <cell r="C669" t="str">
            <v>Crawford, OH</v>
          </cell>
          <cell r="D669">
            <v>0.09</v>
          </cell>
        </row>
        <row r="670">
          <cell r="C670" t="str">
            <v>Crawford, PA</v>
          </cell>
          <cell r="D670">
            <v>0.09</v>
          </cell>
        </row>
        <row r="671">
          <cell r="C671" t="str">
            <v>Crawford, WI</v>
          </cell>
          <cell r="D671">
            <v>0.09</v>
          </cell>
        </row>
        <row r="672">
          <cell r="C672" t="str">
            <v>Creek, OK</v>
          </cell>
          <cell r="D672">
            <v>6.0999999999999999E-2</v>
          </cell>
        </row>
        <row r="673">
          <cell r="C673" t="str">
            <v>Crenshaw, AL</v>
          </cell>
          <cell r="D673">
            <v>0.09</v>
          </cell>
        </row>
        <row r="674">
          <cell r="C674" t="str">
            <v>Crisp, GA</v>
          </cell>
          <cell r="D674">
            <v>4.3999999999999997E-2</v>
          </cell>
        </row>
        <row r="675">
          <cell r="C675" t="str">
            <v>Crittenden, AR</v>
          </cell>
          <cell r="D675">
            <v>6.0999999999999999E-2</v>
          </cell>
        </row>
        <row r="676">
          <cell r="C676" t="str">
            <v>Crittenden, KY</v>
          </cell>
          <cell r="D676">
            <v>0.09</v>
          </cell>
        </row>
        <row r="677">
          <cell r="C677" t="str">
            <v>Crockett, TN</v>
          </cell>
          <cell r="D677">
            <v>0.09</v>
          </cell>
        </row>
        <row r="678">
          <cell r="C678" t="str">
            <v>Crockett, TX</v>
          </cell>
          <cell r="D678">
            <v>4.3999999999999997E-2</v>
          </cell>
        </row>
        <row r="679">
          <cell r="C679" t="str">
            <v>Crook, OR</v>
          </cell>
          <cell r="D679">
            <v>0.09</v>
          </cell>
        </row>
        <row r="680">
          <cell r="C680" t="str">
            <v>Crook, WY</v>
          </cell>
          <cell r="D680">
            <v>0.09</v>
          </cell>
        </row>
        <row r="681">
          <cell r="C681" t="str">
            <v>Crosby, TX</v>
          </cell>
          <cell r="D681">
            <v>4.3999999999999997E-2</v>
          </cell>
        </row>
        <row r="682">
          <cell r="C682" t="str">
            <v>Cross, AR</v>
          </cell>
          <cell r="D682">
            <v>4.3999999999999997E-2</v>
          </cell>
        </row>
        <row r="683">
          <cell r="C683" t="str">
            <v>Crow Wing, MN</v>
          </cell>
          <cell r="D683">
            <v>0.09</v>
          </cell>
        </row>
        <row r="684">
          <cell r="C684" t="str">
            <v>Crowley, CO</v>
          </cell>
          <cell r="D684">
            <v>4.3999999999999997E-2</v>
          </cell>
        </row>
        <row r="685">
          <cell r="C685" t="str">
            <v>Culberson, TX</v>
          </cell>
          <cell r="D685">
            <v>4.3999999999999997E-2</v>
          </cell>
        </row>
        <row r="686">
          <cell r="C686" t="str">
            <v>Cullman, AL</v>
          </cell>
          <cell r="D686">
            <v>0.09</v>
          </cell>
        </row>
        <row r="687">
          <cell r="C687" t="str">
            <v>Culpeper, VA</v>
          </cell>
          <cell r="D687">
            <v>6.0999999999999999E-2</v>
          </cell>
        </row>
        <row r="688">
          <cell r="C688" t="str">
            <v>Cumberland, IL</v>
          </cell>
          <cell r="D688">
            <v>0.09</v>
          </cell>
        </row>
        <row r="689">
          <cell r="C689" t="str">
            <v>Cumberland, KY</v>
          </cell>
          <cell r="D689">
            <v>0.09</v>
          </cell>
        </row>
        <row r="690">
          <cell r="C690" t="str">
            <v>Cumberland, ME</v>
          </cell>
          <cell r="D690">
            <v>5.7000000000000002E-2</v>
          </cell>
        </row>
        <row r="691">
          <cell r="C691" t="str">
            <v>Cumberland, NC</v>
          </cell>
          <cell r="D691">
            <v>4.3999999999999997E-2</v>
          </cell>
        </row>
        <row r="692">
          <cell r="C692" t="str">
            <v>Cumberland, NJ</v>
          </cell>
          <cell r="D692">
            <v>5.7000000000000002E-2</v>
          </cell>
        </row>
        <row r="693">
          <cell r="C693" t="str">
            <v>Cumberland, PA</v>
          </cell>
          <cell r="D693">
            <v>6.0999999999999999E-2</v>
          </cell>
        </row>
        <row r="694">
          <cell r="C694" t="str">
            <v>Cumberland, TN</v>
          </cell>
          <cell r="D694">
            <v>0.09</v>
          </cell>
        </row>
        <row r="695">
          <cell r="C695" t="str">
            <v>Cumberland, VA</v>
          </cell>
          <cell r="D695">
            <v>4.3999999999999997E-2</v>
          </cell>
        </row>
        <row r="696">
          <cell r="C696" t="str">
            <v>Cuming, NE</v>
          </cell>
          <cell r="D696">
            <v>0.09</v>
          </cell>
        </row>
        <row r="697">
          <cell r="C697" t="str">
            <v>Currituck, NC</v>
          </cell>
          <cell r="D697">
            <v>6.0999999999999999E-2</v>
          </cell>
        </row>
        <row r="698">
          <cell r="C698" t="str">
            <v>Curry, NM</v>
          </cell>
          <cell r="D698">
            <v>5.7000000000000002E-2</v>
          </cell>
        </row>
        <row r="699">
          <cell r="C699" t="str">
            <v>Curry, OR</v>
          </cell>
          <cell r="D699">
            <v>0.09</v>
          </cell>
        </row>
        <row r="700">
          <cell r="C700" t="str">
            <v>Custer, CO</v>
          </cell>
          <cell r="D700">
            <v>4.3999999999999997E-2</v>
          </cell>
        </row>
        <row r="701">
          <cell r="C701" t="str">
            <v>Custer, ID</v>
          </cell>
          <cell r="D701">
            <v>4.3999999999999997E-2</v>
          </cell>
        </row>
        <row r="702">
          <cell r="C702" t="str">
            <v>Custer, MT</v>
          </cell>
          <cell r="D702">
            <v>0.09</v>
          </cell>
        </row>
        <row r="703">
          <cell r="C703" t="str">
            <v>Custer, NE</v>
          </cell>
          <cell r="D703">
            <v>0.09</v>
          </cell>
        </row>
        <row r="704">
          <cell r="C704" t="str">
            <v>Custer, OK</v>
          </cell>
          <cell r="D704">
            <v>0.09</v>
          </cell>
        </row>
        <row r="705">
          <cell r="C705" t="str">
            <v>Custer, SD</v>
          </cell>
          <cell r="D705">
            <v>4.3999999999999997E-2</v>
          </cell>
        </row>
        <row r="706">
          <cell r="C706" t="str">
            <v>Cuyahoga, OH</v>
          </cell>
          <cell r="D706">
            <v>6.0999999999999999E-2</v>
          </cell>
        </row>
        <row r="707">
          <cell r="C707" t="str">
            <v>Dade, FL</v>
          </cell>
          <cell r="D707">
            <v>2.4E-2</v>
          </cell>
        </row>
        <row r="708">
          <cell r="C708" t="str">
            <v>Dade, GA</v>
          </cell>
          <cell r="D708">
            <v>4.3999999999999997E-2</v>
          </cell>
        </row>
        <row r="709">
          <cell r="C709" t="str">
            <v>Dade, MO</v>
          </cell>
          <cell r="D709">
            <v>0.09</v>
          </cell>
        </row>
        <row r="710">
          <cell r="C710" t="str">
            <v>Daggett, UT</v>
          </cell>
          <cell r="D710">
            <v>4.3999999999999997E-2</v>
          </cell>
        </row>
        <row r="711">
          <cell r="C711" t="str">
            <v>Dakota, MN</v>
          </cell>
          <cell r="D711">
            <v>6.0999999999999999E-2</v>
          </cell>
        </row>
        <row r="712">
          <cell r="C712" t="str">
            <v>Dakota, NE</v>
          </cell>
          <cell r="D712">
            <v>0.09</v>
          </cell>
        </row>
        <row r="713">
          <cell r="C713" t="str">
            <v>Dale, AL</v>
          </cell>
          <cell r="D713">
            <v>0.09</v>
          </cell>
        </row>
        <row r="714">
          <cell r="C714" t="str">
            <v>Dallam, TX</v>
          </cell>
          <cell r="D714">
            <v>5.7000000000000002E-2</v>
          </cell>
        </row>
        <row r="715">
          <cell r="C715" t="str">
            <v>Dallas, AL</v>
          </cell>
          <cell r="D715">
            <v>5.7000000000000002E-2</v>
          </cell>
        </row>
        <row r="716">
          <cell r="C716" t="str">
            <v>Dallas, AR</v>
          </cell>
          <cell r="D716">
            <v>4.3999999999999997E-2</v>
          </cell>
        </row>
        <row r="717">
          <cell r="C717" t="str">
            <v>Dallas, IA</v>
          </cell>
          <cell r="D717">
            <v>6.0999999999999999E-2</v>
          </cell>
        </row>
        <row r="718">
          <cell r="C718" t="str">
            <v>Dallas, MO</v>
          </cell>
          <cell r="D718">
            <v>0.09</v>
          </cell>
        </row>
        <row r="719">
          <cell r="C719" t="str">
            <v>Dallas, TX</v>
          </cell>
          <cell r="D719">
            <v>6.0999999999999999E-2</v>
          </cell>
        </row>
        <row r="720">
          <cell r="C720" t="str">
            <v>Dane, WI</v>
          </cell>
          <cell r="D720">
            <v>2.4E-2</v>
          </cell>
        </row>
        <row r="721">
          <cell r="C721" t="str">
            <v>Daniels, MT</v>
          </cell>
          <cell r="D721">
            <v>0.09</v>
          </cell>
        </row>
        <row r="722">
          <cell r="C722" t="str">
            <v>Danville City, VA</v>
          </cell>
          <cell r="D722">
            <v>4.3999999999999997E-2</v>
          </cell>
        </row>
        <row r="723">
          <cell r="C723" t="str">
            <v>Dare, NC</v>
          </cell>
          <cell r="D723">
            <v>4.3999999999999997E-2</v>
          </cell>
        </row>
        <row r="724">
          <cell r="C724" t="str">
            <v>Darke, OH</v>
          </cell>
          <cell r="D724">
            <v>0.09</v>
          </cell>
        </row>
        <row r="725">
          <cell r="C725" t="str">
            <v>Darlington, SC</v>
          </cell>
          <cell r="D725">
            <v>4.3999999999999997E-2</v>
          </cell>
        </row>
        <row r="726">
          <cell r="C726" t="str">
            <v>Dauphin, PA</v>
          </cell>
          <cell r="D726">
            <v>6.0999999999999999E-2</v>
          </cell>
        </row>
        <row r="727">
          <cell r="C727" t="str">
            <v>Davidson, NC</v>
          </cell>
          <cell r="D727">
            <v>6.0999999999999999E-2</v>
          </cell>
        </row>
        <row r="728">
          <cell r="C728" t="str">
            <v>Davidson, TN</v>
          </cell>
          <cell r="D728">
            <v>6.0999999999999999E-2</v>
          </cell>
        </row>
        <row r="729">
          <cell r="C729" t="str">
            <v>Davie, NC</v>
          </cell>
          <cell r="D729">
            <v>6.0999999999999999E-2</v>
          </cell>
        </row>
        <row r="730">
          <cell r="C730" t="str">
            <v>Daviess, IN</v>
          </cell>
          <cell r="D730">
            <v>0.09</v>
          </cell>
        </row>
        <row r="731">
          <cell r="C731" t="str">
            <v>Daviess, KY</v>
          </cell>
          <cell r="D731">
            <v>0.09</v>
          </cell>
        </row>
        <row r="732">
          <cell r="C732" t="str">
            <v>Daviess, MO</v>
          </cell>
          <cell r="D732">
            <v>0.09</v>
          </cell>
        </row>
        <row r="733">
          <cell r="C733" t="str">
            <v>Davis, IA</v>
          </cell>
          <cell r="D733">
            <v>0.09</v>
          </cell>
        </row>
        <row r="734">
          <cell r="C734" t="str">
            <v>Davis, UT</v>
          </cell>
          <cell r="D734">
            <v>6.0999999999999999E-2</v>
          </cell>
        </row>
        <row r="735">
          <cell r="C735" t="str">
            <v>Davison, SD</v>
          </cell>
          <cell r="D735">
            <v>4.3999999999999997E-2</v>
          </cell>
        </row>
        <row r="736">
          <cell r="C736" t="str">
            <v>Dawes, NE</v>
          </cell>
          <cell r="D736">
            <v>0.09</v>
          </cell>
        </row>
        <row r="737">
          <cell r="C737" t="str">
            <v>Dawson, GA</v>
          </cell>
          <cell r="D737">
            <v>4.3999999999999997E-2</v>
          </cell>
        </row>
        <row r="738">
          <cell r="C738" t="str">
            <v>Dawson, MT</v>
          </cell>
          <cell r="D738">
            <v>0.09</v>
          </cell>
        </row>
        <row r="739">
          <cell r="C739" t="str">
            <v>Dawson, NE</v>
          </cell>
          <cell r="D739">
            <v>0.09</v>
          </cell>
        </row>
        <row r="740">
          <cell r="C740" t="str">
            <v>Dawson, TX</v>
          </cell>
          <cell r="D740">
            <v>4.3999999999999997E-2</v>
          </cell>
        </row>
        <row r="741">
          <cell r="C741" t="str">
            <v>Day, SD</v>
          </cell>
          <cell r="D741">
            <v>4.3999999999999997E-2</v>
          </cell>
        </row>
        <row r="742">
          <cell r="C742" t="str">
            <v>De Kalb, AL</v>
          </cell>
          <cell r="D742">
            <v>0.09</v>
          </cell>
        </row>
        <row r="743">
          <cell r="C743" t="str">
            <v>De Kalb, IN</v>
          </cell>
          <cell r="D743">
            <v>6.0999999999999999E-2</v>
          </cell>
        </row>
        <row r="744">
          <cell r="C744" t="str">
            <v>De Soto, FL</v>
          </cell>
          <cell r="D744">
            <v>4.3999999999999997E-2</v>
          </cell>
        </row>
        <row r="745">
          <cell r="C745" t="str">
            <v>De Soto, LA</v>
          </cell>
          <cell r="D745">
            <v>5.7000000000000002E-2</v>
          </cell>
        </row>
        <row r="746">
          <cell r="C746" t="str">
            <v>De Witt, IL</v>
          </cell>
          <cell r="D746">
            <v>0.09</v>
          </cell>
        </row>
        <row r="747">
          <cell r="C747" t="str">
            <v>Deaf Smith, TX</v>
          </cell>
          <cell r="D747">
            <v>4.3999999999999997E-2</v>
          </cell>
        </row>
        <row r="748">
          <cell r="C748" t="str">
            <v>Dearborn, IN</v>
          </cell>
          <cell r="D748">
            <v>6.0999999999999999E-2</v>
          </cell>
        </row>
        <row r="749">
          <cell r="C749" t="str">
            <v>DeBaca, NM</v>
          </cell>
          <cell r="D749" t="str">
            <v xml:space="preserve"> </v>
          </cell>
        </row>
        <row r="750">
          <cell r="C750" t="str">
            <v>Decatur, GA</v>
          </cell>
          <cell r="D750">
            <v>4.3999999999999997E-2</v>
          </cell>
        </row>
        <row r="751">
          <cell r="C751" t="str">
            <v>Decatur, IA</v>
          </cell>
          <cell r="D751">
            <v>0.09</v>
          </cell>
        </row>
        <row r="752">
          <cell r="C752" t="str">
            <v>Decatur, IN</v>
          </cell>
          <cell r="D752">
            <v>0.09</v>
          </cell>
        </row>
        <row r="753">
          <cell r="C753" t="str">
            <v>Decatur, KS</v>
          </cell>
          <cell r="D753">
            <v>0.09</v>
          </cell>
        </row>
        <row r="754">
          <cell r="C754" t="str">
            <v>Decatur, TN</v>
          </cell>
          <cell r="D754">
            <v>0.09</v>
          </cell>
        </row>
        <row r="755">
          <cell r="C755" t="str">
            <v>Deer Lodge, MT</v>
          </cell>
          <cell r="D755">
            <v>0.09</v>
          </cell>
        </row>
        <row r="756">
          <cell r="C756" t="str">
            <v>Defiance, OH</v>
          </cell>
          <cell r="D756">
            <v>0.09</v>
          </cell>
        </row>
        <row r="757">
          <cell r="C757" t="str">
            <v>DeKalb, GA</v>
          </cell>
          <cell r="D757">
            <v>6.0999999999999999E-2</v>
          </cell>
        </row>
        <row r="758">
          <cell r="C758" t="str">
            <v>DeKalb, IL</v>
          </cell>
          <cell r="D758">
            <v>6.0999999999999999E-2</v>
          </cell>
        </row>
        <row r="759">
          <cell r="C759" t="str">
            <v>DeKalb, MO</v>
          </cell>
          <cell r="D759">
            <v>0.09</v>
          </cell>
        </row>
        <row r="760">
          <cell r="C760" t="str">
            <v>DeKalb, TN</v>
          </cell>
          <cell r="D760">
            <v>0.09</v>
          </cell>
        </row>
        <row r="761">
          <cell r="C761" t="str">
            <v>Del Norte, CA</v>
          </cell>
          <cell r="D761">
            <v>0.09</v>
          </cell>
        </row>
        <row r="762">
          <cell r="C762" t="str">
            <v>Delaware, IA</v>
          </cell>
          <cell r="D762">
            <v>0.09</v>
          </cell>
        </row>
        <row r="763">
          <cell r="C763" t="str">
            <v>Delaware, IN</v>
          </cell>
          <cell r="D763">
            <v>0.09</v>
          </cell>
        </row>
        <row r="764">
          <cell r="C764" t="str">
            <v>Delaware, NY</v>
          </cell>
          <cell r="D764">
            <v>0.09</v>
          </cell>
        </row>
        <row r="765">
          <cell r="C765" t="str">
            <v>Delaware, OH</v>
          </cell>
          <cell r="D765">
            <v>6.0999999999999999E-2</v>
          </cell>
        </row>
        <row r="766">
          <cell r="C766" t="str">
            <v>Delaware, OK</v>
          </cell>
          <cell r="D766">
            <v>0.09</v>
          </cell>
        </row>
        <row r="767">
          <cell r="C767" t="str">
            <v>Delaware, PA</v>
          </cell>
          <cell r="D767">
            <v>6.0999999999999999E-2</v>
          </cell>
        </row>
        <row r="768">
          <cell r="C768" t="str">
            <v>Delta, CO</v>
          </cell>
          <cell r="D768">
            <v>4.3999999999999997E-2</v>
          </cell>
        </row>
        <row r="769">
          <cell r="C769" t="str">
            <v>Delta, MI</v>
          </cell>
          <cell r="D769">
            <v>0.09</v>
          </cell>
        </row>
        <row r="770">
          <cell r="C770" t="str">
            <v>Delta, TX</v>
          </cell>
          <cell r="D770">
            <v>4.3999999999999997E-2</v>
          </cell>
        </row>
        <row r="771">
          <cell r="C771" t="str">
            <v>Dent, MO</v>
          </cell>
          <cell r="D771">
            <v>5.7000000000000002E-2</v>
          </cell>
        </row>
        <row r="772">
          <cell r="C772" t="str">
            <v>Denton, TX</v>
          </cell>
          <cell r="D772">
            <v>6.0999999999999999E-2</v>
          </cell>
        </row>
        <row r="773">
          <cell r="C773" t="str">
            <v>Denver, CO</v>
          </cell>
          <cell r="D773">
            <v>4.4999999999999998E-2</v>
          </cell>
        </row>
        <row r="774">
          <cell r="C774" t="str">
            <v>Des Moines, IA</v>
          </cell>
          <cell r="D774">
            <v>0.09</v>
          </cell>
        </row>
        <row r="775">
          <cell r="C775" t="str">
            <v>Deschutes, OR</v>
          </cell>
          <cell r="D775">
            <v>0.09</v>
          </cell>
        </row>
        <row r="776">
          <cell r="C776" t="str">
            <v>Desha, AR</v>
          </cell>
          <cell r="D776">
            <v>5.7000000000000002E-2</v>
          </cell>
        </row>
        <row r="777">
          <cell r="C777" t="str">
            <v>DeSoto, MS</v>
          </cell>
          <cell r="D777">
            <v>6.0999999999999999E-2</v>
          </cell>
        </row>
        <row r="778">
          <cell r="C778" t="str">
            <v>Deuel, NE</v>
          </cell>
          <cell r="D778">
            <v>0.09</v>
          </cell>
        </row>
        <row r="779">
          <cell r="C779" t="str">
            <v>Deuel, SD</v>
          </cell>
          <cell r="D779">
            <v>4.3999999999999997E-2</v>
          </cell>
        </row>
        <row r="780">
          <cell r="C780" t="str">
            <v>Dewey, OK</v>
          </cell>
          <cell r="D780">
            <v>0.09</v>
          </cell>
        </row>
        <row r="781">
          <cell r="C781" t="str">
            <v>Dewey, SD</v>
          </cell>
          <cell r="D781">
            <v>4.3999999999999997E-2</v>
          </cell>
        </row>
        <row r="782">
          <cell r="C782" t="str">
            <v>DeWitt, TX</v>
          </cell>
          <cell r="D782">
            <v>4.3999999999999997E-2</v>
          </cell>
        </row>
        <row r="783">
          <cell r="C783" t="str">
            <v>Dickens, TX</v>
          </cell>
          <cell r="D783">
            <v>4.3999999999999997E-2</v>
          </cell>
        </row>
        <row r="784">
          <cell r="C784" t="str">
            <v>Dickenson, VA</v>
          </cell>
          <cell r="D784">
            <v>4.3999999999999997E-2</v>
          </cell>
        </row>
        <row r="785">
          <cell r="C785" t="str">
            <v>Dickey, ND</v>
          </cell>
          <cell r="D785">
            <v>0.09</v>
          </cell>
        </row>
        <row r="786">
          <cell r="C786" t="str">
            <v>Dickinson, IA</v>
          </cell>
          <cell r="D786">
            <v>0.09</v>
          </cell>
        </row>
        <row r="787">
          <cell r="C787" t="str">
            <v>Dickinson, KS</v>
          </cell>
          <cell r="D787">
            <v>0.09</v>
          </cell>
        </row>
        <row r="788">
          <cell r="C788" t="str">
            <v>Dickinson, MI</v>
          </cell>
          <cell r="D788">
            <v>0.09</v>
          </cell>
        </row>
        <row r="789">
          <cell r="C789" t="str">
            <v>Dickson, TN</v>
          </cell>
          <cell r="D789">
            <v>6.0999999999999999E-2</v>
          </cell>
        </row>
        <row r="790">
          <cell r="C790" t="str">
            <v>Dillingham, AK</v>
          </cell>
          <cell r="D790">
            <v>0.09</v>
          </cell>
        </row>
        <row r="791">
          <cell r="C791" t="str">
            <v>Dillon, SC</v>
          </cell>
          <cell r="D791">
            <v>4.3999999999999997E-2</v>
          </cell>
        </row>
        <row r="792">
          <cell r="C792" t="str">
            <v>Dimmit, TX</v>
          </cell>
          <cell r="D792" t="str">
            <v xml:space="preserve"> </v>
          </cell>
        </row>
        <row r="793">
          <cell r="C793" t="str">
            <v>Dinwiddie, VA</v>
          </cell>
          <cell r="D793">
            <v>6.0999999999999999E-2</v>
          </cell>
        </row>
        <row r="794">
          <cell r="C794" t="str">
            <v>District of Columbia, DC</v>
          </cell>
          <cell r="D794">
            <v>2.1999999999999999E-2</v>
          </cell>
        </row>
        <row r="795">
          <cell r="C795" t="str">
            <v>Divide, ND</v>
          </cell>
          <cell r="D795">
            <v>0.09</v>
          </cell>
        </row>
        <row r="796">
          <cell r="C796" t="str">
            <v>Dixie, FL</v>
          </cell>
          <cell r="D796">
            <v>4.3999999999999997E-2</v>
          </cell>
        </row>
        <row r="797">
          <cell r="C797" t="str">
            <v>Dixon, NE</v>
          </cell>
          <cell r="D797">
            <v>0.09</v>
          </cell>
        </row>
        <row r="798">
          <cell r="C798" t="str">
            <v>Doddridge, WV</v>
          </cell>
          <cell r="D798">
            <v>0.09</v>
          </cell>
        </row>
        <row r="799">
          <cell r="C799" t="str">
            <v>Dodge, GA</v>
          </cell>
          <cell r="D799">
            <v>4.3999999999999997E-2</v>
          </cell>
        </row>
        <row r="800">
          <cell r="C800" t="str">
            <v>Dodge, MN</v>
          </cell>
          <cell r="D800">
            <v>0.09</v>
          </cell>
        </row>
        <row r="801">
          <cell r="C801" t="str">
            <v>Dodge, NE</v>
          </cell>
          <cell r="D801">
            <v>0.09</v>
          </cell>
        </row>
        <row r="802">
          <cell r="C802" t="str">
            <v>Dodge, WI</v>
          </cell>
          <cell r="D802">
            <v>0.09</v>
          </cell>
        </row>
        <row r="803">
          <cell r="C803" t="str">
            <v>Dolores, CO</v>
          </cell>
          <cell r="D803">
            <v>4.3999999999999997E-2</v>
          </cell>
        </row>
        <row r="804">
          <cell r="C804" t="str">
            <v>Dona Ana, NM</v>
          </cell>
          <cell r="D804">
            <v>3.5000000000000003E-2</v>
          </cell>
        </row>
        <row r="805">
          <cell r="C805" t="str">
            <v>Doniphan, KS</v>
          </cell>
          <cell r="D805">
            <v>0.09</v>
          </cell>
        </row>
        <row r="806">
          <cell r="C806" t="str">
            <v>Donley, TX</v>
          </cell>
          <cell r="D806">
            <v>4.3999999999999997E-2</v>
          </cell>
        </row>
        <row r="807">
          <cell r="C807" t="str">
            <v>Dooly, GA</v>
          </cell>
          <cell r="D807">
            <v>4.3999999999999997E-2</v>
          </cell>
        </row>
        <row r="808">
          <cell r="C808" t="str">
            <v>Door, WI</v>
          </cell>
          <cell r="D808">
            <v>0.09</v>
          </cell>
        </row>
        <row r="809">
          <cell r="C809" t="str">
            <v>Dorchester, MD</v>
          </cell>
          <cell r="D809">
            <v>5.7000000000000002E-2</v>
          </cell>
        </row>
        <row r="810">
          <cell r="C810" t="str">
            <v>Dorchester, SC</v>
          </cell>
          <cell r="D810">
            <v>4.3999999999999997E-2</v>
          </cell>
        </row>
        <row r="811">
          <cell r="C811" t="str">
            <v>Dougherty, GA</v>
          </cell>
          <cell r="D811">
            <v>4.3999999999999997E-2</v>
          </cell>
        </row>
        <row r="812">
          <cell r="C812" t="str">
            <v>Douglas, CO</v>
          </cell>
          <cell r="D812">
            <v>6.0999999999999999E-2</v>
          </cell>
        </row>
        <row r="813">
          <cell r="C813" t="str">
            <v>Douglas, GA</v>
          </cell>
          <cell r="D813">
            <v>6.0999999999999999E-2</v>
          </cell>
        </row>
        <row r="814">
          <cell r="C814" t="str">
            <v>Douglas, IL</v>
          </cell>
          <cell r="D814">
            <v>0.09</v>
          </cell>
        </row>
        <row r="815">
          <cell r="C815" t="str">
            <v>Douglas, KS</v>
          </cell>
          <cell r="D815">
            <v>0.09</v>
          </cell>
        </row>
        <row r="816">
          <cell r="C816" t="str">
            <v>Douglas, MN</v>
          </cell>
          <cell r="D816">
            <v>0.09</v>
          </cell>
        </row>
        <row r="817">
          <cell r="C817" t="str">
            <v>Douglas, MO</v>
          </cell>
          <cell r="D817">
            <v>0.09</v>
          </cell>
        </row>
        <row r="818">
          <cell r="C818" t="str">
            <v>Douglas, NE</v>
          </cell>
          <cell r="D818">
            <v>6.0999999999999999E-2</v>
          </cell>
        </row>
        <row r="819">
          <cell r="C819" t="str">
            <v>Douglas, NV</v>
          </cell>
          <cell r="D819">
            <v>6.0999999999999999E-2</v>
          </cell>
        </row>
        <row r="820">
          <cell r="C820" t="str">
            <v>Douglas, OR</v>
          </cell>
          <cell r="D820">
            <v>0.09</v>
          </cell>
        </row>
        <row r="821">
          <cell r="C821" t="str">
            <v>Douglas, SD</v>
          </cell>
          <cell r="D821">
            <v>4.3999999999999997E-2</v>
          </cell>
        </row>
        <row r="822">
          <cell r="C822" t="str">
            <v>Douglas, WA</v>
          </cell>
          <cell r="D822">
            <v>0.09</v>
          </cell>
        </row>
        <row r="823">
          <cell r="C823" t="str">
            <v>Douglas, WI</v>
          </cell>
          <cell r="D823">
            <v>0.09</v>
          </cell>
        </row>
        <row r="824">
          <cell r="C824" t="str">
            <v>Drew, AR</v>
          </cell>
          <cell r="D824">
            <v>4.3999999999999997E-2</v>
          </cell>
        </row>
        <row r="825">
          <cell r="C825" t="str">
            <v>Dubois, IN</v>
          </cell>
          <cell r="D825">
            <v>6.0999999999999999E-2</v>
          </cell>
        </row>
        <row r="826">
          <cell r="C826" t="str">
            <v>Dubuque, IA</v>
          </cell>
          <cell r="D826">
            <v>5.7000000000000002E-2</v>
          </cell>
        </row>
        <row r="827">
          <cell r="C827" t="str">
            <v>Duchesne, UT</v>
          </cell>
          <cell r="D827">
            <v>4.3999999999999997E-2</v>
          </cell>
        </row>
        <row r="828">
          <cell r="C828" t="str">
            <v>Dukes, MA</v>
          </cell>
          <cell r="D828">
            <v>0.09</v>
          </cell>
        </row>
        <row r="829">
          <cell r="C829" t="str">
            <v>Dundy, NE</v>
          </cell>
          <cell r="D829">
            <v>0.09</v>
          </cell>
        </row>
        <row r="830">
          <cell r="C830" t="str">
            <v>Dunklin, MO</v>
          </cell>
          <cell r="D830">
            <v>5.7000000000000002E-2</v>
          </cell>
        </row>
        <row r="831">
          <cell r="C831" t="str">
            <v>Dunn, ND</v>
          </cell>
          <cell r="D831">
            <v>0.09</v>
          </cell>
        </row>
        <row r="832">
          <cell r="C832" t="str">
            <v>Dunn, WI</v>
          </cell>
          <cell r="D832">
            <v>0.09</v>
          </cell>
        </row>
        <row r="833">
          <cell r="C833" t="str">
            <v>DuPage, IL</v>
          </cell>
          <cell r="D833">
            <v>6.0999999999999999E-2</v>
          </cell>
        </row>
        <row r="834">
          <cell r="C834" t="str">
            <v>Duplin, NC</v>
          </cell>
          <cell r="D834">
            <v>4.3999999999999997E-2</v>
          </cell>
        </row>
        <row r="835">
          <cell r="C835" t="str">
            <v>Durham, NC</v>
          </cell>
          <cell r="D835">
            <v>6.0999999999999999E-2</v>
          </cell>
        </row>
        <row r="836">
          <cell r="C836" t="str">
            <v>Dutchess, NY</v>
          </cell>
          <cell r="D836">
            <v>5.7000000000000002E-2</v>
          </cell>
        </row>
        <row r="837">
          <cell r="C837" t="str">
            <v>Duval, FL</v>
          </cell>
          <cell r="D837">
            <v>5.7000000000000002E-2</v>
          </cell>
        </row>
        <row r="838">
          <cell r="C838" t="str">
            <v>Duval, TX</v>
          </cell>
          <cell r="D838">
            <v>4.3999999999999997E-2</v>
          </cell>
        </row>
        <row r="839">
          <cell r="C839" t="str">
            <v>Dyer, TN</v>
          </cell>
          <cell r="D839">
            <v>0.09</v>
          </cell>
        </row>
        <row r="840">
          <cell r="C840" t="str">
            <v>Eagle, CO</v>
          </cell>
          <cell r="D840">
            <v>6.0999999999999999E-2</v>
          </cell>
        </row>
        <row r="841">
          <cell r="C841" t="str">
            <v>Early, GA</v>
          </cell>
          <cell r="D841" t="str">
            <v xml:space="preserve"> </v>
          </cell>
        </row>
        <row r="842">
          <cell r="C842" t="str">
            <v>East Baton Rouge, LA</v>
          </cell>
          <cell r="D842">
            <v>0.09</v>
          </cell>
        </row>
        <row r="843">
          <cell r="C843" t="str">
            <v>East Carroll, LA</v>
          </cell>
          <cell r="D843">
            <v>5.7000000000000002E-2</v>
          </cell>
        </row>
        <row r="844">
          <cell r="C844" t="str">
            <v>East Feliciana, LA</v>
          </cell>
          <cell r="D844">
            <v>0.09</v>
          </cell>
        </row>
        <row r="845">
          <cell r="C845" t="str">
            <v>Eastland, TX</v>
          </cell>
          <cell r="D845">
            <v>4.3999999999999997E-2</v>
          </cell>
        </row>
        <row r="846">
          <cell r="C846" t="str">
            <v>Eaton, MI</v>
          </cell>
          <cell r="D846">
            <v>6.0999999999999999E-2</v>
          </cell>
        </row>
        <row r="847">
          <cell r="C847" t="str">
            <v>Eau Claire, WI</v>
          </cell>
          <cell r="D847">
            <v>0.09</v>
          </cell>
        </row>
        <row r="848">
          <cell r="C848" t="str">
            <v>Echols, GA</v>
          </cell>
          <cell r="D848">
            <v>4.3999999999999997E-2</v>
          </cell>
        </row>
        <row r="849">
          <cell r="C849" t="str">
            <v>Ector, TX</v>
          </cell>
          <cell r="D849">
            <v>6.0999999999999999E-2</v>
          </cell>
        </row>
        <row r="850">
          <cell r="C850" t="str">
            <v>Eddy, ND</v>
          </cell>
          <cell r="D850">
            <v>0.09</v>
          </cell>
        </row>
        <row r="851">
          <cell r="C851" t="str">
            <v>Eddy, NM</v>
          </cell>
          <cell r="D851">
            <v>5.7000000000000002E-2</v>
          </cell>
        </row>
        <row r="852">
          <cell r="C852" t="str">
            <v>Edgar, IL</v>
          </cell>
          <cell r="D852">
            <v>0.09</v>
          </cell>
        </row>
        <row r="853">
          <cell r="C853" t="str">
            <v>Edgecombe, NC</v>
          </cell>
          <cell r="D853">
            <v>5.7000000000000002E-2</v>
          </cell>
        </row>
        <row r="854">
          <cell r="C854" t="str">
            <v>Edgefield, SC</v>
          </cell>
          <cell r="D854">
            <v>4.3999999999999997E-2</v>
          </cell>
        </row>
        <row r="855">
          <cell r="C855" t="str">
            <v>Edmonson, KY</v>
          </cell>
          <cell r="D855">
            <v>0.09</v>
          </cell>
        </row>
        <row r="856">
          <cell r="C856" t="str">
            <v>Edmunds, SD</v>
          </cell>
          <cell r="D856">
            <v>4.3999999999999997E-2</v>
          </cell>
        </row>
        <row r="857">
          <cell r="C857" t="str">
            <v>Edwards, IL</v>
          </cell>
          <cell r="D857">
            <v>0.09</v>
          </cell>
        </row>
        <row r="858">
          <cell r="C858" t="str">
            <v>Edwards, KS</v>
          </cell>
          <cell r="D858">
            <v>0.09</v>
          </cell>
        </row>
        <row r="859">
          <cell r="C859" t="str">
            <v>Edwards, TX</v>
          </cell>
          <cell r="D859">
            <v>3.5000000000000003E-2</v>
          </cell>
        </row>
        <row r="860">
          <cell r="C860" t="str">
            <v>Effingham, GA</v>
          </cell>
          <cell r="D860">
            <v>6.0999999999999999E-2</v>
          </cell>
        </row>
        <row r="861">
          <cell r="C861" t="str">
            <v>Effingham, IL</v>
          </cell>
          <cell r="D861">
            <v>0.09</v>
          </cell>
        </row>
        <row r="862">
          <cell r="C862" t="str">
            <v>El Dorado, CA</v>
          </cell>
          <cell r="D862">
            <v>5.7000000000000002E-2</v>
          </cell>
        </row>
        <row r="863">
          <cell r="C863" t="str">
            <v>El Paso, CO</v>
          </cell>
          <cell r="D863">
            <v>6.0999999999999999E-2</v>
          </cell>
        </row>
        <row r="864">
          <cell r="C864" t="str">
            <v>El Paso, TX</v>
          </cell>
          <cell r="D864">
            <v>4.3999999999999997E-2</v>
          </cell>
        </row>
        <row r="865">
          <cell r="C865" t="str">
            <v>Elbert, CO</v>
          </cell>
          <cell r="D865">
            <v>4.3999999999999997E-2</v>
          </cell>
        </row>
        <row r="866">
          <cell r="C866" t="str">
            <v>Elbert, GA</v>
          </cell>
          <cell r="D866">
            <v>5.7000000000000002E-2</v>
          </cell>
        </row>
        <row r="867">
          <cell r="C867" t="str">
            <v>Elk, KS</v>
          </cell>
          <cell r="D867">
            <v>0.09</v>
          </cell>
        </row>
        <row r="868">
          <cell r="C868" t="str">
            <v>Elk, PA</v>
          </cell>
          <cell r="D868">
            <v>0.09</v>
          </cell>
        </row>
        <row r="869">
          <cell r="C869" t="str">
            <v>Elkhart, IN</v>
          </cell>
          <cell r="D869">
            <v>6.0999999999999999E-2</v>
          </cell>
        </row>
        <row r="870">
          <cell r="C870" t="str">
            <v>Elko, NV</v>
          </cell>
          <cell r="D870">
            <v>0.09</v>
          </cell>
        </row>
        <row r="871">
          <cell r="C871" t="str">
            <v>Elliott, KY</v>
          </cell>
          <cell r="D871">
            <v>0.09</v>
          </cell>
        </row>
        <row r="872">
          <cell r="C872" t="str">
            <v>Ellis, KS</v>
          </cell>
          <cell r="D872">
            <v>0.09</v>
          </cell>
        </row>
        <row r="873">
          <cell r="C873" t="str">
            <v>Ellis, OK</v>
          </cell>
          <cell r="D873">
            <v>0.09</v>
          </cell>
        </row>
        <row r="874">
          <cell r="C874" t="str">
            <v>Ellis, TX</v>
          </cell>
          <cell r="D874">
            <v>6.0999999999999999E-2</v>
          </cell>
        </row>
        <row r="875">
          <cell r="C875" t="str">
            <v>Ellsworth, KS</v>
          </cell>
          <cell r="D875">
            <v>0.09</v>
          </cell>
        </row>
        <row r="876">
          <cell r="C876" t="str">
            <v>Elmore, AL</v>
          </cell>
          <cell r="D876">
            <v>0.09</v>
          </cell>
        </row>
        <row r="877">
          <cell r="C877" t="str">
            <v>Elmore, ID</v>
          </cell>
          <cell r="D877">
            <v>4.3999999999999997E-2</v>
          </cell>
        </row>
        <row r="878">
          <cell r="C878" t="str">
            <v>Emanuel, GA</v>
          </cell>
          <cell r="D878">
            <v>4.3999999999999997E-2</v>
          </cell>
        </row>
        <row r="879">
          <cell r="C879" t="str">
            <v>Emery, UT</v>
          </cell>
          <cell r="D879">
            <v>4.3999999999999997E-2</v>
          </cell>
        </row>
        <row r="880">
          <cell r="C880" t="str">
            <v>Emmet, IA</v>
          </cell>
          <cell r="D880">
            <v>0.09</v>
          </cell>
        </row>
        <row r="881">
          <cell r="C881" t="str">
            <v>Emmet, MI</v>
          </cell>
          <cell r="D881">
            <v>0.09</v>
          </cell>
        </row>
        <row r="882">
          <cell r="C882" t="str">
            <v>Emmons, ND</v>
          </cell>
          <cell r="D882">
            <v>0.09</v>
          </cell>
        </row>
        <row r="883">
          <cell r="C883" t="str">
            <v>Emporia City, VA</v>
          </cell>
          <cell r="D883">
            <v>4.3999999999999997E-2</v>
          </cell>
        </row>
        <row r="884">
          <cell r="C884" t="str">
            <v>Erath, TX</v>
          </cell>
          <cell r="D884">
            <v>4.3999999999999997E-2</v>
          </cell>
        </row>
        <row r="885">
          <cell r="C885" t="str">
            <v>Erie, NY</v>
          </cell>
          <cell r="D885">
            <v>3.5000000000000003E-2</v>
          </cell>
        </row>
        <row r="886">
          <cell r="C886" t="str">
            <v>Erie, OH</v>
          </cell>
          <cell r="D886">
            <v>0.09</v>
          </cell>
        </row>
        <row r="887">
          <cell r="C887" t="str">
            <v>Erie, PA</v>
          </cell>
          <cell r="D887">
            <v>0.09</v>
          </cell>
        </row>
        <row r="888">
          <cell r="C888" t="str">
            <v>Escambia, AL</v>
          </cell>
          <cell r="D888">
            <v>0.09</v>
          </cell>
        </row>
        <row r="889">
          <cell r="C889" t="str">
            <v>Escambia, FL</v>
          </cell>
          <cell r="D889">
            <v>5.7000000000000002E-2</v>
          </cell>
        </row>
        <row r="890">
          <cell r="C890" t="str">
            <v>Esmeralda, NV</v>
          </cell>
          <cell r="D890">
            <v>0.09</v>
          </cell>
        </row>
        <row r="891">
          <cell r="C891" t="str">
            <v>Essex, MA</v>
          </cell>
          <cell r="D891">
            <v>4.4999999999999998E-2</v>
          </cell>
        </row>
        <row r="892">
          <cell r="C892" t="str">
            <v>Essex, NJ</v>
          </cell>
          <cell r="D892">
            <v>6.0999999999999999E-2</v>
          </cell>
        </row>
        <row r="893">
          <cell r="C893" t="str">
            <v>Essex, NY</v>
          </cell>
          <cell r="D893">
            <v>0.09</v>
          </cell>
        </row>
        <row r="894">
          <cell r="C894" t="str">
            <v>Essex, VA</v>
          </cell>
          <cell r="D894">
            <v>4.3999999999999997E-2</v>
          </cell>
        </row>
        <row r="895">
          <cell r="C895" t="str">
            <v>Essex, VT</v>
          </cell>
          <cell r="D895">
            <v>0.09</v>
          </cell>
        </row>
        <row r="896">
          <cell r="C896" t="str">
            <v>Estill, KY</v>
          </cell>
          <cell r="D896">
            <v>5.7000000000000002E-2</v>
          </cell>
        </row>
        <row r="897">
          <cell r="C897" t="str">
            <v>Etowah, AL</v>
          </cell>
          <cell r="D897">
            <v>0.09</v>
          </cell>
        </row>
        <row r="898">
          <cell r="C898" t="str">
            <v>Eureka, NV</v>
          </cell>
          <cell r="D898">
            <v>6.0999999999999999E-2</v>
          </cell>
        </row>
        <row r="899">
          <cell r="C899" t="str">
            <v>Evangeline, LA</v>
          </cell>
          <cell r="D899">
            <v>5.7000000000000002E-2</v>
          </cell>
        </row>
        <row r="900">
          <cell r="C900" t="str">
            <v>Evans, GA</v>
          </cell>
          <cell r="D900">
            <v>4.3999999999999997E-2</v>
          </cell>
        </row>
        <row r="901">
          <cell r="C901" t="str">
            <v>Fairbanks North Star, AK</v>
          </cell>
          <cell r="D901">
            <v>0.09</v>
          </cell>
        </row>
        <row r="902">
          <cell r="C902" t="str">
            <v>Fairfax, VA</v>
          </cell>
          <cell r="D902">
            <v>6.0999999999999999E-2</v>
          </cell>
        </row>
        <row r="903">
          <cell r="C903" t="str">
            <v>Fairfax City, VA</v>
          </cell>
          <cell r="D903">
            <v>2.4E-2</v>
          </cell>
        </row>
        <row r="904">
          <cell r="C904" t="str">
            <v>Fairfield, CT</v>
          </cell>
          <cell r="D904">
            <v>6.0999999999999999E-2</v>
          </cell>
        </row>
        <row r="905">
          <cell r="C905" t="str">
            <v>Fairfield, OH</v>
          </cell>
          <cell r="D905">
            <v>6.0999999999999999E-2</v>
          </cell>
        </row>
        <row r="906">
          <cell r="C906" t="str">
            <v>Fairfield, SC</v>
          </cell>
          <cell r="D906">
            <v>4.3999999999999997E-2</v>
          </cell>
        </row>
        <row r="907">
          <cell r="C907" t="str">
            <v>Fall River, SD</v>
          </cell>
          <cell r="D907">
            <v>4.3999999999999997E-2</v>
          </cell>
        </row>
        <row r="908">
          <cell r="C908" t="str">
            <v>Fallon, MT</v>
          </cell>
          <cell r="D908">
            <v>0.09</v>
          </cell>
        </row>
        <row r="909">
          <cell r="C909" t="str">
            <v>Falls, TX</v>
          </cell>
          <cell r="D909">
            <v>5.7000000000000002E-2</v>
          </cell>
        </row>
        <row r="910">
          <cell r="C910" t="str">
            <v>Falls Church City, VA</v>
          </cell>
          <cell r="D910">
            <v>2.4E-2</v>
          </cell>
        </row>
        <row r="911">
          <cell r="C911" t="str">
            <v>Fannin, GA</v>
          </cell>
          <cell r="D911">
            <v>4.3999999999999997E-2</v>
          </cell>
        </row>
        <row r="912">
          <cell r="C912" t="str">
            <v>Fannin, TX</v>
          </cell>
          <cell r="D912">
            <v>4.3999999999999997E-2</v>
          </cell>
        </row>
        <row r="913">
          <cell r="C913" t="str">
            <v>Faribault, MN</v>
          </cell>
          <cell r="D913">
            <v>0.09</v>
          </cell>
        </row>
        <row r="914">
          <cell r="C914" t="str">
            <v>Faulk, SD</v>
          </cell>
          <cell r="D914">
            <v>4.3999999999999997E-2</v>
          </cell>
        </row>
        <row r="915">
          <cell r="C915" t="str">
            <v>Faulkner, AR</v>
          </cell>
          <cell r="D915">
            <v>6.0999999999999999E-2</v>
          </cell>
        </row>
        <row r="916">
          <cell r="C916" t="str">
            <v>Fauquier, VA</v>
          </cell>
          <cell r="D916">
            <v>6.0999999999999999E-2</v>
          </cell>
        </row>
        <row r="917">
          <cell r="C917" t="str">
            <v>Fayette, AL</v>
          </cell>
          <cell r="D917">
            <v>0.09</v>
          </cell>
        </row>
        <row r="918">
          <cell r="C918" t="str">
            <v>Fayette, GA</v>
          </cell>
          <cell r="D918">
            <v>6.0999999999999999E-2</v>
          </cell>
        </row>
        <row r="919">
          <cell r="C919" t="str">
            <v>Fayette, IA</v>
          </cell>
          <cell r="D919">
            <v>0.09</v>
          </cell>
        </row>
        <row r="920">
          <cell r="C920" t="str">
            <v>Fayette, IL</v>
          </cell>
          <cell r="D920">
            <v>0.09</v>
          </cell>
        </row>
        <row r="921">
          <cell r="C921" t="str">
            <v>Fayette, IN</v>
          </cell>
          <cell r="D921">
            <v>0.09</v>
          </cell>
        </row>
        <row r="922">
          <cell r="C922" t="str">
            <v>Fayette, KY</v>
          </cell>
          <cell r="D922">
            <v>3.5000000000000003E-2</v>
          </cell>
        </row>
        <row r="923">
          <cell r="C923" t="str">
            <v>Fayette, OH</v>
          </cell>
          <cell r="D923">
            <v>0.09</v>
          </cell>
        </row>
        <row r="924">
          <cell r="C924" t="str">
            <v>Fayette, PA</v>
          </cell>
          <cell r="D924">
            <v>6.0999999999999999E-2</v>
          </cell>
        </row>
        <row r="925">
          <cell r="C925" t="str">
            <v>Fayette, TN</v>
          </cell>
          <cell r="D925">
            <v>6.0999999999999999E-2</v>
          </cell>
        </row>
        <row r="926">
          <cell r="C926" t="str">
            <v>Fayette, TX</v>
          </cell>
          <cell r="D926">
            <v>4.3999999999999997E-2</v>
          </cell>
        </row>
        <row r="927">
          <cell r="C927" t="str">
            <v>Fayette, WV</v>
          </cell>
          <cell r="D927">
            <v>0.09</v>
          </cell>
        </row>
        <row r="928">
          <cell r="C928" t="str">
            <v>Fentress, TN</v>
          </cell>
          <cell r="D928">
            <v>0.09</v>
          </cell>
        </row>
        <row r="929">
          <cell r="C929" t="str">
            <v>Fergus, MT</v>
          </cell>
          <cell r="D929">
            <v>0.09</v>
          </cell>
        </row>
        <row r="930">
          <cell r="C930" t="str">
            <v>Ferry, WA</v>
          </cell>
          <cell r="D930">
            <v>0.09</v>
          </cell>
        </row>
        <row r="931">
          <cell r="C931" t="str">
            <v>Fillmore, MN</v>
          </cell>
          <cell r="D931">
            <v>0.09</v>
          </cell>
        </row>
        <row r="932">
          <cell r="C932" t="str">
            <v>Fillmore, NE</v>
          </cell>
          <cell r="D932">
            <v>0.09</v>
          </cell>
        </row>
        <row r="933">
          <cell r="C933" t="str">
            <v>Finney, KS</v>
          </cell>
          <cell r="D933">
            <v>0.09</v>
          </cell>
        </row>
        <row r="934">
          <cell r="C934" t="str">
            <v>Fisher, TX</v>
          </cell>
          <cell r="D934">
            <v>4.3999999999999997E-2</v>
          </cell>
        </row>
        <row r="935">
          <cell r="C935" t="str">
            <v>Flagler, FL</v>
          </cell>
          <cell r="D935">
            <v>4.3999999999999997E-2</v>
          </cell>
        </row>
        <row r="936">
          <cell r="C936" t="str">
            <v>Flathead, MT</v>
          </cell>
          <cell r="D936">
            <v>0.09</v>
          </cell>
        </row>
        <row r="937">
          <cell r="C937" t="str">
            <v>Fleming, KY</v>
          </cell>
          <cell r="D937">
            <v>0.09</v>
          </cell>
        </row>
        <row r="938">
          <cell r="C938" t="str">
            <v>Florence, SC</v>
          </cell>
          <cell r="D938">
            <v>4.3999999999999997E-2</v>
          </cell>
        </row>
        <row r="939">
          <cell r="C939" t="str">
            <v>Florence, WI</v>
          </cell>
          <cell r="D939">
            <v>0.09</v>
          </cell>
        </row>
        <row r="940">
          <cell r="C940" t="str">
            <v>Floyd, GA</v>
          </cell>
          <cell r="D940">
            <v>4.3999999999999997E-2</v>
          </cell>
        </row>
        <row r="941">
          <cell r="C941" t="str">
            <v>Floyd, IA</v>
          </cell>
          <cell r="D941">
            <v>0.09</v>
          </cell>
        </row>
        <row r="942">
          <cell r="C942" t="str">
            <v>Floyd, IN</v>
          </cell>
          <cell r="D942">
            <v>5.7000000000000002E-2</v>
          </cell>
        </row>
        <row r="943">
          <cell r="C943" t="str">
            <v>Floyd, KY</v>
          </cell>
          <cell r="D943">
            <v>5.7000000000000002E-2</v>
          </cell>
        </row>
        <row r="944">
          <cell r="C944" t="str">
            <v>Floyd, TX</v>
          </cell>
          <cell r="D944">
            <v>4.3999999999999997E-2</v>
          </cell>
        </row>
        <row r="945">
          <cell r="C945" t="str">
            <v>Floyd, VA</v>
          </cell>
          <cell r="D945">
            <v>4.3999999999999997E-2</v>
          </cell>
        </row>
        <row r="946">
          <cell r="C946" t="str">
            <v>Fluvanna, VA</v>
          </cell>
          <cell r="D946">
            <v>6.0999999999999999E-2</v>
          </cell>
        </row>
        <row r="947">
          <cell r="C947" t="str">
            <v>Foard, TX</v>
          </cell>
          <cell r="D947">
            <v>4.3999999999999997E-2</v>
          </cell>
        </row>
        <row r="948">
          <cell r="C948" t="str">
            <v>Fond du Lac, WI</v>
          </cell>
          <cell r="D948">
            <v>0.09</v>
          </cell>
        </row>
        <row r="949">
          <cell r="C949" t="str">
            <v>Ford, IL</v>
          </cell>
          <cell r="D949">
            <v>0.09</v>
          </cell>
        </row>
        <row r="950">
          <cell r="C950" t="str">
            <v>Ford, KS</v>
          </cell>
          <cell r="D950">
            <v>0.09</v>
          </cell>
        </row>
        <row r="951">
          <cell r="C951" t="str">
            <v>Forest, PA</v>
          </cell>
          <cell r="D951">
            <v>5.7000000000000002E-2</v>
          </cell>
        </row>
        <row r="952">
          <cell r="C952" t="str">
            <v>Forest, WI</v>
          </cell>
          <cell r="D952">
            <v>0.09</v>
          </cell>
        </row>
        <row r="953">
          <cell r="C953" t="str">
            <v>Forrest, MS</v>
          </cell>
          <cell r="D953">
            <v>4.3999999999999997E-2</v>
          </cell>
        </row>
        <row r="954">
          <cell r="C954" t="str">
            <v>Forsyth, GA</v>
          </cell>
          <cell r="D954">
            <v>6.0999999999999999E-2</v>
          </cell>
        </row>
        <row r="955">
          <cell r="C955" t="str">
            <v>Forsyth, NC</v>
          </cell>
          <cell r="D955">
            <v>5.7000000000000002E-2</v>
          </cell>
        </row>
        <row r="956">
          <cell r="C956" t="str">
            <v>Fort Bend, TX</v>
          </cell>
          <cell r="D956">
            <v>6.0999999999999999E-2</v>
          </cell>
        </row>
        <row r="957">
          <cell r="C957" t="str">
            <v>Foster, ND</v>
          </cell>
          <cell r="D957">
            <v>0.09</v>
          </cell>
        </row>
        <row r="958">
          <cell r="C958" t="str">
            <v>Fountain, IN</v>
          </cell>
          <cell r="D958">
            <v>0.09</v>
          </cell>
        </row>
        <row r="959">
          <cell r="C959" t="str">
            <v>Franklin, AL</v>
          </cell>
          <cell r="D959">
            <v>0.09</v>
          </cell>
        </row>
        <row r="960">
          <cell r="C960" t="str">
            <v>Franklin, AR</v>
          </cell>
          <cell r="D960">
            <v>4.3999999999999997E-2</v>
          </cell>
        </row>
        <row r="961">
          <cell r="C961" t="str">
            <v>Franklin, FL</v>
          </cell>
          <cell r="D961">
            <v>4.3999999999999997E-2</v>
          </cell>
        </row>
        <row r="962">
          <cell r="C962" t="str">
            <v>Franklin, GA</v>
          </cell>
          <cell r="D962">
            <v>4.3999999999999997E-2</v>
          </cell>
        </row>
        <row r="963">
          <cell r="C963" t="str">
            <v>Franklin, IA</v>
          </cell>
          <cell r="D963">
            <v>0.09</v>
          </cell>
        </row>
        <row r="964">
          <cell r="C964" t="str">
            <v>Franklin, ID</v>
          </cell>
          <cell r="D964">
            <v>4.3999999999999997E-2</v>
          </cell>
        </row>
        <row r="965">
          <cell r="C965" t="str">
            <v>Franklin, IL</v>
          </cell>
          <cell r="D965">
            <v>0.09</v>
          </cell>
        </row>
        <row r="966">
          <cell r="C966" t="str">
            <v>Franklin, IN</v>
          </cell>
          <cell r="D966">
            <v>0.09</v>
          </cell>
        </row>
        <row r="967">
          <cell r="C967" t="str">
            <v>Franklin, KS</v>
          </cell>
          <cell r="D967">
            <v>0.09</v>
          </cell>
        </row>
        <row r="968">
          <cell r="C968" t="str">
            <v>Franklin, KY</v>
          </cell>
          <cell r="D968">
            <v>0.09</v>
          </cell>
        </row>
        <row r="969">
          <cell r="C969" t="str">
            <v>Franklin, LA</v>
          </cell>
          <cell r="D969">
            <v>0.09</v>
          </cell>
        </row>
        <row r="970">
          <cell r="C970" t="str">
            <v>Franklin, MA</v>
          </cell>
          <cell r="D970">
            <v>5.7000000000000002E-2</v>
          </cell>
        </row>
        <row r="971">
          <cell r="C971" t="str">
            <v>Franklin, ME</v>
          </cell>
          <cell r="D971">
            <v>0.09</v>
          </cell>
        </row>
        <row r="972">
          <cell r="C972" t="str">
            <v>Franklin, MO</v>
          </cell>
          <cell r="D972">
            <v>5.7000000000000002E-2</v>
          </cell>
        </row>
        <row r="973">
          <cell r="C973" t="str">
            <v>Franklin, MS</v>
          </cell>
          <cell r="D973">
            <v>4.3999999999999997E-2</v>
          </cell>
        </row>
        <row r="974">
          <cell r="C974" t="str">
            <v>Franklin, NC</v>
          </cell>
          <cell r="D974">
            <v>6.0999999999999999E-2</v>
          </cell>
        </row>
        <row r="975">
          <cell r="C975" t="str">
            <v>Franklin, NE</v>
          </cell>
          <cell r="D975">
            <v>0.09</v>
          </cell>
        </row>
        <row r="976">
          <cell r="C976" t="str">
            <v>Franklin, NY</v>
          </cell>
          <cell r="D976">
            <v>0.09</v>
          </cell>
        </row>
        <row r="977">
          <cell r="C977" t="str">
            <v>Franklin, OH</v>
          </cell>
          <cell r="D977">
            <v>6.0999999999999999E-2</v>
          </cell>
        </row>
        <row r="978">
          <cell r="C978" t="str">
            <v>Franklin, PA</v>
          </cell>
          <cell r="D978">
            <v>0.09</v>
          </cell>
        </row>
        <row r="979">
          <cell r="C979" t="str">
            <v>Franklin, TN</v>
          </cell>
          <cell r="D979">
            <v>0.09</v>
          </cell>
        </row>
        <row r="980">
          <cell r="C980" t="str">
            <v>Franklin, TX</v>
          </cell>
          <cell r="D980">
            <v>4.3999999999999997E-2</v>
          </cell>
        </row>
        <row r="981">
          <cell r="C981" t="str">
            <v>Franklin, VA</v>
          </cell>
          <cell r="D981">
            <v>4.3999999999999997E-2</v>
          </cell>
        </row>
        <row r="982">
          <cell r="C982" t="str">
            <v>Franklin, VT</v>
          </cell>
          <cell r="D982">
            <v>0.09</v>
          </cell>
        </row>
        <row r="983">
          <cell r="C983" t="str">
            <v>Franklin, WA</v>
          </cell>
          <cell r="D983">
            <v>0.09</v>
          </cell>
        </row>
        <row r="984">
          <cell r="C984" t="str">
            <v>Franklin City, VA</v>
          </cell>
          <cell r="D984">
            <v>4.3999999999999997E-2</v>
          </cell>
        </row>
        <row r="985">
          <cell r="C985" t="str">
            <v>Frederick, MD</v>
          </cell>
          <cell r="D985">
            <v>6.0999999999999999E-2</v>
          </cell>
        </row>
        <row r="986">
          <cell r="C986" t="str">
            <v>Frederick, VA</v>
          </cell>
          <cell r="D986">
            <v>4.3999999999999997E-2</v>
          </cell>
        </row>
        <row r="987">
          <cell r="C987" t="str">
            <v>Fredericksburg City, VA</v>
          </cell>
          <cell r="D987">
            <v>3.5000000000000003E-2</v>
          </cell>
        </row>
        <row r="988">
          <cell r="C988" t="str">
            <v>Freeborn, MN</v>
          </cell>
          <cell r="D988">
            <v>0.09</v>
          </cell>
        </row>
        <row r="989">
          <cell r="C989" t="str">
            <v>Freestone, TX</v>
          </cell>
          <cell r="D989">
            <v>4.3999999999999997E-2</v>
          </cell>
        </row>
        <row r="990">
          <cell r="C990" t="str">
            <v>Fremont, CO</v>
          </cell>
          <cell r="D990">
            <v>4.3999999999999997E-2</v>
          </cell>
        </row>
        <row r="991">
          <cell r="C991" t="str">
            <v>Fremont, IA</v>
          </cell>
          <cell r="D991">
            <v>0.09</v>
          </cell>
        </row>
        <row r="992">
          <cell r="C992" t="str">
            <v>Fremont, ID</v>
          </cell>
          <cell r="D992">
            <v>4.3999999999999997E-2</v>
          </cell>
        </row>
        <row r="993">
          <cell r="C993" t="str">
            <v>Fremont, WY</v>
          </cell>
          <cell r="D993">
            <v>0.09</v>
          </cell>
        </row>
        <row r="994">
          <cell r="C994" t="str">
            <v>Fresno, CA</v>
          </cell>
          <cell r="D994">
            <v>3.5000000000000003E-2</v>
          </cell>
        </row>
        <row r="995">
          <cell r="C995" t="str">
            <v>Frio, TX</v>
          </cell>
          <cell r="D995">
            <v>4.3999999999999997E-2</v>
          </cell>
        </row>
        <row r="996">
          <cell r="C996" t="str">
            <v>Frontier, NE</v>
          </cell>
          <cell r="D996">
            <v>0.09</v>
          </cell>
        </row>
        <row r="997">
          <cell r="C997" t="str">
            <v>Fulton, AR</v>
          </cell>
          <cell r="D997">
            <v>5.7000000000000002E-2</v>
          </cell>
        </row>
        <row r="998">
          <cell r="C998" t="str">
            <v>Fulton, GA</v>
          </cell>
          <cell r="D998">
            <v>4.4999999999999998E-2</v>
          </cell>
        </row>
        <row r="999">
          <cell r="C999" t="str">
            <v>Fulton, IL</v>
          </cell>
          <cell r="D999">
            <v>0.09</v>
          </cell>
        </row>
        <row r="1000">
          <cell r="C1000" t="str">
            <v>Fulton, IN</v>
          </cell>
          <cell r="D1000">
            <v>0.09</v>
          </cell>
        </row>
        <row r="1001">
          <cell r="C1001" t="str">
            <v>Fulton, KY</v>
          </cell>
          <cell r="D1001">
            <v>0.09</v>
          </cell>
        </row>
        <row r="1002">
          <cell r="C1002" t="str">
            <v>Fulton, NY</v>
          </cell>
          <cell r="D1002">
            <v>5.7000000000000002E-2</v>
          </cell>
        </row>
        <row r="1003">
          <cell r="C1003" t="str">
            <v>Fulton, OH</v>
          </cell>
          <cell r="D1003">
            <v>6.0999999999999999E-2</v>
          </cell>
        </row>
        <row r="1004">
          <cell r="C1004" t="str">
            <v>Fulton, PA</v>
          </cell>
          <cell r="D1004">
            <v>0.09</v>
          </cell>
        </row>
        <row r="1005">
          <cell r="C1005" t="str">
            <v>Furnas, NE</v>
          </cell>
          <cell r="D1005">
            <v>0.09</v>
          </cell>
        </row>
        <row r="1006">
          <cell r="C1006" t="str">
            <v>Gadsden, FL</v>
          </cell>
          <cell r="D1006">
            <v>3.5000000000000003E-2</v>
          </cell>
        </row>
        <row r="1007">
          <cell r="C1007" t="str">
            <v>Gage, NE</v>
          </cell>
          <cell r="D1007">
            <v>0.09</v>
          </cell>
        </row>
        <row r="1008">
          <cell r="C1008" t="str">
            <v>Gaines, TX</v>
          </cell>
          <cell r="D1008">
            <v>4.3999999999999997E-2</v>
          </cell>
        </row>
        <row r="1009">
          <cell r="C1009" t="str">
            <v>Galax City, VA</v>
          </cell>
          <cell r="D1009">
            <v>3.5000000000000003E-2</v>
          </cell>
        </row>
        <row r="1010">
          <cell r="C1010" t="str">
            <v>Gallatin, IL</v>
          </cell>
          <cell r="D1010">
            <v>0.09</v>
          </cell>
        </row>
        <row r="1011">
          <cell r="C1011" t="str">
            <v>Gallatin, KY</v>
          </cell>
          <cell r="D1011">
            <v>6.0999999999999999E-2</v>
          </cell>
        </row>
        <row r="1012">
          <cell r="C1012" t="str">
            <v>Gallatin, MT</v>
          </cell>
          <cell r="D1012">
            <v>0.09</v>
          </cell>
        </row>
        <row r="1013">
          <cell r="C1013" t="str">
            <v>Gallia, OH</v>
          </cell>
          <cell r="D1013">
            <v>0.09</v>
          </cell>
        </row>
        <row r="1014">
          <cell r="C1014" t="str">
            <v>Galveston, TX</v>
          </cell>
          <cell r="D1014">
            <v>4.3999999999999997E-2</v>
          </cell>
        </row>
        <row r="1015">
          <cell r="C1015" t="str">
            <v>Garden, NE</v>
          </cell>
          <cell r="D1015">
            <v>0.09</v>
          </cell>
        </row>
        <row r="1016">
          <cell r="C1016" t="str">
            <v>Garfield, CO</v>
          </cell>
          <cell r="D1016">
            <v>4.3999999999999997E-2</v>
          </cell>
        </row>
        <row r="1017">
          <cell r="C1017" t="str">
            <v>Garfield, MT</v>
          </cell>
          <cell r="D1017">
            <v>0.09</v>
          </cell>
        </row>
        <row r="1018">
          <cell r="C1018" t="str">
            <v>Garfield, NE</v>
          </cell>
          <cell r="D1018">
            <v>0.09</v>
          </cell>
        </row>
        <row r="1019">
          <cell r="C1019" t="str">
            <v>Garfield, OK</v>
          </cell>
          <cell r="D1019">
            <v>0.09</v>
          </cell>
        </row>
        <row r="1020">
          <cell r="C1020" t="str">
            <v>Garfield, UT</v>
          </cell>
          <cell r="D1020">
            <v>4.3999999999999997E-2</v>
          </cell>
        </row>
        <row r="1021">
          <cell r="C1021" t="str">
            <v>Garfield, WA</v>
          </cell>
          <cell r="D1021">
            <v>0.09</v>
          </cell>
        </row>
        <row r="1022">
          <cell r="C1022" t="str">
            <v>Garland, AR</v>
          </cell>
          <cell r="D1022">
            <v>5.7000000000000002E-2</v>
          </cell>
        </row>
        <row r="1023">
          <cell r="C1023" t="str">
            <v>Garrard, KY</v>
          </cell>
          <cell r="D1023">
            <v>0.09</v>
          </cell>
        </row>
        <row r="1024">
          <cell r="C1024" t="str">
            <v>Garrett, MD</v>
          </cell>
          <cell r="D1024">
            <v>0.09</v>
          </cell>
        </row>
        <row r="1025">
          <cell r="C1025" t="str">
            <v>Garvin, OK</v>
          </cell>
          <cell r="D1025">
            <v>0.09</v>
          </cell>
        </row>
        <row r="1026">
          <cell r="C1026" t="str">
            <v>Garza, TX</v>
          </cell>
          <cell r="D1026">
            <v>4.3999999999999997E-2</v>
          </cell>
        </row>
        <row r="1027">
          <cell r="C1027" t="str">
            <v>Gasconade, MO</v>
          </cell>
          <cell r="D1027">
            <v>5.7000000000000002E-2</v>
          </cell>
        </row>
        <row r="1028">
          <cell r="C1028" t="str">
            <v>Gaston, NC</v>
          </cell>
          <cell r="D1028">
            <v>5.7000000000000002E-2</v>
          </cell>
        </row>
        <row r="1029">
          <cell r="C1029" t="str">
            <v>Gates, NC</v>
          </cell>
          <cell r="D1029">
            <v>4.3999999999999997E-2</v>
          </cell>
        </row>
        <row r="1030">
          <cell r="C1030" t="str">
            <v>Geary, KS</v>
          </cell>
          <cell r="D1030">
            <v>0.09</v>
          </cell>
        </row>
        <row r="1031">
          <cell r="C1031" t="str">
            <v>Geauga, OH</v>
          </cell>
          <cell r="D1031">
            <v>6.0999999999999999E-2</v>
          </cell>
        </row>
        <row r="1032">
          <cell r="C1032" t="str">
            <v>Gem, ID</v>
          </cell>
          <cell r="D1032">
            <v>4.3999999999999997E-2</v>
          </cell>
        </row>
        <row r="1033">
          <cell r="C1033" t="str">
            <v>Genesee, MI</v>
          </cell>
          <cell r="D1033">
            <v>0.09</v>
          </cell>
        </row>
        <row r="1034">
          <cell r="C1034" t="str">
            <v>Genesee, NY</v>
          </cell>
          <cell r="D1034">
            <v>3.5000000000000003E-2</v>
          </cell>
        </row>
        <row r="1035">
          <cell r="C1035" t="str">
            <v>Geneva, AL</v>
          </cell>
          <cell r="D1035">
            <v>0.09</v>
          </cell>
        </row>
        <row r="1036">
          <cell r="C1036" t="str">
            <v>Gentry, MO</v>
          </cell>
          <cell r="D1036">
            <v>0.09</v>
          </cell>
        </row>
        <row r="1037">
          <cell r="C1037" t="str">
            <v>George, MS</v>
          </cell>
          <cell r="D1037">
            <v>4.3999999999999997E-2</v>
          </cell>
        </row>
        <row r="1038">
          <cell r="C1038" t="str">
            <v>Georgetown, SC</v>
          </cell>
          <cell r="D1038">
            <v>4.3999999999999997E-2</v>
          </cell>
        </row>
        <row r="1039">
          <cell r="C1039" t="str">
            <v>Gibson, IN</v>
          </cell>
          <cell r="D1039">
            <v>0.09</v>
          </cell>
        </row>
        <row r="1040">
          <cell r="C1040" t="str">
            <v>Gibson, TN</v>
          </cell>
          <cell r="D1040">
            <v>0.09</v>
          </cell>
        </row>
        <row r="1041">
          <cell r="C1041" t="str">
            <v>Gila, AZ</v>
          </cell>
          <cell r="D1041">
            <v>4.3999999999999997E-2</v>
          </cell>
        </row>
        <row r="1042">
          <cell r="C1042" t="str">
            <v>Gilchrist, FL</v>
          </cell>
          <cell r="D1042">
            <v>4.3999999999999997E-2</v>
          </cell>
        </row>
        <row r="1043">
          <cell r="C1043" t="str">
            <v>Giles, TN</v>
          </cell>
          <cell r="D1043">
            <v>0.09</v>
          </cell>
        </row>
        <row r="1044">
          <cell r="C1044" t="str">
            <v>Giles, VA</v>
          </cell>
          <cell r="D1044">
            <v>4.3999999999999997E-2</v>
          </cell>
        </row>
        <row r="1045">
          <cell r="C1045" t="str">
            <v>Gillespie, TX</v>
          </cell>
          <cell r="D1045">
            <v>4.3999999999999997E-2</v>
          </cell>
        </row>
        <row r="1046">
          <cell r="C1046" t="str">
            <v>Gilliam, OR</v>
          </cell>
          <cell r="D1046">
            <v>0.09</v>
          </cell>
        </row>
        <row r="1047">
          <cell r="C1047" t="str">
            <v>Gilmer, GA</v>
          </cell>
          <cell r="D1047">
            <v>4.3999999999999997E-2</v>
          </cell>
        </row>
        <row r="1048">
          <cell r="C1048" t="str">
            <v>Gilmer, WV</v>
          </cell>
          <cell r="D1048">
            <v>0.09</v>
          </cell>
        </row>
        <row r="1049">
          <cell r="C1049" t="str">
            <v>Gilpin, CO</v>
          </cell>
          <cell r="D1049">
            <v>4.3999999999999997E-2</v>
          </cell>
        </row>
        <row r="1050">
          <cell r="C1050" t="str">
            <v>Glacier, MT</v>
          </cell>
          <cell r="D1050">
            <v>0.09</v>
          </cell>
        </row>
        <row r="1051">
          <cell r="C1051" t="str">
            <v>Glades, FL</v>
          </cell>
          <cell r="D1051">
            <v>4.3999999999999997E-2</v>
          </cell>
        </row>
        <row r="1052">
          <cell r="C1052" t="str">
            <v>Gladwin, MI</v>
          </cell>
          <cell r="D1052">
            <v>0.09</v>
          </cell>
        </row>
        <row r="1053">
          <cell r="C1053" t="str">
            <v>Glascock, GA</v>
          </cell>
          <cell r="D1053">
            <v>4.3999999999999997E-2</v>
          </cell>
        </row>
        <row r="1054">
          <cell r="C1054" t="str">
            <v>Glasscock, TX</v>
          </cell>
          <cell r="D1054">
            <v>4.3999999999999997E-2</v>
          </cell>
        </row>
        <row r="1055">
          <cell r="C1055" t="str">
            <v>Glenn, CA</v>
          </cell>
          <cell r="D1055">
            <v>5.7000000000000002E-2</v>
          </cell>
        </row>
        <row r="1056">
          <cell r="C1056" t="str">
            <v>Gloucester, NJ</v>
          </cell>
          <cell r="D1056">
            <v>6.0999999999999999E-2</v>
          </cell>
        </row>
        <row r="1057">
          <cell r="C1057" t="str">
            <v>Gloucester, VA</v>
          </cell>
          <cell r="D1057">
            <v>6.0999999999999999E-2</v>
          </cell>
        </row>
        <row r="1058">
          <cell r="C1058" t="str">
            <v>Glynn, GA</v>
          </cell>
          <cell r="D1058">
            <v>4.3999999999999997E-2</v>
          </cell>
        </row>
        <row r="1059">
          <cell r="C1059" t="str">
            <v>Gogebic, MI</v>
          </cell>
          <cell r="D1059">
            <v>0.09</v>
          </cell>
        </row>
        <row r="1060">
          <cell r="C1060" t="str">
            <v>Golden Valley, MT</v>
          </cell>
          <cell r="D1060">
            <v>0.09</v>
          </cell>
        </row>
        <row r="1061">
          <cell r="C1061" t="str">
            <v>Golden Valley, ND</v>
          </cell>
          <cell r="D1061">
            <v>0.09</v>
          </cell>
        </row>
        <row r="1062">
          <cell r="C1062" t="str">
            <v>Goliad, TX</v>
          </cell>
          <cell r="D1062">
            <v>4.3999999999999997E-2</v>
          </cell>
        </row>
        <row r="1063">
          <cell r="C1063" t="str">
            <v>Gonzales, TX</v>
          </cell>
          <cell r="D1063">
            <v>4.3999999999999997E-2</v>
          </cell>
        </row>
        <row r="1064">
          <cell r="C1064" t="str">
            <v>Goochland, VA</v>
          </cell>
          <cell r="D1064">
            <v>6.0999999999999999E-2</v>
          </cell>
        </row>
        <row r="1065">
          <cell r="C1065" t="str">
            <v>Goodhue, MN</v>
          </cell>
          <cell r="D1065">
            <v>0.09</v>
          </cell>
        </row>
        <row r="1066">
          <cell r="C1066" t="str">
            <v>Gooding, ID</v>
          </cell>
          <cell r="D1066">
            <v>4.3999999999999997E-2</v>
          </cell>
        </row>
        <row r="1067">
          <cell r="C1067" t="str">
            <v>Gordon, GA</v>
          </cell>
          <cell r="D1067">
            <v>4.3999999999999997E-2</v>
          </cell>
        </row>
        <row r="1068">
          <cell r="C1068" t="str">
            <v>Goshen, WY</v>
          </cell>
          <cell r="D1068">
            <v>0.09</v>
          </cell>
        </row>
        <row r="1069">
          <cell r="C1069" t="str">
            <v>Gosper, NE</v>
          </cell>
          <cell r="D1069">
            <v>0.09</v>
          </cell>
        </row>
        <row r="1070">
          <cell r="C1070" t="str">
            <v>Gove, KS</v>
          </cell>
          <cell r="D1070">
            <v>0.09</v>
          </cell>
        </row>
        <row r="1071">
          <cell r="C1071" t="str">
            <v>Grady, GA</v>
          </cell>
          <cell r="D1071">
            <v>4.3999999999999997E-2</v>
          </cell>
        </row>
        <row r="1072">
          <cell r="C1072" t="str">
            <v>Grady, OK</v>
          </cell>
          <cell r="D1072">
            <v>0.09</v>
          </cell>
        </row>
        <row r="1073">
          <cell r="C1073" t="str">
            <v>Grafton, NH</v>
          </cell>
          <cell r="D1073">
            <v>0.09</v>
          </cell>
        </row>
        <row r="1074">
          <cell r="C1074" t="str">
            <v>Graham, AZ</v>
          </cell>
          <cell r="D1074">
            <v>4.3999999999999997E-2</v>
          </cell>
        </row>
        <row r="1075">
          <cell r="C1075" t="str">
            <v>Graham, KS</v>
          </cell>
          <cell r="D1075">
            <v>0.09</v>
          </cell>
        </row>
        <row r="1076">
          <cell r="C1076" t="str">
            <v>Graham, NC</v>
          </cell>
          <cell r="D1076">
            <v>4.3999999999999997E-2</v>
          </cell>
        </row>
        <row r="1077">
          <cell r="C1077" t="str">
            <v>Grainger, TN</v>
          </cell>
          <cell r="D1077">
            <v>0.09</v>
          </cell>
        </row>
        <row r="1078">
          <cell r="C1078" t="str">
            <v>Grand, CO</v>
          </cell>
          <cell r="D1078">
            <v>4.3999999999999997E-2</v>
          </cell>
        </row>
        <row r="1079">
          <cell r="C1079" t="str">
            <v>Grand, UT</v>
          </cell>
          <cell r="D1079">
            <v>4.3999999999999997E-2</v>
          </cell>
        </row>
        <row r="1080">
          <cell r="C1080" t="str">
            <v>Grand Forks, ND</v>
          </cell>
          <cell r="D1080">
            <v>0.09</v>
          </cell>
        </row>
        <row r="1081">
          <cell r="C1081" t="str">
            <v>Grand Isle, VT</v>
          </cell>
          <cell r="D1081">
            <v>0.09</v>
          </cell>
        </row>
        <row r="1082">
          <cell r="C1082" t="str">
            <v>Grand Traverse, MI</v>
          </cell>
          <cell r="D1082">
            <v>0.09</v>
          </cell>
        </row>
        <row r="1083">
          <cell r="C1083" t="str">
            <v>Granite, MT</v>
          </cell>
          <cell r="D1083">
            <v>0.09</v>
          </cell>
        </row>
        <row r="1084">
          <cell r="C1084" t="str">
            <v>Grant, AR</v>
          </cell>
          <cell r="D1084">
            <v>4.3999999999999997E-2</v>
          </cell>
        </row>
        <row r="1085">
          <cell r="C1085" t="str">
            <v>Grant, IN</v>
          </cell>
          <cell r="D1085">
            <v>0.09</v>
          </cell>
        </row>
        <row r="1086">
          <cell r="C1086" t="str">
            <v>Grant, KS</v>
          </cell>
          <cell r="D1086">
            <v>0.09</v>
          </cell>
        </row>
        <row r="1087">
          <cell r="C1087" t="str">
            <v>Grant, KY</v>
          </cell>
          <cell r="D1087">
            <v>6.0999999999999999E-2</v>
          </cell>
        </row>
        <row r="1088">
          <cell r="C1088" t="str">
            <v>Grant, LA</v>
          </cell>
          <cell r="D1088">
            <v>0.09</v>
          </cell>
        </row>
        <row r="1089">
          <cell r="C1089" t="str">
            <v>Grant, MN</v>
          </cell>
          <cell r="D1089">
            <v>0.09</v>
          </cell>
        </row>
        <row r="1090">
          <cell r="C1090" t="str">
            <v>Grant, ND</v>
          </cell>
          <cell r="D1090">
            <v>0.09</v>
          </cell>
        </row>
        <row r="1091">
          <cell r="C1091" t="str">
            <v>Grant, NE</v>
          </cell>
          <cell r="D1091">
            <v>0.09</v>
          </cell>
        </row>
        <row r="1092">
          <cell r="C1092" t="str">
            <v>Grant, NM</v>
          </cell>
          <cell r="D1092">
            <v>5.7000000000000002E-2</v>
          </cell>
        </row>
        <row r="1093">
          <cell r="C1093" t="str">
            <v>Grant, OK</v>
          </cell>
          <cell r="D1093">
            <v>0.09</v>
          </cell>
        </row>
        <row r="1094">
          <cell r="C1094" t="str">
            <v>Grant, OR</v>
          </cell>
          <cell r="D1094">
            <v>0.09</v>
          </cell>
        </row>
        <row r="1095">
          <cell r="C1095" t="str">
            <v>Grant, SD</v>
          </cell>
          <cell r="D1095">
            <v>4.3999999999999997E-2</v>
          </cell>
        </row>
        <row r="1096">
          <cell r="C1096" t="str">
            <v>Grant, WA</v>
          </cell>
          <cell r="D1096">
            <v>0.09</v>
          </cell>
        </row>
        <row r="1097">
          <cell r="C1097" t="str">
            <v>Grant, WI</v>
          </cell>
          <cell r="D1097">
            <v>0.09</v>
          </cell>
        </row>
        <row r="1098">
          <cell r="C1098" t="str">
            <v>Grant, WV</v>
          </cell>
          <cell r="D1098">
            <v>0.09</v>
          </cell>
        </row>
        <row r="1099">
          <cell r="C1099" t="str">
            <v>Granville, NC</v>
          </cell>
          <cell r="D1099">
            <v>4.3999999999999997E-2</v>
          </cell>
        </row>
        <row r="1100">
          <cell r="C1100" t="str">
            <v>Gratiot, MI</v>
          </cell>
          <cell r="D1100">
            <v>0.09</v>
          </cell>
        </row>
        <row r="1101">
          <cell r="C1101" t="str">
            <v>Graves, KY</v>
          </cell>
          <cell r="D1101">
            <v>0.09</v>
          </cell>
        </row>
        <row r="1102">
          <cell r="C1102" t="str">
            <v>Gray, KS</v>
          </cell>
          <cell r="D1102">
            <v>0.09</v>
          </cell>
        </row>
        <row r="1103">
          <cell r="C1103" t="str">
            <v>Gray, TX</v>
          </cell>
          <cell r="D1103">
            <v>4.3999999999999997E-2</v>
          </cell>
        </row>
        <row r="1104">
          <cell r="C1104" t="str">
            <v>Grays Harbor, WA</v>
          </cell>
          <cell r="D1104">
            <v>0.09</v>
          </cell>
        </row>
        <row r="1105">
          <cell r="C1105" t="str">
            <v>Grayson, KY</v>
          </cell>
          <cell r="D1105">
            <v>0.09</v>
          </cell>
        </row>
        <row r="1106">
          <cell r="C1106" t="str">
            <v>Grayson, TX</v>
          </cell>
          <cell r="D1106">
            <v>4.3999999999999997E-2</v>
          </cell>
        </row>
        <row r="1107">
          <cell r="C1107" t="str">
            <v>Grayson, VA</v>
          </cell>
          <cell r="D1107">
            <v>4.3999999999999997E-2</v>
          </cell>
        </row>
        <row r="1108">
          <cell r="C1108" t="str">
            <v>Greeley, KS</v>
          </cell>
          <cell r="D1108">
            <v>0.09</v>
          </cell>
        </row>
        <row r="1109">
          <cell r="C1109" t="str">
            <v>Greeley, NE</v>
          </cell>
          <cell r="D1109">
            <v>0.09</v>
          </cell>
        </row>
        <row r="1110">
          <cell r="C1110" t="str">
            <v>Green, KY</v>
          </cell>
          <cell r="D1110">
            <v>0.09</v>
          </cell>
        </row>
        <row r="1111">
          <cell r="C1111" t="str">
            <v>Green, WI</v>
          </cell>
          <cell r="D1111">
            <v>0.09</v>
          </cell>
        </row>
        <row r="1112">
          <cell r="C1112" t="str">
            <v>Green Lake, WI</v>
          </cell>
          <cell r="D1112">
            <v>0.09</v>
          </cell>
        </row>
        <row r="1113">
          <cell r="C1113" t="str">
            <v>Greenbrier, WV</v>
          </cell>
          <cell r="D1113">
            <v>0.09</v>
          </cell>
        </row>
        <row r="1114">
          <cell r="C1114" t="str">
            <v>Greene, AL</v>
          </cell>
          <cell r="D1114">
            <v>0.09</v>
          </cell>
        </row>
        <row r="1115">
          <cell r="C1115" t="str">
            <v>Greene, AR</v>
          </cell>
          <cell r="D1115">
            <v>4.3999999999999997E-2</v>
          </cell>
        </row>
        <row r="1116">
          <cell r="C1116" t="str">
            <v>Greene, GA</v>
          </cell>
          <cell r="D1116">
            <v>4.3999999999999997E-2</v>
          </cell>
        </row>
        <row r="1117">
          <cell r="C1117" t="str">
            <v>Greene, IA</v>
          </cell>
          <cell r="D1117">
            <v>0.09</v>
          </cell>
        </row>
        <row r="1118">
          <cell r="C1118" t="str">
            <v>Greene, IL</v>
          </cell>
          <cell r="D1118">
            <v>0.09</v>
          </cell>
        </row>
        <row r="1119">
          <cell r="C1119" t="str">
            <v>Greene, IN</v>
          </cell>
          <cell r="D1119">
            <v>0.09</v>
          </cell>
        </row>
        <row r="1120">
          <cell r="C1120" t="str">
            <v>Greene, MO</v>
          </cell>
          <cell r="D1120">
            <v>5.7000000000000002E-2</v>
          </cell>
        </row>
        <row r="1121">
          <cell r="C1121" t="str">
            <v>Greene, MS</v>
          </cell>
          <cell r="D1121">
            <v>4.3999999999999997E-2</v>
          </cell>
        </row>
        <row r="1122">
          <cell r="C1122" t="str">
            <v>Greene, NC</v>
          </cell>
          <cell r="D1122">
            <v>4.3999999999999997E-2</v>
          </cell>
        </row>
        <row r="1123">
          <cell r="C1123" t="str">
            <v>Greene, NY</v>
          </cell>
          <cell r="D1123">
            <v>5.7000000000000002E-2</v>
          </cell>
        </row>
        <row r="1124">
          <cell r="C1124" t="str">
            <v>Greene, OH</v>
          </cell>
          <cell r="D1124">
            <v>6.0999999999999999E-2</v>
          </cell>
        </row>
        <row r="1125">
          <cell r="C1125" t="str">
            <v>Greene, PA</v>
          </cell>
          <cell r="D1125">
            <v>0.09</v>
          </cell>
        </row>
        <row r="1126">
          <cell r="C1126" t="str">
            <v>Greene, TN</v>
          </cell>
          <cell r="D1126">
            <v>0.09</v>
          </cell>
        </row>
        <row r="1127">
          <cell r="C1127" t="str">
            <v>Greene, VA</v>
          </cell>
          <cell r="D1127">
            <v>6.0999999999999999E-2</v>
          </cell>
        </row>
        <row r="1128">
          <cell r="C1128" t="str">
            <v>Greenlee, AZ</v>
          </cell>
          <cell r="D1128">
            <v>4.3999999999999997E-2</v>
          </cell>
        </row>
        <row r="1129">
          <cell r="C1129" t="str">
            <v>Greensville, VA</v>
          </cell>
          <cell r="D1129">
            <v>4.3999999999999997E-2</v>
          </cell>
        </row>
        <row r="1130">
          <cell r="C1130" t="str">
            <v>Greenup, KY</v>
          </cell>
          <cell r="D1130">
            <v>0.09</v>
          </cell>
        </row>
        <row r="1131">
          <cell r="C1131" t="str">
            <v>Greenville, SC</v>
          </cell>
          <cell r="D1131">
            <v>4.3999999999999997E-2</v>
          </cell>
        </row>
        <row r="1132">
          <cell r="C1132" t="str">
            <v>Greenwood, KS</v>
          </cell>
          <cell r="D1132">
            <v>0.09</v>
          </cell>
        </row>
        <row r="1133">
          <cell r="C1133" t="str">
            <v>Greenwood, SC</v>
          </cell>
          <cell r="D1133">
            <v>4.3999999999999997E-2</v>
          </cell>
        </row>
        <row r="1134">
          <cell r="C1134" t="str">
            <v>Greer, OK</v>
          </cell>
          <cell r="D1134">
            <v>0.09</v>
          </cell>
        </row>
        <row r="1135">
          <cell r="C1135" t="str">
            <v>Gregg, TX</v>
          </cell>
          <cell r="D1135">
            <v>4.3999999999999997E-2</v>
          </cell>
        </row>
        <row r="1136">
          <cell r="C1136" t="str">
            <v>Gregory, SD</v>
          </cell>
          <cell r="D1136">
            <v>4.3999999999999997E-2</v>
          </cell>
        </row>
        <row r="1137">
          <cell r="C1137" t="str">
            <v>Grenada, MS</v>
          </cell>
          <cell r="D1137">
            <v>4.3999999999999997E-2</v>
          </cell>
        </row>
        <row r="1138">
          <cell r="C1138" t="str">
            <v>Griggs, ND</v>
          </cell>
          <cell r="D1138">
            <v>0.09</v>
          </cell>
        </row>
        <row r="1139">
          <cell r="C1139" t="str">
            <v>Grimes, TX</v>
          </cell>
          <cell r="D1139">
            <v>4.3999999999999997E-2</v>
          </cell>
        </row>
        <row r="1140">
          <cell r="C1140" t="str">
            <v>Grundy, IA</v>
          </cell>
          <cell r="D1140">
            <v>0.09</v>
          </cell>
        </row>
        <row r="1141">
          <cell r="C1141" t="str">
            <v>Grundy, IL</v>
          </cell>
          <cell r="D1141">
            <v>6.0999999999999999E-2</v>
          </cell>
        </row>
        <row r="1142">
          <cell r="C1142" t="str">
            <v>Grundy, MO</v>
          </cell>
          <cell r="D1142">
            <v>0.09</v>
          </cell>
        </row>
        <row r="1143">
          <cell r="C1143" t="str">
            <v>Grundy, TN</v>
          </cell>
          <cell r="D1143">
            <v>0.09</v>
          </cell>
        </row>
        <row r="1144">
          <cell r="C1144" t="str">
            <v>Guadalupe, NM</v>
          </cell>
          <cell r="D1144">
            <v>3.5000000000000003E-2</v>
          </cell>
        </row>
        <row r="1145">
          <cell r="C1145" t="str">
            <v>Guadalupe, TX</v>
          </cell>
          <cell r="D1145">
            <v>4.3999999999999997E-2</v>
          </cell>
        </row>
        <row r="1146">
          <cell r="C1146" t="str">
            <v>Guernsey, OH</v>
          </cell>
          <cell r="D1146">
            <v>0.09</v>
          </cell>
        </row>
        <row r="1147">
          <cell r="C1147" t="str">
            <v>Guilford, NC</v>
          </cell>
          <cell r="D1147">
            <v>6.0999999999999999E-2</v>
          </cell>
        </row>
        <row r="1148">
          <cell r="C1148" t="str">
            <v>Gulf, FL</v>
          </cell>
          <cell r="D1148">
            <v>4.3999999999999997E-2</v>
          </cell>
        </row>
        <row r="1149">
          <cell r="C1149" t="str">
            <v>Gunnison, CO</v>
          </cell>
          <cell r="D1149">
            <v>4.3999999999999997E-2</v>
          </cell>
        </row>
        <row r="1150">
          <cell r="C1150" t="str">
            <v>Guthrie, IA</v>
          </cell>
          <cell r="D1150">
            <v>0.09</v>
          </cell>
        </row>
        <row r="1151">
          <cell r="C1151" t="str">
            <v>Gwinnett, GA</v>
          </cell>
          <cell r="D1151">
            <v>6.0999999999999999E-2</v>
          </cell>
        </row>
        <row r="1152">
          <cell r="C1152" t="str">
            <v>Haakon, SD</v>
          </cell>
          <cell r="D1152">
            <v>4.3999999999999997E-2</v>
          </cell>
        </row>
        <row r="1153">
          <cell r="C1153" t="str">
            <v>Habersham, GA</v>
          </cell>
          <cell r="D1153">
            <v>4.3999999999999997E-2</v>
          </cell>
        </row>
        <row r="1154">
          <cell r="C1154" t="str">
            <v>Haines, AK</v>
          </cell>
          <cell r="D1154">
            <v>0.09</v>
          </cell>
        </row>
        <row r="1155">
          <cell r="C1155" t="str">
            <v>Hale, AL</v>
          </cell>
          <cell r="D1155">
            <v>0.09</v>
          </cell>
        </row>
        <row r="1156">
          <cell r="C1156" t="str">
            <v>Hale, TX</v>
          </cell>
          <cell r="D1156">
            <v>4.3999999999999997E-2</v>
          </cell>
        </row>
        <row r="1157">
          <cell r="C1157" t="str">
            <v>Halifax, NC</v>
          </cell>
          <cell r="D1157">
            <v>4.3999999999999997E-2</v>
          </cell>
        </row>
        <row r="1158">
          <cell r="C1158" t="str">
            <v>Halifax, VA</v>
          </cell>
          <cell r="D1158">
            <v>4.3999999999999997E-2</v>
          </cell>
        </row>
        <row r="1159">
          <cell r="C1159" t="str">
            <v>Hall, GA</v>
          </cell>
          <cell r="D1159">
            <v>4.3999999999999997E-2</v>
          </cell>
        </row>
        <row r="1160">
          <cell r="C1160" t="str">
            <v>Hall, NE</v>
          </cell>
          <cell r="D1160">
            <v>0.09</v>
          </cell>
        </row>
        <row r="1161">
          <cell r="C1161" t="str">
            <v>Hall, TX</v>
          </cell>
          <cell r="D1161">
            <v>4.3999999999999997E-2</v>
          </cell>
        </row>
        <row r="1162">
          <cell r="C1162" t="str">
            <v>Hamblen, TN</v>
          </cell>
          <cell r="D1162">
            <v>0.09</v>
          </cell>
        </row>
        <row r="1163">
          <cell r="C1163" t="str">
            <v>Hamilton, FL</v>
          </cell>
          <cell r="D1163">
            <v>4.3999999999999997E-2</v>
          </cell>
        </row>
        <row r="1164">
          <cell r="C1164" t="str">
            <v>Hamilton, IA</v>
          </cell>
          <cell r="D1164">
            <v>0.09</v>
          </cell>
        </row>
        <row r="1165">
          <cell r="C1165" t="str">
            <v>Hamilton, IL</v>
          </cell>
          <cell r="D1165">
            <v>0.09</v>
          </cell>
        </row>
        <row r="1166">
          <cell r="C1166" t="str">
            <v>Hamilton, IN</v>
          </cell>
          <cell r="D1166">
            <v>6.0999999999999999E-2</v>
          </cell>
        </row>
        <row r="1167">
          <cell r="C1167" t="str">
            <v>Hamilton, KS</v>
          </cell>
          <cell r="D1167">
            <v>0.09</v>
          </cell>
        </row>
        <row r="1168">
          <cell r="C1168" t="str">
            <v>Hamilton, NE</v>
          </cell>
          <cell r="D1168">
            <v>0.09</v>
          </cell>
        </row>
        <row r="1169">
          <cell r="C1169" t="str">
            <v>Hamilton, NY</v>
          </cell>
          <cell r="D1169">
            <v>5.7000000000000002E-2</v>
          </cell>
        </row>
        <row r="1170">
          <cell r="C1170" t="str">
            <v>Hamilton, OH</v>
          </cell>
          <cell r="D1170">
            <v>4.4999999999999998E-2</v>
          </cell>
        </row>
        <row r="1171">
          <cell r="C1171" t="str">
            <v>Hamilton, TN</v>
          </cell>
          <cell r="D1171">
            <v>0.09</v>
          </cell>
        </row>
        <row r="1172">
          <cell r="C1172" t="str">
            <v>Hamilton, TX</v>
          </cell>
          <cell r="D1172">
            <v>5.7000000000000002E-2</v>
          </cell>
        </row>
        <row r="1173">
          <cell r="C1173" t="str">
            <v>Hamlin, SD</v>
          </cell>
          <cell r="D1173">
            <v>4.3999999999999997E-2</v>
          </cell>
        </row>
        <row r="1174">
          <cell r="C1174" t="str">
            <v>Hampden, MA</v>
          </cell>
          <cell r="D1174">
            <v>3.5000000000000003E-2</v>
          </cell>
        </row>
        <row r="1175">
          <cell r="C1175" t="str">
            <v>Hampshire, MA</v>
          </cell>
          <cell r="D1175">
            <v>5.7000000000000002E-2</v>
          </cell>
        </row>
        <row r="1176">
          <cell r="C1176" t="str">
            <v>Hampshire, WV</v>
          </cell>
          <cell r="D1176">
            <v>0.09</v>
          </cell>
        </row>
        <row r="1177">
          <cell r="C1177" t="str">
            <v>Hampton, SC</v>
          </cell>
          <cell r="D1177">
            <v>4.3999999999999997E-2</v>
          </cell>
        </row>
        <row r="1178">
          <cell r="C1178" t="str">
            <v>Hampton City, VA</v>
          </cell>
          <cell r="D1178">
            <v>6.0999999999999999E-2</v>
          </cell>
        </row>
        <row r="1179">
          <cell r="C1179" t="str">
            <v>Hancock, GA</v>
          </cell>
          <cell r="D1179">
            <v>4.3999999999999997E-2</v>
          </cell>
        </row>
        <row r="1180">
          <cell r="C1180" t="str">
            <v>Hancock, IA</v>
          </cell>
          <cell r="D1180">
            <v>0.09</v>
          </cell>
        </row>
        <row r="1181">
          <cell r="C1181" t="str">
            <v>Hancock, IL</v>
          </cell>
          <cell r="D1181">
            <v>0.09</v>
          </cell>
        </row>
        <row r="1182">
          <cell r="C1182" t="str">
            <v>Hancock, IN</v>
          </cell>
          <cell r="D1182">
            <v>6.0999999999999999E-2</v>
          </cell>
        </row>
        <row r="1183">
          <cell r="C1183" t="str">
            <v>Hancock, KY</v>
          </cell>
          <cell r="D1183">
            <v>0.09</v>
          </cell>
        </row>
        <row r="1184">
          <cell r="C1184" t="str">
            <v>Hancock, ME</v>
          </cell>
          <cell r="D1184">
            <v>0.09</v>
          </cell>
        </row>
        <row r="1185">
          <cell r="C1185" t="str">
            <v>Hancock, MS</v>
          </cell>
          <cell r="D1185">
            <v>4.3999999999999997E-2</v>
          </cell>
        </row>
        <row r="1186">
          <cell r="C1186" t="str">
            <v>Hancock, OH</v>
          </cell>
          <cell r="D1186">
            <v>0.09</v>
          </cell>
        </row>
        <row r="1187">
          <cell r="C1187" t="str">
            <v>Hancock, TN</v>
          </cell>
          <cell r="D1187">
            <v>0.09</v>
          </cell>
        </row>
        <row r="1188">
          <cell r="C1188" t="str">
            <v>Hancock, WV</v>
          </cell>
          <cell r="D1188">
            <v>0.09</v>
          </cell>
        </row>
        <row r="1189">
          <cell r="C1189" t="str">
            <v>Hand, SD</v>
          </cell>
          <cell r="D1189">
            <v>4.3999999999999997E-2</v>
          </cell>
        </row>
        <row r="1190">
          <cell r="C1190" t="str">
            <v>Hanover, VA</v>
          </cell>
          <cell r="D1190">
            <v>6.0999999999999999E-2</v>
          </cell>
        </row>
        <row r="1191">
          <cell r="C1191" t="str">
            <v>Hansford, TX</v>
          </cell>
          <cell r="D1191">
            <v>6.0999999999999999E-2</v>
          </cell>
        </row>
        <row r="1192">
          <cell r="C1192" t="str">
            <v>Hanson, SD</v>
          </cell>
          <cell r="D1192">
            <v>4.3999999999999997E-2</v>
          </cell>
        </row>
        <row r="1193">
          <cell r="C1193" t="str">
            <v>Haralson, GA</v>
          </cell>
          <cell r="D1193">
            <v>4.3999999999999997E-2</v>
          </cell>
        </row>
        <row r="1194">
          <cell r="C1194" t="str">
            <v>Hardee, FL</v>
          </cell>
          <cell r="D1194">
            <v>4.3999999999999997E-2</v>
          </cell>
        </row>
        <row r="1195">
          <cell r="C1195" t="str">
            <v>Hardeman, TN</v>
          </cell>
          <cell r="D1195">
            <v>0.09</v>
          </cell>
        </row>
        <row r="1196">
          <cell r="C1196" t="str">
            <v>Hardeman, TX</v>
          </cell>
          <cell r="D1196">
            <v>4.3999999999999997E-2</v>
          </cell>
        </row>
        <row r="1197">
          <cell r="C1197" t="str">
            <v>Hardin, IA</v>
          </cell>
          <cell r="D1197">
            <v>0.09</v>
          </cell>
        </row>
        <row r="1198">
          <cell r="C1198" t="str">
            <v>Hardin, IL</v>
          </cell>
          <cell r="D1198">
            <v>0.09</v>
          </cell>
        </row>
        <row r="1199">
          <cell r="C1199" t="str">
            <v>Hardin, KY</v>
          </cell>
          <cell r="D1199">
            <v>0.09</v>
          </cell>
        </row>
        <row r="1200">
          <cell r="C1200" t="str">
            <v>Hardin, OH</v>
          </cell>
          <cell r="D1200">
            <v>0.09</v>
          </cell>
        </row>
        <row r="1201">
          <cell r="C1201" t="str">
            <v>Hardin, TN</v>
          </cell>
          <cell r="D1201">
            <v>0.09</v>
          </cell>
        </row>
        <row r="1202">
          <cell r="C1202" t="str">
            <v>Hardin, TX</v>
          </cell>
          <cell r="D1202">
            <v>5.7000000000000002E-2</v>
          </cell>
        </row>
        <row r="1203">
          <cell r="C1203" t="str">
            <v>Harding, NM</v>
          </cell>
          <cell r="D1203">
            <v>5.7000000000000002E-2</v>
          </cell>
        </row>
        <row r="1204">
          <cell r="C1204" t="str">
            <v>Harding, SD</v>
          </cell>
          <cell r="D1204">
            <v>4.3999999999999997E-2</v>
          </cell>
        </row>
        <row r="1205">
          <cell r="C1205" t="str">
            <v>Hardy, WV</v>
          </cell>
          <cell r="D1205">
            <v>0.09</v>
          </cell>
        </row>
        <row r="1206">
          <cell r="C1206" t="str">
            <v>Harford, MD</v>
          </cell>
          <cell r="D1206">
            <v>6.0999999999999999E-2</v>
          </cell>
        </row>
        <row r="1207">
          <cell r="C1207" t="str">
            <v>Harlan, KY</v>
          </cell>
          <cell r="D1207">
            <v>5.7000000000000002E-2</v>
          </cell>
        </row>
        <row r="1208">
          <cell r="C1208" t="str">
            <v>Harlan, NE</v>
          </cell>
          <cell r="D1208">
            <v>0.09</v>
          </cell>
        </row>
        <row r="1209">
          <cell r="C1209" t="str">
            <v>Harmon, OK</v>
          </cell>
          <cell r="D1209">
            <v>0.09</v>
          </cell>
        </row>
        <row r="1210">
          <cell r="C1210" t="str">
            <v>Harnett, NC</v>
          </cell>
          <cell r="D1210">
            <v>4.3999999999999997E-2</v>
          </cell>
        </row>
        <row r="1211">
          <cell r="C1211" t="str">
            <v>Harney, OR</v>
          </cell>
          <cell r="D1211">
            <v>0.09</v>
          </cell>
        </row>
        <row r="1212">
          <cell r="C1212" t="str">
            <v>Harper, KS</v>
          </cell>
          <cell r="D1212">
            <v>0.09</v>
          </cell>
        </row>
        <row r="1213">
          <cell r="C1213" t="str">
            <v>Harper, OK</v>
          </cell>
          <cell r="D1213">
            <v>0.09</v>
          </cell>
        </row>
        <row r="1214">
          <cell r="C1214" t="str">
            <v>Harris, GA</v>
          </cell>
          <cell r="D1214">
            <v>4.3999999999999997E-2</v>
          </cell>
        </row>
        <row r="1215">
          <cell r="C1215" t="str">
            <v>Harris, TX</v>
          </cell>
          <cell r="D1215">
            <v>6.0999999999999999E-2</v>
          </cell>
        </row>
        <row r="1216">
          <cell r="C1216" t="str">
            <v>Harrison, IA</v>
          </cell>
          <cell r="D1216">
            <v>0.09</v>
          </cell>
        </row>
        <row r="1217">
          <cell r="C1217" t="str">
            <v>Harrison, IN</v>
          </cell>
          <cell r="D1217">
            <v>5.7000000000000002E-2</v>
          </cell>
        </row>
        <row r="1218">
          <cell r="C1218" t="str">
            <v>Harrison, KY</v>
          </cell>
          <cell r="D1218">
            <v>0.09</v>
          </cell>
        </row>
        <row r="1219">
          <cell r="C1219" t="str">
            <v>Harrison, MO</v>
          </cell>
          <cell r="D1219">
            <v>0.09</v>
          </cell>
        </row>
        <row r="1220">
          <cell r="C1220" t="str">
            <v>Harrison, MS</v>
          </cell>
          <cell r="D1220">
            <v>4.3999999999999997E-2</v>
          </cell>
        </row>
        <row r="1221">
          <cell r="C1221" t="str">
            <v>Harrison, OH</v>
          </cell>
          <cell r="D1221">
            <v>0.09</v>
          </cell>
        </row>
        <row r="1222">
          <cell r="C1222" t="str">
            <v>Harrison, TX</v>
          </cell>
          <cell r="D1222">
            <v>4.3999999999999997E-2</v>
          </cell>
        </row>
        <row r="1223">
          <cell r="C1223" t="str">
            <v>Harrison, WV</v>
          </cell>
          <cell r="D1223">
            <v>0.09</v>
          </cell>
        </row>
        <row r="1224">
          <cell r="C1224" t="str">
            <v>Harrisonburg City, VA</v>
          </cell>
          <cell r="D1224">
            <v>4.3999999999999997E-2</v>
          </cell>
        </row>
        <row r="1225">
          <cell r="C1225" t="str">
            <v>Hart, GA</v>
          </cell>
          <cell r="D1225">
            <v>4.3999999999999997E-2</v>
          </cell>
        </row>
        <row r="1226">
          <cell r="C1226" t="str">
            <v>Hart, KY</v>
          </cell>
          <cell r="D1226">
            <v>0.09</v>
          </cell>
        </row>
        <row r="1227">
          <cell r="C1227" t="str">
            <v>Hartford, CT</v>
          </cell>
          <cell r="D1227">
            <v>4.4999999999999998E-2</v>
          </cell>
        </row>
        <row r="1228">
          <cell r="C1228" t="str">
            <v>Hartley, TX</v>
          </cell>
          <cell r="D1228">
            <v>4.3999999999999997E-2</v>
          </cell>
        </row>
        <row r="1229">
          <cell r="C1229" t="str">
            <v>Harvey, KS</v>
          </cell>
          <cell r="D1229">
            <v>6.0999999999999999E-2</v>
          </cell>
        </row>
        <row r="1230">
          <cell r="C1230" t="str">
            <v>Haskell, KS</v>
          </cell>
          <cell r="D1230">
            <v>0.09</v>
          </cell>
        </row>
        <row r="1231">
          <cell r="C1231" t="str">
            <v>Haskell, OK</v>
          </cell>
          <cell r="D1231">
            <v>0.09</v>
          </cell>
        </row>
        <row r="1232">
          <cell r="C1232" t="str">
            <v>Haskell, TX</v>
          </cell>
          <cell r="D1232">
            <v>5.7000000000000002E-2</v>
          </cell>
        </row>
        <row r="1233">
          <cell r="C1233" t="str">
            <v>Hawaii, HI</v>
          </cell>
          <cell r="D1233">
            <v>5.7000000000000002E-2</v>
          </cell>
        </row>
        <row r="1234">
          <cell r="C1234" t="str">
            <v>Hawkins, TN</v>
          </cell>
          <cell r="D1234">
            <v>0.09</v>
          </cell>
        </row>
        <row r="1235">
          <cell r="C1235" t="str">
            <v>Hayes, NE</v>
          </cell>
          <cell r="D1235">
            <v>0.09</v>
          </cell>
        </row>
        <row r="1236">
          <cell r="C1236" t="str">
            <v>Hays, TX</v>
          </cell>
          <cell r="D1236">
            <v>6.0999999999999999E-2</v>
          </cell>
        </row>
        <row r="1237">
          <cell r="C1237" t="str">
            <v>Haywood, NC</v>
          </cell>
          <cell r="D1237">
            <v>4.3999999999999997E-2</v>
          </cell>
        </row>
        <row r="1238">
          <cell r="C1238" t="str">
            <v>Haywood, TN</v>
          </cell>
          <cell r="D1238">
            <v>0.09</v>
          </cell>
        </row>
        <row r="1239">
          <cell r="C1239" t="str">
            <v>Heard, GA</v>
          </cell>
          <cell r="D1239">
            <v>4.3999999999999997E-2</v>
          </cell>
        </row>
        <row r="1240">
          <cell r="C1240" t="str">
            <v>Hemphill, TX</v>
          </cell>
          <cell r="D1240">
            <v>4.3999999999999997E-2</v>
          </cell>
        </row>
        <row r="1241">
          <cell r="C1241" t="str">
            <v>Hempstead, AR</v>
          </cell>
          <cell r="D1241">
            <v>4.3999999999999997E-2</v>
          </cell>
        </row>
        <row r="1242">
          <cell r="C1242" t="str">
            <v>Henderson, IL</v>
          </cell>
          <cell r="D1242">
            <v>0.09</v>
          </cell>
        </row>
        <row r="1243">
          <cell r="C1243" t="str">
            <v>Henderson, KY</v>
          </cell>
          <cell r="D1243">
            <v>6.0999999999999999E-2</v>
          </cell>
        </row>
        <row r="1244">
          <cell r="C1244" t="str">
            <v>Henderson, NC</v>
          </cell>
          <cell r="D1244">
            <v>4.3999999999999997E-2</v>
          </cell>
        </row>
        <row r="1245">
          <cell r="C1245" t="str">
            <v>Henderson, TN</v>
          </cell>
          <cell r="D1245">
            <v>0.09</v>
          </cell>
        </row>
        <row r="1246">
          <cell r="C1246" t="str">
            <v>Henderson, TX</v>
          </cell>
          <cell r="D1246">
            <v>6.0999999999999999E-2</v>
          </cell>
        </row>
        <row r="1247">
          <cell r="C1247" t="str">
            <v>Hendricks, IN</v>
          </cell>
          <cell r="D1247">
            <v>6.0999999999999999E-2</v>
          </cell>
        </row>
        <row r="1248">
          <cell r="C1248" t="str">
            <v>Hendry, FL</v>
          </cell>
          <cell r="D1248">
            <v>4.3999999999999997E-2</v>
          </cell>
        </row>
        <row r="1249">
          <cell r="C1249" t="str">
            <v>Hennepin, MN</v>
          </cell>
          <cell r="D1249">
            <v>6.0999999999999999E-2</v>
          </cell>
        </row>
        <row r="1250">
          <cell r="C1250" t="str">
            <v>Henrico, VA</v>
          </cell>
          <cell r="D1250">
            <v>6.0999999999999999E-2</v>
          </cell>
        </row>
        <row r="1251">
          <cell r="C1251" t="str">
            <v>Henry, AL</v>
          </cell>
          <cell r="D1251">
            <v>0.09</v>
          </cell>
        </row>
        <row r="1252">
          <cell r="C1252" t="str">
            <v>Henry, GA</v>
          </cell>
          <cell r="D1252">
            <v>6.0999999999999999E-2</v>
          </cell>
        </row>
        <row r="1253">
          <cell r="C1253" t="str">
            <v>Henry, IA</v>
          </cell>
          <cell r="D1253">
            <v>0.09</v>
          </cell>
        </row>
        <row r="1254">
          <cell r="C1254" t="str">
            <v>Henry, IL</v>
          </cell>
          <cell r="D1254">
            <v>6.0999999999999999E-2</v>
          </cell>
        </row>
        <row r="1255">
          <cell r="C1255" t="str">
            <v>Henry, IN</v>
          </cell>
          <cell r="D1255">
            <v>0.09</v>
          </cell>
        </row>
        <row r="1256">
          <cell r="C1256" t="str">
            <v>Henry, KY</v>
          </cell>
          <cell r="D1256">
            <v>0.09</v>
          </cell>
        </row>
        <row r="1257">
          <cell r="C1257" t="str">
            <v>Henry, MO</v>
          </cell>
          <cell r="D1257">
            <v>0.09</v>
          </cell>
        </row>
        <row r="1258">
          <cell r="C1258" t="str">
            <v>Henry, OH</v>
          </cell>
          <cell r="D1258">
            <v>0.09</v>
          </cell>
        </row>
        <row r="1259">
          <cell r="C1259" t="str">
            <v>Henry, TN</v>
          </cell>
          <cell r="D1259">
            <v>0.09</v>
          </cell>
        </row>
        <row r="1260">
          <cell r="C1260" t="str">
            <v>Henry, VA</v>
          </cell>
          <cell r="D1260">
            <v>4.3999999999999997E-2</v>
          </cell>
        </row>
        <row r="1261">
          <cell r="C1261" t="str">
            <v>Herkimer, NY</v>
          </cell>
          <cell r="D1261">
            <v>0.09</v>
          </cell>
        </row>
        <row r="1262">
          <cell r="C1262" t="str">
            <v>Hernando, FL</v>
          </cell>
          <cell r="D1262">
            <v>5.7000000000000002E-2</v>
          </cell>
        </row>
        <row r="1263">
          <cell r="C1263" t="str">
            <v>Hertford, NC</v>
          </cell>
          <cell r="D1263">
            <v>4.3999999999999997E-2</v>
          </cell>
        </row>
        <row r="1264">
          <cell r="C1264" t="str">
            <v>Hettinger, ND</v>
          </cell>
          <cell r="D1264">
            <v>0.09</v>
          </cell>
        </row>
        <row r="1265">
          <cell r="C1265" t="str">
            <v>Hickman, KY</v>
          </cell>
          <cell r="D1265">
            <v>0.09</v>
          </cell>
        </row>
        <row r="1266">
          <cell r="C1266" t="str">
            <v>Hickman, TN</v>
          </cell>
          <cell r="D1266">
            <v>0.09</v>
          </cell>
        </row>
        <row r="1267">
          <cell r="C1267" t="str">
            <v>Hickory, MO</v>
          </cell>
          <cell r="D1267">
            <v>0.09</v>
          </cell>
        </row>
        <row r="1268">
          <cell r="C1268" t="str">
            <v>Hidalgo, NM</v>
          </cell>
          <cell r="D1268">
            <v>5.7000000000000002E-2</v>
          </cell>
        </row>
        <row r="1269">
          <cell r="C1269" t="str">
            <v>Hidalgo, TX</v>
          </cell>
          <cell r="D1269">
            <v>4.3999999999999997E-2</v>
          </cell>
        </row>
        <row r="1270">
          <cell r="C1270" t="str">
            <v>Highland, OH</v>
          </cell>
          <cell r="D1270">
            <v>0.09</v>
          </cell>
        </row>
        <row r="1271">
          <cell r="C1271" t="str">
            <v>Highland, VA</v>
          </cell>
          <cell r="D1271">
            <v>4.3999999999999997E-2</v>
          </cell>
        </row>
        <row r="1272">
          <cell r="C1272" t="str">
            <v>Highlands, FL</v>
          </cell>
          <cell r="D1272">
            <v>4.3999999999999997E-2</v>
          </cell>
        </row>
        <row r="1273">
          <cell r="C1273" t="str">
            <v>Hill, MT</v>
          </cell>
          <cell r="D1273">
            <v>0.09</v>
          </cell>
        </row>
        <row r="1274">
          <cell r="C1274" t="str">
            <v>Hill, TX</v>
          </cell>
          <cell r="D1274">
            <v>4.3999999999999997E-2</v>
          </cell>
        </row>
        <row r="1275">
          <cell r="C1275" t="str">
            <v>Hillsborough, FL</v>
          </cell>
          <cell r="D1275">
            <v>2.1999999999999999E-2</v>
          </cell>
        </row>
        <row r="1276">
          <cell r="C1276" t="str">
            <v>Hillsborough, NH</v>
          </cell>
          <cell r="D1276">
            <v>6.0999999999999999E-2</v>
          </cell>
        </row>
        <row r="1277">
          <cell r="C1277" t="str">
            <v>Hillsdale, MI</v>
          </cell>
          <cell r="D1277">
            <v>0.09</v>
          </cell>
        </row>
        <row r="1278">
          <cell r="C1278" t="str">
            <v>Hinds, MS</v>
          </cell>
          <cell r="D1278">
            <v>4.3999999999999997E-2</v>
          </cell>
        </row>
        <row r="1279">
          <cell r="C1279" t="str">
            <v>Hinsdale, CO</v>
          </cell>
          <cell r="D1279">
            <v>4.3999999999999997E-2</v>
          </cell>
        </row>
        <row r="1280">
          <cell r="C1280" t="str">
            <v>Hitchcock, NE</v>
          </cell>
          <cell r="D1280">
            <v>0.09</v>
          </cell>
        </row>
        <row r="1281">
          <cell r="C1281" t="str">
            <v>Hocking, OH</v>
          </cell>
          <cell r="D1281">
            <v>0.09</v>
          </cell>
        </row>
        <row r="1282">
          <cell r="C1282" t="str">
            <v>Hockley, TX</v>
          </cell>
          <cell r="D1282">
            <v>4.3999999999999997E-2</v>
          </cell>
        </row>
        <row r="1283">
          <cell r="C1283" t="str">
            <v>Hodgeman, KS</v>
          </cell>
          <cell r="D1283">
            <v>0.09</v>
          </cell>
        </row>
        <row r="1284">
          <cell r="C1284" t="str">
            <v>Hoke, NC</v>
          </cell>
          <cell r="D1284">
            <v>4.3999999999999997E-2</v>
          </cell>
        </row>
        <row r="1285">
          <cell r="C1285" t="str">
            <v>Holmes, FL</v>
          </cell>
          <cell r="D1285">
            <v>4.3999999999999997E-2</v>
          </cell>
        </row>
        <row r="1286">
          <cell r="C1286" t="str">
            <v>Holmes, MS</v>
          </cell>
          <cell r="D1286">
            <v>3.5000000000000003E-2</v>
          </cell>
        </row>
        <row r="1287">
          <cell r="C1287" t="str">
            <v>Holmes, OH</v>
          </cell>
          <cell r="D1287">
            <v>0.09</v>
          </cell>
        </row>
        <row r="1288">
          <cell r="C1288" t="str">
            <v>Holt, MO</v>
          </cell>
          <cell r="D1288">
            <v>0.09</v>
          </cell>
        </row>
        <row r="1289">
          <cell r="C1289" t="str">
            <v>Holt, NE</v>
          </cell>
          <cell r="D1289">
            <v>0.09</v>
          </cell>
        </row>
        <row r="1290">
          <cell r="C1290" t="str">
            <v>Honolulu, HI</v>
          </cell>
          <cell r="D1290">
            <v>6.0999999999999999E-2</v>
          </cell>
        </row>
        <row r="1291">
          <cell r="C1291" t="str">
            <v>Hood, TX</v>
          </cell>
          <cell r="D1291">
            <v>3.5000000000000003E-2</v>
          </cell>
        </row>
        <row r="1292">
          <cell r="C1292" t="str">
            <v>Hood River, OR</v>
          </cell>
          <cell r="D1292">
            <v>0.09</v>
          </cell>
        </row>
        <row r="1293">
          <cell r="C1293" t="str">
            <v>Hooker, NE</v>
          </cell>
          <cell r="D1293">
            <v>0.09</v>
          </cell>
        </row>
        <row r="1294">
          <cell r="C1294" t="str">
            <v>Hopewell City, VA</v>
          </cell>
          <cell r="D1294">
            <v>4.4999999999999998E-2</v>
          </cell>
        </row>
        <row r="1295">
          <cell r="C1295" t="str">
            <v>Hopkins, KY</v>
          </cell>
          <cell r="D1295">
            <v>0.09</v>
          </cell>
        </row>
        <row r="1296">
          <cell r="C1296" t="str">
            <v>Hopkins, TX</v>
          </cell>
          <cell r="D1296">
            <v>4.3999999999999997E-2</v>
          </cell>
        </row>
        <row r="1297">
          <cell r="C1297" t="str">
            <v>Horry, SC</v>
          </cell>
          <cell r="D1297">
            <v>4.3999999999999997E-2</v>
          </cell>
        </row>
        <row r="1298">
          <cell r="C1298" t="str">
            <v>Hot Spring, AR</v>
          </cell>
          <cell r="D1298">
            <v>4.3999999999999997E-2</v>
          </cell>
        </row>
        <row r="1299">
          <cell r="C1299" t="str">
            <v>Hot Springs, WY</v>
          </cell>
          <cell r="D1299">
            <v>0.09</v>
          </cell>
        </row>
        <row r="1300">
          <cell r="C1300" t="str">
            <v>Houghton, MI</v>
          </cell>
          <cell r="D1300">
            <v>0.09</v>
          </cell>
        </row>
        <row r="1301">
          <cell r="C1301" t="str">
            <v>Houston, AL</v>
          </cell>
          <cell r="D1301">
            <v>0.09</v>
          </cell>
        </row>
        <row r="1302">
          <cell r="C1302" t="str">
            <v>Houston, GA</v>
          </cell>
          <cell r="D1302">
            <v>4.3999999999999997E-2</v>
          </cell>
        </row>
        <row r="1303">
          <cell r="C1303" t="str">
            <v>Houston, MN</v>
          </cell>
          <cell r="D1303">
            <v>6.0999999999999999E-2</v>
          </cell>
        </row>
        <row r="1304">
          <cell r="C1304" t="str">
            <v>Houston, TN</v>
          </cell>
          <cell r="D1304">
            <v>0.09</v>
          </cell>
        </row>
        <row r="1305">
          <cell r="C1305" t="str">
            <v>Houston, TX</v>
          </cell>
          <cell r="D1305">
            <v>5.7000000000000002E-2</v>
          </cell>
        </row>
        <row r="1306">
          <cell r="C1306" t="str">
            <v>Howard, AR</v>
          </cell>
          <cell r="D1306">
            <v>4.3999999999999997E-2</v>
          </cell>
        </row>
        <row r="1307">
          <cell r="C1307" t="str">
            <v>Howard, IA</v>
          </cell>
          <cell r="D1307">
            <v>0.09</v>
          </cell>
        </row>
        <row r="1308">
          <cell r="C1308" t="str">
            <v>Howard, IN</v>
          </cell>
          <cell r="D1308">
            <v>6.0999999999999999E-2</v>
          </cell>
        </row>
        <row r="1309">
          <cell r="C1309" t="str">
            <v>Howard, MD</v>
          </cell>
          <cell r="D1309">
            <v>6.0999999999999999E-2</v>
          </cell>
        </row>
        <row r="1310">
          <cell r="C1310" t="str">
            <v>Howard, MO</v>
          </cell>
          <cell r="D1310">
            <v>0.09</v>
          </cell>
        </row>
        <row r="1311">
          <cell r="C1311" t="str">
            <v>Howard, NE</v>
          </cell>
          <cell r="D1311">
            <v>0.09</v>
          </cell>
        </row>
        <row r="1312">
          <cell r="C1312" t="str">
            <v>Howard, TX</v>
          </cell>
          <cell r="D1312">
            <v>4.3999999999999997E-2</v>
          </cell>
        </row>
        <row r="1313">
          <cell r="C1313" t="str">
            <v>Howell, MO</v>
          </cell>
          <cell r="D1313">
            <v>0.09</v>
          </cell>
        </row>
        <row r="1314">
          <cell r="C1314" t="str">
            <v>Hubbard, MN</v>
          </cell>
          <cell r="D1314">
            <v>0.09</v>
          </cell>
        </row>
        <row r="1315">
          <cell r="C1315" t="str">
            <v>Hudson, NJ</v>
          </cell>
          <cell r="D1315">
            <v>0.09</v>
          </cell>
        </row>
        <row r="1316">
          <cell r="C1316" t="str">
            <v>Hudspeth, TX</v>
          </cell>
          <cell r="D1316">
            <v>4.3999999999999997E-2</v>
          </cell>
        </row>
        <row r="1317">
          <cell r="C1317" t="str">
            <v>Huerfano, CO</v>
          </cell>
          <cell r="D1317">
            <v>4.3999999999999997E-2</v>
          </cell>
        </row>
        <row r="1318">
          <cell r="C1318" t="str">
            <v>Hughes, OK</v>
          </cell>
          <cell r="D1318">
            <v>0.09</v>
          </cell>
        </row>
        <row r="1319">
          <cell r="C1319" t="str">
            <v>Hughes, SD</v>
          </cell>
          <cell r="D1319">
            <v>4.3999999999999997E-2</v>
          </cell>
        </row>
        <row r="1320">
          <cell r="C1320" t="str">
            <v>Humboldt, CA</v>
          </cell>
          <cell r="D1320">
            <v>5.7000000000000002E-2</v>
          </cell>
        </row>
        <row r="1321">
          <cell r="C1321" t="str">
            <v>Humboldt, IA</v>
          </cell>
          <cell r="D1321">
            <v>0.09</v>
          </cell>
        </row>
        <row r="1322">
          <cell r="C1322" t="str">
            <v>Humboldt, NV</v>
          </cell>
          <cell r="D1322">
            <v>0.09</v>
          </cell>
        </row>
        <row r="1323">
          <cell r="C1323" t="str">
            <v>Humphreys, MS</v>
          </cell>
          <cell r="D1323">
            <v>3.5000000000000003E-2</v>
          </cell>
        </row>
        <row r="1324">
          <cell r="C1324" t="str">
            <v>Humphreys, TN</v>
          </cell>
          <cell r="D1324">
            <v>0.09</v>
          </cell>
        </row>
        <row r="1325">
          <cell r="C1325" t="str">
            <v>Hunt, TX</v>
          </cell>
          <cell r="D1325">
            <v>6.0999999999999999E-2</v>
          </cell>
        </row>
        <row r="1326">
          <cell r="C1326" t="str">
            <v>Hunterdon, NJ</v>
          </cell>
          <cell r="D1326">
            <v>6.0999999999999999E-2</v>
          </cell>
        </row>
        <row r="1327">
          <cell r="C1327" t="str">
            <v>Huntingdon, PA</v>
          </cell>
          <cell r="D1327">
            <v>0.09</v>
          </cell>
        </row>
        <row r="1328">
          <cell r="C1328" t="str">
            <v>Huntington, IN</v>
          </cell>
          <cell r="D1328">
            <v>6.0999999999999999E-2</v>
          </cell>
        </row>
        <row r="1329">
          <cell r="C1329" t="str">
            <v>Huron, MI</v>
          </cell>
          <cell r="D1329">
            <v>0.09</v>
          </cell>
        </row>
        <row r="1330">
          <cell r="C1330" t="str">
            <v>Huron, OH</v>
          </cell>
          <cell r="D1330">
            <v>0.09</v>
          </cell>
        </row>
        <row r="1331">
          <cell r="C1331" t="str">
            <v>Hutchinson, SD</v>
          </cell>
          <cell r="D1331">
            <v>4.3999999999999997E-2</v>
          </cell>
        </row>
        <row r="1332">
          <cell r="C1332" t="str">
            <v>Hutchinson, TX</v>
          </cell>
          <cell r="D1332">
            <v>4.3999999999999997E-2</v>
          </cell>
        </row>
        <row r="1333">
          <cell r="C1333" t="str">
            <v>Hyde, NC</v>
          </cell>
          <cell r="D1333">
            <v>4.3999999999999997E-2</v>
          </cell>
        </row>
        <row r="1334">
          <cell r="C1334" t="str">
            <v>Hyde, SD</v>
          </cell>
          <cell r="D1334">
            <v>4.3999999999999997E-2</v>
          </cell>
        </row>
        <row r="1335">
          <cell r="C1335" t="str">
            <v>Iberia, LA</v>
          </cell>
          <cell r="D1335">
            <v>0.09</v>
          </cell>
        </row>
        <row r="1336">
          <cell r="C1336" t="str">
            <v>Iberville, LA</v>
          </cell>
          <cell r="D1336">
            <v>5.7000000000000002E-2</v>
          </cell>
        </row>
        <row r="1337">
          <cell r="C1337" t="str">
            <v>Ida, IA</v>
          </cell>
          <cell r="D1337">
            <v>0.09</v>
          </cell>
        </row>
        <row r="1338">
          <cell r="C1338" t="str">
            <v>Idaho, ID</v>
          </cell>
          <cell r="D1338">
            <v>4.3999999999999997E-2</v>
          </cell>
        </row>
        <row r="1339">
          <cell r="C1339" t="str">
            <v>Imperial, CA</v>
          </cell>
          <cell r="D1339">
            <v>5.7000000000000002E-2</v>
          </cell>
        </row>
        <row r="1340">
          <cell r="C1340" t="str">
            <v>Independence, AR</v>
          </cell>
          <cell r="D1340">
            <v>4.3999999999999997E-2</v>
          </cell>
        </row>
        <row r="1341">
          <cell r="C1341" t="str">
            <v>Indian River, FL</v>
          </cell>
          <cell r="D1341">
            <v>4.3999999999999997E-2</v>
          </cell>
        </row>
        <row r="1342">
          <cell r="C1342" t="str">
            <v>Indiana, PA</v>
          </cell>
          <cell r="D1342">
            <v>0.09</v>
          </cell>
        </row>
        <row r="1343">
          <cell r="C1343" t="str">
            <v>Ingham, MI</v>
          </cell>
          <cell r="D1343">
            <v>5.7000000000000002E-2</v>
          </cell>
        </row>
        <row r="1344">
          <cell r="C1344" t="str">
            <v>Inyo, CA</v>
          </cell>
          <cell r="D1344">
            <v>0.09</v>
          </cell>
        </row>
        <row r="1345">
          <cell r="C1345" t="str">
            <v>Ionia, MI</v>
          </cell>
          <cell r="D1345">
            <v>0.09</v>
          </cell>
        </row>
        <row r="1346">
          <cell r="C1346" t="str">
            <v>Iosco, MI</v>
          </cell>
          <cell r="D1346">
            <v>0.09</v>
          </cell>
        </row>
        <row r="1347">
          <cell r="C1347" t="str">
            <v>Iowa, IA</v>
          </cell>
          <cell r="D1347">
            <v>0.09</v>
          </cell>
        </row>
        <row r="1348">
          <cell r="C1348" t="str">
            <v>Iowa, WI</v>
          </cell>
          <cell r="D1348">
            <v>0.09</v>
          </cell>
        </row>
        <row r="1349">
          <cell r="C1349" t="str">
            <v>Iredell, NC</v>
          </cell>
          <cell r="D1349">
            <v>4.3999999999999997E-2</v>
          </cell>
        </row>
        <row r="1350">
          <cell r="C1350" t="str">
            <v>Irion, TX</v>
          </cell>
          <cell r="D1350">
            <v>4.3999999999999997E-2</v>
          </cell>
        </row>
        <row r="1351">
          <cell r="C1351" t="str">
            <v>Iron, MI</v>
          </cell>
          <cell r="D1351">
            <v>0.09</v>
          </cell>
        </row>
        <row r="1352">
          <cell r="C1352" t="str">
            <v>Iron, MO</v>
          </cell>
          <cell r="D1352">
            <v>3.5000000000000003E-2</v>
          </cell>
        </row>
        <row r="1353">
          <cell r="C1353" t="str">
            <v>Iron, UT</v>
          </cell>
          <cell r="D1353">
            <v>4.3999999999999997E-2</v>
          </cell>
        </row>
        <row r="1354">
          <cell r="C1354" t="str">
            <v>Iron, WI</v>
          </cell>
          <cell r="D1354">
            <v>0.09</v>
          </cell>
        </row>
        <row r="1355">
          <cell r="C1355" t="str">
            <v>Iroquois, IL</v>
          </cell>
          <cell r="D1355">
            <v>0.09</v>
          </cell>
        </row>
        <row r="1356">
          <cell r="C1356" t="str">
            <v>Irwin, GA</v>
          </cell>
          <cell r="D1356">
            <v>4.3999999999999997E-2</v>
          </cell>
        </row>
        <row r="1357">
          <cell r="C1357" t="str">
            <v>Isabella, MI</v>
          </cell>
          <cell r="D1357">
            <v>0.09</v>
          </cell>
        </row>
        <row r="1358">
          <cell r="C1358" t="str">
            <v>Isanti, MN</v>
          </cell>
          <cell r="D1358">
            <v>6.0999999999999999E-2</v>
          </cell>
        </row>
        <row r="1359">
          <cell r="C1359" t="str">
            <v>Island, WA</v>
          </cell>
          <cell r="D1359">
            <v>6.0999999999999999E-2</v>
          </cell>
        </row>
        <row r="1360">
          <cell r="C1360" t="str">
            <v>Isle of Wight, VA</v>
          </cell>
          <cell r="D1360">
            <v>6.0999999999999999E-2</v>
          </cell>
        </row>
        <row r="1361">
          <cell r="C1361" t="str">
            <v>Issaquena, MS</v>
          </cell>
          <cell r="D1361">
            <v>4.3999999999999997E-2</v>
          </cell>
        </row>
        <row r="1362">
          <cell r="C1362" t="str">
            <v>Itasca, MN</v>
          </cell>
          <cell r="D1362">
            <v>0.09</v>
          </cell>
        </row>
        <row r="1363">
          <cell r="C1363" t="str">
            <v>Itawamba, MS</v>
          </cell>
          <cell r="D1363">
            <v>4.3999999999999997E-2</v>
          </cell>
        </row>
        <row r="1364">
          <cell r="C1364" t="str">
            <v>Izard, AR</v>
          </cell>
          <cell r="D1364">
            <v>4.3999999999999997E-2</v>
          </cell>
        </row>
        <row r="1365">
          <cell r="C1365" t="str">
            <v>Jack, TX</v>
          </cell>
          <cell r="D1365">
            <v>4.3999999999999997E-2</v>
          </cell>
        </row>
        <row r="1366">
          <cell r="C1366" t="str">
            <v>Jackson, AL</v>
          </cell>
          <cell r="D1366">
            <v>0.09</v>
          </cell>
        </row>
        <row r="1367">
          <cell r="C1367" t="str">
            <v>Jackson, AR</v>
          </cell>
          <cell r="D1367">
            <v>5.7000000000000002E-2</v>
          </cell>
        </row>
        <row r="1368">
          <cell r="C1368" t="str">
            <v>Jackson, CO</v>
          </cell>
          <cell r="D1368">
            <v>4.3999999999999997E-2</v>
          </cell>
        </row>
        <row r="1369">
          <cell r="C1369" t="str">
            <v>Jackson, FL</v>
          </cell>
          <cell r="D1369">
            <v>4.3999999999999997E-2</v>
          </cell>
        </row>
        <row r="1370">
          <cell r="C1370" t="str">
            <v>Jackson, GA</v>
          </cell>
          <cell r="D1370">
            <v>4.3999999999999997E-2</v>
          </cell>
        </row>
        <row r="1371">
          <cell r="C1371" t="str">
            <v>Jackson, IA</v>
          </cell>
          <cell r="D1371">
            <v>0.09</v>
          </cell>
        </row>
        <row r="1372">
          <cell r="C1372" t="str">
            <v>Jackson, IL</v>
          </cell>
          <cell r="D1372">
            <v>0.09</v>
          </cell>
        </row>
        <row r="1373">
          <cell r="C1373" t="str">
            <v>Jackson, IN</v>
          </cell>
          <cell r="D1373">
            <v>0.09</v>
          </cell>
        </row>
        <row r="1374">
          <cell r="C1374" t="str">
            <v>Jackson, KS</v>
          </cell>
          <cell r="D1374">
            <v>0.09</v>
          </cell>
        </row>
        <row r="1375">
          <cell r="C1375" t="str">
            <v>Jackson, KY</v>
          </cell>
          <cell r="D1375">
            <v>5.7000000000000002E-2</v>
          </cell>
        </row>
        <row r="1376">
          <cell r="C1376" t="str">
            <v>Jackson, LA</v>
          </cell>
          <cell r="D1376">
            <v>0.09</v>
          </cell>
        </row>
        <row r="1377">
          <cell r="C1377" t="str">
            <v>Jackson, MI</v>
          </cell>
          <cell r="D1377">
            <v>5.7000000000000002E-2</v>
          </cell>
        </row>
        <row r="1378">
          <cell r="C1378" t="str">
            <v>Jackson, MN</v>
          </cell>
          <cell r="D1378">
            <v>0.09</v>
          </cell>
        </row>
        <row r="1379">
          <cell r="C1379" t="str">
            <v>Jackson, MO</v>
          </cell>
          <cell r="D1379">
            <v>2.1999999999999999E-2</v>
          </cell>
        </row>
        <row r="1380">
          <cell r="C1380" t="str">
            <v>Jackson, MS</v>
          </cell>
          <cell r="D1380">
            <v>4.3999999999999997E-2</v>
          </cell>
        </row>
        <row r="1381">
          <cell r="C1381" t="str">
            <v>Jackson, NC</v>
          </cell>
          <cell r="D1381">
            <v>4.3999999999999997E-2</v>
          </cell>
        </row>
        <row r="1382">
          <cell r="C1382" t="str">
            <v>Jackson, OH</v>
          </cell>
          <cell r="D1382">
            <v>0.09</v>
          </cell>
        </row>
        <row r="1383">
          <cell r="C1383" t="str">
            <v>Jackson, OK</v>
          </cell>
          <cell r="D1383">
            <v>0.09</v>
          </cell>
        </row>
        <row r="1384">
          <cell r="C1384" t="str">
            <v>Jackson, OR</v>
          </cell>
          <cell r="D1384">
            <v>0.09</v>
          </cell>
        </row>
        <row r="1385">
          <cell r="C1385" t="str">
            <v>Jackson, SD</v>
          </cell>
          <cell r="D1385">
            <v>4.3999999999999997E-2</v>
          </cell>
        </row>
        <row r="1386">
          <cell r="C1386" t="str">
            <v>Jackson, TN</v>
          </cell>
          <cell r="D1386">
            <v>0.09</v>
          </cell>
        </row>
        <row r="1387">
          <cell r="C1387" t="str">
            <v>Jackson, TX</v>
          </cell>
          <cell r="D1387">
            <v>4.3999999999999997E-2</v>
          </cell>
        </row>
        <row r="1388">
          <cell r="C1388" t="str">
            <v>Jackson, WI</v>
          </cell>
          <cell r="D1388">
            <v>0.09</v>
          </cell>
        </row>
        <row r="1389">
          <cell r="C1389" t="str">
            <v>Jackson, WV</v>
          </cell>
          <cell r="D1389">
            <v>0.09</v>
          </cell>
        </row>
        <row r="1390">
          <cell r="C1390" t="str">
            <v>James City, VA</v>
          </cell>
          <cell r="D1390">
            <v>6.0999999999999999E-2</v>
          </cell>
        </row>
        <row r="1391">
          <cell r="C1391" t="str">
            <v>Jasper, GA</v>
          </cell>
          <cell r="D1391">
            <v>4.3999999999999997E-2</v>
          </cell>
        </row>
        <row r="1392">
          <cell r="C1392" t="str">
            <v>Jasper, IA</v>
          </cell>
          <cell r="D1392">
            <v>0.09</v>
          </cell>
        </row>
        <row r="1393">
          <cell r="C1393" t="str">
            <v>Jasper, IL</v>
          </cell>
          <cell r="D1393">
            <v>0.09</v>
          </cell>
        </row>
        <row r="1394">
          <cell r="C1394" t="str">
            <v>Jasper, IN</v>
          </cell>
          <cell r="D1394">
            <v>0.09</v>
          </cell>
        </row>
        <row r="1395">
          <cell r="C1395" t="str">
            <v>Jasper, MO</v>
          </cell>
          <cell r="D1395">
            <v>0.09</v>
          </cell>
        </row>
        <row r="1396">
          <cell r="C1396" t="str">
            <v>Jasper, MS</v>
          </cell>
          <cell r="D1396">
            <v>4.3999999999999997E-2</v>
          </cell>
        </row>
        <row r="1397">
          <cell r="C1397" t="str">
            <v>Jasper, SC</v>
          </cell>
          <cell r="D1397">
            <v>4.3999999999999997E-2</v>
          </cell>
        </row>
        <row r="1398">
          <cell r="C1398" t="str">
            <v>Jasper, TX</v>
          </cell>
          <cell r="D1398">
            <v>4.3999999999999997E-2</v>
          </cell>
        </row>
        <row r="1399">
          <cell r="C1399" t="str">
            <v>Jay, IN</v>
          </cell>
          <cell r="D1399">
            <v>0.09</v>
          </cell>
        </row>
        <row r="1400">
          <cell r="C1400" t="str">
            <v>Jeff Davis, GA</v>
          </cell>
          <cell r="D1400">
            <v>4.3999999999999997E-2</v>
          </cell>
        </row>
        <row r="1401">
          <cell r="C1401" t="str">
            <v>Jeff Davis, TX</v>
          </cell>
          <cell r="D1401">
            <v>4.3999999999999997E-2</v>
          </cell>
        </row>
        <row r="1402">
          <cell r="C1402" t="str">
            <v>Jefferson, AL</v>
          </cell>
          <cell r="D1402">
            <v>6.0999999999999999E-2</v>
          </cell>
        </row>
        <row r="1403">
          <cell r="C1403" t="str">
            <v>Jefferson, AR</v>
          </cell>
          <cell r="D1403">
            <v>4.3999999999999997E-2</v>
          </cell>
        </row>
        <row r="1404">
          <cell r="C1404" t="str">
            <v>Jefferson, CO</v>
          </cell>
          <cell r="D1404">
            <v>5.7000000000000002E-2</v>
          </cell>
        </row>
        <row r="1405">
          <cell r="C1405" t="str">
            <v>Jefferson, FL</v>
          </cell>
          <cell r="D1405">
            <v>3.5000000000000003E-2</v>
          </cell>
        </row>
        <row r="1406">
          <cell r="C1406" t="str">
            <v>Jefferson, GA</v>
          </cell>
          <cell r="D1406">
            <v>5.7000000000000002E-2</v>
          </cell>
        </row>
        <row r="1407">
          <cell r="C1407" t="str">
            <v>Jefferson, IA</v>
          </cell>
          <cell r="D1407">
            <v>0.09</v>
          </cell>
        </row>
        <row r="1408">
          <cell r="C1408" t="str">
            <v>Jefferson, ID</v>
          </cell>
          <cell r="D1408">
            <v>4.3999999999999997E-2</v>
          </cell>
        </row>
        <row r="1409">
          <cell r="C1409" t="str">
            <v>Jefferson, IL</v>
          </cell>
          <cell r="D1409">
            <v>0.09</v>
          </cell>
        </row>
        <row r="1410">
          <cell r="C1410" t="str">
            <v>Jefferson, IN</v>
          </cell>
          <cell r="D1410">
            <v>0.09</v>
          </cell>
        </row>
        <row r="1411">
          <cell r="C1411" t="str">
            <v>Jefferson, KS</v>
          </cell>
          <cell r="D1411">
            <v>0.09</v>
          </cell>
        </row>
        <row r="1412">
          <cell r="C1412" t="str">
            <v>Jefferson, KY</v>
          </cell>
          <cell r="D1412">
            <v>4.4999999999999998E-2</v>
          </cell>
        </row>
        <row r="1413">
          <cell r="C1413" t="str">
            <v>Jefferson, LA</v>
          </cell>
          <cell r="D1413">
            <v>5.7000000000000002E-2</v>
          </cell>
        </row>
        <row r="1414">
          <cell r="C1414" t="str">
            <v>Jefferson, MO</v>
          </cell>
          <cell r="D1414">
            <v>6.0999999999999999E-2</v>
          </cell>
        </row>
        <row r="1415">
          <cell r="C1415" t="str">
            <v>Jefferson, MS</v>
          </cell>
          <cell r="D1415">
            <v>5.7000000000000002E-2</v>
          </cell>
        </row>
        <row r="1416">
          <cell r="C1416" t="str">
            <v>Jefferson, MT</v>
          </cell>
          <cell r="D1416">
            <v>0.09</v>
          </cell>
        </row>
        <row r="1417">
          <cell r="C1417" t="str">
            <v>Jefferson, NE</v>
          </cell>
          <cell r="D1417">
            <v>0.09</v>
          </cell>
        </row>
        <row r="1418">
          <cell r="C1418" t="str">
            <v>Jefferson, NY</v>
          </cell>
          <cell r="D1418">
            <v>0.09</v>
          </cell>
        </row>
        <row r="1419">
          <cell r="C1419" t="str">
            <v>Jefferson, OH</v>
          </cell>
          <cell r="D1419">
            <v>0.09</v>
          </cell>
        </row>
        <row r="1420">
          <cell r="C1420" t="str">
            <v>Jefferson, OK</v>
          </cell>
          <cell r="D1420">
            <v>0.09</v>
          </cell>
        </row>
        <row r="1421">
          <cell r="C1421" t="str">
            <v>Jefferson, OR</v>
          </cell>
          <cell r="D1421">
            <v>0.09</v>
          </cell>
        </row>
        <row r="1422">
          <cell r="C1422" t="str">
            <v>Jefferson, PA</v>
          </cell>
          <cell r="D1422">
            <v>0.09</v>
          </cell>
        </row>
        <row r="1423">
          <cell r="C1423" t="str">
            <v>Jefferson, TN</v>
          </cell>
          <cell r="D1423">
            <v>0.09</v>
          </cell>
        </row>
        <row r="1424">
          <cell r="C1424" t="str">
            <v>Jefferson, TX</v>
          </cell>
          <cell r="D1424">
            <v>4.3999999999999997E-2</v>
          </cell>
        </row>
        <row r="1425">
          <cell r="C1425" t="str">
            <v>Jefferson, WA</v>
          </cell>
          <cell r="D1425">
            <v>0.09</v>
          </cell>
        </row>
        <row r="1426">
          <cell r="C1426" t="str">
            <v>Jefferson, WI</v>
          </cell>
          <cell r="D1426">
            <v>0.09</v>
          </cell>
        </row>
        <row r="1427">
          <cell r="C1427" t="str">
            <v>Jefferson, WV</v>
          </cell>
          <cell r="D1427">
            <v>6.0999999999999999E-2</v>
          </cell>
        </row>
        <row r="1428">
          <cell r="C1428" t="str">
            <v>Jefferson Davis, LA</v>
          </cell>
          <cell r="D1428">
            <v>0.09</v>
          </cell>
        </row>
        <row r="1429">
          <cell r="C1429" t="str">
            <v>Jefferson Davis, MS</v>
          </cell>
          <cell r="D1429">
            <v>4.3999999999999997E-2</v>
          </cell>
        </row>
        <row r="1430">
          <cell r="C1430" t="str">
            <v>Jenkins, GA</v>
          </cell>
          <cell r="D1430">
            <v>5.7000000000000002E-2</v>
          </cell>
        </row>
        <row r="1431">
          <cell r="C1431" t="str">
            <v>Jennings, IN</v>
          </cell>
          <cell r="D1431">
            <v>0.09</v>
          </cell>
        </row>
        <row r="1432">
          <cell r="C1432" t="str">
            <v>Jerauld, SD</v>
          </cell>
          <cell r="D1432">
            <v>4.3999999999999997E-2</v>
          </cell>
        </row>
        <row r="1433">
          <cell r="C1433" t="str">
            <v>Jerome, ID</v>
          </cell>
          <cell r="D1433">
            <v>4.3999999999999997E-2</v>
          </cell>
        </row>
        <row r="1434">
          <cell r="C1434" t="str">
            <v>Jersey, IL</v>
          </cell>
          <cell r="D1434">
            <v>6.0999999999999999E-2</v>
          </cell>
        </row>
        <row r="1435">
          <cell r="C1435" t="str">
            <v>Jessamine, KY</v>
          </cell>
          <cell r="D1435">
            <v>3.5000000000000003E-2</v>
          </cell>
        </row>
        <row r="1436">
          <cell r="C1436" t="str">
            <v>Jewell, KS</v>
          </cell>
          <cell r="D1436">
            <v>0.09</v>
          </cell>
        </row>
        <row r="1437">
          <cell r="C1437" t="str">
            <v>Jim Hogg, TX</v>
          </cell>
          <cell r="D1437">
            <v>4.3999999999999997E-2</v>
          </cell>
        </row>
        <row r="1438">
          <cell r="C1438" t="str">
            <v>Jim Wells, TX</v>
          </cell>
          <cell r="D1438">
            <v>4.3999999999999997E-2</v>
          </cell>
        </row>
        <row r="1439">
          <cell r="C1439" t="str">
            <v>Jo Daviess, IL</v>
          </cell>
          <cell r="D1439">
            <v>0.09</v>
          </cell>
        </row>
        <row r="1440">
          <cell r="C1440" t="str">
            <v>Johnson, AR</v>
          </cell>
          <cell r="D1440">
            <v>4.3999999999999997E-2</v>
          </cell>
        </row>
        <row r="1441">
          <cell r="C1441" t="str">
            <v>Johnson, GA</v>
          </cell>
          <cell r="D1441">
            <v>4.3999999999999997E-2</v>
          </cell>
        </row>
        <row r="1442">
          <cell r="C1442" t="str">
            <v>Johnson, IA</v>
          </cell>
          <cell r="D1442">
            <v>6.0999999999999999E-2</v>
          </cell>
        </row>
        <row r="1443">
          <cell r="C1443" t="str">
            <v>Johnson, IL</v>
          </cell>
          <cell r="D1443">
            <v>0.09</v>
          </cell>
        </row>
        <row r="1444">
          <cell r="C1444" t="str">
            <v>Johnson, IN</v>
          </cell>
          <cell r="D1444">
            <v>6.0999999999999999E-2</v>
          </cell>
        </row>
        <row r="1445">
          <cell r="C1445" t="str">
            <v>Johnson, KS</v>
          </cell>
          <cell r="D1445">
            <v>6.0999999999999999E-2</v>
          </cell>
        </row>
        <row r="1446">
          <cell r="C1446" t="str">
            <v>Johnson, KY</v>
          </cell>
          <cell r="D1446">
            <v>0.09</v>
          </cell>
        </row>
        <row r="1447">
          <cell r="C1447" t="str">
            <v>Johnson, MO</v>
          </cell>
          <cell r="D1447">
            <v>0.09</v>
          </cell>
        </row>
        <row r="1448">
          <cell r="C1448" t="str">
            <v>Johnson, NE</v>
          </cell>
          <cell r="D1448">
            <v>0.09</v>
          </cell>
        </row>
        <row r="1449">
          <cell r="C1449" t="str">
            <v>Johnson, TN</v>
          </cell>
          <cell r="D1449">
            <v>0.09</v>
          </cell>
        </row>
        <row r="1450">
          <cell r="C1450" t="str">
            <v>Johnson, TX</v>
          </cell>
          <cell r="D1450">
            <v>2.4E-2</v>
          </cell>
        </row>
        <row r="1451">
          <cell r="C1451" t="str">
            <v>Johnson, WY</v>
          </cell>
          <cell r="D1451">
            <v>0.09</v>
          </cell>
        </row>
        <row r="1452">
          <cell r="C1452" t="str">
            <v>Johnston, NC</v>
          </cell>
          <cell r="D1452">
            <v>6.0999999999999999E-2</v>
          </cell>
        </row>
        <row r="1453">
          <cell r="C1453" t="str">
            <v>Johnston, OK</v>
          </cell>
          <cell r="D1453">
            <v>0.09</v>
          </cell>
        </row>
        <row r="1454">
          <cell r="C1454" t="str">
            <v>Jones, GA</v>
          </cell>
          <cell r="D1454">
            <v>4.3999999999999997E-2</v>
          </cell>
        </row>
        <row r="1455">
          <cell r="C1455" t="str">
            <v>Jones, IA</v>
          </cell>
          <cell r="D1455">
            <v>0.09</v>
          </cell>
        </row>
        <row r="1456">
          <cell r="C1456" t="str">
            <v>Jones, MS</v>
          </cell>
          <cell r="D1456">
            <v>4.3999999999999997E-2</v>
          </cell>
        </row>
        <row r="1457">
          <cell r="C1457" t="str">
            <v>Jones, NC</v>
          </cell>
          <cell r="D1457">
            <v>4.3999999999999997E-2</v>
          </cell>
        </row>
        <row r="1458">
          <cell r="C1458" t="str">
            <v>Jones, SD</v>
          </cell>
          <cell r="D1458">
            <v>4.3999999999999997E-2</v>
          </cell>
        </row>
        <row r="1459">
          <cell r="C1459" t="str">
            <v>Jones, TX</v>
          </cell>
          <cell r="D1459">
            <v>4.3999999999999997E-2</v>
          </cell>
        </row>
        <row r="1460">
          <cell r="C1460" t="str">
            <v>Josephine, OR</v>
          </cell>
          <cell r="D1460">
            <v>0.09</v>
          </cell>
        </row>
        <row r="1461">
          <cell r="C1461" t="str">
            <v>Juab, UT</v>
          </cell>
          <cell r="D1461">
            <v>4.3999999999999997E-2</v>
          </cell>
        </row>
        <row r="1462">
          <cell r="C1462" t="str">
            <v>Judith Basin, MT</v>
          </cell>
          <cell r="D1462">
            <v>0.09</v>
          </cell>
        </row>
        <row r="1463">
          <cell r="C1463" t="str">
            <v>Juneau, AK</v>
          </cell>
          <cell r="D1463">
            <v>6.0999999999999999E-2</v>
          </cell>
        </row>
        <row r="1464">
          <cell r="C1464" t="str">
            <v>Juneau, WI</v>
          </cell>
          <cell r="D1464">
            <v>0.09</v>
          </cell>
        </row>
        <row r="1465">
          <cell r="C1465" t="str">
            <v>Juniata, PA</v>
          </cell>
          <cell r="D1465">
            <v>0.09</v>
          </cell>
        </row>
        <row r="1466">
          <cell r="C1466" t="str">
            <v>Kalamazoo, MI</v>
          </cell>
          <cell r="D1466">
            <v>0.09</v>
          </cell>
        </row>
        <row r="1467">
          <cell r="C1467" t="str">
            <v>Kalawao, HI</v>
          </cell>
          <cell r="D1467">
            <v>0.09</v>
          </cell>
        </row>
        <row r="1468">
          <cell r="C1468" t="str">
            <v>Kalkaska, MI</v>
          </cell>
          <cell r="D1468">
            <v>0.09</v>
          </cell>
        </row>
        <row r="1469">
          <cell r="C1469" t="str">
            <v>Kanabec, MN</v>
          </cell>
          <cell r="D1469">
            <v>0.09</v>
          </cell>
        </row>
        <row r="1470">
          <cell r="C1470" t="str">
            <v>Kanawha, WV</v>
          </cell>
          <cell r="D1470">
            <v>6.0999999999999999E-2</v>
          </cell>
        </row>
        <row r="1471">
          <cell r="C1471" t="str">
            <v>Kandiyohi, MN</v>
          </cell>
          <cell r="D1471">
            <v>0.09</v>
          </cell>
        </row>
        <row r="1472">
          <cell r="C1472" t="str">
            <v>Kane, IL</v>
          </cell>
          <cell r="D1472">
            <v>6.0999999999999999E-2</v>
          </cell>
        </row>
        <row r="1473">
          <cell r="C1473" t="str">
            <v>Kane, UT</v>
          </cell>
          <cell r="D1473">
            <v>4.3999999999999997E-2</v>
          </cell>
        </row>
        <row r="1474">
          <cell r="C1474" t="str">
            <v>Kankakee, IL</v>
          </cell>
          <cell r="D1474">
            <v>0.09</v>
          </cell>
        </row>
        <row r="1475">
          <cell r="C1475" t="str">
            <v>Karnes, TX</v>
          </cell>
          <cell r="D1475">
            <v>4.3999999999999997E-2</v>
          </cell>
        </row>
        <row r="1476">
          <cell r="C1476" t="str">
            <v>Kauai, HI</v>
          </cell>
          <cell r="D1476">
            <v>0.09</v>
          </cell>
        </row>
        <row r="1477">
          <cell r="C1477" t="str">
            <v>Kaufman, TX</v>
          </cell>
          <cell r="D1477">
            <v>5.7000000000000002E-2</v>
          </cell>
        </row>
        <row r="1478">
          <cell r="C1478" t="str">
            <v>Kay, OK</v>
          </cell>
          <cell r="D1478">
            <v>0.09</v>
          </cell>
        </row>
        <row r="1479">
          <cell r="C1479" t="str">
            <v>Kearney, NE</v>
          </cell>
          <cell r="D1479">
            <v>0.09</v>
          </cell>
        </row>
        <row r="1480">
          <cell r="C1480" t="str">
            <v>Kearny, KS</v>
          </cell>
          <cell r="D1480">
            <v>0.09</v>
          </cell>
        </row>
        <row r="1481">
          <cell r="C1481" t="str">
            <v>Keith, NE</v>
          </cell>
          <cell r="D1481">
            <v>0.09</v>
          </cell>
        </row>
        <row r="1482">
          <cell r="C1482" t="str">
            <v>Kemper, MS</v>
          </cell>
          <cell r="D1482">
            <v>4.3999999999999997E-2</v>
          </cell>
        </row>
        <row r="1483">
          <cell r="C1483" t="str">
            <v>Kenai Peninsula, AK</v>
          </cell>
          <cell r="D1483">
            <v>0.09</v>
          </cell>
        </row>
        <row r="1484">
          <cell r="C1484" t="str">
            <v>Kendall, IL</v>
          </cell>
          <cell r="D1484">
            <v>6.0999999999999999E-2</v>
          </cell>
        </row>
        <row r="1485">
          <cell r="C1485" t="str">
            <v>Kendall, TX</v>
          </cell>
          <cell r="D1485">
            <v>4.3999999999999997E-2</v>
          </cell>
        </row>
        <row r="1486">
          <cell r="C1486" t="str">
            <v>Kenedy, TX</v>
          </cell>
          <cell r="D1486">
            <v>6.0999999999999999E-2</v>
          </cell>
        </row>
        <row r="1487">
          <cell r="C1487" t="str">
            <v>Kennebec, ME</v>
          </cell>
          <cell r="D1487">
            <v>5.7000000000000002E-2</v>
          </cell>
        </row>
        <row r="1488">
          <cell r="C1488" t="str">
            <v>Kenosha, WI</v>
          </cell>
          <cell r="D1488">
            <v>0.09</v>
          </cell>
        </row>
        <row r="1489">
          <cell r="C1489" t="str">
            <v>Kent, DE</v>
          </cell>
          <cell r="D1489">
            <v>0.09</v>
          </cell>
        </row>
        <row r="1490">
          <cell r="C1490" t="str">
            <v>Kent, MD</v>
          </cell>
          <cell r="D1490">
            <v>5.7000000000000002E-2</v>
          </cell>
        </row>
        <row r="1491">
          <cell r="C1491" t="str">
            <v>Kent, MI</v>
          </cell>
          <cell r="D1491">
            <v>6.0999999999999999E-2</v>
          </cell>
        </row>
        <row r="1492">
          <cell r="C1492" t="str">
            <v>Kent, RI</v>
          </cell>
          <cell r="D1492">
            <v>0.09</v>
          </cell>
        </row>
        <row r="1493">
          <cell r="C1493" t="str">
            <v>Kent, TX</v>
          </cell>
          <cell r="D1493">
            <v>4.3999999999999997E-2</v>
          </cell>
        </row>
        <row r="1494">
          <cell r="C1494" t="str">
            <v>Kenton, KY</v>
          </cell>
          <cell r="D1494">
            <v>6.0999999999999999E-2</v>
          </cell>
        </row>
        <row r="1495">
          <cell r="C1495" t="str">
            <v>Keokuk, IA</v>
          </cell>
          <cell r="D1495">
            <v>0.09</v>
          </cell>
        </row>
        <row r="1496">
          <cell r="C1496" t="str">
            <v>Kern, CA</v>
          </cell>
          <cell r="D1496">
            <v>3.5000000000000003E-2</v>
          </cell>
        </row>
        <row r="1497">
          <cell r="C1497" t="str">
            <v>Kerr, TX</v>
          </cell>
          <cell r="D1497">
            <v>4.3999999999999997E-2</v>
          </cell>
        </row>
        <row r="1498">
          <cell r="C1498" t="str">
            <v>Kershaw, SC</v>
          </cell>
          <cell r="D1498">
            <v>4.3999999999999997E-2</v>
          </cell>
        </row>
        <row r="1499">
          <cell r="C1499" t="str">
            <v>Ketchikan Gateway, AK</v>
          </cell>
          <cell r="D1499">
            <v>6.0999999999999999E-2</v>
          </cell>
        </row>
        <row r="1500">
          <cell r="C1500" t="str">
            <v>Kewaunee, WI</v>
          </cell>
          <cell r="D1500">
            <v>0.09</v>
          </cell>
        </row>
        <row r="1501">
          <cell r="C1501" t="str">
            <v>Keweenaw, MI</v>
          </cell>
          <cell r="D1501">
            <v>0.09</v>
          </cell>
        </row>
        <row r="1502">
          <cell r="C1502" t="str">
            <v>Keya Paha, NE</v>
          </cell>
          <cell r="D1502">
            <v>0.09</v>
          </cell>
        </row>
        <row r="1503">
          <cell r="C1503" t="str">
            <v>Kidder, ND</v>
          </cell>
          <cell r="D1503">
            <v>0.09</v>
          </cell>
        </row>
        <row r="1504">
          <cell r="C1504" t="str">
            <v>Kimball, NE</v>
          </cell>
          <cell r="D1504">
            <v>0.09</v>
          </cell>
        </row>
        <row r="1505">
          <cell r="C1505" t="str">
            <v>Kimble, TX</v>
          </cell>
          <cell r="D1505">
            <v>4.3999999999999997E-2</v>
          </cell>
        </row>
        <row r="1506">
          <cell r="C1506" t="str">
            <v>King, TX</v>
          </cell>
          <cell r="D1506">
            <v>4.3999999999999997E-2</v>
          </cell>
        </row>
        <row r="1507">
          <cell r="C1507" t="str">
            <v>King, WA</v>
          </cell>
          <cell r="D1507">
            <v>6.0999999999999999E-2</v>
          </cell>
        </row>
        <row r="1508">
          <cell r="C1508" t="str">
            <v>King and Queen, VA</v>
          </cell>
          <cell r="D1508">
            <v>4.3999999999999997E-2</v>
          </cell>
        </row>
        <row r="1509">
          <cell r="C1509" t="str">
            <v>King George, VA</v>
          </cell>
          <cell r="D1509">
            <v>6.0999999999999999E-2</v>
          </cell>
        </row>
        <row r="1510">
          <cell r="C1510" t="str">
            <v>King William, VA</v>
          </cell>
          <cell r="D1510">
            <v>4.3999999999999997E-2</v>
          </cell>
        </row>
        <row r="1511">
          <cell r="C1511" t="str">
            <v>Kingfisher, OK</v>
          </cell>
          <cell r="D1511">
            <v>0.09</v>
          </cell>
        </row>
        <row r="1512">
          <cell r="C1512" t="str">
            <v>Kingman, KS</v>
          </cell>
          <cell r="D1512">
            <v>0.09</v>
          </cell>
        </row>
        <row r="1513">
          <cell r="C1513" t="str">
            <v>Kings, CA</v>
          </cell>
          <cell r="D1513">
            <v>5.7000000000000002E-2</v>
          </cell>
        </row>
        <row r="1514">
          <cell r="C1514" t="str">
            <v>Kings, NY</v>
          </cell>
          <cell r="D1514">
            <v>4.4999999999999998E-2</v>
          </cell>
        </row>
        <row r="1515">
          <cell r="C1515" t="str">
            <v>Kingsbury, SD</v>
          </cell>
          <cell r="D1515">
            <v>4.3999999999999997E-2</v>
          </cell>
        </row>
        <row r="1516">
          <cell r="C1516" t="str">
            <v>Kinney, TX</v>
          </cell>
          <cell r="D1516" t="str">
            <v xml:space="preserve"> </v>
          </cell>
        </row>
        <row r="1517">
          <cell r="C1517" t="str">
            <v>Kiowa, CO</v>
          </cell>
          <cell r="D1517">
            <v>4.3999999999999997E-2</v>
          </cell>
        </row>
        <row r="1518">
          <cell r="C1518" t="str">
            <v>Kiowa, KS</v>
          </cell>
          <cell r="D1518">
            <v>0.09</v>
          </cell>
        </row>
        <row r="1519">
          <cell r="C1519" t="str">
            <v>Kiowa, OK</v>
          </cell>
          <cell r="D1519">
            <v>0.09</v>
          </cell>
        </row>
        <row r="1520">
          <cell r="C1520" t="str">
            <v>Kit Carson, CO</v>
          </cell>
          <cell r="D1520">
            <v>4.3999999999999997E-2</v>
          </cell>
        </row>
        <row r="1521">
          <cell r="C1521" t="str">
            <v>Kitsap, WA</v>
          </cell>
          <cell r="D1521">
            <v>0.09</v>
          </cell>
        </row>
        <row r="1522">
          <cell r="C1522" t="str">
            <v>Kittitas, WA</v>
          </cell>
          <cell r="D1522">
            <v>0.09</v>
          </cell>
        </row>
        <row r="1523">
          <cell r="C1523" t="str">
            <v>Kittson, MN</v>
          </cell>
          <cell r="D1523">
            <v>0.09</v>
          </cell>
        </row>
        <row r="1524">
          <cell r="C1524" t="str">
            <v>Klamath, OR</v>
          </cell>
          <cell r="D1524">
            <v>0.09</v>
          </cell>
        </row>
        <row r="1525">
          <cell r="C1525" t="str">
            <v>Kleberg, TX</v>
          </cell>
          <cell r="D1525">
            <v>4.3999999999999997E-2</v>
          </cell>
        </row>
        <row r="1526">
          <cell r="C1526" t="str">
            <v>Klickitat, WA</v>
          </cell>
          <cell r="D1526">
            <v>0.09</v>
          </cell>
        </row>
        <row r="1527">
          <cell r="C1527" t="str">
            <v>Knott, KY</v>
          </cell>
          <cell r="D1527">
            <v>5.7000000000000002E-2</v>
          </cell>
        </row>
        <row r="1528">
          <cell r="C1528" t="str">
            <v>Knox, IL</v>
          </cell>
          <cell r="D1528">
            <v>0.09</v>
          </cell>
        </row>
        <row r="1529">
          <cell r="C1529" t="str">
            <v>Knox, IN</v>
          </cell>
          <cell r="D1529">
            <v>0.09</v>
          </cell>
        </row>
        <row r="1530">
          <cell r="C1530" t="str">
            <v>Knox, KY</v>
          </cell>
          <cell r="D1530">
            <v>5.7000000000000002E-2</v>
          </cell>
        </row>
        <row r="1531">
          <cell r="C1531" t="str">
            <v>Knox, ME</v>
          </cell>
          <cell r="D1531">
            <v>5.7000000000000002E-2</v>
          </cell>
        </row>
        <row r="1532">
          <cell r="C1532" t="str">
            <v>Knox, MO</v>
          </cell>
          <cell r="D1532">
            <v>0.09</v>
          </cell>
        </row>
        <row r="1533">
          <cell r="C1533" t="str">
            <v>Knox, NE</v>
          </cell>
          <cell r="D1533">
            <v>0.09</v>
          </cell>
        </row>
        <row r="1534">
          <cell r="C1534" t="str">
            <v>Knox, OH</v>
          </cell>
          <cell r="D1534">
            <v>0.09</v>
          </cell>
        </row>
        <row r="1535">
          <cell r="C1535" t="str">
            <v>Knox, TN</v>
          </cell>
          <cell r="D1535">
            <v>0.09</v>
          </cell>
        </row>
        <row r="1536">
          <cell r="C1536" t="str">
            <v>Knox, TX</v>
          </cell>
          <cell r="D1536">
            <v>5.7000000000000002E-2</v>
          </cell>
        </row>
        <row r="1537">
          <cell r="C1537" t="str">
            <v>Kodiak Island, AK</v>
          </cell>
          <cell r="D1537">
            <v>0.09</v>
          </cell>
        </row>
        <row r="1538">
          <cell r="C1538" t="str">
            <v>Koochiching, MN</v>
          </cell>
          <cell r="D1538">
            <v>0.09</v>
          </cell>
        </row>
        <row r="1539">
          <cell r="C1539" t="str">
            <v>Kootenai, ID</v>
          </cell>
          <cell r="D1539">
            <v>4.3999999999999997E-2</v>
          </cell>
        </row>
        <row r="1540">
          <cell r="C1540" t="str">
            <v>Kosciusko, IN</v>
          </cell>
          <cell r="D1540">
            <v>0.09</v>
          </cell>
        </row>
        <row r="1541">
          <cell r="C1541" t="str">
            <v>Kossuth, IA</v>
          </cell>
          <cell r="D1541">
            <v>0.09</v>
          </cell>
        </row>
        <row r="1542">
          <cell r="C1542" t="str">
            <v>La Crosse, WI</v>
          </cell>
          <cell r="D1542">
            <v>6.0999999999999999E-2</v>
          </cell>
        </row>
        <row r="1543">
          <cell r="C1543" t="str">
            <v>La Paz, AZ</v>
          </cell>
          <cell r="D1543">
            <v>4.3999999999999997E-2</v>
          </cell>
        </row>
        <row r="1544">
          <cell r="C1544" t="str">
            <v>La Plata, CO</v>
          </cell>
          <cell r="D1544">
            <v>4.3999999999999997E-2</v>
          </cell>
        </row>
        <row r="1545">
          <cell r="C1545" t="str">
            <v>La Porte, IN</v>
          </cell>
          <cell r="D1545">
            <v>0.09</v>
          </cell>
        </row>
        <row r="1546">
          <cell r="C1546" t="str">
            <v>La Salle, IL</v>
          </cell>
          <cell r="D1546">
            <v>0.09</v>
          </cell>
        </row>
        <row r="1547">
          <cell r="C1547" t="str">
            <v>La Salle, LA</v>
          </cell>
          <cell r="D1547">
            <v>0.09</v>
          </cell>
        </row>
        <row r="1548">
          <cell r="C1548" t="str">
            <v>La Salle, TX</v>
          </cell>
          <cell r="D1548">
            <v>4.3999999999999997E-2</v>
          </cell>
        </row>
        <row r="1549">
          <cell r="C1549" t="str">
            <v>Labette, KS</v>
          </cell>
          <cell r="D1549">
            <v>0.09</v>
          </cell>
        </row>
        <row r="1550">
          <cell r="C1550" t="str">
            <v>Lac qui Parle, MN</v>
          </cell>
          <cell r="D1550">
            <v>0.09</v>
          </cell>
        </row>
        <row r="1551">
          <cell r="C1551" t="str">
            <v>Lackawanna, PA</v>
          </cell>
          <cell r="D1551">
            <v>5.7000000000000002E-2</v>
          </cell>
        </row>
        <row r="1552">
          <cell r="C1552" t="str">
            <v>Laclede, MO</v>
          </cell>
          <cell r="D1552">
            <v>0.09</v>
          </cell>
        </row>
        <row r="1553">
          <cell r="C1553" t="str">
            <v>Lafayette, AR</v>
          </cell>
          <cell r="D1553">
            <v>4.3999999999999997E-2</v>
          </cell>
        </row>
        <row r="1554">
          <cell r="C1554" t="str">
            <v>Lafayette, FL</v>
          </cell>
          <cell r="D1554">
            <v>4.3999999999999997E-2</v>
          </cell>
        </row>
        <row r="1555">
          <cell r="C1555" t="str">
            <v>Lafayette, LA</v>
          </cell>
          <cell r="D1555">
            <v>0.09</v>
          </cell>
        </row>
        <row r="1556">
          <cell r="C1556" t="str">
            <v>Lafayette, MO</v>
          </cell>
          <cell r="D1556">
            <v>6.0999999999999999E-2</v>
          </cell>
        </row>
        <row r="1557">
          <cell r="C1557" t="str">
            <v>Lafayette, MS</v>
          </cell>
          <cell r="D1557">
            <v>4.3999999999999997E-2</v>
          </cell>
        </row>
        <row r="1558">
          <cell r="C1558" t="str">
            <v>Lafayette, WI</v>
          </cell>
          <cell r="D1558">
            <v>0.09</v>
          </cell>
        </row>
        <row r="1559">
          <cell r="C1559" t="str">
            <v>Lafourche, LA</v>
          </cell>
          <cell r="D1559">
            <v>0.09</v>
          </cell>
        </row>
        <row r="1560">
          <cell r="C1560" t="str">
            <v>Lagrange, IN</v>
          </cell>
          <cell r="D1560">
            <v>0.09</v>
          </cell>
        </row>
        <row r="1561">
          <cell r="C1561" t="str">
            <v>Lake, CA</v>
          </cell>
          <cell r="D1561">
            <v>5.7000000000000002E-2</v>
          </cell>
        </row>
        <row r="1562">
          <cell r="C1562" t="str">
            <v>Lake, CO</v>
          </cell>
          <cell r="D1562">
            <v>4.3999999999999997E-2</v>
          </cell>
        </row>
        <row r="1563">
          <cell r="C1563" t="str">
            <v>Lake, FL</v>
          </cell>
          <cell r="D1563">
            <v>5.7000000000000002E-2</v>
          </cell>
        </row>
        <row r="1564">
          <cell r="C1564" t="str">
            <v>Lake, IL</v>
          </cell>
          <cell r="D1564">
            <v>6.0999999999999999E-2</v>
          </cell>
        </row>
        <row r="1565">
          <cell r="C1565" t="str">
            <v>Lake, IN</v>
          </cell>
          <cell r="D1565">
            <v>0.09</v>
          </cell>
        </row>
        <row r="1566">
          <cell r="C1566" t="str">
            <v>Lake, MI</v>
          </cell>
          <cell r="D1566">
            <v>0.09</v>
          </cell>
        </row>
        <row r="1567">
          <cell r="C1567" t="str">
            <v>Lake, MN</v>
          </cell>
          <cell r="D1567">
            <v>0.09</v>
          </cell>
        </row>
        <row r="1568">
          <cell r="C1568" t="str">
            <v>Lake, MT</v>
          </cell>
          <cell r="D1568">
            <v>0.09</v>
          </cell>
        </row>
        <row r="1569">
          <cell r="C1569" t="str">
            <v>Lake, OH</v>
          </cell>
          <cell r="D1569">
            <v>6.0999999999999999E-2</v>
          </cell>
        </row>
        <row r="1570">
          <cell r="C1570" t="str">
            <v>Lake, OR</v>
          </cell>
          <cell r="D1570">
            <v>0.09</v>
          </cell>
        </row>
        <row r="1571">
          <cell r="C1571" t="str">
            <v>Lake, SD</v>
          </cell>
          <cell r="D1571">
            <v>4.3999999999999997E-2</v>
          </cell>
        </row>
        <row r="1572">
          <cell r="C1572" t="str">
            <v>Lake, TN</v>
          </cell>
          <cell r="D1572">
            <v>0.09</v>
          </cell>
        </row>
        <row r="1573">
          <cell r="C1573" t="str">
            <v>Lake and Peninsula, AK</v>
          </cell>
          <cell r="D1573">
            <v>0.09</v>
          </cell>
        </row>
        <row r="1574">
          <cell r="C1574" t="str">
            <v>Lake of the Woods, MN</v>
          </cell>
          <cell r="D1574">
            <v>0.09</v>
          </cell>
        </row>
        <row r="1575">
          <cell r="C1575" t="str">
            <v>Lamar, AL</v>
          </cell>
          <cell r="D1575">
            <v>0.09</v>
          </cell>
        </row>
        <row r="1576">
          <cell r="C1576" t="str">
            <v>Lamar, GA</v>
          </cell>
          <cell r="D1576">
            <v>4.3999999999999997E-2</v>
          </cell>
        </row>
        <row r="1577">
          <cell r="C1577" t="str">
            <v>Lamar, MS</v>
          </cell>
          <cell r="D1577">
            <v>4.3999999999999997E-2</v>
          </cell>
        </row>
        <row r="1578">
          <cell r="C1578" t="str">
            <v>Lamar, TX</v>
          </cell>
          <cell r="D1578">
            <v>4.3999999999999997E-2</v>
          </cell>
        </row>
        <row r="1579">
          <cell r="C1579" t="str">
            <v>Lamb, TX</v>
          </cell>
          <cell r="D1579">
            <v>4.3999999999999997E-2</v>
          </cell>
        </row>
        <row r="1580">
          <cell r="C1580" t="str">
            <v>Lamoille, VT</v>
          </cell>
          <cell r="D1580">
            <v>0.09</v>
          </cell>
        </row>
        <row r="1581">
          <cell r="C1581" t="str">
            <v>LaMoure, ND</v>
          </cell>
          <cell r="D1581">
            <v>0.09</v>
          </cell>
        </row>
        <row r="1582">
          <cell r="C1582" t="str">
            <v>Lampasas, TX</v>
          </cell>
          <cell r="D1582">
            <v>3.5000000000000003E-2</v>
          </cell>
        </row>
        <row r="1583">
          <cell r="C1583" t="str">
            <v>Lancaster, NE</v>
          </cell>
          <cell r="D1583">
            <v>6.0999999999999999E-2</v>
          </cell>
        </row>
        <row r="1584">
          <cell r="C1584" t="str">
            <v>Lancaster, PA</v>
          </cell>
          <cell r="D1584">
            <v>6.0999999999999999E-2</v>
          </cell>
        </row>
        <row r="1585">
          <cell r="C1585" t="str">
            <v>Lancaster, SC</v>
          </cell>
          <cell r="D1585">
            <v>4.3999999999999997E-2</v>
          </cell>
        </row>
        <row r="1586">
          <cell r="C1586" t="str">
            <v>Lancaster, VA</v>
          </cell>
          <cell r="D1586">
            <v>4.3999999999999997E-2</v>
          </cell>
        </row>
        <row r="1587">
          <cell r="C1587" t="str">
            <v>Lander, NV</v>
          </cell>
          <cell r="D1587">
            <v>6.0999999999999999E-2</v>
          </cell>
        </row>
        <row r="1588">
          <cell r="C1588" t="str">
            <v>Lane, KS</v>
          </cell>
          <cell r="D1588">
            <v>0.09</v>
          </cell>
        </row>
        <row r="1589">
          <cell r="C1589" t="str">
            <v>Lane, OR</v>
          </cell>
          <cell r="D1589">
            <v>0.09</v>
          </cell>
        </row>
        <row r="1590">
          <cell r="C1590" t="str">
            <v>Langlade, WI</v>
          </cell>
          <cell r="D1590">
            <v>0.09</v>
          </cell>
        </row>
        <row r="1591">
          <cell r="C1591" t="str">
            <v>Lanier, GA</v>
          </cell>
          <cell r="D1591">
            <v>4.3999999999999997E-2</v>
          </cell>
        </row>
        <row r="1592">
          <cell r="C1592" t="str">
            <v>Lapeer, MI</v>
          </cell>
          <cell r="D1592">
            <v>6.0999999999999999E-2</v>
          </cell>
        </row>
        <row r="1593">
          <cell r="C1593" t="str">
            <v>Laramie, WY</v>
          </cell>
          <cell r="D1593">
            <v>6.0999999999999999E-2</v>
          </cell>
        </row>
        <row r="1594">
          <cell r="C1594" t="str">
            <v>Larimer, CO</v>
          </cell>
          <cell r="D1594">
            <v>6.0999999999999999E-2</v>
          </cell>
        </row>
        <row r="1595">
          <cell r="C1595" t="str">
            <v>Larue, KY</v>
          </cell>
          <cell r="D1595">
            <v>0.09</v>
          </cell>
        </row>
        <row r="1596">
          <cell r="C1596" t="str">
            <v>Las Animas, CO</v>
          </cell>
          <cell r="D1596">
            <v>4.3999999999999997E-2</v>
          </cell>
        </row>
        <row r="1597">
          <cell r="C1597" t="str">
            <v>Lassen, CA</v>
          </cell>
          <cell r="D1597">
            <v>0.09</v>
          </cell>
        </row>
        <row r="1598">
          <cell r="C1598" t="str">
            <v>Latah, ID</v>
          </cell>
          <cell r="D1598">
            <v>4.3999999999999997E-2</v>
          </cell>
        </row>
        <row r="1599">
          <cell r="C1599" t="str">
            <v>Latimer, OK</v>
          </cell>
          <cell r="D1599">
            <v>0.09</v>
          </cell>
        </row>
        <row r="1600">
          <cell r="C1600" t="str">
            <v>Lauderdale, AL</v>
          </cell>
          <cell r="D1600">
            <v>0.09</v>
          </cell>
        </row>
        <row r="1601">
          <cell r="C1601" t="str">
            <v>Lauderdale, MS</v>
          </cell>
          <cell r="D1601">
            <v>4.3999999999999997E-2</v>
          </cell>
        </row>
        <row r="1602">
          <cell r="C1602" t="str">
            <v>Lauderdale, TN</v>
          </cell>
          <cell r="D1602">
            <v>0.09</v>
          </cell>
        </row>
        <row r="1603">
          <cell r="C1603" t="str">
            <v>Laurel, KY</v>
          </cell>
          <cell r="D1603">
            <v>0.09</v>
          </cell>
        </row>
        <row r="1604">
          <cell r="C1604" t="str">
            <v>Laurens, GA</v>
          </cell>
          <cell r="D1604">
            <v>4.3999999999999997E-2</v>
          </cell>
        </row>
        <row r="1605">
          <cell r="C1605" t="str">
            <v>Laurens, SC</v>
          </cell>
          <cell r="D1605">
            <v>4.3999999999999997E-2</v>
          </cell>
        </row>
        <row r="1606">
          <cell r="C1606" t="str">
            <v>Lavaca, TX</v>
          </cell>
          <cell r="D1606">
            <v>4.3999999999999997E-2</v>
          </cell>
        </row>
        <row r="1607">
          <cell r="C1607" t="str">
            <v>Lawrence, AL</v>
          </cell>
          <cell r="D1607">
            <v>0.09</v>
          </cell>
        </row>
        <row r="1608">
          <cell r="C1608" t="str">
            <v>Lawrence, AR</v>
          </cell>
          <cell r="D1608">
            <v>5.7000000000000002E-2</v>
          </cell>
        </row>
        <row r="1609">
          <cell r="C1609" t="str">
            <v>Lawrence, IL</v>
          </cell>
          <cell r="D1609">
            <v>0.09</v>
          </cell>
        </row>
        <row r="1610">
          <cell r="C1610" t="str">
            <v>Lawrence, IN</v>
          </cell>
          <cell r="D1610">
            <v>0.09</v>
          </cell>
        </row>
        <row r="1611">
          <cell r="C1611" t="str">
            <v>Lawrence, KY</v>
          </cell>
          <cell r="D1611">
            <v>0.09</v>
          </cell>
        </row>
        <row r="1612">
          <cell r="C1612" t="str">
            <v>Lawrence, MO</v>
          </cell>
          <cell r="D1612">
            <v>0.09</v>
          </cell>
        </row>
        <row r="1613">
          <cell r="C1613" t="str">
            <v>Lawrence, MS</v>
          </cell>
          <cell r="D1613">
            <v>5.7000000000000002E-2</v>
          </cell>
        </row>
        <row r="1614">
          <cell r="C1614" t="str">
            <v>Lawrence, OH</v>
          </cell>
          <cell r="D1614">
            <v>0.09</v>
          </cell>
        </row>
        <row r="1615">
          <cell r="C1615" t="str">
            <v>Lawrence, PA</v>
          </cell>
          <cell r="D1615">
            <v>0.09</v>
          </cell>
        </row>
        <row r="1616">
          <cell r="C1616" t="str">
            <v>Lawrence, SD</v>
          </cell>
          <cell r="D1616">
            <v>4.3999999999999997E-2</v>
          </cell>
        </row>
        <row r="1617">
          <cell r="C1617" t="str">
            <v>Lawrence, TN</v>
          </cell>
          <cell r="D1617">
            <v>0.09</v>
          </cell>
        </row>
        <row r="1618">
          <cell r="C1618" t="str">
            <v>Le Flore, OK</v>
          </cell>
          <cell r="D1618">
            <v>0.09</v>
          </cell>
        </row>
        <row r="1619">
          <cell r="C1619" t="str">
            <v>Le Sueur, MN</v>
          </cell>
          <cell r="D1619">
            <v>0.09</v>
          </cell>
        </row>
        <row r="1620">
          <cell r="C1620" t="str">
            <v>Lea, NM</v>
          </cell>
          <cell r="D1620">
            <v>5.7000000000000002E-2</v>
          </cell>
        </row>
        <row r="1621">
          <cell r="C1621" t="str">
            <v>Leake, MS</v>
          </cell>
          <cell r="D1621">
            <v>4.3999999999999997E-2</v>
          </cell>
        </row>
        <row r="1622">
          <cell r="C1622" t="str">
            <v>Leavenworth, KS</v>
          </cell>
          <cell r="D1622">
            <v>6.0999999999999999E-2</v>
          </cell>
        </row>
        <row r="1623">
          <cell r="C1623" t="str">
            <v>Lebanon, PA</v>
          </cell>
          <cell r="D1623">
            <v>6.0999999999999999E-2</v>
          </cell>
        </row>
        <row r="1624">
          <cell r="C1624" t="str">
            <v>Lee, AL</v>
          </cell>
          <cell r="D1624">
            <v>0.09</v>
          </cell>
        </row>
        <row r="1625">
          <cell r="C1625" t="str">
            <v>Lee, AR</v>
          </cell>
          <cell r="D1625">
            <v>5.7000000000000002E-2</v>
          </cell>
        </row>
        <row r="1626">
          <cell r="C1626" t="str">
            <v>Lee, FL</v>
          </cell>
          <cell r="D1626">
            <v>6.0999999999999999E-2</v>
          </cell>
        </row>
        <row r="1627">
          <cell r="C1627" t="str">
            <v>Lee, GA</v>
          </cell>
          <cell r="D1627">
            <v>4.3999999999999997E-2</v>
          </cell>
        </row>
        <row r="1628">
          <cell r="C1628" t="str">
            <v>Lee, IA</v>
          </cell>
          <cell r="D1628">
            <v>0.09</v>
          </cell>
        </row>
        <row r="1629">
          <cell r="C1629" t="str">
            <v>Lee, IL</v>
          </cell>
          <cell r="D1629">
            <v>0.09</v>
          </cell>
        </row>
        <row r="1630">
          <cell r="C1630" t="str">
            <v>Lee, KY</v>
          </cell>
          <cell r="D1630">
            <v>5.7000000000000002E-2</v>
          </cell>
        </row>
        <row r="1631">
          <cell r="C1631" t="str">
            <v>Lee, MS</v>
          </cell>
          <cell r="D1631">
            <v>4.3999999999999997E-2</v>
          </cell>
        </row>
        <row r="1632">
          <cell r="C1632" t="str">
            <v>Lee, NC</v>
          </cell>
          <cell r="D1632">
            <v>4.3999999999999997E-2</v>
          </cell>
        </row>
        <row r="1633">
          <cell r="C1633" t="str">
            <v>Lee, SC</v>
          </cell>
          <cell r="D1633">
            <v>4.3999999999999997E-2</v>
          </cell>
        </row>
        <row r="1634">
          <cell r="C1634" t="str">
            <v>Lee, TX</v>
          </cell>
          <cell r="D1634">
            <v>4.3999999999999997E-2</v>
          </cell>
        </row>
        <row r="1635">
          <cell r="C1635" t="str">
            <v>Lee, VA</v>
          </cell>
          <cell r="D1635">
            <v>4.3999999999999997E-2</v>
          </cell>
        </row>
        <row r="1636">
          <cell r="C1636" t="str">
            <v>Leelanau, MI</v>
          </cell>
          <cell r="D1636">
            <v>0.09</v>
          </cell>
        </row>
        <row r="1637">
          <cell r="C1637" t="str">
            <v>Leflore, MS</v>
          </cell>
          <cell r="D1637">
            <v>5.7000000000000002E-2</v>
          </cell>
        </row>
        <row r="1638">
          <cell r="C1638" t="str">
            <v>Lehigh, PA</v>
          </cell>
          <cell r="D1638">
            <v>6.0999999999999999E-2</v>
          </cell>
        </row>
        <row r="1639">
          <cell r="C1639" t="str">
            <v>Lemhi, ID</v>
          </cell>
          <cell r="D1639">
            <v>4.3999999999999997E-2</v>
          </cell>
        </row>
        <row r="1640">
          <cell r="C1640" t="str">
            <v>Lenawee, MI</v>
          </cell>
          <cell r="D1640">
            <v>6.0999999999999999E-2</v>
          </cell>
        </row>
        <row r="1641">
          <cell r="C1641" t="str">
            <v>Lenoir, NC</v>
          </cell>
          <cell r="D1641">
            <v>4.3999999999999997E-2</v>
          </cell>
        </row>
        <row r="1642">
          <cell r="C1642" t="str">
            <v>Leon, FL</v>
          </cell>
          <cell r="D1642">
            <v>3.5000000000000003E-2</v>
          </cell>
        </row>
        <row r="1643">
          <cell r="C1643" t="str">
            <v>Leon, TX</v>
          </cell>
          <cell r="D1643">
            <v>4.3999999999999997E-2</v>
          </cell>
        </row>
        <row r="1644">
          <cell r="C1644" t="str">
            <v>Leslie, KY</v>
          </cell>
          <cell r="D1644">
            <v>5.7000000000000002E-2</v>
          </cell>
        </row>
        <row r="1645">
          <cell r="C1645" t="str">
            <v>Letcher, KY</v>
          </cell>
          <cell r="D1645">
            <v>5.7000000000000002E-2</v>
          </cell>
        </row>
        <row r="1646">
          <cell r="C1646" t="str">
            <v>Levy, FL</v>
          </cell>
          <cell r="D1646">
            <v>4.3999999999999997E-2</v>
          </cell>
        </row>
        <row r="1647">
          <cell r="C1647" t="str">
            <v>Lewis, ID</v>
          </cell>
          <cell r="D1647">
            <v>5.7000000000000002E-2</v>
          </cell>
        </row>
        <row r="1648">
          <cell r="C1648" t="str">
            <v>Lewis, KY</v>
          </cell>
          <cell r="D1648">
            <v>0.09</v>
          </cell>
        </row>
        <row r="1649">
          <cell r="C1649" t="str">
            <v>Lewis, MO</v>
          </cell>
          <cell r="D1649">
            <v>0.09</v>
          </cell>
        </row>
        <row r="1650">
          <cell r="C1650" t="str">
            <v>Lewis, NY</v>
          </cell>
          <cell r="D1650">
            <v>0.09</v>
          </cell>
        </row>
        <row r="1651">
          <cell r="C1651" t="str">
            <v>Lewis, TN</v>
          </cell>
          <cell r="D1651">
            <v>0.09</v>
          </cell>
        </row>
        <row r="1652">
          <cell r="C1652" t="str">
            <v>Lewis, WA</v>
          </cell>
          <cell r="D1652">
            <v>0.09</v>
          </cell>
        </row>
        <row r="1653">
          <cell r="C1653" t="str">
            <v>Lewis, WV</v>
          </cell>
          <cell r="D1653">
            <v>0.09</v>
          </cell>
        </row>
        <row r="1654">
          <cell r="C1654" t="str">
            <v>Lewis and Clark, MT</v>
          </cell>
          <cell r="D1654">
            <v>0.09</v>
          </cell>
        </row>
        <row r="1655">
          <cell r="C1655" t="str">
            <v>Lexington, SC</v>
          </cell>
          <cell r="D1655">
            <v>6.0999999999999999E-2</v>
          </cell>
        </row>
        <row r="1656">
          <cell r="C1656" t="str">
            <v>Lexington City, VA</v>
          </cell>
          <cell r="D1656">
            <v>4.3999999999999997E-2</v>
          </cell>
        </row>
        <row r="1657">
          <cell r="C1657" t="str">
            <v>Liberty, FL</v>
          </cell>
          <cell r="D1657">
            <v>4.3999999999999997E-2</v>
          </cell>
        </row>
        <row r="1658">
          <cell r="C1658" t="str">
            <v>Liberty, GA</v>
          </cell>
          <cell r="D1658">
            <v>4.3999999999999997E-2</v>
          </cell>
        </row>
        <row r="1659">
          <cell r="C1659" t="str">
            <v>Liberty, MT</v>
          </cell>
          <cell r="D1659">
            <v>0.09</v>
          </cell>
        </row>
        <row r="1660">
          <cell r="C1660" t="str">
            <v>Liberty, TX</v>
          </cell>
          <cell r="D1660">
            <v>6.0999999999999999E-2</v>
          </cell>
        </row>
        <row r="1661">
          <cell r="C1661" t="str">
            <v>Licking, OH</v>
          </cell>
          <cell r="D1661">
            <v>6.0999999999999999E-2</v>
          </cell>
        </row>
        <row r="1662">
          <cell r="C1662" t="str">
            <v>Limestone, AL</v>
          </cell>
          <cell r="D1662">
            <v>6.0999999999999999E-2</v>
          </cell>
        </row>
        <row r="1663">
          <cell r="C1663" t="str">
            <v>Limestone, TX</v>
          </cell>
          <cell r="D1663">
            <v>4.3999999999999997E-2</v>
          </cell>
        </row>
        <row r="1664">
          <cell r="C1664" t="str">
            <v>Lincoln, AR</v>
          </cell>
          <cell r="D1664">
            <v>4.3999999999999997E-2</v>
          </cell>
        </row>
        <row r="1665">
          <cell r="C1665" t="str">
            <v>Lincoln, CO</v>
          </cell>
          <cell r="D1665">
            <v>4.3999999999999997E-2</v>
          </cell>
        </row>
        <row r="1666">
          <cell r="C1666" t="str">
            <v>Lincoln, GA</v>
          </cell>
          <cell r="D1666">
            <v>4.3999999999999997E-2</v>
          </cell>
        </row>
        <row r="1667">
          <cell r="C1667" t="str">
            <v>Lincoln, ID</v>
          </cell>
          <cell r="D1667">
            <v>4.3999999999999997E-2</v>
          </cell>
        </row>
        <row r="1668">
          <cell r="C1668" t="str">
            <v>Lincoln, KS</v>
          </cell>
          <cell r="D1668">
            <v>0.09</v>
          </cell>
        </row>
        <row r="1669">
          <cell r="C1669" t="str">
            <v>Lincoln, KY</v>
          </cell>
          <cell r="D1669">
            <v>0.09</v>
          </cell>
        </row>
        <row r="1670">
          <cell r="C1670" t="str">
            <v>Lincoln, LA</v>
          </cell>
          <cell r="D1670">
            <v>0.09</v>
          </cell>
        </row>
        <row r="1671">
          <cell r="C1671" t="str">
            <v>Lincoln, ME</v>
          </cell>
          <cell r="D1671">
            <v>0.09</v>
          </cell>
        </row>
        <row r="1672">
          <cell r="C1672" t="str">
            <v>Lincoln, MN</v>
          </cell>
          <cell r="D1672">
            <v>0.09</v>
          </cell>
        </row>
        <row r="1673">
          <cell r="C1673" t="str">
            <v>Lincoln, MO</v>
          </cell>
          <cell r="D1673">
            <v>6.0999999999999999E-2</v>
          </cell>
        </row>
        <row r="1674">
          <cell r="C1674" t="str">
            <v>Lincoln, MS</v>
          </cell>
          <cell r="D1674">
            <v>4.3999999999999997E-2</v>
          </cell>
        </row>
        <row r="1675">
          <cell r="C1675" t="str">
            <v>Lincoln, MT</v>
          </cell>
          <cell r="D1675">
            <v>0.09</v>
          </cell>
        </row>
        <row r="1676">
          <cell r="C1676" t="str">
            <v>Lincoln, NC</v>
          </cell>
          <cell r="D1676">
            <v>6.0999999999999999E-2</v>
          </cell>
        </row>
        <row r="1677">
          <cell r="C1677" t="str">
            <v>Lincoln, NE</v>
          </cell>
          <cell r="D1677">
            <v>0.09</v>
          </cell>
        </row>
        <row r="1678">
          <cell r="C1678" t="str">
            <v>Lincoln, NM</v>
          </cell>
          <cell r="D1678">
            <v>5.7000000000000002E-2</v>
          </cell>
        </row>
        <row r="1679">
          <cell r="C1679" t="str">
            <v>Lincoln, NV</v>
          </cell>
          <cell r="D1679">
            <v>0.09</v>
          </cell>
        </row>
        <row r="1680">
          <cell r="C1680" t="str">
            <v>Lincoln, OK</v>
          </cell>
          <cell r="D1680">
            <v>0.09</v>
          </cell>
        </row>
        <row r="1681">
          <cell r="C1681" t="str">
            <v>Lincoln, OR</v>
          </cell>
          <cell r="D1681">
            <v>0.09</v>
          </cell>
        </row>
        <row r="1682">
          <cell r="C1682" t="str">
            <v>Lincoln, SD</v>
          </cell>
          <cell r="D1682">
            <v>6.0999999999999999E-2</v>
          </cell>
        </row>
        <row r="1683">
          <cell r="C1683" t="str">
            <v>Lincoln, TN</v>
          </cell>
          <cell r="D1683">
            <v>0.09</v>
          </cell>
        </row>
        <row r="1684">
          <cell r="C1684" t="str">
            <v>Lincoln, WA</v>
          </cell>
          <cell r="D1684">
            <v>0.09</v>
          </cell>
        </row>
        <row r="1685">
          <cell r="C1685" t="str">
            <v>Lincoln, WI</v>
          </cell>
          <cell r="D1685">
            <v>0.09</v>
          </cell>
        </row>
        <row r="1686">
          <cell r="C1686" t="str">
            <v>Lincoln, WV</v>
          </cell>
          <cell r="D1686">
            <v>0.09</v>
          </cell>
        </row>
        <row r="1687">
          <cell r="C1687" t="str">
            <v>Lincoln, WY</v>
          </cell>
          <cell r="D1687">
            <v>0.09</v>
          </cell>
        </row>
        <row r="1688">
          <cell r="C1688" t="str">
            <v>Linn, IA</v>
          </cell>
          <cell r="D1688">
            <v>6.0999999999999999E-2</v>
          </cell>
        </row>
        <row r="1689">
          <cell r="C1689" t="str">
            <v>Linn, KS</v>
          </cell>
          <cell r="D1689">
            <v>0.09</v>
          </cell>
        </row>
        <row r="1690">
          <cell r="C1690" t="str">
            <v>Linn, MO</v>
          </cell>
          <cell r="D1690">
            <v>0.09</v>
          </cell>
        </row>
        <row r="1691">
          <cell r="C1691" t="str">
            <v>Linn, OR</v>
          </cell>
          <cell r="D1691">
            <v>5.7000000000000002E-2</v>
          </cell>
        </row>
        <row r="1692">
          <cell r="C1692" t="str">
            <v>Lipscomb, TX</v>
          </cell>
          <cell r="D1692">
            <v>4.3999999999999997E-2</v>
          </cell>
        </row>
        <row r="1693">
          <cell r="C1693" t="str">
            <v>Litchfield, CT</v>
          </cell>
          <cell r="D1693">
            <v>6.0999999999999999E-2</v>
          </cell>
        </row>
        <row r="1694">
          <cell r="C1694" t="str">
            <v>Little River, AR</v>
          </cell>
          <cell r="D1694">
            <v>4.3999999999999997E-2</v>
          </cell>
        </row>
        <row r="1695">
          <cell r="C1695" t="str">
            <v>Live Oak, TX</v>
          </cell>
          <cell r="D1695">
            <v>4.3999999999999997E-2</v>
          </cell>
        </row>
        <row r="1696">
          <cell r="C1696" t="str">
            <v>Livingston, IL</v>
          </cell>
          <cell r="D1696">
            <v>0.09</v>
          </cell>
        </row>
        <row r="1697">
          <cell r="C1697" t="str">
            <v>Livingston, KY</v>
          </cell>
          <cell r="D1697">
            <v>0.09</v>
          </cell>
        </row>
        <row r="1698">
          <cell r="C1698" t="str">
            <v>Livingston, LA</v>
          </cell>
          <cell r="D1698">
            <v>0.09</v>
          </cell>
        </row>
        <row r="1699">
          <cell r="C1699" t="str">
            <v>Livingston, MI</v>
          </cell>
          <cell r="D1699">
            <v>6.0999999999999999E-2</v>
          </cell>
        </row>
        <row r="1700">
          <cell r="C1700" t="str">
            <v>Livingston, MO</v>
          </cell>
          <cell r="D1700">
            <v>0.09</v>
          </cell>
        </row>
        <row r="1701">
          <cell r="C1701" t="str">
            <v>Livingston, NY</v>
          </cell>
          <cell r="D1701">
            <v>3.5000000000000003E-2</v>
          </cell>
        </row>
        <row r="1702">
          <cell r="C1702" t="str">
            <v>Llano, TX</v>
          </cell>
          <cell r="D1702">
            <v>4.3999999999999997E-2</v>
          </cell>
        </row>
        <row r="1703">
          <cell r="C1703" t="str">
            <v>Logan, AR</v>
          </cell>
          <cell r="D1703">
            <v>4.3999999999999997E-2</v>
          </cell>
        </row>
        <row r="1704">
          <cell r="C1704" t="str">
            <v>Logan, CO</v>
          </cell>
          <cell r="D1704">
            <v>4.3999999999999997E-2</v>
          </cell>
        </row>
        <row r="1705">
          <cell r="C1705" t="str">
            <v>Logan, IL</v>
          </cell>
          <cell r="D1705">
            <v>0.09</v>
          </cell>
        </row>
        <row r="1706">
          <cell r="C1706" t="str">
            <v>Logan, KS</v>
          </cell>
          <cell r="D1706">
            <v>0.09</v>
          </cell>
        </row>
        <row r="1707">
          <cell r="C1707" t="str">
            <v>Logan, KY</v>
          </cell>
          <cell r="D1707">
            <v>0.09</v>
          </cell>
        </row>
        <row r="1708">
          <cell r="C1708" t="str">
            <v>Logan, ND</v>
          </cell>
          <cell r="D1708">
            <v>0.09</v>
          </cell>
        </row>
        <row r="1709">
          <cell r="C1709" t="str">
            <v>Logan, NE</v>
          </cell>
          <cell r="D1709">
            <v>0.09</v>
          </cell>
        </row>
        <row r="1710">
          <cell r="C1710" t="str">
            <v>Logan, OH</v>
          </cell>
          <cell r="D1710">
            <v>0.09</v>
          </cell>
        </row>
        <row r="1711">
          <cell r="C1711" t="str">
            <v>Logan, OK</v>
          </cell>
          <cell r="D1711">
            <v>0.09</v>
          </cell>
        </row>
        <row r="1712">
          <cell r="C1712" t="str">
            <v>Logan, WV</v>
          </cell>
          <cell r="D1712">
            <v>0.09</v>
          </cell>
        </row>
        <row r="1713">
          <cell r="C1713" t="str">
            <v>Long, GA</v>
          </cell>
          <cell r="D1713">
            <v>4.3999999999999997E-2</v>
          </cell>
        </row>
        <row r="1714">
          <cell r="C1714" t="str">
            <v>Lonoke, AR</v>
          </cell>
          <cell r="D1714">
            <v>6.0999999999999999E-2</v>
          </cell>
        </row>
        <row r="1715">
          <cell r="C1715" t="str">
            <v>Lorain, OH</v>
          </cell>
          <cell r="D1715">
            <v>6.0999999999999999E-2</v>
          </cell>
        </row>
        <row r="1716">
          <cell r="C1716" t="str">
            <v>Los Alamos, NM</v>
          </cell>
          <cell r="D1716">
            <v>5.7000000000000002E-2</v>
          </cell>
        </row>
        <row r="1717">
          <cell r="C1717" t="str">
            <v>Los Angeles, CA</v>
          </cell>
          <cell r="D1717">
            <v>2.4E-2</v>
          </cell>
        </row>
        <row r="1718">
          <cell r="C1718" t="str">
            <v>Loudon, TN</v>
          </cell>
          <cell r="D1718">
            <v>0.09</v>
          </cell>
        </row>
        <row r="1719">
          <cell r="C1719" t="str">
            <v>Loudoun, VA</v>
          </cell>
          <cell r="D1719">
            <v>6.0999999999999999E-2</v>
          </cell>
        </row>
        <row r="1720">
          <cell r="C1720" t="str">
            <v>Louisa, IA</v>
          </cell>
          <cell r="D1720">
            <v>0.09</v>
          </cell>
        </row>
        <row r="1721">
          <cell r="C1721" t="str">
            <v>Louisa, VA</v>
          </cell>
          <cell r="D1721">
            <v>4.3999999999999997E-2</v>
          </cell>
        </row>
        <row r="1722">
          <cell r="C1722" t="str">
            <v>Loup, NE</v>
          </cell>
          <cell r="D1722">
            <v>0.09</v>
          </cell>
        </row>
        <row r="1723">
          <cell r="C1723" t="str">
            <v>Love, OK</v>
          </cell>
          <cell r="D1723">
            <v>0.09</v>
          </cell>
        </row>
        <row r="1724">
          <cell r="C1724" t="str">
            <v>Loving, TX</v>
          </cell>
          <cell r="D1724">
            <v>6.0999999999999999E-2</v>
          </cell>
        </row>
        <row r="1725">
          <cell r="C1725" t="str">
            <v>Lowndes, AL</v>
          </cell>
          <cell r="D1725">
            <v>0.09</v>
          </cell>
        </row>
        <row r="1726">
          <cell r="C1726" t="str">
            <v>Lowndes, GA</v>
          </cell>
          <cell r="D1726">
            <v>4.3999999999999997E-2</v>
          </cell>
        </row>
        <row r="1727">
          <cell r="C1727" t="str">
            <v>Lowndes, MS</v>
          </cell>
          <cell r="D1727">
            <v>4.3999999999999997E-2</v>
          </cell>
        </row>
        <row r="1728">
          <cell r="C1728" t="str">
            <v>Lubbock, TX</v>
          </cell>
          <cell r="D1728">
            <v>4.3999999999999997E-2</v>
          </cell>
        </row>
        <row r="1729">
          <cell r="C1729" t="str">
            <v>Lucas, IA</v>
          </cell>
          <cell r="D1729">
            <v>0.09</v>
          </cell>
        </row>
        <row r="1730">
          <cell r="C1730" t="str">
            <v>Lucas, OH</v>
          </cell>
          <cell r="D1730">
            <v>4.4999999999999998E-2</v>
          </cell>
        </row>
        <row r="1731">
          <cell r="C1731" t="str">
            <v>Luce, MI</v>
          </cell>
          <cell r="D1731">
            <v>0.09</v>
          </cell>
        </row>
        <row r="1732">
          <cell r="C1732" t="str">
            <v>Lumpkin, GA</v>
          </cell>
          <cell r="D1732">
            <v>4.3999999999999997E-2</v>
          </cell>
        </row>
        <row r="1733">
          <cell r="C1733" t="str">
            <v>Luna, NM</v>
          </cell>
          <cell r="D1733">
            <v>3.5000000000000003E-2</v>
          </cell>
        </row>
        <row r="1734">
          <cell r="C1734" t="str">
            <v>Lunenburg, VA</v>
          </cell>
          <cell r="D1734">
            <v>4.3999999999999997E-2</v>
          </cell>
        </row>
        <row r="1735">
          <cell r="C1735" t="str">
            <v>Luzerne, PA</v>
          </cell>
          <cell r="D1735">
            <v>5.7000000000000002E-2</v>
          </cell>
        </row>
        <row r="1736">
          <cell r="C1736" t="str">
            <v>Lycoming, PA</v>
          </cell>
          <cell r="D1736">
            <v>0.09</v>
          </cell>
        </row>
        <row r="1737">
          <cell r="C1737" t="str">
            <v>Lyman, SD</v>
          </cell>
          <cell r="D1737">
            <v>4.3999999999999997E-2</v>
          </cell>
        </row>
        <row r="1738">
          <cell r="C1738" t="str">
            <v>Lynchburg City, VA</v>
          </cell>
          <cell r="D1738">
            <v>4.3999999999999997E-2</v>
          </cell>
        </row>
        <row r="1739">
          <cell r="C1739" t="str">
            <v>Lynn, TX</v>
          </cell>
          <cell r="D1739">
            <v>4.3999999999999997E-2</v>
          </cell>
        </row>
        <row r="1740">
          <cell r="C1740" t="str">
            <v>Lyon, IA</v>
          </cell>
          <cell r="D1740">
            <v>0.09</v>
          </cell>
        </row>
        <row r="1741">
          <cell r="C1741" t="str">
            <v>Lyon, KS</v>
          </cell>
          <cell r="D1741">
            <v>0.09</v>
          </cell>
        </row>
        <row r="1742">
          <cell r="C1742" t="str">
            <v>Lyon, KY</v>
          </cell>
          <cell r="D1742">
            <v>0.09</v>
          </cell>
        </row>
        <row r="1743">
          <cell r="C1743" t="str">
            <v>Lyon, MN</v>
          </cell>
          <cell r="D1743">
            <v>0.09</v>
          </cell>
        </row>
        <row r="1744">
          <cell r="C1744" t="str">
            <v>Lyon, NV</v>
          </cell>
          <cell r="D1744">
            <v>0.09</v>
          </cell>
        </row>
        <row r="1745">
          <cell r="C1745" t="str">
            <v>Mackinac, MI</v>
          </cell>
          <cell r="D1745">
            <v>0.09</v>
          </cell>
        </row>
        <row r="1746">
          <cell r="C1746" t="str">
            <v>Macomb, MI</v>
          </cell>
          <cell r="D1746">
            <v>6.0999999999999999E-2</v>
          </cell>
        </row>
        <row r="1747">
          <cell r="C1747" t="str">
            <v>Macon, AL</v>
          </cell>
          <cell r="D1747">
            <v>0.09</v>
          </cell>
        </row>
        <row r="1748">
          <cell r="C1748" t="str">
            <v>Macon, GA</v>
          </cell>
          <cell r="D1748">
            <v>4.3999999999999997E-2</v>
          </cell>
        </row>
        <row r="1749">
          <cell r="C1749" t="str">
            <v>Macon, IL</v>
          </cell>
          <cell r="D1749">
            <v>6.0999999999999999E-2</v>
          </cell>
        </row>
        <row r="1750">
          <cell r="C1750" t="str">
            <v>Macon, MO</v>
          </cell>
          <cell r="D1750">
            <v>0.09</v>
          </cell>
        </row>
        <row r="1751">
          <cell r="C1751" t="str">
            <v>Macon, NC</v>
          </cell>
          <cell r="D1751">
            <v>4.3999999999999997E-2</v>
          </cell>
        </row>
        <row r="1752">
          <cell r="C1752" t="str">
            <v>Macon, TN</v>
          </cell>
          <cell r="D1752">
            <v>0.09</v>
          </cell>
        </row>
        <row r="1753">
          <cell r="C1753" t="str">
            <v>Macoupin, IL</v>
          </cell>
          <cell r="D1753">
            <v>0.09</v>
          </cell>
        </row>
        <row r="1754">
          <cell r="C1754" t="str">
            <v>Madera, CA</v>
          </cell>
          <cell r="D1754">
            <v>3.5000000000000003E-2</v>
          </cell>
        </row>
        <row r="1755">
          <cell r="C1755" t="str">
            <v>Madison, AL</v>
          </cell>
          <cell r="D1755">
            <v>6.0999999999999999E-2</v>
          </cell>
        </row>
        <row r="1756">
          <cell r="C1756" t="str">
            <v>Madison, AR</v>
          </cell>
          <cell r="D1756">
            <v>4.3999999999999997E-2</v>
          </cell>
        </row>
        <row r="1757">
          <cell r="C1757" t="str">
            <v>Madison, FL</v>
          </cell>
          <cell r="D1757">
            <v>4.3999999999999997E-2</v>
          </cell>
        </row>
        <row r="1758">
          <cell r="C1758" t="str">
            <v>Madison, GA</v>
          </cell>
          <cell r="D1758">
            <v>5.7000000000000002E-2</v>
          </cell>
        </row>
        <row r="1759">
          <cell r="C1759" t="str">
            <v>Madison, IA</v>
          </cell>
          <cell r="D1759">
            <v>0.09</v>
          </cell>
        </row>
        <row r="1760">
          <cell r="C1760" t="str">
            <v>Madison, ID</v>
          </cell>
          <cell r="D1760">
            <v>4.3999999999999997E-2</v>
          </cell>
        </row>
        <row r="1761">
          <cell r="C1761" t="str">
            <v>Madison, IL</v>
          </cell>
          <cell r="D1761">
            <v>6.0999999999999999E-2</v>
          </cell>
        </row>
        <row r="1762">
          <cell r="C1762" t="str">
            <v>Madison, IN</v>
          </cell>
          <cell r="D1762">
            <v>6.0999999999999999E-2</v>
          </cell>
        </row>
        <row r="1763">
          <cell r="C1763" t="str">
            <v>Madison, KY</v>
          </cell>
          <cell r="D1763">
            <v>3.5000000000000003E-2</v>
          </cell>
        </row>
        <row r="1764">
          <cell r="C1764" t="str">
            <v>Madison, LA</v>
          </cell>
          <cell r="D1764">
            <v>0.09</v>
          </cell>
        </row>
        <row r="1765">
          <cell r="C1765" t="str">
            <v>Madison, MO</v>
          </cell>
          <cell r="D1765">
            <v>5.7000000000000002E-2</v>
          </cell>
        </row>
        <row r="1766">
          <cell r="C1766" t="str">
            <v>Madison, MS</v>
          </cell>
          <cell r="D1766">
            <v>4.3999999999999997E-2</v>
          </cell>
        </row>
        <row r="1767">
          <cell r="C1767" t="str">
            <v>Madison, MT</v>
          </cell>
          <cell r="D1767">
            <v>0.09</v>
          </cell>
        </row>
        <row r="1768">
          <cell r="C1768" t="str">
            <v>Madison, NC</v>
          </cell>
          <cell r="D1768">
            <v>5.7000000000000002E-2</v>
          </cell>
        </row>
        <row r="1769">
          <cell r="C1769" t="str">
            <v>Madison, NE</v>
          </cell>
          <cell r="D1769">
            <v>0.09</v>
          </cell>
        </row>
        <row r="1770">
          <cell r="C1770" t="str">
            <v>Madison, NY</v>
          </cell>
          <cell r="D1770">
            <v>0.09</v>
          </cell>
        </row>
        <row r="1771">
          <cell r="C1771" t="str">
            <v>Madison, OH</v>
          </cell>
          <cell r="D1771">
            <v>6.0999999999999999E-2</v>
          </cell>
        </row>
        <row r="1772">
          <cell r="C1772" t="str">
            <v>Madison, TN</v>
          </cell>
          <cell r="D1772">
            <v>0.09</v>
          </cell>
        </row>
        <row r="1773">
          <cell r="C1773" t="str">
            <v>Madison, TX</v>
          </cell>
          <cell r="D1773">
            <v>4.3999999999999997E-2</v>
          </cell>
        </row>
        <row r="1774">
          <cell r="C1774" t="str">
            <v>Madison, VA</v>
          </cell>
          <cell r="D1774">
            <v>4.3999999999999997E-2</v>
          </cell>
        </row>
        <row r="1775">
          <cell r="C1775" t="str">
            <v>Magoffin, KY</v>
          </cell>
          <cell r="D1775">
            <v>5.7000000000000002E-2</v>
          </cell>
        </row>
        <row r="1776">
          <cell r="C1776" t="str">
            <v>Mahaska, IA</v>
          </cell>
          <cell r="D1776">
            <v>0.09</v>
          </cell>
        </row>
        <row r="1777">
          <cell r="C1777" t="str">
            <v>Mahnomen, MN</v>
          </cell>
          <cell r="D1777">
            <v>0.09</v>
          </cell>
        </row>
        <row r="1778">
          <cell r="C1778" t="str">
            <v>Mahoning, OH</v>
          </cell>
          <cell r="D1778">
            <v>0.09</v>
          </cell>
        </row>
        <row r="1779">
          <cell r="C1779" t="str">
            <v>Major, OK</v>
          </cell>
          <cell r="D1779">
            <v>0.09</v>
          </cell>
        </row>
        <row r="1780">
          <cell r="C1780" t="str">
            <v>Malheur, OR</v>
          </cell>
          <cell r="D1780">
            <v>0.09</v>
          </cell>
        </row>
        <row r="1781">
          <cell r="C1781" t="str">
            <v>Manassas City, VA</v>
          </cell>
          <cell r="D1781">
            <v>6.0999999999999999E-2</v>
          </cell>
        </row>
        <row r="1782">
          <cell r="C1782" t="str">
            <v>Manassas Park City, VA</v>
          </cell>
          <cell r="D1782">
            <v>4.4999999999999998E-2</v>
          </cell>
        </row>
        <row r="1783">
          <cell r="C1783" t="str">
            <v>Manatee, FL</v>
          </cell>
          <cell r="D1783">
            <v>5.7000000000000002E-2</v>
          </cell>
        </row>
        <row r="1784">
          <cell r="C1784" t="str">
            <v>Manistee, MI</v>
          </cell>
          <cell r="D1784">
            <v>0.09</v>
          </cell>
        </row>
        <row r="1785">
          <cell r="C1785" t="str">
            <v>Manitowoc, WI</v>
          </cell>
          <cell r="D1785">
            <v>0.09</v>
          </cell>
        </row>
        <row r="1786">
          <cell r="C1786" t="str">
            <v>Marathon, WI</v>
          </cell>
          <cell r="D1786">
            <v>6.0999999999999999E-2</v>
          </cell>
        </row>
        <row r="1787">
          <cell r="C1787" t="str">
            <v>Marengo, AL</v>
          </cell>
          <cell r="D1787">
            <v>0.09</v>
          </cell>
        </row>
        <row r="1788">
          <cell r="C1788" t="str">
            <v>Maricopa, AZ</v>
          </cell>
          <cell r="D1788">
            <v>6.0999999999999999E-2</v>
          </cell>
        </row>
        <row r="1789">
          <cell r="C1789" t="str">
            <v>Maries, MO</v>
          </cell>
          <cell r="D1789">
            <v>0.09</v>
          </cell>
        </row>
        <row r="1790">
          <cell r="C1790" t="str">
            <v>Marin, CA</v>
          </cell>
          <cell r="D1790">
            <v>3.5000000000000003E-2</v>
          </cell>
        </row>
        <row r="1791">
          <cell r="C1791" t="str">
            <v>Marinette, WI</v>
          </cell>
          <cell r="D1791">
            <v>0.09</v>
          </cell>
        </row>
        <row r="1792">
          <cell r="C1792" t="str">
            <v>Marion, AL</v>
          </cell>
          <cell r="D1792">
            <v>0.09</v>
          </cell>
        </row>
        <row r="1793">
          <cell r="C1793" t="str">
            <v>Marion, AR</v>
          </cell>
          <cell r="D1793">
            <v>4.3999999999999997E-2</v>
          </cell>
        </row>
        <row r="1794">
          <cell r="C1794" t="str">
            <v>Marion, FL</v>
          </cell>
          <cell r="D1794">
            <v>4.3999999999999997E-2</v>
          </cell>
        </row>
        <row r="1795">
          <cell r="C1795" t="str">
            <v>Marion, GA</v>
          </cell>
          <cell r="D1795">
            <v>4.3999999999999997E-2</v>
          </cell>
        </row>
        <row r="1796">
          <cell r="C1796" t="str">
            <v>Marion, IA</v>
          </cell>
          <cell r="D1796">
            <v>0.09</v>
          </cell>
        </row>
        <row r="1797">
          <cell r="C1797" t="str">
            <v>Marion, IL</v>
          </cell>
          <cell r="D1797">
            <v>0.09</v>
          </cell>
        </row>
        <row r="1798">
          <cell r="C1798" t="str">
            <v>Marion, IN</v>
          </cell>
          <cell r="D1798">
            <v>6.0999999999999999E-2</v>
          </cell>
        </row>
        <row r="1799">
          <cell r="C1799" t="str">
            <v>Marion, KS</v>
          </cell>
          <cell r="D1799">
            <v>0.09</v>
          </cell>
        </row>
        <row r="1800">
          <cell r="C1800" t="str">
            <v>Marion, KY</v>
          </cell>
          <cell r="D1800">
            <v>0.09</v>
          </cell>
        </row>
        <row r="1801">
          <cell r="C1801" t="str">
            <v>Marion, MO</v>
          </cell>
          <cell r="D1801">
            <v>0.09</v>
          </cell>
        </row>
        <row r="1802">
          <cell r="C1802" t="str">
            <v>Marion, MS</v>
          </cell>
          <cell r="D1802">
            <v>5.7000000000000002E-2</v>
          </cell>
        </row>
        <row r="1803">
          <cell r="C1803" t="str">
            <v>Marion, OH</v>
          </cell>
          <cell r="D1803">
            <v>0.09</v>
          </cell>
        </row>
        <row r="1804">
          <cell r="C1804" t="str">
            <v>Marion, OR</v>
          </cell>
          <cell r="D1804">
            <v>5.7000000000000002E-2</v>
          </cell>
        </row>
        <row r="1805">
          <cell r="C1805" t="str">
            <v>Marion, SC</v>
          </cell>
          <cell r="D1805">
            <v>4.3999999999999997E-2</v>
          </cell>
        </row>
        <row r="1806">
          <cell r="C1806" t="str">
            <v>Marion, TN</v>
          </cell>
          <cell r="D1806">
            <v>0.09</v>
          </cell>
        </row>
        <row r="1807">
          <cell r="C1807" t="str">
            <v>Marion, TX</v>
          </cell>
          <cell r="D1807">
            <v>4.3999999999999997E-2</v>
          </cell>
        </row>
        <row r="1808">
          <cell r="C1808" t="str">
            <v>Marion, WV</v>
          </cell>
          <cell r="D1808">
            <v>0.09</v>
          </cell>
        </row>
        <row r="1809">
          <cell r="C1809" t="str">
            <v>Mariposa, CA</v>
          </cell>
          <cell r="D1809">
            <v>0.09</v>
          </cell>
        </row>
        <row r="1810">
          <cell r="C1810" t="str">
            <v>Marlboro, SC</v>
          </cell>
          <cell r="D1810">
            <v>4.3999999999999997E-2</v>
          </cell>
        </row>
        <row r="1811">
          <cell r="C1811" t="str">
            <v>Marquette, MI</v>
          </cell>
          <cell r="D1811">
            <v>0.09</v>
          </cell>
        </row>
        <row r="1812">
          <cell r="C1812" t="str">
            <v>Marquette, WI</v>
          </cell>
          <cell r="D1812">
            <v>0.09</v>
          </cell>
        </row>
        <row r="1813">
          <cell r="C1813" t="str">
            <v>Marshall, AL</v>
          </cell>
          <cell r="D1813">
            <v>0.09</v>
          </cell>
        </row>
        <row r="1814">
          <cell r="C1814" t="str">
            <v>Marshall, IA</v>
          </cell>
          <cell r="D1814">
            <v>0.09</v>
          </cell>
        </row>
        <row r="1815">
          <cell r="C1815" t="str">
            <v>Marshall, IL</v>
          </cell>
          <cell r="D1815">
            <v>0.09</v>
          </cell>
        </row>
        <row r="1816">
          <cell r="C1816" t="str">
            <v>Marshall, IN</v>
          </cell>
          <cell r="D1816">
            <v>0.09</v>
          </cell>
        </row>
        <row r="1817">
          <cell r="C1817" t="str">
            <v>Marshall, KS</v>
          </cell>
          <cell r="D1817">
            <v>0.09</v>
          </cell>
        </row>
        <row r="1818">
          <cell r="C1818" t="str">
            <v>Marshall, KY</v>
          </cell>
          <cell r="D1818">
            <v>0.09</v>
          </cell>
        </row>
        <row r="1819">
          <cell r="C1819" t="str">
            <v>Marshall, MN</v>
          </cell>
          <cell r="D1819">
            <v>0.09</v>
          </cell>
        </row>
        <row r="1820">
          <cell r="C1820" t="str">
            <v>Marshall, MS</v>
          </cell>
          <cell r="D1820">
            <v>4.3999999999999997E-2</v>
          </cell>
        </row>
        <row r="1821">
          <cell r="C1821" t="str">
            <v>Marshall, OK</v>
          </cell>
          <cell r="D1821">
            <v>0.09</v>
          </cell>
        </row>
        <row r="1822">
          <cell r="C1822" t="str">
            <v>Marshall, SD</v>
          </cell>
          <cell r="D1822">
            <v>4.3999999999999997E-2</v>
          </cell>
        </row>
        <row r="1823">
          <cell r="C1823" t="str">
            <v>Marshall, TN</v>
          </cell>
          <cell r="D1823">
            <v>0.09</v>
          </cell>
        </row>
        <row r="1824">
          <cell r="C1824" t="str">
            <v>Marshall, WV</v>
          </cell>
          <cell r="D1824">
            <v>0.09</v>
          </cell>
        </row>
        <row r="1825">
          <cell r="C1825" t="str">
            <v>Martin, FL</v>
          </cell>
          <cell r="D1825">
            <v>6.0999999999999999E-2</v>
          </cell>
        </row>
        <row r="1826">
          <cell r="C1826" t="str">
            <v>Martin, IN</v>
          </cell>
          <cell r="D1826">
            <v>0.09</v>
          </cell>
        </row>
        <row r="1827">
          <cell r="C1827" t="str">
            <v>Martin, KY</v>
          </cell>
          <cell r="D1827">
            <v>5.7000000000000002E-2</v>
          </cell>
        </row>
        <row r="1828">
          <cell r="C1828" t="str">
            <v>Martin, MN</v>
          </cell>
          <cell r="D1828">
            <v>0.09</v>
          </cell>
        </row>
        <row r="1829">
          <cell r="C1829" t="str">
            <v>Martin, NC</v>
          </cell>
          <cell r="D1829">
            <v>5.7000000000000002E-2</v>
          </cell>
        </row>
        <row r="1830">
          <cell r="C1830" t="str">
            <v>Martin, TX</v>
          </cell>
          <cell r="D1830">
            <v>4.3999999999999997E-2</v>
          </cell>
        </row>
        <row r="1831">
          <cell r="C1831" t="str">
            <v>Martinsville City, VA</v>
          </cell>
          <cell r="D1831">
            <v>4.4999999999999998E-2</v>
          </cell>
        </row>
        <row r="1832">
          <cell r="C1832" t="str">
            <v>Mason, IL</v>
          </cell>
          <cell r="D1832">
            <v>0.09</v>
          </cell>
        </row>
        <row r="1833">
          <cell r="C1833" t="str">
            <v>Mason, KY</v>
          </cell>
          <cell r="D1833">
            <v>0.09</v>
          </cell>
        </row>
        <row r="1834">
          <cell r="C1834" t="str">
            <v>Mason, MI</v>
          </cell>
          <cell r="D1834">
            <v>0.09</v>
          </cell>
        </row>
        <row r="1835">
          <cell r="C1835" t="str">
            <v>Mason, TX</v>
          </cell>
          <cell r="D1835">
            <v>4.3999999999999997E-2</v>
          </cell>
        </row>
        <row r="1836">
          <cell r="C1836" t="str">
            <v>Mason, WA</v>
          </cell>
          <cell r="D1836">
            <v>5.7000000000000002E-2</v>
          </cell>
        </row>
        <row r="1837">
          <cell r="C1837" t="str">
            <v>Mason, WV</v>
          </cell>
          <cell r="D1837">
            <v>0.09</v>
          </cell>
        </row>
        <row r="1838">
          <cell r="C1838" t="str">
            <v>Massac, IL</v>
          </cell>
          <cell r="D1838">
            <v>0.09</v>
          </cell>
        </row>
        <row r="1839">
          <cell r="C1839" t="str">
            <v>Matagorda, TX</v>
          </cell>
          <cell r="D1839">
            <v>4.3999999999999997E-2</v>
          </cell>
        </row>
        <row r="1840">
          <cell r="C1840" t="str">
            <v>Matanuska-Susitna, AK</v>
          </cell>
          <cell r="D1840">
            <v>0.09</v>
          </cell>
        </row>
        <row r="1841">
          <cell r="C1841" t="str">
            <v>Mathews, VA</v>
          </cell>
          <cell r="D1841">
            <v>6.0999999999999999E-2</v>
          </cell>
        </row>
        <row r="1842">
          <cell r="C1842" t="str">
            <v>Maui, HI</v>
          </cell>
          <cell r="D1842">
            <v>5.7000000000000002E-2</v>
          </cell>
        </row>
        <row r="1843">
          <cell r="C1843" t="str">
            <v>Maury, TN</v>
          </cell>
          <cell r="D1843">
            <v>0.09</v>
          </cell>
        </row>
        <row r="1844">
          <cell r="C1844" t="str">
            <v>Maverick, TX</v>
          </cell>
          <cell r="D1844">
            <v>4.3999999999999997E-2</v>
          </cell>
        </row>
        <row r="1845">
          <cell r="C1845" t="str">
            <v>Mayes, OK</v>
          </cell>
          <cell r="D1845">
            <v>0.09</v>
          </cell>
        </row>
        <row r="1846">
          <cell r="C1846" t="str">
            <v>Mc Cone, MT</v>
          </cell>
          <cell r="D1846">
            <v>0.09</v>
          </cell>
        </row>
        <row r="1847">
          <cell r="C1847" t="str">
            <v>Mc Dowell, NC</v>
          </cell>
          <cell r="D1847">
            <v>4.3999999999999997E-2</v>
          </cell>
        </row>
        <row r="1848">
          <cell r="C1848" t="str">
            <v>Mc Kean, PA</v>
          </cell>
          <cell r="D1848">
            <v>0.09</v>
          </cell>
        </row>
        <row r="1849">
          <cell r="C1849" t="str">
            <v>McClain, OK</v>
          </cell>
          <cell r="D1849">
            <v>0.09</v>
          </cell>
        </row>
        <row r="1850">
          <cell r="C1850" t="str">
            <v>McCook, SD</v>
          </cell>
          <cell r="D1850">
            <v>4.3999999999999997E-2</v>
          </cell>
        </row>
        <row r="1851">
          <cell r="C1851" t="str">
            <v>McCormick, SC</v>
          </cell>
          <cell r="D1851">
            <v>4.3999999999999997E-2</v>
          </cell>
        </row>
        <row r="1852">
          <cell r="C1852" t="str">
            <v>McCracken, KY</v>
          </cell>
          <cell r="D1852">
            <v>0.09</v>
          </cell>
        </row>
        <row r="1853">
          <cell r="C1853" t="str">
            <v>McCreary, KY</v>
          </cell>
          <cell r="D1853">
            <v>5.7000000000000002E-2</v>
          </cell>
        </row>
        <row r="1854">
          <cell r="C1854" t="str">
            <v>McCulloch, TX</v>
          </cell>
          <cell r="D1854">
            <v>4.3999999999999997E-2</v>
          </cell>
        </row>
        <row r="1855">
          <cell r="C1855" t="str">
            <v>McCurtain, OK</v>
          </cell>
          <cell r="D1855">
            <v>0.09</v>
          </cell>
        </row>
        <row r="1856">
          <cell r="C1856" t="str">
            <v>McDonald, MO</v>
          </cell>
          <cell r="D1856">
            <v>0.09</v>
          </cell>
        </row>
        <row r="1857">
          <cell r="C1857" t="str">
            <v>McDonough, IL</v>
          </cell>
          <cell r="D1857">
            <v>0.09</v>
          </cell>
        </row>
        <row r="1858">
          <cell r="C1858" t="str">
            <v>McDowell, WV</v>
          </cell>
          <cell r="D1858">
            <v>3.5000000000000003E-2</v>
          </cell>
        </row>
        <row r="1859">
          <cell r="C1859" t="str">
            <v>McDuffie, GA</v>
          </cell>
          <cell r="D1859">
            <v>4.3999999999999997E-2</v>
          </cell>
        </row>
        <row r="1860">
          <cell r="C1860" t="str">
            <v>McHenry, IL</v>
          </cell>
          <cell r="D1860">
            <v>6.0999999999999999E-2</v>
          </cell>
        </row>
        <row r="1861">
          <cell r="C1861" t="str">
            <v>McHenry, ND</v>
          </cell>
          <cell r="D1861">
            <v>0.09</v>
          </cell>
        </row>
        <row r="1862">
          <cell r="C1862" t="str">
            <v>McIntosh, GA</v>
          </cell>
          <cell r="D1862">
            <v>5.7000000000000002E-2</v>
          </cell>
        </row>
        <row r="1863">
          <cell r="C1863" t="str">
            <v>McIntosh, ND</v>
          </cell>
          <cell r="D1863">
            <v>0.09</v>
          </cell>
        </row>
        <row r="1864">
          <cell r="C1864" t="str">
            <v>McIntosh, OK</v>
          </cell>
          <cell r="D1864">
            <v>0.09</v>
          </cell>
        </row>
        <row r="1865">
          <cell r="C1865" t="str">
            <v>McKenzie, ND</v>
          </cell>
          <cell r="D1865">
            <v>0.09</v>
          </cell>
        </row>
        <row r="1866">
          <cell r="C1866" t="str">
            <v>McKinley, NM</v>
          </cell>
          <cell r="D1866">
            <v>5.7000000000000002E-2</v>
          </cell>
        </row>
        <row r="1867">
          <cell r="C1867" t="str">
            <v>McLean, IL</v>
          </cell>
          <cell r="D1867">
            <v>5.7000000000000002E-2</v>
          </cell>
        </row>
        <row r="1868">
          <cell r="C1868" t="str">
            <v>McLean, KY</v>
          </cell>
          <cell r="D1868">
            <v>0.09</v>
          </cell>
        </row>
        <row r="1869">
          <cell r="C1869" t="str">
            <v>McLean, ND</v>
          </cell>
          <cell r="D1869">
            <v>0.09</v>
          </cell>
        </row>
        <row r="1870">
          <cell r="C1870" t="str">
            <v>McLennan, TX</v>
          </cell>
          <cell r="D1870">
            <v>5.7000000000000002E-2</v>
          </cell>
        </row>
        <row r="1871">
          <cell r="C1871" t="str">
            <v>McLeod, MN</v>
          </cell>
          <cell r="D1871">
            <v>0.09</v>
          </cell>
        </row>
        <row r="1872">
          <cell r="C1872" t="str">
            <v>Mcminn, TN</v>
          </cell>
          <cell r="D1872">
            <v>0.09</v>
          </cell>
        </row>
        <row r="1873">
          <cell r="C1873" t="str">
            <v>McMullen, TX</v>
          </cell>
          <cell r="D1873">
            <v>4.3999999999999997E-2</v>
          </cell>
        </row>
        <row r="1874">
          <cell r="C1874" t="str">
            <v>McNairy, TN</v>
          </cell>
          <cell r="D1874">
            <v>0.09</v>
          </cell>
        </row>
        <row r="1875">
          <cell r="C1875" t="str">
            <v>McPherson, KS</v>
          </cell>
          <cell r="D1875">
            <v>0.09</v>
          </cell>
        </row>
        <row r="1876">
          <cell r="C1876" t="str">
            <v>McPherson, NE</v>
          </cell>
          <cell r="D1876">
            <v>0.09</v>
          </cell>
        </row>
        <row r="1877">
          <cell r="C1877" t="str">
            <v>McPherson, SD</v>
          </cell>
          <cell r="D1877">
            <v>4.3999999999999997E-2</v>
          </cell>
        </row>
        <row r="1878">
          <cell r="C1878" t="str">
            <v>Meade, KS</v>
          </cell>
          <cell r="D1878">
            <v>0.09</v>
          </cell>
        </row>
        <row r="1879">
          <cell r="C1879" t="str">
            <v>Meade, KY</v>
          </cell>
          <cell r="D1879">
            <v>0.09</v>
          </cell>
        </row>
        <row r="1880">
          <cell r="C1880" t="str">
            <v>Meade, SD</v>
          </cell>
          <cell r="D1880">
            <v>4.3999999999999997E-2</v>
          </cell>
        </row>
        <row r="1881">
          <cell r="C1881" t="str">
            <v>Meagher, MT</v>
          </cell>
          <cell r="D1881">
            <v>0.09</v>
          </cell>
        </row>
        <row r="1882">
          <cell r="C1882" t="str">
            <v>Mecklenburg, NC</v>
          </cell>
          <cell r="D1882">
            <v>6.0999999999999999E-2</v>
          </cell>
        </row>
        <row r="1883">
          <cell r="C1883" t="str">
            <v>Mecklenburg, VA</v>
          </cell>
          <cell r="D1883">
            <v>4.3999999999999997E-2</v>
          </cell>
        </row>
        <row r="1884">
          <cell r="C1884" t="str">
            <v>Mecosta, MI</v>
          </cell>
          <cell r="D1884">
            <v>0.09</v>
          </cell>
        </row>
        <row r="1885">
          <cell r="C1885" t="str">
            <v>Medina, OH</v>
          </cell>
          <cell r="D1885">
            <v>6.0999999999999999E-2</v>
          </cell>
        </row>
        <row r="1886">
          <cell r="C1886" t="str">
            <v>Medina, TX</v>
          </cell>
          <cell r="D1886">
            <v>4.3999999999999997E-2</v>
          </cell>
        </row>
        <row r="1887">
          <cell r="C1887" t="str">
            <v>Meeker, MN</v>
          </cell>
          <cell r="D1887">
            <v>0.09</v>
          </cell>
        </row>
        <row r="1888">
          <cell r="C1888" t="str">
            <v>Meigs, OH</v>
          </cell>
          <cell r="D1888">
            <v>0.09</v>
          </cell>
        </row>
        <row r="1889">
          <cell r="C1889" t="str">
            <v>Meigs, TN</v>
          </cell>
          <cell r="D1889">
            <v>0.09</v>
          </cell>
        </row>
        <row r="1890">
          <cell r="C1890" t="str">
            <v>Mellette, SD</v>
          </cell>
          <cell r="D1890">
            <v>4.3999999999999997E-2</v>
          </cell>
        </row>
        <row r="1891">
          <cell r="C1891" t="str">
            <v>Menard, IL</v>
          </cell>
          <cell r="D1891">
            <v>3.5000000000000003E-2</v>
          </cell>
        </row>
        <row r="1892">
          <cell r="C1892" t="str">
            <v>Menard, TX</v>
          </cell>
          <cell r="D1892">
            <v>4.3999999999999997E-2</v>
          </cell>
        </row>
        <row r="1893">
          <cell r="C1893" t="str">
            <v>Mendocino, CA</v>
          </cell>
          <cell r="D1893">
            <v>0.09</v>
          </cell>
        </row>
        <row r="1894">
          <cell r="C1894" t="str">
            <v>Menifee, KY</v>
          </cell>
          <cell r="D1894">
            <v>0.09</v>
          </cell>
        </row>
        <row r="1895">
          <cell r="C1895" t="str">
            <v>Menominee, MI</v>
          </cell>
          <cell r="D1895">
            <v>0.09</v>
          </cell>
        </row>
        <row r="1896">
          <cell r="C1896" t="str">
            <v>Menominee, WI</v>
          </cell>
          <cell r="D1896">
            <v>0.09</v>
          </cell>
        </row>
        <row r="1897">
          <cell r="C1897" t="str">
            <v>Merced, CA</v>
          </cell>
          <cell r="D1897">
            <v>3.5000000000000003E-2</v>
          </cell>
        </row>
        <row r="1898">
          <cell r="C1898" t="str">
            <v>Mercer, IL</v>
          </cell>
          <cell r="D1898">
            <v>0.09</v>
          </cell>
        </row>
        <row r="1899">
          <cell r="C1899" t="str">
            <v>Mercer, KY</v>
          </cell>
          <cell r="D1899">
            <v>0.09</v>
          </cell>
        </row>
        <row r="1900">
          <cell r="C1900" t="str">
            <v>Mercer, MO</v>
          </cell>
          <cell r="D1900">
            <v>0.09</v>
          </cell>
        </row>
        <row r="1901">
          <cell r="C1901" t="str">
            <v>Mercer, ND</v>
          </cell>
          <cell r="D1901">
            <v>0.09</v>
          </cell>
        </row>
        <row r="1902">
          <cell r="C1902" t="str">
            <v>Mercer, NJ</v>
          </cell>
          <cell r="D1902">
            <v>6.0999999999999999E-2</v>
          </cell>
        </row>
        <row r="1903">
          <cell r="C1903" t="str">
            <v>Mercer, OH</v>
          </cell>
          <cell r="D1903">
            <v>0.09</v>
          </cell>
        </row>
        <row r="1904">
          <cell r="C1904" t="str">
            <v>Mercer, PA</v>
          </cell>
          <cell r="D1904">
            <v>0.09</v>
          </cell>
        </row>
        <row r="1905">
          <cell r="C1905" t="str">
            <v>Mercer, WV</v>
          </cell>
          <cell r="D1905">
            <v>0.09</v>
          </cell>
        </row>
        <row r="1906">
          <cell r="C1906" t="str">
            <v>Meriwether, GA</v>
          </cell>
          <cell r="D1906">
            <v>4.3999999999999997E-2</v>
          </cell>
        </row>
        <row r="1907">
          <cell r="C1907" t="str">
            <v>Merrick, NE</v>
          </cell>
          <cell r="D1907">
            <v>0.09</v>
          </cell>
        </row>
        <row r="1908">
          <cell r="C1908" t="str">
            <v>Merrimack, NH</v>
          </cell>
          <cell r="D1908">
            <v>5.7000000000000002E-2</v>
          </cell>
        </row>
        <row r="1909">
          <cell r="C1909" t="str">
            <v>Mesa, CO</v>
          </cell>
          <cell r="D1909">
            <v>3.5000000000000003E-2</v>
          </cell>
        </row>
        <row r="1910">
          <cell r="C1910" t="str">
            <v>Metcalfe, KY</v>
          </cell>
          <cell r="D1910">
            <v>0.09</v>
          </cell>
        </row>
        <row r="1911">
          <cell r="C1911" t="str">
            <v>Miami, IN</v>
          </cell>
          <cell r="D1911">
            <v>0.09</v>
          </cell>
        </row>
        <row r="1912">
          <cell r="C1912" t="str">
            <v>Miami, KS</v>
          </cell>
          <cell r="D1912">
            <v>6.0999999999999999E-2</v>
          </cell>
        </row>
        <row r="1913">
          <cell r="C1913" t="str">
            <v>Miami, OH</v>
          </cell>
          <cell r="D1913">
            <v>6.0999999999999999E-2</v>
          </cell>
        </row>
        <row r="1914">
          <cell r="C1914" t="str">
            <v>Middlesex, CT</v>
          </cell>
          <cell r="D1914">
            <v>5.7000000000000002E-2</v>
          </cell>
        </row>
        <row r="1915">
          <cell r="C1915" t="str">
            <v>Middlesex, MA</v>
          </cell>
          <cell r="D1915">
            <v>4.4999999999999998E-2</v>
          </cell>
        </row>
        <row r="1916">
          <cell r="C1916" t="str">
            <v>Middlesex, NJ</v>
          </cell>
          <cell r="D1916">
            <v>6.0999999999999999E-2</v>
          </cell>
        </row>
        <row r="1917">
          <cell r="C1917" t="str">
            <v>Middlesex, VA</v>
          </cell>
          <cell r="D1917">
            <v>4.3999999999999997E-2</v>
          </cell>
        </row>
        <row r="1918">
          <cell r="C1918" t="str">
            <v>Midland, MI</v>
          </cell>
          <cell r="D1918">
            <v>0.09</v>
          </cell>
        </row>
        <row r="1919">
          <cell r="C1919" t="str">
            <v>Midland, TX</v>
          </cell>
          <cell r="D1919">
            <v>6.0999999999999999E-2</v>
          </cell>
        </row>
        <row r="1920">
          <cell r="C1920" t="str">
            <v>Mifflin, PA</v>
          </cell>
          <cell r="D1920">
            <v>0.09</v>
          </cell>
        </row>
        <row r="1921">
          <cell r="C1921" t="str">
            <v>Milam, TX</v>
          </cell>
          <cell r="D1921">
            <v>3.5000000000000003E-2</v>
          </cell>
        </row>
        <row r="1922">
          <cell r="C1922" t="str">
            <v>Millard, UT</v>
          </cell>
          <cell r="D1922">
            <v>4.3999999999999997E-2</v>
          </cell>
        </row>
        <row r="1923">
          <cell r="C1923" t="str">
            <v>Mille Lacs, MN</v>
          </cell>
          <cell r="D1923">
            <v>0.09</v>
          </cell>
        </row>
        <row r="1924">
          <cell r="C1924" t="str">
            <v>Miller, AR</v>
          </cell>
          <cell r="D1924">
            <v>4.3999999999999997E-2</v>
          </cell>
        </row>
        <row r="1925">
          <cell r="C1925" t="str">
            <v>Miller, GA</v>
          </cell>
          <cell r="D1925">
            <v>4.3999999999999997E-2</v>
          </cell>
        </row>
        <row r="1926">
          <cell r="C1926" t="str">
            <v>Miller, MO</v>
          </cell>
          <cell r="D1926">
            <v>0.09</v>
          </cell>
        </row>
        <row r="1927">
          <cell r="C1927" t="str">
            <v>Mills, IA</v>
          </cell>
          <cell r="D1927">
            <v>0.09</v>
          </cell>
        </row>
        <row r="1928">
          <cell r="C1928" t="str">
            <v>Mills, TX</v>
          </cell>
          <cell r="D1928">
            <v>3.5000000000000003E-2</v>
          </cell>
        </row>
        <row r="1929">
          <cell r="C1929" t="str">
            <v>Milwaukee, WI</v>
          </cell>
          <cell r="D1929">
            <v>4.4999999999999998E-2</v>
          </cell>
        </row>
        <row r="1930">
          <cell r="C1930" t="str">
            <v>Miner, SD</v>
          </cell>
          <cell r="D1930">
            <v>4.3999999999999997E-2</v>
          </cell>
        </row>
        <row r="1931">
          <cell r="C1931" t="str">
            <v>Mineral, CO</v>
          </cell>
          <cell r="D1931">
            <v>3.5000000000000003E-2</v>
          </cell>
        </row>
        <row r="1932">
          <cell r="C1932" t="str">
            <v>Mineral, MT</v>
          </cell>
          <cell r="D1932">
            <v>0.09</v>
          </cell>
        </row>
        <row r="1933">
          <cell r="C1933" t="str">
            <v>Mineral, NV</v>
          </cell>
          <cell r="D1933">
            <v>0.09</v>
          </cell>
        </row>
        <row r="1934">
          <cell r="C1934" t="str">
            <v>Mineral, WV</v>
          </cell>
          <cell r="D1934">
            <v>0.09</v>
          </cell>
        </row>
        <row r="1935">
          <cell r="C1935" t="str">
            <v>Mingo, WV</v>
          </cell>
          <cell r="D1935">
            <v>0.09</v>
          </cell>
        </row>
        <row r="1936">
          <cell r="C1936" t="str">
            <v>Minidoka, ID</v>
          </cell>
          <cell r="D1936">
            <v>4.3999999999999997E-2</v>
          </cell>
        </row>
        <row r="1937">
          <cell r="C1937" t="str">
            <v>Minnehaha, SD</v>
          </cell>
          <cell r="D1937">
            <v>6.0999999999999999E-2</v>
          </cell>
        </row>
        <row r="1938">
          <cell r="C1938" t="str">
            <v>Missaukee, MI</v>
          </cell>
          <cell r="D1938">
            <v>0.09</v>
          </cell>
        </row>
        <row r="1939">
          <cell r="C1939" t="str">
            <v>Mississippi, AR</v>
          </cell>
          <cell r="D1939">
            <v>4.3999999999999997E-2</v>
          </cell>
        </row>
        <row r="1940">
          <cell r="C1940" t="str">
            <v>Mississippi, MO</v>
          </cell>
          <cell r="D1940" t="str">
            <v xml:space="preserve"> </v>
          </cell>
        </row>
        <row r="1941">
          <cell r="C1941" t="str">
            <v>Missoula, MT</v>
          </cell>
          <cell r="D1941">
            <v>0.09</v>
          </cell>
        </row>
        <row r="1942">
          <cell r="C1942" t="str">
            <v>Mitchell, GA</v>
          </cell>
          <cell r="D1942">
            <v>4.3999999999999997E-2</v>
          </cell>
        </row>
        <row r="1943">
          <cell r="C1943" t="str">
            <v>Mitchell, IA</v>
          </cell>
          <cell r="D1943">
            <v>0.09</v>
          </cell>
        </row>
        <row r="1944">
          <cell r="C1944" t="str">
            <v>Mitchell, KS</v>
          </cell>
          <cell r="D1944">
            <v>0.09</v>
          </cell>
        </row>
        <row r="1945">
          <cell r="C1945" t="str">
            <v>Mitchell, NC</v>
          </cell>
          <cell r="D1945">
            <v>4.3999999999999997E-2</v>
          </cell>
        </row>
        <row r="1946">
          <cell r="C1946" t="str">
            <v>Mitchell, TX</v>
          </cell>
          <cell r="D1946">
            <v>4.3999999999999997E-2</v>
          </cell>
        </row>
        <row r="1947">
          <cell r="C1947" t="str">
            <v>Mobile, AL</v>
          </cell>
          <cell r="D1947">
            <v>0.09</v>
          </cell>
        </row>
        <row r="1948">
          <cell r="C1948" t="str">
            <v>Modoc, CA</v>
          </cell>
          <cell r="D1948">
            <v>0.09</v>
          </cell>
        </row>
        <row r="1949">
          <cell r="C1949" t="str">
            <v>Moffat, CO</v>
          </cell>
          <cell r="D1949">
            <v>4.3999999999999997E-2</v>
          </cell>
        </row>
        <row r="1950">
          <cell r="C1950" t="str">
            <v>Mohave, AZ</v>
          </cell>
          <cell r="D1950">
            <v>6.0999999999999999E-2</v>
          </cell>
        </row>
        <row r="1951">
          <cell r="C1951" t="str">
            <v>Moniteau, MO</v>
          </cell>
          <cell r="D1951">
            <v>0.09</v>
          </cell>
        </row>
        <row r="1952">
          <cell r="C1952" t="str">
            <v>Monmouth, NJ</v>
          </cell>
          <cell r="D1952">
            <v>6.0999999999999999E-2</v>
          </cell>
        </row>
        <row r="1953">
          <cell r="C1953" t="str">
            <v>Mono, CA</v>
          </cell>
          <cell r="D1953">
            <v>0.09</v>
          </cell>
        </row>
        <row r="1954">
          <cell r="C1954" t="str">
            <v>Monona, IA</v>
          </cell>
          <cell r="D1954">
            <v>0.09</v>
          </cell>
        </row>
        <row r="1955">
          <cell r="C1955" t="str">
            <v>Monongalia, WV</v>
          </cell>
          <cell r="D1955">
            <v>0.09</v>
          </cell>
        </row>
        <row r="1956">
          <cell r="C1956" t="str">
            <v>Monroe, AL</v>
          </cell>
          <cell r="D1956">
            <v>0.09</v>
          </cell>
        </row>
        <row r="1957">
          <cell r="C1957" t="str">
            <v>Monroe, AR</v>
          </cell>
          <cell r="D1957">
            <v>5.7000000000000002E-2</v>
          </cell>
        </row>
        <row r="1958">
          <cell r="C1958" t="str">
            <v>Monroe, FL</v>
          </cell>
          <cell r="D1958">
            <v>6.0999999999999999E-2</v>
          </cell>
        </row>
        <row r="1959">
          <cell r="C1959" t="str">
            <v>Monroe, GA</v>
          </cell>
          <cell r="D1959">
            <v>4.3999999999999997E-2</v>
          </cell>
        </row>
        <row r="1960">
          <cell r="C1960" t="str">
            <v>Monroe, IA</v>
          </cell>
          <cell r="D1960">
            <v>0.09</v>
          </cell>
        </row>
        <row r="1961">
          <cell r="C1961" t="str">
            <v>Monroe, IL</v>
          </cell>
          <cell r="D1961">
            <v>6.0999999999999999E-2</v>
          </cell>
        </row>
        <row r="1962">
          <cell r="C1962" t="str">
            <v>Monroe, IN</v>
          </cell>
          <cell r="D1962">
            <v>0.09</v>
          </cell>
        </row>
        <row r="1963">
          <cell r="C1963" t="str">
            <v>Monroe, KY</v>
          </cell>
          <cell r="D1963">
            <v>0.09</v>
          </cell>
        </row>
        <row r="1964">
          <cell r="C1964" t="str">
            <v>Monroe, MI</v>
          </cell>
          <cell r="D1964">
            <v>6.0999999999999999E-2</v>
          </cell>
        </row>
        <row r="1965">
          <cell r="C1965" t="str">
            <v>Monroe, MO</v>
          </cell>
          <cell r="D1965">
            <v>0.09</v>
          </cell>
        </row>
        <row r="1966">
          <cell r="C1966" t="str">
            <v>Monroe, MS</v>
          </cell>
          <cell r="D1966">
            <v>4.3999999999999997E-2</v>
          </cell>
        </row>
        <row r="1967">
          <cell r="C1967" t="str">
            <v>Monroe, NY</v>
          </cell>
          <cell r="D1967">
            <v>3.5000000000000003E-2</v>
          </cell>
        </row>
        <row r="1968">
          <cell r="C1968" t="str">
            <v>Monroe, OH</v>
          </cell>
          <cell r="D1968">
            <v>0.09</v>
          </cell>
        </row>
        <row r="1969">
          <cell r="C1969" t="str">
            <v>Monroe, PA</v>
          </cell>
          <cell r="D1969">
            <v>0.09</v>
          </cell>
        </row>
        <row r="1970">
          <cell r="C1970" t="str">
            <v>Monroe, TN</v>
          </cell>
          <cell r="D1970">
            <v>0.09</v>
          </cell>
        </row>
        <row r="1971">
          <cell r="C1971" t="str">
            <v>Monroe, WI</v>
          </cell>
          <cell r="D1971">
            <v>0.09</v>
          </cell>
        </row>
        <row r="1972">
          <cell r="C1972" t="str">
            <v>Monroe, WV</v>
          </cell>
          <cell r="D1972">
            <v>0.09</v>
          </cell>
        </row>
        <row r="1973">
          <cell r="C1973" t="str">
            <v>Montague, TX</v>
          </cell>
          <cell r="D1973">
            <v>4.3999999999999997E-2</v>
          </cell>
        </row>
        <row r="1974">
          <cell r="C1974" t="str">
            <v>Montcalm, MI</v>
          </cell>
          <cell r="D1974">
            <v>0.09</v>
          </cell>
        </row>
        <row r="1975">
          <cell r="C1975" t="str">
            <v>Monterey, CA</v>
          </cell>
          <cell r="D1975">
            <v>6.0999999999999999E-2</v>
          </cell>
        </row>
        <row r="1976">
          <cell r="C1976" t="str">
            <v>Montezuma, CO</v>
          </cell>
          <cell r="D1976">
            <v>4.3999999999999997E-2</v>
          </cell>
        </row>
        <row r="1977">
          <cell r="C1977" t="str">
            <v>Montgomery, AL</v>
          </cell>
          <cell r="D1977">
            <v>0.09</v>
          </cell>
        </row>
        <row r="1978">
          <cell r="C1978" t="str">
            <v>Montgomery, AR</v>
          </cell>
          <cell r="D1978">
            <v>4.3999999999999997E-2</v>
          </cell>
        </row>
        <row r="1979">
          <cell r="C1979" t="str">
            <v>Montgomery, GA</v>
          </cell>
          <cell r="D1979">
            <v>4.3999999999999997E-2</v>
          </cell>
        </row>
        <row r="1980">
          <cell r="C1980" t="str">
            <v>Montgomery, IA</v>
          </cell>
          <cell r="D1980">
            <v>0.09</v>
          </cell>
        </row>
        <row r="1981">
          <cell r="C1981" t="str">
            <v>Montgomery, IL</v>
          </cell>
          <cell r="D1981">
            <v>0.09</v>
          </cell>
        </row>
        <row r="1982">
          <cell r="C1982" t="str">
            <v>Montgomery, IN</v>
          </cell>
          <cell r="D1982">
            <v>0.09</v>
          </cell>
        </row>
        <row r="1983">
          <cell r="C1983" t="str">
            <v>Montgomery, KS</v>
          </cell>
          <cell r="D1983">
            <v>0.09</v>
          </cell>
        </row>
        <row r="1984">
          <cell r="C1984" t="str">
            <v>Montgomery, KY</v>
          </cell>
          <cell r="D1984">
            <v>0.09</v>
          </cell>
        </row>
        <row r="1985">
          <cell r="C1985" t="str">
            <v>Montgomery, MD</v>
          </cell>
          <cell r="D1985">
            <v>6.0999999999999999E-2</v>
          </cell>
        </row>
        <row r="1986">
          <cell r="C1986" t="str">
            <v>Montgomery, MO</v>
          </cell>
          <cell r="D1986">
            <v>0.09</v>
          </cell>
        </row>
        <row r="1987">
          <cell r="C1987" t="str">
            <v>Montgomery, MS</v>
          </cell>
          <cell r="D1987">
            <v>5.7000000000000002E-2</v>
          </cell>
        </row>
        <row r="1988">
          <cell r="C1988" t="str">
            <v>Montgomery, NC</v>
          </cell>
          <cell r="D1988">
            <v>4.3999999999999997E-2</v>
          </cell>
        </row>
        <row r="1989">
          <cell r="C1989" t="str">
            <v>Montgomery, NY</v>
          </cell>
          <cell r="D1989">
            <v>3.5000000000000003E-2</v>
          </cell>
        </row>
        <row r="1990">
          <cell r="C1990" t="str">
            <v>Montgomery, OH</v>
          </cell>
          <cell r="D1990">
            <v>3.5000000000000003E-2</v>
          </cell>
        </row>
        <row r="1991">
          <cell r="C1991" t="str">
            <v>Montgomery, PA</v>
          </cell>
          <cell r="D1991">
            <v>6.0999999999999999E-2</v>
          </cell>
        </row>
        <row r="1992">
          <cell r="C1992" t="str">
            <v>Montgomery, TN</v>
          </cell>
          <cell r="D1992">
            <v>0.09</v>
          </cell>
        </row>
        <row r="1993">
          <cell r="C1993" t="str">
            <v>Montgomery, TX</v>
          </cell>
          <cell r="D1993">
            <v>6.0999999999999999E-2</v>
          </cell>
        </row>
        <row r="1994">
          <cell r="C1994" t="str">
            <v>Montgomery, VA</v>
          </cell>
          <cell r="D1994">
            <v>4.3999999999999997E-2</v>
          </cell>
        </row>
        <row r="1995">
          <cell r="C1995" t="str">
            <v>Montmorency, MI</v>
          </cell>
          <cell r="D1995">
            <v>0.09</v>
          </cell>
        </row>
        <row r="1996">
          <cell r="C1996" t="str">
            <v>Montour, PA</v>
          </cell>
          <cell r="D1996">
            <v>3.5000000000000003E-2</v>
          </cell>
        </row>
        <row r="1997">
          <cell r="C1997" t="str">
            <v>Montrose, CO</v>
          </cell>
          <cell r="D1997">
            <v>4.3999999999999997E-2</v>
          </cell>
        </row>
        <row r="1998">
          <cell r="C1998" t="str">
            <v>Moody, SD</v>
          </cell>
          <cell r="D1998">
            <v>4.3999999999999997E-2</v>
          </cell>
        </row>
        <row r="1999">
          <cell r="C1999" t="str">
            <v>Moore, NC</v>
          </cell>
          <cell r="D1999">
            <v>4.3999999999999997E-2</v>
          </cell>
        </row>
        <row r="2000">
          <cell r="C2000" t="str">
            <v>Moore, TN</v>
          </cell>
          <cell r="D2000">
            <v>0.09</v>
          </cell>
        </row>
        <row r="2001">
          <cell r="C2001" t="str">
            <v>Moore, TX</v>
          </cell>
          <cell r="D2001">
            <v>4.3999999999999997E-2</v>
          </cell>
        </row>
        <row r="2002">
          <cell r="C2002" t="str">
            <v>Mora, NM</v>
          </cell>
          <cell r="D2002">
            <v>5.7000000000000002E-2</v>
          </cell>
        </row>
        <row r="2003">
          <cell r="C2003" t="str">
            <v>Morehouse, LA</v>
          </cell>
          <cell r="D2003">
            <v>5.7000000000000002E-2</v>
          </cell>
        </row>
        <row r="2004">
          <cell r="C2004" t="str">
            <v>Morgan, AL</v>
          </cell>
          <cell r="D2004">
            <v>0.09</v>
          </cell>
        </row>
        <row r="2005">
          <cell r="C2005" t="str">
            <v>Morgan, CO</v>
          </cell>
          <cell r="D2005">
            <v>4.3999999999999997E-2</v>
          </cell>
        </row>
        <row r="2006">
          <cell r="C2006" t="str">
            <v>Morgan, GA</v>
          </cell>
          <cell r="D2006">
            <v>4.3999999999999997E-2</v>
          </cell>
        </row>
        <row r="2007">
          <cell r="C2007" t="str">
            <v>Morgan, IL</v>
          </cell>
          <cell r="D2007">
            <v>0.09</v>
          </cell>
        </row>
        <row r="2008">
          <cell r="C2008" t="str">
            <v>Morgan, IN</v>
          </cell>
          <cell r="D2008">
            <v>6.0999999999999999E-2</v>
          </cell>
        </row>
        <row r="2009">
          <cell r="C2009" t="str">
            <v>Morgan, KY</v>
          </cell>
          <cell r="D2009">
            <v>0.09</v>
          </cell>
        </row>
        <row r="2010">
          <cell r="C2010" t="str">
            <v>Morgan, MO</v>
          </cell>
          <cell r="D2010">
            <v>0.09</v>
          </cell>
        </row>
        <row r="2011">
          <cell r="C2011" t="str">
            <v>Morgan, OH</v>
          </cell>
          <cell r="D2011">
            <v>0.09</v>
          </cell>
        </row>
        <row r="2012">
          <cell r="C2012" t="str">
            <v>Morgan, TN</v>
          </cell>
          <cell r="D2012">
            <v>0.09</v>
          </cell>
        </row>
        <row r="2013">
          <cell r="C2013" t="str">
            <v>Morgan, UT</v>
          </cell>
          <cell r="D2013">
            <v>4.3999999999999997E-2</v>
          </cell>
        </row>
        <row r="2014">
          <cell r="C2014" t="str">
            <v>Morgan, WV</v>
          </cell>
          <cell r="D2014">
            <v>0.09</v>
          </cell>
        </row>
        <row r="2015">
          <cell r="C2015" t="str">
            <v>Morrill, NE</v>
          </cell>
          <cell r="D2015">
            <v>0.09</v>
          </cell>
        </row>
        <row r="2016">
          <cell r="C2016" t="str">
            <v>Morris, KS</v>
          </cell>
          <cell r="D2016">
            <v>0.09</v>
          </cell>
        </row>
        <row r="2017">
          <cell r="C2017" t="str">
            <v>Morris, NJ</v>
          </cell>
          <cell r="D2017">
            <v>6.0999999999999999E-2</v>
          </cell>
        </row>
        <row r="2018">
          <cell r="C2018" t="str">
            <v>Morris, TX</v>
          </cell>
          <cell r="D2018">
            <v>4.3999999999999997E-2</v>
          </cell>
        </row>
        <row r="2019">
          <cell r="C2019" t="str">
            <v>Morrison, MN</v>
          </cell>
          <cell r="D2019">
            <v>0.09</v>
          </cell>
        </row>
        <row r="2020">
          <cell r="C2020" t="str">
            <v>Morrow, OH</v>
          </cell>
          <cell r="D2020">
            <v>0.09</v>
          </cell>
        </row>
        <row r="2021">
          <cell r="C2021" t="str">
            <v>Morrow, OR</v>
          </cell>
          <cell r="D2021">
            <v>0.09</v>
          </cell>
        </row>
        <row r="2022">
          <cell r="C2022" t="str">
            <v>Morton, KS</v>
          </cell>
          <cell r="D2022">
            <v>0.09</v>
          </cell>
        </row>
        <row r="2023">
          <cell r="C2023" t="str">
            <v>Morton, ND</v>
          </cell>
          <cell r="D2023">
            <v>0.09</v>
          </cell>
        </row>
        <row r="2024">
          <cell r="C2024" t="str">
            <v>Motley, TX</v>
          </cell>
          <cell r="D2024">
            <v>4.3999999999999997E-2</v>
          </cell>
        </row>
        <row r="2025">
          <cell r="C2025" t="str">
            <v>Moultrie, IL</v>
          </cell>
          <cell r="D2025">
            <v>0.09</v>
          </cell>
        </row>
        <row r="2026">
          <cell r="C2026" t="str">
            <v>Mountrail, ND</v>
          </cell>
          <cell r="D2026">
            <v>0.09</v>
          </cell>
        </row>
        <row r="2027">
          <cell r="C2027" t="str">
            <v>Mower, MN</v>
          </cell>
          <cell r="D2027">
            <v>0.09</v>
          </cell>
        </row>
        <row r="2028">
          <cell r="C2028" t="str">
            <v>Muhlenberg, KY</v>
          </cell>
          <cell r="D2028">
            <v>0.09</v>
          </cell>
        </row>
        <row r="2029">
          <cell r="C2029" t="str">
            <v>Multnomah, OR</v>
          </cell>
          <cell r="D2029">
            <v>4.4999999999999998E-2</v>
          </cell>
        </row>
        <row r="2030">
          <cell r="C2030" t="str">
            <v>Murray, GA</v>
          </cell>
          <cell r="D2030">
            <v>4.3999999999999997E-2</v>
          </cell>
        </row>
        <row r="2031">
          <cell r="C2031" t="str">
            <v>Murray, MN</v>
          </cell>
          <cell r="D2031">
            <v>0.09</v>
          </cell>
        </row>
        <row r="2032">
          <cell r="C2032" t="str">
            <v>Murray, OK</v>
          </cell>
          <cell r="D2032">
            <v>0.09</v>
          </cell>
        </row>
        <row r="2033">
          <cell r="C2033" t="str">
            <v>Muscatine, IA</v>
          </cell>
          <cell r="D2033">
            <v>0.09</v>
          </cell>
        </row>
        <row r="2034">
          <cell r="C2034" t="str">
            <v>Muscogee, GA</v>
          </cell>
          <cell r="D2034">
            <v>4.3999999999999997E-2</v>
          </cell>
        </row>
        <row r="2035">
          <cell r="C2035" t="str">
            <v>Muskegon, MI</v>
          </cell>
          <cell r="D2035">
            <v>6.0999999999999999E-2</v>
          </cell>
        </row>
        <row r="2036">
          <cell r="C2036" t="str">
            <v>Muskingum, OH</v>
          </cell>
          <cell r="D2036">
            <v>0.09</v>
          </cell>
        </row>
        <row r="2037">
          <cell r="C2037" t="str">
            <v>Muskogee, OK</v>
          </cell>
          <cell r="D2037">
            <v>0.09</v>
          </cell>
        </row>
        <row r="2038">
          <cell r="C2038" t="str">
            <v>Musselshell, MT</v>
          </cell>
          <cell r="D2038">
            <v>0.09</v>
          </cell>
        </row>
        <row r="2039">
          <cell r="C2039" t="str">
            <v>Nacogdoches, TX</v>
          </cell>
          <cell r="D2039">
            <v>4.3999999999999997E-2</v>
          </cell>
        </row>
        <row r="2040">
          <cell r="C2040" t="str">
            <v>Nance, NE</v>
          </cell>
          <cell r="D2040">
            <v>0.09</v>
          </cell>
        </row>
        <row r="2041">
          <cell r="C2041" t="str">
            <v>Nantucket, MA</v>
          </cell>
          <cell r="D2041">
            <v>6.0999999999999999E-2</v>
          </cell>
        </row>
        <row r="2042">
          <cell r="C2042" t="str">
            <v>Napa, CA</v>
          </cell>
          <cell r="D2042">
            <v>3.5000000000000003E-2</v>
          </cell>
        </row>
        <row r="2043">
          <cell r="C2043" t="str">
            <v>Nash, NC</v>
          </cell>
          <cell r="D2043">
            <v>4.3999999999999997E-2</v>
          </cell>
        </row>
        <row r="2044">
          <cell r="C2044" t="str">
            <v>Nassau, FL</v>
          </cell>
          <cell r="D2044">
            <v>5.7000000000000002E-2</v>
          </cell>
        </row>
        <row r="2045">
          <cell r="C2045" t="str">
            <v>Nassau, NY</v>
          </cell>
          <cell r="D2045">
            <v>6.0999999999999999E-2</v>
          </cell>
        </row>
        <row r="2046">
          <cell r="C2046" t="str">
            <v>Natchitoches, LA</v>
          </cell>
          <cell r="D2046">
            <v>0.09</v>
          </cell>
        </row>
        <row r="2047">
          <cell r="C2047" t="str">
            <v>Natrona, WY</v>
          </cell>
          <cell r="D2047">
            <v>6.0999999999999999E-2</v>
          </cell>
        </row>
        <row r="2048">
          <cell r="C2048" t="str">
            <v>Navajo, AZ</v>
          </cell>
          <cell r="D2048">
            <v>4.3999999999999997E-2</v>
          </cell>
        </row>
        <row r="2049">
          <cell r="C2049" t="str">
            <v>Navarro, TX</v>
          </cell>
          <cell r="D2049">
            <v>4.3999999999999997E-2</v>
          </cell>
        </row>
        <row r="2050">
          <cell r="C2050" t="str">
            <v>Nelson, KY</v>
          </cell>
          <cell r="D2050">
            <v>0.09</v>
          </cell>
        </row>
        <row r="2051">
          <cell r="C2051" t="str">
            <v>Nelson, ND</v>
          </cell>
          <cell r="D2051">
            <v>0.09</v>
          </cell>
        </row>
        <row r="2052">
          <cell r="C2052" t="str">
            <v>Nelson, VA</v>
          </cell>
          <cell r="D2052">
            <v>4.3999999999999997E-2</v>
          </cell>
        </row>
        <row r="2053">
          <cell r="C2053" t="str">
            <v>Nemaha, KS</v>
          </cell>
          <cell r="D2053">
            <v>0.09</v>
          </cell>
        </row>
        <row r="2054">
          <cell r="C2054" t="str">
            <v>Nemaha, NE</v>
          </cell>
          <cell r="D2054">
            <v>0.09</v>
          </cell>
        </row>
        <row r="2055">
          <cell r="C2055" t="str">
            <v>Neosho, KS</v>
          </cell>
          <cell r="D2055">
            <v>0.09</v>
          </cell>
        </row>
        <row r="2056">
          <cell r="C2056" t="str">
            <v>Neshoba, MS</v>
          </cell>
          <cell r="D2056">
            <v>4.3999999999999997E-2</v>
          </cell>
        </row>
        <row r="2057">
          <cell r="C2057" t="str">
            <v>Ness, KS</v>
          </cell>
          <cell r="D2057">
            <v>0.09</v>
          </cell>
        </row>
        <row r="2058">
          <cell r="C2058" t="str">
            <v>Nevada, AR</v>
          </cell>
          <cell r="D2058">
            <v>5.7000000000000002E-2</v>
          </cell>
        </row>
        <row r="2059">
          <cell r="C2059" t="str">
            <v>Nevada, CA</v>
          </cell>
          <cell r="D2059">
            <v>5.7000000000000002E-2</v>
          </cell>
        </row>
        <row r="2060">
          <cell r="C2060" t="str">
            <v>New Castle, DE</v>
          </cell>
          <cell r="D2060">
            <v>6.0999999999999999E-2</v>
          </cell>
        </row>
        <row r="2061">
          <cell r="C2061" t="str">
            <v>New Hanover, NC</v>
          </cell>
          <cell r="D2061">
            <v>4.3999999999999997E-2</v>
          </cell>
        </row>
        <row r="2062">
          <cell r="C2062" t="str">
            <v>New Haven, CT</v>
          </cell>
          <cell r="D2062">
            <v>3.5000000000000003E-2</v>
          </cell>
        </row>
        <row r="2063">
          <cell r="C2063" t="str">
            <v>New Kent, VA</v>
          </cell>
          <cell r="D2063">
            <v>6.0999999999999999E-2</v>
          </cell>
        </row>
        <row r="2064">
          <cell r="C2064" t="str">
            <v>New London, CT</v>
          </cell>
          <cell r="D2064">
            <v>0.09</v>
          </cell>
        </row>
        <row r="2065">
          <cell r="C2065" t="str">
            <v>New Madrid, MO</v>
          </cell>
          <cell r="D2065">
            <v>0.09</v>
          </cell>
        </row>
        <row r="2066">
          <cell r="C2066" t="str">
            <v>New York, NY</v>
          </cell>
          <cell r="D2066">
            <v>4.4999999999999998E-2</v>
          </cell>
        </row>
        <row r="2067">
          <cell r="C2067" t="str">
            <v>Newaygo, MI</v>
          </cell>
          <cell r="D2067">
            <v>0.09</v>
          </cell>
        </row>
        <row r="2068">
          <cell r="C2068" t="str">
            <v>Newberry, SC</v>
          </cell>
          <cell r="D2068">
            <v>4.3999999999999997E-2</v>
          </cell>
        </row>
        <row r="2069">
          <cell r="C2069" t="str">
            <v>Newport, RI</v>
          </cell>
          <cell r="D2069">
            <v>0.09</v>
          </cell>
        </row>
        <row r="2070">
          <cell r="C2070" t="str">
            <v>Newport News City, VA</v>
          </cell>
          <cell r="D2070">
            <v>6.0999999999999999E-2</v>
          </cell>
        </row>
        <row r="2071">
          <cell r="C2071" t="str">
            <v>Newton, AR</v>
          </cell>
          <cell r="D2071">
            <v>4.3999999999999997E-2</v>
          </cell>
        </row>
        <row r="2072">
          <cell r="C2072" t="str">
            <v>Newton, GA</v>
          </cell>
          <cell r="D2072">
            <v>6.0999999999999999E-2</v>
          </cell>
        </row>
        <row r="2073">
          <cell r="C2073" t="str">
            <v>Newton, IN</v>
          </cell>
          <cell r="D2073">
            <v>0.09</v>
          </cell>
        </row>
        <row r="2074">
          <cell r="C2074" t="str">
            <v>Newton, MO</v>
          </cell>
          <cell r="D2074">
            <v>0.09</v>
          </cell>
        </row>
        <row r="2075">
          <cell r="C2075" t="str">
            <v>Newton, MS</v>
          </cell>
          <cell r="D2075">
            <v>4.3999999999999997E-2</v>
          </cell>
        </row>
        <row r="2076">
          <cell r="C2076" t="str">
            <v>Newton, TX</v>
          </cell>
          <cell r="D2076">
            <v>4.3999999999999997E-2</v>
          </cell>
        </row>
        <row r="2077">
          <cell r="C2077" t="str">
            <v>Nez Perce, ID</v>
          </cell>
          <cell r="D2077">
            <v>4.3999999999999997E-2</v>
          </cell>
        </row>
        <row r="2078">
          <cell r="C2078" t="str">
            <v>Niagara, NY</v>
          </cell>
          <cell r="D2078">
            <v>3.5000000000000003E-2</v>
          </cell>
        </row>
        <row r="2079">
          <cell r="C2079" t="str">
            <v>Nicholas, KY</v>
          </cell>
          <cell r="D2079">
            <v>0.09</v>
          </cell>
        </row>
        <row r="2080">
          <cell r="C2080" t="str">
            <v>Nicholas, WV</v>
          </cell>
          <cell r="D2080">
            <v>0.09</v>
          </cell>
        </row>
        <row r="2081">
          <cell r="C2081" t="str">
            <v>Nicollet, MN</v>
          </cell>
          <cell r="D2081">
            <v>0.09</v>
          </cell>
        </row>
        <row r="2082">
          <cell r="C2082" t="str">
            <v>Niobrara, WY</v>
          </cell>
          <cell r="D2082">
            <v>0.09</v>
          </cell>
        </row>
        <row r="2083">
          <cell r="C2083" t="str">
            <v>Noble, IN</v>
          </cell>
          <cell r="D2083">
            <v>0.09</v>
          </cell>
        </row>
        <row r="2084">
          <cell r="C2084" t="str">
            <v>Noble, OH</v>
          </cell>
          <cell r="D2084">
            <v>0.09</v>
          </cell>
        </row>
        <row r="2085">
          <cell r="C2085" t="str">
            <v>Noble, OK</v>
          </cell>
          <cell r="D2085">
            <v>0.09</v>
          </cell>
        </row>
        <row r="2086">
          <cell r="C2086" t="str">
            <v>Nobles, MN</v>
          </cell>
          <cell r="D2086">
            <v>0.09</v>
          </cell>
        </row>
        <row r="2087">
          <cell r="C2087" t="str">
            <v>Nodaway, MO</v>
          </cell>
          <cell r="D2087">
            <v>0.09</v>
          </cell>
        </row>
        <row r="2088">
          <cell r="C2088" t="str">
            <v>Nolan, TX</v>
          </cell>
          <cell r="D2088">
            <v>4.3999999999999997E-2</v>
          </cell>
        </row>
        <row r="2089">
          <cell r="C2089" t="str">
            <v>Nome, AK</v>
          </cell>
          <cell r="D2089">
            <v>0.09</v>
          </cell>
        </row>
        <row r="2090">
          <cell r="C2090" t="str">
            <v>Norfolk, MA</v>
          </cell>
          <cell r="D2090">
            <v>4.4999999999999998E-2</v>
          </cell>
        </row>
        <row r="2091">
          <cell r="C2091" t="str">
            <v>Norfolk City, VA</v>
          </cell>
          <cell r="D2091">
            <v>6.0999999999999999E-2</v>
          </cell>
        </row>
        <row r="2092">
          <cell r="C2092" t="str">
            <v>Norman, MN</v>
          </cell>
          <cell r="D2092">
            <v>0.09</v>
          </cell>
        </row>
        <row r="2093">
          <cell r="C2093" t="str">
            <v>North Slope, AK</v>
          </cell>
          <cell r="D2093">
            <v>6.0999999999999999E-2</v>
          </cell>
        </row>
        <row r="2094">
          <cell r="C2094" t="str">
            <v>Northampton, NC</v>
          </cell>
          <cell r="D2094">
            <v>4.3999999999999997E-2</v>
          </cell>
        </row>
        <row r="2095">
          <cell r="C2095" t="str">
            <v>Northampton, PA</v>
          </cell>
          <cell r="D2095">
            <v>6.0999999999999999E-2</v>
          </cell>
        </row>
        <row r="2096">
          <cell r="C2096" t="str">
            <v>Northampton, VA</v>
          </cell>
          <cell r="D2096">
            <v>4.3999999999999997E-2</v>
          </cell>
        </row>
        <row r="2097">
          <cell r="C2097" t="str">
            <v>Northumberland, PA</v>
          </cell>
          <cell r="D2097">
            <v>5.7000000000000002E-2</v>
          </cell>
        </row>
        <row r="2098">
          <cell r="C2098" t="str">
            <v>Northumberland, VA</v>
          </cell>
          <cell r="D2098">
            <v>4.3999999999999997E-2</v>
          </cell>
        </row>
        <row r="2099">
          <cell r="C2099" t="str">
            <v>Northwest Arctic, AK</v>
          </cell>
          <cell r="D2099">
            <v>0.09</v>
          </cell>
        </row>
        <row r="2100">
          <cell r="C2100" t="str">
            <v>Norton, KS</v>
          </cell>
          <cell r="D2100">
            <v>0.09</v>
          </cell>
        </row>
        <row r="2101">
          <cell r="C2101" t="str">
            <v>Norton City, VA</v>
          </cell>
          <cell r="D2101" t="str">
            <v xml:space="preserve"> </v>
          </cell>
        </row>
        <row r="2102">
          <cell r="C2102" t="str">
            <v>Nottoway, VA</v>
          </cell>
          <cell r="D2102">
            <v>4.3999999999999997E-2</v>
          </cell>
        </row>
        <row r="2103">
          <cell r="C2103" t="str">
            <v>Nowata, OK</v>
          </cell>
          <cell r="D2103">
            <v>0.09</v>
          </cell>
        </row>
        <row r="2104">
          <cell r="C2104" t="str">
            <v>Noxubee, MS</v>
          </cell>
          <cell r="D2104">
            <v>5.7000000000000002E-2</v>
          </cell>
        </row>
        <row r="2105">
          <cell r="C2105" t="str">
            <v>Nuckolls, NE</v>
          </cell>
          <cell r="D2105">
            <v>0.09</v>
          </cell>
        </row>
        <row r="2106">
          <cell r="C2106" t="str">
            <v>Nueces, TX</v>
          </cell>
          <cell r="D2106">
            <v>4.3999999999999997E-2</v>
          </cell>
        </row>
        <row r="2107">
          <cell r="C2107" t="str">
            <v>Nye, NV</v>
          </cell>
          <cell r="D2107">
            <v>6.0999999999999999E-2</v>
          </cell>
        </row>
        <row r="2108">
          <cell r="C2108" t="str">
            <v>Oakland, MI</v>
          </cell>
          <cell r="D2108">
            <v>6.0999999999999999E-2</v>
          </cell>
        </row>
        <row r="2109">
          <cell r="C2109" t="str">
            <v>Obion, TN</v>
          </cell>
          <cell r="D2109">
            <v>0.09</v>
          </cell>
        </row>
        <row r="2110">
          <cell r="C2110" t="str">
            <v>O'Brien, IA</v>
          </cell>
          <cell r="D2110">
            <v>0.09</v>
          </cell>
        </row>
        <row r="2111">
          <cell r="C2111" t="str">
            <v>Ocean, NJ</v>
          </cell>
          <cell r="D2111">
            <v>6.0999999999999999E-2</v>
          </cell>
        </row>
        <row r="2112">
          <cell r="C2112" t="str">
            <v>Oceana, MI</v>
          </cell>
          <cell r="D2112">
            <v>0.09</v>
          </cell>
        </row>
        <row r="2113">
          <cell r="C2113" t="str">
            <v>Ochiltree, TX</v>
          </cell>
          <cell r="D2113">
            <v>4.3999999999999997E-2</v>
          </cell>
        </row>
        <row r="2114">
          <cell r="C2114" t="str">
            <v>Oconee, GA</v>
          </cell>
          <cell r="D2114">
            <v>4.3999999999999997E-2</v>
          </cell>
        </row>
        <row r="2115">
          <cell r="C2115" t="str">
            <v>Oconee, SC</v>
          </cell>
          <cell r="D2115">
            <v>4.3999999999999997E-2</v>
          </cell>
        </row>
        <row r="2116">
          <cell r="C2116" t="str">
            <v>Oconto, WI</v>
          </cell>
          <cell r="D2116">
            <v>0.09</v>
          </cell>
        </row>
        <row r="2117">
          <cell r="C2117" t="str">
            <v>Ogemaw, MI</v>
          </cell>
          <cell r="D2117">
            <v>0.09</v>
          </cell>
        </row>
        <row r="2118">
          <cell r="C2118" t="str">
            <v>Ogle, IL</v>
          </cell>
          <cell r="D2118">
            <v>5.7000000000000002E-2</v>
          </cell>
        </row>
        <row r="2119">
          <cell r="C2119" t="str">
            <v>Oglethorpe, GA</v>
          </cell>
          <cell r="D2119">
            <v>4.3999999999999997E-2</v>
          </cell>
        </row>
        <row r="2120">
          <cell r="C2120" t="str">
            <v>Ohio, IN</v>
          </cell>
          <cell r="D2120">
            <v>6.0999999999999999E-2</v>
          </cell>
        </row>
        <row r="2121">
          <cell r="C2121" t="str">
            <v>Ohio, KY</v>
          </cell>
          <cell r="D2121">
            <v>0.09</v>
          </cell>
        </row>
        <row r="2122">
          <cell r="C2122" t="str">
            <v>Ohio, WV</v>
          </cell>
          <cell r="D2122">
            <v>5.7000000000000002E-2</v>
          </cell>
        </row>
        <row r="2123">
          <cell r="C2123" t="str">
            <v>Okaloosa, FL</v>
          </cell>
          <cell r="D2123">
            <v>6.0999999999999999E-2</v>
          </cell>
        </row>
        <row r="2124">
          <cell r="C2124" t="str">
            <v>Okanogan, WA</v>
          </cell>
          <cell r="D2124">
            <v>0.09</v>
          </cell>
        </row>
        <row r="2125">
          <cell r="C2125" t="str">
            <v>Okeechobee, FL</v>
          </cell>
          <cell r="D2125">
            <v>4.3999999999999997E-2</v>
          </cell>
        </row>
        <row r="2126">
          <cell r="C2126" t="str">
            <v>Okfuskee, OK</v>
          </cell>
          <cell r="D2126">
            <v>0.09</v>
          </cell>
        </row>
        <row r="2127">
          <cell r="C2127" t="str">
            <v>Oklahoma, OK</v>
          </cell>
          <cell r="D2127">
            <v>0.09</v>
          </cell>
        </row>
        <row r="2128">
          <cell r="C2128" t="str">
            <v>Okmulgee, OK</v>
          </cell>
          <cell r="D2128">
            <v>0.09</v>
          </cell>
        </row>
        <row r="2129">
          <cell r="C2129" t="str">
            <v>Oktibbeha, MS</v>
          </cell>
          <cell r="D2129">
            <v>4.3999999999999997E-2</v>
          </cell>
        </row>
        <row r="2130">
          <cell r="C2130" t="str">
            <v>Oldham, KY</v>
          </cell>
          <cell r="D2130">
            <v>6.0999999999999999E-2</v>
          </cell>
        </row>
        <row r="2131">
          <cell r="C2131" t="str">
            <v>Oldham, TX</v>
          </cell>
          <cell r="D2131">
            <v>4.3999999999999997E-2</v>
          </cell>
        </row>
        <row r="2132">
          <cell r="C2132" t="str">
            <v>Oliver, ND</v>
          </cell>
          <cell r="D2132">
            <v>0.09</v>
          </cell>
        </row>
        <row r="2133">
          <cell r="C2133" t="str">
            <v>Olmsted, MN</v>
          </cell>
          <cell r="D2133">
            <v>6.0999999999999999E-2</v>
          </cell>
        </row>
        <row r="2134">
          <cell r="C2134" t="str">
            <v>Oneida, ID</v>
          </cell>
          <cell r="D2134">
            <v>4.3999999999999997E-2</v>
          </cell>
        </row>
        <row r="2135">
          <cell r="C2135" t="str">
            <v>Oneida, NY</v>
          </cell>
          <cell r="D2135">
            <v>5.7000000000000002E-2</v>
          </cell>
        </row>
        <row r="2136">
          <cell r="C2136" t="str">
            <v>Oneida, WI</v>
          </cell>
          <cell r="D2136">
            <v>0.09</v>
          </cell>
        </row>
        <row r="2137">
          <cell r="C2137" t="str">
            <v>Onondaga, NY</v>
          </cell>
          <cell r="D2137">
            <v>0.09</v>
          </cell>
        </row>
        <row r="2138">
          <cell r="C2138" t="str">
            <v>Onslow, NC</v>
          </cell>
          <cell r="D2138">
            <v>4.3999999999999997E-2</v>
          </cell>
        </row>
        <row r="2139">
          <cell r="C2139" t="str">
            <v>Ontario, NY</v>
          </cell>
          <cell r="D2139">
            <v>3.5000000000000003E-2</v>
          </cell>
        </row>
        <row r="2140">
          <cell r="C2140" t="str">
            <v>Ontonagon, MI</v>
          </cell>
          <cell r="D2140">
            <v>0.09</v>
          </cell>
        </row>
        <row r="2141">
          <cell r="C2141" t="str">
            <v>Orange, CA</v>
          </cell>
          <cell r="D2141">
            <v>2.4E-2</v>
          </cell>
        </row>
        <row r="2142">
          <cell r="C2142" t="str">
            <v>Orange, FL</v>
          </cell>
          <cell r="D2142">
            <v>5.7000000000000002E-2</v>
          </cell>
        </row>
        <row r="2143">
          <cell r="C2143" t="str">
            <v>Orange, IN</v>
          </cell>
          <cell r="D2143">
            <v>0.09</v>
          </cell>
        </row>
        <row r="2144">
          <cell r="C2144" t="str">
            <v>Orange, NC</v>
          </cell>
          <cell r="D2144">
            <v>6.0999999999999999E-2</v>
          </cell>
        </row>
        <row r="2145">
          <cell r="C2145" t="str">
            <v>Orange, NY</v>
          </cell>
          <cell r="D2145">
            <v>0.09</v>
          </cell>
        </row>
        <row r="2146">
          <cell r="C2146" t="str">
            <v>Orange, TX</v>
          </cell>
          <cell r="D2146">
            <v>4.3999999999999997E-2</v>
          </cell>
        </row>
        <row r="2147">
          <cell r="C2147" t="str">
            <v>Orange, VA</v>
          </cell>
          <cell r="D2147">
            <v>4.3999999999999997E-2</v>
          </cell>
        </row>
        <row r="2148">
          <cell r="C2148" t="str">
            <v>Orange, VT</v>
          </cell>
          <cell r="D2148">
            <v>0.09</v>
          </cell>
        </row>
        <row r="2149">
          <cell r="C2149" t="str">
            <v>Orangeburg, SC</v>
          </cell>
          <cell r="D2149">
            <v>4.3999999999999997E-2</v>
          </cell>
        </row>
        <row r="2150">
          <cell r="C2150" t="str">
            <v>Oregon, MO</v>
          </cell>
          <cell r="D2150">
            <v>0.09</v>
          </cell>
        </row>
        <row r="2151">
          <cell r="C2151" t="str">
            <v>Orleans, LA</v>
          </cell>
          <cell r="D2151">
            <v>3.5000000000000003E-2</v>
          </cell>
        </row>
        <row r="2152">
          <cell r="C2152" t="str">
            <v>Orleans, NY</v>
          </cell>
          <cell r="D2152">
            <v>3.5000000000000003E-2</v>
          </cell>
        </row>
        <row r="2153">
          <cell r="C2153" t="str">
            <v>Orleans, VT</v>
          </cell>
          <cell r="D2153">
            <v>0.09</v>
          </cell>
        </row>
        <row r="2154">
          <cell r="C2154" t="str">
            <v>Osage, KS</v>
          </cell>
          <cell r="D2154">
            <v>0.09</v>
          </cell>
        </row>
        <row r="2155">
          <cell r="C2155" t="str">
            <v>Osage, MO</v>
          </cell>
          <cell r="D2155">
            <v>0.09</v>
          </cell>
        </row>
        <row r="2156">
          <cell r="C2156" t="str">
            <v>Osage, OK</v>
          </cell>
          <cell r="D2156">
            <v>6.0999999999999999E-2</v>
          </cell>
        </row>
        <row r="2157">
          <cell r="C2157" t="str">
            <v>Osborne, KS</v>
          </cell>
          <cell r="D2157">
            <v>0.09</v>
          </cell>
        </row>
        <row r="2158">
          <cell r="C2158" t="str">
            <v>Osceola, FL</v>
          </cell>
          <cell r="D2158">
            <v>2.1999999999999999E-2</v>
          </cell>
        </row>
        <row r="2159">
          <cell r="C2159" t="str">
            <v>Osceola, IA</v>
          </cell>
          <cell r="D2159">
            <v>0.09</v>
          </cell>
        </row>
        <row r="2160">
          <cell r="C2160" t="str">
            <v>Osceola, MI</v>
          </cell>
          <cell r="D2160">
            <v>0.09</v>
          </cell>
        </row>
        <row r="2161">
          <cell r="C2161" t="str">
            <v>Oscoda, MI</v>
          </cell>
          <cell r="D2161">
            <v>0.09</v>
          </cell>
        </row>
        <row r="2162">
          <cell r="C2162" t="str">
            <v>Oswego, NY</v>
          </cell>
          <cell r="D2162">
            <v>0.09</v>
          </cell>
        </row>
        <row r="2163">
          <cell r="C2163" t="str">
            <v>Otero, CO</v>
          </cell>
          <cell r="D2163">
            <v>4.3999999999999997E-2</v>
          </cell>
        </row>
        <row r="2164">
          <cell r="C2164" t="str">
            <v>Otero, NM</v>
          </cell>
          <cell r="D2164">
            <v>4.3999999999999997E-2</v>
          </cell>
        </row>
        <row r="2165">
          <cell r="C2165" t="str">
            <v>Otoe, NE</v>
          </cell>
          <cell r="D2165">
            <v>0.09</v>
          </cell>
        </row>
        <row r="2166">
          <cell r="C2166" t="str">
            <v>Otsego, MI</v>
          </cell>
          <cell r="D2166">
            <v>0.09</v>
          </cell>
        </row>
        <row r="2167">
          <cell r="C2167" t="str">
            <v>Otsego, NY</v>
          </cell>
          <cell r="D2167">
            <v>0.09</v>
          </cell>
        </row>
        <row r="2168">
          <cell r="C2168" t="str">
            <v>Ottawa, KS</v>
          </cell>
          <cell r="D2168">
            <v>0.09</v>
          </cell>
        </row>
        <row r="2169">
          <cell r="C2169" t="str">
            <v>Ottawa, MI</v>
          </cell>
          <cell r="D2169">
            <v>6.0999999999999999E-2</v>
          </cell>
        </row>
        <row r="2170">
          <cell r="C2170" t="str">
            <v>Ottawa, OH</v>
          </cell>
          <cell r="D2170">
            <v>0.09</v>
          </cell>
        </row>
        <row r="2171">
          <cell r="C2171" t="str">
            <v>Ottawa, OK</v>
          </cell>
          <cell r="D2171">
            <v>0.09</v>
          </cell>
        </row>
        <row r="2172">
          <cell r="C2172" t="str">
            <v>Otter Tail, MN</v>
          </cell>
          <cell r="D2172">
            <v>0.09</v>
          </cell>
        </row>
        <row r="2173">
          <cell r="C2173" t="str">
            <v>Ouachita, AR</v>
          </cell>
          <cell r="D2173">
            <v>4.3999999999999997E-2</v>
          </cell>
        </row>
        <row r="2174">
          <cell r="C2174" t="str">
            <v>Ouachita, LA</v>
          </cell>
          <cell r="D2174">
            <v>0.09</v>
          </cell>
        </row>
        <row r="2175">
          <cell r="C2175" t="str">
            <v>Ouray, CO</v>
          </cell>
          <cell r="D2175">
            <v>4.3999999999999997E-2</v>
          </cell>
        </row>
        <row r="2176">
          <cell r="C2176" t="str">
            <v>Outagamie, WI</v>
          </cell>
          <cell r="D2176">
            <v>5.7000000000000002E-2</v>
          </cell>
        </row>
        <row r="2177">
          <cell r="C2177" t="str">
            <v>Overton, TN</v>
          </cell>
          <cell r="D2177">
            <v>0.09</v>
          </cell>
        </row>
        <row r="2178">
          <cell r="C2178" t="str">
            <v>Owen, IN</v>
          </cell>
          <cell r="D2178">
            <v>0.09</v>
          </cell>
        </row>
        <row r="2179">
          <cell r="C2179" t="str">
            <v>Owen, KY</v>
          </cell>
          <cell r="D2179">
            <v>0.09</v>
          </cell>
        </row>
        <row r="2180">
          <cell r="C2180" t="str">
            <v>Owsley, KY</v>
          </cell>
          <cell r="D2180">
            <v>3.5000000000000003E-2</v>
          </cell>
        </row>
        <row r="2181">
          <cell r="C2181" t="str">
            <v>Owyhee, ID</v>
          </cell>
          <cell r="D2181">
            <v>4.3999999999999997E-2</v>
          </cell>
        </row>
        <row r="2182">
          <cell r="C2182" t="str">
            <v>Oxford, ME</v>
          </cell>
          <cell r="D2182">
            <v>0.09</v>
          </cell>
        </row>
        <row r="2183">
          <cell r="C2183" t="str">
            <v>Ozark, MO</v>
          </cell>
          <cell r="D2183">
            <v>0.09</v>
          </cell>
        </row>
        <row r="2184">
          <cell r="C2184" t="str">
            <v>Ozaukee, WI</v>
          </cell>
          <cell r="D2184">
            <v>6.0999999999999999E-2</v>
          </cell>
        </row>
        <row r="2185">
          <cell r="C2185" t="str">
            <v>Pacific, WA</v>
          </cell>
          <cell r="D2185">
            <v>0.09</v>
          </cell>
        </row>
        <row r="2186">
          <cell r="C2186" t="str">
            <v>Page, IA</v>
          </cell>
          <cell r="D2186">
            <v>0.09</v>
          </cell>
        </row>
        <row r="2187">
          <cell r="C2187" t="str">
            <v>Page, VA</v>
          </cell>
          <cell r="D2187">
            <v>4.3999999999999997E-2</v>
          </cell>
        </row>
        <row r="2188">
          <cell r="C2188" t="str">
            <v>Palm Beach, FL</v>
          </cell>
          <cell r="D2188">
            <v>2.1999999999999999E-2</v>
          </cell>
        </row>
        <row r="2189">
          <cell r="C2189" t="str">
            <v>Palo Alto, IA</v>
          </cell>
          <cell r="D2189">
            <v>0.09</v>
          </cell>
        </row>
        <row r="2190">
          <cell r="C2190" t="str">
            <v>Palo Pinto, TX</v>
          </cell>
          <cell r="D2190">
            <v>4.3999999999999997E-2</v>
          </cell>
        </row>
        <row r="2191">
          <cell r="C2191" t="str">
            <v>Pamlico, NC</v>
          </cell>
          <cell r="D2191">
            <v>4.3999999999999997E-2</v>
          </cell>
        </row>
        <row r="2192">
          <cell r="C2192" t="str">
            <v>Panola, MS</v>
          </cell>
          <cell r="D2192">
            <v>4.3999999999999997E-2</v>
          </cell>
        </row>
        <row r="2193">
          <cell r="C2193" t="str">
            <v>Panola, TX</v>
          </cell>
          <cell r="D2193">
            <v>4.3999999999999997E-2</v>
          </cell>
        </row>
        <row r="2194">
          <cell r="C2194" t="str">
            <v>Park, CO</v>
          </cell>
          <cell r="D2194">
            <v>4.3999999999999997E-2</v>
          </cell>
        </row>
        <row r="2195">
          <cell r="C2195" t="str">
            <v>Park, MT</v>
          </cell>
          <cell r="D2195">
            <v>0.09</v>
          </cell>
        </row>
        <row r="2196">
          <cell r="C2196" t="str">
            <v>Park, WY</v>
          </cell>
          <cell r="D2196">
            <v>0.09</v>
          </cell>
        </row>
        <row r="2197">
          <cell r="C2197" t="str">
            <v>Parke, IN</v>
          </cell>
          <cell r="D2197">
            <v>0.09</v>
          </cell>
        </row>
        <row r="2198">
          <cell r="C2198" t="str">
            <v>Parker, TX</v>
          </cell>
          <cell r="D2198">
            <v>5.7000000000000002E-2</v>
          </cell>
        </row>
        <row r="2199">
          <cell r="C2199" t="str">
            <v>Parmer, TX</v>
          </cell>
          <cell r="D2199">
            <v>4.3999999999999997E-2</v>
          </cell>
        </row>
        <row r="2200">
          <cell r="C2200" t="str">
            <v>Pasco, FL</v>
          </cell>
          <cell r="D2200">
            <v>2.4E-2</v>
          </cell>
        </row>
        <row r="2201">
          <cell r="C2201" t="str">
            <v>Pasquotank, NC</v>
          </cell>
          <cell r="D2201">
            <v>4.3999999999999997E-2</v>
          </cell>
        </row>
        <row r="2202">
          <cell r="C2202" t="str">
            <v>Passaic, NJ</v>
          </cell>
          <cell r="D2202">
            <v>6.0999999999999999E-2</v>
          </cell>
        </row>
        <row r="2203">
          <cell r="C2203" t="str">
            <v>Patrick, VA</v>
          </cell>
          <cell r="D2203">
            <v>4.3999999999999997E-2</v>
          </cell>
        </row>
        <row r="2204">
          <cell r="C2204" t="str">
            <v>Paulding, GA</v>
          </cell>
          <cell r="D2204">
            <v>6.0999999999999999E-2</v>
          </cell>
        </row>
        <row r="2205">
          <cell r="C2205" t="str">
            <v>Paulding, OH</v>
          </cell>
          <cell r="D2205">
            <v>0.09</v>
          </cell>
        </row>
        <row r="2206">
          <cell r="C2206" t="str">
            <v>Pawnee, KS</v>
          </cell>
          <cell r="D2206">
            <v>0.09</v>
          </cell>
        </row>
        <row r="2207">
          <cell r="C2207" t="str">
            <v>Pawnee, NE</v>
          </cell>
          <cell r="D2207">
            <v>0.09</v>
          </cell>
        </row>
        <row r="2208">
          <cell r="C2208" t="str">
            <v>Pawnee, OK</v>
          </cell>
          <cell r="D2208">
            <v>0.09</v>
          </cell>
        </row>
        <row r="2209">
          <cell r="C2209" t="str">
            <v>Payette, ID</v>
          </cell>
          <cell r="D2209">
            <v>4.3999999999999997E-2</v>
          </cell>
        </row>
        <row r="2210">
          <cell r="C2210" t="str">
            <v>Payne, OK</v>
          </cell>
          <cell r="D2210">
            <v>0.09</v>
          </cell>
        </row>
        <row r="2211">
          <cell r="C2211" t="str">
            <v>Peach, GA</v>
          </cell>
          <cell r="D2211">
            <v>4.3999999999999997E-2</v>
          </cell>
        </row>
        <row r="2212">
          <cell r="C2212" t="str">
            <v>Pearl River, MS</v>
          </cell>
          <cell r="D2212">
            <v>4.3999999999999997E-2</v>
          </cell>
        </row>
        <row r="2213">
          <cell r="C2213" t="str">
            <v>Pecos, TX</v>
          </cell>
          <cell r="D2213">
            <v>4.3999999999999997E-2</v>
          </cell>
        </row>
        <row r="2214">
          <cell r="C2214" t="str">
            <v>Pembina, ND</v>
          </cell>
          <cell r="D2214">
            <v>0.09</v>
          </cell>
        </row>
        <row r="2215">
          <cell r="C2215" t="str">
            <v>Pemiscot, MO</v>
          </cell>
          <cell r="D2215">
            <v>5.7000000000000002E-2</v>
          </cell>
        </row>
        <row r="2216">
          <cell r="C2216" t="str">
            <v>Pend Oreille, WA</v>
          </cell>
          <cell r="D2216">
            <v>0.09</v>
          </cell>
        </row>
        <row r="2217">
          <cell r="C2217" t="str">
            <v>Pender, NC</v>
          </cell>
          <cell r="D2217">
            <v>4.3999999999999997E-2</v>
          </cell>
        </row>
        <row r="2218">
          <cell r="C2218" t="str">
            <v>Pendleton, KY</v>
          </cell>
          <cell r="D2218">
            <v>6.0999999999999999E-2</v>
          </cell>
        </row>
        <row r="2219">
          <cell r="C2219" t="str">
            <v>Pendleton, WV</v>
          </cell>
          <cell r="D2219">
            <v>0.09</v>
          </cell>
        </row>
        <row r="2220">
          <cell r="C2220" t="str">
            <v>Pennington, MN</v>
          </cell>
          <cell r="D2220">
            <v>0.09</v>
          </cell>
        </row>
        <row r="2221">
          <cell r="C2221" t="str">
            <v>Pennington, SD</v>
          </cell>
          <cell r="D2221">
            <v>6.0999999999999999E-2</v>
          </cell>
        </row>
        <row r="2222">
          <cell r="C2222" t="str">
            <v>Penobscot, ME</v>
          </cell>
          <cell r="D2222">
            <v>5.7000000000000002E-2</v>
          </cell>
        </row>
        <row r="2223">
          <cell r="C2223" t="str">
            <v>Peoria, IL</v>
          </cell>
          <cell r="D2223">
            <v>6.0999999999999999E-2</v>
          </cell>
        </row>
        <row r="2224">
          <cell r="C2224" t="str">
            <v>Pepin, WI</v>
          </cell>
          <cell r="D2224">
            <v>0.09</v>
          </cell>
        </row>
        <row r="2225">
          <cell r="C2225" t="str">
            <v>Perkins, NE</v>
          </cell>
          <cell r="D2225">
            <v>0.09</v>
          </cell>
        </row>
        <row r="2226">
          <cell r="C2226" t="str">
            <v>Perkins, SD</v>
          </cell>
          <cell r="D2226">
            <v>4.3999999999999997E-2</v>
          </cell>
        </row>
        <row r="2227">
          <cell r="C2227" t="str">
            <v>Perquimans, NC</v>
          </cell>
          <cell r="D2227">
            <v>4.3999999999999997E-2</v>
          </cell>
        </row>
        <row r="2228">
          <cell r="C2228" t="str">
            <v>Perry, AL</v>
          </cell>
          <cell r="D2228">
            <v>5.7000000000000002E-2</v>
          </cell>
        </row>
        <row r="2229">
          <cell r="C2229" t="str">
            <v>Perry, AR</v>
          </cell>
          <cell r="D2229">
            <v>5.7000000000000002E-2</v>
          </cell>
        </row>
        <row r="2230">
          <cell r="C2230" t="str">
            <v>Perry, IL</v>
          </cell>
          <cell r="D2230">
            <v>0.09</v>
          </cell>
        </row>
        <row r="2231">
          <cell r="C2231" t="str">
            <v>Perry, IN</v>
          </cell>
          <cell r="D2231">
            <v>0.09</v>
          </cell>
        </row>
        <row r="2232">
          <cell r="C2232" t="str">
            <v>Perry, KY</v>
          </cell>
          <cell r="D2232">
            <v>3.5000000000000003E-2</v>
          </cell>
        </row>
        <row r="2233">
          <cell r="C2233" t="str">
            <v>Perry, MO</v>
          </cell>
          <cell r="D2233">
            <v>0.09</v>
          </cell>
        </row>
        <row r="2234">
          <cell r="C2234" t="str">
            <v>Perry, MS</v>
          </cell>
          <cell r="D2234">
            <v>4.3999999999999997E-2</v>
          </cell>
        </row>
        <row r="2235">
          <cell r="C2235" t="str">
            <v>Perry, OH</v>
          </cell>
          <cell r="D2235">
            <v>0.09</v>
          </cell>
        </row>
        <row r="2236">
          <cell r="C2236" t="str">
            <v>Perry, PA</v>
          </cell>
          <cell r="D2236">
            <v>6.0999999999999999E-2</v>
          </cell>
        </row>
        <row r="2237">
          <cell r="C2237" t="str">
            <v>Perry, TN</v>
          </cell>
          <cell r="D2237">
            <v>0.09</v>
          </cell>
        </row>
        <row r="2238">
          <cell r="C2238" t="str">
            <v>Pershing, NV</v>
          </cell>
          <cell r="D2238">
            <v>0.09</v>
          </cell>
        </row>
        <row r="2239">
          <cell r="C2239" t="str">
            <v>Person, NC</v>
          </cell>
          <cell r="D2239">
            <v>4.3999999999999997E-2</v>
          </cell>
        </row>
        <row r="2240">
          <cell r="C2240" t="str">
            <v>Petersburg City, VA</v>
          </cell>
          <cell r="D2240">
            <v>4.4999999999999998E-2</v>
          </cell>
        </row>
        <row r="2241">
          <cell r="C2241" t="str">
            <v>Petroleum, MT</v>
          </cell>
          <cell r="D2241">
            <v>0.09</v>
          </cell>
        </row>
        <row r="2242">
          <cell r="C2242" t="str">
            <v>Pettis, MO</v>
          </cell>
          <cell r="D2242">
            <v>0.09</v>
          </cell>
        </row>
        <row r="2243">
          <cell r="C2243" t="str">
            <v>Phelps, MO</v>
          </cell>
          <cell r="D2243">
            <v>0.09</v>
          </cell>
        </row>
        <row r="2244">
          <cell r="C2244" t="str">
            <v>Phelps, NE</v>
          </cell>
          <cell r="D2244">
            <v>0.09</v>
          </cell>
        </row>
        <row r="2245">
          <cell r="C2245" t="str">
            <v>Philadelphia, PA</v>
          </cell>
          <cell r="D2245">
            <v>3.5000000000000003E-2</v>
          </cell>
        </row>
        <row r="2246">
          <cell r="C2246" t="str">
            <v>Phillips, AR</v>
          </cell>
          <cell r="D2246">
            <v>3.5000000000000003E-2</v>
          </cell>
        </row>
        <row r="2247">
          <cell r="C2247" t="str">
            <v>Phillips, CO</v>
          </cell>
          <cell r="D2247">
            <v>4.3999999999999997E-2</v>
          </cell>
        </row>
        <row r="2248">
          <cell r="C2248" t="str">
            <v>Phillips, KS</v>
          </cell>
          <cell r="D2248">
            <v>0.09</v>
          </cell>
        </row>
        <row r="2249">
          <cell r="C2249" t="str">
            <v>Phillips, MT</v>
          </cell>
          <cell r="D2249">
            <v>0.09</v>
          </cell>
        </row>
        <row r="2250">
          <cell r="C2250" t="str">
            <v>Piatt, IL</v>
          </cell>
          <cell r="D2250">
            <v>0.09</v>
          </cell>
        </row>
        <row r="2251">
          <cell r="C2251" t="str">
            <v>Pickaway, OH</v>
          </cell>
          <cell r="D2251">
            <v>6.0999999999999999E-2</v>
          </cell>
        </row>
        <row r="2252">
          <cell r="C2252" t="str">
            <v>Pickens, AL</v>
          </cell>
          <cell r="D2252">
            <v>0.09</v>
          </cell>
        </row>
        <row r="2253">
          <cell r="C2253" t="str">
            <v>Pickens, GA</v>
          </cell>
          <cell r="D2253">
            <v>6.0999999999999999E-2</v>
          </cell>
        </row>
        <row r="2254">
          <cell r="C2254" t="str">
            <v>Pickens, SC</v>
          </cell>
          <cell r="D2254">
            <v>4.3999999999999997E-2</v>
          </cell>
        </row>
        <row r="2255">
          <cell r="C2255" t="str">
            <v>Pickett, TN</v>
          </cell>
          <cell r="D2255">
            <v>0.09</v>
          </cell>
        </row>
        <row r="2256">
          <cell r="C2256" t="str">
            <v>Pierce, GA</v>
          </cell>
          <cell r="D2256">
            <v>4.3999999999999997E-2</v>
          </cell>
        </row>
        <row r="2257">
          <cell r="C2257" t="str">
            <v>Pierce, ND</v>
          </cell>
          <cell r="D2257">
            <v>0.09</v>
          </cell>
        </row>
        <row r="2258">
          <cell r="C2258" t="str">
            <v>Pierce, NE</v>
          </cell>
          <cell r="D2258">
            <v>0.09</v>
          </cell>
        </row>
        <row r="2259">
          <cell r="C2259" t="str">
            <v>Pierce, WA</v>
          </cell>
          <cell r="D2259">
            <v>0.09</v>
          </cell>
        </row>
        <row r="2260">
          <cell r="C2260" t="str">
            <v>Pierce, WI</v>
          </cell>
          <cell r="D2260">
            <v>6.0999999999999999E-2</v>
          </cell>
        </row>
        <row r="2261">
          <cell r="C2261" t="str">
            <v>Pike, AL</v>
          </cell>
          <cell r="D2261">
            <v>0.09</v>
          </cell>
        </row>
        <row r="2262">
          <cell r="C2262" t="str">
            <v>Pike, AR</v>
          </cell>
          <cell r="D2262">
            <v>4.3999999999999997E-2</v>
          </cell>
        </row>
        <row r="2263">
          <cell r="C2263" t="str">
            <v>Pike, GA</v>
          </cell>
          <cell r="D2263">
            <v>4.3999999999999997E-2</v>
          </cell>
        </row>
        <row r="2264">
          <cell r="C2264" t="str">
            <v>Pike, IL</v>
          </cell>
          <cell r="D2264">
            <v>0.09</v>
          </cell>
        </row>
        <row r="2265">
          <cell r="C2265" t="str">
            <v>Pike, IN</v>
          </cell>
          <cell r="D2265">
            <v>0.09</v>
          </cell>
        </row>
        <row r="2266">
          <cell r="C2266" t="str">
            <v>Pike, KY</v>
          </cell>
          <cell r="D2266">
            <v>0.09</v>
          </cell>
        </row>
        <row r="2267">
          <cell r="C2267" t="str">
            <v>Pike, MO</v>
          </cell>
          <cell r="D2267">
            <v>0.09</v>
          </cell>
        </row>
        <row r="2268">
          <cell r="C2268" t="str">
            <v>Pike, MS</v>
          </cell>
          <cell r="D2268">
            <v>5.7000000000000002E-2</v>
          </cell>
        </row>
        <row r="2269">
          <cell r="C2269" t="str">
            <v>Pike, OH</v>
          </cell>
          <cell r="D2269">
            <v>0.09</v>
          </cell>
        </row>
        <row r="2270">
          <cell r="C2270" t="str">
            <v>Pike, PA</v>
          </cell>
          <cell r="D2270">
            <v>0.09</v>
          </cell>
        </row>
        <row r="2271">
          <cell r="C2271" t="str">
            <v>Pima, AZ</v>
          </cell>
          <cell r="D2271">
            <v>5.7000000000000002E-2</v>
          </cell>
        </row>
        <row r="2272">
          <cell r="C2272" t="str">
            <v>Pinal, AZ</v>
          </cell>
          <cell r="D2272">
            <v>6.0999999999999999E-2</v>
          </cell>
        </row>
        <row r="2273">
          <cell r="C2273" t="str">
            <v>Pine, MN</v>
          </cell>
          <cell r="D2273">
            <v>0.09</v>
          </cell>
        </row>
        <row r="2274">
          <cell r="C2274" t="str">
            <v>Pinellas, FL</v>
          </cell>
          <cell r="D2274">
            <v>2.1999999999999999E-2</v>
          </cell>
        </row>
        <row r="2275">
          <cell r="C2275" t="str">
            <v>Pipestone, MN</v>
          </cell>
          <cell r="D2275">
            <v>0.09</v>
          </cell>
        </row>
        <row r="2276">
          <cell r="C2276" t="str">
            <v>Piscataquis, ME</v>
          </cell>
          <cell r="D2276">
            <v>5.7000000000000002E-2</v>
          </cell>
        </row>
        <row r="2277">
          <cell r="C2277" t="str">
            <v>Pitkin, CO</v>
          </cell>
          <cell r="D2277">
            <v>6.0999999999999999E-2</v>
          </cell>
        </row>
        <row r="2278">
          <cell r="C2278" t="str">
            <v>Pitt, NC</v>
          </cell>
          <cell r="D2278">
            <v>4.3999999999999997E-2</v>
          </cell>
        </row>
        <row r="2279">
          <cell r="C2279" t="str">
            <v>Pittsburg, OK</v>
          </cell>
          <cell r="D2279">
            <v>0.09</v>
          </cell>
        </row>
        <row r="2280">
          <cell r="C2280" t="str">
            <v>Pittsylvania, VA</v>
          </cell>
          <cell r="D2280">
            <v>4.3999999999999997E-2</v>
          </cell>
        </row>
        <row r="2281">
          <cell r="C2281" t="str">
            <v>Piute, UT</v>
          </cell>
          <cell r="D2281">
            <v>4.3999999999999997E-2</v>
          </cell>
        </row>
        <row r="2282">
          <cell r="C2282" t="str">
            <v>Placer, CA</v>
          </cell>
          <cell r="D2282">
            <v>3.5000000000000003E-2</v>
          </cell>
        </row>
        <row r="2283">
          <cell r="C2283" t="str">
            <v>Plaquemines, LA</v>
          </cell>
          <cell r="D2283">
            <v>5.7000000000000002E-2</v>
          </cell>
        </row>
        <row r="2284">
          <cell r="C2284" t="str">
            <v>Platte, MO</v>
          </cell>
          <cell r="D2284">
            <v>6.0999999999999999E-2</v>
          </cell>
        </row>
        <row r="2285">
          <cell r="C2285" t="str">
            <v>Platte, NE</v>
          </cell>
          <cell r="D2285">
            <v>0.09</v>
          </cell>
        </row>
        <row r="2286">
          <cell r="C2286" t="str">
            <v>Platte, WY</v>
          </cell>
          <cell r="D2286">
            <v>0.09</v>
          </cell>
        </row>
        <row r="2287">
          <cell r="C2287" t="str">
            <v>Pleasants, WV</v>
          </cell>
          <cell r="D2287">
            <v>0.09</v>
          </cell>
        </row>
        <row r="2288">
          <cell r="C2288" t="str">
            <v>Plumas, CA</v>
          </cell>
          <cell r="D2288">
            <v>0.09</v>
          </cell>
        </row>
        <row r="2289">
          <cell r="C2289" t="str">
            <v>Plymouth, IA</v>
          </cell>
          <cell r="D2289">
            <v>0.09</v>
          </cell>
        </row>
        <row r="2290">
          <cell r="C2290" t="str">
            <v>Plymouth, MA</v>
          </cell>
          <cell r="D2290">
            <v>5.7000000000000002E-2</v>
          </cell>
        </row>
        <row r="2291">
          <cell r="C2291" t="str">
            <v>Pocahontas, IA</v>
          </cell>
          <cell r="D2291">
            <v>0.09</v>
          </cell>
        </row>
        <row r="2292">
          <cell r="C2292" t="str">
            <v>Pocahontas, WV</v>
          </cell>
          <cell r="D2292">
            <v>0.09</v>
          </cell>
        </row>
        <row r="2293">
          <cell r="C2293" t="str">
            <v>Poinsett, AR</v>
          </cell>
          <cell r="D2293">
            <v>4.3999999999999997E-2</v>
          </cell>
        </row>
        <row r="2294">
          <cell r="C2294" t="str">
            <v>Pointe Coupee, LA</v>
          </cell>
          <cell r="D2294">
            <v>0.09</v>
          </cell>
        </row>
        <row r="2295">
          <cell r="C2295" t="str">
            <v>Polk, AR</v>
          </cell>
          <cell r="D2295">
            <v>4.3999999999999997E-2</v>
          </cell>
        </row>
        <row r="2296">
          <cell r="C2296" t="str">
            <v>Polk, FL</v>
          </cell>
          <cell r="D2296">
            <v>2.1999999999999999E-2</v>
          </cell>
        </row>
        <row r="2297">
          <cell r="C2297" t="str">
            <v>Polk, GA</v>
          </cell>
          <cell r="D2297">
            <v>4.3999999999999997E-2</v>
          </cell>
        </row>
        <row r="2298">
          <cell r="C2298" t="str">
            <v>Polk, IA</v>
          </cell>
          <cell r="D2298">
            <v>6.0999999999999999E-2</v>
          </cell>
        </row>
        <row r="2299">
          <cell r="C2299" t="str">
            <v>Polk, MN</v>
          </cell>
          <cell r="D2299">
            <v>0.09</v>
          </cell>
        </row>
        <row r="2300">
          <cell r="C2300" t="str">
            <v>Polk, MO</v>
          </cell>
          <cell r="D2300">
            <v>0.09</v>
          </cell>
        </row>
        <row r="2301">
          <cell r="C2301" t="str">
            <v>Polk, NC</v>
          </cell>
          <cell r="D2301">
            <v>4.3999999999999997E-2</v>
          </cell>
        </row>
        <row r="2302">
          <cell r="C2302" t="str">
            <v>Polk, NE</v>
          </cell>
          <cell r="D2302">
            <v>0.09</v>
          </cell>
        </row>
        <row r="2303">
          <cell r="C2303" t="str">
            <v>Polk, OR</v>
          </cell>
          <cell r="D2303">
            <v>0.09</v>
          </cell>
        </row>
        <row r="2304">
          <cell r="C2304" t="str">
            <v>Polk, TN</v>
          </cell>
          <cell r="D2304">
            <v>0.09</v>
          </cell>
        </row>
        <row r="2305">
          <cell r="C2305" t="str">
            <v>Polk, TX</v>
          </cell>
          <cell r="D2305">
            <v>5.7000000000000002E-2</v>
          </cell>
        </row>
        <row r="2306">
          <cell r="C2306" t="str">
            <v>Polk, WI</v>
          </cell>
          <cell r="D2306">
            <v>0.09</v>
          </cell>
        </row>
        <row r="2307">
          <cell r="C2307" t="str">
            <v>Pondera, MT</v>
          </cell>
          <cell r="D2307">
            <v>0.09</v>
          </cell>
        </row>
        <row r="2308">
          <cell r="C2308" t="str">
            <v>Pontotoc, MS</v>
          </cell>
          <cell r="D2308">
            <v>4.3999999999999997E-2</v>
          </cell>
        </row>
        <row r="2309">
          <cell r="C2309" t="str">
            <v>Pontotoc, OK</v>
          </cell>
          <cell r="D2309">
            <v>0.09</v>
          </cell>
        </row>
        <row r="2310">
          <cell r="C2310" t="str">
            <v>Pope, AR</v>
          </cell>
          <cell r="D2310">
            <v>4.3999999999999997E-2</v>
          </cell>
        </row>
        <row r="2311">
          <cell r="C2311" t="str">
            <v>Pope, IL</v>
          </cell>
          <cell r="D2311">
            <v>0.09</v>
          </cell>
        </row>
        <row r="2312">
          <cell r="C2312" t="str">
            <v>Pope, MN</v>
          </cell>
          <cell r="D2312">
            <v>0.09</v>
          </cell>
        </row>
        <row r="2313">
          <cell r="C2313" t="str">
            <v>Poquoson City, VA</v>
          </cell>
          <cell r="D2313">
            <v>6.0999999999999999E-2</v>
          </cell>
        </row>
        <row r="2314">
          <cell r="C2314" t="str">
            <v>Portage, OH</v>
          </cell>
          <cell r="D2314">
            <v>6.0999999999999999E-2</v>
          </cell>
        </row>
        <row r="2315">
          <cell r="C2315" t="str">
            <v>Portage, WI</v>
          </cell>
          <cell r="D2315">
            <v>0.09</v>
          </cell>
        </row>
        <row r="2316">
          <cell r="C2316" t="str">
            <v>Porter, IN</v>
          </cell>
          <cell r="D2316">
            <v>0.09</v>
          </cell>
        </row>
        <row r="2317">
          <cell r="C2317" t="str">
            <v>Portsmouth City, VA</v>
          </cell>
          <cell r="D2317">
            <v>6.0999999999999999E-2</v>
          </cell>
        </row>
        <row r="2318">
          <cell r="C2318" t="str">
            <v>Posey, IN</v>
          </cell>
          <cell r="D2318">
            <v>6.0999999999999999E-2</v>
          </cell>
        </row>
        <row r="2319">
          <cell r="C2319" t="str">
            <v>Pottawatomie, KS</v>
          </cell>
          <cell r="D2319">
            <v>0.09</v>
          </cell>
        </row>
        <row r="2320">
          <cell r="C2320" t="str">
            <v>Pottawatomie, OK</v>
          </cell>
          <cell r="D2320">
            <v>0.09</v>
          </cell>
        </row>
        <row r="2321">
          <cell r="C2321" t="str">
            <v>Pottawattamie, IA</v>
          </cell>
          <cell r="D2321">
            <v>6.0999999999999999E-2</v>
          </cell>
        </row>
        <row r="2322">
          <cell r="C2322" t="str">
            <v>Potter, PA</v>
          </cell>
          <cell r="D2322">
            <v>0.09</v>
          </cell>
        </row>
        <row r="2323">
          <cell r="C2323" t="str">
            <v>Potter, SD</v>
          </cell>
          <cell r="D2323">
            <v>4.3999999999999997E-2</v>
          </cell>
        </row>
        <row r="2324">
          <cell r="C2324" t="str">
            <v>Potter, TX</v>
          </cell>
          <cell r="D2324">
            <v>4.3999999999999997E-2</v>
          </cell>
        </row>
        <row r="2325">
          <cell r="C2325" t="str">
            <v>Powder River, MT</v>
          </cell>
          <cell r="D2325">
            <v>0.09</v>
          </cell>
        </row>
        <row r="2326">
          <cell r="C2326" t="str">
            <v>Powell, KY</v>
          </cell>
          <cell r="D2326">
            <v>0.09</v>
          </cell>
        </row>
        <row r="2327">
          <cell r="C2327" t="str">
            <v>Powell, MT</v>
          </cell>
          <cell r="D2327">
            <v>0.09</v>
          </cell>
        </row>
        <row r="2328">
          <cell r="C2328" t="str">
            <v>Power, ID</v>
          </cell>
          <cell r="D2328">
            <v>4.3999999999999997E-2</v>
          </cell>
        </row>
        <row r="2329">
          <cell r="C2329" t="str">
            <v>Poweshiek, IA</v>
          </cell>
          <cell r="D2329">
            <v>0.09</v>
          </cell>
        </row>
        <row r="2330">
          <cell r="C2330" t="str">
            <v>Powhatan, VA</v>
          </cell>
          <cell r="D2330">
            <v>6.0999999999999999E-2</v>
          </cell>
        </row>
        <row r="2331">
          <cell r="C2331" t="str">
            <v>Prairie, AR</v>
          </cell>
          <cell r="D2331">
            <v>4.3999999999999997E-2</v>
          </cell>
        </row>
        <row r="2332">
          <cell r="C2332" t="str">
            <v>Prairie, MT</v>
          </cell>
          <cell r="D2332">
            <v>0.09</v>
          </cell>
        </row>
        <row r="2333">
          <cell r="C2333" t="str">
            <v>Pratt, KS</v>
          </cell>
          <cell r="D2333">
            <v>0.09</v>
          </cell>
        </row>
        <row r="2334">
          <cell r="C2334" t="str">
            <v>Preble, OH</v>
          </cell>
          <cell r="D2334">
            <v>0.09</v>
          </cell>
        </row>
        <row r="2335">
          <cell r="C2335" t="str">
            <v>Prentiss, MS</v>
          </cell>
          <cell r="D2335">
            <v>4.3999999999999997E-2</v>
          </cell>
        </row>
        <row r="2336">
          <cell r="C2336" t="str">
            <v>Presidio, TX</v>
          </cell>
          <cell r="D2336" t="str">
            <v xml:space="preserve"> </v>
          </cell>
        </row>
        <row r="2337">
          <cell r="C2337" t="str">
            <v>Presque Isle, MI</v>
          </cell>
          <cell r="D2337">
            <v>0.09</v>
          </cell>
        </row>
        <row r="2338">
          <cell r="C2338" t="str">
            <v>Preston, WV</v>
          </cell>
          <cell r="D2338">
            <v>0.09</v>
          </cell>
        </row>
        <row r="2339">
          <cell r="C2339" t="str">
            <v>Price, WI</v>
          </cell>
          <cell r="D2339">
            <v>0.09</v>
          </cell>
        </row>
        <row r="2340">
          <cell r="C2340" t="str">
            <v>Prince Edward, VA</v>
          </cell>
          <cell r="D2340">
            <v>4.3999999999999997E-2</v>
          </cell>
        </row>
        <row r="2341">
          <cell r="C2341" t="str">
            <v>Prince George, VA</v>
          </cell>
          <cell r="D2341">
            <v>6.0999999999999999E-2</v>
          </cell>
        </row>
        <row r="2342">
          <cell r="C2342" t="str">
            <v>Prince George's, MD</v>
          </cell>
          <cell r="D2342">
            <v>4.4999999999999998E-2</v>
          </cell>
        </row>
        <row r="2343">
          <cell r="C2343" t="str">
            <v>Prince of Wales-Outer Ket, AK</v>
          </cell>
          <cell r="D2343">
            <v>0.09</v>
          </cell>
        </row>
        <row r="2344">
          <cell r="C2344" t="str">
            <v>Prince William, VA</v>
          </cell>
          <cell r="D2344">
            <v>6.0999999999999999E-2</v>
          </cell>
        </row>
        <row r="2345">
          <cell r="C2345" t="str">
            <v>Providence, RI</v>
          </cell>
          <cell r="D2345">
            <v>0.09</v>
          </cell>
        </row>
        <row r="2346">
          <cell r="C2346" t="str">
            <v>Prowers, CO</v>
          </cell>
          <cell r="D2346">
            <v>4.3999999999999997E-2</v>
          </cell>
        </row>
        <row r="2347">
          <cell r="C2347" t="str">
            <v>Pueblo, CO</v>
          </cell>
          <cell r="D2347">
            <v>5.7000000000000002E-2</v>
          </cell>
        </row>
        <row r="2348">
          <cell r="C2348" t="str">
            <v>Pulaski, AR</v>
          </cell>
          <cell r="D2348">
            <v>6.0999999999999999E-2</v>
          </cell>
        </row>
        <row r="2349">
          <cell r="C2349" t="str">
            <v>Pulaski, GA</v>
          </cell>
          <cell r="D2349">
            <v>4.3999999999999997E-2</v>
          </cell>
        </row>
        <row r="2350">
          <cell r="C2350" t="str">
            <v>Pulaski, IL</v>
          </cell>
          <cell r="D2350">
            <v>0.09</v>
          </cell>
        </row>
        <row r="2351">
          <cell r="C2351" t="str">
            <v>Pulaski, IN</v>
          </cell>
          <cell r="D2351">
            <v>0.09</v>
          </cell>
        </row>
        <row r="2352">
          <cell r="C2352" t="str">
            <v>Pulaski, KY</v>
          </cell>
          <cell r="D2352">
            <v>0.09</v>
          </cell>
        </row>
        <row r="2353">
          <cell r="C2353" t="str">
            <v>Pulaski, MO</v>
          </cell>
          <cell r="D2353">
            <v>0.09</v>
          </cell>
        </row>
        <row r="2354">
          <cell r="C2354" t="str">
            <v>Pulaski, VA</v>
          </cell>
          <cell r="D2354">
            <v>4.3999999999999997E-2</v>
          </cell>
        </row>
        <row r="2355">
          <cell r="C2355" t="str">
            <v>Pushmataha, OK</v>
          </cell>
          <cell r="D2355">
            <v>0.09</v>
          </cell>
        </row>
        <row r="2356">
          <cell r="C2356" t="str">
            <v>Putnam, FL</v>
          </cell>
          <cell r="D2356">
            <v>4.3999999999999997E-2</v>
          </cell>
        </row>
        <row r="2357">
          <cell r="C2357" t="str">
            <v>Putnam, GA</v>
          </cell>
          <cell r="D2357">
            <v>4.3999999999999997E-2</v>
          </cell>
        </row>
        <row r="2358">
          <cell r="C2358" t="str">
            <v>Putnam, IL</v>
          </cell>
          <cell r="D2358">
            <v>0.09</v>
          </cell>
        </row>
        <row r="2359">
          <cell r="C2359" t="str">
            <v>Putnam, IN</v>
          </cell>
          <cell r="D2359">
            <v>0.09</v>
          </cell>
        </row>
        <row r="2360">
          <cell r="C2360" t="str">
            <v>Putnam, MO</v>
          </cell>
          <cell r="D2360">
            <v>0.09</v>
          </cell>
        </row>
        <row r="2361">
          <cell r="C2361" t="str">
            <v>Putnam, NY</v>
          </cell>
          <cell r="D2361">
            <v>6.0999999999999999E-2</v>
          </cell>
        </row>
        <row r="2362">
          <cell r="C2362" t="str">
            <v>Putnam, OH</v>
          </cell>
          <cell r="D2362">
            <v>0.09</v>
          </cell>
        </row>
        <row r="2363">
          <cell r="C2363" t="str">
            <v>Putnam, TN</v>
          </cell>
          <cell r="D2363">
            <v>0.09</v>
          </cell>
        </row>
        <row r="2364">
          <cell r="C2364" t="str">
            <v>Putnam, WV</v>
          </cell>
          <cell r="D2364">
            <v>6.0999999999999999E-2</v>
          </cell>
        </row>
        <row r="2365">
          <cell r="C2365" t="str">
            <v>Quay, NM</v>
          </cell>
          <cell r="D2365">
            <v>3.5000000000000003E-2</v>
          </cell>
        </row>
        <row r="2366">
          <cell r="C2366" t="str">
            <v>Queen Anne's, MD</v>
          </cell>
          <cell r="D2366">
            <v>6.0999999999999999E-2</v>
          </cell>
        </row>
        <row r="2367">
          <cell r="C2367" t="str">
            <v>Queens, NY</v>
          </cell>
          <cell r="D2367">
            <v>4.4999999999999998E-2</v>
          </cell>
        </row>
        <row r="2368">
          <cell r="C2368" t="str">
            <v>Quitman, GA</v>
          </cell>
          <cell r="D2368" t="str">
            <v xml:space="preserve"> </v>
          </cell>
        </row>
        <row r="2369">
          <cell r="C2369" t="str">
            <v>Quitman, MS</v>
          </cell>
          <cell r="D2369">
            <v>3.5000000000000003E-2</v>
          </cell>
        </row>
        <row r="2370">
          <cell r="C2370" t="str">
            <v>Rabun, GA</v>
          </cell>
          <cell r="D2370">
            <v>4.3999999999999997E-2</v>
          </cell>
        </row>
        <row r="2371">
          <cell r="C2371" t="str">
            <v>Racine, WI</v>
          </cell>
          <cell r="D2371">
            <v>6.0999999999999999E-2</v>
          </cell>
        </row>
        <row r="2372">
          <cell r="C2372" t="str">
            <v>Radford City, VA</v>
          </cell>
          <cell r="D2372">
            <v>4.3999999999999997E-2</v>
          </cell>
        </row>
        <row r="2373">
          <cell r="C2373" t="str">
            <v>Rains, TX</v>
          </cell>
          <cell r="D2373">
            <v>4.3999999999999997E-2</v>
          </cell>
        </row>
        <row r="2374">
          <cell r="C2374" t="str">
            <v>Raleigh, WV</v>
          </cell>
          <cell r="D2374">
            <v>0.09</v>
          </cell>
        </row>
        <row r="2375">
          <cell r="C2375" t="str">
            <v>Ralls, MO</v>
          </cell>
          <cell r="D2375">
            <v>0.09</v>
          </cell>
        </row>
        <row r="2376">
          <cell r="C2376" t="str">
            <v>Ramsey, MN</v>
          </cell>
          <cell r="D2376">
            <v>6.0999999999999999E-2</v>
          </cell>
        </row>
        <row r="2377">
          <cell r="C2377" t="str">
            <v>Ramsey, ND</v>
          </cell>
          <cell r="D2377">
            <v>0.09</v>
          </cell>
        </row>
        <row r="2378">
          <cell r="C2378" t="str">
            <v>Randall, TX</v>
          </cell>
          <cell r="D2378">
            <v>4.3999999999999997E-2</v>
          </cell>
        </row>
        <row r="2379">
          <cell r="C2379" t="str">
            <v>Randolph, AL</v>
          </cell>
          <cell r="D2379">
            <v>0.09</v>
          </cell>
        </row>
        <row r="2380">
          <cell r="C2380" t="str">
            <v>Randolph, AR</v>
          </cell>
          <cell r="D2380">
            <v>4.3999999999999997E-2</v>
          </cell>
        </row>
        <row r="2381">
          <cell r="C2381" t="str">
            <v>Randolph, GA</v>
          </cell>
          <cell r="D2381">
            <v>4.3999999999999997E-2</v>
          </cell>
        </row>
        <row r="2382">
          <cell r="C2382" t="str">
            <v>Randolph, IL</v>
          </cell>
          <cell r="D2382">
            <v>0.09</v>
          </cell>
        </row>
        <row r="2383">
          <cell r="C2383" t="str">
            <v>Randolph, IN</v>
          </cell>
          <cell r="D2383">
            <v>0.09</v>
          </cell>
        </row>
        <row r="2384">
          <cell r="C2384" t="str">
            <v>Randolph, MO</v>
          </cell>
          <cell r="D2384">
            <v>0.09</v>
          </cell>
        </row>
        <row r="2385">
          <cell r="C2385" t="str">
            <v>Randolph, NC</v>
          </cell>
          <cell r="D2385">
            <v>6.0999999999999999E-2</v>
          </cell>
        </row>
        <row r="2386">
          <cell r="C2386" t="str">
            <v>Randolph, WV</v>
          </cell>
          <cell r="D2386">
            <v>0.09</v>
          </cell>
        </row>
        <row r="2387">
          <cell r="C2387" t="str">
            <v>Rankin, MS</v>
          </cell>
          <cell r="D2387">
            <v>4.3999999999999997E-2</v>
          </cell>
        </row>
        <row r="2388">
          <cell r="C2388" t="str">
            <v>Ransom, ND</v>
          </cell>
          <cell r="D2388">
            <v>0.09</v>
          </cell>
        </row>
        <row r="2389">
          <cell r="C2389" t="str">
            <v>Rapides, LA</v>
          </cell>
          <cell r="D2389">
            <v>0.09</v>
          </cell>
        </row>
        <row r="2390">
          <cell r="C2390" t="str">
            <v>Rappahannock, VA</v>
          </cell>
          <cell r="D2390">
            <v>4.3999999999999997E-2</v>
          </cell>
        </row>
        <row r="2391">
          <cell r="C2391" t="str">
            <v>Ravalli, MT</v>
          </cell>
          <cell r="D2391">
            <v>0.09</v>
          </cell>
        </row>
        <row r="2392">
          <cell r="C2392" t="str">
            <v>Rawlins, KS</v>
          </cell>
          <cell r="D2392">
            <v>0.09</v>
          </cell>
        </row>
        <row r="2393">
          <cell r="C2393" t="str">
            <v>Ray, MO</v>
          </cell>
          <cell r="D2393">
            <v>6.0999999999999999E-2</v>
          </cell>
        </row>
        <row r="2394">
          <cell r="C2394" t="str">
            <v>Reagan, TX</v>
          </cell>
          <cell r="D2394">
            <v>4.3999999999999997E-2</v>
          </cell>
        </row>
        <row r="2395">
          <cell r="C2395" t="str">
            <v>Real, TX</v>
          </cell>
          <cell r="D2395" t="str">
            <v xml:space="preserve"> </v>
          </cell>
        </row>
        <row r="2396">
          <cell r="C2396" t="str">
            <v>Red Lake, MN</v>
          </cell>
          <cell r="D2396">
            <v>0.09</v>
          </cell>
        </row>
        <row r="2397">
          <cell r="C2397" t="str">
            <v>Red River, LA</v>
          </cell>
          <cell r="D2397">
            <v>0.09</v>
          </cell>
        </row>
        <row r="2398">
          <cell r="C2398" t="str">
            <v>Red River, TX</v>
          </cell>
          <cell r="D2398">
            <v>4.3999999999999997E-2</v>
          </cell>
        </row>
        <row r="2399">
          <cell r="C2399" t="str">
            <v>Red Willow, NE</v>
          </cell>
          <cell r="D2399">
            <v>0.09</v>
          </cell>
        </row>
        <row r="2400">
          <cell r="C2400" t="str">
            <v>Redwood, MN</v>
          </cell>
          <cell r="D2400">
            <v>0.09</v>
          </cell>
        </row>
        <row r="2401">
          <cell r="C2401" t="str">
            <v>Reeves, TX</v>
          </cell>
          <cell r="D2401">
            <v>4.3999999999999997E-2</v>
          </cell>
        </row>
        <row r="2402">
          <cell r="C2402" t="str">
            <v>Refugio, TX</v>
          </cell>
          <cell r="D2402">
            <v>4.3999999999999997E-2</v>
          </cell>
        </row>
        <row r="2403">
          <cell r="C2403" t="str">
            <v>Reno, KS</v>
          </cell>
          <cell r="D2403">
            <v>0.09</v>
          </cell>
        </row>
        <row r="2404">
          <cell r="C2404" t="str">
            <v>Rensselaer, NY</v>
          </cell>
          <cell r="D2404">
            <v>3.5000000000000003E-2</v>
          </cell>
        </row>
        <row r="2405">
          <cell r="C2405" t="str">
            <v>Renville, MN</v>
          </cell>
          <cell r="D2405">
            <v>0.09</v>
          </cell>
        </row>
        <row r="2406">
          <cell r="C2406" t="str">
            <v>Renville, ND</v>
          </cell>
          <cell r="D2406">
            <v>0.09</v>
          </cell>
        </row>
        <row r="2407">
          <cell r="C2407" t="str">
            <v>Republic, KS</v>
          </cell>
          <cell r="D2407">
            <v>0.09</v>
          </cell>
        </row>
        <row r="2408">
          <cell r="C2408" t="str">
            <v>Reynolds, MO</v>
          </cell>
          <cell r="D2408">
            <v>3.5000000000000003E-2</v>
          </cell>
        </row>
        <row r="2409">
          <cell r="C2409" t="str">
            <v>Rhea, TN</v>
          </cell>
          <cell r="D2409">
            <v>0.09</v>
          </cell>
        </row>
        <row r="2410">
          <cell r="C2410" t="str">
            <v>Rice, KS</v>
          </cell>
          <cell r="D2410">
            <v>0.09</v>
          </cell>
        </row>
        <row r="2411">
          <cell r="C2411" t="str">
            <v>Rice, MN</v>
          </cell>
          <cell r="D2411">
            <v>0.09</v>
          </cell>
        </row>
        <row r="2412">
          <cell r="C2412" t="str">
            <v>Rich, UT</v>
          </cell>
          <cell r="D2412">
            <v>4.3999999999999997E-2</v>
          </cell>
        </row>
        <row r="2413">
          <cell r="C2413" t="str">
            <v>Richardson, NE</v>
          </cell>
          <cell r="D2413">
            <v>0.09</v>
          </cell>
        </row>
        <row r="2414">
          <cell r="C2414" t="str">
            <v>Richland, IL</v>
          </cell>
          <cell r="D2414">
            <v>0.09</v>
          </cell>
        </row>
        <row r="2415">
          <cell r="C2415" t="str">
            <v>Richland, LA</v>
          </cell>
          <cell r="D2415">
            <v>5.7000000000000002E-2</v>
          </cell>
        </row>
        <row r="2416">
          <cell r="C2416" t="str">
            <v>Richland, MT</v>
          </cell>
          <cell r="D2416">
            <v>0.09</v>
          </cell>
        </row>
        <row r="2417">
          <cell r="C2417" t="str">
            <v>Richland, ND</v>
          </cell>
          <cell r="D2417">
            <v>0.09</v>
          </cell>
        </row>
        <row r="2418">
          <cell r="C2418" t="str">
            <v>Richland, OH</v>
          </cell>
          <cell r="D2418">
            <v>0.09</v>
          </cell>
        </row>
        <row r="2419">
          <cell r="C2419" t="str">
            <v>Richland, SC</v>
          </cell>
          <cell r="D2419">
            <v>6.0999999999999999E-2</v>
          </cell>
        </row>
        <row r="2420">
          <cell r="C2420" t="str">
            <v>Richland, WI</v>
          </cell>
          <cell r="D2420">
            <v>0.09</v>
          </cell>
        </row>
        <row r="2421">
          <cell r="C2421" t="str">
            <v>Richmond, GA</v>
          </cell>
          <cell r="D2421">
            <v>4.3999999999999997E-2</v>
          </cell>
        </row>
        <row r="2422">
          <cell r="C2422" t="str">
            <v>Richmond, NC</v>
          </cell>
          <cell r="D2422">
            <v>4.3999999999999997E-2</v>
          </cell>
        </row>
        <row r="2423">
          <cell r="C2423" t="str">
            <v>Richmond, NY</v>
          </cell>
          <cell r="D2423">
            <v>4.4999999999999998E-2</v>
          </cell>
        </row>
        <row r="2424">
          <cell r="C2424" t="str">
            <v>Richmond, VA</v>
          </cell>
          <cell r="D2424">
            <v>4.3999999999999997E-2</v>
          </cell>
        </row>
        <row r="2425">
          <cell r="C2425" t="str">
            <v>Richmond City, VA</v>
          </cell>
          <cell r="D2425">
            <v>2.4E-2</v>
          </cell>
        </row>
        <row r="2426">
          <cell r="C2426" t="str">
            <v>Riley, KS</v>
          </cell>
          <cell r="D2426">
            <v>0.09</v>
          </cell>
        </row>
        <row r="2427">
          <cell r="C2427" t="str">
            <v>Ringgold, IA</v>
          </cell>
          <cell r="D2427">
            <v>0.09</v>
          </cell>
        </row>
        <row r="2428">
          <cell r="C2428" t="str">
            <v>Rio Arriba, NM</v>
          </cell>
          <cell r="D2428">
            <v>3.5000000000000003E-2</v>
          </cell>
        </row>
        <row r="2429">
          <cell r="C2429" t="str">
            <v>Rio Blanco, CO</v>
          </cell>
          <cell r="D2429">
            <v>4.3999999999999997E-2</v>
          </cell>
        </row>
        <row r="2430">
          <cell r="C2430" t="str">
            <v>Rio Grande, CO</v>
          </cell>
          <cell r="D2430">
            <v>5.7000000000000002E-2</v>
          </cell>
        </row>
        <row r="2431">
          <cell r="C2431" t="str">
            <v>Ripley, IN</v>
          </cell>
          <cell r="D2431">
            <v>0.09</v>
          </cell>
        </row>
        <row r="2432">
          <cell r="C2432" t="str">
            <v>Ripley, MO</v>
          </cell>
          <cell r="D2432">
            <v>5.7000000000000002E-2</v>
          </cell>
        </row>
        <row r="2433">
          <cell r="C2433" t="str">
            <v>Ritchie, WV</v>
          </cell>
          <cell r="D2433">
            <v>0.09</v>
          </cell>
        </row>
        <row r="2434">
          <cell r="C2434" t="str">
            <v>Riverside, CA</v>
          </cell>
          <cell r="D2434">
            <v>2.4E-2</v>
          </cell>
        </row>
        <row r="2435">
          <cell r="C2435" t="str">
            <v>Roane, TN</v>
          </cell>
          <cell r="D2435">
            <v>0.09</v>
          </cell>
        </row>
        <row r="2436">
          <cell r="C2436" t="str">
            <v>Roane, WV</v>
          </cell>
          <cell r="D2436">
            <v>0.09</v>
          </cell>
        </row>
        <row r="2437">
          <cell r="C2437" t="str">
            <v>Roanoke, VA</v>
          </cell>
          <cell r="D2437">
            <v>6.0999999999999999E-2</v>
          </cell>
        </row>
        <row r="2438">
          <cell r="C2438" t="str">
            <v>Roanoke City, VA</v>
          </cell>
          <cell r="D2438">
            <v>6.0999999999999999E-2</v>
          </cell>
        </row>
        <row r="2439">
          <cell r="C2439" t="str">
            <v>Roberts, SD</v>
          </cell>
          <cell r="D2439">
            <v>4.3999999999999997E-2</v>
          </cell>
        </row>
        <row r="2440">
          <cell r="C2440" t="str">
            <v>Roberts, TX</v>
          </cell>
          <cell r="D2440">
            <v>4.3999999999999997E-2</v>
          </cell>
        </row>
        <row r="2441">
          <cell r="C2441" t="str">
            <v>Robertson, KY</v>
          </cell>
          <cell r="D2441">
            <v>0.09</v>
          </cell>
        </row>
        <row r="2442">
          <cell r="C2442" t="str">
            <v>Robertson, TN</v>
          </cell>
          <cell r="D2442">
            <v>6.0999999999999999E-2</v>
          </cell>
        </row>
        <row r="2443">
          <cell r="C2443" t="str">
            <v>Robertson, TX</v>
          </cell>
          <cell r="D2443">
            <v>3.5000000000000003E-2</v>
          </cell>
        </row>
        <row r="2444">
          <cell r="C2444" t="str">
            <v>Robeson, NC</v>
          </cell>
          <cell r="D2444">
            <v>4.3999999999999997E-2</v>
          </cell>
        </row>
        <row r="2445">
          <cell r="C2445" t="str">
            <v>Rock, MN</v>
          </cell>
          <cell r="D2445">
            <v>0.09</v>
          </cell>
        </row>
        <row r="2446">
          <cell r="C2446" t="str">
            <v>Rock, NE</v>
          </cell>
          <cell r="D2446">
            <v>0.09</v>
          </cell>
        </row>
        <row r="2447">
          <cell r="C2447" t="str">
            <v>Rock, WI</v>
          </cell>
          <cell r="D2447">
            <v>0.09</v>
          </cell>
        </row>
        <row r="2448">
          <cell r="C2448" t="str">
            <v>Rock Island, IL</v>
          </cell>
          <cell r="D2448">
            <v>6.0999999999999999E-2</v>
          </cell>
        </row>
        <row r="2449">
          <cell r="C2449" t="str">
            <v>Rockbridge, VA</v>
          </cell>
          <cell r="D2449">
            <v>4.3999999999999997E-2</v>
          </cell>
        </row>
        <row r="2450">
          <cell r="C2450" t="str">
            <v>Rockcastle, KY</v>
          </cell>
          <cell r="D2450">
            <v>0.09</v>
          </cell>
        </row>
        <row r="2451">
          <cell r="C2451" t="str">
            <v>Rockdale, GA</v>
          </cell>
          <cell r="D2451">
            <v>6.0999999999999999E-2</v>
          </cell>
        </row>
        <row r="2452">
          <cell r="C2452" t="str">
            <v>Rockingham, NC</v>
          </cell>
          <cell r="D2452">
            <v>4.3999999999999997E-2</v>
          </cell>
        </row>
        <row r="2453">
          <cell r="C2453" t="str">
            <v>Rockingham, NH</v>
          </cell>
          <cell r="D2453">
            <v>6.0999999999999999E-2</v>
          </cell>
        </row>
        <row r="2454">
          <cell r="C2454" t="str">
            <v>Rockingham, VA</v>
          </cell>
          <cell r="D2454">
            <v>4.3999999999999997E-2</v>
          </cell>
        </row>
        <row r="2455">
          <cell r="C2455" t="str">
            <v>Rockland, NY</v>
          </cell>
          <cell r="D2455">
            <v>6.0999999999999999E-2</v>
          </cell>
        </row>
        <row r="2456">
          <cell r="C2456" t="str">
            <v>Rockwall, TX</v>
          </cell>
          <cell r="D2456">
            <v>6.0999999999999999E-2</v>
          </cell>
        </row>
        <row r="2457">
          <cell r="C2457" t="str">
            <v>Roger Mills, OK</v>
          </cell>
          <cell r="D2457">
            <v>0.09</v>
          </cell>
        </row>
        <row r="2458">
          <cell r="C2458" t="str">
            <v>Rogers, OK</v>
          </cell>
          <cell r="D2458">
            <v>6.0999999999999999E-2</v>
          </cell>
        </row>
        <row r="2459">
          <cell r="C2459" t="str">
            <v>Rolette, ND</v>
          </cell>
          <cell r="D2459">
            <v>0.09</v>
          </cell>
        </row>
        <row r="2460">
          <cell r="C2460" t="str">
            <v>Rooks, KS</v>
          </cell>
          <cell r="D2460">
            <v>0.09</v>
          </cell>
        </row>
        <row r="2461">
          <cell r="C2461" t="str">
            <v>Roosevelt, MT</v>
          </cell>
          <cell r="D2461">
            <v>0.09</v>
          </cell>
        </row>
        <row r="2462">
          <cell r="C2462" t="str">
            <v>Roosevelt, NM</v>
          </cell>
          <cell r="D2462">
            <v>5.7000000000000002E-2</v>
          </cell>
        </row>
        <row r="2463">
          <cell r="C2463" t="str">
            <v>Roscommon, MI</v>
          </cell>
          <cell r="D2463">
            <v>0.09</v>
          </cell>
        </row>
        <row r="2464">
          <cell r="C2464" t="str">
            <v>Roseau, MN</v>
          </cell>
          <cell r="D2464">
            <v>0.09</v>
          </cell>
        </row>
        <row r="2465">
          <cell r="C2465" t="str">
            <v>Rosebud, MT</v>
          </cell>
          <cell r="D2465">
            <v>0.09</v>
          </cell>
        </row>
        <row r="2466">
          <cell r="C2466" t="str">
            <v>Ross, OH</v>
          </cell>
          <cell r="D2466">
            <v>0.09</v>
          </cell>
        </row>
        <row r="2467">
          <cell r="C2467" t="str">
            <v>Routt, CO</v>
          </cell>
          <cell r="D2467">
            <v>6.0999999999999999E-2</v>
          </cell>
        </row>
        <row r="2468">
          <cell r="C2468" t="str">
            <v>Rowan, KY</v>
          </cell>
          <cell r="D2468">
            <v>0.09</v>
          </cell>
        </row>
        <row r="2469">
          <cell r="C2469" t="str">
            <v>Rowan, NC</v>
          </cell>
          <cell r="D2469">
            <v>6.0999999999999999E-2</v>
          </cell>
        </row>
        <row r="2470">
          <cell r="C2470" t="str">
            <v>Runnels, TX</v>
          </cell>
          <cell r="D2470">
            <v>4.3999999999999997E-2</v>
          </cell>
        </row>
        <row r="2471">
          <cell r="C2471" t="str">
            <v>Rush, IN</v>
          </cell>
          <cell r="D2471">
            <v>0.09</v>
          </cell>
        </row>
        <row r="2472">
          <cell r="C2472" t="str">
            <v>Rush, KS</v>
          </cell>
          <cell r="D2472">
            <v>0.09</v>
          </cell>
        </row>
        <row r="2473">
          <cell r="C2473" t="str">
            <v>Rusk, TX</v>
          </cell>
          <cell r="D2473">
            <v>4.3999999999999997E-2</v>
          </cell>
        </row>
        <row r="2474">
          <cell r="C2474" t="str">
            <v>Rusk, WI</v>
          </cell>
          <cell r="D2474">
            <v>0.09</v>
          </cell>
        </row>
        <row r="2475">
          <cell r="C2475" t="str">
            <v>Russell, AL</v>
          </cell>
          <cell r="D2475">
            <v>0.09</v>
          </cell>
        </row>
        <row r="2476">
          <cell r="C2476" t="str">
            <v>Russell, KS</v>
          </cell>
          <cell r="D2476">
            <v>0.09</v>
          </cell>
        </row>
        <row r="2477">
          <cell r="C2477" t="str">
            <v>Russell, KY</v>
          </cell>
          <cell r="D2477">
            <v>0.09</v>
          </cell>
        </row>
        <row r="2478">
          <cell r="C2478" t="str">
            <v>Russell, VA</v>
          </cell>
          <cell r="D2478">
            <v>4.3999999999999997E-2</v>
          </cell>
        </row>
        <row r="2479">
          <cell r="C2479" t="str">
            <v>Rutherford, NC</v>
          </cell>
          <cell r="D2479">
            <v>4.3999999999999997E-2</v>
          </cell>
        </row>
        <row r="2480">
          <cell r="C2480" t="str">
            <v>Rutherford, TN</v>
          </cell>
          <cell r="D2480">
            <v>6.0999999999999999E-2</v>
          </cell>
        </row>
        <row r="2481">
          <cell r="C2481" t="str">
            <v>Rutland, VT</v>
          </cell>
          <cell r="D2481">
            <v>0.09</v>
          </cell>
        </row>
        <row r="2482">
          <cell r="C2482" t="str">
            <v>Sabine, LA</v>
          </cell>
          <cell r="D2482">
            <v>0.09</v>
          </cell>
        </row>
        <row r="2483">
          <cell r="C2483" t="str">
            <v>Sabine, TX</v>
          </cell>
          <cell r="D2483" t="str">
            <v xml:space="preserve"> </v>
          </cell>
        </row>
        <row r="2484">
          <cell r="C2484" t="str">
            <v>Sac, IA</v>
          </cell>
          <cell r="D2484">
            <v>0.09</v>
          </cell>
        </row>
        <row r="2485">
          <cell r="C2485" t="str">
            <v>Sacramento, CA</v>
          </cell>
          <cell r="D2485">
            <v>2.4E-2</v>
          </cell>
        </row>
        <row r="2486">
          <cell r="C2486" t="str">
            <v>Sagadahoc, ME</v>
          </cell>
          <cell r="D2486">
            <v>0.09</v>
          </cell>
        </row>
        <row r="2487">
          <cell r="C2487" t="str">
            <v>Saginaw, MI</v>
          </cell>
          <cell r="D2487">
            <v>0.09</v>
          </cell>
        </row>
        <row r="2488">
          <cell r="C2488" t="str">
            <v>Saguache, CO</v>
          </cell>
          <cell r="D2488">
            <v>4.3999999999999997E-2</v>
          </cell>
        </row>
        <row r="2489">
          <cell r="C2489" t="str">
            <v>Salem, NJ</v>
          </cell>
          <cell r="D2489">
            <v>6.0999999999999999E-2</v>
          </cell>
        </row>
        <row r="2490">
          <cell r="C2490" t="str">
            <v>Salem City, VA</v>
          </cell>
          <cell r="D2490">
            <v>6.0999999999999999E-2</v>
          </cell>
        </row>
        <row r="2491">
          <cell r="C2491" t="str">
            <v>Saline, AR</v>
          </cell>
          <cell r="D2491">
            <v>6.0999999999999999E-2</v>
          </cell>
        </row>
        <row r="2492">
          <cell r="C2492" t="str">
            <v>Saline, IL</v>
          </cell>
          <cell r="D2492">
            <v>0.09</v>
          </cell>
        </row>
        <row r="2493">
          <cell r="C2493" t="str">
            <v>Saline, KS</v>
          </cell>
          <cell r="D2493">
            <v>0.09</v>
          </cell>
        </row>
        <row r="2494">
          <cell r="C2494" t="str">
            <v>Saline, MO</v>
          </cell>
          <cell r="D2494">
            <v>0.09</v>
          </cell>
        </row>
        <row r="2495">
          <cell r="C2495" t="str">
            <v>Saline, NE</v>
          </cell>
          <cell r="D2495">
            <v>0.09</v>
          </cell>
        </row>
        <row r="2496">
          <cell r="C2496" t="str">
            <v>Salt Lake, UT</v>
          </cell>
          <cell r="D2496">
            <v>6.0999999999999999E-2</v>
          </cell>
        </row>
        <row r="2497">
          <cell r="C2497" t="str">
            <v>Saluda, SC</v>
          </cell>
          <cell r="D2497">
            <v>4.3999999999999997E-2</v>
          </cell>
        </row>
        <row r="2498">
          <cell r="C2498" t="str">
            <v>Sampson, NC</v>
          </cell>
          <cell r="D2498">
            <v>4.3999999999999997E-2</v>
          </cell>
        </row>
        <row r="2499">
          <cell r="C2499" t="str">
            <v>San Augustine, TX</v>
          </cell>
          <cell r="D2499">
            <v>4.3999999999999997E-2</v>
          </cell>
        </row>
        <row r="2500">
          <cell r="C2500" t="str">
            <v>San Benito, CA</v>
          </cell>
          <cell r="D2500">
            <v>0.09</v>
          </cell>
        </row>
        <row r="2501">
          <cell r="C2501" t="str">
            <v>San Bernardino, CA</v>
          </cell>
          <cell r="D2501">
            <v>2.4E-2</v>
          </cell>
        </row>
        <row r="2502">
          <cell r="C2502" t="str">
            <v>San Diego, CA</v>
          </cell>
          <cell r="D2502">
            <v>2.4E-2</v>
          </cell>
        </row>
        <row r="2503">
          <cell r="C2503" t="str">
            <v>San Francisco, CA</v>
          </cell>
          <cell r="D2503">
            <v>2.4E-2</v>
          </cell>
        </row>
        <row r="2504">
          <cell r="C2504" t="str">
            <v>San Jacinto, TX</v>
          </cell>
          <cell r="D2504">
            <v>4.3999999999999997E-2</v>
          </cell>
        </row>
        <row r="2505">
          <cell r="C2505" t="str">
            <v>San Joaquin, CA</v>
          </cell>
          <cell r="D2505">
            <v>2.4E-2</v>
          </cell>
        </row>
        <row r="2506">
          <cell r="C2506" t="str">
            <v>San Juan, CO</v>
          </cell>
          <cell r="D2506">
            <v>4.3999999999999997E-2</v>
          </cell>
        </row>
        <row r="2507">
          <cell r="C2507" t="str">
            <v>San Juan, NM</v>
          </cell>
          <cell r="D2507">
            <v>4.3999999999999997E-2</v>
          </cell>
        </row>
        <row r="2508">
          <cell r="C2508" t="str">
            <v>San Juan, UT</v>
          </cell>
          <cell r="D2508">
            <v>4.3999999999999997E-2</v>
          </cell>
        </row>
        <row r="2509">
          <cell r="C2509" t="str">
            <v>San Juan, WA</v>
          </cell>
          <cell r="D2509">
            <v>0.09</v>
          </cell>
        </row>
        <row r="2510">
          <cell r="C2510" t="str">
            <v>San Luis Obispo, CA</v>
          </cell>
          <cell r="D2510">
            <v>5.7000000000000002E-2</v>
          </cell>
        </row>
        <row r="2511">
          <cell r="C2511" t="str">
            <v>San Mateo, CA</v>
          </cell>
          <cell r="D2511">
            <v>3.5000000000000003E-2</v>
          </cell>
        </row>
        <row r="2512">
          <cell r="C2512" t="str">
            <v>San Miguel, CO</v>
          </cell>
          <cell r="D2512">
            <v>4.3999999999999997E-2</v>
          </cell>
        </row>
        <row r="2513">
          <cell r="C2513" t="str">
            <v>San Miguel, NM</v>
          </cell>
          <cell r="D2513">
            <v>3.5000000000000003E-2</v>
          </cell>
        </row>
        <row r="2514">
          <cell r="C2514" t="str">
            <v>San Patricio, TX</v>
          </cell>
          <cell r="D2514">
            <v>5.7000000000000002E-2</v>
          </cell>
        </row>
        <row r="2515">
          <cell r="C2515" t="str">
            <v>San Saba, TX</v>
          </cell>
          <cell r="D2515">
            <v>4.3999999999999997E-2</v>
          </cell>
        </row>
        <row r="2516">
          <cell r="C2516" t="str">
            <v>Sanborn, SD</v>
          </cell>
          <cell r="D2516">
            <v>4.3999999999999997E-2</v>
          </cell>
        </row>
        <row r="2517">
          <cell r="C2517" t="str">
            <v>Sanders, MT</v>
          </cell>
          <cell r="D2517">
            <v>0.09</v>
          </cell>
        </row>
        <row r="2518">
          <cell r="C2518" t="str">
            <v>Sandoval, NM</v>
          </cell>
          <cell r="D2518">
            <v>4.3999999999999997E-2</v>
          </cell>
        </row>
        <row r="2519">
          <cell r="C2519" t="str">
            <v>Sandusky, OH</v>
          </cell>
          <cell r="D2519">
            <v>0.09</v>
          </cell>
        </row>
        <row r="2520">
          <cell r="C2520" t="str">
            <v>Sangamon, IL</v>
          </cell>
          <cell r="D2520">
            <v>3.5000000000000003E-2</v>
          </cell>
        </row>
        <row r="2521">
          <cell r="C2521" t="str">
            <v>Sanilac, MI</v>
          </cell>
          <cell r="D2521">
            <v>0.09</v>
          </cell>
        </row>
        <row r="2522">
          <cell r="C2522" t="str">
            <v>Sanpete, UT</v>
          </cell>
          <cell r="D2522">
            <v>4.3999999999999997E-2</v>
          </cell>
        </row>
        <row r="2523">
          <cell r="C2523" t="str">
            <v>Santa Barbara, CA</v>
          </cell>
          <cell r="D2523">
            <v>5.7000000000000002E-2</v>
          </cell>
        </row>
        <row r="2524">
          <cell r="C2524" t="str">
            <v>Santa Clara, CA</v>
          </cell>
          <cell r="D2524">
            <v>3.5000000000000003E-2</v>
          </cell>
        </row>
        <row r="2525">
          <cell r="C2525" t="str">
            <v>Santa Cruz, AZ</v>
          </cell>
          <cell r="D2525">
            <v>5.7000000000000002E-2</v>
          </cell>
        </row>
        <row r="2526">
          <cell r="C2526" t="str">
            <v>Santa Cruz, CA</v>
          </cell>
          <cell r="D2526">
            <v>5.7000000000000002E-2</v>
          </cell>
        </row>
        <row r="2527">
          <cell r="C2527" t="str">
            <v>Santa Fe, NM</v>
          </cell>
          <cell r="D2527">
            <v>6.0999999999999999E-2</v>
          </cell>
        </row>
        <row r="2528">
          <cell r="C2528" t="str">
            <v>Santa Rosa, FL</v>
          </cell>
          <cell r="D2528">
            <v>4.3999999999999997E-2</v>
          </cell>
        </row>
        <row r="2529">
          <cell r="C2529" t="str">
            <v>Sarasota, FL</v>
          </cell>
          <cell r="D2529">
            <v>5.7000000000000002E-2</v>
          </cell>
        </row>
        <row r="2530">
          <cell r="C2530" t="str">
            <v>Saratoga, NY</v>
          </cell>
          <cell r="D2530">
            <v>5.7000000000000002E-2</v>
          </cell>
        </row>
        <row r="2531">
          <cell r="C2531" t="str">
            <v>Sargent, ND</v>
          </cell>
          <cell r="D2531">
            <v>0.09</v>
          </cell>
        </row>
        <row r="2532">
          <cell r="C2532" t="str">
            <v>Sarpy, NE</v>
          </cell>
          <cell r="D2532">
            <v>6.0999999999999999E-2</v>
          </cell>
        </row>
        <row r="2533">
          <cell r="C2533" t="str">
            <v>Sauk, WI</v>
          </cell>
          <cell r="D2533">
            <v>5.7000000000000002E-2</v>
          </cell>
        </row>
        <row r="2534">
          <cell r="C2534" t="str">
            <v>Saunders, NE</v>
          </cell>
          <cell r="D2534">
            <v>0.09</v>
          </cell>
        </row>
        <row r="2535">
          <cell r="C2535" t="str">
            <v>Sawyer, WI</v>
          </cell>
          <cell r="D2535">
            <v>0.09</v>
          </cell>
        </row>
        <row r="2536">
          <cell r="C2536" t="str">
            <v>Schenectady, NY</v>
          </cell>
          <cell r="D2536">
            <v>3.5000000000000003E-2</v>
          </cell>
        </row>
        <row r="2537">
          <cell r="C2537" t="str">
            <v>Schleicher, TX</v>
          </cell>
          <cell r="D2537">
            <v>4.3999999999999997E-2</v>
          </cell>
        </row>
        <row r="2538">
          <cell r="C2538" t="str">
            <v>Schley, GA</v>
          </cell>
          <cell r="D2538">
            <v>4.3999999999999997E-2</v>
          </cell>
        </row>
        <row r="2539">
          <cell r="C2539" t="str">
            <v>Schoharie, NY</v>
          </cell>
          <cell r="D2539">
            <v>6.0999999999999999E-2</v>
          </cell>
        </row>
        <row r="2540">
          <cell r="C2540" t="str">
            <v>Schoolcraft, MI</v>
          </cell>
          <cell r="D2540">
            <v>0.09</v>
          </cell>
        </row>
        <row r="2541">
          <cell r="C2541" t="str">
            <v>Schuyler, IL</v>
          </cell>
          <cell r="D2541">
            <v>0.09</v>
          </cell>
        </row>
        <row r="2542">
          <cell r="C2542" t="str">
            <v>Schuyler, MO</v>
          </cell>
          <cell r="D2542">
            <v>0.09</v>
          </cell>
        </row>
        <row r="2543">
          <cell r="C2543" t="str">
            <v>Schuyler, NY</v>
          </cell>
          <cell r="D2543">
            <v>0.09</v>
          </cell>
        </row>
        <row r="2544">
          <cell r="C2544" t="str">
            <v>Schuylkill, PA</v>
          </cell>
          <cell r="D2544">
            <v>0.09</v>
          </cell>
        </row>
        <row r="2545">
          <cell r="C2545" t="str">
            <v>Scioto, OH</v>
          </cell>
          <cell r="D2545">
            <v>0.09</v>
          </cell>
        </row>
        <row r="2546">
          <cell r="C2546" t="str">
            <v>Scotland, MO</v>
          </cell>
          <cell r="D2546">
            <v>0.09</v>
          </cell>
        </row>
        <row r="2547">
          <cell r="C2547" t="str">
            <v>Scotland, NC</v>
          </cell>
          <cell r="D2547">
            <v>4.3999999999999997E-2</v>
          </cell>
        </row>
        <row r="2548">
          <cell r="C2548" t="str">
            <v>Scott, AR</v>
          </cell>
          <cell r="D2548">
            <v>4.3999999999999997E-2</v>
          </cell>
        </row>
        <row r="2549">
          <cell r="C2549" t="str">
            <v>Scott, IA</v>
          </cell>
          <cell r="D2549">
            <v>6.0999999999999999E-2</v>
          </cell>
        </row>
        <row r="2550">
          <cell r="C2550" t="str">
            <v>Scott, IL</v>
          </cell>
          <cell r="D2550">
            <v>5.7000000000000002E-2</v>
          </cell>
        </row>
        <row r="2551">
          <cell r="C2551" t="str">
            <v>Scott, IN</v>
          </cell>
          <cell r="D2551">
            <v>3.5000000000000003E-2</v>
          </cell>
        </row>
        <row r="2552">
          <cell r="C2552" t="str">
            <v>Scott, KS</v>
          </cell>
          <cell r="D2552">
            <v>0.09</v>
          </cell>
        </row>
        <row r="2553">
          <cell r="C2553" t="str">
            <v>Scott, KY</v>
          </cell>
          <cell r="D2553">
            <v>3.5000000000000003E-2</v>
          </cell>
        </row>
        <row r="2554">
          <cell r="C2554" t="str">
            <v>Scott, MN</v>
          </cell>
          <cell r="D2554">
            <v>6.0999999999999999E-2</v>
          </cell>
        </row>
        <row r="2555">
          <cell r="C2555" t="str">
            <v>Scott, MO</v>
          </cell>
          <cell r="D2555">
            <v>0.09</v>
          </cell>
        </row>
        <row r="2556">
          <cell r="C2556" t="str">
            <v>Scott, MS</v>
          </cell>
          <cell r="D2556">
            <v>4.3999999999999997E-2</v>
          </cell>
        </row>
        <row r="2557">
          <cell r="C2557" t="str">
            <v>Scott, TN</v>
          </cell>
          <cell r="D2557">
            <v>0.09</v>
          </cell>
        </row>
        <row r="2558">
          <cell r="C2558" t="str">
            <v>Scott, VA</v>
          </cell>
          <cell r="D2558">
            <v>4.3999999999999997E-2</v>
          </cell>
        </row>
        <row r="2559">
          <cell r="C2559" t="str">
            <v>Scotts Bluff, NE</v>
          </cell>
          <cell r="D2559">
            <v>0.09</v>
          </cell>
        </row>
        <row r="2560">
          <cell r="C2560" t="str">
            <v>Screven, GA</v>
          </cell>
          <cell r="D2560">
            <v>4.3999999999999997E-2</v>
          </cell>
        </row>
        <row r="2561">
          <cell r="C2561" t="str">
            <v>Scurry, TX</v>
          </cell>
          <cell r="D2561">
            <v>4.3999999999999997E-2</v>
          </cell>
        </row>
        <row r="2562">
          <cell r="C2562" t="str">
            <v>Searcy, AR</v>
          </cell>
          <cell r="D2562">
            <v>5.7000000000000002E-2</v>
          </cell>
        </row>
        <row r="2563">
          <cell r="C2563" t="str">
            <v>Sebastian, AR</v>
          </cell>
          <cell r="D2563">
            <v>4.3999999999999997E-2</v>
          </cell>
        </row>
        <row r="2564">
          <cell r="C2564" t="str">
            <v>Sedgwick, CO</v>
          </cell>
          <cell r="D2564">
            <v>4.3999999999999997E-2</v>
          </cell>
        </row>
        <row r="2565">
          <cell r="C2565" t="str">
            <v>Sedgwick, KS</v>
          </cell>
          <cell r="D2565">
            <v>6.0999999999999999E-2</v>
          </cell>
        </row>
        <row r="2566">
          <cell r="C2566" t="str">
            <v>Seminole, FL</v>
          </cell>
          <cell r="D2566">
            <v>6.0999999999999999E-2</v>
          </cell>
        </row>
        <row r="2567">
          <cell r="C2567" t="str">
            <v>Seminole, GA</v>
          </cell>
          <cell r="D2567">
            <v>4.3999999999999997E-2</v>
          </cell>
        </row>
        <row r="2568">
          <cell r="C2568" t="str">
            <v>Seminole, OK</v>
          </cell>
          <cell r="D2568">
            <v>0.09</v>
          </cell>
        </row>
        <row r="2569">
          <cell r="C2569" t="str">
            <v>Seneca, NY</v>
          </cell>
          <cell r="D2569">
            <v>0.09</v>
          </cell>
        </row>
        <row r="2570">
          <cell r="C2570" t="str">
            <v>Seneca, OH</v>
          </cell>
          <cell r="D2570">
            <v>0.09</v>
          </cell>
        </row>
        <row r="2571">
          <cell r="C2571" t="str">
            <v>Sequatchie, TN</v>
          </cell>
          <cell r="D2571">
            <v>0.09</v>
          </cell>
        </row>
        <row r="2572">
          <cell r="C2572" t="str">
            <v>Sequoyah, OK</v>
          </cell>
          <cell r="D2572">
            <v>0.09</v>
          </cell>
        </row>
        <row r="2573">
          <cell r="C2573" t="str">
            <v>Sevier, AR</v>
          </cell>
          <cell r="D2573">
            <v>4.3999999999999997E-2</v>
          </cell>
        </row>
        <row r="2574">
          <cell r="C2574" t="str">
            <v>Sevier, TN</v>
          </cell>
          <cell r="D2574">
            <v>0.09</v>
          </cell>
        </row>
        <row r="2575">
          <cell r="C2575" t="str">
            <v>Sevier, UT</v>
          </cell>
          <cell r="D2575">
            <v>4.3999999999999997E-2</v>
          </cell>
        </row>
        <row r="2576">
          <cell r="C2576" t="str">
            <v>Seward, KS</v>
          </cell>
          <cell r="D2576">
            <v>0.09</v>
          </cell>
        </row>
        <row r="2577">
          <cell r="C2577" t="str">
            <v>Seward, NE</v>
          </cell>
          <cell r="D2577">
            <v>0.09</v>
          </cell>
        </row>
        <row r="2578">
          <cell r="C2578" t="str">
            <v>Shackelford, TX</v>
          </cell>
          <cell r="D2578">
            <v>4.3999999999999997E-2</v>
          </cell>
        </row>
        <row r="2579">
          <cell r="C2579" t="str">
            <v>Shannon, MO</v>
          </cell>
          <cell r="D2579">
            <v>0.09</v>
          </cell>
        </row>
        <row r="2580">
          <cell r="C2580" t="str">
            <v>Shannon, SD</v>
          </cell>
          <cell r="D2580">
            <v>4.3999999999999997E-2</v>
          </cell>
        </row>
        <row r="2581">
          <cell r="C2581" t="str">
            <v>Sharkey, MS</v>
          </cell>
          <cell r="D2581">
            <v>3.5000000000000003E-2</v>
          </cell>
        </row>
        <row r="2582">
          <cell r="C2582" t="str">
            <v>Sharp, AR</v>
          </cell>
          <cell r="D2582">
            <v>5.7000000000000002E-2</v>
          </cell>
        </row>
        <row r="2583">
          <cell r="C2583" t="str">
            <v>Shasta, CA</v>
          </cell>
          <cell r="D2583">
            <v>5.7000000000000002E-2</v>
          </cell>
        </row>
        <row r="2584">
          <cell r="C2584" t="str">
            <v>Shawano, WI</v>
          </cell>
          <cell r="D2584">
            <v>0.09</v>
          </cell>
        </row>
        <row r="2585">
          <cell r="C2585" t="str">
            <v>Shawnee, KS</v>
          </cell>
          <cell r="D2585">
            <v>6.0999999999999999E-2</v>
          </cell>
        </row>
        <row r="2586">
          <cell r="C2586" t="str">
            <v>Sheboygan, WI</v>
          </cell>
          <cell r="D2586">
            <v>6.0999999999999999E-2</v>
          </cell>
        </row>
        <row r="2587">
          <cell r="C2587" t="str">
            <v>Shelby, AL</v>
          </cell>
          <cell r="D2587">
            <v>6.0999999999999999E-2</v>
          </cell>
        </row>
        <row r="2588">
          <cell r="C2588" t="str">
            <v>Shelby, IA</v>
          </cell>
          <cell r="D2588">
            <v>0.09</v>
          </cell>
        </row>
        <row r="2589">
          <cell r="C2589" t="str">
            <v>Shelby, IL</v>
          </cell>
          <cell r="D2589">
            <v>0.09</v>
          </cell>
        </row>
        <row r="2590">
          <cell r="C2590" t="str">
            <v>Shelby, IN</v>
          </cell>
          <cell r="D2590">
            <v>6.0999999999999999E-2</v>
          </cell>
        </row>
        <row r="2591">
          <cell r="C2591" t="str">
            <v>Shelby, KY</v>
          </cell>
          <cell r="D2591">
            <v>0.09</v>
          </cell>
        </row>
        <row r="2592">
          <cell r="C2592" t="str">
            <v>Shelby, MO</v>
          </cell>
          <cell r="D2592">
            <v>0.09</v>
          </cell>
        </row>
        <row r="2593">
          <cell r="C2593" t="str">
            <v>Shelby, OH</v>
          </cell>
          <cell r="D2593">
            <v>0.09</v>
          </cell>
        </row>
        <row r="2594">
          <cell r="C2594" t="str">
            <v>Shelby, TN</v>
          </cell>
          <cell r="D2594">
            <v>6.0999999999999999E-2</v>
          </cell>
        </row>
        <row r="2595">
          <cell r="C2595" t="str">
            <v>Shelby, TX</v>
          </cell>
          <cell r="D2595">
            <v>4.3999999999999997E-2</v>
          </cell>
        </row>
        <row r="2596">
          <cell r="C2596" t="str">
            <v>Shenandoah, VA</v>
          </cell>
          <cell r="D2596">
            <v>4.3999999999999997E-2</v>
          </cell>
        </row>
        <row r="2597">
          <cell r="C2597" t="str">
            <v>Sherburne, MN</v>
          </cell>
          <cell r="D2597">
            <v>6.0999999999999999E-2</v>
          </cell>
        </row>
        <row r="2598">
          <cell r="C2598" t="str">
            <v>Sheridan, KS</v>
          </cell>
          <cell r="D2598">
            <v>0.09</v>
          </cell>
        </row>
        <row r="2599">
          <cell r="C2599" t="str">
            <v>Sheridan, MT</v>
          </cell>
          <cell r="D2599">
            <v>0.09</v>
          </cell>
        </row>
        <row r="2600">
          <cell r="C2600" t="str">
            <v>Sheridan, ND</v>
          </cell>
          <cell r="D2600">
            <v>0.09</v>
          </cell>
        </row>
        <row r="2601">
          <cell r="C2601" t="str">
            <v>Sheridan, NE</v>
          </cell>
          <cell r="D2601">
            <v>0.09</v>
          </cell>
        </row>
        <row r="2602">
          <cell r="C2602" t="str">
            <v>Sheridan, WY</v>
          </cell>
          <cell r="D2602">
            <v>0.09</v>
          </cell>
        </row>
        <row r="2603">
          <cell r="C2603" t="str">
            <v>Sherman, KS</v>
          </cell>
          <cell r="D2603">
            <v>0.09</v>
          </cell>
        </row>
        <row r="2604">
          <cell r="C2604" t="str">
            <v>Sherman, NE</v>
          </cell>
          <cell r="D2604">
            <v>0.09</v>
          </cell>
        </row>
        <row r="2605">
          <cell r="C2605" t="str">
            <v>Sherman, OR</v>
          </cell>
          <cell r="D2605">
            <v>0.09</v>
          </cell>
        </row>
        <row r="2606">
          <cell r="C2606" t="str">
            <v>Sherman, TX</v>
          </cell>
          <cell r="D2606">
            <v>6.0999999999999999E-2</v>
          </cell>
        </row>
        <row r="2607">
          <cell r="C2607" t="str">
            <v>Shiawassee, MI</v>
          </cell>
          <cell r="D2607">
            <v>0.09</v>
          </cell>
        </row>
        <row r="2608">
          <cell r="C2608" t="str">
            <v>Shoshone, ID</v>
          </cell>
          <cell r="D2608">
            <v>4.3999999999999997E-2</v>
          </cell>
        </row>
        <row r="2609">
          <cell r="C2609" t="str">
            <v>Sibley, MN</v>
          </cell>
          <cell r="D2609">
            <v>0.09</v>
          </cell>
        </row>
        <row r="2610">
          <cell r="C2610" t="str">
            <v>Sierra, CA</v>
          </cell>
          <cell r="D2610">
            <v>0.09</v>
          </cell>
        </row>
        <row r="2611">
          <cell r="C2611" t="str">
            <v>Sierra, NM</v>
          </cell>
          <cell r="D2611">
            <v>3.5000000000000003E-2</v>
          </cell>
        </row>
        <row r="2612">
          <cell r="C2612" t="str">
            <v>Silver Bow, MT</v>
          </cell>
          <cell r="D2612">
            <v>0.09</v>
          </cell>
        </row>
        <row r="2613">
          <cell r="C2613" t="str">
            <v>Simpson, KY</v>
          </cell>
          <cell r="D2613">
            <v>0.09</v>
          </cell>
        </row>
        <row r="2614">
          <cell r="C2614" t="str">
            <v>Simpson, MS</v>
          </cell>
          <cell r="D2614">
            <v>4.3999999999999997E-2</v>
          </cell>
        </row>
        <row r="2615">
          <cell r="C2615" t="str">
            <v>Sioux, IA</v>
          </cell>
          <cell r="D2615">
            <v>0.09</v>
          </cell>
        </row>
        <row r="2616">
          <cell r="C2616" t="str">
            <v>Sioux, ND</v>
          </cell>
          <cell r="D2616">
            <v>0.09</v>
          </cell>
        </row>
        <row r="2617">
          <cell r="C2617" t="str">
            <v>Sioux, NE</v>
          </cell>
          <cell r="D2617">
            <v>0.09</v>
          </cell>
        </row>
        <row r="2618">
          <cell r="C2618" t="str">
            <v>Siskiyou, CA</v>
          </cell>
          <cell r="D2618">
            <v>0.09</v>
          </cell>
        </row>
        <row r="2619">
          <cell r="C2619" t="str">
            <v>Sitka, AK</v>
          </cell>
          <cell r="D2619">
            <v>0.09</v>
          </cell>
        </row>
        <row r="2620">
          <cell r="C2620" t="str">
            <v>Skagit, WA</v>
          </cell>
          <cell r="D2620">
            <v>0.09</v>
          </cell>
        </row>
        <row r="2621">
          <cell r="C2621" t="str">
            <v>Skagway-Yakutat-Angoon, AK</v>
          </cell>
          <cell r="D2621" t="str">
            <v xml:space="preserve"> </v>
          </cell>
        </row>
        <row r="2622">
          <cell r="C2622" t="str">
            <v>Skamania, WA</v>
          </cell>
          <cell r="D2622">
            <v>0.09</v>
          </cell>
        </row>
        <row r="2623">
          <cell r="C2623" t="str">
            <v>Slope, ND</v>
          </cell>
          <cell r="D2623">
            <v>0.09</v>
          </cell>
        </row>
        <row r="2624">
          <cell r="C2624" t="str">
            <v>Smith, KS</v>
          </cell>
          <cell r="D2624">
            <v>0.09</v>
          </cell>
        </row>
        <row r="2625">
          <cell r="C2625" t="str">
            <v>Smith, MS</v>
          </cell>
          <cell r="D2625">
            <v>4.3999999999999997E-2</v>
          </cell>
        </row>
        <row r="2626">
          <cell r="C2626" t="str">
            <v>Smith, TN</v>
          </cell>
          <cell r="D2626">
            <v>0.09</v>
          </cell>
        </row>
        <row r="2627">
          <cell r="C2627" t="str">
            <v>Smith, TX</v>
          </cell>
          <cell r="D2627">
            <v>6.0999999999999999E-2</v>
          </cell>
        </row>
        <row r="2628">
          <cell r="C2628" t="str">
            <v>Smyth, VA</v>
          </cell>
          <cell r="D2628">
            <v>4.3999999999999997E-2</v>
          </cell>
        </row>
        <row r="2629">
          <cell r="C2629" t="str">
            <v>Snohomish, WA</v>
          </cell>
          <cell r="D2629">
            <v>6.0999999999999999E-2</v>
          </cell>
        </row>
        <row r="2630">
          <cell r="C2630" t="str">
            <v>Snyder, PA</v>
          </cell>
          <cell r="D2630">
            <v>0.09</v>
          </cell>
        </row>
        <row r="2631">
          <cell r="C2631" t="str">
            <v>Socorro, NM</v>
          </cell>
          <cell r="D2631">
            <v>5.7000000000000002E-2</v>
          </cell>
        </row>
        <row r="2632">
          <cell r="C2632" t="str">
            <v>Solano, CA</v>
          </cell>
          <cell r="D2632">
            <v>2.4E-2</v>
          </cell>
        </row>
        <row r="2633">
          <cell r="C2633" t="str">
            <v>Somerset, MD</v>
          </cell>
          <cell r="D2633">
            <v>5.7000000000000002E-2</v>
          </cell>
        </row>
        <row r="2634">
          <cell r="C2634" t="str">
            <v>Somerset, ME</v>
          </cell>
          <cell r="D2634">
            <v>3.5000000000000003E-2</v>
          </cell>
        </row>
        <row r="2635">
          <cell r="C2635" t="str">
            <v>Somerset, NJ</v>
          </cell>
          <cell r="D2635">
            <v>6.0999999999999999E-2</v>
          </cell>
        </row>
        <row r="2636">
          <cell r="C2636" t="str">
            <v>Somerset, PA</v>
          </cell>
          <cell r="D2636">
            <v>0.09</v>
          </cell>
        </row>
        <row r="2637">
          <cell r="C2637" t="str">
            <v>Somervell, TX</v>
          </cell>
          <cell r="D2637">
            <v>6.0999999999999999E-2</v>
          </cell>
        </row>
        <row r="2638">
          <cell r="C2638" t="str">
            <v>Sonoma, CA</v>
          </cell>
          <cell r="D2638">
            <v>2.4E-2</v>
          </cell>
        </row>
        <row r="2639">
          <cell r="C2639" t="str">
            <v>South Boston City, VA</v>
          </cell>
          <cell r="D2639" t="str">
            <v xml:space="preserve"> </v>
          </cell>
        </row>
        <row r="2640">
          <cell r="C2640" t="str">
            <v>Southampton, VA</v>
          </cell>
          <cell r="D2640">
            <v>4.3999999999999997E-2</v>
          </cell>
        </row>
        <row r="2641">
          <cell r="C2641" t="str">
            <v>Southeast Fairbanks, AK</v>
          </cell>
          <cell r="D2641">
            <v>0.09</v>
          </cell>
        </row>
        <row r="2642">
          <cell r="C2642" t="str">
            <v>Spalding, GA</v>
          </cell>
          <cell r="D2642">
            <v>5.7000000000000002E-2</v>
          </cell>
        </row>
        <row r="2643">
          <cell r="C2643" t="str">
            <v>Spartanburg, SC</v>
          </cell>
          <cell r="D2643">
            <v>4.3999999999999997E-2</v>
          </cell>
        </row>
        <row r="2644">
          <cell r="C2644" t="str">
            <v>Spencer, IN</v>
          </cell>
          <cell r="D2644">
            <v>0.09</v>
          </cell>
        </row>
        <row r="2645">
          <cell r="C2645" t="str">
            <v>Spencer, KY</v>
          </cell>
          <cell r="D2645">
            <v>0.09</v>
          </cell>
        </row>
        <row r="2646">
          <cell r="C2646" t="str">
            <v>Spink, SD</v>
          </cell>
          <cell r="D2646">
            <v>4.3999999999999997E-2</v>
          </cell>
        </row>
        <row r="2647">
          <cell r="C2647" t="str">
            <v>Spokane, WA</v>
          </cell>
          <cell r="D2647">
            <v>0.09</v>
          </cell>
        </row>
        <row r="2648">
          <cell r="C2648" t="str">
            <v>Spotsylvania, VA</v>
          </cell>
          <cell r="D2648">
            <v>6.0999999999999999E-2</v>
          </cell>
        </row>
        <row r="2649">
          <cell r="C2649" t="str">
            <v>St. Bernard, LA</v>
          </cell>
          <cell r="D2649">
            <v>5.7000000000000002E-2</v>
          </cell>
        </row>
        <row r="2650">
          <cell r="C2650" t="str">
            <v>St. Charles, LA</v>
          </cell>
          <cell r="D2650">
            <v>0.09</v>
          </cell>
        </row>
        <row r="2651">
          <cell r="C2651" t="str">
            <v>St. Charles, MO</v>
          </cell>
          <cell r="D2651">
            <v>6.0999999999999999E-2</v>
          </cell>
        </row>
        <row r="2652">
          <cell r="C2652" t="str">
            <v>St. Clair, AL</v>
          </cell>
          <cell r="D2652">
            <v>6.0999999999999999E-2</v>
          </cell>
        </row>
        <row r="2653">
          <cell r="C2653" t="str">
            <v>St. Clair, IL</v>
          </cell>
          <cell r="D2653">
            <v>6.0999999999999999E-2</v>
          </cell>
        </row>
        <row r="2654">
          <cell r="C2654" t="str">
            <v>St. Clair, MI</v>
          </cell>
          <cell r="D2654">
            <v>6.0999999999999999E-2</v>
          </cell>
        </row>
        <row r="2655">
          <cell r="C2655" t="str">
            <v>St. Clair, MO</v>
          </cell>
          <cell r="D2655">
            <v>0.09</v>
          </cell>
        </row>
        <row r="2656">
          <cell r="C2656" t="str">
            <v>St. Croix, WI</v>
          </cell>
          <cell r="D2656">
            <v>6.0999999999999999E-2</v>
          </cell>
        </row>
        <row r="2657">
          <cell r="C2657" t="str">
            <v>St. Francis, AR</v>
          </cell>
          <cell r="D2657">
            <v>5.7000000000000002E-2</v>
          </cell>
        </row>
        <row r="2658">
          <cell r="C2658" t="str">
            <v>St. Francois, MO</v>
          </cell>
          <cell r="D2658">
            <v>5.7000000000000002E-2</v>
          </cell>
        </row>
        <row r="2659">
          <cell r="C2659" t="str">
            <v>St. Helena, LA</v>
          </cell>
          <cell r="D2659">
            <v>0.09</v>
          </cell>
        </row>
        <row r="2660">
          <cell r="C2660" t="str">
            <v>St. James, LA</v>
          </cell>
          <cell r="D2660">
            <v>5.7000000000000002E-2</v>
          </cell>
        </row>
        <row r="2661">
          <cell r="C2661" t="str">
            <v>St. John the Baptist, LA</v>
          </cell>
          <cell r="D2661">
            <v>0.09</v>
          </cell>
        </row>
        <row r="2662">
          <cell r="C2662" t="str">
            <v>St. Johns, FL</v>
          </cell>
          <cell r="D2662">
            <v>6.0999999999999999E-2</v>
          </cell>
        </row>
        <row r="2663">
          <cell r="C2663" t="str">
            <v>St. Joseph, IN</v>
          </cell>
          <cell r="D2663">
            <v>6.0999999999999999E-2</v>
          </cell>
        </row>
        <row r="2664">
          <cell r="C2664" t="str">
            <v>St. Joseph, MI</v>
          </cell>
          <cell r="D2664">
            <v>0.09</v>
          </cell>
        </row>
        <row r="2665">
          <cell r="C2665" t="str">
            <v>St. Landry, LA</v>
          </cell>
          <cell r="D2665">
            <v>0.09</v>
          </cell>
        </row>
        <row r="2666">
          <cell r="C2666" t="str">
            <v>St. Lawrence, NY</v>
          </cell>
          <cell r="D2666">
            <v>0.09</v>
          </cell>
        </row>
        <row r="2667">
          <cell r="C2667" t="str">
            <v>St. Louis, MN</v>
          </cell>
          <cell r="D2667">
            <v>0.09</v>
          </cell>
        </row>
        <row r="2668">
          <cell r="C2668" t="str">
            <v>St. Louis, MO</v>
          </cell>
          <cell r="D2668">
            <v>6.0999999999999999E-2</v>
          </cell>
        </row>
        <row r="2669">
          <cell r="C2669" t="str">
            <v>St. Louis City, MO</v>
          </cell>
          <cell r="D2669">
            <v>2.4E-2</v>
          </cell>
        </row>
        <row r="2670">
          <cell r="C2670" t="str">
            <v>St. Lucie, FL</v>
          </cell>
          <cell r="D2670">
            <v>6.0999999999999999E-2</v>
          </cell>
        </row>
        <row r="2671">
          <cell r="C2671" t="str">
            <v>St. Martin, LA</v>
          </cell>
          <cell r="D2671">
            <v>0.09</v>
          </cell>
        </row>
        <row r="2672">
          <cell r="C2672" t="str">
            <v>St. Mary, LA</v>
          </cell>
          <cell r="D2672">
            <v>0.09</v>
          </cell>
        </row>
        <row r="2673">
          <cell r="C2673" t="str">
            <v>St. Mary's, MD</v>
          </cell>
          <cell r="D2673">
            <v>6.0999999999999999E-2</v>
          </cell>
        </row>
        <row r="2674">
          <cell r="C2674" t="str">
            <v>St. Tammany, LA</v>
          </cell>
          <cell r="D2674">
            <v>0.09</v>
          </cell>
        </row>
        <row r="2675">
          <cell r="C2675" t="str">
            <v>Stafford, KS</v>
          </cell>
          <cell r="D2675">
            <v>0.09</v>
          </cell>
        </row>
        <row r="2676">
          <cell r="C2676" t="str">
            <v>Stafford, VA</v>
          </cell>
          <cell r="D2676">
            <v>6.0999999999999999E-2</v>
          </cell>
        </row>
        <row r="2677">
          <cell r="C2677" t="str">
            <v>Stanislaus, CA</v>
          </cell>
          <cell r="D2677">
            <v>3.5000000000000003E-2</v>
          </cell>
        </row>
        <row r="2678">
          <cell r="C2678" t="str">
            <v>Stanley, SD</v>
          </cell>
          <cell r="D2678">
            <v>4.3999999999999997E-2</v>
          </cell>
        </row>
        <row r="2679">
          <cell r="C2679" t="str">
            <v>Stanly, NC</v>
          </cell>
          <cell r="D2679">
            <v>4.3999999999999997E-2</v>
          </cell>
        </row>
        <row r="2680">
          <cell r="C2680" t="str">
            <v>Stanton, KS</v>
          </cell>
          <cell r="D2680">
            <v>6.0999999999999999E-2</v>
          </cell>
        </row>
        <row r="2681">
          <cell r="C2681" t="str">
            <v>Stanton, NE</v>
          </cell>
          <cell r="D2681">
            <v>0.09</v>
          </cell>
        </row>
        <row r="2682">
          <cell r="C2682" t="str">
            <v>Stark, IL</v>
          </cell>
          <cell r="D2682">
            <v>0.09</v>
          </cell>
        </row>
        <row r="2683">
          <cell r="C2683" t="str">
            <v>Stark, ND</v>
          </cell>
          <cell r="D2683">
            <v>0.09</v>
          </cell>
        </row>
        <row r="2684">
          <cell r="C2684" t="str">
            <v>Stark, OH</v>
          </cell>
          <cell r="D2684">
            <v>0.09</v>
          </cell>
        </row>
        <row r="2685">
          <cell r="C2685" t="str">
            <v>Starke, IN</v>
          </cell>
          <cell r="D2685">
            <v>0.09</v>
          </cell>
        </row>
        <row r="2686">
          <cell r="C2686" t="str">
            <v>Starr, TX</v>
          </cell>
          <cell r="D2686">
            <v>4.3999999999999997E-2</v>
          </cell>
        </row>
        <row r="2687">
          <cell r="C2687" t="str">
            <v>Staunton City, VA</v>
          </cell>
          <cell r="D2687">
            <v>4.3999999999999997E-2</v>
          </cell>
        </row>
        <row r="2688">
          <cell r="C2688" t="str">
            <v>Ste. Genevieve, MO</v>
          </cell>
          <cell r="D2688">
            <v>0.09</v>
          </cell>
        </row>
        <row r="2689">
          <cell r="C2689" t="str">
            <v>Stearns, MN</v>
          </cell>
          <cell r="D2689">
            <v>0.09</v>
          </cell>
        </row>
        <row r="2690">
          <cell r="C2690" t="str">
            <v>Steele, MN</v>
          </cell>
          <cell r="D2690">
            <v>0.09</v>
          </cell>
        </row>
        <row r="2691">
          <cell r="C2691" t="str">
            <v>Steele, ND</v>
          </cell>
          <cell r="D2691">
            <v>0.09</v>
          </cell>
        </row>
        <row r="2692">
          <cell r="C2692" t="str">
            <v>Stephens, GA</v>
          </cell>
          <cell r="D2692">
            <v>4.3999999999999997E-2</v>
          </cell>
        </row>
        <row r="2693">
          <cell r="C2693" t="str">
            <v>Stephens, OK</v>
          </cell>
          <cell r="D2693">
            <v>0.09</v>
          </cell>
        </row>
        <row r="2694">
          <cell r="C2694" t="str">
            <v>Stephens, TX</v>
          </cell>
          <cell r="D2694">
            <v>4.3999999999999997E-2</v>
          </cell>
        </row>
        <row r="2695">
          <cell r="C2695" t="str">
            <v>Stephenson, IL</v>
          </cell>
          <cell r="D2695">
            <v>0.09</v>
          </cell>
        </row>
        <row r="2696">
          <cell r="C2696" t="str">
            <v>Sterling, TX</v>
          </cell>
          <cell r="D2696">
            <v>4.3999999999999997E-2</v>
          </cell>
        </row>
        <row r="2697">
          <cell r="C2697" t="str">
            <v>Steuben, IN</v>
          </cell>
          <cell r="D2697">
            <v>0.09</v>
          </cell>
        </row>
        <row r="2698">
          <cell r="C2698" t="str">
            <v>Steuben, NY</v>
          </cell>
          <cell r="D2698">
            <v>0.09</v>
          </cell>
        </row>
        <row r="2699">
          <cell r="C2699" t="str">
            <v>Stevens, KS</v>
          </cell>
          <cell r="D2699">
            <v>0.09</v>
          </cell>
        </row>
        <row r="2700">
          <cell r="C2700" t="str">
            <v>Stevens, MN</v>
          </cell>
          <cell r="D2700">
            <v>0.09</v>
          </cell>
        </row>
        <row r="2701">
          <cell r="C2701" t="str">
            <v>Stevens, WA</v>
          </cell>
          <cell r="D2701">
            <v>0.09</v>
          </cell>
        </row>
        <row r="2702">
          <cell r="C2702" t="str">
            <v>Stewart, GA</v>
          </cell>
          <cell r="D2702">
            <v>4.3999999999999997E-2</v>
          </cell>
        </row>
        <row r="2703">
          <cell r="C2703" t="str">
            <v>Stewart, TN</v>
          </cell>
          <cell r="D2703">
            <v>0.09</v>
          </cell>
        </row>
        <row r="2704">
          <cell r="C2704" t="str">
            <v>Stillwater, MT</v>
          </cell>
          <cell r="D2704">
            <v>0.09</v>
          </cell>
        </row>
        <row r="2705">
          <cell r="C2705" t="str">
            <v>Stoddard, MO</v>
          </cell>
          <cell r="D2705">
            <v>0.09</v>
          </cell>
        </row>
        <row r="2706">
          <cell r="C2706" t="str">
            <v>Stokes, NC</v>
          </cell>
          <cell r="D2706">
            <v>6.0999999999999999E-2</v>
          </cell>
        </row>
        <row r="2707">
          <cell r="C2707" t="str">
            <v>Stone, AR</v>
          </cell>
          <cell r="D2707">
            <v>4.3999999999999997E-2</v>
          </cell>
        </row>
        <row r="2708">
          <cell r="C2708" t="str">
            <v>Stone, MO</v>
          </cell>
          <cell r="D2708">
            <v>0.09</v>
          </cell>
        </row>
        <row r="2709">
          <cell r="C2709" t="str">
            <v>Stone, MS</v>
          </cell>
          <cell r="D2709">
            <v>4.3999999999999997E-2</v>
          </cell>
        </row>
        <row r="2710">
          <cell r="C2710" t="str">
            <v>Stonewall, TX</v>
          </cell>
          <cell r="D2710">
            <v>5.7000000000000002E-2</v>
          </cell>
        </row>
        <row r="2711">
          <cell r="C2711" t="str">
            <v>Storey, NV</v>
          </cell>
          <cell r="D2711">
            <v>0.09</v>
          </cell>
        </row>
        <row r="2712">
          <cell r="C2712" t="str">
            <v>Story, IA</v>
          </cell>
          <cell r="D2712">
            <v>0.09</v>
          </cell>
        </row>
        <row r="2713">
          <cell r="C2713" t="str">
            <v>Strafford, NH</v>
          </cell>
          <cell r="D2713">
            <v>0.09</v>
          </cell>
        </row>
        <row r="2714">
          <cell r="C2714" t="str">
            <v>Stutsman, ND</v>
          </cell>
          <cell r="D2714">
            <v>0.09</v>
          </cell>
        </row>
        <row r="2715">
          <cell r="C2715" t="str">
            <v>Sublette, WY</v>
          </cell>
          <cell r="D2715">
            <v>0.09</v>
          </cell>
        </row>
        <row r="2716">
          <cell r="C2716" t="str">
            <v>Suffolk, MA</v>
          </cell>
          <cell r="D2716">
            <v>4.4999999999999998E-2</v>
          </cell>
        </row>
        <row r="2717">
          <cell r="C2717" t="str">
            <v>Suffolk, NY</v>
          </cell>
          <cell r="D2717">
            <v>2.1999999999999999E-2</v>
          </cell>
        </row>
        <row r="2718">
          <cell r="C2718" t="str">
            <v>Suffolk City, VA</v>
          </cell>
          <cell r="D2718">
            <v>6.0999999999999999E-2</v>
          </cell>
        </row>
        <row r="2719">
          <cell r="C2719" t="str">
            <v>Sullivan, IN</v>
          </cell>
          <cell r="D2719">
            <v>0.09</v>
          </cell>
        </row>
        <row r="2720">
          <cell r="C2720" t="str">
            <v>Sullivan, MO</v>
          </cell>
          <cell r="D2720">
            <v>0.09</v>
          </cell>
        </row>
        <row r="2721">
          <cell r="C2721" t="str">
            <v>Sullivan, NH</v>
          </cell>
          <cell r="D2721">
            <v>0.09</v>
          </cell>
        </row>
        <row r="2722">
          <cell r="C2722" t="str">
            <v>Sullivan, NY</v>
          </cell>
          <cell r="D2722">
            <v>0.09</v>
          </cell>
        </row>
        <row r="2723">
          <cell r="C2723" t="str">
            <v>Sullivan, PA</v>
          </cell>
          <cell r="D2723">
            <v>0.09</v>
          </cell>
        </row>
        <row r="2724">
          <cell r="C2724" t="str">
            <v>Sullivan, TN</v>
          </cell>
          <cell r="D2724">
            <v>0.09</v>
          </cell>
        </row>
        <row r="2725">
          <cell r="C2725" t="str">
            <v>Sully, SD</v>
          </cell>
          <cell r="D2725">
            <v>4.3999999999999997E-2</v>
          </cell>
        </row>
        <row r="2726">
          <cell r="C2726" t="str">
            <v>Summers, WV</v>
          </cell>
          <cell r="D2726">
            <v>0.09</v>
          </cell>
        </row>
        <row r="2727">
          <cell r="C2727" t="str">
            <v>Summit, CO</v>
          </cell>
          <cell r="D2727">
            <v>6.0999999999999999E-2</v>
          </cell>
        </row>
        <row r="2728">
          <cell r="C2728" t="str">
            <v>Summit, OH</v>
          </cell>
          <cell r="D2728">
            <v>6.0999999999999999E-2</v>
          </cell>
        </row>
        <row r="2729">
          <cell r="C2729" t="str">
            <v>Summit, UT</v>
          </cell>
          <cell r="D2729">
            <v>3.5000000000000003E-2</v>
          </cell>
        </row>
        <row r="2730">
          <cell r="C2730" t="str">
            <v>Sumner, KS</v>
          </cell>
          <cell r="D2730">
            <v>0.09</v>
          </cell>
        </row>
        <row r="2731">
          <cell r="C2731" t="str">
            <v>Sumner, TN</v>
          </cell>
          <cell r="D2731">
            <v>6.0999999999999999E-2</v>
          </cell>
        </row>
        <row r="2732">
          <cell r="C2732" t="str">
            <v>Sumter, AL</v>
          </cell>
          <cell r="D2732">
            <v>5.7000000000000002E-2</v>
          </cell>
        </row>
        <row r="2733">
          <cell r="C2733" t="str">
            <v>Sumter, FL</v>
          </cell>
          <cell r="D2733">
            <v>4.3999999999999997E-2</v>
          </cell>
        </row>
        <row r="2734">
          <cell r="C2734" t="str">
            <v>Sumter, GA</v>
          </cell>
          <cell r="D2734">
            <v>4.3999999999999997E-2</v>
          </cell>
        </row>
        <row r="2735">
          <cell r="C2735" t="str">
            <v>Sumter, SC</v>
          </cell>
          <cell r="D2735">
            <v>4.3999999999999997E-2</v>
          </cell>
        </row>
        <row r="2736">
          <cell r="C2736" t="str">
            <v>Sunflower, MS</v>
          </cell>
          <cell r="D2736">
            <v>4.3999999999999997E-2</v>
          </cell>
        </row>
        <row r="2737">
          <cell r="C2737" t="str">
            <v>Surry, NC</v>
          </cell>
          <cell r="D2737">
            <v>4.3999999999999997E-2</v>
          </cell>
        </row>
        <row r="2738">
          <cell r="C2738" t="str">
            <v>Surry, VA</v>
          </cell>
          <cell r="D2738">
            <v>4.3999999999999997E-2</v>
          </cell>
        </row>
        <row r="2739">
          <cell r="C2739" t="str">
            <v>Susquehanna, PA</v>
          </cell>
          <cell r="D2739">
            <v>0.09</v>
          </cell>
        </row>
        <row r="2740">
          <cell r="C2740" t="str">
            <v>Sussex, DE</v>
          </cell>
          <cell r="D2740">
            <v>0.09</v>
          </cell>
        </row>
        <row r="2741">
          <cell r="C2741" t="str">
            <v>Sussex, NJ</v>
          </cell>
          <cell r="D2741">
            <v>6.0999999999999999E-2</v>
          </cell>
        </row>
        <row r="2742">
          <cell r="C2742" t="str">
            <v>Sussex, VA</v>
          </cell>
          <cell r="D2742">
            <v>4.3999999999999997E-2</v>
          </cell>
        </row>
        <row r="2743">
          <cell r="C2743" t="str">
            <v>Sutter, CA</v>
          </cell>
          <cell r="D2743">
            <v>5.7000000000000002E-2</v>
          </cell>
        </row>
        <row r="2744">
          <cell r="C2744" t="str">
            <v>Sutton, TX</v>
          </cell>
          <cell r="D2744">
            <v>4.3999999999999997E-2</v>
          </cell>
        </row>
        <row r="2745">
          <cell r="C2745" t="str">
            <v>Suwannee, FL</v>
          </cell>
          <cell r="D2745">
            <v>5.7000000000000002E-2</v>
          </cell>
        </row>
        <row r="2746">
          <cell r="C2746" t="str">
            <v>Swain, NC</v>
          </cell>
          <cell r="D2746">
            <v>4.3999999999999997E-2</v>
          </cell>
        </row>
        <row r="2747">
          <cell r="C2747" t="str">
            <v>Sweet Grass, MT</v>
          </cell>
          <cell r="D2747">
            <v>0.09</v>
          </cell>
        </row>
        <row r="2748">
          <cell r="C2748" t="str">
            <v>Sweetwater, WY</v>
          </cell>
          <cell r="D2748">
            <v>0.09</v>
          </cell>
        </row>
        <row r="2749">
          <cell r="C2749" t="str">
            <v>Swift, MN</v>
          </cell>
          <cell r="D2749">
            <v>0.09</v>
          </cell>
        </row>
        <row r="2750">
          <cell r="C2750" t="str">
            <v>Swisher, TX</v>
          </cell>
          <cell r="D2750">
            <v>4.3999999999999997E-2</v>
          </cell>
        </row>
        <row r="2751">
          <cell r="C2751" t="str">
            <v>Switzerland, IN</v>
          </cell>
          <cell r="D2751">
            <v>0.09</v>
          </cell>
        </row>
        <row r="2752">
          <cell r="C2752" t="str">
            <v>Talbot, GA</v>
          </cell>
          <cell r="D2752">
            <v>4.3999999999999997E-2</v>
          </cell>
        </row>
        <row r="2753">
          <cell r="C2753" t="str">
            <v>Talbot, MD</v>
          </cell>
          <cell r="D2753">
            <v>5.7000000000000002E-2</v>
          </cell>
        </row>
        <row r="2754">
          <cell r="C2754" t="str">
            <v>Taliaferro, GA</v>
          </cell>
          <cell r="D2754">
            <v>5.7000000000000002E-2</v>
          </cell>
        </row>
        <row r="2755">
          <cell r="C2755" t="str">
            <v>Talladega, AL</v>
          </cell>
          <cell r="D2755">
            <v>0.09</v>
          </cell>
        </row>
        <row r="2756">
          <cell r="C2756" t="str">
            <v>Tallahatchie, MS</v>
          </cell>
          <cell r="D2756">
            <v>5.7000000000000002E-2</v>
          </cell>
        </row>
        <row r="2757">
          <cell r="C2757" t="str">
            <v>Tallapoosa, AL</v>
          </cell>
          <cell r="D2757">
            <v>0.09</v>
          </cell>
        </row>
        <row r="2758">
          <cell r="C2758" t="str">
            <v>Tama, IA</v>
          </cell>
          <cell r="D2758">
            <v>0.09</v>
          </cell>
        </row>
        <row r="2759">
          <cell r="C2759" t="str">
            <v>Taney, MO</v>
          </cell>
          <cell r="D2759">
            <v>0.09</v>
          </cell>
        </row>
        <row r="2760">
          <cell r="C2760" t="str">
            <v>Tangipahoa, LA</v>
          </cell>
          <cell r="D2760">
            <v>5.7000000000000002E-2</v>
          </cell>
        </row>
        <row r="2761">
          <cell r="C2761" t="str">
            <v>Taos, NM</v>
          </cell>
          <cell r="D2761">
            <v>5.7000000000000002E-2</v>
          </cell>
        </row>
        <row r="2762">
          <cell r="C2762" t="str">
            <v>Tarrant, TX</v>
          </cell>
          <cell r="D2762">
            <v>4.4999999999999998E-2</v>
          </cell>
        </row>
        <row r="2763">
          <cell r="C2763" t="str">
            <v>Tate, MS</v>
          </cell>
          <cell r="D2763">
            <v>4.3999999999999997E-2</v>
          </cell>
        </row>
        <row r="2764">
          <cell r="C2764" t="str">
            <v>Tattnall, GA</v>
          </cell>
          <cell r="D2764">
            <v>4.3999999999999997E-2</v>
          </cell>
        </row>
        <row r="2765">
          <cell r="C2765" t="str">
            <v>Taylor, FL</v>
          </cell>
          <cell r="D2765">
            <v>4.3999999999999997E-2</v>
          </cell>
        </row>
        <row r="2766">
          <cell r="C2766" t="str">
            <v>Taylor, GA</v>
          </cell>
          <cell r="D2766">
            <v>4.3999999999999997E-2</v>
          </cell>
        </row>
        <row r="2767">
          <cell r="C2767" t="str">
            <v>Taylor, IA</v>
          </cell>
          <cell r="D2767">
            <v>0.09</v>
          </cell>
        </row>
        <row r="2768">
          <cell r="C2768" t="str">
            <v>Taylor, KY</v>
          </cell>
          <cell r="D2768">
            <v>0.09</v>
          </cell>
        </row>
        <row r="2769">
          <cell r="C2769" t="str">
            <v>Taylor, TX</v>
          </cell>
          <cell r="D2769">
            <v>4.3999999999999997E-2</v>
          </cell>
        </row>
        <row r="2770">
          <cell r="C2770" t="str">
            <v>Taylor, WI</v>
          </cell>
          <cell r="D2770">
            <v>0.09</v>
          </cell>
        </row>
        <row r="2771">
          <cell r="C2771" t="str">
            <v>Taylor, WV</v>
          </cell>
          <cell r="D2771">
            <v>0.09</v>
          </cell>
        </row>
        <row r="2772">
          <cell r="C2772" t="str">
            <v>Tazewell, IL</v>
          </cell>
          <cell r="D2772">
            <v>6.0999999999999999E-2</v>
          </cell>
        </row>
        <row r="2773">
          <cell r="C2773" t="str">
            <v>Tazewell, VA</v>
          </cell>
          <cell r="D2773">
            <v>4.3999999999999997E-2</v>
          </cell>
        </row>
        <row r="2774">
          <cell r="C2774" t="str">
            <v>Tehama, CA</v>
          </cell>
          <cell r="D2774">
            <v>0.09</v>
          </cell>
        </row>
        <row r="2775">
          <cell r="C2775" t="str">
            <v>Telfair, GA</v>
          </cell>
          <cell r="D2775">
            <v>4.3999999999999997E-2</v>
          </cell>
        </row>
        <row r="2776">
          <cell r="C2776" t="str">
            <v>Teller, CO</v>
          </cell>
          <cell r="D2776">
            <v>4.3999999999999997E-2</v>
          </cell>
        </row>
        <row r="2777">
          <cell r="C2777" t="str">
            <v>Tensas, LA</v>
          </cell>
          <cell r="D2777">
            <v>5.7000000000000002E-2</v>
          </cell>
        </row>
        <row r="2778">
          <cell r="C2778" t="str">
            <v>Terrebonne, LA</v>
          </cell>
          <cell r="D2778">
            <v>0.09</v>
          </cell>
        </row>
        <row r="2779">
          <cell r="C2779" t="str">
            <v>Terrell, GA</v>
          </cell>
          <cell r="D2779">
            <v>4.3999999999999997E-2</v>
          </cell>
        </row>
        <row r="2780">
          <cell r="C2780" t="str">
            <v>Terrell, TX</v>
          </cell>
          <cell r="D2780">
            <v>4.3999999999999997E-2</v>
          </cell>
        </row>
        <row r="2781">
          <cell r="C2781" t="str">
            <v>Terry, TX</v>
          </cell>
          <cell r="D2781">
            <v>4.3999999999999997E-2</v>
          </cell>
        </row>
        <row r="2782">
          <cell r="C2782" t="str">
            <v>Teton, ID</v>
          </cell>
          <cell r="D2782">
            <v>4.3999999999999997E-2</v>
          </cell>
        </row>
        <row r="2783">
          <cell r="C2783" t="str">
            <v>Teton, MT</v>
          </cell>
          <cell r="D2783">
            <v>0.09</v>
          </cell>
        </row>
        <row r="2784">
          <cell r="C2784" t="str">
            <v>Teton, WY</v>
          </cell>
          <cell r="D2784">
            <v>6.0999999999999999E-2</v>
          </cell>
        </row>
        <row r="2785">
          <cell r="C2785" t="str">
            <v>Texas, MO</v>
          </cell>
          <cell r="D2785">
            <v>0.09</v>
          </cell>
        </row>
        <row r="2786">
          <cell r="C2786" t="str">
            <v>Texas, OK</v>
          </cell>
          <cell r="D2786">
            <v>0.09</v>
          </cell>
        </row>
        <row r="2787">
          <cell r="C2787" t="str">
            <v>Thayer, NE</v>
          </cell>
          <cell r="D2787">
            <v>0.09</v>
          </cell>
        </row>
        <row r="2788">
          <cell r="C2788" t="str">
            <v>Thomas, GA</v>
          </cell>
          <cell r="D2788">
            <v>4.3999999999999997E-2</v>
          </cell>
        </row>
        <row r="2789">
          <cell r="C2789" t="str">
            <v>Thomas, KS</v>
          </cell>
          <cell r="D2789">
            <v>0.09</v>
          </cell>
        </row>
        <row r="2790">
          <cell r="C2790" t="str">
            <v>Thomas, NE</v>
          </cell>
          <cell r="D2790">
            <v>0.09</v>
          </cell>
        </row>
        <row r="2791">
          <cell r="C2791" t="str">
            <v>Throckmorton, TX</v>
          </cell>
          <cell r="D2791">
            <v>4.3999999999999997E-2</v>
          </cell>
        </row>
        <row r="2792">
          <cell r="C2792" t="str">
            <v>Thurston, NE</v>
          </cell>
          <cell r="D2792">
            <v>0.09</v>
          </cell>
        </row>
        <row r="2793">
          <cell r="C2793" t="str">
            <v>Thurston, WA</v>
          </cell>
          <cell r="D2793">
            <v>5.7000000000000002E-2</v>
          </cell>
        </row>
        <row r="2794">
          <cell r="C2794" t="str">
            <v>Tift, GA</v>
          </cell>
          <cell r="D2794">
            <v>4.3999999999999997E-2</v>
          </cell>
        </row>
        <row r="2795">
          <cell r="C2795" t="str">
            <v>Tillamook, OR</v>
          </cell>
          <cell r="D2795">
            <v>0.09</v>
          </cell>
        </row>
        <row r="2796">
          <cell r="C2796" t="str">
            <v>Tillman, OK</v>
          </cell>
          <cell r="D2796">
            <v>0.09</v>
          </cell>
        </row>
        <row r="2797">
          <cell r="C2797" t="str">
            <v>Tioga, NY</v>
          </cell>
          <cell r="D2797">
            <v>0.09</v>
          </cell>
        </row>
        <row r="2798">
          <cell r="C2798" t="str">
            <v>Tioga, PA</v>
          </cell>
          <cell r="D2798">
            <v>0.09</v>
          </cell>
        </row>
        <row r="2799">
          <cell r="C2799" t="str">
            <v>Tippah, MS</v>
          </cell>
          <cell r="D2799">
            <v>4.3999999999999997E-2</v>
          </cell>
        </row>
        <row r="2800">
          <cell r="C2800" t="str">
            <v>Tippecanoe, IN</v>
          </cell>
          <cell r="D2800">
            <v>0.09</v>
          </cell>
        </row>
        <row r="2801">
          <cell r="C2801" t="str">
            <v>Tipton, IN</v>
          </cell>
          <cell r="D2801">
            <v>6.0999999999999999E-2</v>
          </cell>
        </row>
        <row r="2802">
          <cell r="C2802" t="str">
            <v>Tipton, TN</v>
          </cell>
          <cell r="D2802">
            <v>6.0999999999999999E-2</v>
          </cell>
        </row>
        <row r="2803">
          <cell r="C2803" t="str">
            <v>Tishomingo, MS</v>
          </cell>
          <cell r="D2803">
            <v>4.3999999999999997E-2</v>
          </cell>
        </row>
        <row r="2804">
          <cell r="C2804" t="str">
            <v>Titus, TX</v>
          </cell>
          <cell r="D2804">
            <v>4.3999999999999997E-2</v>
          </cell>
        </row>
        <row r="2805">
          <cell r="C2805" t="str">
            <v>Todd, KY</v>
          </cell>
          <cell r="D2805">
            <v>0.09</v>
          </cell>
        </row>
        <row r="2806">
          <cell r="C2806" t="str">
            <v>Todd, MN</v>
          </cell>
          <cell r="D2806">
            <v>0.09</v>
          </cell>
        </row>
        <row r="2807">
          <cell r="C2807" t="str">
            <v>Todd, SD</v>
          </cell>
          <cell r="D2807">
            <v>4.3999999999999997E-2</v>
          </cell>
        </row>
        <row r="2808">
          <cell r="C2808" t="str">
            <v>Tolland, CT</v>
          </cell>
          <cell r="D2808">
            <v>6.0999999999999999E-2</v>
          </cell>
        </row>
        <row r="2809">
          <cell r="C2809" t="str">
            <v>Tom Green, TX</v>
          </cell>
          <cell r="D2809">
            <v>4.3999999999999997E-2</v>
          </cell>
        </row>
        <row r="2810">
          <cell r="C2810" t="str">
            <v>Tompkins, NY</v>
          </cell>
          <cell r="D2810">
            <v>0.09</v>
          </cell>
        </row>
        <row r="2811">
          <cell r="C2811" t="str">
            <v>Tooele, UT</v>
          </cell>
          <cell r="D2811">
            <v>5.7000000000000002E-2</v>
          </cell>
        </row>
        <row r="2812">
          <cell r="C2812" t="str">
            <v>Toole, MT</v>
          </cell>
          <cell r="D2812">
            <v>0.09</v>
          </cell>
        </row>
        <row r="2813">
          <cell r="C2813" t="str">
            <v>Toombs, GA</v>
          </cell>
          <cell r="D2813">
            <v>4.3999999999999997E-2</v>
          </cell>
        </row>
        <row r="2814">
          <cell r="C2814" t="str">
            <v>Torrance, NM</v>
          </cell>
          <cell r="D2814">
            <v>3.5000000000000003E-2</v>
          </cell>
        </row>
        <row r="2815">
          <cell r="C2815" t="str">
            <v>Towner, ND</v>
          </cell>
          <cell r="D2815">
            <v>0.09</v>
          </cell>
        </row>
        <row r="2816">
          <cell r="C2816" t="str">
            <v>Towns, GA</v>
          </cell>
          <cell r="D2816">
            <v>4.3999999999999997E-2</v>
          </cell>
        </row>
        <row r="2817">
          <cell r="C2817" t="str">
            <v>Traill, ND</v>
          </cell>
          <cell r="D2817">
            <v>0.09</v>
          </cell>
        </row>
        <row r="2818">
          <cell r="C2818" t="str">
            <v>Transylvania, NC</v>
          </cell>
          <cell r="D2818">
            <v>4.3999999999999997E-2</v>
          </cell>
        </row>
        <row r="2819">
          <cell r="C2819" t="str">
            <v>Traverse, MN</v>
          </cell>
          <cell r="D2819">
            <v>0.09</v>
          </cell>
        </row>
        <row r="2820">
          <cell r="C2820" t="str">
            <v>Travis, TX</v>
          </cell>
          <cell r="D2820">
            <v>6.0999999999999999E-2</v>
          </cell>
        </row>
        <row r="2821">
          <cell r="C2821" t="str">
            <v>Treasure, MT</v>
          </cell>
          <cell r="D2821">
            <v>0.09</v>
          </cell>
        </row>
        <row r="2822">
          <cell r="C2822" t="str">
            <v>Trego, KS</v>
          </cell>
          <cell r="D2822">
            <v>0.09</v>
          </cell>
        </row>
        <row r="2823">
          <cell r="C2823" t="str">
            <v>Trempealeau, WI</v>
          </cell>
          <cell r="D2823">
            <v>0.09</v>
          </cell>
        </row>
        <row r="2824">
          <cell r="C2824" t="str">
            <v>Treutlen, GA</v>
          </cell>
          <cell r="D2824">
            <v>4.3999999999999997E-2</v>
          </cell>
        </row>
        <row r="2825">
          <cell r="C2825" t="str">
            <v>Trigg, KY</v>
          </cell>
          <cell r="D2825">
            <v>0.09</v>
          </cell>
        </row>
        <row r="2826">
          <cell r="C2826" t="str">
            <v>Trimble, KY</v>
          </cell>
          <cell r="D2826">
            <v>0.09</v>
          </cell>
        </row>
        <row r="2827">
          <cell r="C2827" t="str">
            <v>Trinity, CA</v>
          </cell>
          <cell r="D2827">
            <v>0.09</v>
          </cell>
        </row>
        <row r="2828">
          <cell r="C2828" t="str">
            <v>Trinity, TX</v>
          </cell>
          <cell r="D2828">
            <v>4.3999999999999997E-2</v>
          </cell>
        </row>
        <row r="2829">
          <cell r="C2829" t="str">
            <v>Tripp, SD</v>
          </cell>
          <cell r="D2829">
            <v>4.3999999999999997E-2</v>
          </cell>
        </row>
        <row r="2830">
          <cell r="C2830" t="str">
            <v>Troup, GA</v>
          </cell>
          <cell r="D2830">
            <v>4.3999999999999997E-2</v>
          </cell>
        </row>
        <row r="2831">
          <cell r="C2831" t="str">
            <v>Trousdale, TN</v>
          </cell>
          <cell r="D2831">
            <v>0.09</v>
          </cell>
        </row>
        <row r="2832">
          <cell r="C2832" t="str">
            <v>Trumbull, OH</v>
          </cell>
          <cell r="D2832">
            <v>0.09</v>
          </cell>
        </row>
        <row r="2833">
          <cell r="C2833" t="str">
            <v>Tucker, WV</v>
          </cell>
          <cell r="D2833">
            <v>0.09</v>
          </cell>
        </row>
        <row r="2834">
          <cell r="C2834" t="str">
            <v>Tulare, CA</v>
          </cell>
          <cell r="D2834">
            <v>5.7000000000000002E-2</v>
          </cell>
        </row>
        <row r="2835">
          <cell r="C2835" t="str">
            <v>Tulsa, OK</v>
          </cell>
          <cell r="D2835">
            <v>6.0999999999999999E-2</v>
          </cell>
        </row>
        <row r="2836">
          <cell r="C2836" t="str">
            <v>Tunica, MS</v>
          </cell>
          <cell r="D2836">
            <v>4.3999999999999997E-2</v>
          </cell>
        </row>
        <row r="2837">
          <cell r="C2837" t="str">
            <v>Tuolumne, CA</v>
          </cell>
          <cell r="D2837">
            <v>0.09</v>
          </cell>
        </row>
        <row r="2838">
          <cell r="C2838" t="str">
            <v>Turner, GA</v>
          </cell>
          <cell r="D2838">
            <v>4.3999999999999997E-2</v>
          </cell>
        </row>
        <row r="2839">
          <cell r="C2839" t="str">
            <v>Turner, SD</v>
          </cell>
          <cell r="D2839">
            <v>4.3999999999999997E-2</v>
          </cell>
        </row>
        <row r="2840">
          <cell r="C2840" t="str">
            <v>Tuscaloosa, AL</v>
          </cell>
          <cell r="D2840">
            <v>0.09</v>
          </cell>
        </row>
        <row r="2841">
          <cell r="C2841" t="str">
            <v>Tuscarawas, OH</v>
          </cell>
          <cell r="D2841">
            <v>0.09</v>
          </cell>
        </row>
        <row r="2842">
          <cell r="C2842" t="str">
            <v>Tuscola, MI</v>
          </cell>
          <cell r="D2842">
            <v>0.09</v>
          </cell>
        </row>
        <row r="2843">
          <cell r="C2843" t="str">
            <v>Twiggs, GA</v>
          </cell>
          <cell r="D2843">
            <v>4.3999999999999997E-2</v>
          </cell>
        </row>
        <row r="2844">
          <cell r="C2844" t="str">
            <v>Twin Falls, ID</v>
          </cell>
          <cell r="D2844">
            <v>4.3999999999999997E-2</v>
          </cell>
        </row>
        <row r="2845">
          <cell r="C2845" t="str">
            <v>Tyler, TX</v>
          </cell>
          <cell r="D2845">
            <v>4.3999999999999997E-2</v>
          </cell>
        </row>
        <row r="2846">
          <cell r="C2846" t="str">
            <v>Tyler, WV</v>
          </cell>
          <cell r="D2846">
            <v>0.09</v>
          </cell>
        </row>
        <row r="2847">
          <cell r="C2847" t="str">
            <v>Tyrrell, NC</v>
          </cell>
          <cell r="D2847">
            <v>4.3999999999999997E-2</v>
          </cell>
        </row>
        <row r="2848">
          <cell r="C2848" t="str">
            <v>Uinta, WY</v>
          </cell>
          <cell r="D2848">
            <v>3.5000000000000003E-2</v>
          </cell>
        </row>
        <row r="2849">
          <cell r="C2849" t="str">
            <v>Uintah, UT</v>
          </cell>
          <cell r="D2849">
            <v>5.7000000000000002E-2</v>
          </cell>
        </row>
        <row r="2850">
          <cell r="C2850" t="str">
            <v>Ulster, NY</v>
          </cell>
          <cell r="D2850">
            <v>5.7000000000000002E-2</v>
          </cell>
        </row>
        <row r="2851">
          <cell r="C2851" t="str">
            <v>Umatilla, OR</v>
          </cell>
          <cell r="D2851">
            <v>0.09</v>
          </cell>
        </row>
        <row r="2852">
          <cell r="C2852" t="str">
            <v>Unicoi, TN</v>
          </cell>
          <cell r="D2852">
            <v>0.09</v>
          </cell>
        </row>
        <row r="2853">
          <cell r="C2853" t="str">
            <v>Union, AR</v>
          </cell>
          <cell r="D2853">
            <v>4.3999999999999997E-2</v>
          </cell>
        </row>
        <row r="2854">
          <cell r="C2854" t="str">
            <v>Union, FL</v>
          </cell>
          <cell r="D2854">
            <v>4.3999999999999997E-2</v>
          </cell>
        </row>
        <row r="2855">
          <cell r="C2855" t="str">
            <v>Union, GA</v>
          </cell>
          <cell r="D2855">
            <v>4.3999999999999997E-2</v>
          </cell>
        </row>
        <row r="2856">
          <cell r="C2856" t="str">
            <v>Union, IA</v>
          </cell>
          <cell r="D2856">
            <v>0.09</v>
          </cell>
        </row>
        <row r="2857">
          <cell r="C2857" t="str">
            <v>Union, IL</v>
          </cell>
          <cell r="D2857">
            <v>0.09</v>
          </cell>
        </row>
        <row r="2858">
          <cell r="C2858" t="str">
            <v>Union, IN</v>
          </cell>
          <cell r="D2858">
            <v>0.09</v>
          </cell>
        </row>
        <row r="2859">
          <cell r="C2859" t="str">
            <v>Union, KY</v>
          </cell>
          <cell r="D2859">
            <v>0.09</v>
          </cell>
        </row>
        <row r="2860">
          <cell r="C2860" t="str">
            <v>Union, LA</v>
          </cell>
          <cell r="D2860">
            <v>0.09</v>
          </cell>
        </row>
        <row r="2861">
          <cell r="C2861" t="str">
            <v>Union, MS</v>
          </cell>
          <cell r="D2861">
            <v>4.3999999999999997E-2</v>
          </cell>
        </row>
        <row r="2862">
          <cell r="C2862" t="str">
            <v>Union, NC</v>
          </cell>
          <cell r="D2862">
            <v>6.0999999999999999E-2</v>
          </cell>
        </row>
        <row r="2863">
          <cell r="C2863" t="str">
            <v>Union, NJ</v>
          </cell>
          <cell r="D2863">
            <v>6.0999999999999999E-2</v>
          </cell>
        </row>
        <row r="2864">
          <cell r="C2864" t="str">
            <v>Union, NM</v>
          </cell>
          <cell r="D2864">
            <v>5.7000000000000002E-2</v>
          </cell>
        </row>
        <row r="2865">
          <cell r="C2865" t="str">
            <v>Union, OH</v>
          </cell>
          <cell r="D2865">
            <v>0.09</v>
          </cell>
        </row>
        <row r="2866">
          <cell r="C2866" t="str">
            <v>Union, OR</v>
          </cell>
          <cell r="D2866">
            <v>0.09</v>
          </cell>
        </row>
        <row r="2867">
          <cell r="C2867" t="str">
            <v>Union, PA</v>
          </cell>
          <cell r="D2867">
            <v>0.09</v>
          </cell>
        </row>
        <row r="2868">
          <cell r="C2868" t="str">
            <v>Union, SC</v>
          </cell>
          <cell r="D2868">
            <v>4.3999999999999997E-2</v>
          </cell>
        </row>
        <row r="2869">
          <cell r="C2869" t="str">
            <v>Union, SD</v>
          </cell>
          <cell r="D2869">
            <v>6.0999999999999999E-2</v>
          </cell>
        </row>
        <row r="2870">
          <cell r="C2870" t="str">
            <v>Union, TN</v>
          </cell>
          <cell r="D2870">
            <v>0.09</v>
          </cell>
        </row>
        <row r="2871">
          <cell r="C2871" t="str">
            <v>Upshur, TX</v>
          </cell>
          <cell r="D2871">
            <v>4.3999999999999997E-2</v>
          </cell>
        </row>
        <row r="2872">
          <cell r="C2872" t="str">
            <v>Upshur, WV</v>
          </cell>
          <cell r="D2872">
            <v>0.09</v>
          </cell>
        </row>
        <row r="2873">
          <cell r="C2873" t="str">
            <v>Upson, GA</v>
          </cell>
          <cell r="D2873">
            <v>4.3999999999999997E-2</v>
          </cell>
        </row>
        <row r="2874">
          <cell r="C2874" t="str">
            <v>Upton, TX</v>
          </cell>
          <cell r="D2874">
            <v>4.3999999999999997E-2</v>
          </cell>
        </row>
        <row r="2875">
          <cell r="C2875" t="str">
            <v>Utah, UT</v>
          </cell>
          <cell r="D2875">
            <v>4.3999999999999997E-2</v>
          </cell>
        </row>
        <row r="2876">
          <cell r="C2876" t="str">
            <v>Uvalde, TX</v>
          </cell>
          <cell r="D2876">
            <v>4.3999999999999997E-2</v>
          </cell>
        </row>
        <row r="2877">
          <cell r="C2877" t="str">
            <v>Val Verde, TX</v>
          </cell>
          <cell r="D2877">
            <v>4.3999999999999997E-2</v>
          </cell>
        </row>
        <row r="2878">
          <cell r="C2878" t="str">
            <v>Valdez-Cordova, AK</v>
          </cell>
          <cell r="D2878">
            <v>0.09</v>
          </cell>
        </row>
        <row r="2879">
          <cell r="C2879" t="str">
            <v>Valencia, NM</v>
          </cell>
          <cell r="D2879">
            <v>5.7000000000000002E-2</v>
          </cell>
        </row>
        <row r="2880">
          <cell r="C2880" t="str">
            <v>Valley, ID</v>
          </cell>
          <cell r="D2880">
            <v>4.3999999999999997E-2</v>
          </cell>
        </row>
        <row r="2881">
          <cell r="C2881" t="str">
            <v>Valley, MT</v>
          </cell>
          <cell r="D2881">
            <v>0.09</v>
          </cell>
        </row>
        <row r="2882">
          <cell r="C2882" t="str">
            <v>Valley, NE</v>
          </cell>
          <cell r="D2882">
            <v>0.09</v>
          </cell>
        </row>
        <row r="2883">
          <cell r="C2883" t="str">
            <v>Van Buren, AR</v>
          </cell>
          <cell r="D2883">
            <v>5.7000000000000002E-2</v>
          </cell>
        </row>
        <row r="2884">
          <cell r="C2884" t="str">
            <v>Van Buren, IA</v>
          </cell>
          <cell r="D2884">
            <v>0.09</v>
          </cell>
        </row>
        <row r="2885">
          <cell r="C2885" t="str">
            <v>Van Buren, MI</v>
          </cell>
          <cell r="D2885">
            <v>0.09</v>
          </cell>
        </row>
        <row r="2886">
          <cell r="C2886" t="str">
            <v>Van Buren, TN</v>
          </cell>
          <cell r="D2886">
            <v>0.09</v>
          </cell>
        </row>
        <row r="2887">
          <cell r="C2887" t="str">
            <v>Van Wert, OH</v>
          </cell>
          <cell r="D2887">
            <v>0.09</v>
          </cell>
        </row>
        <row r="2888">
          <cell r="C2888" t="str">
            <v>Van Zandt, TX</v>
          </cell>
          <cell r="D2888">
            <v>4.3999999999999997E-2</v>
          </cell>
        </row>
        <row r="2889">
          <cell r="C2889" t="str">
            <v>Vance, NC</v>
          </cell>
          <cell r="D2889">
            <v>5.7000000000000002E-2</v>
          </cell>
        </row>
        <row r="2890">
          <cell r="C2890" t="str">
            <v>Vanderburgh, IN</v>
          </cell>
          <cell r="D2890">
            <v>6.0999999999999999E-2</v>
          </cell>
        </row>
        <row r="2891">
          <cell r="C2891" t="str">
            <v>Venango, PA</v>
          </cell>
          <cell r="D2891">
            <v>0.09</v>
          </cell>
        </row>
        <row r="2892">
          <cell r="C2892" t="str">
            <v>Ventura, CA</v>
          </cell>
          <cell r="D2892">
            <v>2.4E-2</v>
          </cell>
        </row>
        <row r="2893">
          <cell r="C2893" t="str">
            <v>Vermilion, IL</v>
          </cell>
          <cell r="D2893">
            <v>0.09</v>
          </cell>
        </row>
        <row r="2894">
          <cell r="C2894" t="str">
            <v>Vermilion, LA</v>
          </cell>
          <cell r="D2894">
            <v>0.09</v>
          </cell>
        </row>
        <row r="2895">
          <cell r="C2895" t="str">
            <v>Vermillion, IN</v>
          </cell>
          <cell r="D2895">
            <v>0.09</v>
          </cell>
        </row>
        <row r="2896">
          <cell r="C2896" t="str">
            <v>Vernon, LA</v>
          </cell>
          <cell r="D2896">
            <v>0.09</v>
          </cell>
        </row>
        <row r="2897">
          <cell r="C2897" t="str">
            <v>Vernon, MO</v>
          </cell>
          <cell r="D2897">
            <v>0.09</v>
          </cell>
        </row>
        <row r="2898">
          <cell r="C2898" t="str">
            <v>Vernon, WI</v>
          </cell>
          <cell r="D2898">
            <v>0.09</v>
          </cell>
        </row>
        <row r="2899">
          <cell r="C2899" t="str">
            <v>Victoria, TX</v>
          </cell>
          <cell r="D2899">
            <v>6.0999999999999999E-2</v>
          </cell>
        </row>
        <row r="2900">
          <cell r="C2900" t="str">
            <v>Vigo, IN</v>
          </cell>
          <cell r="D2900">
            <v>0.09</v>
          </cell>
        </row>
        <row r="2901">
          <cell r="C2901" t="str">
            <v>Vilas, WI</v>
          </cell>
          <cell r="D2901">
            <v>0.09</v>
          </cell>
        </row>
        <row r="2902">
          <cell r="C2902" t="str">
            <v>Vinton, OH</v>
          </cell>
          <cell r="D2902">
            <v>0.09</v>
          </cell>
        </row>
        <row r="2903">
          <cell r="C2903" t="str">
            <v>Virginia Beach City, VA</v>
          </cell>
          <cell r="D2903">
            <v>6.0999999999999999E-2</v>
          </cell>
        </row>
        <row r="2904">
          <cell r="C2904" t="str">
            <v>Volusia, FL</v>
          </cell>
          <cell r="D2904">
            <v>5.7000000000000002E-2</v>
          </cell>
        </row>
        <row r="2905">
          <cell r="C2905" t="str">
            <v>Wabash, IL</v>
          </cell>
          <cell r="D2905">
            <v>0.09</v>
          </cell>
        </row>
        <row r="2906">
          <cell r="C2906" t="str">
            <v>Wabash, IN</v>
          </cell>
          <cell r="D2906">
            <v>0.09</v>
          </cell>
        </row>
        <row r="2907">
          <cell r="C2907" t="str">
            <v>Wabasha, MN</v>
          </cell>
          <cell r="D2907">
            <v>0.09</v>
          </cell>
        </row>
        <row r="2908">
          <cell r="C2908" t="str">
            <v>Wabaunsee, KS</v>
          </cell>
          <cell r="D2908">
            <v>0.09</v>
          </cell>
        </row>
        <row r="2909">
          <cell r="C2909" t="str">
            <v>Wade Hampton, AK</v>
          </cell>
          <cell r="D2909">
            <v>0.09</v>
          </cell>
        </row>
        <row r="2910">
          <cell r="C2910" t="str">
            <v>Wadena, MN</v>
          </cell>
          <cell r="D2910">
            <v>0.09</v>
          </cell>
        </row>
        <row r="2911">
          <cell r="C2911" t="str">
            <v>Wagoner, OK</v>
          </cell>
          <cell r="D2911">
            <v>6.0999999999999999E-2</v>
          </cell>
        </row>
        <row r="2912">
          <cell r="C2912" t="str">
            <v>Wahkiakum, WA</v>
          </cell>
          <cell r="D2912">
            <v>0.09</v>
          </cell>
        </row>
        <row r="2913">
          <cell r="C2913" t="str">
            <v>Wake, NC</v>
          </cell>
          <cell r="D2913">
            <v>6.0999999999999999E-2</v>
          </cell>
        </row>
        <row r="2914">
          <cell r="C2914" t="str">
            <v>Wakulla, FL</v>
          </cell>
          <cell r="D2914">
            <v>5.7000000000000002E-2</v>
          </cell>
        </row>
        <row r="2915">
          <cell r="C2915" t="str">
            <v>Waldo, ME</v>
          </cell>
          <cell r="D2915">
            <v>0.09</v>
          </cell>
        </row>
        <row r="2916">
          <cell r="C2916" t="str">
            <v>Walker, AL</v>
          </cell>
          <cell r="D2916">
            <v>0.09</v>
          </cell>
        </row>
        <row r="2917">
          <cell r="C2917" t="str">
            <v>Walker, GA</v>
          </cell>
          <cell r="D2917">
            <v>4.3999999999999997E-2</v>
          </cell>
        </row>
        <row r="2918">
          <cell r="C2918" t="str">
            <v>Walker, TX</v>
          </cell>
          <cell r="D2918">
            <v>4.3999999999999997E-2</v>
          </cell>
        </row>
        <row r="2919">
          <cell r="C2919" t="str">
            <v>Walla Walla, WA</v>
          </cell>
          <cell r="D2919">
            <v>0.09</v>
          </cell>
        </row>
        <row r="2920">
          <cell r="C2920" t="str">
            <v>Wallace, KS</v>
          </cell>
          <cell r="D2920">
            <v>0.09</v>
          </cell>
        </row>
        <row r="2921">
          <cell r="C2921" t="str">
            <v>Waller, TX</v>
          </cell>
          <cell r="D2921">
            <v>6.0999999999999999E-2</v>
          </cell>
        </row>
        <row r="2922">
          <cell r="C2922" t="str">
            <v>Wallowa, OR</v>
          </cell>
          <cell r="D2922">
            <v>0.09</v>
          </cell>
        </row>
        <row r="2923">
          <cell r="C2923" t="str">
            <v>Walsh, ND</v>
          </cell>
          <cell r="D2923">
            <v>0.09</v>
          </cell>
        </row>
        <row r="2924">
          <cell r="C2924" t="str">
            <v>Walthall, MS</v>
          </cell>
          <cell r="D2924">
            <v>4.3999999999999997E-2</v>
          </cell>
        </row>
        <row r="2925">
          <cell r="C2925" t="str">
            <v>Walton, FL</v>
          </cell>
          <cell r="D2925">
            <v>4.3999999999999997E-2</v>
          </cell>
        </row>
        <row r="2926">
          <cell r="C2926" t="str">
            <v>Walton, GA</v>
          </cell>
          <cell r="D2926">
            <v>6.0999999999999999E-2</v>
          </cell>
        </row>
        <row r="2927">
          <cell r="C2927" t="str">
            <v>Walworth, SD</v>
          </cell>
          <cell r="D2927">
            <v>4.3999999999999997E-2</v>
          </cell>
        </row>
        <row r="2928">
          <cell r="C2928" t="str">
            <v>Walworth, WI</v>
          </cell>
          <cell r="D2928">
            <v>0.09</v>
          </cell>
        </row>
        <row r="2929">
          <cell r="C2929" t="str">
            <v>Wapello, IA</v>
          </cell>
          <cell r="D2929">
            <v>0.09</v>
          </cell>
        </row>
        <row r="2930">
          <cell r="C2930" t="str">
            <v>Ward, ND</v>
          </cell>
          <cell r="D2930">
            <v>0.09</v>
          </cell>
        </row>
        <row r="2931">
          <cell r="C2931" t="str">
            <v>Ward, TX</v>
          </cell>
          <cell r="D2931">
            <v>4.3999999999999997E-2</v>
          </cell>
        </row>
        <row r="2932">
          <cell r="C2932" t="str">
            <v>Ware, GA</v>
          </cell>
          <cell r="D2932">
            <v>4.3999999999999997E-2</v>
          </cell>
        </row>
        <row r="2933">
          <cell r="C2933" t="str">
            <v>Warren, GA</v>
          </cell>
          <cell r="D2933">
            <v>5.7000000000000002E-2</v>
          </cell>
        </row>
        <row r="2934">
          <cell r="C2934" t="str">
            <v>Warren, IA</v>
          </cell>
          <cell r="D2934">
            <v>6.0999999999999999E-2</v>
          </cell>
        </row>
        <row r="2935">
          <cell r="C2935" t="str">
            <v>Warren, IL</v>
          </cell>
          <cell r="D2935">
            <v>0.09</v>
          </cell>
        </row>
        <row r="2936">
          <cell r="C2936" t="str">
            <v>Warren, IN</v>
          </cell>
          <cell r="D2936">
            <v>0.09</v>
          </cell>
        </row>
        <row r="2937">
          <cell r="C2937" t="str">
            <v>Warren, KY</v>
          </cell>
          <cell r="D2937">
            <v>0.09</v>
          </cell>
        </row>
        <row r="2938">
          <cell r="C2938" t="str">
            <v>Warren, MO</v>
          </cell>
          <cell r="D2938">
            <v>5.7000000000000002E-2</v>
          </cell>
        </row>
        <row r="2939">
          <cell r="C2939" t="str">
            <v>Warren, MS</v>
          </cell>
          <cell r="D2939">
            <v>4.3999999999999997E-2</v>
          </cell>
        </row>
        <row r="2940">
          <cell r="C2940" t="str">
            <v>Warren, NC</v>
          </cell>
          <cell r="D2940">
            <v>4.3999999999999997E-2</v>
          </cell>
        </row>
        <row r="2941">
          <cell r="C2941" t="str">
            <v>Warren, NJ</v>
          </cell>
          <cell r="D2941">
            <v>6.0999999999999999E-2</v>
          </cell>
        </row>
        <row r="2942">
          <cell r="C2942" t="str">
            <v>Warren, NY</v>
          </cell>
          <cell r="D2942">
            <v>3.5000000000000003E-2</v>
          </cell>
        </row>
        <row r="2943">
          <cell r="C2943" t="str">
            <v>Warren, OH</v>
          </cell>
          <cell r="D2943">
            <v>6.0999999999999999E-2</v>
          </cell>
        </row>
        <row r="2944">
          <cell r="C2944" t="str">
            <v>Warren, PA</v>
          </cell>
          <cell r="D2944">
            <v>0.09</v>
          </cell>
        </row>
        <row r="2945">
          <cell r="C2945" t="str">
            <v>Warren, TN</v>
          </cell>
          <cell r="D2945">
            <v>0.09</v>
          </cell>
        </row>
        <row r="2946">
          <cell r="C2946" t="str">
            <v>Warren, VA</v>
          </cell>
          <cell r="D2946">
            <v>6.0999999999999999E-2</v>
          </cell>
        </row>
        <row r="2947">
          <cell r="C2947" t="str">
            <v>Warrick, IN</v>
          </cell>
          <cell r="D2947">
            <v>6.0999999999999999E-2</v>
          </cell>
        </row>
        <row r="2948">
          <cell r="C2948" t="str">
            <v>Wasatch, UT</v>
          </cell>
          <cell r="D2948">
            <v>4.3999999999999997E-2</v>
          </cell>
        </row>
        <row r="2949">
          <cell r="C2949" t="str">
            <v>Wasco, OR</v>
          </cell>
          <cell r="D2949">
            <v>0.09</v>
          </cell>
        </row>
        <row r="2950">
          <cell r="C2950" t="str">
            <v>Waseca, MN</v>
          </cell>
          <cell r="D2950">
            <v>0.09</v>
          </cell>
        </row>
        <row r="2951">
          <cell r="C2951" t="str">
            <v>Washakie, WY</v>
          </cell>
          <cell r="D2951">
            <v>0.09</v>
          </cell>
        </row>
        <row r="2952">
          <cell r="C2952" t="str">
            <v>Washburn, WI</v>
          </cell>
          <cell r="D2952">
            <v>0.09</v>
          </cell>
        </row>
        <row r="2953">
          <cell r="C2953" t="str">
            <v>Washington, AL</v>
          </cell>
          <cell r="D2953">
            <v>0.09</v>
          </cell>
        </row>
        <row r="2954">
          <cell r="C2954" t="str">
            <v>Washington, AR</v>
          </cell>
          <cell r="D2954">
            <v>4.3999999999999997E-2</v>
          </cell>
        </row>
        <row r="2955">
          <cell r="C2955" t="str">
            <v>Washington, CO</v>
          </cell>
          <cell r="D2955">
            <v>4.3999999999999997E-2</v>
          </cell>
        </row>
        <row r="2956">
          <cell r="C2956" t="str">
            <v>Washington, FL</v>
          </cell>
          <cell r="D2956">
            <v>4.3999999999999997E-2</v>
          </cell>
        </row>
        <row r="2957">
          <cell r="C2957" t="str">
            <v>Washington, GA</v>
          </cell>
          <cell r="D2957">
            <v>4.3999999999999997E-2</v>
          </cell>
        </row>
        <row r="2958">
          <cell r="C2958" t="str">
            <v>Washington, IA</v>
          </cell>
          <cell r="D2958">
            <v>0.09</v>
          </cell>
        </row>
        <row r="2959">
          <cell r="C2959" t="str">
            <v>Washington, ID</v>
          </cell>
          <cell r="D2959">
            <v>5.7000000000000002E-2</v>
          </cell>
        </row>
        <row r="2960">
          <cell r="C2960" t="str">
            <v>Washington, IL</v>
          </cell>
          <cell r="D2960">
            <v>0.09</v>
          </cell>
        </row>
        <row r="2961">
          <cell r="C2961" t="str">
            <v>Washington, IN</v>
          </cell>
          <cell r="D2961">
            <v>0.09</v>
          </cell>
        </row>
        <row r="2962">
          <cell r="C2962" t="str">
            <v>Washington, KS</v>
          </cell>
          <cell r="D2962">
            <v>0.09</v>
          </cell>
        </row>
        <row r="2963">
          <cell r="C2963" t="str">
            <v>Washington, KY</v>
          </cell>
          <cell r="D2963">
            <v>0.09</v>
          </cell>
        </row>
        <row r="2964">
          <cell r="C2964" t="str">
            <v>Washington, LA</v>
          </cell>
          <cell r="D2964">
            <v>5.7000000000000002E-2</v>
          </cell>
        </row>
        <row r="2965">
          <cell r="C2965" t="str">
            <v>Washington, MD</v>
          </cell>
          <cell r="D2965">
            <v>0.09</v>
          </cell>
        </row>
        <row r="2966">
          <cell r="C2966" t="str">
            <v>Washington, ME</v>
          </cell>
          <cell r="D2966">
            <v>3.5000000000000003E-2</v>
          </cell>
        </row>
        <row r="2967">
          <cell r="C2967" t="str">
            <v>Washington, MN</v>
          </cell>
          <cell r="D2967">
            <v>6.0999999999999999E-2</v>
          </cell>
        </row>
        <row r="2968">
          <cell r="C2968" t="str">
            <v>Washington, MO</v>
          </cell>
          <cell r="D2968">
            <v>5.7000000000000002E-2</v>
          </cell>
        </row>
        <row r="2969">
          <cell r="C2969" t="str">
            <v>Washington, MS</v>
          </cell>
          <cell r="D2969">
            <v>5.7000000000000002E-2</v>
          </cell>
        </row>
        <row r="2970">
          <cell r="C2970" t="str">
            <v>Washington, NC</v>
          </cell>
          <cell r="D2970">
            <v>4.3999999999999997E-2</v>
          </cell>
        </row>
        <row r="2971">
          <cell r="C2971" t="str">
            <v>Washington, NE</v>
          </cell>
          <cell r="D2971">
            <v>6.0999999999999999E-2</v>
          </cell>
        </row>
        <row r="2972">
          <cell r="C2972" t="str">
            <v>Washington, NY</v>
          </cell>
          <cell r="D2972">
            <v>5.7000000000000002E-2</v>
          </cell>
        </row>
        <row r="2973">
          <cell r="C2973" t="str">
            <v>Washington, OH</v>
          </cell>
          <cell r="D2973">
            <v>0.09</v>
          </cell>
        </row>
        <row r="2974">
          <cell r="C2974" t="str">
            <v>Washington, OK</v>
          </cell>
          <cell r="D2974">
            <v>0.09</v>
          </cell>
        </row>
        <row r="2975">
          <cell r="C2975" t="str">
            <v>Washington, OR</v>
          </cell>
          <cell r="D2975">
            <v>6.0999999999999999E-2</v>
          </cell>
        </row>
        <row r="2976">
          <cell r="C2976" t="str">
            <v>Washington, PA</v>
          </cell>
          <cell r="D2976">
            <v>6.0999999999999999E-2</v>
          </cell>
        </row>
        <row r="2977">
          <cell r="C2977" t="str">
            <v>Washington, RI</v>
          </cell>
          <cell r="D2977">
            <v>0.09</v>
          </cell>
        </row>
        <row r="2978">
          <cell r="C2978" t="str">
            <v>Washington, TN</v>
          </cell>
          <cell r="D2978">
            <v>0.09</v>
          </cell>
        </row>
        <row r="2979">
          <cell r="C2979" t="str">
            <v>Washington, TX</v>
          </cell>
          <cell r="D2979">
            <v>4.3999999999999997E-2</v>
          </cell>
        </row>
        <row r="2980">
          <cell r="C2980" t="str">
            <v>Washington, UT</v>
          </cell>
          <cell r="D2980">
            <v>4.3999999999999997E-2</v>
          </cell>
        </row>
        <row r="2981">
          <cell r="C2981" t="str">
            <v>Washington, VA</v>
          </cell>
          <cell r="D2981">
            <v>4.3999999999999997E-2</v>
          </cell>
        </row>
        <row r="2982">
          <cell r="C2982" t="str">
            <v>Washington, VT</v>
          </cell>
          <cell r="D2982">
            <v>0.09</v>
          </cell>
        </row>
        <row r="2983">
          <cell r="C2983" t="str">
            <v>Washington, WI</v>
          </cell>
          <cell r="D2983">
            <v>6.0999999999999999E-2</v>
          </cell>
        </row>
        <row r="2984">
          <cell r="C2984" t="str">
            <v>Washita, OK</v>
          </cell>
          <cell r="D2984">
            <v>0.09</v>
          </cell>
        </row>
        <row r="2985">
          <cell r="C2985" t="str">
            <v>Washoe, NV</v>
          </cell>
          <cell r="D2985">
            <v>6.0999999999999999E-2</v>
          </cell>
        </row>
        <row r="2986">
          <cell r="C2986" t="str">
            <v>Washtenaw, MI</v>
          </cell>
          <cell r="D2986">
            <v>5.7000000000000002E-2</v>
          </cell>
        </row>
        <row r="2987">
          <cell r="C2987" t="str">
            <v>Watauga, NC</v>
          </cell>
          <cell r="D2987">
            <v>4.3999999999999997E-2</v>
          </cell>
        </row>
        <row r="2988">
          <cell r="C2988" t="str">
            <v>Watonwan, MN</v>
          </cell>
          <cell r="D2988">
            <v>0.09</v>
          </cell>
        </row>
        <row r="2989">
          <cell r="C2989" t="str">
            <v>Waukesha, WI</v>
          </cell>
          <cell r="D2989">
            <v>6.0999999999999999E-2</v>
          </cell>
        </row>
        <row r="2990">
          <cell r="C2990" t="str">
            <v>Waupaca, WI</v>
          </cell>
          <cell r="D2990">
            <v>0.09</v>
          </cell>
        </row>
        <row r="2991">
          <cell r="C2991" t="str">
            <v>Waushara, WI</v>
          </cell>
          <cell r="D2991">
            <v>0.09</v>
          </cell>
        </row>
        <row r="2992">
          <cell r="C2992" t="str">
            <v>Wayne, GA</v>
          </cell>
          <cell r="D2992">
            <v>4.3999999999999997E-2</v>
          </cell>
        </row>
        <row r="2993">
          <cell r="C2993" t="str">
            <v>Wayne, IA</v>
          </cell>
          <cell r="D2993">
            <v>0.09</v>
          </cell>
        </row>
        <row r="2994">
          <cell r="C2994" t="str">
            <v>Wayne, IL</v>
          </cell>
          <cell r="D2994">
            <v>0.09</v>
          </cell>
        </row>
        <row r="2995">
          <cell r="C2995" t="str">
            <v>Wayne, IN</v>
          </cell>
          <cell r="D2995">
            <v>0.09</v>
          </cell>
        </row>
        <row r="2996">
          <cell r="C2996" t="str">
            <v>Wayne, KY</v>
          </cell>
          <cell r="D2996">
            <v>0.09</v>
          </cell>
        </row>
        <row r="2997">
          <cell r="C2997" t="str">
            <v>Wayne, MI</v>
          </cell>
          <cell r="D2997">
            <v>4.4999999999999998E-2</v>
          </cell>
        </row>
        <row r="2998">
          <cell r="C2998" t="str">
            <v>Wayne, MO</v>
          </cell>
          <cell r="D2998">
            <v>5.7000000000000002E-2</v>
          </cell>
        </row>
        <row r="2999">
          <cell r="C2999" t="str">
            <v>Wayne, MS</v>
          </cell>
          <cell r="D2999">
            <v>4.3999999999999997E-2</v>
          </cell>
        </row>
        <row r="3000">
          <cell r="C3000" t="str">
            <v>Wayne, NC</v>
          </cell>
          <cell r="D3000">
            <v>4.3999999999999997E-2</v>
          </cell>
        </row>
        <row r="3001">
          <cell r="C3001" t="str">
            <v>Wayne, NE</v>
          </cell>
          <cell r="D3001">
            <v>0.09</v>
          </cell>
        </row>
        <row r="3002">
          <cell r="C3002" t="str">
            <v>Wayne, NY</v>
          </cell>
          <cell r="D3002">
            <v>3.5000000000000003E-2</v>
          </cell>
        </row>
        <row r="3003">
          <cell r="C3003" t="str">
            <v>Wayne, OH</v>
          </cell>
          <cell r="D3003">
            <v>0.09</v>
          </cell>
        </row>
        <row r="3004">
          <cell r="C3004" t="str">
            <v>Wayne, PA</v>
          </cell>
          <cell r="D3004">
            <v>5.7000000000000002E-2</v>
          </cell>
        </row>
        <row r="3005">
          <cell r="C3005" t="str">
            <v>Wayne, TN</v>
          </cell>
          <cell r="D3005">
            <v>0.09</v>
          </cell>
        </row>
        <row r="3006">
          <cell r="C3006" t="str">
            <v>Wayne, UT</v>
          </cell>
          <cell r="D3006">
            <v>4.3999999999999997E-2</v>
          </cell>
        </row>
        <row r="3007">
          <cell r="C3007" t="str">
            <v>Wayne, WV</v>
          </cell>
          <cell r="D3007">
            <v>0.09</v>
          </cell>
        </row>
        <row r="3008">
          <cell r="C3008" t="str">
            <v>Waynesboro City, VA</v>
          </cell>
          <cell r="D3008">
            <v>4.3999999999999997E-2</v>
          </cell>
        </row>
        <row r="3009">
          <cell r="C3009" t="str">
            <v>Weakley, TN</v>
          </cell>
          <cell r="D3009">
            <v>0.09</v>
          </cell>
        </row>
        <row r="3010">
          <cell r="C3010" t="str">
            <v>Webb, TX</v>
          </cell>
          <cell r="D3010">
            <v>4.3999999999999997E-2</v>
          </cell>
        </row>
        <row r="3011">
          <cell r="C3011" t="str">
            <v>Weber, UT</v>
          </cell>
          <cell r="D3011">
            <v>6.0999999999999999E-2</v>
          </cell>
        </row>
        <row r="3012">
          <cell r="C3012" t="str">
            <v>Webster, GA</v>
          </cell>
          <cell r="D3012">
            <v>4.3999999999999997E-2</v>
          </cell>
        </row>
        <row r="3013">
          <cell r="C3013" t="str">
            <v>Webster, IA</v>
          </cell>
          <cell r="D3013">
            <v>0.09</v>
          </cell>
        </row>
        <row r="3014">
          <cell r="C3014" t="str">
            <v>Webster, KY</v>
          </cell>
          <cell r="D3014">
            <v>0.09</v>
          </cell>
        </row>
        <row r="3015">
          <cell r="C3015" t="str">
            <v>Webster, LA</v>
          </cell>
          <cell r="D3015">
            <v>5.7000000000000002E-2</v>
          </cell>
        </row>
        <row r="3016">
          <cell r="C3016" t="str">
            <v>Webster, MO</v>
          </cell>
          <cell r="D3016">
            <v>5.7000000000000002E-2</v>
          </cell>
        </row>
        <row r="3017">
          <cell r="C3017" t="str">
            <v>Webster, MS</v>
          </cell>
          <cell r="D3017">
            <v>4.3999999999999997E-2</v>
          </cell>
        </row>
        <row r="3018">
          <cell r="C3018" t="str">
            <v>Webster, NE</v>
          </cell>
          <cell r="D3018">
            <v>0.09</v>
          </cell>
        </row>
        <row r="3019">
          <cell r="C3019" t="str">
            <v>Webster, WV</v>
          </cell>
          <cell r="D3019">
            <v>0.09</v>
          </cell>
        </row>
        <row r="3020">
          <cell r="C3020" t="str">
            <v>Weld, CO</v>
          </cell>
          <cell r="D3020">
            <v>4.3999999999999997E-2</v>
          </cell>
        </row>
        <row r="3021">
          <cell r="C3021" t="str">
            <v>Wells, IN</v>
          </cell>
          <cell r="D3021">
            <v>6.0999999999999999E-2</v>
          </cell>
        </row>
        <row r="3022">
          <cell r="C3022" t="str">
            <v>Wells, ND</v>
          </cell>
          <cell r="D3022">
            <v>0.09</v>
          </cell>
        </row>
        <row r="3023">
          <cell r="C3023" t="str">
            <v>West Baton Rouge, LA</v>
          </cell>
          <cell r="D3023">
            <v>0.09</v>
          </cell>
        </row>
        <row r="3024">
          <cell r="C3024" t="str">
            <v>West Carroll, LA</v>
          </cell>
          <cell r="D3024">
            <v>0.09</v>
          </cell>
        </row>
        <row r="3025">
          <cell r="C3025" t="str">
            <v>West Feliciana, LA</v>
          </cell>
          <cell r="D3025">
            <v>0.09</v>
          </cell>
        </row>
        <row r="3026">
          <cell r="C3026" t="str">
            <v>Westchester, NY</v>
          </cell>
          <cell r="D3026">
            <v>6.0999999999999999E-2</v>
          </cell>
        </row>
        <row r="3027">
          <cell r="C3027" t="str">
            <v>Westmoreland, PA</v>
          </cell>
          <cell r="D3027">
            <v>6.0999999999999999E-2</v>
          </cell>
        </row>
        <row r="3028">
          <cell r="C3028" t="str">
            <v>Westmoreland, VA</v>
          </cell>
          <cell r="D3028">
            <v>4.3999999999999997E-2</v>
          </cell>
        </row>
        <row r="3029">
          <cell r="C3029" t="str">
            <v>Weston, WY</v>
          </cell>
          <cell r="D3029">
            <v>0.09</v>
          </cell>
        </row>
        <row r="3030">
          <cell r="C3030" t="str">
            <v>Wetzel, WV</v>
          </cell>
          <cell r="D3030">
            <v>0.09</v>
          </cell>
        </row>
        <row r="3031">
          <cell r="C3031" t="str">
            <v>Wexford, MI</v>
          </cell>
          <cell r="D3031">
            <v>0.09</v>
          </cell>
        </row>
        <row r="3032">
          <cell r="C3032" t="str">
            <v>Wharton, TX</v>
          </cell>
          <cell r="D3032">
            <v>4.3999999999999997E-2</v>
          </cell>
        </row>
        <row r="3033">
          <cell r="C3033" t="str">
            <v>Whatcom, WA</v>
          </cell>
          <cell r="D3033">
            <v>0.09</v>
          </cell>
        </row>
        <row r="3034">
          <cell r="C3034" t="str">
            <v>Wheatland, MT</v>
          </cell>
          <cell r="D3034">
            <v>0.09</v>
          </cell>
        </row>
        <row r="3035">
          <cell r="C3035" t="str">
            <v>Wheeler, GA</v>
          </cell>
          <cell r="D3035">
            <v>4.3999999999999997E-2</v>
          </cell>
        </row>
        <row r="3036">
          <cell r="C3036" t="str">
            <v>Wheeler, NE</v>
          </cell>
          <cell r="D3036">
            <v>6.0999999999999999E-2</v>
          </cell>
        </row>
        <row r="3037">
          <cell r="C3037" t="str">
            <v>Wheeler, OR</v>
          </cell>
          <cell r="D3037">
            <v>0.09</v>
          </cell>
        </row>
        <row r="3038">
          <cell r="C3038" t="str">
            <v>Wheeler, TX</v>
          </cell>
          <cell r="D3038">
            <v>4.3999999999999997E-2</v>
          </cell>
        </row>
        <row r="3039">
          <cell r="C3039" t="str">
            <v>White, AR</v>
          </cell>
          <cell r="D3039">
            <v>4.3999999999999997E-2</v>
          </cell>
        </row>
        <row r="3040">
          <cell r="C3040" t="str">
            <v>White, GA</v>
          </cell>
          <cell r="D3040">
            <v>4.3999999999999997E-2</v>
          </cell>
        </row>
        <row r="3041">
          <cell r="C3041" t="str">
            <v>White, IL</v>
          </cell>
          <cell r="D3041">
            <v>0.09</v>
          </cell>
        </row>
        <row r="3042">
          <cell r="C3042" t="str">
            <v>White, IN</v>
          </cell>
          <cell r="D3042">
            <v>0.09</v>
          </cell>
        </row>
        <row r="3043">
          <cell r="C3043" t="str">
            <v>White, TN</v>
          </cell>
          <cell r="D3043">
            <v>0.09</v>
          </cell>
        </row>
        <row r="3044">
          <cell r="C3044" t="str">
            <v>White Pine, NV</v>
          </cell>
          <cell r="D3044">
            <v>0.09</v>
          </cell>
        </row>
        <row r="3045">
          <cell r="C3045" t="str">
            <v>Whiteside, IL</v>
          </cell>
          <cell r="D3045">
            <v>0.09</v>
          </cell>
        </row>
        <row r="3046">
          <cell r="C3046" t="str">
            <v>Whitfield, GA</v>
          </cell>
          <cell r="D3046">
            <v>4.3999999999999997E-2</v>
          </cell>
        </row>
        <row r="3047">
          <cell r="C3047" t="str">
            <v>Whitley, IN</v>
          </cell>
          <cell r="D3047">
            <v>6.0999999999999999E-2</v>
          </cell>
        </row>
        <row r="3048">
          <cell r="C3048" t="str">
            <v>Whitley, KY</v>
          </cell>
          <cell r="D3048">
            <v>3.5000000000000003E-2</v>
          </cell>
        </row>
        <row r="3049">
          <cell r="C3049" t="str">
            <v>Whitman, WA</v>
          </cell>
          <cell r="D3049">
            <v>0.09</v>
          </cell>
        </row>
        <row r="3050">
          <cell r="C3050" t="str">
            <v>Wibaux, MT</v>
          </cell>
          <cell r="D3050">
            <v>0.09</v>
          </cell>
        </row>
        <row r="3051">
          <cell r="C3051" t="str">
            <v>Wichita, KS</v>
          </cell>
          <cell r="D3051">
            <v>6.0999999999999999E-2</v>
          </cell>
        </row>
        <row r="3052">
          <cell r="C3052" t="str">
            <v>Wichita, TX</v>
          </cell>
          <cell r="D3052">
            <v>4.3999999999999997E-2</v>
          </cell>
        </row>
        <row r="3053">
          <cell r="C3053" t="str">
            <v>Wicomico, MD</v>
          </cell>
          <cell r="D3053">
            <v>0.09</v>
          </cell>
        </row>
        <row r="3054">
          <cell r="C3054" t="str">
            <v>Wilbarger, TX</v>
          </cell>
          <cell r="D3054">
            <v>4.3999999999999997E-2</v>
          </cell>
        </row>
        <row r="3055">
          <cell r="C3055" t="str">
            <v>Wilcox, AL</v>
          </cell>
          <cell r="D3055">
            <v>5.7000000000000002E-2</v>
          </cell>
        </row>
        <row r="3056">
          <cell r="C3056" t="str">
            <v>Wilcox, GA</v>
          </cell>
          <cell r="D3056">
            <v>4.3999999999999997E-2</v>
          </cell>
        </row>
        <row r="3057">
          <cell r="C3057" t="str">
            <v>Wilkes, GA</v>
          </cell>
          <cell r="D3057">
            <v>4.3999999999999997E-2</v>
          </cell>
        </row>
        <row r="3058">
          <cell r="C3058" t="str">
            <v>Wilkes, NC</v>
          </cell>
          <cell r="D3058">
            <v>4.3999999999999997E-2</v>
          </cell>
        </row>
        <row r="3059">
          <cell r="C3059" t="str">
            <v>Wilkin, MN</v>
          </cell>
          <cell r="D3059">
            <v>0.09</v>
          </cell>
        </row>
        <row r="3060">
          <cell r="C3060" t="str">
            <v>Wilkinson, GA</v>
          </cell>
          <cell r="D3060">
            <v>4.3999999999999997E-2</v>
          </cell>
        </row>
        <row r="3061">
          <cell r="C3061" t="str">
            <v>Wilkinson, MS</v>
          </cell>
          <cell r="D3061">
            <v>5.7000000000000002E-2</v>
          </cell>
        </row>
        <row r="3062">
          <cell r="C3062" t="str">
            <v>Will, IL</v>
          </cell>
          <cell r="D3062">
            <v>6.0999999999999999E-2</v>
          </cell>
        </row>
        <row r="3063">
          <cell r="C3063" t="str">
            <v>Willacy, TX</v>
          </cell>
          <cell r="D3063">
            <v>5.7000000000000002E-2</v>
          </cell>
        </row>
        <row r="3064">
          <cell r="C3064" t="str">
            <v>Williams, ND</v>
          </cell>
          <cell r="D3064">
            <v>0.09</v>
          </cell>
        </row>
        <row r="3065">
          <cell r="C3065" t="str">
            <v>Williams, OH</v>
          </cell>
          <cell r="D3065">
            <v>0.09</v>
          </cell>
        </row>
        <row r="3066">
          <cell r="C3066" t="str">
            <v>Williamsburg, SC</v>
          </cell>
          <cell r="D3066">
            <v>4.3999999999999997E-2</v>
          </cell>
        </row>
        <row r="3067">
          <cell r="C3067" t="str">
            <v>Williamsburg City, VA</v>
          </cell>
          <cell r="D3067">
            <v>3.5000000000000003E-2</v>
          </cell>
        </row>
        <row r="3068">
          <cell r="C3068" t="str">
            <v>Williamson, IL</v>
          </cell>
          <cell r="D3068">
            <v>0.09</v>
          </cell>
        </row>
        <row r="3069">
          <cell r="C3069" t="str">
            <v>Williamson, TN</v>
          </cell>
          <cell r="D3069">
            <v>6.0999999999999999E-2</v>
          </cell>
        </row>
        <row r="3070">
          <cell r="C3070" t="str">
            <v>Williamson, TX</v>
          </cell>
          <cell r="D3070">
            <v>6.0999999999999999E-2</v>
          </cell>
        </row>
        <row r="3071">
          <cell r="C3071" t="str">
            <v>Wilson, KS</v>
          </cell>
          <cell r="D3071">
            <v>0.09</v>
          </cell>
        </row>
        <row r="3072">
          <cell r="C3072" t="str">
            <v>Wilson, NC</v>
          </cell>
          <cell r="D3072">
            <v>4.3999999999999997E-2</v>
          </cell>
        </row>
        <row r="3073">
          <cell r="C3073" t="str">
            <v>Wilson, TN</v>
          </cell>
          <cell r="D3073">
            <v>6.0999999999999999E-2</v>
          </cell>
        </row>
        <row r="3074">
          <cell r="C3074" t="str">
            <v>Wilson, TX</v>
          </cell>
          <cell r="D3074">
            <v>4.3999999999999997E-2</v>
          </cell>
        </row>
        <row r="3075">
          <cell r="C3075" t="str">
            <v>Winchester City, VA</v>
          </cell>
          <cell r="D3075">
            <v>4.3999999999999997E-2</v>
          </cell>
        </row>
        <row r="3076">
          <cell r="C3076" t="str">
            <v>Windham, CT</v>
          </cell>
          <cell r="D3076">
            <v>0.09</v>
          </cell>
        </row>
        <row r="3077">
          <cell r="C3077" t="str">
            <v>Windham, VT</v>
          </cell>
          <cell r="D3077">
            <v>0.09</v>
          </cell>
        </row>
        <row r="3078">
          <cell r="C3078" t="str">
            <v>Windsor, VT</v>
          </cell>
          <cell r="D3078">
            <v>0.09</v>
          </cell>
        </row>
        <row r="3079">
          <cell r="C3079" t="str">
            <v>Winkler, TX</v>
          </cell>
          <cell r="D3079">
            <v>4.3999999999999997E-2</v>
          </cell>
        </row>
        <row r="3080">
          <cell r="C3080" t="str">
            <v>Winn, LA</v>
          </cell>
          <cell r="D3080">
            <v>0.09</v>
          </cell>
        </row>
        <row r="3081">
          <cell r="C3081" t="str">
            <v>Winnebago, IA</v>
          </cell>
          <cell r="D3081">
            <v>0.09</v>
          </cell>
        </row>
        <row r="3082">
          <cell r="C3082" t="str">
            <v>Winnebago, IL</v>
          </cell>
          <cell r="D3082">
            <v>3.5000000000000003E-2</v>
          </cell>
        </row>
        <row r="3083">
          <cell r="C3083" t="str">
            <v>Winnebago, WI</v>
          </cell>
          <cell r="D3083">
            <v>5.7000000000000002E-2</v>
          </cell>
        </row>
        <row r="3084">
          <cell r="C3084" t="str">
            <v>Winneshiek, IA</v>
          </cell>
          <cell r="D3084">
            <v>0.09</v>
          </cell>
        </row>
        <row r="3085">
          <cell r="C3085" t="str">
            <v>Winona, MN</v>
          </cell>
          <cell r="D3085">
            <v>0.09</v>
          </cell>
        </row>
        <row r="3086">
          <cell r="C3086" t="str">
            <v>Winston, AL</v>
          </cell>
          <cell r="D3086">
            <v>0.09</v>
          </cell>
        </row>
        <row r="3087">
          <cell r="C3087" t="str">
            <v>Winston, MS</v>
          </cell>
          <cell r="D3087">
            <v>4.3999999999999997E-2</v>
          </cell>
        </row>
        <row r="3088">
          <cell r="C3088" t="str">
            <v>Wirt, WV</v>
          </cell>
          <cell r="D3088">
            <v>0.09</v>
          </cell>
        </row>
        <row r="3089">
          <cell r="C3089" t="str">
            <v>Wise, TX</v>
          </cell>
          <cell r="D3089">
            <v>4.3999999999999997E-2</v>
          </cell>
        </row>
        <row r="3090">
          <cell r="C3090" t="str">
            <v>Wise, VA</v>
          </cell>
          <cell r="D3090">
            <v>4.3999999999999997E-2</v>
          </cell>
        </row>
        <row r="3091">
          <cell r="C3091" t="str">
            <v>Wolfe, KY</v>
          </cell>
          <cell r="D3091">
            <v>3.5000000000000003E-2</v>
          </cell>
        </row>
        <row r="3092">
          <cell r="C3092" t="str">
            <v>Wood, OH</v>
          </cell>
          <cell r="D3092">
            <v>6.0999999999999999E-2</v>
          </cell>
        </row>
        <row r="3093">
          <cell r="C3093" t="str">
            <v>Wood, TX</v>
          </cell>
          <cell r="D3093">
            <v>4.3999999999999997E-2</v>
          </cell>
        </row>
        <row r="3094">
          <cell r="C3094" t="str">
            <v>Wood, WI</v>
          </cell>
          <cell r="D3094">
            <v>0.09</v>
          </cell>
        </row>
        <row r="3095">
          <cell r="C3095" t="str">
            <v>Wood, WV</v>
          </cell>
          <cell r="D3095">
            <v>0.09</v>
          </cell>
        </row>
        <row r="3096">
          <cell r="C3096" t="str">
            <v>Woodbury, IA</v>
          </cell>
          <cell r="D3096">
            <v>0.09</v>
          </cell>
        </row>
        <row r="3097">
          <cell r="C3097" t="str">
            <v>Woodford, IL</v>
          </cell>
          <cell r="D3097">
            <v>6.0999999999999999E-2</v>
          </cell>
        </row>
        <row r="3098">
          <cell r="C3098" t="str">
            <v>Woodford, KY</v>
          </cell>
          <cell r="D3098">
            <v>3.5000000000000003E-2</v>
          </cell>
        </row>
        <row r="3099">
          <cell r="C3099" t="str">
            <v>Woodruff, AR</v>
          </cell>
          <cell r="D3099">
            <v>5.7000000000000002E-2</v>
          </cell>
        </row>
        <row r="3100">
          <cell r="C3100" t="str">
            <v>Woods, OK</v>
          </cell>
          <cell r="D3100">
            <v>0.09</v>
          </cell>
        </row>
        <row r="3101">
          <cell r="C3101" t="str">
            <v>Woodson, KS</v>
          </cell>
          <cell r="D3101">
            <v>0.09</v>
          </cell>
        </row>
        <row r="3102">
          <cell r="C3102" t="str">
            <v>Woodward, OK</v>
          </cell>
          <cell r="D3102">
            <v>0.09</v>
          </cell>
        </row>
        <row r="3103">
          <cell r="C3103" t="str">
            <v>Worcester, MA</v>
          </cell>
          <cell r="D3103">
            <v>3.5000000000000003E-2</v>
          </cell>
        </row>
        <row r="3104">
          <cell r="C3104" t="str">
            <v>Worcester, MD</v>
          </cell>
          <cell r="D3104">
            <v>0.09</v>
          </cell>
        </row>
        <row r="3105">
          <cell r="C3105" t="str">
            <v>Worth, GA</v>
          </cell>
          <cell r="D3105">
            <v>4.3999999999999997E-2</v>
          </cell>
        </row>
        <row r="3106">
          <cell r="C3106" t="str">
            <v>Worth, IA</v>
          </cell>
          <cell r="D3106">
            <v>0.09</v>
          </cell>
        </row>
        <row r="3107">
          <cell r="C3107" t="str">
            <v>Worth, MO</v>
          </cell>
          <cell r="D3107">
            <v>0.09</v>
          </cell>
        </row>
        <row r="3108">
          <cell r="C3108" t="str">
            <v>Wrangell-Petersburg, AK</v>
          </cell>
          <cell r="D3108">
            <v>0.09</v>
          </cell>
        </row>
        <row r="3109">
          <cell r="C3109" t="str">
            <v>Wright, IA</v>
          </cell>
          <cell r="D3109">
            <v>0.09</v>
          </cell>
        </row>
        <row r="3110">
          <cell r="C3110" t="str">
            <v>Wright, MN</v>
          </cell>
          <cell r="D3110">
            <v>6.0999999999999999E-2</v>
          </cell>
        </row>
        <row r="3111">
          <cell r="C3111" t="str">
            <v>Wright, MO</v>
          </cell>
          <cell r="D3111">
            <v>0.09</v>
          </cell>
        </row>
        <row r="3112">
          <cell r="C3112" t="str">
            <v>Wyandot, OH</v>
          </cell>
          <cell r="D3112">
            <v>0.09</v>
          </cell>
        </row>
        <row r="3113">
          <cell r="C3113" t="str">
            <v>Wyandotte, KS</v>
          </cell>
          <cell r="D3113">
            <v>6.0999999999999999E-2</v>
          </cell>
        </row>
        <row r="3114">
          <cell r="C3114" t="str">
            <v>Wyoming, NY</v>
          </cell>
          <cell r="D3114">
            <v>3.5000000000000003E-2</v>
          </cell>
        </row>
        <row r="3115">
          <cell r="C3115" t="str">
            <v>Wyoming, PA</v>
          </cell>
          <cell r="D3115">
            <v>5.7000000000000002E-2</v>
          </cell>
        </row>
        <row r="3116">
          <cell r="C3116" t="str">
            <v>Wyoming, WV</v>
          </cell>
          <cell r="D3116">
            <v>0.09</v>
          </cell>
        </row>
        <row r="3117">
          <cell r="C3117" t="str">
            <v>Wythe, VA</v>
          </cell>
          <cell r="D3117">
            <v>4.3999999999999997E-2</v>
          </cell>
        </row>
        <row r="3118">
          <cell r="C3118" t="str">
            <v>Yadkin, NC</v>
          </cell>
          <cell r="D3118">
            <v>5.7000000000000002E-2</v>
          </cell>
        </row>
        <row r="3119">
          <cell r="C3119" t="str">
            <v>Yakima, WA</v>
          </cell>
          <cell r="D3119">
            <v>0.09</v>
          </cell>
        </row>
        <row r="3120">
          <cell r="C3120" t="str">
            <v>Yalobusha, MS</v>
          </cell>
          <cell r="D3120">
            <v>5.7000000000000002E-2</v>
          </cell>
        </row>
        <row r="3121">
          <cell r="C3121" t="str">
            <v>Yamhill, OR</v>
          </cell>
          <cell r="D3121">
            <v>6.0999999999999999E-2</v>
          </cell>
        </row>
        <row r="3122">
          <cell r="C3122" t="str">
            <v>Yancey, NC</v>
          </cell>
          <cell r="D3122">
            <v>4.3999999999999997E-2</v>
          </cell>
        </row>
        <row r="3123">
          <cell r="C3123" t="str">
            <v>Yankton, SD</v>
          </cell>
          <cell r="D3123">
            <v>4.3999999999999997E-2</v>
          </cell>
        </row>
        <row r="3124">
          <cell r="C3124" t="str">
            <v>Yates, NY</v>
          </cell>
          <cell r="D3124">
            <v>0.09</v>
          </cell>
        </row>
        <row r="3125">
          <cell r="C3125" t="str">
            <v>Yavapai, AZ</v>
          </cell>
          <cell r="D3125">
            <v>4.3999999999999997E-2</v>
          </cell>
        </row>
        <row r="3126">
          <cell r="C3126" t="str">
            <v>Yazoo, MS</v>
          </cell>
          <cell r="D3126">
            <v>5.7000000000000002E-2</v>
          </cell>
        </row>
        <row r="3127">
          <cell r="C3127" t="str">
            <v>Yell, AR</v>
          </cell>
          <cell r="D3127">
            <v>4.3999999999999997E-2</v>
          </cell>
        </row>
        <row r="3128">
          <cell r="C3128" t="str">
            <v>Yellow Medicine, MN</v>
          </cell>
          <cell r="D3128">
            <v>0.09</v>
          </cell>
        </row>
        <row r="3129">
          <cell r="C3129" t="str">
            <v>Yellowstone, MT</v>
          </cell>
          <cell r="D3129">
            <v>0.09</v>
          </cell>
        </row>
        <row r="3130">
          <cell r="C3130" t="str">
            <v>Yellowstone National Park, MT</v>
          </cell>
          <cell r="D3130" t="str">
            <v xml:space="preserve"> </v>
          </cell>
        </row>
        <row r="3131">
          <cell r="C3131" t="str">
            <v>Yoakum, TX</v>
          </cell>
          <cell r="D3131">
            <v>4.3999999999999997E-2</v>
          </cell>
        </row>
        <row r="3132">
          <cell r="C3132" t="str">
            <v>Yolo, CA</v>
          </cell>
          <cell r="D3132">
            <v>2.4E-2</v>
          </cell>
        </row>
        <row r="3133">
          <cell r="C3133" t="str">
            <v>York, ME</v>
          </cell>
          <cell r="D3133">
            <v>0.09</v>
          </cell>
        </row>
        <row r="3134">
          <cell r="C3134" t="str">
            <v>York, NE</v>
          </cell>
          <cell r="D3134">
            <v>0.09</v>
          </cell>
        </row>
        <row r="3135">
          <cell r="C3135" t="str">
            <v>York, PA</v>
          </cell>
          <cell r="D3135">
            <v>6.0999999999999999E-2</v>
          </cell>
        </row>
        <row r="3136">
          <cell r="C3136" t="str">
            <v>York, SC</v>
          </cell>
          <cell r="D3136">
            <v>6.0999999999999999E-2</v>
          </cell>
        </row>
        <row r="3137">
          <cell r="C3137" t="str">
            <v>York, VA</v>
          </cell>
          <cell r="D3137">
            <v>6.0999999999999999E-2</v>
          </cell>
        </row>
        <row r="3138">
          <cell r="C3138" t="str">
            <v>Young, TX</v>
          </cell>
          <cell r="D3138">
            <v>4.3999999999999997E-2</v>
          </cell>
        </row>
        <row r="3139">
          <cell r="C3139" t="str">
            <v>Yuba, CA</v>
          </cell>
          <cell r="D3139">
            <v>3.5000000000000003E-2</v>
          </cell>
        </row>
        <row r="3140">
          <cell r="C3140" t="str">
            <v>Yukon-Koyukuk, AK</v>
          </cell>
          <cell r="D3140">
            <v>0.09</v>
          </cell>
        </row>
        <row r="3141">
          <cell r="C3141" t="str">
            <v>Yuma, AZ</v>
          </cell>
          <cell r="D3141">
            <v>4.3999999999999997E-2</v>
          </cell>
        </row>
        <row r="3142">
          <cell r="C3142" t="str">
            <v>Yuma, CO</v>
          </cell>
          <cell r="D3142">
            <v>4.3999999999999997E-2</v>
          </cell>
        </row>
        <row r="3143">
          <cell r="C3143" t="str">
            <v>Zapata, TX</v>
          </cell>
          <cell r="D3143">
            <v>4.3999999999999997E-2</v>
          </cell>
        </row>
        <row r="3144">
          <cell r="C3144" t="str">
            <v>Zavala, TX</v>
          </cell>
          <cell r="D3144" t="str">
            <v xml:space="preserve"> </v>
          </cell>
        </row>
        <row r="3145">
          <cell r="C3145" t="str">
            <v>Ziebach, SD</v>
          </cell>
          <cell r="D3145">
            <v>4.3999999999999997E-2</v>
          </cell>
        </row>
      </sheetData>
      <sheetData sheetId="45"/>
      <sheetData sheetId="46"/>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Hyperion Panel"/>
      <sheetName val="Upload"/>
      <sheetName val="Intro"/>
      <sheetName val="Worksheets Names"/>
      <sheetName val="Upload Detail"/>
      <sheetName val="Ptr CF"/>
      <sheetName val="Pship IS"/>
      <sheetName val="Payment Schedule (JV)"/>
      <sheetName val="1.0 Summary Sheet"/>
      <sheetName val="1.1 Parent Selection"/>
      <sheetName val="1.2 DeNovo Retrieve"/>
      <sheetName val="P&amp;L Line Items"/>
      <sheetName val="2.0 Assumptions - Exp I"/>
      <sheetName val="FMV Request"/>
      <sheetName val="2.1 Assumptions - Pts"/>
      <sheetName val="Treatments"/>
      <sheetName val="2.2 Assumptions - Reimburse"/>
      <sheetName val="2.3 Salary - Variable"/>
      <sheetName val="2.4 Salary - Fixed"/>
      <sheetName val="2.5 Assumptions - Machine Costs"/>
      <sheetName val="Cap Ex Pricing"/>
      <sheetName val="Cap Ex Qty"/>
      <sheetName val="3.0 Capital Detail-At Startup"/>
      <sheetName val="3.1 Cap. Detail-Incr.@Buildout"/>
      <sheetName val="3.2 Cap. Detail-Total@Buildout"/>
      <sheetName val="4. Scenarios"/>
      <sheetName val="5.0 DaVita Valuation"/>
      <sheetName val="5.5 Partner Valuation"/>
      <sheetName val="5.6 Relo-Expand Valuation"/>
      <sheetName val="Site Selection"/>
      <sheetName val="6. DeNovo P&amp;L"/>
      <sheetName val="7. Parent P&amp;L without DeNovo"/>
      <sheetName val="8. Parent P&amp;L with DeNovo"/>
      <sheetName val="9. DN Cannibalization of Parent"/>
      <sheetName val="10. Expan Patient Assumptions"/>
      <sheetName val="Parent Mgmt Fee"/>
      <sheetName val="CON"/>
      <sheetName val="DVA RE by St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Hyperion Panel"/>
      <sheetName val="Upload"/>
      <sheetName val="Upload Detail"/>
      <sheetName val="JVPmts"/>
      <sheetName val="PtrMonthlyCF"/>
      <sheetName val="Intro"/>
      <sheetName val="Txs"/>
      <sheetName val="Tasks"/>
      <sheetName val="Zang format"/>
      <sheetName val="PtrIS"/>
      <sheetName val="PtrBS"/>
      <sheetName val="PtrCF"/>
      <sheetName val="7.0 Levered Returns"/>
      <sheetName val="1.0 Summary"/>
      <sheetName val="1.1 Parents"/>
      <sheetName val="1.2 OmniTot"/>
      <sheetName val="1.2 EssPL"/>
      <sheetName val="1.3 OmniBal"/>
      <sheetName val="1.3 EssBS"/>
      <sheetName val="2.0 Patients"/>
      <sheetName val="2.1 Reimburse"/>
      <sheetName val="2.2 Staffing"/>
      <sheetName val="2.3 Expenses"/>
      <sheetName val="2.4 HHD"/>
      <sheetName val="3. CapEx"/>
      <sheetName val="Cap Ex Units"/>
      <sheetName val="Cap Ex Pricing"/>
      <sheetName val="4. Scenarios"/>
      <sheetName val="5. Financials"/>
      <sheetName val="6. Market"/>
      <sheetName val="6.1 Chart"/>
      <sheetName val="RevPerTxCalc"/>
      <sheetName val="BainData"/>
      <sheetName val="System"/>
      <sheetName val="ModelNotes"/>
      <sheetName val="Timeli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Hyperion Panel"/>
      <sheetName val="Upload"/>
      <sheetName val="Upload Detail"/>
      <sheetName val="Upload_Tx"/>
      <sheetName val="7.0 Levered Returns"/>
      <sheetName val="Zang format"/>
      <sheetName val="PtrMonthlyCF"/>
      <sheetName val="JV Pmnt Sched"/>
      <sheetName val="Txs"/>
      <sheetName val="PtrBS"/>
      <sheetName val="PtrIS"/>
      <sheetName val="PtrCF OUTPUT"/>
      <sheetName val="PtrCF"/>
      <sheetName val="Intro"/>
      <sheetName val="Process Flow"/>
      <sheetName val="Acronyms"/>
      <sheetName val="Finance Terms"/>
      <sheetName val="1Tab_Input"/>
      <sheetName val="1.0 Summary"/>
      <sheetName val="1.1 Parents"/>
      <sheetName val="1.2 OmniTot"/>
      <sheetName val="1.2 EssPL"/>
      <sheetName val="1.3 OmniBal"/>
      <sheetName val="1.3 EssBS"/>
      <sheetName val="2.0 Patients"/>
      <sheetName val="ESRD_CAGR"/>
      <sheetName val="2.1 Reimburse"/>
      <sheetName val="Sheet1"/>
      <sheetName val="2.2 Staffing"/>
      <sheetName val="2.3 Expenses"/>
      <sheetName val="P&amp;L Line Items"/>
      <sheetName val="Heritage Targets"/>
      <sheetName val="2.4 HHD"/>
      <sheetName val="3. CapEx"/>
      <sheetName val="Cap Ex Units"/>
      <sheetName val="Cap Ex Pricing"/>
      <sheetName val="4. Scenarios"/>
      <sheetName val="5. Financials"/>
      <sheetName val="6. Market"/>
      <sheetName val="VMM CoC"/>
      <sheetName val="SOR"/>
      <sheetName val="CON"/>
      <sheetName val="DVA RE by State"/>
      <sheetName val="RevPerTxCalc"/>
      <sheetName val="System"/>
      <sheetName val="BainData"/>
      <sheetName val="Timeline"/>
      <sheetName val="6.1 Cha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4">
          <cell r="M4" t="str">
            <v>FY13</v>
          </cell>
          <cell r="N4" t="str">
            <v>FY13</v>
          </cell>
          <cell r="O4" t="str">
            <v>FY13</v>
          </cell>
        </row>
        <row r="5">
          <cell r="M5" t="str">
            <v>Sep</v>
          </cell>
          <cell r="N5" t="str">
            <v>Oct</v>
          </cell>
          <cell r="O5" t="str">
            <v>Nov</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mailto:andrew.knox@davita.com"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2.xml"/><Relationship Id="rId1" Type="http://schemas.openxmlformats.org/officeDocument/2006/relationships/printerSettings" Target="../printerSettings/printerSettings16.bin"/><Relationship Id="rId4"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3.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4.xml"/><Relationship Id="rId1" Type="http://schemas.openxmlformats.org/officeDocument/2006/relationships/printerSettings" Target="../printerSettings/printerSettings24.bin"/><Relationship Id="rId4" Type="http://schemas.openxmlformats.org/officeDocument/2006/relationships/comments" Target="../comments17.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0.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1.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25.vml"/><Relationship Id="rId1" Type="http://schemas.openxmlformats.org/officeDocument/2006/relationships/printerSettings" Target="../printerSettings/printerSettings37.bin"/><Relationship Id="rId4" Type="http://schemas.openxmlformats.org/officeDocument/2006/relationships/comments" Target="../comments25.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8.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sheetPr codeName="Sheet4" enableFormatConditionsCalculation="0">
    <tabColor indexed="10"/>
  </sheetPr>
  <dimension ref="A1:L43"/>
  <sheetViews>
    <sheetView showGridLines="0" workbookViewId="0">
      <selection activeCell="A41" sqref="A41:IV42"/>
    </sheetView>
  </sheetViews>
  <sheetFormatPr defaultRowHeight="12.75" outlineLevelRow="1"/>
  <cols>
    <col min="1" max="1" width="17.5703125" customWidth="1"/>
    <col min="2" max="2" width="16.28515625" customWidth="1"/>
    <col min="3" max="3" width="13.140625" bestFit="1" customWidth="1"/>
    <col min="6" max="6" width="14" customWidth="1"/>
    <col min="7" max="7" width="14.5703125" customWidth="1"/>
    <col min="8" max="8" width="17" bestFit="1" customWidth="1"/>
    <col min="11" max="11" width="10.5703125" bestFit="1" customWidth="1"/>
  </cols>
  <sheetData>
    <row r="1" spans="1:11">
      <c r="A1" s="2" t="s">
        <v>3627</v>
      </c>
      <c r="E1" s="2" t="s">
        <v>3628</v>
      </c>
    </row>
    <row r="2" spans="1:11" ht="13.5" thickBot="1"/>
    <row r="3" spans="1:11" ht="18" customHeight="1" thickBot="1">
      <c r="A3" s="10"/>
      <c r="B3" s="14" t="s">
        <v>2042</v>
      </c>
      <c r="C3" s="17" t="s">
        <v>2043</v>
      </c>
      <c r="E3" s="2" t="s">
        <v>2039</v>
      </c>
    </row>
    <row r="4" spans="1:11" ht="13.5" thickBot="1">
      <c r="A4" s="11" t="s">
        <v>2650</v>
      </c>
      <c r="B4" s="15" t="str">
        <f>Project</f>
        <v>Southbend Downtown</v>
      </c>
      <c r="C4" s="18" t="str">
        <f>'1.1 Parents'!F17</f>
        <v>Michigan City</v>
      </c>
      <c r="E4" s="17" t="s">
        <v>2040</v>
      </c>
      <c r="F4" s="23" t="s">
        <v>2041</v>
      </c>
      <c r="G4" s="8" t="s">
        <v>1570</v>
      </c>
      <c r="H4" s="9" t="s">
        <v>255</v>
      </c>
    </row>
    <row r="5" spans="1:11">
      <c r="A5" s="12" t="s">
        <v>3920</v>
      </c>
      <c r="B5" s="16" t="str">
        <f>Type</f>
        <v>DeNovo</v>
      </c>
      <c r="C5" s="18"/>
      <c r="E5" s="25" t="s">
        <v>1929</v>
      </c>
      <c r="F5" s="1682" t="str">
        <f>IF(ABS(SUM(Upload!V5:W7,Upload!L28:U30)-(SUM(Upload!V8:W21,Upload!L31:U44,Upload!U23:U24)+1000)-SUM('5. Financials'!H96,'5. Financials'!I96,'5. Financials'!H93,'5. Financials'!I93))&lt;10, "OK", "Oops!")</f>
        <v>OK</v>
      </c>
      <c r="G5" s="1965" t="str">
        <f>IF(ABS(SUM(Upload!V143:W145,Upload!L166:U168)-SUM(Upload!V146:W159,Upload!L169:U182)-SUM('6. Market'!AL96+'6. Market'!AL93))&lt;100, "OK", "Oops!")</f>
        <v>OK</v>
      </c>
      <c r="H5" s="22" t="str">
        <f>IF(ABS(SUM(Upload!V281:W283,Upload!L304:U306)-SUM(Upload!V284:W297,Upload!L307:U320)-SUM('6. Market'!J96+'6. Market'!J93))&lt;100, "OK", "Oops!")</f>
        <v>OK</v>
      </c>
    </row>
    <row r="6" spans="1:11">
      <c r="A6" s="12" t="s">
        <v>3921</v>
      </c>
      <c r="B6" s="16">
        <f>Facility</f>
        <v>11032</v>
      </c>
      <c r="C6" s="1681" t="str">
        <f>'1.1 Parents'!E17</f>
        <v>00494</v>
      </c>
      <c r="E6" s="26" t="s">
        <v>1930</v>
      </c>
      <c r="F6" s="1683" t="str">
        <f>IF(ABS(SUM(Upload!V28:W30,Upload!L51:U53)-SUM(Upload!V31:W44,Upload!L54:U67,Upload!U46:U47)-SUM('5. Financials'!J96+'5. Financials'!J93))&lt;10, "OK", "Oops!")</f>
        <v>OK</v>
      </c>
      <c r="G6" s="1967" t="str">
        <f>IF(ABS(SUM(Upload!V166:W168,Upload!L189:U191)-SUM(Upload!V169:W182,Upload!L192:U205)-SUM('6. Market'!AM96+'6. Market'!AM93))&lt;100, "OK", "Oops!")</f>
        <v>OK</v>
      </c>
      <c r="H6" s="20" t="str">
        <f>IF(ABS(SUM(Upload!V304:W306,Upload!L327:U329)-SUM(Upload!V307:W320,Upload!L330:U343)-SUM('6. Market'!K96+'6. Market'!K93))&lt;100, "OK", "Oops!")</f>
        <v>OK</v>
      </c>
    </row>
    <row r="7" spans="1:11">
      <c r="A7" s="12" t="s">
        <v>3922</v>
      </c>
      <c r="B7" s="32">
        <f>JVShare</f>
        <v>0.6</v>
      </c>
      <c r="C7" s="33">
        <v>1</v>
      </c>
      <c r="E7" s="26" t="s">
        <v>1931</v>
      </c>
      <c r="F7" s="5" t="str">
        <f>IF(ABS(SUM(Upload!V51:W53,Upload!L74:U76)-SUM(Upload!V54:W67,Upload!L77:U90,Upload!U69:U70)-SUM('5. Financials'!K96+'5. Financials'!K93))&lt;10, "OK", "Oops!")</f>
        <v>OK</v>
      </c>
      <c r="G7" s="1967" t="str">
        <f>IF(ABS(SUM(Upload!V189:W191,Upload!L212:U214)-SUM(Upload!V192:W205,Upload!L215:U228)-SUM('6. Market'!AN96+'6. Market'!AN93))&lt;100, "OK", "Oops!")</f>
        <v>OK</v>
      </c>
      <c r="H7" s="20" t="str">
        <f>IF(ABS(SUM(Upload!V327:W329,Upload!L350:U352)-SUM(Upload!V330:W343,Upload!L353:U366)-SUM('6. Market'!L96+'6. Market'!L93))&lt;100, "OK", "Oops!")</f>
        <v>OK</v>
      </c>
    </row>
    <row r="8" spans="1:11">
      <c r="A8" s="12" t="s">
        <v>3923</v>
      </c>
      <c r="B8" s="29" t="s">
        <v>3626</v>
      </c>
      <c r="C8" s="18"/>
      <c r="E8" s="26" t="s">
        <v>1932</v>
      </c>
      <c r="F8" s="5" t="str">
        <f>IF(ABS(SUM(Upload!V74:W76,Upload!L97:U99)-SUM(Upload!V77:W90,Upload!L100:U113,Upload!U92:U93)-SUM('5. Financials'!L96+'5. Financials'!L93))&lt;10, "OK", "Oops!")</f>
        <v>OK</v>
      </c>
      <c r="G8" s="1967" t="str">
        <f>IF(ABS(SUM(Upload!V212:W214,Upload!L235:U237)-SUM(Upload!V215:W228,Upload!L238:U251)-SUM('6. Market'!AO96+'6. Market'!AO93))&lt;100, "OK", "Oops!")</f>
        <v>OK</v>
      </c>
      <c r="H8" s="20" t="str">
        <f>IF(ABS(SUM(Upload!V350:W352,Upload!L373:U375)-SUM(Upload!V353:W366,Upload!L376:U389)-SUM('6. Market'!M96+'6. Market'!M93))&lt;100, "OK", "Oops!")</f>
        <v>OK</v>
      </c>
    </row>
    <row r="9" spans="1:11" ht="13.5" thickBot="1">
      <c r="A9" s="12" t="s">
        <v>2037</v>
      </c>
      <c r="B9" s="30">
        <v>40179</v>
      </c>
      <c r="C9" s="18"/>
      <c r="E9" s="27" t="s">
        <v>2705</v>
      </c>
      <c r="F9" s="24" t="str">
        <f>IF(ABS(SUM(Upload!V97:W99,Upload!L120:U122)-SUM(Upload!V100:W113,Upload!L123:U136,Upload!U115:U116)-SUM('5. Financials'!M96+'5. Financials'!M93))&lt;10, "OK", "Oops!")</f>
        <v>OK</v>
      </c>
      <c r="G9" s="1968" t="str">
        <f>IF(ABS(SUM(Upload!V235:W237,Upload!L258:U260)-SUM(Upload!V238:W251,Upload!L261:U274)-SUM('6. Market'!AP96+'6. Market'!AP93))&lt;100, "OK", "Oops!")</f>
        <v>OK</v>
      </c>
      <c r="H9" s="21" t="str">
        <f>IF(ABS(SUM(Upload!V373:W375,Upload!L396:U398)-SUM(Upload!V376:W389,Upload!L399:U412)-SUM('6. Market'!N96+'6. Market'!N93))&lt;100, "OK", "Oops!")</f>
        <v>OK</v>
      </c>
    </row>
    <row r="10" spans="1:11" ht="13.5" thickBot="1">
      <c r="A10" s="13" t="s">
        <v>2038</v>
      </c>
      <c r="B10" s="31">
        <v>11</v>
      </c>
      <c r="C10" s="19"/>
      <c r="E10" s="2" t="s">
        <v>166</v>
      </c>
    </row>
    <row r="13" spans="1:11">
      <c r="A13" s="2" t="s">
        <v>3629</v>
      </c>
    </row>
    <row r="14" spans="1:11">
      <c r="A14" s="28" t="s">
        <v>3630</v>
      </c>
    </row>
    <row r="16" spans="1:11">
      <c r="A16" s="34" t="s">
        <v>167</v>
      </c>
      <c r="B16" s="35"/>
      <c r="C16" s="34" t="s">
        <v>2248</v>
      </c>
      <c r="D16" s="35"/>
      <c r="E16" s="35"/>
      <c r="F16" s="35"/>
      <c r="G16" s="35"/>
      <c r="H16" s="35"/>
      <c r="I16" s="35"/>
      <c r="J16" s="35"/>
      <c r="K16" s="35"/>
    </row>
    <row r="17" spans="5:12">
      <c r="F17" s="1660"/>
    </row>
    <row r="18" spans="5:12">
      <c r="E18" s="1684"/>
      <c r="H18" s="1966"/>
      <c r="I18" s="60" t="s">
        <v>1566</v>
      </c>
    </row>
    <row r="19" spans="5:12">
      <c r="E19" s="1661"/>
      <c r="H19" s="1966"/>
      <c r="I19" s="1963" t="s">
        <v>1567</v>
      </c>
      <c r="J19" s="1685"/>
      <c r="K19" s="1685"/>
      <c r="L19" s="1685"/>
    </row>
    <row r="20" spans="5:12">
      <c r="E20" s="1661"/>
      <c r="H20" s="1966"/>
      <c r="I20" s="1963" t="s">
        <v>1568</v>
      </c>
      <c r="J20" s="1685"/>
      <c r="K20" s="1685"/>
      <c r="L20" s="1685"/>
    </row>
    <row r="21" spans="5:12">
      <c r="E21" s="1661"/>
      <c r="H21" s="1964">
        <f>H18-(H19+H20)</f>
        <v>0</v>
      </c>
      <c r="I21" s="1685"/>
      <c r="J21" s="1685"/>
      <c r="K21" s="1685"/>
      <c r="L21" s="1685"/>
    </row>
    <row r="23" spans="5:12">
      <c r="H23" s="1685"/>
    </row>
    <row r="24" spans="5:12">
      <c r="E24" s="1661"/>
      <c r="H24" s="1944"/>
      <c r="J24" s="1685"/>
      <c r="K24" s="1685"/>
      <c r="L24" s="1685"/>
    </row>
    <row r="25" spans="5:12">
      <c r="E25" s="1661"/>
      <c r="H25" s="1966"/>
      <c r="I25" s="1686"/>
      <c r="J25" s="1685"/>
      <c r="K25" s="1685"/>
      <c r="L25" s="1685"/>
    </row>
    <row r="26" spans="5:12">
      <c r="E26" s="1661"/>
      <c r="H26" s="1966"/>
      <c r="I26" s="1686"/>
      <c r="J26" s="1685"/>
      <c r="K26" s="1685"/>
      <c r="L26" s="1685"/>
    </row>
    <row r="27" spans="5:12">
      <c r="E27" s="1661"/>
      <c r="H27" s="1685">
        <f>SUM(H23:H26)</f>
        <v>0</v>
      </c>
      <c r="I27" s="1963" t="s">
        <v>1569</v>
      </c>
    </row>
    <row r="28" spans="5:12">
      <c r="H28" s="1685"/>
    </row>
    <row r="29" spans="5:12">
      <c r="E29" s="1661"/>
      <c r="H29" s="1685">
        <f>H21-H27</f>
        <v>0</v>
      </c>
      <c r="I29" s="1660" t="s">
        <v>1572</v>
      </c>
    </row>
    <row r="31" spans="5:12">
      <c r="G31" s="1610"/>
    </row>
    <row r="41" spans="1:1" hidden="1" outlineLevel="1">
      <c r="A41" t="s">
        <v>4154</v>
      </c>
    </row>
    <row r="42" spans="1:1" hidden="1" outlineLevel="1">
      <c r="A42" t="s">
        <v>4155</v>
      </c>
    </row>
    <row r="43" spans="1:1" collapsed="1"/>
  </sheetData>
  <sheetProtection password="CC45" sheet="1" objects="1" scenarios="1"/>
  <phoneticPr fontId="0" type="noConversion"/>
  <pageMargins left="0.75" right="0.75" top="1" bottom="1" header="0.5" footer="0.5"/>
  <headerFooter alignWithMargins="0"/>
  <legacyDrawing r:id="rId1"/>
</worksheet>
</file>

<file path=xl/worksheets/sheet2.xml><?xml version="1.0" encoding="utf-8"?>
<worksheet xmlns="http://schemas.openxmlformats.org/spreadsheetml/2006/main" xmlns:r="http://schemas.openxmlformats.org/officeDocument/2006/relationships">
  <sheetPr codeName="Sheet5" enableFormatConditionsCalculation="0">
    <tabColor indexed="10"/>
  </sheetPr>
  <dimension ref="A1:Y415"/>
  <sheetViews>
    <sheetView showGridLines="0" zoomScale="75" workbookViewId="0">
      <pane xSplit="1" ySplit="1" topLeftCell="B2" activePane="bottomRight" state="frozen"/>
      <selection activeCell="B10" sqref="B10"/>
      <selection pane="topRight" activeCell="B10" sqref="B10"/>
      <selection pane="bottomLeft" activeCell="B10" sqref="B10"/>
      <selection pane="bottomRight" activeCell="B2" sqref="B2"/>
    </sheetView>
  </sheetViews>
  <sheetFormatPr defaultRowHeight="12.75"/>
  <cols>
    <col min="1" max="1" width="34.7109375" bestFit="1" customWidth="1"/>
    <col min="2" max="2" width="14.42578125" bestFit="1" customWidth="1"/>
    <col min="3" max="10" width="5.7109375" customWidth="1"/>
    <col min="11" max="11" width="5.42578125" customWidth="1"/>
    <col min="25" max="25" width="8.7109375" bestFit="1" customWidth="1"/>
  </cols>
  <sheetData>
    <row r="1" spans="1:25">
      <c r="B1" t="s">
        <v>3631</v>
      </c>
      <c r="C1" t="s">
        <v>3632</v>
      </c>
      <c r="D1" t="s">
        <v>3633</v>
      </c>
      <c r="E1" t="s">
        <v>3634</v>
      </c>
      <c r="F1" t="s">
        <v>3635</v>
      </c>
      <c r="G1" t="s">
        <v>3636</v>
      </c>
      <c r="H1" t="s">
        <v>3637</v>
      </c>
      <c r="I1" t="s">
        <v>3638</v>
      </c>
      <c r="J1" t="s">
        <v>1959</v>
      </c>
      <c r="K1" t="s">
        <v>3639</v>
      </c>
      <c r="L1" t="s">
        <v>3640</v>
      </c>
      <c r="M1" t="s">
        <v>3641</v>
      </c>
      <c r="N1" t="s">
        <v>3642</v>
      </c>
      <c r="O1" t="s">
        <v>3643</v>
      </c>
      <c r="P1" t="s">
        <v>3644</v>
      </c>
      <c r="Q1" t="s">
        <v>3645</v>
      </c>
      <c r="R1" t="s">
        <v>3646</v>
      </c>
      <c r="S1" t="s">
        <v>3647</v>
      </c>
      <c r="T1" t="s">
        <v>3648</v>
      </c>
      <c r="U1" t="s">
        <v>3649</v>
      </c>
      <c r="V1" t="s">
        <v>3650</v>
      </c>
      <c r="W1" t="s">
        <v>3651</v>
      </c>
    </row>
    <row r="2" spans="1:25" s="4" customFormat="1">
      <c r="A2" s="4" t="s">
        <v>2885</v>
      </c>
      <c r="B2" s="4" t="str">
        <f>+LEFT('Hyperion Panel'!$B$5,1)&amp;RIGHT(YEAR('Hyperion Panel'!$B$9),2)&amp;"_"&amp;IF(LEN('Hyperion Panel'!$B$6)&lt;4,0,"")&amp;'Hyperion Panel'!$B$6</f>
        <v>D10_11032</v>
      </c>
      <c r="C2" s="4" t="str">
        <f>+'Hyperion Panel'!$B$8</f>
        <v>LE_XXXX</v>
      </c>
      <c r="D2" s="4" t="s">
        <v>2886</v>
      </c>
      <c r="E2" s="4" t="s">
        <v>2887</v>
      </c>
      <c r="F2" s="4" t="s">
        <v>2888</v>
      </c>
      <c r="G2" s="4" t="s">
        <v>2889</v>
      </c>
      <c r="H2" s="4" t="s">
        <v>145</v>
      </c>
      <c r="I2" s="4" t="s">
        <v>146</v>
      </c>
      <c r="J2" s="4" t="s">
        <v>147</v>
      </c>
      <c r="K2" s="4" t="str">
        <f>+"FY"&amp;RIGHT(YEAR('Hyperion Panel'!$B$9),2)</f>
        <v>FY10</v>
      </c>
      <c r="L2" s="4">
        <f>SUM('Upload Detail'!L3:L4)</f>
        <v>0</v>
      </c>
      <c r="M2" s="4">
        <f>SUM('Upload Detail'!M3:M4)</f>
        <v>0</v>
      </c>
      <c r="N2" s="4">
        <f>SUM('Upload Detail'!N3:N4)</f>
        <v>0</v>
      </c>
      <c r="O2" s="4">
        <f>SUM('Upload Detail'!O3:O4)</f>
        <v>0</v>
      </c>
      <c r="P2" s="4">
        <f>SUM('Upload Detail'!P3:P4)</f>
        <v>0</v>
      </c>
      <c r="Q2" s="4">
        <f>SUM('Upload Detail'!Q3:Q4)</f>
        <v>0</v>
      </c>
      <c r="R2" s="4">
        <f>SUM('Upload Detail'!R3:R4)</f>
        <v>0</v>
      </c>
      <c r="S2" s="4">
        <f>SUM('Upload Detail'!S3:S4)</f>
        <v>0</v>
      </c>
      <c r="T2" s="4">
        <f>SUM('Upload Detail'!T3:T4)</f>
        <v>0</v>
      </c>
      <c r="U2" s="4">
        <f>SUM('Upload Detail'!U3:U4)</f>
        <v>0</v>
      </c>
      <c r="V2" s="4">
        <f>SUM('Upload Detail'!V3:V4)</f>
        <v>36.876666666666665</v>
      </c>
      <c r="W2" s="4">
        <f>SUM('Upload Detail'!W3:W4)</f>
        <v>61.793333333333337</v>
      </c>
    </row>
    <row r="3" spans="1:25" s="4" customFormat="1">
      <c r="A3" s="4" t="s">
        <v>148</v>
      </c>
      <c r="B3" s="4" t="str">
        <f>+$B$2</f>
        <v>D10_11032</v>
      </c>
      <c r="C3" s="4" t="str">
        <f>+$C$2</f>
        <v>LE_XXXX</v>
      </c>
      <c r="D3" s="4" t="s">
        <v>2886</v>
      </c>
      <c r="E3" s="4" t="s">
        <v>149</v>
      </c>
      <c r="F3" s="4" t="s">
        <v>150</v>
      </c>
      <c r="G3" s="4" t="s">
        <v>2889</v>
      </c>
      <c r="H3" s="4" t="s">
        <v>145</v>
      </c>
      <c r="I3" s="4" t="s">
        <v>146</v>
      </c>
      <c r="J3" s="4" t="s">
        <v>147</v>
      </c>
      <c r="K3" s="4" t="str">
        <f>+"FY"&amp;RIGHT(YEAR('Hyperion Panel'!$B$9),2)</f>
        <v>FY10</v>
      </c>
      <c r="L3" s="4">
        <f>SUM('Upload Detail'!L6:L7)</f>
        <v>0</v>
      </c>
      <c r="M3" s="4">
        <f>SUM('Upload Detail'!M6:M7)</f>
        <v>0</v>
      </c>
      <c r="N3" s="4">
        <f>SUM('Upload Detail'!N6:N7)</f>
        <v>0</v>
      </c>
      <c r="O3" s="4">
        <f>SUM('Upload Detail'!O6:O7)</f>
        <v>0</v>
      </c>
      <c r="P3" s="4">
        <f>SUM('Upload Detail'!P6:P7)</f>
        <v>0</v>
      </c>
      <c r="Q3" s="4">
        <f>SUM('Upload Detail'!Q6:Q7)</f>
        <v>0</v>
      </c>
      <c r="R3" s="4">
        <f>SUM('Upload Detail'!R6:R7)</f>
        <v>0</v>
      </c>
      <c r="S3" s="4">
        <f>SUM('Upload Detail'!S6:S7)</f>
        <v>0</v>
      </c>
      <c r="T3" s="4">
        <f>SUM('Upload Detail'!T6:T7)</f>
        <v>0</v>
      </c>
      <c r="U3" s="4">
        <f>SUM('Upload Detail'!U6:U7)</f>
        <v>0</v>
      </c>
      <c r="V3" s="4">
        <f>SUM('Upload Detail'!V6:V7)</f>
        <v>18.524999999999999</v>
      </c>
      <c r="W3" s="4">
        <f>SUM('Upload Detail'!W6:W7)</f>
        <v>24.7</v>
      </c>
    </row>
    <row r="4" spans="1:25" s="1689" customFormat="1">
      <c r="A4" s="1689" t="s">
        <v>169</v>
      </c>
      <c r="B4" s="1689" t="str">
        <f>+$B$2</f>
        <v>D10_11032</v>
      </c>
      <c r="C4" s="1689" t="str">
        <f>+$C$2</f>
        <v>LE_XXXX</v>
      </c>
      <c r="D4" s="1689" t="s">
        <v>2886</v>
      </c>
      <c r="E4" s="1689" t="s">
        <v>719</v>
      </c>
      <c r="F4" s="1689" t="s">
        <v>731</v>
      </c>
      <c r="G4" s="1689" t="s">
        <v>2889</v>
      </c>
      <c r="H4" s="1689" t="s">
        <v>145</v>
      </c>
      <c r="I4" s="1689" t="s">
        <v>146</v>
      </c>
      <c r="J4" s="1689" t="s">
        <v>147</v>
      </c>
      <c r="K4" s="4" t="str">
        <f>+"FY"&amp;RIGHT(YEAR('Hyperion Panel'!$B$9),2)</f>
        <v>FY10</v>
      </c>
      <c r="L4" s="1689">
        <f>SUM('Upload Detail'!L9:L10)</f>
        <v>0</v>
      </c>
      <c r="M4" s="1689">
        <f>SUM('Upload Detail'!M9:M10)</f>
        <v>0</v>
      </c>
      <c r="N4" s="1689">
        <f>SUM('Upload Detail'!N9:N10)</f>
        <v>0</v>
      </c>
      <c r="O4" s="1689">
        <f>SUM('Upload Detail'!O9:O10)</f>
        <v>0</v>
      </c>
      <c r="P4" s="1689">
        <f>SUM('Upload Detail'!P9:P10)</f>
        <v>0</v>
      </c>
      <c r="Q4" s="1689">
        <f>SUM('Upload Detail'!Q9:Q10)</f>
        <v>0</v>
      </c>
      <c r="R4" s="1689">
        <f>SUM('Upload Detail'!R9:R10)</f>
        <v>0</v>
      </c>
      <c r="S4" s="1689">
        <f>SUM('Upload Detail'!S9:S10)</f>
        <v>0</v>
      </c>
      <c r="T4" s="1689">
        <f>SUM('Upload Detail'!T9:T10)</f>
        <v>0</v>
      </c>
      <c r="U4" s="1689">
        <f>SUM('Upload Detail'!U9:U10)</f>
        <v>0</v>
      </c>
      <c r="V4" s="1689">
        <f>SUM('Upload Detail'!V9:V10)</f>
        <v>20.8</v>
      </c>
      <c r="W4" s="1689">
        <f>SUM('Upload Detail'!W9:W10)</f>
        <v>22.966666666666665</v>
      </c>
    </row>
    <row r="5" spans="1:25" s="4" customFormat="1">
      <c r="A5" s="4" t="s">
        <v>151</v>
      </c>
      <c r="B5" s="4" t="str">
        <f t="shared" ref="B5:B95" si="0">+$B$2</f>
        <v>D10_11032</v>
      </c>
      <c r="C5" s="4" t="str">
        <f t="shared" ref="C5:C95" si="1">+$C$2</f>
        <v>LE_XXXX</v>
      </c>
      <c r="D5" s="4" t="s">
        <v>2886</v>
      </c>
      <c r="E5" s="4">
        <v>3010</v>
      </c>
      <c r="F5" s="4" t="s">
        <v>2888</v>
      </c>
      <c r="G5" s="4" t="s">
        <v>2889</v>
      </c>
      <c r="H5" s="4" t="s">
        <v>145</v>
      </c>
      <c r="I5" s="4" t="s">
        <v>146</v>
      </c>
      <c r="J5" s="4" t="s">
        <v>147</v>
      </c>
      <c r="K5" s="4" t="str">
        <f>+"FY"&amp;RIGHT(YEAR('Hyperion Panel'!$B$9),2)</f>
        <v>FY10</v>
      </c>
      <c r="L5" s="4">
        <f>SUM('Upload Detail'!L16:L17)</f>
        <v>0</v>
      </c>
      <c r="M5" s="4">
        <f>SUM('Upload Detail'!M16:M17)</f>
        <v>0</v>
      </c>
      <c r="N5" s="4">
        <f>SUM('Upload Detail'!N16:N17)</f>
        <v>0</v>
      </c>
      <c r="O5" s="4">
        <f>SUM('Upload Detail'!O16:O17)</f>
        <v>0</v>
      </c>
      <c r="P5" s="4">
        <f>SUM('Upload Detail'!P16:P17)</f>
        <v>0</v>
      </c>
      <c r="Q5" s="4">
        <f>SUM('Upload Detail'!Q16:Q17)</f>
        <v>0</v>
      </c>
      <c r="R5" s="4">
        <f>SUM('Upload Detail'!R16:R17)</f>
        <v>0</v>
      </c>
      <c r="S5" s="4">
        <f>SUM('Upload Detail'!S16:S17)</f>
        <v>0</v>
      </c>
      <c r="T5" s="4">
        <f>SUM('Upload Detail'!T16:T17)</f>
        <v>0</v>
      </c>
      <c r="U5" s="4">
        <f>SUM('Upload Detail'!U16:U17)</f>
        <v>0</v>
      </c>
      <c r="V5" s="4">
        <f>SUM('Upload Detail'!V16:V17)</f>
        <v>20118.508965703237</v>
      </c>
      <c r="W5" s="4">
        <f>SUM('Upload Detail'!W16:W17)</f>
        <v>28079.955158627075</v>
      </c>
    </row>
    <row r="6" spans="1:25" s="4" customFormat="1">
      <c r="A6" s="4" t="s">
        <v>152</v>
      </c>
      <c r="B6" s="4" t="str">
        <f t="shared" si="0"/>
        <v>D10_11032</v>
      </c>
      <c r="C6" s="4" t="str">
        <f t="shared" si="1"/>
        <v>LE_XXXX</v>
      </c>
      <c r="D6" s="4" t="s">
        <v>2886</v>
      </c>
      <c r="E6" s="4">
        <v>3030</v>
      </c>
      <c r="F6" s="4" t="s">
        <v>150</v>
      </c>
      <c r="G6" s="4" t="s">
        <v>2889</v>
      </c>
      <c r="H6" s="4" t="s">
        <v>145</v>
      </c>
      <c r="I6" s="4" t="s">
        <v>146</v>
      </c>
      <c r="J6" s="4" t="s">
        <v>147</v>
      </c>
      <c r="K6" s="4" t="str">
        <f>+"FY"&amp;RIGHT(YEAR('Hyperion Panel'!$B$9),2)</f>
        <v>FY10</v>
      </c>
      <c r="L6" s="4">
        <f>SUM('Upload Detail'!L19:L20)</f>
        <v>0</v>
      </c>
      <c r="M6" s="4">
        <f>SUM('Upload Detail'!M19:M20)</f>
        <v>0</v>
      </c>
      <c r="N6" s="4">
        <f>SUM('Upload Detail'!N19:N20)</f>
        <v>0</v>
      </c>
      <c r="O6" s="4">
        <f>SUM('Upload Detail'!O19:O20)</f>
        <v>0</v>
      </c>
      <c r="P6" s="4">
        <f>SUM('Upload Detail'!P19:P20)</f>
        <v>0</v>
      </c>
      <c r="Q6" s="4">
        <f>SUM('Upload Detail'!Q19:Q20)</f>
        <v>0</v>
      </c>
      <c r="R6" s="4">
        <f>SUM('Upload Detail'!R19:R20)</f>
        <v>0</v>
      </c>
      <c r="S6" s="4">
        <f>SUM('Upload Detail'!S19:S20)</f>
        <v>0</v>
      </c>
      <c r="T6" s="4">
        <f>SUM('Upload Detail'!T19:T20)</f>
        <v>0</v>
      </c>
      <c r="U6" s="4">
        <f>SUM('Upload Detail'!U19:U20)</f>
        <v>0</v>
      </c>
      <c r="V6" s="4">
        <f>SUM('Upload Detail'!V19:V20)</f>
        <v>14110.588335735611</v>
      </c>
      <c r="W6" s="4">
        <f>SUM('Upload Detail'!W19:W20)</f>
        <v>15667.687938709889</v>
      </c>
    </row>
    <row r="7" spans="1:25" s="1689" customFormat="1">
      <c r="A7" s="1689" t="s">
        <v>170</v>
      </c>
      <c r="B7" s="1689" t="str">
        <f>+$B$2</f>
        <v>D10_11032</v>
      </c>
      <c r="C7" s="1689" t="str">
        <f t="shared" si="1"/>
        <v>LE_XXXX</v>
      </c>
      <c r="D7" s="1689" t="s">
        <v>2886</v>
      </c>
      <c r="E7" s="1689">
        <v>3050</v>
      </c>
      <c r="F7" s="1689" t="s">
        <v>731</v>
      </c>
      <c r="G7" s="1689" t="s">
        <v>2889</v>
      </c>
      <c r="H7" s="1689" t="s">
        <v>145</v>
      </c>
      <c r="I7" s="1689" t="s">
        <v>146</v>
      </c>
      <c r="J7" s="1689" t="s">
        <v>147</v>
      </c>
      <c r="K7" s="4" t="str">
        <f>+"FY"&amp;RIGHT(YEAR('Hyperion Panel'!$B$9),2)</f>
        <v>FY10</v>
      </c>
      <c r="L7" s="1689">
        <f>SUM('Upload Detail'!L22:L23)</f>
        <v>0</v>
      </c>
      <c r="M7" s="1689">
        <f>SUM('Upload Detail'!M22:M23)</f>
        <v>0</v>
      </c>
      <c r="N7" s="1689">
        <f>SUM('Upload Detail'!N22:N23)</f>
        <v>0</v>
      </c>
      <c r="O7" s="1689">
        <f>SUM('Upload Detail'!O22:O23)</f>
        <v>0</v>
      </c>
      <c r="P7" s="1689">
        <f>SUM('Upload Detail'!P22:P23)</f>
        <v>0</v>
      </c>
      <c r="Q7" s="1689">
        <f>SUM('Upload Detail'!Q22:Q23)</f>
        <v>0</v>
      </c>
      <c r="R7" s="1689">
        <f>SUM('Upload Detail'!R22:R23)</f>
        <v>0</v>
      </c>
      <c r="S7" s="1689">
        <f>SUM('Upload Detail'!S22:S23)</f>
        <v>0</v>
      </c>
      <c r="T7" s="1689">
        <f>SUM('Upload Detail'!T22:T23)</f>
        <v>0</v>
      </c>
      <c r="U7" s="1689">
        <f>SUM('Upload Detail'!U22:U23)</f>
        <v>0</v>
      </c>
      <c r="V7" s="1689">
        <f>SUM('Upload Detail'!V22:V23)</f>
        <v>564.23571146245047</v>
      </c>
      <c r="W7" s="1689">
        <f>SUM('Upload Detail'!W22:W23)</f>
        <v>1128.4714229249009</v>
      </c>
    </row>
    <row r="8" spans="1:25">
      <c r="A8" t="s">
        <v>2651</v>
      </c>
      <c r="B8" t="str">
        <f t="shared" si="0"/>
        <v>D10_11032</v>
      </c>
      <c r="C8" t="str">
        <f t="shared" si="1"/>
        <v>LE_XXXX</v>
      </c>
      <c r="D8" t="s">
        <v>2886</v>
      </c>
      <c r="E8">
        <v>6010</v>
      </c>
      <c r="F8" t="s">
        <v>2888</v>
      </c>
      <c r="G8" t="s">
        <v>153</v>
      </c>
      <c r="H8" t="s">
        <v>154</v>
      </c>
      <c r="I8" t="s">
        <v>146</v>
      </c>
      <c r="J8" t="s">
        <v>147</v>
      </c>
      <c r="K8" t="str">
        <f>+"FY"&amp;RIGHT(YEAR('Hyperion Panel'!$B$9),2)</f>
        <v>FY10</v>
      </c>
      <c r="L8">
        <f>'Upload Detail'!L24</f>
        <v>0</v>
      </c>
      <c r="M8">
        <f>'Upload Detail'!M24</f>
        <v>0</v>
      </c>
      <c r="N8">
        <f>'Upload Detail'!N24</f>
        <v>0</v>
      </c>
      <c r="O8">
        <f>'Upload Detail'!O24</f>
        <v>0</v>
      </c>
      <c r="P8">
        <f>'Upload Detail'!P24</f>
        <v>0</v>
      </c>
      <c r="Q8">
        <f>'Upload Detail'!Q24</f>
        <v>0</v>
      </c>
      <c r="R8">
        <f>'Upload Detail'!R24</f>
        <v>0</v>
      </c>
      <c r="S8">
        <f>'Upload Detail'!S24</f>
        <v>0</v>
      </c>
      <c r="T8">
        <f>'Upload Detail'!T24</f>
        <v>0</v>
      </c>
      <c r="U8">
        <f>'Upload Detail'!U24</f>
        <v>0</v>
      </c>
      <c r="V8">
        <f>'Upload Detail'!V24</f>
        <v>5317.8714271778344</v>
      </c>
      <c r="W8">
        <f>'Upload Detail'!W24</f>
        <v>7638.8645010242881</v>
      </c>
      <c r="Y8" s="105"/>
    </row>
    <row r="9" spans="1:25">
      <c r="A9" t="s">
        <v>2652</v>
      </c>
      <c r="B9" t="str">
        <f t="shared" si="0"/>
        <v>D10_11032</v>
      </c>
      <c r="C9" t="str">
        <f t="shared" si="1"/>
        <v>LE_XXXX</v>
      </c>
      <c r="D9" t="s">
        <v>2886</v>
      </c>
      <c r="E9">
        <v>6010</v>
      </c>
      <c r="F9" t="s">
        <v>2888</v>
      </c>
      <c r="G9" t="s">
        <v>155</v>
      </c>
      <c r="H9" t="s">
        <v>154</v>
      </c>
      <c r="I9" t="s">
        <v>146</v>
      </c>
      <c r="J9" t="s">
        <v>147</v>
      </c>
      <c r="K9" t="str">
        <f>+"FY"&amp;RIGHT(YEAR('Hyperion Panel'!$B$9),2)</f>
        <v>FY10</v>
      </c>
      <c r="L9">
        <f>'Upload Detail'!L25</f>
        <v>0</v>
      </c>
      <c r="M9">
        <f>'Upload Detail'!M25</f>
        <v>0</v>
      </c>
      <c r="N9">
        <f>'Upload Detail'!N25</f>
        <v>0</v>
      </c>
      <c r="O9">
        <f>'Upload Detail'!O25</f>
        <v>0</v>
      </c>
      <c r="P9">
        <f>'Upload Detail'!P25</f>
        <v>0</v>
      </c>
      <c r="Q9">
        <f>'Upload Detail'!Q25</f>
        <v>0</v>
      </c>
      <c r="R9">
        <f>'Upload Detail'!R25</f>
        <v>0</v>
      </c>
      <c r="S9">
        <f>'Upload Detail'!S25</f>
        <v>0</v>
      </c>
      <c r="T9">
        <f>'Upload Detail'!T25</f>
        <v>0</v>
      </c>
      <c r="U9">
        <f>'Upload Detail'!U25</f>
        <v>0</v>
      </c>
      <c r="V9">
        <f>'Upload Detail'!V25</f>
        <v>10333.333333333334</v>
      </c>
      <c r="W9">
        <f>'Upload Detail'!W25</f>
        <v>10333.333333333334</v>
      </c>
      <c r="Y9" s="105"/>
    </row>
    <row r="10" spans="1:25">
      <c r="A10" t="s">
        <v>2653</v>
      </c>
      <c r="B10" t="str">
        <f t="shared" si="0"/>
        <v>D10_11032</v>
      </c>
      <c r="C10" t="str">
        <f t="shared" si="1"/>
        <v>LE_XXXX</v>
      </c>
      <c r="D10" t="s">
        <v>2886</v>
      </c>
      <c r="E10">
        <v>6051</v>
      </c>
      <c r="F10" t="s">
        <v>2888</v>
      </c>
      <c r="G10" t="s">
        <v>153</v>
      </c>
      <c r="H10" t="s">
        <v>154</v>
      </c>
      <c r="I10" t="s">
        <v>146</v>
      </c>
      <c r="J10" t="s">
        <v>147</v>
      </c>
      <c r="K10" t="str">
        <f>+"FY"&amp;RIGHT(YEAR('Hyperion Panel'!$B$9),2)</f>
        <v>FY10</v>
      </c>
      <c r="L10">
        <f>'Upload Detail'!L26</f>
        <v>0</v>
      </c>
      <c r="M10">
        <f>'Upload Detail'!M26</f>
        <v>0</v>
      </c>
      <c r="N10">
        <f>'Upload Detail'!N26</f>
        <v>0</v>
      </c>
      <c r="O10">
        <f>'Upload Detail'!O26</f>
        <v>0</v>
      </c>
      <c r="P10">
        <f>'Upload Detail'!P26</f>
        <v>0</v>
      </c>
      <c r="Q10">
        <f>'Upload Detail'!Q26</f>
        <v>0</v>
      </c>
      <c r="R10">
        <f>'Upload Detail'!R26</f>
        <v>0</v>
      </c>
      <c r="S10">
        <f>'Upload Detail'!S26</f>
        <v>0</v>
      </c>
      <c r="T10">
        <f>'Upload Detail'!T26</f>
        <v>0</v>
      </c>
      <c r="U10">
        <f>'Upload Detail'!U26</f>
        <v>0</v>
      </c>
      <c r="V10">
        <f>'Upload Detail'!V26</f>
        <v>11082.5</v>
      </c>
      <c r="W10">
        <f>'Upload Detail'!W26</f>
        <v>11082.5</v>
      </c>
      <c r="Y10" s="105"/>
    </row>
    <row r="11" spans="1:25">
      <c r="A11" t="s">
        <v>2654</v>
      </c>
      <c r="B11" t="str">
        <f t="shared" si="0"/>
        <v>D10_11032</v>
      </c>
      <c r="C11" t="str">
        <f t="shared" si="1"/>
        <v>LE_XXXX</v>
      </c>
      <c r="D11" t="s">
        <v>2886</v>
      </c>
      <c r="E11">
        <v>6011</v>
      </c>
      <c r="F11" t="s">
        <v>2888</v>
      </c>
      <c r="G11" t="s">
        <v>153</v>
      </c>
      <c r="H11" t="s">
        <v>154</v>
      </c>
      <c r="I11" t="s">
        <v>146</v>
      </c>
      <c r="J11" t="s">
        <v>147</v>
      </c>
      <c r="K11" t="str">
        <f>+"FY"&amp;RIGHT(YEAR('Hyperion Panel'!$B$9),2)</f>
        <v>FY10</v>
      </c>
      <c r="L11">
        <f>'Upload Detail'!L27</f>
        <v>0</v>
      </c>
      <c r="M11">
        <f>'Upload Detail'!M27</f>
        <v>0</v>
      </c>
      <c r="N11">
        <f>'Upload Detail'!N27</f>
        <v>0</v>
      </c>
      <c r="O11">
        <f>'Upload Detail'!O27</f>
        <v>0</v>
      </c>
      <c r="P11">
        <f>'Upload Detail'!P27</f>
        <v>0</v>
      </c>
      <c r="Q11">
        <f>'Upload Detail'!Q27</f>
        <v>0</v>
      </c>
      <c r="R11">
        <f>'Upload Detail'!R27</f>
        <v>0</v>
      </c>
      <c r="S11">
        <f>'Upload Detail'!S27</f>
        <v>0</v>
      </c>
      <c r="T11">
        <f>'Upload Detail'!T27</f>
        <v>0</v>
      </c>
      <c r="U11">
        <f>'Upload Detail'!U27</f>
        <v>0</v>
      </c>
      <c r="V11">
        <f>'Upload Detail'!V27</f>
        <v>0</v>
      </c>
      <c r="W11">
        <f>'Upload Detail'!W27</f>
        <v>0</v>
      </c>
      <c r="Y11" s="105"/>
    </row>
    <row r="12" spans="1:25">
      <c r="A12" t="s">
        <v>3696</v>
      </c>
      <c r="B12" t="str">
        <f t="shared" si="0"/>
        <v>D10_11032</v>
      </c>
      <c r="C12" t="str">
        <f t="shared" si="1"/>
        <v>LE_XXXX</v>
      </c>
      <c r="D12" t="s">
        <v>2886</v>
      </c>
      <c r="E12">
        <v>6600</v>
      </c>
      <c r="F12" t="s">
        <v>2888</v>
      </c>
      <c r="G12" t="s">
        <v>2889</v>
      </c>
      <c r="H12" t="s">
        <v>154</v>
      </c>
      <c r="I12" t="s">
        <v>146</v>
      </c>
      <c r="J12" t="s">
        <v>147</v>
      </c>
      <c r="K12" t="str">
        <f>+"FY"&amp;RIGHT(YEAR('Hyperion Panel'!$B$9),2)</f>
        <v>FY10</v>
      </c>
      <c r="L12">
        <f>'Upload Detail'!L28</f>
        <v>0</v>
      </c>
      <c r="M12">
        <f>'Upload Detail'!M28</f>
        <v>0</v>
      </c>
      <c r="N12">
        <f>'Upload Detail'!N28</f>
        <v>0</v>
      </c>
      <c r="O12">
        <f>'Upload Detail'!O28</f>
        <v>0</v>
      </c>
      <c r="P12">
        <f>'Upload Detail'!P28</f>
        <v>0</v>
      </c>
      <c r="Q12">
        <f>'Upload Detail'!Q28</f>
        <v>0</v>
      </c>
      <c r="R12">
        <f>'Upload Detail'!R28</f>
        <v>0</v>
      </c>
      <c r="S12">
        <f>'Upload Detail'!S28</f>
        <v>0</v>
      </c>
      <c r="T12">
        <f>'Upload Detail'!T28</f>
        <v>0</v>
      </c>
      <c r="U12">
        <f>'Upload Detail'!U28</f>
        <v>0</v>
      </c>
      <c r="V12">
        <f>'Upload Detail'!V28</f>
        <v>3472.201931367636</v>
      </c>
      <c r="W12">
        <f>'Upload Detail'!W28</f>
        <v>5420.8174071253825</v>
      </c>
      <c r="Y12" s="105"/>
    </row>
    <row r="13" spans="1:25">
      <c r="A13" t="s">
        <v>1381</v>
      </c>
      <c r="B13" t="str">
        <f t="shared" si="0"/>
        <v>D10_11032</v>
      </c>
      <c r="C13" t="str">
        <f t="shared" si="1"/>
        <v>LE_XXXX</v>
      </c>
      <c r="D13" t="s">
        <v>2886</v>
      </c>
      <c r="E13">
        <v>6800</v>
      </c>
      <c r="F13" t="s">
        <v>156</v>
      </c>
      <c r="G13" t="s">
        <v>2889</v>
      </c>
      <c r="H13" t="s">
        <v>154</v>
      </c>
      <c r="I13" t="s">
        <v>146</v>
      </c>
      <c r="J13" t="s">
        <v>147</v>
      </c>
      <c r="K13" t="str">
        <f>+"FY"&amp;RIGHT(YEAR('Hyperion Panel'!$B$9),2)</f>
        <v>FY10</v>
      </c>
      <c r="L13">
        <f>'Upload Detail'!L29</f>
        <v>0</v>
      </c>
      <c r="M13">
        <f>'Upload Detail'!M29</f>
        <v>0</v>
      </c>
      <c r="N13">
        <f>'Upload Detail'!N29</f>
        <v>0</v>
      </c>
      <c r="O13">
        <f>'Upload Detail'!O29</f>
        <v>0</v>
      </c>
      <c r="P13">
        <f>'Upload Detail'!P29</f>
        <v>0</v>
      </c>
      <c r="Q13">
        <f>'Upload Detail'!Q29</f>
        <v>0</v>
      </c>
      <c r="R13">
        <f>'Upload Detail'!R29</f>
        <v>0</v>
      </c>
      <c r="S13">
        <f>'Upload Detail'!S29</f>
        <v>0</v>
      </c>
      <c r="T13">
        <f>'Upload Detail'!T29</f>
        <v>0</v>
      </c>
      <c r="U13">
        <f>'Upload Detail'!U29</f>
        <v>0</v>
      </c>
      <c r="V13">
        <f>'Upload Detail'!V29</f>
        <v>1286.7620362465932</v>
      </c>
      <c r="W13">
        <f>'Upload Detail'!W29</f>
        <v>2008.8987284694563</v>
      </c>
      <c r="Y13" s="105"/>
    </row>
    <row r="14" spans="1:25">
      <c r="A14" t="s">
        <v>3697</v>
      </c>
      <c r="B14" t="str">
        <f t="shared" si="0"/>
        <v>D10_11032</v>
      </c>
      <c r="C14" t="str">
        <f t="shared" si="1"/>
        <v>LE_XXXX</v>
      </c>
      <c r="D14" t="s">
        <v>2886</v>
      </c>
      <c r="E14">
        <v>8600</v>
      </c>
      <c r="F14" t="s">
        <v>156</v>
      </c>
      <c r="G14" t="s">
        <v>2889</v>
      </c>
      <c r="H14" t="s">
        <v>154</v>
      </c>
      <c r="I14" t="s">
        <v>146</v>
      </c>
      <c r="J14" t="s">
        <v>147</v>
      </c>
      <c r="K14" t="str">
        <f>+"FY"&amp;RIGHT(YEAR('Hyperion Panel'!$B$9),2)</f>
        <v>FY10</v>
      </c>
      <c r="L14">
        <f>'Upload Detail'!L30</f>
        <v>0</v>
      </c>
      <c r="M14">
        <f>'Upload Detail'!M30</f>
        <v>0</v>
      </c>
      <c r="N14">
        <f>'Upload Detail'!N30</f>
        <v>0</v>
      </c>
      <c r="O14">
        <f>'Upload Detail'!O30</f>
        <v>0</v>
      </c>
      <c r="P14">
        <f>'Upload Detail'!P30</f>
        <v>0</v>
      </c>
      <c r="Q14">
        <f>'Upload Detail'!Q30</f>
        <v>0</v>
      </c>
      <c r="R14">
        <f>'Upload Detail'!R30</f>
        <v>0</v>
      </c>
      <c r="S14">
        <f>'Upload Detail'!S30</f>
        <v>0</v>
      </c>
      <c r="T14">
        <f>'Upload Detail'!T30</f>
        <v>0</v>
      </c>
      <c r="U14">
        <f>'Upload Detail'!U30</f>
        <v>0</v>
      </c>
      <c r="V14">
        <f>'Upload Detail'!V30</f>
        <v>20591.856</v>
      </c>
      <c r="W14">
        <f>'Upload Detail'!W30</f>
        <v>20591.856</v>
      </c>
      <c r="Y14" s="105"/>
    </row>
    <row r="15" spans="1:25">
      <c r="A15" t="s">
        <v>157</v>
      </c>
      <c r="B15" t="str">
        <f t="shared" si="0"/>
        <v>D10_11032</v>
      </c>
      <c r="C15" t="str">
        <f t="shared" si="1"/>
        <v>LE_XXXX</v>
      </c>
      <c r="D15" t="s">
        <v>2886</v>
      </c>
      <c r="E15">
        <v>6720</v>
      </c>
      <c r="F15" t="s">
        <v>156</v>
      </c>
      <c r="G15" t="s">
        <v>2889</v>
      </c>
      <c r="H15" t="s">
        <v>154</v>
      </c>
      <c r="I15" t="s">
        <v>146</v>
      </c>
      <c r="J15" t="s">
        <v>147</v>
      </c>
      <c r="K15" t="str">
        <f>+"FY"&amp;RIGHT(YEAR('Hyperion Panel'!$B$9),2)</f>
        <v>FY10</v>
      </c>
      <c r="L15">
        <f>'Upload Detail'!L31</f>
        <v>0</v>
      </c>
      <c r="M15">
        <f>'Upload Detail'!M31</f>
        <v>0</v>
      </c>
      <c r="N15">
        <f>'Upload Detail'!N31</f>
        <v>0</v>
      </c>
      <c r="O15">
        <f>'Upload Detail'!O31</f>
        <v>0</v>
      </c>
      <c r="P15">
        <f>'Upload Detail'!P31</f>
        <v>0</v>
      </c>
      <c r="Q15">
        <f>'Upload Detail'!Q31</f>
        <v>0</v>
      </c>
      <c r="R15">
        <f>'Upload Detail'!R31</f>
        <v>0</v>
      </c>
      <c r="S15">
        <f>'Upload Detail'!S31</f>
        <v>0</v>
      </c>
      <c r="T15">
        <f>'Upload Detail'!T31</f>
        <v>0</v>
      </c>
      <c r="U15">
        <f>'Upload Detail'!U31</f>
        <v>0</v>
      </c>
      <c r="V15">
        <f>'Upload Detail'!V31</f>
        <v>14118.416666666666</v>
      </c>
      <c r="W15">
        <f>'Upload Detail'!W31</f>
        <v>14118.416666666666</v>
      </c>
      <c r="Y15" s="105"/>
    </row>
    <row r="16" spans="1:25">
      <c r="A16" t="s">
        <v>3925</v>
      </c>
      <c r="B16" t="str">
        <f t="shared" si="0"/>
        <v>D10_11032</v>
      </c>
      <c r="C16" t="str">
        <f t="shared" si="1"/>
        <v>LE_XXXX</v>
      </c>
      <c r="D16" t="s">
        <v>2886</v>
      </c>
      <c r="E16">
        <v>8110</v>
      </c>
      <c r="F16" t="s">
        <v>156</v>
      </c>
      <c r="G16" t="s">
        <v>2889</v>
      </c>
      <c r="H16" t="s">
        <v>154</v>
      </c>
      <c r="I16" t="s">
        <v>146</v>
      </c>
      <c r="J16" t="s">
        <v>147</v>
      </c>
      <c r="K16" t="str">
        <f>+"FY"&amp;RIGHT(YEAR('Hyperion Panel'!$B$9),2)</f>
        <v>FY10</v>
      </c>
      <c r="L16">
        <f>'Upload Detail'!L32</f>
        <v>0</v>
      </c>
      <c r="M16">
        <f>'Upload Detail'!M32</f>
        <v>0</v>
      </c>
      <c r="N16">
        <f>'Upload Detail'!N32</f>
        <v>0</v>
      </c>
      <c r="O16">
        <f>'Upload Detail'!O32</f>
        <v>0</v>
      </c>
      <c r="P16">
        <f>'Upload Detail'!P32</f>
        <v>0</v>
      </c>
      <c r="Q16">
        <f>'Upload Detail'!Q32</f>
        <v>0</v>
      </c>
      <c r="R16">
        <f>'Upload Detail'!R32</f>
        <v>0</v>
      </c>
      <c r="S16">
        <f>'Upload Detail'!S32</f>
        <v>0</v>
      </c>
      <c r="T16">
        <f>'Upload Detail'!T32</f>
        <v>0</v>
      </c>
      <c r="U16">
        <f>'Upload Detail'!U32</f>
        <v>0</v>
      </c>
      <c r="V16">
        <f>'Upload Detail'!V32</f>
        <v>1323.2929999999999</v>
      </c>
      <c r="W16">
        <f>'Upload Detail'!W32</f>
        <v>1323.2929999999999</v>
      </c>
      <c r="Y16" s="105"/>
    </row>
    <row r="17" spans="1:25">
      <c r="A17" t="s">
        <v>3926</v>
      </c>
      <c r="B17" t="str">
        <f t="shared" si="0"/>
        <v>D10_11032</v>
      </c>
      <c r="C17" t="str">
        <f t="shared" si="1"/>
        <v>LE_XXXX</v>
      </c>
      <c r="D17" t="s">
        <v>2886</v>
      </c>
      <c r="E17">
        <v>6412</v>
      </c>
      <c r="F17" t="s">
        <v>156</v>
      </c>
      <c r="G17" t="s">
        <v>2889</v>
      </c>
      <c r="H17" t="s">
        <v>154</v>
      </c>
      <c r="I17" t="s">
        <v>146</v>
      </c>
      <c r="J17" t="s">
        <v>147</v>
      </c>
      <c r="K17" t="str">
        <f>+"FY"&amp;RIGHT(YEAR('Hyperion Panel'!$B$9),2)</f>
        <v>FY10</v>
      </c>
      <c r="L17">
        <f>'Upload Detail'!L33</f>
        <v>0</v>
      </c>
      <c r="M17">
        <f>'Upload Detail'!M33</f>
        <v>0</v>
      </c>
      <c r="N17">
        <f>'Upload Detail'!N33</f>
        <v>0</v>
      </c>
      <c r="O17">
        <f>'Upload Detail'!O33</f>
        <v>0</v>
      </c>
      <c r="P17">
        <f>'Upload Detail'!P33</f>
        <v>0</v>
      </c>
      <c r="Q17">
        <f>'Upload Detail'!Q33</f>
        <v>0</v>
      </c>
      <c r="R17">
        <f>'Upload Detail'!R33</f>
        <v>0</v>
      </c>
      <c r="S17">
        <f>'Upload Detail'!S33</f>
        <v>0</v>
      </c>
      <c r="T17">
        <f>'Upload Detail'!T33</f>
        <v>0</v>
      </c>
      <c r="U17">
        <f>'Upload Detail'!U33</f>
        <v>0</v>
      </c>
      <c r="V17">
        <f>'Upload Detail'!V33</f>
        <v>1217.1958991125173</v>
      </c>
      <c r="W17">
        <f>'Upload Detail'!W33</f>
        <v>1900.2917595843444</v>
      </c>
      <c r="Y17" s="105"/>
    </row>
    <row r="18" spans="1:25" s="104" customFormat="1">
      <c r="A18" s="104" t="s">
        <v>730</v>
      </c>
      <c r="B18" s="104" t="str">
        <f t="shared" si="0"/>
        <v>D10_11032</v>
      </c>
      <c r="C18" s="104" t="str">
        <f t="shared" si="1"/>
        <v>LE_XXXX</v>
      </c>
      <c r="D18" s="104" t="s">
        <v>2886</v>
      </c>
      <c r="E18" s="104">
        <v>8110</v>
      </c>
      <c r="F18" s="104" t="s">
        <v>731</v>
      </c>
      <c r="G18" s="104" t="s">
        <v>2889</v>
      </c>
      <c r="H18" s="104" t="s">
        <v>154</v>
      </c>
      <c r="I18" s="104" t="s">
        <v>146</v>
      </c>
      <c r="J18" s="104" t="s">
        <v>147</v>
      </c>
      <c r="K18" t="str">
        <f>+"FY"&amp;RIGHT(YEAR('Hyperion Panel'!$B$9),2)</f>
        <v>FY10</v>
      </c>
      <c r="L18" s="104">
        <f>'Upload Detail'!L34</f>
        <v>0</v>
      </c>
      <c r="M18" s="104">
        <f>'Upload Detail'!M34</f>
        <v>0</v>
      </c>
      <c r="N18" s="104">
        <f>'Upload Detail'!N34</f>
        <v>0</v>
      </c>
      <c r="O18" s="104">
        <f>'Upload Detail'!O34</f>
        <v>0</v>
      </c>
      <c r="P18" s="104">
        <f>'Upload Detail'!P34</f>
        <v>0</v>
      </c>
      <c r="Q18" s="104">
        <f>'Upload Detail'!Q34</f>
        <v>0</v>
      </c>
      <c r="R18" s="104">
        <f>'Upload Detail'!R34</f>
        <v>0</v>
      </c>
      <c r="S18" s="104">
        <f>'Upload Detail'!S34</f>
        <v>0</v>
      </c>
      <c r="T18" s="104">
        <f>'Upload Detail'!T34</f>
        <v>0</v>
      </c>
      <c r="U18" s="104">
        <f>'Upload Detail'!U34</f>
        <v>0</v>
      </c>
      <c r="V18" s="104">
        <f>'Upload Detail'!V34</f>
        <v>833.33333333333337</v>
      </c>
      <c r="W18" s="104">
        <f>'Upload Detail'!W34</f>
        <v>833.33333333333337</v>
      </c>
      <c r="Y18" s="1690"/>
    </row>
    <row r="19" spans="1:25" s="104" customFormat="1">
      <c r="A19" s="104" t="s">
        <v>732</v>
      </c>
      <c r="B19" s="104" t="str">
        <f t="shared" si="0"/>
        <v>D10_11032</v>
      </c>
      <c r="C19" s="104" t="str">
        <f t="shared" si="1"/>
        <v>LE_XXXX</v>
      </c>
      <c r="D19" s="104" t="s">
        <v>2886</v>
      </c>
      <c r="F19" s="104" t="s">
        <v>731</v>
      </c>
      <c r="G19" s="104" t="s">
        <v>2889</v>
      </c>
      <c r="H19" s="104" t="s">
        <v>154</v>
      </c>
      <c r="I19" s="104" t="s">
        <v>146</v>
      </c>
      <c r="J19" s="104" t="s">
        <v>147</v>
      </c>
      <c r="K19" t="str">
        <f>+"FY"&amp;RIGHT(YEAR('Hyperion Panel'!$B$9),2)</f>
        <v>FY10</v>
      </c>
      <c r="L19" s="104">
        <f>'Upload Detail'!L35</f>
        <v>0</v>
      </c>
      <c r="M19" s="104">
        <f>'Upload Detail'!M35</f>
        <v>0</v>
      </c>
      <c r="N19" s="104">
        <f>'Upload Detail'!N35</f>
        <v>0</v>
      </c>
      <c r="O19" s="104">
        <f>'Upload Detail'!O35</f>
        <v>0</v>
      </c>
      <c r="P19" s="104">
        <f>'Upload Detail'!P35</f>
        <v>0</v>
      </c>
      <c r="Q19" s="104">
        <f>'Upload Detail'!Q35</f>
        <v>0</v>
      </c>
      <c r="R19" s="104">
        <f>'Upload Detail'!R35</f>
        <v>0</v>
      </c>
      <c r="S19" s="104">
        <f>'Upload Detail'!S35</f>
        <v>0</v>
      </c>
      <c r="T19" s="104">
        <f>'Upload Detail'!T35</f>
        <v>0</v>
      </c>
      <c r="U19" s="104">
        <f>'Upload Detail'!U35</f>
        <v>0</v>
      </c>
      <c r="V19" s="104">
        <f>'Upload Detail'!V35</f>
        <v>49.30555555555555</v>
      </c>
      <c r="W19" s="104">
        <f>'Upload Detail'!W35</f>
        <v>49.30555555555555</v>
      </c>
      <c r="Y19" s="1690"/>
    </row>
    <row r="20" spans="1:25" s="104" customFormat="1">
      <c r="A20" s="104" t="s">
        <v>733</v>
      </c>
      <c r="B20" s="104" t="str">
        <f t="shared" si="0"/>
        <v>D10_11032</v>
      </c>
      <c r="C20" s="104" t="str">
        <f t="shared" si="1"/>
        <v>LE_XXXX</v>
      </c>
      <c r="D20" s="104" t="s">
        <v>2886</v>
      </c>
      <c r="F20" s="104" t="s">
        <v>731</v>
      </c>
      <c r="G20" s="104" t="s">
        <v>2889</v>
      </c>
      <c r="H20" s="104" t="s">
        <v>154</v>
      </c>
      <c r="I20" s="104" t="s">
        <v>146</v>
      </c>
      <c r="J20" s="104" t="s">
        <v>147</v>
      </c>
      <c r="K20" t="str">
        <f>+"FY"&amp;RIGHT(YEAR('Hyperion Panel'!$B$9),2)</f>
        <v>FY10</v>
      </c>
      <c r="L20" s="104">
        <f>'Upload Detail'!L36</f>
        <v>0</v>
      </c>
      <c r="M20" s="104">
        <f>'Upload Detail'!M36</f>
        <v>0</v>
      </c>
      <c r="N20" s="104">
        <f>'Upload Detail'!N36</f>
        <v>0</v>
      </c>
      <c r="O20" s="104">
        <f>'Upload Detail'!O36</f>
        <v>0</v>
      </c>
      <c r="P20" s="104">
        <f>'Upload Detail'!P36</f>
        <v>0</v>
      </c>
      <c r="Q20" s="104">
        <f>'Upload Detail'!Q36</f>
        <v>0</v>
      </c>
      <c r="R20" s="104">
        <f>'Upload Detail'!R36</f>
        <v>0</v>
      </c>
      <c r="S20" s="104">
        <f>'Upload Detail'!S36</f>
        <v>0</v>
      </c>
      <c r="T20" s="104">
        <f>'Upload Detail'!T36</f>
        <v>0</v>
      </c>
      <c r="U20" s="104">
        <f>'Upload Detail'!U36</f>
        <v>0</v>
      </c>
      <c r="V20" s="104">
        <f>'Upload Detail'!V36</f>
        <v>4016.6666666666665</v>
      </c>
      <c r="W20" s="104">
        <f>'Upload Detail'!W36</f>
        <v>4016.6666666666665</v>
      </c>
      <c r="Y20" s="1690"/>
    </row>
    <row r="21" spans="1:25" s="104" customFormat="1">
      <c r="A21" s="104" t="s">
        <v>734</v>
      </c>
      <c r="B21" s="104" t="str">
        <f t="shared" si="0"/>
        <v>D10_11032</v>
      </c>
      <c r="C21" s="104" t="str">
        <f t="shared" si="1"/>
        <v>LE_XXXX</v>
      </c>
      <c r="D21" s="104" t="s">
        <v>2886</v>
      </c>
      <c r="E21" s="104">
        <v>6800</v>
      </c>
      <c r="F21" s="104" t="s">
        <v>731</v>
      </c>
      <c r="G21" s="104" t="s">
        <v>2889</v>
      </c>
      <c r="H21" s="104" t="s">
        <v>154</v>
      </c>
      <c r="I21" s="104" t="s">
        <v>146</v>
      </c>
      <c r="J21" s="104" t="s">
        <v>147</v>
      </c>
      <c r="K21" t="str">
        <f>+"FY"&amp;RIGHT(YEAR('Hyperion Panel'!$B$9),2)</f>
        <v>FY10</v>
      </c>
      <c r="L21" s="104">
        <f>'Upload Detail'!L37</f>
        <v>0</v>
      </c>
      <c r="M21" s="104">
        <f>'Upload Detail'!M37</f>
        <v>0</v>
      </c>
      <c r="N21" s="104">
        <f>'Upload Detail'!N37</f>
        <v>0</v>
      </c>
      <c r="O21" s="104">
        <f>'Upload Detail'!O37</f>
        <v>0</v>
      </c>
      <c r="P21" s="104">
        <f>'Upload Detail'!P37</f>
        <v>0</v>
      </c>
      <c r="Q21" s="104">
        <f>'Upload Detail'!Q37</f>
        <v>0</v>
      </c>
      <c r="R21" s="104">
        <f>'Upload Detail'!R37</f>
        <v>0</v>
      </c>
      <c r="S21" s="104">
        <f>'Upload Detail'!S37</f>
        <v>0</v>
      </c>
      <c r="T21" s="104">
        <f>'Upload Detail'!T37</f>
        <v>0</v>
      </c>
      <c r="U21" s="104">
        <f>'Upload Detail'!U37</f>
        <v>0</v>
      </c>
      <c r="V21" s="104">
        <f>'Upload Detail'!V37</f>
        <v>729.16666666666652</v>
      </c>
      <c r="W21" s="104">
        <f>'Upload Detail'!W37</f>
        <v>729.16666666666652</v>
      </c>
      <c r="Y21" s="1690"/>
    </row>
    <row r="22" spans="1:25">
      <c r="A22" t="s">
        <v>158</v>
      </c>
      <c r="B22" t="str">
        <f t="shared" si="0"/>
        <v>D10_11032</v>
      </c>
      <c r="C22" t="str">
        <f t="shared" si="1"/>
        <v>LE_XXXX</v>
      </c>
      <c r="D22" t="s">
        <v>2886</v>
      </c>
      <c r="E22" t="s">
        <v>159</v>
      </c>
      <c r="F22" t="s">
        <v>156</v>
      </c>
      <c r="G22" t="s">
        <v>2889</v>
      </c>
      <c r="H22" t="s">
        <v>154</v>
      </c>
      <c r="I22" t="s">
        <v>146</v>
      </c>
      <c r="J22" t="s">
        <v>147</v>
      </c>
      <c r="K22" t="str">
        <f>+"FY"&amp;RIGHT(YEAR('Hyperion Panel'!$B$9),2)</f>
        <v>FY10</v>
      </c>
      <c r="L22" s="103">
        <f>'Upload Detail'!L38</f>
        <v>0.6</v>
      </c>
      <c r="M22" s="103">
        <f>'Upload Detail'!M38</f>
        <v>0.6</v>
      </c>
      <c r="N22" s="103">
        <f>'Upload Detail'!N38</f>
        <v>0.6</v>
      </c>
      <c r="O22" s="103">
        <f>'Upload Detail'!O38</f>
        <v>0.6</v>
      </c>
      <c r="P22" s="103">
        <f>'Upload Detail'!P38</f>
        <v>0.6</v>
      </c>
      <c r="Q22" s="103">
        <f>'Upload Detail'!Q38</f>
        <v>0.6</v>
      </c>
      <c r="R22" s="103">
        <f>'Upload Detail'!R38</f>
        <v>0.6</v>
      </c>
      <c r="S22" s="103">
        <f>'Upload Detail'!S38</f>
        <v>0.6</v>
      </c>
      <c r="T22" s="103">
        <f>'Upload Detail'!T38</f>
        <v>0.6</v>
      </c>
      <c r="U22" s="103">
        <f>'Upload Detail'!U38</f>
        <v>0.6</v>
      </c>
      <c r="V22" s="103">
        <f>'Upload Detail'!V38</f>
        <v>0.6</v>
      </c>
      <c r="W22" s="103">
        <f>'Upload Detail'!W38</f>
        <v>0.6</v>
      </c>
    </row>
    <row r="23" spans="1:25">
      <c r="A23" t="s">
        <v>160</v>
      </c>
      <c r="B23" t="str">
        <f t="shared" si="0"/>
        <v>D10_11032</v>
      </c>
      <c r="C23" t="str">
        <f t="shared" si="1"/>
        <v>LE_XXXX</v>
      </c>
      <c r="D23" t="s">
        <v>2886</v>
      </c>
      <c r="E23" t="s">
        <v>161</v>
      </c>
      <c r="F23" t="s">
        <v>156</v>
      </c>
      <c r="G23" t="s">
        <v>2889</v>
      </c>
      <c r="H23" t="s">
        <v>154</v>
      </c>
      <c r="I23" t="s">
        <v>146</v>
      </c>
      <c r="J23" t="s">
        <v>147</v>
      </c>
      <c r="K23" t="str">
        <f>+"FY"&amp;RIGHT(YEAR('Hyperion Panel'!$B$9),2)</f>
        <v>FY10</v>
      </c>
      <c r="L23">
        <f>'Upload Detail'!L39</f>
        <v>0</v>
      </c>
      <c r="M23">
        <f>'Upload Detail'!M39</f>
        <v>0</v>
      </c>
      <c r="N23">
        <f>'Upload Detail'!N39</f>
        <v>0</v>
      </c>
      <c r="O23">
        <f>'Upload Detail'!O39</f>
        <v>0</v>
      </c>
      <c r="P23">
        <f>'Upload Detail'!P39</f>
        <v>0</v>
      </c>
      <c r="Q23">
        <f>'Upload Detail'!Q39</f>
        <v>0</v>
      </c>
      <c r="R23">
        <f>'Upload Detail'!R39</f>
        <v>0</v>
      </c>
      <c r="S23">
        <f>'Upload Detail'!S39</f>
        <v>0</v>
      </c>
      <c r="T23">
        <f>'Upload Detail'!T39</f>
        <v>0</v>
      </c>
      <c r="U23">
        <f>'Upload Detail'!U39</f>
        <v>261731.47937388933</v>
      </c>
      <c r="V23">
        <f>'Upload Detail'!V39</f>
        <v>0</v>
      </c>
      <c r="W23">
        <f>'Upload Detail'!W39</f>
        <v>0</v>
      </c>
    </row>
    <row r="24" spans="1:25" s="104" customFormat="1">
      <c r="A24" s="104" t="s">
        <v>735</v>
      </c>
      <c r="B24" s="104" t="str">
        <f t="shared" si="0"/>
        <v>D10_11032</v>
      </c>
      <c r="C24" s="104" t="str">
        <f t="shared" si="1"/>
        <v>LE_XXXX</v>
      </c>
      <c r="D24" s="104" t="s">
        <v>2886</v>
      </c>
      <c r="F24" s="104" t="s">
        <v>731</v>
      </c>
      <c r="G24" s="104" t="s">
        <v>2889</v>
      </c>
      <c r="H24" s="104" t="s">
        <v>154</v>
      </c>
      <c r="I24" s="104" t="s">
        <v>146</v>
      </c>
      <c r="J24" s="104" t="s">
        <v>147</v>
      </c>
      <c r="K24" t="str">
        <f>+"FY"&amp;RIGHT(YEAR('Hyperion Panel'!$B$9),2)</f>
        <v>FY10</v>
      </c>
      <c r="L24" s="104">
        <f>'Upload Detail'!L40</f>
        <v>0</v>
      </c>
      <c r="M24" s="104">
        <f>'Upload Detail'!M40</f>
        <v>0</v>
      </c>
      <c r="N24" s="104">
        <f>'Upload Detail'!N40</f>
        <v>0</v>
      </c>
      <c r="O24" s="104">
        <f>'Upload Detail'!O40</f>
        <v>0</v>
      </c>
      <c r="P24" s="104">
        <f>'Upload Detail'!P40</f>
        <v>0</v>
      </c>
      <c r="Q24" s="104">
        <f>'Upload Detail'!Q40</f>
        <v>0</v>
      </c>
      <c r="R24" s="104">
        <f>'Upload Detail'!R40</f>
        <v>0</v>
      </c>
      <c r="S24" s="104">
        <f>'Upload Detail'!S40</f>
        <v>0</v>
      </c>
      <c r="T24" s="104">
        <f>'Upload Detail'!T40</f>
        <v>0</v>
      </c>
      <c r="U24" s="104">
        <f>'Upload Detail'!U40</f>
        <v>2916.6666666666661</v>
      </c>
      <c r="V24" s="104">
        <f>'Upload Detail'!V40</f>
        <v>0</v>
      </c>
      <c r="W24" s="104">
        <f>'Upload Detail'!W40</f>
        <v>0</v>
      </c>
      <c r="Y24" s="1690"/>
    </row>
    <row r="25" spans="1:25" s="4" customFormat="1">
      <c r="A25" s="4" t="s">
        <v>2885</v>
      </c>
      <c r="B25" s="4" t="str">
        <f t="shared" si="0"/>
        <v>D10_11032</v>
      </c>
      <c r="C25" s="4" t="str">
        <f t="shared" si="1"/>
        <v>LE_XXXX</v>
      </c>
      <c r="D25" s="4" t="s">
        <v>2886</v>
      </c>
      <c r="E25" s="4" t="s">
        <v>2887</v>
      </c>
      <c r="F25" s="4" t="s">
        <v>2888</v>
      </c>
      <c r="G25" s="4" t="s">
        <v>2889</v>
      </c>
      <c r="H25" s="4" t="s">
        <v>145</v>
      </c>
      <c r="I25" s="4" t="s">
        <v>146</v>
      </c>
      <c r="J25" s="4" t="s">
        <v>147</v>
      </c>
      <c r="K25" s="4" t="str">
        <f>+"FY"&amp;RIGHT(YEAR('Hyperion Panel'!$B$9)+1,2)</f>
        <v>FY11</v>
      </c>
      <c r="L25" s="4">
        <f>SUM('Upload Detail'!L43:L44)</f>
        <v>86.710000000000008</v>
      </c>
      <c r="M25" s="4">
        <f>SUM('Upload Detail'!M43:M44)</f>
        <v>111.62666666666668</v>
      </c>
      <c r="N25" s="4">
        <f>SUM('Upload Detail'!N43:N44)</f>
        <v>136.54333333333335</v>
      </c>
      <c r="O25" s="4">
        <f>SUM('Upload Detail'!O43:O44)</f>
        <v>161.46</v>
      </c>
      <c r="P25" s="4">
        <f>SUM('Upload Detail'!P43:P44)</f>
        <v>186.37666666666667</v>
      </c>
      <c r="Q25" s="4">
        <f>SUM('Upload Detail'!Q43:Q44)</f>
        <v>211.29333333333335</v>
      </c>
      <c r="R25" s="4">
        <f>SUM('Upload Detail'!R43:R44)</f>
        <v>236.21</v>
      </c>
      <c r="S25" s="4">
        <f>SUM('Upload Detail'!S43:S44)</f>
        <v>261.12666666666667</v>
      </c>
      <c r="T25" s="4">
        <f>SUM('Upload Detail'!T43:T44)</f>
        <v>286.04333333333341</v>
      </c>
      <c r="U25" s="4">
        <f>SUM('Upload Detail'!U43:U44)</f>
        <v>310.96000000000004</v>
      </c>
      <c r="V25" s="4">
        <f>SUM('Upload Detail'!V43:V44)</f>
        <v>330.89333333333337</v>
      </c>
      <c r="W25" s="4">
        <f>SUM('Upload Detail'!W43:W44)</f>
        <v>350.82666666666677</v>
      </c>
    </row>
    <row r="26" spans="1:25" s="4" customFormat="1">
      <c r="A26" s="4" t="s">
        <v>148</v>
      </c>
      <c r="B26" s="4" t="str">
        <f t="shared" si="0"/>
        <v>D10_11032</v>
      </c>
      <c r="C26" s="4" t="str">
        <f t="shared" si="1"/>
        <v>LE_XXXX</v>
      </c>
      <c r="D26" s="4" t="s">
        <v>2886</v>
      </c>
      <c r="E26" s="4" t="s">
        <v>149</v>
      </c>
      <c r="F26" s="4" t="s">
        <v>150</v>
      </c>
      <c r="G26" s="4" t="s">
        <v>2889</v>
      </c>
      <c r="H26" s="4" t="s">
        <v>145</v>
      </c>
      <c r="I26" s="4" t="s">
        <v>146</v>
      </c>
      <c r="J26" s="4" t="s">
        <v>147</v>
      </c>
      <c r="K26" s="4" t="str">
        <f>+"FY"&amp;RIGHT(YEAR('Hyperion Panel'!$B$9)+1,2)</f>
        <v>FY11</v>
      </c>
      <c r="L26" s="4">
        <f>SUM('Upload Detail'!L46:L47)</f>
        <v>30.875</v>
      </c>
      <c r="M26" s="4">
        <f>SUM('Upload Detail'!M46:M47)</f>
        <v>37.049999999999997</v>
      </c>
      <c r="N26" s="4">
        <f>SUM('Upload Detail'!N46:N47)</f>
        <v>43.225000000000001</v>
      </c>
      <c r="O26" s="4">
        <f>SUM('Upload Detail'!O46:O47)</f>
        <v>49.4</v>
      </c>
      <c r="P26" s="4">
        <f>SUM('Upload Detail'!P46:P47)</f>
        <v>55.575000000000003</v>
      </c>
      <c r="Q26" s="4">
        <f>SUM('Upload Detail'!Q46:Q47)</f>
        <v>61.75</v>
      </c>
      <c r="R26" s="4">
        <f>SUM('Upload Detail'!R46:R47)</f>
        <v>67.924999999999997</v>
      </c>
      <c r="S26" s="4">
        <f>SUM('Upload Detail'!S46:S47)</f>
        <v>74.099999999999994</v>
      </c>
      <c r="T26" s="4">
        <f>SUM('Upload Detail'!T46:T47)</f>
        <v>80.274999999999991</v>
      </c>
      <c r="U26" s="4">
        <f>SUM('Upload Detail'!U46:U47)</f>
        <v>86.449999999999989</v>
      </c>
      <c r="V26" s="4">
        <f>SUM('Upload Detail'!V46:V47)</f>
        <v>92.625</v>
      </c>
      <c r="W26" s="4">
        <f>SUM('Upload Detail'!W46:W47)</f>
        <v>98.799999999999983</v>
      </c>
    </row>
    <row r="27" spans="1:25" s="1689" customFormat="1">
      <c r="A27" s="1689" t="s">
        <v>169</v>
      </c>
      <c r="B27" s="1689" t="str">
        <f>+$B$2</f>
        <v>D10_11032</v>
      </c>
      <c r="C27" s="1689" t="str">
        <f>+$C$2</f>
        <v>LE_XXXX</v>
      </c>
      <c r="D27" s="1689" t="s">
        <v>2886</v>
      </c>
      <c r="E27" s="1689" t="s">
        <v>719</v>
      </c>
      <c r="F27" s="1689" t="s">
        <v>731</v>
      </c>
      <c r="G27" s="1689" t="s">
        <v>2889</v>
      </c>
      <c r="H27" s="1689" t="s">
        <v>145</v>
      </c>
      <c r="I27" s="1689" t="s">
        <v>146</v>
      </c>
      <c r="J27" s="1689" t="s">
        <v>147</v>
      </c>
      <c r="K27" s="4" t="str">
        <f>+"FY"&amp;RIGHT(YEAR('Hyperion Panel'!$B$9)+1,2)</f>
        <v>FY11</v>
      </c>
      <c r="L27" s="1689">
        <f>SUM('Upload Detail'!L49:L50)</f>
        <v>25.133333333333333</v>
      </c>
      <c r="M27" s="1689">
        <f>SUM('Upload Detail'!M49:M50)</f>
        <v>27.299999999999997</v>
      </c>
      <c r="N27" s="1689">
        <f>SUM('Upload Detail'!N49:N50)</f>
        <v>29.466666666666669</v>
      </c>
      <c r="O27" s="1689">
        <f>SUM('Upload Detail'!O49:O50)</f>
        <v>31.633333333333333</v>
      </c>
      <c r="P27" s="1689">
        <f>SUM('Upload Detail'!P49:P50)</f>
        <v>33.799999999999997</v>
      </c>
      <c r="Q27" s="1689">
        <f>SUM('Upload Detail'!Q49:Q50)</f>
        <v>35.966666666666669</v>
      </c>
      <c r="R27" s="1689">
        <f>SUM('Upload Detail'!R49:R50)</f>
        <v>38.133333333333333</v>
      </c>
      <c r="S27" s="1689">
        <f>SUM('Upload Detail'!S49:S50)</f>
        <v>40.299999999999997</v>
      </c>
      <c r="T27" s="1689">
        <f>SUM('Upload Detail'!T49:T50)</f>
        <v>42.466666666666669</v>
      </c>
      <c r="U27" s="1689">
        <f>SUM('Upload Detail'!U49:U50)</f>
        <v>44.633333333333333</v>
      </c>
      <c r="V27" s="1689">
        <f>SUM('Upload Detail'!V49:V50)</f>
        <v>47.883333333333333</v>
      </c>
      <c r="W27" s="1689">
        <f>SUM('Upload Detail'!W49:W50)</f>
        <v>51.133333333333333</v>
      </c>
    </row>
    <row r="28" spans="1:25" s="4" customFormat="1">
      <c r="A28" s="4" t="s">
        <v>151</v>
      </c>
      <c r="B28" s="4" t="str">
        <f t="shared" si="0"/>
        <v>D10_11032</v>
      </c>
      <c r="C28" s="4" t="str">
        <f t="shared" si="1"/>
        <v>LE_XXXX</v>
      </c>
      <c r="D28" s="4" t="s">
        <v>2886</v>
      </c>
      <c r="E28" s="4">
        <v>3010</v>
      </c>
      <c r="F28" s="4" t="s">
        <v>2888</v>
      </c>
      <c r="G28" s="4" t="s">
        <v>2889</v>
      </c>
      <c r="H28" s="4" t="s">
        <v>145</v>
      </c>
      <c r="I28" s="4" t="s">
        <v>146</v>
      </c>
      <c r="J28" s="4" t="s">
        <v>147</v>
      </c>
      <c r="K28" s="4" t="str">
        <f>+"FY"&amp;RIGHT(YEAR('Hyperion Panel'!$B$9)+1,2)</f>
        <v>FY11</v>
      </c>
      <c r="L28" s="4">
        <f>SUM('Upload Detail'!L56:L57)</f>
        <v>36041.401351550914</v>
      </c>
      <c r="M28" s="4">
        <f>SUM('Upload Detail'!M56:M57)</f>
        <v>44002.84754447476</v>
      </c>
      <c r="N28" s="4">
        <f>SUM('Upload Detail'!N56:N57)</f>
        <v>51964.293737398599</v>
      </c>
      <c r="O28" s="4">
        <f>SUM('Upload Detail'!O56:O57)</f>
        <v>59925.739930322437</v>
      </c>
      <c r="P28" s="4">
        <f>SUM('Upload Detail'!P56:P57)</f>
        <v>67887.186123246269</v>
      </c>
      <c r="Q28" s="4">
        <f>SUM('Upload Detail'!Q56:Q57)</f>
        <v>75848.6323161701</v>
      </c>
      <c r="R28" s="4">
        <f>SUM('Upload Detail'!R56:R57)</f>
        <v>83810.078509093946</v>
      </c>
      <c r="S28" s="4">
        <f>SUM('Upload Detail'!S56:S57)</f>
        <v>91771.524702017778</v>
      </c>
      <c r="T28" s="4">
        <f>SUM('Upload Detail'!T56:T57)</f>
        <v>99732.970894941624</v>
      </c>
      <c r="U28" s="4">
        <f>SUM('Upload Detail'!U56:U57)</f>
        <v>107694.41708786545</v>
      </c>
      <c r="V28" s="4">
        <f>SUM('Upload Detail'!V56:V57)</f>
        <v>115061.35624769209</v>
      </c>
      <c r="W28" s="4">
        <f>SUM('Upload Detail'!W56:W57)</f>
        <v>121767.51614812078</v>
      </c>
    </row>
    <row r="29" spans="1:25" s="4" customFormat="1">
      <c r="A29" s="4" t="s">
        <v>152</v>
      </c>
      <c r="B29" s="4" t="str">
        <f t="shared" si="0"/>
        <v>D10_11032</v>
      </c>
      <c r="C29" s="4" t="str">
        <f t="shared" si="1"/>
        <v>LE_XXXX</v>
      </c>
      <c r="D29" s="4" t="s">
        <v>2886</v>
      </c>
      <c r="E29" s="4">
        <v>3030</v>
      </c>
      <c r="F29" s="4" t="s">
        <v>150</v>
      </c>
      <c r="G29" s="4" t="s">
        <v>2889</v>
      </c>
      <c r="H29" s="4" t="s">
        <v>145</v>
      </c>
      <c r="I29" s="4" t="s">
        <v>146</v>
      </c>
      <c r="J29" s="4" t="s">
        <v>147</v>
      </c>
      <c r="K29" s="4" t="str">
        <f>+"FY"&amp;RIGHT(YEAR('Hyperion Panel'!$B$9)+1,2)</f>
        <v>FY11</v>
      </c>
      <c r="L29" s="4">
        <f>SUM('Upload Detail'!L59:L60)</f>
        <v>17224.787541684167</v>
      </c>
      <c r="M29" s="4">
        <f>SUM('Upload Detail'!M59:M60)</f>
        <v>18781.887144658445</v>
      </c>
      <c r="N29" s="4">
        <f>SUM('Upload Detail'!N59:N60)</f>
        <v>20338.98674763272</v>
      </c>
      <c r="O29" s="4">
        <f>SUM('Upload Detail'!O59:O60)</f>
        <v>21896.086350606998</v>
      </c>
      <c r="P29" s="4">
        <f>SUM('Upload Detail'!P59:P60)</f>
        <v>23453.185953581276</v>
      </c>
      <c r="Q29" s="4">
        <f>SUM('Upload Detail'!Q59:Q60)</f>
        <v>25010.285556555551</v>
      </c>
      <c r="R29" s="4">
        <f>SUM('Upload Detail'!R59:R60)</f>
        <v>26567.385159529829</v>
      </c>
      <c r="S29" s="4">
        <f>SUM('Upload Detail'!S59:S60)</f>
        <v>28124.484762504107</v>
      </c>
      <c r="T29" s="4">
        <f>SUM('Upload Detail'!T59:T60)</f>
        <v>29681.584365478382</v>
      </c>
      <c r="U29" s="4">
        <f>SUM('Upload Detail'!U59:U60)</f>
        <v>31238.683968452664</v>
      </c>
      <c r="V29" s="4">
        <f>SUM('Upload Detail'!V59:V60)</f>
        <v>33845.225180657224</v>
      </c>
      <c r="W29" s="4">
        <f>SUM('Upload Detail'!W59:W60)</f>
        <v>36209.749140097483</v>
      </c>
    </row>
    <row r="30" spans="1:25" s="1689" customFormat="1">
      <c r="A30" s="1689" t="s">
        <v>170</v>
      </c>
      <c r="B30" s="1689" t="str">
        <f>+$B$2</f>
        <v>D10_11032</v>
      </c>
      <c r="C30" s="1689" t="str">
        <f t="shared" si="1"/>
        <v>LE_XXXX</v>
      </c>
      <c r="D30" s="1689" t="s">
        <v>2886</v>
      </c>
      <c r="E30" s="1689">
        <v>3050</v>
      </c>
      <c r="F30" s="1689" t="s">
        <v>731</v>
      </c>
      <c r="G30" s="1689" t="s">
        <v>2889</v>
      </c>
      <c r="H30" s="1689" t="s">
        <v>145</v>
      </c>
      <c r="I30" s="1689" t="s">
        <v>146</v>
      </c>
      <c r="J30" s="1689" t="s">
        <v>147</v>
      </c>
      <c r="K30" s="4" t="str">
        <f>+"FY"&amp;RIGHT(YEAR('Hyperion Panel'!$B$9)+1,2)</f>
        <v>FY11</v>
      </c>
      <c r="L30" s="1689">
        <f>SUM('Upload Detail'!L62:L63)</f>
        <v>1692.7071343873517</v>
      </c>
      <c r="M30" s="1689">
        <f>SUM('Upload Detail'!M62:M63)</f>
        <v>2256.9428458498019</v>
      </c>
      <c r="N30" s="1689">
        <f>SUM('Upload Detail'!N62:N63)</f>
        <v>2821.1785573122529</v>
      </c>
      <c r="O30" s="1689">
        <f>SUM('Upload Detail'!O62:O63)</f>
        <v>3385.4142687747026</v>
      </c>
      <c r="P30" s="1689">
        <f>SUM('Upload Detail'!P62:P63)</f>
        <v>3949.6499802371532</v>
      </c>
      <c r="Q30" s="1689">
        <f>SUM('Upload Detail'!Q62:Q63)</f>
        <v>4513.8856916996037</v>
      </c>
      <c r="R30" s="1689">
        <f>SUM('Upload Detail'!R62:R63)</f>
        <v>5078.1214031620548</v>
      </c>
      <c r="S30" s="1689">
        <f>SUM('Upload Detail'!S62:S63)</f>
        <v>5642.3571146245058</v>
      </c>
      <c r="T30" s="1689">
        <f>SUM('Upload Detail'!T62:T63)</f>
        <v>6206.5928260869559</v>
      </c>
      <c r="U30" s="1689">
        <f>SUM('Upload Detail'!U62:U63)</f>
        <v>6770.828537549407</v>
      </c>
      <c r="V30" s="1689">
        <f>SUM('Upload Detail'!V62:V63)</f>
        <v>7598.1391494812242</v>
      </c>
      <c r="W30" s="1689">
        <f>SUM('Upload Detail'!W62:W63)</f>
        <v>8442.376832756916</v>
      </c>
    </row>
    <row r="31" spans="1:25">
      <c r="A31" t="s">
        <v>2651</v>
      </c>
      <c r="B31" t="str">
        <f t="shared" si="0"/>
        <v>D10_11032</v>
      </c>
      <c r="C31" t="str">
        <f t="shared" si="1"/>
        <v>LE_XXXX</v>
      </c>
      <c r="D31" t="s">
        <v>2886</v>
      </c>
      <c r="E31">
        <v>6010</v>
      </c>
      <c r="F31" t="s">
        <v>2888</v>
      </c>
      <c r="G31" t="s">
        <v>153</v>
      </c>
      <c r="H31" t="s">
        <v>154</v>
      </c>
      <c r="I31" t="s">
        <v>146</v>
      </c>
      <c r="J31" t="s">
        <v>147</v>
      </c>
      <c r="K31" t="str">
        <f>+"FY"&amp;RIGHT(YEAR('Hyperion Panel'!$B$9)+1,2)</f>
        <v>FY11</v>
      </c>
      <c r="L31">
        <f>'Upload Detail'!L64</f>
        <v>9959.8575748707426</v>
      </c>
      <c r="M31">
        <f>'Upload Detail'!M64</f>
        <v>12280.850648717196</v>
      </c>
      <c r="N31">
        <f>'Upload Detail'!N64</f>
        <v>14601.843722563652</v>
      </c>
      <c r="O31">
        <f>'Upload Detail'!O64</f>
        <v>16922.836796410102</v>
      </c>
      <c r="P31">
        <f>'Upload Detail'!P64</f>
        <v>19243.829870256559</v>
      </c>
      <c r="Q31">
        <f>'Upload Detail'!Q64</f>
        <v>21564.822944103009</v>
      </c>
      <c r="R31">
        <f>'Upload Detail'!R64</f>
        <v>23885.816017949466</v>
      </c>
      <c r="S31">
        <f>'Upload Detail'!S64</f>
        <v>26206.80909179592</v>
      </c>
      <c r="T31">
        <f>'Upload Detail'!T64</f>
        <v>28527.802165642377</v>
      </c>
      <c r="U31">
        <f>'Upload Detail'!U64</f>
        <v>30848.795239488831</v>
      </c>
      <c r="V31">
        <f>'Upload Detail'!V64</f>
        <v>21130.137897487693</v>
      </c>
      <c r="W31">
        <f>'Upload Detail'!W64</f>
        <v>22446.097673702054</v>
      </c>
    </row>
    <row r="32" spans="1:25">
      <c r="A32" t="s">
        <v>2652</v>
      </c>
      <c r="B32" t="str">
        <f t="shared" si="0"/>
        <v>D10_11032</v>
      </c>
      <c r="C32" t="str">
        <f t="shared" si="1"/>
        <v>LE_XXXX</v>
      </c>
      <c r="D32" t="s">
        <v>2886</v>
      </c>
      <c r="E32">
        <v>6010</v>
      </c>
      <c r="F32" t="s">
        <v>2888</v>
      </c>
      <c r="G32" t="s">
        <v>155</v>
      </c>
      <c r="H32" t="s">
        <v>154</v>
      </c>
      <c r="I32" t="s">
        <v>146</v>
      </c>
      <c r="J32" t="s">
        <v>147</v>
      </c>
      <c r="K32" t="str">
        <f>+"FY"&amp;RIGHT(YEAR('Hyperion Panel'!$B$9)+1,2)</f>
        <v>FY11</v>
      </c>
      <c r="L32">
        <f>'Upload Detail'!L65</f>
        <v>10333.333333333334</v>
      </c>
      <c r="M32">
        <f>'Upload Detail'!M65</f>
        <v>10333.333333333334</v>
      </c>
      <c r="N32">
        <f>'Upload Detail'!N65</f>
        <v>10333.333333333334</v>
      </c>
      <c r="O32">
        <f>'Upload Detail'!O65</f>
        <v>10333.333333333334</v>
      </c>
      <c r="P32">
        <f>'Upload Detail'!P65</f>
        <v>10333.333333333334</v>
      </c>
      <c r="Q32">
        <f>'Upload Detail'!Q65</f>
        <v>10333.333333333334</v>
      </c>
      <c r="R32">
        <f>'Upload Detail'!R65</f>
        <v>10333.333333333334</v>
      </c>
      <c r="S32">
        <f>'Upload Detail'!S65</f>
        <v>10333.333333333334</v>
      </c>
      <c r="T32">
        <f>'Upload Detail'!T65</f>
        <v>10333.333333333334</v>
      </c>
      <c r="U32">
        <f>'Upload Detail'!U65</f>
        <v>10333.333333333334</v>
      </c>
      <c r="V32">
        <f>'Upload Detail'!V65</f>
        <v>14377.083333333334</v>
      </c>
      <c r="W32">
        <f>'Upload Detail'!W65</f>
        <v>14377.083333333334</v>
      </c>
    </row>
    <row r="33" spans="1:23">
      <c r="A33" t="s">
        <v>2653</v>
      </c>
      <c r="B33" t="str">
        <f t="shared" si="0"/>
        <v>D10_11032</v>
      </c>
      <c r="C33" t="str">
        <f t="shared" si="1"/>
        <v>LE_XXXX</v>
      </c>
      <c r="D33" t="s">
        <v>2886</v>
      </c>
      <c r="E33">
        <v>6051</v>
      </c>
      <c r="F33" t="s">
        <v>2888</v>
      </c>
      <c r="G33" t="s">
        <v>153</v>
      </c>
      <c r="H33" t="s">
        <v>154</v>
      </c>
      <c r="I33" t="s">
        <v>146</v>
      </c>
      <c r="J33" t="s">
        <v>147</v>
      </c>
      <c r="K33" t="str">
        <f>+"FY"&amp;RIGHT(YEAR('Hyperion Panel'!$B$9)+1,2)</f>
        <v>FY11</v>
      </c>
      <c r="L33">
        <f>'Upload Detail'!L66</f>
        <v>11082.5</v>
      </c>
      <c r="M33">
        <f>'Upload Detail'!M66</f>
        <v>11082.5</v>
      </c>
      <c r="N33">
        <f>'Upload Detail'!N66</f>
        <v>11082.5</v>
      </c>
      <c r="O33">
        <f>'Upload Detail'!O66</f>
        <v>11082.5</v>
      </c>
      <c r="P33">
        <f>'Upload Detail'!P66</f>
        <v>11082.5</v>
      </c>
      <c r="Q33">
        <f>'Upload Detail'!Q66</f>
        <v>11082.5</v>
      </c>
      <c r="R33">
        <f>'Upload Detail'!R66</f>
        <v>11082.5</v>
      </c>
      <c r="S33">
        <f>'Upload Detail'!S66</f>
        <v>11082.5</v>
      </c>
      <c r="T33">
        <f>'Upload Detail'!T66</f>
        <v>11082.5</v>
      </c>
      <c r="U33">
        <f>'Upload Detail'!U66</f>
        <v>11082.5</v>
      </c>
      <c r="V33">
        <f>'Upload Detail'!V66</f>
        <v>16670.55000000001</v>
      </c>
      <c r="W33">
        <f>'Upload Detail'!W66</f>
        <v>16670.55000000001</v>
      </c>
    </row>
    <row r="34" spans="1:23">
      <c r="A34" t="s">
        <v>2654</v>
      </c>
      <c r="B34" t="str">
        <f t="shared" si="0"/>
        <v>D10_11032</v>
      </c>
      <c r="C34" t="str">
        <f t="shared" si="1"/>
        <v>LE_XXXX</v>
      </c>
      <c r="D34" t="s">
        <v>2886</v>
      </c>
      <c r="E34">
        <v>6011</v>
      </c>
      <c r="F34" t="s">
        <v>2888</v>
      </c>
      <c r="G34" t="s">
        <v>153</v>
      </c>
      <c r="H34" t="s">
        <v>154</v>
      </c>
      <c r="I34" t="s">
        <v>146</v>
      </c>
      <c r="J34" t="s">
        <v>147</v>
      </c>
      <c r="K34" t="str">
        <f>+"FY"&amp;RIGHT(YEAR('Hyperion Panel'!$B$9)+1,2)</f>
        <v>FY11</v>
      </c>
      <c r="L34">
        <f>'Upload Detail'!L67</f>
        <v>0</v>
      </c>
      <c r="M34">
        <f>'Upload Detail'!M67</f>
        <v>0</v>
      </c>
      <c r="N34">
        <f>'Upload Detail'!N67</f>
        <v>0</v>
      </c>
      <c r="O34">
        <f>'Upload Detail'!O67</f>
        <v>0</v>
      </c>
      <c r="P34">
        <f>'Upload Detail'!P67</f>
        <v>0</v>
      </c>
      <c r="Q34">
        <f>'Upload Detail'!Q67</f>
        <v>0</v>
      </c>
      <c r="R34">
        <f>'Upload Detail'!R67</f>
        <v>0</v>
      </c>
      <c r="S34">
        <f>'Upload Detail'!S67</f>
        <v>0</v>
      </c>
      <c r="T34">
        <f>'Upload Detail'!T67</f>
        <v>0</v>
      </c>
      <c r="U34">
        <f>'Upload Detail'!U67</f>
        <v>0</v>
      </c>
      <c r="V34">
        <f>'Upload Detail'!V67</f>
        <v>0</v>
      </c>
      <c r="W34">
        <f>'Upload Detail'!W67</f>
        <v>0</v>
      </c>
    </row>
    <row r="35" spans="1:23">
      <c r="A35" t="s">
        <v>3696</v>
      </c>
      <c r="B35" t="str">
        <f t="shared" si="0"/>
        <v>D10_11032</v>
      </c>
      <c r="C35" t="str">
        <f t="shared" si="1"/>
        <v>LE_XXXX</v>
      </c>
      <c r="D35" t="s">
        <v>2886</v>
      </c>
      <c r="E35">
        <v>6600</v>
      </c>
      <c r="F35" t="s">
        <v>2888</v>
      </c>
      <c r="G35" t="s">
        <v>2889</v>
      </c>
      <c r="H35" t="s">
        <v>154</v>
      </c>
      <c r="I35" t="s">
        <v>146</v>
      </c>
      <c r="J35" t="s">
        <v>147</v>
      </c>
      <c r="K35" t="str">
        <f>+"FY"&amp;RIGHT(YEAR('Hyperion Panel'!$B$9)+1,2)</f>
        <v>FY11</v>
      </c>
      <c r="L35">
        <f>'Upload Detail'!L68</f>
        <v>7369.4328828831303</v>
      </c>
      <c r="M35">
        <f>'Upload Detail'!M68</f>
        <v>9318.0483586408773</v>
      </c>
      <c r="N35">
        <f>'Upload Detail'!N68</f>
        <v>11266.663834398623</v>
      </c>
      <c r="O35">
        <f>'Upload Detail'!O68</f>
        <v>13215.279310156368</v>
      </c>
      <c r="P35">
        <f>'Upload Detail'!P68</f>
        <v>15163.894785914115</v>
      </c>
      <c r="Q35">
        <f>'Upload Detail'!Q68</f>
        <v>17112.510261671865</v>
      </c>
      <c r="R35">
        <f>'Upload Detail'!R68</f>
        <v>19061.125737429611</v>
      </c>
      <c r="S35">
        <f>'Upload Detail'!S68</f>
        <v>21009.741213187357</v>
      </c>
      <c r="T35">
        <f>'Upload Detail'!T68</f>
        <v>22958.35668894511</v>
      </c>
      <c r="U35">
        <f>'Upload Detail'!U68</f>
        <v>24906.972164702853</v>
      </c>
      <c r="V35">
        <f>'Upload Detail'!V68</f>
        <v>27074.131316187744</v>
      </c>
      <c r="W35">
        <f>'Upload Detail'!W68</f>
        <v>28743.151024378578</v>
      </c>
    </row>
    <row r="36" spans="1:23">
      <c r="A36" t="s">
        <v>1381</v>
      </c>
      <c r="B36" t="str">
        <f t="shared" si="0"/>
        <v>D10_11032</v>
      </c>
      <c r="C36" t="str">
        <f t="shared" si="1"/>
        <v>LE_XXXX</v>
      </c>
      <c r="D36" t="s">
        <v>2886</v>
      </c>
      <c r="E36">
        <v>6800</v>
      </c>
      <c r="F36" t="s">
        <v>156</v>
      </c>
      <c r="G36" t="s">
        <v>2889</v>
      </c>
      <c r="H36" t="s">
        <v>154</v>
      </c>
      <c r="I36" t="s">
        <v>146</v>
      </c>
      <c r="J36" t="s">
        <v>147</v>
      </c>
      <c r="K36" t="str">
        <f>+"FY"&amp;RIGHT(YEAR('Hyperion Panel'!$B$9)+1,2)</f>
        <v>FY11</v>
      </c>
      <c r="L36">
        <f>'Upload Detail'!L69</f>
        <v>2731.0354206923198</v>
      </c>
      <c r="M36">
        <f>'Upload Detail'!M69</f>
        <v>3453.1721129151829</v>
      </c>
      <c r="N36">
        <f>'Upload Detail'!N69</f>
        <v>4175.3088051380464</v>
      </c>
      <c r="O36">
        <f>'Upload Detail'!O69</f>
        <v>4897.445497360909</v>
      </c>
      <c r="P36">
        <f>'Upload Detail'!P69</f>
        <v>5619.5821895837726</v>
      </c>
      <c r="Q36">
        <f>'Upload Detail'!Q69</f>
        <v>6341.7188818066361</v>
      </c>
      <c r="R36">
        <f>'Upload Detail'!R69</f>
        <v>7063.8555740294996</v>
      </c>
      <c r="S36">
        <f>'Upload Detail'!S69</f>
        <v>7785.9922662523622</v>
      </c>
      <c r="T36">
        <f>'Upload Detail'!T69</f>
        <v>8508.1289584752285</v>
      </c>
      <c r="U36">
        <f>'Upload Detail'!U69</f>
        <v>9230.2656506980911</v>
      </c>
      <c r="V36">
        <f>'Upload Detail'!V69</f>
        <v>10131.758955098758</v>
      </c>
      <c r="W36">
        <f>'Upload Detail'!W69</f>
        <v>10756.344289978484</v>
      </c>
    </row>
    <row r="37" spans="1:23">
      <c r="A37" t="s">
        <v>3697</v>
      </c>
      <c r="B37" t="str">
        <f t="shared" si="0"/>
        <v>D10_11032</v>
      </c>
      <c r="C37" t="str">
        <f t="shared" si="1"/>
        <v>LE_XXXX</v>
      </c>
      <c r="D37" t="s">
        <v>2886</v>
      </c>
      <c r="E37">
        <v>8600</v>
      </c>
      <c r="F37" t="s">
        <v>156</v>
      </c>
      <c r="G37" t="s">
        <v>2889</v>
      </c>
      <c r="H37" t="s">
        <v>154</v>
      </c>
      <c r="I37" t="s">
        <v>146</v>
      </c>
      <c r="J37" t="s">
        <v>147</v>
      </c>
      <c r="K37" t="str">
        <f>+"FY"&amp;RIGHT(YEAR('Hyperion Panel'!$B$9)+1,2)</f>
        <v>FY11</v>
      </c>
      <c r="L37">
        <f>'Upload Detail'!L70</f>
        <v>20591.856</v>
      </c>
      <c r="M37">
        <f>'Upload Detail'!M70</f>
        <v>20591.856</v>
      </c>
      <c r="N37">
        <f>'Upload Detail'!N70</f>
        <v>20591.856</v>
      </c>
      <c r="O37">
        <f>'Upload Detail'!O70</f>
        <v>20591.856</v>
      </c>
      <c r="P37">
        <f>'Upload Detail'!P70</f>
        <v>20591.856</v>
      </c>
      <c r="Q37">
        <f>'Upload Detail'!Q70</f>
        <v>20591.856</v>
      </c>
      <c r="R37">
        <f>'Upload Detail'!R70</f>
        <v>20591.856</v>
      </c>
      <c r="S37">
        <f>'Upload Detail'!S70</f>
        <v>20591.856</v>
      </c>
      <c r="T37">
        <f>'Upload Detail'!T70</f>
        <v>20591.856</v>
      </c>
      <c r="U37">
        <f>'Upload Detail'!U70</f>
        <v>20591.856</v>
      </c>
      <c r="V37">
        <f>'Upload Detail'!V70</f>
        <v>21209.611679999998</v>
      </c>
      <c r="W37">
        <f>'Upload Detail'!W70</f>
        <v>21209.611679999998</v>
      </c>
    </row>
    <row r="38" spans="1:23">
      <c r="A38" t="s">
        <v>157</v>
      </c>
      <c r="B38" t="str">
        <f t="shared" si="0"/>
        <v>D10_11032</v>
      </c>
      <c r="C38" t="str">
        <f t="shared" si="1"/>
        <v>LE_XXXX</v>
      </c>
      <c r="D38" t="s">
        <v>2886</v>
      </c>
      <c r="E38">
        <v>6720</v>
      </c>
      <c r="F38" t="s">
        <v>156</v>
      </c>
      <c r="G38" t="s">
        <v>2889</v>
      </c>
      <c r="H38" t="s">
        <v>154</v>
      </c>
      <c r="I38" t="s">
        <v>146</v>
      </c>
      <c r="J38" t="s">
        <v>147</v>
      </c>
      <c r="K38" t="str">
        <f>+"FY"&amp;RIGHT(YEAR('Hyperion Panel'!$B$9)+1,2)</f>
        <v>FY11</v>
      </c>
      <c r="L38">
        <f>'Upload Detail'!L71</f>
        <v>14118.416666666666</v>
      </c>
      <c r="M38">
        <f>'Upload Detail'!M71</f>
        <v>14118.416666666666</v>
      </c>
      <c r="N38">
        <f>'Upload Detail'!N71</f>
        <v>14118.416666666666</v>
      </c>
      <c r="O38">
        <f>'Upload Detail'!O71</f>
        <v>14118.416666666666</v>
      </c>
      <c r="P38">
        <f>'Upload Detail'!P71</f>
        <v>14118.416666666666</v>
      </c>
      <c r="Q38">
        <f>'Upload Detail'!Q71</f>
        <v>14118.416666666666</v>
      </c>
      <c r="R38">
        <f>'Upload Detail'!R71</f>
        <v>14118.416666666666</v>
      </c>
      <c r="S38">
        <f>'Upload Detail'!S71</f>
        <v>14118.416666666666</v>
      </c>
      <c r="T38">
        <f>'Upload Detail'!T71</f>
        <v>14118.416666666666</v>
      </c>
      <c r="U38">
        <f>'Upload Detail'!U71</f>
        <v>14118.416666666666</v>
      </c>
      <c r="V38">
        <f>'Upload Detail'!V71</f>
        <v>14118.416666666666</v>
      </c>
      <c r="W38">
        <f>'Upload Detail'!W71</f>
        <v>14118.416666666666</v>
      </c>
    </row>
    <row r="39" spans="1:23">
      <c r="A39" t="s">
        <v>3925</v>
      </c>
      <c r="B39" t="str">
        <f t="shared" si="0"/>
        <v>D10_11032</v>
      </c>
      <c r="C39" t="str">
        <f t="shared" si="1"/>
        <v>LE_XXXX</v>
      </c>
      <c r="D39" t="s">
        <v>2886</v>
      </c>
      <c r="E39">
        <v>8110</v>
      </c>
      <c r="F39" t="s">
        <v>156</v>
      </c>
      <c r="G39" t="s">
        <v>2889</v>
      </c>
      <c r="H39" t="s">
        <v>154</v>
      </c>
      <c r="I39" t="s">
        <v>146</v>
      </c>
      <c r="J39" t="s">
        <v>147</v>
      </c>
      <c r="K39" t="str">
        <f>+"FY"&amp;RIGHT(YEAR('Hyperion Panel'!$B$9)+1,2)</f>
        <v>FY11</v>
      </c>
      <c r="L39">
        <f>'Upload Detail'!L72</f>
        <v>1323.2929999999999</v>
      </c>
      <c r="M39">
        <f>'Upload Detail'!M72</f>
        <v>1323.2929999999999</v>
      </c>
      <c r="N39">
        <f>'Upload Detail'!N72</f>
        <v>1323.2929999999999</v>
      </c>
      <c r="O39">
        <f>'Upload Detail'!O72</f>
        <v>1323.2929999999999</v>
      </c>
      <c r="P39">
        <f>'Upload Detail'!P72</f>
        <v>1323.2929999999999</v>
      </c>
      <c r="Q39">
        <f>'Upload Detail'!Q72</f>
        <v>1323.2929999999999</v>
      </c>
      <c r="R39">
        <f>'Upload Detail'!R72</f>
        <v>1323.2929999999999</v>
      </c>
      <c r="S39">
        <f>'Upload Detail'!S72</f>
        <v>1323.2929999999999</v>
      </c>
      <c r="T39">
        <f>'Upload Detail'!T72</f>
        <v>1323.2929999999999</v>
      </c>
      <c r="U39">
        <f>'Upload Detail'!U72</f>
        <v>1323.2929999999999</v>
      </c>
      <c r="V39">
        <f>'Upload Detail'!V72</f>
        <v>1362.9917899999998</v>
      </c>
      <c r="W39">
        <f>'Upload Detail'!W72</f>
        <v>1362.9917899999998</v>
      </c>
    </row>
    <row r="40" spans="1:23">
      <c r="A40" t="s">
        <v>3926</v>
      </c>
      <c r="B40" t="str">
        <f t="shared" si="0"/>
        <v>D10_11032</v>
      </c>
      <c r="C40" t="str">
        <f t="shared" si="1"/>
        <v>LE_XXXX</v>
      </c>
      <c r="D40" t="s">
        <v>2886</v>
      </c>
      <c r="E40">
        <v>6412</v>
      </c>
      <c r="F40" t="s">
        <v>156</v>
      </c>
      <c r="G40" t="s">
        <v>2889</v>
      </c>
      <c r="H40" t="s">
        <v>154</v>
      </c>
      <c r="I40" t="s">
        <v>146</v>
      </c>
      <c r="J40" t="s">
        <v>147</v>
      </c>
      <c r="K40" t="str">
        <f>+"FY"&amp;RIGHT(YEAR('Hyperion Panel'!$B$9)+1,2)</f>
        <v>FY11</v>
      </c>
      <c r="L40">
        <f>'Upload Detail'!L73</f>
        <v>2583.3876200561722</v>
      </c>
      <c r="M40">
        <f>'Upload Detail'!M73</f>
        <v>3266.4834805279993</v>
      </c>
      <c r="N40">
        <f>'Upload Detail'!N73</f>
        <v>3949.5793409998269</v>
      </c>
      <c r="O40">
        <f>'Upload Detail'!O73</f>
        <v>4632.6752014716531</v>
      </c>
      <c r="P40">
        <f>'Upload Detail'!P73</f>
        <v>5315.7710619434811</v>
      </c>
      <c r="Q40">
        <f>'Upload Detail'!Q73</f>
        <v>5998.8669224153091</v>
      </c>
      <c r="R40">
        <f>'Upload Detail'!R73</f>
        <v>6681.9627828871362</v>
      </c>
      <c r="S40">
        <f>'Upload Detail'!S73</f>
        <v>7365.0586433589633</v>
      </c>
      <c r="T40">
        <f>'Upload Detail'!T73</f>
        <v>8048.1545038307922</v>
      </c>
      <c r="U40">
        <f>'Upload Detail'!U73</f>
        <v>8731.2503643026193</v>
      </c>
      <c r="V40">
        <f>'Upload Detail'!V73</f>
        <v>9584.0062914160935</v>
      </c>
      <c r="W40">
        <f>'Upload Detail'!W73</f>
        <v>10174.82470760049</v>
      </c>
    </row>
    <row r="41" spans="1:23" s="104" customFormat="1">
      <c r="A41" s="104" t="s">
        <v>730</v>
      </c>
      <c r="B41" s="104" t="str">
        <f t="shared" si="0"/>
        <v>D10_11032</v>
      </c>
      <c r="C41" s="104" t="str">
        <f t="shared" si="1"/>
        <v>LE_XXXX</v>
      </c>
      <c r="D41" s="104" t="s">
        <v>2886</v>
      </c>
      <c r="E41" s="104">
        <v>8110</v>
      </c>
      <c r="F41" s="104" t="s">
        <v>731</v>
      </c>
      <c r="G41" s="104" t="s">
        <v>2889</v>
      </c>
      <c r="H41" s="104" t="s">
        <v>154</v>
      </c>
      <c r="I41" s="104" t="s">
        <v>146</v>
      </c>
      <c r="J41" s="104" t="s">
        <v>147</v>
      </c>
      <c r="K41" t="str">
        <f>+"FY"&amp;RIGHT(YEAR('Hyperion Panel'!$B$9)+1,2)</f>
        <v>FY11</v>
      </c>
      <c r="L41" s="104">
        <f>'Upload Detail'!L74</f>
        <v>833.33333333333337</v>
      </c>
      <c r="M41" s="104">
        <f>'Upload Detail'!M74</f>
        <v>833.33333333333337</v>
      </c>
      <c r="N41" s="104">
        <f>'Upload Detail'!N74</f>
        <v>833.33333333333337</v>
      </c>
      <c r="O41" s="104">
        <f>'Upload Detail'!O74</f>
        <v>833.33333333333337</v>
      </c>
      <c r="P41" s="104">
        <f>'Upload Detail'!P74</f>
        <v>833.33333333333337</v>
      </c>
      <c r="Q41" s="104">
        <f>'Upload Detail'!Q74</f>
        <v>833.33333333333337</v>
      </c>
      <c r="R41" s="104">
        <f>'Upload Detail'!R74</f>
        <v>833.33333333333337</v>
      </c>
      <c r="S41" s="104">
        <f>'Upload Detail'!S74</f>
        <v>833.33333333333337</v>
      </c>
      <c r="T41" s="104">
        <f>'Upload Detail'!T74</f>
        <v>833.33333333333337</v>
      </c>
      <c r="U41" s="104">
        <f>'Upload Detail'!U74</f>
        <v>833.33333333333337</v>
      </c>
      <c r="V41" s="104">
        <f>'Upload Detail'!V74</f>
        <v>858.33333333333337</v>
      </c>
      <c r="W41" s="104">
        <f>'Upload Detail'!W74</f>
        <v>858.33333333333337</v>
      </c>
    </row>
    <row r="42" spans="1:23" s="104" customFormat="1">
      <c r="A42" s="104" t="s">
        <v>732</v>
      </c>
      <c r="B42" s="104" t="str">
        <f t="shared" si="0"/>
        <v>D10_11032</v>
      </c>
      <c r="C42" s="104" t="str">
        <f t="shared" si="1"/>
        <v>LE_XXXX</v>
      </c>
      <c r="D42" s="104" t="s">
        <v>2886</v>
      </c>
      <c r="F42" s="104" t="s">
        <v>731</v>
      </c>
      <c r="G42" s="104" t="s">
        <v>2889</v>
      </c>
      <c r="H42" s="104" t="s">
        <v>154</v>
      </c>
      <c r="I42" s="104" t="s">
        <v>146</v>
      </c>
      <c r="J42" s="104" t="s">
        <v>147</v>
      </c>
      <c r="K42" t="str">
        <f>+"FY"&amp;RIGHT(YEAR('Hyperion Panel'!$B$9)+1,2)</f>
        <v>FY11</v>
      </c>
      <c r="L42" s="104">
        <f>'Upload Detail'!L75</f>
        <v>49.30555555555555</v>
      </c>
      <c r="M42" s="104">
        <f>'Upload Detail'!M75</f>
        <v>49.30555555555555</v>
      </c>
      <c r="N42" s="104">
        <f>'Upload Detail'!N75</f>
        <v>49.30555555555555</v>
      </c>
      <c r="O42" s="104">
        <f>'Upload Detail'!O75</f>
        <v>49.30555555555555</v>
      </c>
      <c r="P42" s="104">
        <f>'Upload Detail'!P75</f>
        <v>49.30555555555555</v>
      </c>
      <c r="Q42" s="104">
        <f>'Upload Detail'!Q75</f>
        <v>49.30555555555555</v>
      </c>
      <c r="R42" s="104">
        <f>'Upload Detail'!R75</f>
        <v>49.30555555555555</v>
      </c>
      <c r="S42" s="104">
        <f>'Upload Detail'!S75</f>
        <v>49.30555555555555</v>
      </c>
      <c r="T42" s="104">
        <f>'Upload Detail'!T75</f>
        <v>49.30555555555555</v>
      </c>
      <c r="U42" s="104">
        <f>'Upload Detail'!U75</f>
        <v>49.30555555555555</v>
      </c>
      <c r="V42" s="104">
        <f>'Upload Detail'!V75</f>
        <v>61.355833333333344</v>
      </c>
      <c r="W42" s="104">
        <f>'Upload Detail'!W75</f>
        <v>61.355833333333344</v>
      </c>
    </row>
    <row r="43" spans="1:23" s="104" customFormat="1">
      <c r="A43" s="104" t="s">
        <v>733</v>
      </c>
      <c r="B43" s="104" t="str">
        <f t="shared" si="0"/>
        <v>D10_11032</v>
      </c>
      <c r="C43" s="104" t="str">
        <f t="shared" si="1"/>
        <v>LE_XXXX</v>
      </c>
      <c r="D43" s="104" t="s">
        <v>2886</v>
      </c>
      <c r="F43" s="104" t="s">
        <v>731</v>
      </c>
      <c r="G43" s="104" t="s">
        <v>2889</v>
      </c>
      <c r="H43" s="104" t="s">
        <v>154</v>
      </c>
      <c r="I43" s="104" t="s">
        <v>146</v>
      </c>
      <c r="J43" s="104" t="s">
        <v>147</v>
      </c>
      <c r="K43" t="str">
        <f>+"FY"&amp;RIGHT(YEAR('Hyperion Panel'!$B$9)+1,2)</f>
        <v>FY11</v>
      </c>
      <c r="L43" s="104">
        <f>'Upload Detail'!L76</f>
        <v>4016.6666666666665</v>
      </c>
      <c r="M43" s="104">
        <f>'Upload Detail'!M76</f>
        <v>4016.6666666666665</v>
      </c>
      <c r="N43" s="104">
        <f>'Upload Detail'!N76</f>
        <v>4016.6666666666665</v>
      </c>
      <c r="O43" s="104">
        <f>'Upload Detail'!O76</f>
        <v>4016.6666666666665</v>
      </c>
      <c r="P43" s="104">
        <f>'Upload Detail'!P76</f>
        <v>4016.6666666666665</v>
      </c>
      <c r="Q43" s="104">
        <f>'Upload Detail'!Q76</f>
        <v>4016.6666666666665</v>
      </c>
      <c r="R43" s="104">
        <f>'Upload Detail'!R76</f>
        <v>4016.6666666666665</v>
      </c>
      <c r="S43" s="104">
        <f>'Upload Detail'!S76</f>
        <v>4016.6666666666665</v>
      </c>
      <c r="T43" s="104">
        <f>'Upload Detail'!T76</f>
        <v>4016.6666666666665</v>
      </c>
      <c r="U43" s="104">
        <f>'Upload Detail'!U76</f>
        <v>4016.6666666666665</v>
      </c>
      <c r="V43" s="104">
        <f>'Upload Detail'!V76</f>
        <v>9095.34</v>
      </c>
      <c r="W43" s="104">
        <f>'Upload Detail'!W76</f>
        <v>9095.34</v>
      </c>
    </row>
    <row r="44" spans="1:23" s="104" customFormat="1">
      <c r="A44" s="104" t="s">
        <v>734</v>
      </c>
      <c r="B44" s="104" t="str">
        <f t="shared" si="0"/>
        <v>D10_11032</v>
      </c>
      <c r="C44" s="104" t="str">
        <f t="shared" si="1"/>
        <v>LE_XXXX</v>
      </c>
      <c r="D44" s="104" t="s">
        <v>2886</v>
      </c>
      <c r="E44" s="104">
        <v>6800</v>
      </c>
      <c r="F44" s="104" t="s">
        <v>731</v>
      </c>
      <c r="G44" s="104" t="s">
        <v>2889</v>
      </c>
      <c r="H44" s="104" t="s">
        <v>154</v>
      </c>
      <c r="I44" s="104" t="s">
        <v>146</v>
      </c>
      <c r="J44" s="104" t="s">
        <v>147</v>
      </c>
      <c r="K44" t="str">
        <f>+"FY"&amp;RIGHT(YEAR('Hyperion Panel'!$B$9)+1,2)</f>
        <v>FY11</v>
      </c>
      <c r="L44" s="104">
        <f>'Upload Detail'!L77</f>
        <v>729.16666666666652</v>
      </c>
      <c r="M44" s="104">
        <f>'Upload Detail'!M77</f>
        <v>729.16666666666652</v>
      </c>
      <c r="N44" s="104">
        <f>'Upload Detail'!N77</f>
        <v>729.16666666666652</v>
      </c>
      <c r="O44" s="104">
        <f>'Upload Detail'!O77</f>
        <v>729.16666666666652</v>
      </c>
      <c r="P44" s="104">
        <f>'Upload Detail'!P77</f>
        <v>729.16666666666652</v>
      </c>
      <c r="Q44" s="104">
        <f>'Upload Detail'!Q77</f>
        <v>729.16666666666652</v>
      </c>
      <c r="R44" s="104">
        <f>'Upload Detail'!R77</f>
        <v>729.16666666666652</v>
      </c>
      <c r="S44" s="104">
        <f>'Upload Detail'!S77</f>
        <v>729.16666666666652</v>
      </c>
      <c r="T44" s="104">
        <f>'Upload Detail'!T77</f>
        <v>729.16666666666652</v>
      </c>
      <c r="U44" s="104">
        <f>'Upload Detail'!U77</f>
        <v>729.16666666666652</v>
      </c>
      <c r="V44" s="104">
        <f>'Upload Detail'!V77</f>
        <v>1667.3125</v>
      </c>
      <c r="W44" s="104">
        <f>'Upload Detail'!W77</f>
        <v>1667.3125</v>
      </c>
    </row>
    <row r="45" spans="1:23">
      <c r="A45" t="s">
        <v>158</v>
      </c>
      <c r="B45" t="str">
        <f t="shared" si="0"/>
        <v>D10_11032</v>
      </c>
      <c r="C45" t="str">
        <f t="shared" si="1"/>
        <v>LE_XXXX</v>
      </c>
      <c r="D45" t="s">
        <v>2886</v>
      </c>
      <c r="E45" t="s">
        <v>159</v>
      </c>
      <c r="F45" t="s">
        <v>156</v>
      </c>
      <c r="G45" t="s">
        <v>2889</v>
      </c>
      <c r="H45" t="s">
        <v>154</v>
      </c>
      <c r="I45" t="s">
        <v>146</v>
      </c>
      <c r="J45" t="s">
        <v>147</v>
      </c>
      <c r="K45" t="str">
        <f>+"FY"&amp;RIGHT(YEAR('Hyperion Panel'!$B$9)+1,2)</f>
        <v>FY11</v>
      </c>
      <c r="L45" s="103">
        <f>'Upload Detail'!L78</f>
        <v>0.6</v>
      </c>
      <c r="M45" s="103">
        <f>'Upload Detail'!M78</f>
        <v>0.6</v>
      </c>
      <c r="N45" s="103">
        <f>'Upload Detail'!N78</f>
        <v>0.6</v>
      </c>
      <c r="O45" s="103">
        <f>'Upload Detail'!O78</f>
        <v>0.6</v>
      </c>
      <c r="P45" s="103">
        <f>'Upload Detail'!P78</f>
        <v>0.6</v>
      </c>
      <c r="Q45" s="103">
        <f>'Upload Detail'!Q78</f>
        <v>0.6</v>
      </c>
      <c r="R45" s="103">
        <f>'Upload Detail'!R78</f>
        <v>0.6</v>
      </c>
      <c r="S45" s="103">
        <f>'Upload Detail'!S78</f>
        <v>0.6</v>
      </c>
      <c r="T45" s="103">
        <f>'Upload Detail'!T78</f>
        <v>0.6</v>
      </c>
      <c r="U45" s="103">
        <f>'Upload Detail'!U78</f>
        <v>0.6</v>
      </c>
      <c r="V45" s="103">
        <f>'Upload Detail'!V78</f>
        <v>0.6</v>
      </c>
      <c r="W45" s="103">
        <f>'Upload Detail'!W78</f>
        <v>0.6</v>
      </c>
    </row>
    <row r="46" spans="1:23">
      <c r="A46" t="s">
        <v>160</v>
      </c>
      <c r="B46" t="str">
        <f t="shared" si="0"/>
        <v>D10_11032</v>
      </c>
      <c r="C46" t="str">
        <f t="shared" si="1"/>
        <v>LE_XXXX</v>
      </c>
      <c r="D46" t="s">
        <v>2886</v>
      </c>
      <c r="E46" t="s">
        <v>161</v>
      </c>
      <c r="F46" t="s">
        <v>156</v>
      </c>
      <c r="G46" t="s">
        <v>2889</v>
      </c>
      <c r="H46" t="s">
        <v>154</v>
      </c>
      <c r="I46" t="s">
        <v>146</v>
      </c>
      <c r="J46" t="s">
        <v>147</v>
      </c>
      <c r="K46" t="str">
        <f>+"FY"&amp;RIGHT(YEAR('Hyperion Panel'!$B$9)+1,2)</f>
        <v>FY11</v>
      </c>
      <c r="L46">
        <f>'Upload Detail'!L79</f>
        <v>0</v>
      </c>
      <c r="M46">
        <f>'Upload Detail'!M79</f>
        <v>0</v>
      </c>
      <c r="N46">
        <f>'Upload Detail'!N79</f>
        <v>0</v>
      </c>
      <c r="O46">
        <f>'Upload Detail'!O79</f>
        <v>0</v>
      </c>
      <c r="P46">
        <f>'Upload Detail'!P79</f>
        <v>0</v>
      </c>
      <c r="Q46">
        <f>'Upload Detail'!Q79</f>
        <v>0</v>
      </c>
      <c r="R46">
        <f>'Upload Detail'!R79</f>
        <v>0</v>
      </c>
      <c r="S46">
        <f>'Upload Detail'!S79</f>
        <v>0</v>
      </c>
      <c r="T46">
        <f>'Upload Detail'!T79</f>
        <v>0</v>
      </c>
      <c r="U46">
        <f>'Upload Detail'!U79</f>
        <v>0</v>
      </c>
      <c r="V46">
        <f>'Upload Detail'!V79</f>
        <v>0</v>
      </c>
      <c r="W46">
        <f>'Upload Detail'!W79</f>
        <v>0</v>
      </c>
    </row>
    <row r="47" spans="1:23" s="104" customFormat="1">
      <c r="A47" s="104" t="s">
        <v>735</v>
      </c>
      <c r="B47" s="104" t="str">
        <f t="shared" si="0"/>
        <v>D10_11032</v>
      </c>
      <c r="C47" s="104" t="str">
        <f t="shared" si="1"/>
        <v>LE_XXXX</v>
      </c>
      <c r="D47" s="104" t="s">
        <v>2886</v>
      </c>
      <c r="F47" s="104" t="s">
        <v>731</v>
      </c>
      <c r="G47" s="104" t="s">
        <v>2889</v>
      </c>
      <c r="H47" s="104" t="s">
        <v>154</v>
      </c>
      <c r="I47" s="104" t="s">
        <v>146</v>
      </c>
      <c r="J47" s="104" t="s">
        <v>147</v>
      </c>
      <c r="K47" t="str">
        <f>+"FY"&amp;RIGHT(YEAR('Hyperion Panel'!$B$9)+1,2)</f>
        <v>FY11</v>
      </c>
      <c r="L47" s="104">
        <f>'Upload Detail'!L80</f>
        <v>0</v>
      </c>
      <c r="M47" s="104">
        <f>'Upload Detail'!M80</f>
        <v>0</v>
      </c>
      <c r="N47" s="104">
        <f>'Upload Detail'!N80</f>
        <v>0</v>
      </c>
      <c r="O47" s="104">
        <f>'Upload Detail'!O80</f>
        <v>0</v>
      </c>
      <c r="P47" s="104">
        <f>'Upload Detail'!P80</f>
        <v>0</v>
      </c>
      <c r="Q47" s="104">
        <f>'Upload Detail'!Q80</f>
        <v>0</v>
      </c>
      <c r="R47" s="104">
        <f>'Upload Detail'!R80</f>
        <v>0</v>
      </c>
      <c r="S47" s="104">
        <f>'Upload Detail'!S80</f>
        <v>0</v>
      </c>
      <c r="T47" s="104">
        <f>'Upload Detail'!T80</f>
        <v>0</v>
      </c>
      <c r="U47" s="104">
        <f>'Upload Detail'!U80</f>
        <v>0</v>
      </c>
      <c r="V47" s="104">
        <f>'Upload Detail'!V80</f>
        <v>0</v>
      </c>
      <c r="W47" s="104">
        <f>'Upload Detail'!W80</f>
        <v>0</v>
      </c>
    </row>
    <row r="48" spans="1:23" s="4" customFormat="1">
      <c r="A48" s="4" t="s">
        <v>2885</v>
      </c>
      <c r="B48" s="4" t="str">
        <f t="shared" si="0"/>
        <v>D10_11032</v>
      </c>
      <c r="C48" s="4" t="str">
        <f t="shared" si="1"/>
        <v>LE_XXXX</v>
      </c>
      <c r="D48" s="4" t="s">
        <v>2886</v>
      </c>
      <c r="E48" s="4" t="s">
        <v>2887</v>
      </c>
      <c r="F48" s="4" t="s">
        <v>2888</v>
      </c>
      <c r="G48" s="4" t="s">
        <v>2889</v>
      </c>
      <c r="H48" s="4" t="s">
        <v>145</v>
      </c>
      <c r="I48" s="4" t="s">
        <v>146</v>
      </c>
      <c r="J48" s="4" t="s">
        <v>147</v>
      </c>
      <c r="K48" s="4" t="str">
        <f>+"FY"&amp;RIGHT(YEAR('Hyperion Panel'!$B$9)+2,2)</f>
        <v>FY12</v>
      </c>
      <c r="L48" s="4">
        <f>SUM('Upload Detail'!L83:L84)</f>
        <v>370.7600000000001</v>
      </c>
      <c r="M48" s="4">
        <f>SUM('Upload Detail'!M83:M84)</f>
        <v>390.69333333333338</v>
      </c>
      <c r="N48" s="4">
        <f>SUM('Upload Detail'!N83:N84)</f>
        <v>410.62666666666672</v>
      </c>
      <c r="O48" s="4">
        <f>SUM('Upload Detail'!O83:O84)</f>
        <v>430.56</v>
      </c>
      <c r="P48" s="4">
        <f>SUM('Upload Detail'!P83:P84)</f>
        <v>450.49333333333334</v>
      </c>
      <c r="Q48" s="4">
        <f>SUM('Upload Detail'!Q83:Q84)</f>
        <v>470.42666666666668</v>
      </c>
      <c r="R48" s="4">
        <f>SUM('Upload Detail'!R83:R84)</f>
        <v>490.36</v>
      </c>
      <c r="S48" s="4">
        <f>SUM('Upload Detail'!S83:S84)</f>
        <v>510.29333333333335</v>
      </c>
      <c r="T48" s="4">
        <f>SUM('Upload Detail'!T83:T84)</f>
        <v>530.22666666666669</v>
      </c>
      <c r="U48" s="4">
        <f>SUM('Upload Detail'!U83:U84)</f>
        <v>550.16</v>
      </c>
      <c r="V48" s="4">
        <f>SUM('Upload Detail'!V83:V84)</f>
        <v>563.11666666666667</v>
      </c>
      <c r="W48" s="4">
        <f>SUM('Upload Detail'!W83:W84)</f>
        <v>576.07333333333327</v>
      </c>
    </row>
    <row r="49" spans="1:25" s="4" customFormat="1">
      <c r="A49" s="4" t="s">
        <v>148</v>
      </c>
      <c r="B49" s="4" t="str">
        <f t="shared" si="0"/>
        <v>D10_11032</v>
      </c>
      <c r="C49" s="4" t="str">
        <f t="shared" si="1"/>
        <v>LE_XXXX</v>
      </c>
      <c r="D49" s="4" t="s">
        <v>2886</v>
      </c>
      <c r="E49" s="4" t="s">
        <v>149</v>
      </c>
      <c r="F49" s="4" t="s">
        <v>150</v>
      </c>
      <c r="G49" s="4" t="s">
        <v>2889</v>
      </c>
      <c r="H49" s="4" t="s">
        <v>145</v>
      </c>
      <c r="I49" s="4" t="s">
        <v>146</v>
      </c>
      <c r="J49" s="4" t="s">
        <v>147</v>
      </c>
      <c r="K49" s="4" t="str">
        <f>+"FY"&amp;RIGHT(YEAR('Hyperion Panel'!$B$9)+2,2)</f>
        <v>FY12</v>
      </c>
      <c r="L49" s="4">
        <f>SUM('Upload Detail'!L86:L87)</f>
        <v>104.97500000000001</v>
      </c>
      <c r="M49" s="4">
        <f>SUM('Upload Detail'!M86:M87)</f>
        <v>111.15</v>
      </c>
      <c r="N49" s="4">
        <f>SUM('Upload Detail'!N86:N87)</f>
        <v>117.32499999999997</v>
      </c>
      <c r="O49" s="4">
        <f>SUM('Upload Detail'!O86:O87)</f>
        <v>123.49999999999999</v>
      </c>
      <c r="P49" s="4">
        <f>SUM('Upload Detail'!P86:P87)</f>
        <v>129.67499999999998</v>
      </c>
      <c r="Q49" s="4">
        <f>SUM('Upload Detail'!Q86:Q87)</f>
        <v>135.84999999999997</v>
      </c>
      <c r="R49" s="4">
        <f>SUM('Upload Detail'!R86:R87)</f>
        <v>142.02499999999995</v>
      </c>
      <c r="S49" s="4">
        <f>SUM('Upload Detail'!S86:S87)</f>
        <v>148.19999999999996</v>
      </c>
      <c r="T49" s="4">
        <f>SUM('Upload Detail'!T86:T87)</f>
        <v>154.37499999999994</v>
      </c>
      <c r="U49" s="4">
        <f>SUM('Upload Detail'!U86:U87)</f>
        <v>160.54999999999993</v>
      </c>
      <c r="V49" s="4">
        <f>SUM('Upload Detail'!V86:V87)</f>
        <v>164.6666666666666</v>
      </c>
      <c r="W49" s="4">
        <f>SUM('Upload Detail'!W86:W87)</f>
        <v>168.78333333333327</v>
      </c>
    </row>
    <row r="50" spans="1:25" s="4" customFormat="1">
      <c r="A50" s="1689" t="s">
        <v>169</v>
      </c>
      <c r="B50" s="1689" t="str">
        <f>+$B$2</f>
        <v>D10_11032</v>
      </c>
      <c r="C50" s="1689" t="str">
        <f>+$C$2</f>
        <v>LE_XXXX</v>
      </c>
      <c r="D50" s="1689" t="s">
        <v>2886</v>
      </c>
      <c r="E50" s="1689" t="s">
        <v>719</v>
      </c>
      <c r="F50" s="1689" t="s">
        <v>731</v>
      </c>
      <c r="G50" s="1689" t="s">
        <v>2889</v>
      </c>
      <c r="H50" s="1689" t="s">
        <v>145</v>
      </c>
      <c r="I50" s="1689" t="s">
        <v>146</v>
      </c>
      <c r="J50" s="1689" t="s">
        <v>147</v>
      </c>
      <c r="K50" s="4" t="str">
        <f>+"FY"&amp;RIGHT(YEAR('Hyperion Panel'!$B$9)+2,2)</f>
        <v>FY12</v>
      </c>
      <c r="L50" s="1689">
        <f>SUM('Upload Detail'!L89:L90)</f>
        <v>54.383333333333333</v>
      </c>
      <c r="M50" s="1689">
        <f>SUM('Upload Detail'!M89:M90)</f>
        <v>57.633333333333333</v>
      </c>
      <c r="N50" s="1689">
        <f>SUM('Upload Detail'!N89:N90)</f>
        <v>60.883333333333333</v>
      </c>
      <c r="O50" s="1689">
        <f>SUM('Upload Detail'!O89:O90)</f>
        <v>64.133333333333326</v>
      </c>
      <c r="P50" s="1689">
        <f>SUM('Upload Detail'!P89:P90)</f>
        <v>67.383333333333326</v>
      </c>
      <c r="Q50" s="1689">
        <f>SUM('Upload Detail'!Q89:Q90)</f>
        <v>70.633333333333326</v>
      </c>
      <c r="R50" s="1689">
        <f>SUM('Upload Detail'!R89:R90)</f>
        <v>73.883333333333326</v>
      </c>
      <c r="S50" s="1689">
        <f>SUM('Upload Detail'!S89:S90)</f>
        <v>77.133333333333326</v>
      </c>
      <c r="T50" s="1689">
        <f>SUM('Upload Detail'!T89:T90)</f>
        <v>80.383333333333326</v>
      </c>
      <c r="U50" s="1689">
        <f>SUM('Upload Detail'!U89:U90)</f>
        <v>83.633333333333326</v>
      </c>
      <c r="V50" s="1689">
        <f>SUM('Upload Detail'!V89:V90)</f>
        <v>86.269444444444431</v>
      </c>
      <c r="W50" s="1689">
        <f>SUM('Upload Detail'!W89:W90)</f>
        <v>88.905555555555537</v>
      </c>
    </row>
    <row r="51" spans="1:25" s="4" customFormat="1">
      <c r="A51" s="4" t="s">
        <v>151</v>
      </c>
      <c r="B51" s="4" t="str">
        <f t="shared" si="0"/>
        <v>D10_11032</v>
      </c>
      <c r="C51" s="4" t="str">
        <f t="shared" si="1"/>
        <v>LE_XXXX</v>
      </c>
      <c r="D51" s="4" t="s">
        <v>2886</v>
      </c>
      <c r="E51" s="4">
        <v>3010</v>
      </c>
      <c r="F51" s="4" t="s">
        <v>2888</v>
      </c>
      <c r="G51" s="4" t="s">
        <v>2889</v>
      </c>
      <c r="H51" s="4" t="s">
        <v>145</v>
      </c>
      <c r="I51" s="4" t="s">
        <v>146</v>
      </c>
      <c r="J51" s="4" t="s">
        <v>147</v>
      </c>
      <c r="K51" s="4" t="str">
        <f>+"FY"&amp;RIGHT(YEAR('Hyperion Panel'!$B$9)+2,2)</f>
        <v>FY12</v>
      </c>
      <c r="L51" s="4">
        <f>SUM('Upload Detail'!L96:L97)</f>
        <v>128473.67604854946</v>
      </c>
      <c r="M51" s="4">
        <f>SUM('Upload Detail'!M96:M97)</f>
        <v>135179.83594897814</v>
      </c>
      <c r="N51" s="4">
        <f>SUM('Upload Detail'!N96:N97)</f>
        <v>141885.99584940681</v>
      </c>
      <c r="O51" s="4">
        <f>SUM('Upload Detail'!O96:O97)</f>
        <v>148592.15574983545</v>
      </c>
      <c r="P51" s="4">
        <f>SUM('Upload Detail'!P96:P97)</f>
        <v>155298.31565026415</v>
      </c>
      <c r="Q51" s="4">
        <f>SUM('Upload Detail'!Q96:Q97)</f>
        <v>162004.47555069282</v>
      </c>
      <c r="R51" s="4">
        <f>SUM('Upload Detail'!R96:R97)</f>
        <v>168710.63545112149</v>
      </c>
      <c r="S51" s="4">
        <f>SUM('Upload Detail'!S96:S97)</f>
        <v>175416.79535155016</v>
      </c>
      <c r="T51" s="4">
        <f>SUM('Upload Detail'!T96:T97)</f>
        <v>182122.95525197888</v>
      </c>
      <c r="U51" s="4">
        <f>SUM('Upload Detail'!U96:U97)</f>
        <v>188829.11515240755</v>
      </c>
      <c r="V51" s="4">
        <f>SUM('Upload Detail'!V96:V97)</f>
        <v>194408.47982963556</v>
      </c>
      <c r="W51" s="4">
        <f>SUM('Upload Detail'!W96:W97)</f>
        <v>198557.62685695989</v>
      </c>
    </row>
    <row r="52" spans="1:25" s="4" customFormat="1">
      <c r="A52" s="4" t="s">
        <v>152</v>
      </c>
      <c r="B52" s="4" t="str">
        <f t="shared" si="0"/>
        <v>D10_11032</v>
      </c>
      <c r="C52" s="4" t="str">
        <f t="shared" si="1"/>
        <v>LE_XXXX</v>
      </c>
      <c r="D52" s="4" t="s">
        <v>2886</v>
      </c>
      <c r="E52" s="4">
        <v>3030</v>
      </c>
      <c r="F52" s="4" t="s">
        <v>150</v>
      </c>
      <c r="G52" s="4" t="s">
        <v>2889</v>
      </c>
      <c r="H52" s="4" t="s">
        <v>145</v>
      </c>
      <c r="I52" s="4" t="s">
        <v>146</v>
      </c>
      <c r="J52" s="4" t="s">
        <v>147</v>
      </c>
      <c r="K52" s="4" t="str">
        <f>+"FY"&amp;RIGHT(YEAR('Hyperion Panel'!$B$9)+2,2)</f>
        <v>FY12</v>
      </c>
      <c r="L52" s="4">
        <f>SUM('Upload Detail'!L99:L100)</f>
        <v>38574.273099537764</v>
      </c>
      <c r="M52" s="4">
        <f>SUM('Upload Detail'!M99:M100)</f>
        <v>40938.797058978031</v>
      </c>
      <c r="N52" s="4">
        <f>SUM('Upload Detail'!N99:N100)</f>
        <v>43303.321018418297</v>
      </c>
      <c r="O52" s="4">
        <f>SUM('Upload Detail'!O99:O100)</f>
        <v>45667.844977858571</v>
      </c>
      <c r="P52" s="4">
        <f>SUM('Upload Detail'!P99:P100)</f>
        <v>48032.368937298845</v>
      </c>
      <c r="Q52" s="4">
        <f>SUM('Upload Detail'!Q99:Q100)</f>
        <v>50396.892896739111</v>
      </c>
      <c r="R52" s="4">
        <f>SUM('Upload Detail'!R99:R100)</f>
        <v>52761.416856179378</v>
      </c>
      <c r="S52" s="4">
        <f>SUM('Upload Detail'!S99:S100)</f>
        <v>55125.940815619659</v>
      </c>
      <c r="T52" s="4">
        <f>SUM('Upload Detail'!T99:T100)</f>
        <v>57490.464775059925</v>
      </c>
      <c r="U52" s="4">
        <f>SUM('Upload Detail'!U99:U100)</f>
        <v>59854.988734500192</v>
      </c>
      <c r="V52" s="4">
        <f>SUM('Upload Detail'!V99:V100)</f>
        <v>61481.202043264369</v>
      </c>
      <c r="W52" s="4">
        <f>SUM('Upload Detail'!W99:W100)</f>
        <v>62516.673279242263</v>
      </c>
    </row>
    <row r="53" spans="1:25" s="4" customFormat="1">
      <c r="A53" s="1689" t="s">
        <v>170</v>
      </c>
      <c r="B53" s="1689" t="str">
        <f>+$B$2</f>
        <v>D10_11032</v>
      </c>
      <c r="C53" s="1689" t="str">
        <f t="shared" si="1"/>
        <v>LE_XXXX</v>
      </c>
      <c r="D53" s="1689" t="s">
        <v>2886</v>
      </c>
      <c r="E53" s="1689">
        <v>3050</v>
      </c>
      <c r="F53" s="1689" t="s">
        <v>731</v>
      </c>
      <c r="G53" s="1689" t="s">
        <v>2889</v>
      </c>
      <c r="H53" s="1689" t="s">
        <v>145</v>
      </c>
      <c r="I53" s="1689" t="s">
        <v>146</v>
      </c>
      <c r="J53" s="1689" t="s">
        <v>147</v>
      </c>
      <c r="K53" s="4" t="str">
        <f>+"FY"&amp;RIGHT(YEAR('Hyperion Panel'!$B$9)+2,2)</f>
        <v>FY12</v>
      </c>
      <c r="L53" s="1689">
        <f>SUM('Upload Detail'!L102:L103)</f>
        <v>9286.6145160326068</v>
      </c>
      <c r="M53" s="1689">
        <f>SUM('Upload Detail'!M102:M103)</f>
        <v>10130.8521993083</v>
      </c>
      <c r="N53" s="1689">
        <f>SUM('Upload Detail'!N102:N103)</f>
        <v>10975.08988258399</v>
      </c>
      <c r="O53" s="1689">
        <f>SUM('Upload Detail'!O102:O103)</f>
        <v>11819.327565859683</v>
      </c>
      <c r="P53" s="1689">
        <f>SUM('Upload Detail'!P102:P103)</f>
        <v>12663.565249135374</v>
      </c>
      <c r="Q53" s="1689">
        <f>SUM('Upload Detail'!Q102:Q103)</f>
        <v>13507.802932411065</v>
      </c>
      <c r="R53" s="1689">
        <f>SUM('Upload Detail'!R102:R103)</f>
        <v>14352.040615686758</v>
      </c>
      <c r="S53" s="1689">
        <f>SUM('Upload Detail'!S102:S103)</f>
        <v>15196.278298962448</v>
      </c>
      <c r="T53" s="1689">
        <f>SUM('Upload Detail'!T102:T103)</f>
        <v>16040.515982238141</v>
      </c>
      <c r="U53" s="1689">
        <f>SUM('Upload Detail'!U102:U103)</f>
        <v>16884.753665513832</v>
      </c>
      <c r="V53" s="1689">
        <f>SUM('Upload Detail'!V102:V103)</f>
        <v>17166.166226605728</v>
      </c>
      <c r="W53" s="1689">
        <f>SUM('Upload Detail'!W102:W103)</f>
        <v>17447.578787697625</v>
      </c>
    </row>
    <row r="54" spans="1:25">
      <c r="A54" t="s">
        <v>2651</v>
      </c>
      <c r="B54" t="str">
        <f t="shared" si="0"/>
        <v>D10_11032</v>
      </c>
      <c r="C54" t="str">
        <f t="shared" si="1"/>
        <v>LE_XXXX</v>
      </c>
      <c r="D54" t="s">
        <v>2886</v>
      </c>
      <c r="E54">
        <v>6010</v>
      </c>
      <c r="F54" t="s">
        <v>2888</v>
      </c>
      <c r="G54" t="s">
        <v>153</v>
      </c>
      <c r="H54" t="s">
        <v>154</v>
      </c>
      <c r="I54" t="s">
        <v>146</v>
      </c>
      <c r="J54" t="s">
        <v>147</v>
      </c>
      <c r="K54" t="str">
        <f>+"FY"&amp;RIGHT(YEAR('Hyperion Panel'!$B$9)+2,2)</f>
        <v>FY12</v>
      </c>
      <c r="L54">
        <f>'Upload Detail'!L104</f>
        <v>23762.057449916414</v>
      </c>
      <c r="M54">
        <f>'Upload Detail'!M104</f>
        <v>25078.017226130771</v>
      </c>
      <c r="N54">
        <f>'Upload Detail'!N104</f>
        <v>26393.977002345131</v>
      </c>
      <c r="O54">
        <f>'Upload Detail'!O104</f>
        <v>27709.936778559488</v>
      </c>
      <c r="P54">
        <f>'Upload Detail'!P104</f>
        <v>29025.896554773852</v>
      </c>
      <c r="Q54">
        <f>'Upload Detail'!Q104</f>
        <v>30341.856330988208</v>
      </c>
      <c r="R54">
        <f>'Upload Detail'!R104</f>
        <v>31657.816107202561</v>
      </c>
      <c r="S54">
        <f>'Upload Detail'!S104</f>
        <v>32973.775883416929</v>
      </c>
      <c r="T54">
        <f>'Upload Detail'!T104</f>
        <v>34289.735659631289</v>
      </c>
      <c r="U54">
        <f>'Upload Detail'!U104</f>
        <v>35605.695435845635</v>
      </c>
      <c r="V54">
        <f>'Upload Detail'!V104</f>
        <v>33587.20486721419</v>
      </c>
      <c r="W54">
        <f>'Upload Detail'!W104</f>
        <v>34400.401709538877</v>
      </c>
    </row>
    <row r="55" spans="1:25">
      <c r="A55" t="s">
        <v>2652</v>
      </c>
      <c r="B55" t="str">
        <f t="shared" si="0"/>
        <v>D10_11032</v>
      </c>
      <c r="C55" t="str">
        <f t="shared" si="1"/>
        <v>LE_XXXX</v>
      </c>
      <c r="D55" t="s">
        <v>2886</v>
      </c>
      <c r="E55">
        <v>6010</v>
      </c>
      <c r="F55" t="s">
        <v>2888</v>
      </c>
      <c r="G55" t="s">
        <v>155</v>
      </c>
      <c r="H55" t="s">
        <v>154</v>
      </c>
      <c r="I55" t="s">
        <v>146</v>
      </c>
      <c r="J55" t="s">
        <v>147</v>
      </c>
      <c r="K55" t="str">
        <f>+"FY"&amp;RIGHT(YEAR('Hyperion Panel'!$B$9)+2,2)</f>
        <v>FY12</v>
      </c>
      <c r="L55">
        <f>'Upload Detail'!L105</f>
        <v>14377.083333333334</v>
      </c>
      <c r="M55">
        <f>'Upload Detail'!M105</f>
        <v>14377.083333333334</v>
      </c>
      <c r="N55">
        <f>'Upload Detail'!N105</f>
        <v>14377.083333333334</v>
      </c>
      <c r="O55">
        <f>'Upload Detail'!O105</f>
        <v>14377.083333333334</v>
      </c>
      <c r="P55">
        <f>'Upload Detail'!P105</f>
        <v>14377.083333333334</v>
      </c>
      <c r="Q55">
        <f>'Upload Detail'!Q105</f>
        <v>14377.083333333334</v>
      </c>
      <c r="R55">
        <f>'Upload Detail'!R105</f>
        <v>14377.083333333334</v>
      </c>
      <c r="S55">
        <f>'Upload Detail'!S105</f>
        <v>14377.083333333334</v>
      </c>
      <c r="T55">
        <f>'Upload Detail'!T105</f>
        <v>14377.083333333334</v>
      </c>
      <c r="U55">
        <f>'Upload Detail'!U105</f>
        <v>14377.083333333334</v>
      </c>
      <c r="V55">
        <f>'Upload Detail'!V105</f>
        <v>20360.439166666671</v>
      </c>
      <c r="W55">
        <f>'Upload Detail'!W105</f>
        <v>20360.439166666671</v>
      </c>
    </row>
    <row r="56" spans="1:25">
      <c r="A56" t="s">
        <v>2653</v>
      </c>
      <c r="B56" t="str">
        <f t="shared" si="0"/>
        <v>D10_11032</v>
      </c>
      <c r="C56" t="str">
        <f t="shared" si="1"/>
        <v>LE_XXXX</v>
      </c>
      <c r="D56" t="s">
        <v>2886</v>
      </c>
      <c r="E56">
        <v>6051</v>
      </c>
      <c r="F56" t="s">
        <v>2888</v>
      </c>
      <c r="G56" t="s">
        <v>153</v>
      </c>
      <c r="H56" t="s">
        <v>154</v>
      </c>
      <c r="I56" t="s">
        <v>146</v>
      </c>
      <c r="J56" t="s">
        <v>147</v>
      </c>
      <c r="K56" t="str">
        <f>+"FY"&amp;RIGHT(YEAR('Hyperion Panel'!$B$9)+2,2)</f>
        <v>FY12</v>
      </c>
      <c r="L56">
        <f>'Upload Detail'!L106</f>
        <v>16670.55000000001</v>
      </c>
      <c r="M56">
        <f>'Upload Detail'!M106</f>
        <v>16670.55000000001</v>
      </c>
      <c r="N56">
        <f>'Upload Detail'!N106</f>
        <v>16670.55000000001</v>
      </c>
      <c r="O56">
        <f>'Upload Detail'!O106</f>
        <v>16670.55000000001</v>
      </c>
      <c r="P56">
        <f>'Upload Detail'!P106</f>
        <v>16670.55000000001</v>
      </c>
      <c r="Q56">
        <f>'Upload Detail'!Q106</f>
        <v>16670.55000000001</v>
      </c>
      <c r="R56">
        <f>'Upload Detail'!R106</f>
        <v>16670.55000000001</v>
      </c>
      <c r="S56">
        <f>'Upload Detail'!S106</f>
        <v>16670.55000000001</v>
      </c>
      <c r="T56">
        <f>'Upload Detail'!T106</f>
        <v>16670.55000000001</v>
      </c>
      <c r="U56">
        <f>'Upload Detail'!U106</f>
        <v>16670.55000000001</v>
      </c>
      <c r="V56">
        <f>'Upload Detail'!V106</f>
        <v>22783.888399999996</v>
      </c>
      <c r="W56">
        <f>'Upload Detail'!W106</f>
        <v>22783.888399999996</v>
      </c>
    </row>
    <row r="57" spans="1:25">
      <c r="A57" t="s">
        <v>2654</v>
      </c>
      <c r="B57" t="str">
        <f t="shared" si="0"/>
        <v>D10_11032</v>
      </c>
      <c r="C57" t="str">
        <f t="shared" si="1"/>
        <v>LE_XXXX</v>
      </c>
      <c r="D57" t="s">
        <v>2886</v>
      </c>
      <c r="E57">
        <v>6011</v>
      </c>
      <c r="F57" t="s">
        <v>2888</v>
      </c>
      <c r="G57" t="s">
        <v>153</v>
      </c>
      <c r="H57" t="s">
        <v>154</v>
      </c>
      <c r="I57" t="s">
        <v>146</v>
      </c>
      <c r="J57" t="s">
        <v>147</v>
      </c>
      <c r="K57" t="str">
        <f>+"FY"&amp;RIGHT(YEAR('Hyperion Panel'!$B$9)+2,2)</f>
        <v>FY12</v>
      </c>
      <c r="L57">
        <f>'Upload Detail'!L107</f>
        <v>0</v>
      </c>
      <c r="M57">
        <f>'Upload Detail'!M107</f>
        <v>0</v>
      </c>
      <c r="N57">
        <f>'Upload Detail'!N107</f>
        <v>0</v>
      </c>
      <c r="O57">
        <f>'Upload Detail'!O107</f>
        <v>0</v>
      </c>
      <c r="P57">
        <f>'Upload Detail'!P107</f>
        <v>0</v>
      </c>
      <c r="Q57">
        <f>'Upload Detail'!Q107</f>
        <v>0</v>
      </c>
      <c r="R57">
        <f>'Upload Detail'!R107</f>
        <v>0</v>
      </c>
      <c r="S57">
        <f>'Upload Detail'!S107</f>
        <v>0</v>
      </c>
      <c r="T57">
        <f>'Upload Detail'!T107</f>
        <v>0</v>
      </c>
      <c r="U57">
        <f>'Upload Detail'!U107</f>
        <v>0</v>
      </c>
      <c r="V57">
        <f>'Upload Detail'!V107</f>
        <v>0</v>
      </c>
      <c r="W57">
        <f>'Upload Detail'!W107</f>
        <v>0</v>
      </c>
    </row>
    <row r="58" spans="1:25">
      <c r="A58" t="s">
        <v>3696</v>
      </c>
      <c r="B58" t="str">
        <f t="shared" si="0"/>
        <v>D10_11032</v>
      </c>
      <c r="C58" t="str">
        <f t="shared" si="1"/>
        <v>LE_XXXX</v>
      </c>
      <c r="D58" t="s">
        <v>2886</v>
      </c>
      <c r="E58">
        <v>6600</v>
      </c>
      <c r="F58" t="s">
        <v>2888</v>
      </c>
      <c r="G58" t="s">
        <v>2889</v>
      </c>
      <c r="H58" t="s">
        <v>154</v>
      </c>
      <c r="I58" t="s">
        <v>146</v>
      </c>
      <c r="J58" t="s">
        <v>147</v>
      </c>
      <c r="K58" t="str">
        <f>+"FY"&amp;RIGHT(YEAR('Hyperion Panel'!$B$9)+2,2)</f>
        <v>FY12</v>
      </c>
      <c r="L58">
        <f>'Upload Detail'!L108</f>
        <v>30412.170732569415</v>
      </c>
      <c r="M58">
        <f>'Upload Detail'!M108</f>
        <v>32081.190440760245</v>
      </c>
      <c r="N58">
        <f>'Upload Detail'!N108</f>
        <v>33750.210148951075</v>
      </c>
      <c r="O58">
        <f>'Upload Detail'!O108</f>
        <v>35419.229857141909</v>
      </c>
      <c r="P58">
        <f>'Upload Detail'!P108</f>
        <v>37088.24956533275</v>
      </c>
      <c r="Q58">
        <f>'Upload Detail'!Q108</f>
        <v>38757.269273523576</v>
      </c>
      <c r="R58">
        <f>'Upload Detail'!R108</f>
        <v>40426.288981714402</v>
      </c>
      <c r="S58">
        <f>'Upload Detail'!S108</f>
        <v>42095.308689905243</v>
      </c>
      <c r="T58">
        <f>'Upload Detail'!T108</f>
        <v>43764.328398096077</v>
      </c>
      <c r="U58">
        <f>'Upload Detail'!U108</f>
        <v>45433.348106286896</v>
      </c>
      <c r="V58">
        <f>'Upload Detail'!V108</f>
        <v>47455.285840740835</v>
      </c>
      <c r="W58">
        <f>'Upload Detail'!W108</f>
        <v>48568.556613069013</v>
      </c>
    </row>
    <row r="59" spans="1:25">
      <c r="A59" t="s">
        <v>1381</v>
      </c>
      <c r="B59" t="str">
        <f t="shared" si="0"/>
        <v>D10_11032</v>
      </c>
      <c r="C59" t="str">
        <f t="shared" si="1"/>
        <v>LE_XXXX</v>
      </c>
      <c r="D59" t="s">
        <v>2886</v>
      </c>
      <c r="E59">
        <v>6800</v>
      </c>
      <c r="F59" t="s">
        <v>156</v>
      </c>
      <c r="G59" t="s">
        <v>2889</v>
      </c>
      <c r="H59" t="s">
        <v>154</v>
      </c>
      <c r="I59" t="s">
        <v>146</v>
      </c>
      <c r="J59" t="s">
        <v>147</v>
      </c>
      <c r="K59" t="str">
        <f>+"FY"&amp;RIGHT(YEAR('Hyperion Panel'!$B$9)+2,2)</f>
        <v>FY12</v>
      </c>
      <c r="L59">
        <f>'Upload Detail'!L109</f>
        <v>11380.929624858212</v>
      </c>
      <c r="M59">
        <f>'Upload Detail'!M109</f>
        <v>12005.514959737935</v>
      </c>
      <c r="N59">
        <f>'Upload Detail'!N109</f>
        <v>12630.100294617661</v>
      </c>
      <c r="O59">
        <f>'Upload Detail'!O109</f>
        <v>13254.685629497386</v>
      </c>
      <c r="P59">
        <f>'Upload Detail'!P109</f>
        <v>13879.270964377114</v>
      </c>
      <c r="Q59">
        <f>'Upload Detail'!Q109</f>
        <v>14503.856299256839</v>
      </c>
      <c r="R59">
        <f>'Upload Detail'!R109</f>
        <v>15128.441634136561</v>
      </c>
      <c r="S59">
        <f>'Upload Detail'!S109</f>
        <v>15753.026969016291</v>
      </c>
      <c r="T59">
        <f>'Upload Detail'!T109</f>
        <v>16377.612303896016</v>
      </c>
      <c r="U59">
        <f>'Upload Detail'!U109</f>
        <v>17002.197638775739</v>
      </c>
      <c r="V59">
        <f>'Upload Detail'!V109</f>
        <v>17932.95936976622</v>
      </c>
      <c r="W59">
        <f>'Upload Detail'!W109</f>
        <v>18353.655171593422</v>
      </c>
    </row>
    <row r="60" spans="1:25">
      <c r="A60" t="s">
        <v>3697</v>
      </c>
      <c r="B60" t="str">
        <f t="shared" si="0"/>
        <v>D10_11032</v>
      </c>
      <c r="C60" t="str">
        <f t="shared" si="1"/>
        <v>LE_XXXX</v>
      </c>
      <c r="D60" t="s">
        <v>2886</v>
      </c>
      <c r="E60">
        <v>8600</v>
      </c>
      <c r="F60" t="s">
        <v>156</v>
      </c>
      <c r="G60" t="s">
        <v>2889</v>
      </c>
      <c r="H60" t="s">
        <v>154</v>
      </c>
      <c r="I60" t="s">
        <v>146</v>
      </c>
      <c r="J60" t="s">
        <v>147</v>
      </c>
      <c r="K60" t="str">
        <f>+"FY"&amp;RIGHT(YEAR('Hyperion Panel'!$B$9)+2,2)</f>
        <v>FY12</v>
      </c>
      <c r="L60">
        <f>'Upload Detail'!L110</f>
        <v>21209.611679999998</v>
      </c>
      <c r="M60">
        <f>'Upload Detail'!M110</f>
        <v>21209.611679999998</v>
      </c>
      <c r="N60">
        <f>'Upload Detail'!N110</f>
        <v>21209.611679999998</v>
      </c>
      <c r="O60">
        <f>'Upload Detail'!O110</f>
        <v>21209.611679999998</v>
      </c>
      <c r="P60">
        <f>'Upload Detail'!P110</f>
        <v>21209.611679999998</v>
      </c>
      <c r="Q60">
        <f>'Upload Detail'!Q110</f>
        <v>21209.611679999998</v>
      </c>
      <c r="R60">
        <f>'Upload Detail'!R110</f>
        <v>21209.611679999998</v>
      </c>
      <c r="S60">
        <f>'Upload Detail'!S110</f>
        <v>21209.611679999998</v>
      </c>
      <c r="T60">
        <f>'Upload Detail'!T110</f>
        <v>21209.611679999998</v>
      </c>
      <c r="U60">
        <f>'Upload Detail'!U110</f>
        <v>21209.611679999998</v>
      </c>
      <c r="V60">
        <f>'Upload Detail'!V110</f>
        <v>21845.900030399996</v>
      </c>
      <c r="W60">
        <f>'Upload Detail'!W110</f>
        <v>21845.900030399996</v>
      </c>
    </row>
    <row r="61" spans="1:25">
      <c r="A61" t="s">
        <v>157</v>
      </c>
      <c r="B61" t="str">
        <f t="shared" si="0"/>
        <v>D10_11032</v>
      </c>
      <c r="C61" t="str">
        <f t="shared" si="1"/>
        <v>LE_XXXX</v>
      </c>
      <c r="D61" t="s">
        <v>2886</v>
      </c>
      <c r="E61">
        <v>6720</v>
      </c>
      <c r="F61" t="s">
        <v>156</v>
      </c>
      <c r="G61" t="s">
        <v>2889</v>
      </c>
      <c r="H61" t="s">
        <v>154</v>
      </c>
      <c r="I61" t="s">
        <v>146</v>
      </c>
      <c r="J61" t="s">
        <v>147</v>
      </c>
      <c r="K61" t="str">
        <f>+"FY"&amp;RIGHT(YEAR('Hyperion Panel'!$B$9)+2,2)</f>
        <v>FY12</v>
      </c>
      <c r="L61">
        <f>'Upload Detail'!L111</f>
        <v>14118.416666666666</v>
      </c>
      <c r="M61">
        <f>'Upload Detail'!M111</f>
        <v>14118.416666666666</v>
      </c>
      <c r="N61">
        <f>'Upload Detail'!N111</f>
        <v>14118.416666666666</v>
      </c>
      <c r="O61">
        <f>'Upload Detail'!O111</f>
        <v>14118.416666666666</v>
      </c>
      <c r="P61">
        <f>'Upload Detail'!P111</f>
        <v>14118.416666666666</v>
      </c>
      <c r="Q61">
        <f>'Upload Detail'!Q111</f>
        <v>14118.416666666666</v>
      </c>
      <c r="R61">
        <f>'Upload Detail'!R111</f>
        <v>14118.416666666666</v>
      </c>
      <c r="S61">
        <f>'Upload Detail'!S111</f>
        <v>14118.416666666666</v>
      </c>
      <c r="T61">
        <f>'Upload Detail'!T111</f>
        <v>14118.416666666666</v>
      </c>
      <c r="U61">
        <f>'Upload Detail'!U111</f>
        <v>14118.416666666666</v>
      </c>
      <c r="V61">
        <f>'Upload Detail'!V111</f>
        <v>14118.416666666666</v>
      </c>
      <c r="W61">
        <f>'Upload Detail'!W111</f>
        <v>14118.416666666666</v>
      </c>
    </row>
    <row r="62" spans="1:25">
      <c r="A62" t="s">
        <v>3925</v>
      </c>
      <c r="B62" t="str">
        <f t="shared" si="0"/>
        <v>D10_11032</v>
      </c>
      <c r="C62" t="str">
        <f t="shared" si="1"/>
        <v>LE_XXXX</v>
      </c>
      <c r="D62" t="s">
        <v>2886</v>
      </c>
      <c r="E62">
        <v>8110</v>
      </c>
      <c r="F62" t="s">
        <v>156</v>
      </c>
      <c r="G62" t="s">
        <v>2889</v>
      </c>
      <c r="H62" t="s">
        <v>154</v>
      </c>
      <c r="I62" t="s">
        <v>146</v>
      </c>
      <c r="J62" t="s">
        <v>147</v>
      </c>
      <c r="K62" t="str">
        <f>+"FY"&amp;RIGHT(YEAR('Hyperion Panel'!$B$9)+2,2)</f>
        <v>FY12</v>
      </c>
      <c r="L62">
        <f>'Upload Detail'!L112</f>
        <v>1362.9917899999998</v>
      </c>
      <c r="M62">
        <f>'Upload Detail'!M112</f>
        <v>1362.9917899999998</v>
      </c>
      <c r="N62">
        <f>'Upload Detail'!N112</f>
        <v>1362.9917899999998</v>
      </c>
      <c r="O62">
        <f>'Upload Detail'!O112</f>
        <v>1362.9917899999998</v>
      </c>
      <c r="P62">
        <f>'Upload Detail'!P112</f>
        <v>1362.9917899999998</v>
      </c>
      <c r="Q62">
        <f>'Upload Detail'!Q112</f>
        <v>1362.9917899999998</v>
      </c>
      <c r="R62">
        <f>'Upload Detail'!R112</f>
        <v>1362.9917899999998</v>
      </c>
      <c r="S62">
        <f>'Upload Detail'!S112</f>
        <v>1362.9917899999998</v>
      </c>
      <c r="T62">
        <f>'Upload Detail'!T112</f>
        <v>1362.9917899999998</v>
      </c>
      <c r="U62">
        <f>'Upload Detail'!U112</f>
        <v>1362.9917899999998</v>
      </c>
      <c r="V62">
        <f>'Upload Detail'!V112</f>
        <v>1403.8815437000001</v>
      </c>
      <c r="W62">
        <f>'Upload Detail'!W112</f>
        <v>1403.8815437000001</v>
      </c>
    </row>
    <row r="63" spans="1:25">
      <c r="A63" t="s">
        <v>3926</v>
      </c>
      <c r="B63" t="str">
        <f t="shared" si="0"/>
        <v>D10_11032</v>
      </c>
      <c r="C63" t="str">
        <f t="shared" si="1"/>
        <v>LE_XXXX</v>
      </c>
      <c r="D63" t="s">
        <v>2886</v>
      </c>
      <c r="E63">
        <v>6412</v>
      </c>
      <c r="F63" t="s">
        <v>156</v>
      </c>
      <c r="G63" t="s">
        <v>2889</v>
      </c>
      <c r="H63" t="s">
        <v>154</v>
      </c>
      <c r="I63" t="s">
        <v>146</v>
      </c>
      <c r="J63" t="s">
        <v>147</v>
      </c>
      <c r="K63" t="str">
        <f>+"FY"&amp;RIGHT(YEAR('Hyperion Panel'!$B$9)+2,2)</f>
        <v>FY12</v>
      </c>
      <c r="L63">
        <f>'Upload Detail'!L113</f>
        <v>10765.643123784886</v>
      </c>
      <c r="M63">
        <f>'Upload Detail'!M113</f>
        <v>11356.461539969281</v>
      </c>
      <c r="N63">
        <f>'Upload Detail'!N113</f>
        <v>11947.279956153678</v>
      </c>
      <c r="O63">
        <f>'Upload Detail'!O113</f>
        <v>12538.09837233807</v>
      </c>
      <c r="P63">
        <f>'Upload Detail'!P113</f>
        <v>13128.916788522471</v>
      </c>
      <c r="Q63">
        <f>'Upload Detail'!Q113</f>
        <v>13719.735204706863</v>
      </c>
      <c r="R63">
        <f>'Upload Detail'!R113</f>
        <v>14310.553620891258</v>
      </c>
      <c r="S63">
        <f>'Upload Detail'!S113</f>
        <v>14901.372037075656</v>
      </c>
      <c r="T63">
        <f>'Upload Detail'!T113</f>
        <v>15492.190453260053</v>
      </c>
      <c r="U63">
        <f>'Upload Detail'!U113</f>
        <v>16083.008869444446</v>
      </c>
      <c r="V63">
        <f>'Upload Detail'!V113</f>
        <v>16963.450885994094</v>
      </c>
      <c r="W63">
        <f>'Upload Detail'!W113</f>
        <v>17361.4026364604</v>
      </c>
    </row>
    <row r="64" spans="1:25" s="104" customFormat="1">
      <c r="A64" s="104" t="s">
        <v>730</v>
      </c>
      <c r="B64" s="104" t="str">
        <f t="shared" si="0"/>
        <v>D10_11032</v>
      </c>
      <c r="C64" s="104" t="str">
        <f t="shared" si="1"/>
        <v>LE_XXXX</v>
      </c>
      <c r="D64" s="104" t="s">
        <v>2886</v>
      </c>
      <c r="E64" s="104">
        <v>8110</v>
      </c>
      <c r="F64" s="104" t="s">
        <v>731</v>
      </c>
      <c r="G64" s="104" t="s">
        <v>2889</v>
      </c>
      <c r="H64" s="104" t="s">
        <v>154</v>
      </c>
      <c r="I64" s="104" t="s">
        <v>146</v>
      </c>
      <c r="J64" s="104" t="s">
        <v>147</v>
      </c>
      <c r="K64" t="str">
        <f>+"FY"&amp;RIGHT(YEAR('Hyperion Panel'!$B$9)+2,2)</f>
        <v>FY12</v>
      </c>
      <c r="L64" s="104">
        <f>'Upload Detail'!L114</f>
        <v>858.33333333333337</v>
      </c>
      <c r="M64" s="104">
        <f>'Upload Detail'!M114</f>
        <v>858.33333333333337</v>
      </c>
      <c r="N64" s="104">
        <f>'Upload Detail'!N114</f>
        <v>858.33333333333337</v>
      </c>
      <c r="O64" s="104">
        <f>'Upload Detail'!O114</f>
        <v>858.33333333333337</v>
      </c>
      <c r="P64" s="104">
        <f>'Upload Detail'!P114</f>
        <v>858.33333333333337</v>
      </c>
      <c r="Q64" s="104">
        <f>'Upload Detail'!Q114</f>
        <v>858.33333333333337</v>
      </c>
      <c r="R64" s="104">
        <f>'Upload Detail'!R114</f>
        <v>858.33333333333337</v>
      </c>
      <c r="S64" s="104">
        <f>'Upload Detail'!S114</f>
        <v>858.33333333333337</v>
      </c>
      <c r="T64" s="104">
        <f>'Upload Detail'!T114</f>
        <v>858.33333333333337</v>
      </c>
      <c r="U64" s="104">
        <f>'Upload Detail'!U114</f>
        <v>858.33333333333337</v>
      </c>
      <c r="V64" s="104">
        <f>'Upload Detail'!V114</f>
        <v>884.08333333333337</v>
      </c>
      <c r="W64" s="104">
        <f>'Upload Detail'!W114</f>
        <v>884.08333333333337</v>
      </c>
      <c r="Y64" s="1690"/>
    </row>
    <row r="65" spans="1:25" s="104" customFormat="1">
      <c r="A65" s="104" t="s">
        <v>732</v>
      </c>
      <c r="B65" s="104" t="str">
        <f t="shared" si="0"/>
        <v>D10_11032</v>
      </c>
      <c r="C65" s="104" t="str">
        <f t="shared" si="1"/>
        <v>LE_XXXX</v>
      </c>
      <c r="D65" s="104" t="s">
        <v>2886</v>
      </c>
      <c r="F65" s="104" t="s">
        <v>731</v>
      </c>
      <c r="G65" s="104" t="s">
        <v>2889</v>
      </c>
      <c r="H65" s="104" t="s">
        <v>154</v>
      </c>
      <c r="I65" s="104" t="s">
        <v>146</v>
      </c>
      <c r="J65" s="104" t="s">
        <v>147</v>
      </c>
      <c r="K65" t="str">
        <f>+"FY"&amp;RIGHT(YEAR('Hyperion Panel'!$B$9)+2,2)</f>
        <v>FY12</v>
      </c>
      <c r="L65" s="104">
        <f>'Upload Detail'!L115</f>
        <v>61.355833333333344</v>
      </c>
      <c r="M65" s="104">
        <f>'Upload Detail'!M115</f>
        <v>61.355833333333344</v>
      </c>
      <c r="N65" s="104">
        <f>'Upload Detail'!N115</f>
        <v>61.355833333333344</v>
      </c>
      <c r="O65" s="104">
        <f>'Upload Detail'!O115</f>
        <v>61.355833333333344</v>
      </c>
      <c r="P65" s="104">
        <f>'Upload Detail'!P115</f>
        <v>61.355833333333344</v>
      </c>
      <c r="Q65" s="104">
        <f>'Upload Detail'!Q115</f>
        <v>61.355833333333344</v>
      </c>
      <c r="R65" s="104">
        <f>'Upload Detail'!R115</f>
        <v>61.355833333333344</v>
      </c>
      <c r="S65" s="104">
        <f>'Upload Detail'!S115</f>
        <v>61.355833333333344</v>
      </c>
      <c r="T65" s="104">
        <f>'Upload Detail'!T115</f>
        <v>61.355833333333344</v>
      </c>
      <c r="U65" s="104">
        <f>'Upload Detail'!U115</f>
        <v>61.355833333333344</v>
      </c>
      <c r="V65" s="104">
        <f>'Upload Detail'!V115</f>
        <v>60.531049999999937</v>
      </c>
      <c r="W65" s="104">
        <f>'Upload Detail'!W115</f>
        <v>60.531049999999937</v>
      </c>
      <c r="Y65" s="1690"/>
    </row>
    <row r="66" spans="1:25" s="104" customFormat="1">
      <c r="A66" s="104" t="s">
        <v>733</v>
      </c>
      <c r="B66" s="104" t="str">
        <f t="shared" si="0"/>
        <v>D10_11032</v>
      </c>
      <c r="C66" s="104" t="str">
        <f t="shared" si="1"/>
        <v>LE_XXXX</v>
      </c>
      <c r="D66" s="104" t="s">
        <v>2886</v>
      </c>
      <c r="F66" s="104" t="s">
        <v>731</v>
      </c>
      <c r="G66" s="104" t="s">
        <v>2889</v>
      </c>
      <c r="H66" s="104" t="s">
        <v>154</v>
      </c>
      <c r="I66" s="104" t="s">
        <v>146</v>
      </c>
      <c r="J66" s="104" t="s">
        <v>147</v>
      </c>
      <c r="K66" t="str">
        <f>+"FY"&amp;RIGHT(YEAR('Hyperion Panel'!$B$9)+2,2)</f>
        <v>FY12</v>
      </c>
      <c r="L66" s="104">
        <f>'Upload Detail'!L116</f>
        <v>9095.34</v>
      </c>
      <c r="M66" s="104">
        <f>'Upload Detail'!M116</f>
        <v>9095.34</v>
      </c>
      <c r="N66" s="104">
        <f>'Upload Detail'!N116</f>
        <v>9095.34</v>
      </c>
      <c r="O66" s="104">
        <f>'Upload Detail'!O116</f>
        <v>9095.34</v>
      </c>
      <c r="P66" s="104">
        <f>'Upload Detail'!P116</f>
        <v>9095.34</v>
      </c>
      <c r="Q66" s="104">
        <f>'Upload Detail'!Q116</f>
        <v>9095.34</v>
      </c>
      <c r="R66" s="104">
        <f>'Upload Detail'!R116</f>
        <v>9095.34</v>
      </c>
      <c r="S66" s="104">
        <f>'Upload Detail'!S116</f>
        <v>9095.34</v>
      </c>
      <c r="T66" s="104">
        <f>'Upload Detail'!T116</f>
        <v>9095.34</v>
      </c>
      <c r="U66" s="104">
        <f>'Upload Detail'!U116</f>
        <v>9095.34</v>
      </c>
      <c r="V66" s="104">
        <f>'Upload Detail'!V116</f>
        <v>14208.395999999995</v>
      </c>
      <c r="W66" s="104">
        <f>'Upload Detail'!W116</f>
        <v>14208.395999999995</v>
      </c>
      <c r="Y66" s="1690"/>
    </row>
    <row r="67" spans="1:25" s="104" customFormat="1">
      <c r="A67" s="104" t="s">
        <v>734</v>
      </c>
      <c r="B67" s="104" t="str">
        <f t="shared" si="0"/>
        <v>D10_11032</v>
      </c>
      <c r="C67" s="104" t="str">
        <f t="shared" si="1"/>
        <v>LE_XXXX</v>
      </c>
      <c r="D67" s="104" t="s">
        <v>2886</v>
      </c>
      <c r="E67" s="104">
        <v>6800</v>
      </c>
      <c r="F67" s="104" t="s">
        <v>731</v>
      </c>
      <c r="G67" s="104" t="s">
        <v>2889</v>
      </c>
      <c r="H67" s="104" t="s">
        <v>154</v>
      </c>
      <c r="I67" s="104" t="s">
        <v>146</v>
      </c>
      <c r="J67" s="104" t="s">
        <v>147</v>
      </c>
      <c r="K67" t="str">
        <f>+"FY"&amp;RIGHT(YEAR('Hyperion Panel'!$B$9)+2,2)</f>
        <v>FY12</v>
      </c>
      <c r="L67" s="104">
        <f>'Upload Detail'!L117</f>
        <v>1667.3125</v>
      </c>
      <c r="M67" s="104">
        <f>'Upload Detail'!M117</f>
        <v>1667.3125</v>
      </c>
      <c r="N67" s="104">
        <f>'Upload Detail'!N117</f>
        <v>1667.3125</v>
      </c>
      <c r="O67" s="104">
        <f>'Upload Detail'!O117</f>
        <v>1667.3125</v>
      </c>
      <c r="P67" s="104">
        <f>'Upload Detail'!P117</f>
        <v>1667.3125</v>
      </c>
      <c r="Q67" s="104">
        <f>'Upload Detail'!Q117</f>
        <v>1667.3125</v>
      </c>
      <c r="R67" s="104">
        <f>'Upload Detail'!R117</f>
        <v>1667.3125</v>
      </c>
      <c r="S67" s="104">
        <f>'Upload Detail'!S117</f>
        <v>1667.3125</v>
      </c>
      <c r="T67" s="104">
        <f>'Upload Detail'!T117</f>
        <v>1667.3125</v>
      </c>
      <c r="U67" s="104">
        <f>'Upload Detail'!U117</f>
        <v>1667.3125</v>
      </c>
      <c r="V67" s="104">
        <f>'Upload Detail'!V117</f>
        <v>2630.1479166666654</v>
      </c>
      <c r="W67" s="104">
        <f>'Upload Detail'!W117</f>
        <v>2630.1479166666654</v>
      </c>
      <c r="Y67" s="1690"/>
    </row>
    <row r="68" spans="1:25">
      <c r="A68" t="s">
        <v>158</v>
      </c>
      <c r="B68" t="str">
        <f t="shared" si="0"/>
        <v>D10_11032</v>
      </c>
      <c r="C68" t="str">
        <f t="shared" si="1"/>
        <v>LE_XXXX</v>
      </c>
      <c r="D68" t="s">
        <v>2886</v>
      </c>
      <c r="E68" t="s">
        <v>159</v>
      </c>
      <c r="F68" t="s">
        <v>156</v>
      </c>
      <c r="G68" t="s">
        <v>2889</v>
      </c>
      <c r="H68" t="s">
        <v>154</v>
      </c>
      <c r="I68" t="s">
        <v>146</v>
      </c>
      <c r="J68" t="s">
        <v>147</v>
      </c>
      <c r="K68" t="str">
        <f>+"FY"&amp;RIGHT(YEAR('Hyperion Panel'!$B$9)+2,2)</f>
        <v>FY12</v>
      </c>
      <c r="L68" s="103">
        <f>'Upload Detail'!L118</f>
        <v>0.6</v>
      </c>
      <c r="M68" s="103">
        <f>'Upload Detail'!M118</f>
        <v>0.6</v>
      </c>
      <c r="N68" s="103">
        <f>'Upload Detail'!N118</f>
        <v>0.6</v>
      </c>
      <c r="O68" s="103">
        <f>'Upload Detail'!O118</f>
        <v>0.6</v>
      </c>
      <c r="P68" s="103">
        <f>'Upload Detail'!P118</f>
        <v>0.6</v>
      </c>
      <c r="Q68" s="103">
        <f>'Upload Detail'!Q118</f>
        <v>0.6</v>
      </c>
      <c r="R68" s="103">
        <f>'Upload Detail'!R118</f>
        <v>0.6</v>
      </c>
      <c r="S68" s="103">
        <f>'Upload Detail'!S118</f>
        <v>0.6</v>
      </c>
      <c r="T68" s="103">
        <f>'Upload Detail'!T118</f>
        <v>0.6</v>
      </c>
      <c r="U68" s="103">
        <f>'Upload Detail'!U118</f>
        <v>0.6</v>
      </c>
      <c r="V68" s="103">
        <f>'Upload Detail'!V118</f>
        <v>0.6</v>
      </c>
      <c r="W68" s="103">
        <f>'Upload Detail'!W118</f>
        <v>0.6</v>
      </c>
    </row>
    <row r="69" spans="1:25">
      <c r="A69" t="s">
        <v>160</v>
      </c>
      <c r="B69" t="str">
        <f t="shared" si="0"/>
        <v>D10_11032</v>
      </c>
      <c r="C69" t="str">
        <f t="shared" si="1"/>
        <v>LE_XXXX</v>
      </c>
      <c r="D69" t="s">
        <v>2886</v>
      </c>
      <c r="E69" t="s">
        <v>161</v>
      </c>
      <c r="F69" t="s">
        <v>156</v>
      </c>
      <c r="G69" t="s">
        <v>2889</v>
      </c>
      <c r="H69" t="s">
        <v>154</v>
      </c>
      <c r="I69" t="s">
        <v>146</v>
      </c>
      <c r="J69" t="s">
        <v>147</v>
      </c>
      <c r="K69" t="str">
        <f>+"FY"&amp;RIGHT(YEAR('Hyperion Panel'!$B$9)+2,2)</f>
        <v>FY12</v>
      </c>
      <c r="L69">
        <f>'Upload Detail'!L119</f>
        <v>0</v>
      </c>
      <c r="M69">
        <f>'Upload Detail'!M119</f>
        <v>0</v>
      </c>
      <c r="N69">
        <f>'Upload Detail'!N119</f>
        <v>0</v>
      </c>
      <c r="O69">
        <f>'Upload Detail'!O119</f>
        <v>0</v>
      </c>
      <c r="P69">
        <f>'Upload Detail'!P119</f>
        <v>0</v>
      </c>
      <c r="Q69">
        <f>'Upload Detail'!Q119</f>
        <v>0</v>
      </c>
      <c r="R69">
        <f>'Upload Detail'!R119</f>
        <v>0</v>
      </c>
      <c r="S69">
        <f>'Upload Detail'!S119</f>
        <v>0</v>
      </c>
      <c r="T69">
        <f>'Upload Detail'!T119</f>
        <v>0</v>
      </c>
      <c r="U69">
        <f>'Upload Detail'!U119</f>
        <v>0</v>
      </c>
      <c r="V69">
        <f>'Upload Detail'!V119</f>
        <v>0</v>
      </c>
      <c r="W69">
        <f>'Upload Detail'!W119</f>
        <v>0</v>
      </c>
    </row>
    <row r="70" spans="1:25" s="104" customFormat="1">
      <c r="A70" s="104" t="s">
        <v>735</v>
      </c>
      <c r="B70" s="104" t="str">
        <f t="shared" si="0"/>
        <v>D10_11032</v>
      </c>
      <c r="C70" s="104" t="str">
        <f t="shared" si="1"/>
        <v>LE_XXXX</v>
      </c>
      <c r="D70" s="104" t="s">
        <v>2886</v>
      </c>
      <c r="F70" s="104" t="s">
        <v>731</v>
      </c>
      <c r="G70" s="104" t="s">
        <v>2889</v>
      </c>
      <c r="H70" s="104" t="s">
        <v>154</v>
      </c>
      <c r="I70" s="104" t="s">
        <v>146</v>
      </c>
      <c r="J70" s="104" t="s">
        <v>147</v>
      </c>
      <c r="K70" t="str">
        <f>+"FY"&amp;RIGHT(YEAR('Hyperion Panel'!$B$9)+2,2)</f>
        <v>FY12</v>
      </c>
      <c r="L70" s="104">
        <f>'Upload Detail'!L120</f>
        <v>0</v>
      </c>
      <c r="M70" s="104">
        <f>'Upload Detail'!M120</f>
        <v>0</v>
      </c>
      <c r="N70" s="104">
        <f>'Upload Detail'!N120</f>
        <v>0</v>
      </c>
      <c r="O70" s="104">
        <f>'Upload Detail'!O120</f>
        <v>0</v>
      </c>
      <c r="P70" s="104">
        <f>'Upload Detail'!P120</f>
        <v>0</v>
      </c>
      <c r="Q70" s="104">
        <f>'Upload Detail'!Q120</f>
        <v>0</v>
      </c>
      <c r="R70" s="104">
        <f>'Upload Detail'!R120</f>
        <v>0</v>
      </c>
      <c r="S70" s="104">
        <f>'Upload Detail'!S120</f>
        <v>0</v>
      </c>
      <c r="T70" s="104">
        <f>'Upload Detail'!T120</f>
        <v>0</v>
      </c>
      <c r="U70" s="104">
        <f>'Upload Detail'!U120</f>
        <v>0</v>
      </c>
      <c r="V70" s="104">
        <f>'Upload Detail'!V120</f>
        <v>0</v>
      </c>
      <c r="W70" s="104">
        <f>'Upload Detail'!W120</f>
        <v>0</v>
      </c>
    </row>
    <row r="71" spans="1:25" s="4" customFormat="1">
      <c r="A71" s="4" t="s">
        <v>2885</v>
      </c>
      <c r="B71" s="4" t="str">
        <f t="shared" si="0"/>
        <v>D10_11032</v>
      </c>
      <c r="C71" s="4" t="str">
        <f t="shared" si="1"/>
        <v>LE_XXXX</v>
      </c>
      <c r="D71" s="4" t="s">
        <v>2886</v>
      </c>
      <c r="E71" s="4" t="s">
        <v>2887</v>
      </c>
      <c r="F71" s="4" t="s">
        <v>2888</v>
      </c>
      <c r="G71" s="4" t="s">
        <v>2889</v>
      </c>
      <c r="H71" s="4" t="s">
        <v>145</v>
      </c>
      <c r="I71" s="4" t="s">
        <v>146</v>
      </c>
      <c r="J71" s="4" t="s">
        <v>147</v>
      </c>
      <c r="K71" s="4" t="str">
        <f>+"FY"&amp;RIGHT(YEAR('Hyperion Panel'!$B$9)+3,2)</f>
        <v>FY13</v>
      </c>
      <c r="L71" s="4">
        <f>SUM('Upload Detail'!L123:L124)</f>
        <v>589.03</v>
      </c>
      <c r="M71" s="4">
        <f>SUM('Upload Detail'!M123:M124)</f>
        <v>601.98666666666668</v>
      </c>
      <c r="N71" s="4">
        <f>SUM('Upload Detail'!N123:N124)</f>
        <v>614.94333333333327</v>
      </c>
      <c r="O71" s="4">
        <f>SUM('Upload Detail'!O123:O124)</f>
        <v>627.9</v>
      </c>
      <c r="P71" s="4">
        <f>SUM('Upload Detail'!P123:P124)</f>
        <v>640.85666666666668</v>
      </c>
      <c r="Q71" s="4">
        <f>SUM('Upload Detail'!Q123:Q124)</f>
        <v>653.81333333333339</v>
      </c>
      <c r="R71" s="4">
        <f>SUM('Upload Detail'!R123:R124)</f>
        <v>666.77</v>
      </c>
      <c r="S71" s="4">
        <f>SUM('Upload Detail'!S123:S124)</f>
        <v>679.72666666666669</v>
      </c>
      <c r="T71" s="4">
        <f>SUM('Upload Detail'!T123:T124)</f>
        <v>692.68333333333339</v>
      </c>
      <c r="U71" s="4">
        <f>SUM('Upload Detail'!U123:U124)</f>
        <v>705.64</v>
      </c>
      <c r="V71" s="4">
        <f>SUM('Upload Detail'!V123:V124)</f>
        <v>718.59666666666669</v>
      </c>
      <c r="W71" s="4">
        <f>SUM('Upload Detail'!W123:W124)</f>
        <v>731.5533333333334</v>
      </c>
    </row>
    <row r="72" spans="1:25" s="4" customFormat="1">
      <c r="A72" s="4" t="s">
        <v>148</v>
      </c>
      <c r="B72" s="4" t="str">
        <f t="shared" si="0"/>
        <v>D10_11032</v>
      </c>
      <c r="C72" s="4" t="str">
        <f t="shared" si="1"/>
        <v>LE_XXXX</v>
      </c>
      <c r="D72" s="4" t="s">
        <v>2886</v>
      </c>
      <c r="E72" s="4" t="s">
        <v>149</v>
      </c>
      <c r="F72" s="4" t="s">
        <v>150</v>
      </c>
      <c r="G72" s="4" t="s">
        <v>2889</v>
      </c>
      <c r="H72" s="4" t="s">
        <v>145</v>
      </c>
      <c r="I72" s="4" t="s">
        <v>146</v>
      </c>
      <c r="J72" s="4" t="s">
        <v>147</v>
      </c>
      <c r="K72" s="4" t="str">
        <f>+"FY"&amp;RIGHT(YEAR('Hyperion Panel'!$B$9)+3,2)</f>
        <v>FY13</v>
      </c>
      <c r="L72" s="4">
        <f>SUM('Upload Detail'!L126:L127)</f>
        <v>172.89999999999995</v>
      </c>
      <c r="M72" s="4">
        <f>SUM('Upload Detail'!M126:M127)</f>
        <v>177.01666666666662</v>
      </c>
      <c r="N72" s="4">
        <f>SUM('Upload Detail'!N126:N127)</f>
        <v>181.1333333333333</v>
      </c>
      <c r="O72" s="4">
        <f>SUM('Upload Detail'!O126:O127)</f>
        <v>185.24999999999997</v>
      </c>
      <c r="P72" s="4">
        <f>SUM('Upload Detail'!P126:P127)</f>
        <v>189.36666666666665</v>
      </c>
      <c r="Q72" s="4">
        <f>SUM('Upload Detail'!Q126:Q127)</f>
        <v>193.48333333333329</v>
      </c>
      <c r="R72" s="4">
        <f>SUM('Upload Detail'!R126:R127)</f>
        <v>197.6</v>
      </c>
      <c r="S72" s="4">
        <f>SUM('Upload Detail'!S126:S127)</f>
        <v>201.7166666666667</v>
      </c>
      <c r="T72" s="4">
        <f>SUM('Upload Detail'!T126:T127)</f>
        <v>205.83333333333337</v>
      </c>
      <c r="U72" s="4">
        <f>SUM('Upload Detail'!U126:U127)</f>
        <v>209.95000000000007</v>
      </c>
      <c r="V72" s="4">
        <f>SUM('Upload Detail'!V126:V127)</f>
        <v>215.09583333333339</v>
      </c>
      <c r="W72" s="4">
        <f>SUM('Upload Detail'!W126:W127)</f>
        <v>220.24166666666673</v>
      </c>
    </row>
    <row r="73" spans="1:25" s="4" customFormat="1">
      <c r="A73" s="1689" t="s">
        <v>169</v>
      </c>
      <c r="B73" s="1689" t="str">
        <f>+$B$2</f>
        <v>D10_11032</v>
      </c>
      <c r="C73" s="1689" t="str">
        <f>+$C$2</f>
        <v>LE_XXXX</v>
      </c>
      <c r="D73" s="1689" t="s">
        <v>2886</v>
      </c>
      <c r="E73" s="1689" t="s">
        <v>719</v>
      </c>
      <c r="F73" s="1689" t="s">
        <v>731</v>
      </c>
      <c r="G73" s="1689" t="s">
        <v>2889</v>
      </c>
      <c r="H73" s="1689" t="s">
        <v>145</v>
      </c>
      <c r="I73" s="1689" t="s">
        <v>146</v>
      </c>
      <c r="J73" s="1689" t="s">
        <v>147</v>
      </c>
      <c r="K73" s="4" t="str">
        <f>+"FY"&amp;RIGHT(YEAR('Hyperion Panel'!$B$9)+3,2)</f>
        <v>FY13</v>
      </c>
      <c r="L73" s="1689">
        <f>SUM('Upload Detail'!L129:L130)</f>
        <v>91.541666666666643</v>
      </c>
      <c r="M73" s="1689">
        <f>SUM('Upload Detail'!M129:M130)</f>
        <v>94.177777777777749</v>
      </c>
      <c r="N73" s="1689">
        <f>SUM('Upload Detail'!N129:N130)</f>
        <v>96.813888888888854</v>
      </c>
      <c r="O73" s="1689">
        <f>SUM('Upload Detail'!O129:O130)</f>
        <v>99.44999999999996</v>
      </c>
      <c r="P73" s="1689">
        <f>SUM('Upload Detail'!P129:P130)</f>
        <v>102.08611111111107</v>
      </c>
      <c r="Q73" s="1689">
        <f>SUM('Upload Detail'!Q129:Q130)</f>
        <v>104.72222222222217</v>
      </c>
      <c r="R73" s="1689">
        <f>SUM('Upload Detail'!R129:R130)</f>
        <v>107.35833333333329</v>
      </c>
      <c r="S73" s="1689">
        <f>SUM('Upload Detail'!S129:S130)</f>
        <v>109.9944444444444</v>
      </c>
      <c r="T73" s="1689">
        <f>SUM('Upload Detail'!T129:T130)</f>
        <v>112.6305555555555</v>
      </c>
      <c r="U73" s="1689">
        <f>SUM('Upload Detail'!U129:U130)</f>
        <v>115.26666666666661</v>
      </c>
      <c r="V73" s="1689">
        <f>SUM('Upload Detail'!V129:V130)</f>
        <v>116.34999999999994</v>
      </c>
      <c r="W73" s="1689">
        <f>SUM('Upload Detail'!W129:W130)</f>
        <v>117.43333333333327</v>
      </c>
    </row>
    <row r="74" spans="1:25" s="4" customFormat="1">
      <c r="A74" s="4" t="s">
        <v>151</v>
      </c>
      <c r="B74" s="4" t="str">
        <f t="shared" si="0"/>
        <v>D10_11032</v>
      </c>
      <c r="C74" s="4" t="str">
        <f t="shared" si="1"/>
        <v>LE_XXXX</v>
      </c>
      <c r="D74" s="4" t="s">
        <v>2886</v>
      </c>
      <c r="E74" s="4">
        <v>3010</v>
      </c>
      <c r="F74" s="4" t="s">
        <v>2888</v>
      </c>
      <c r="G74" s="4" t="s">
        <v>2889</v>
      </c>
      <c r="H74" s="4" t="s">
        <v>145</v>
      </c>
      <c r="I74" s="4" t="s">
        <v>146</v>
      </c>
      <c r="J74" s="4" t="s">
        <v>147</v>
      </c>
      <c r="K74" s="4" t="str">
        <f>+"FY"&amp;RIGHT(YEAR('Hyperion Panel'!$B$9)+3,2)</f>
        <v>FY13</v>
      </c>
      <c r="L74" s="4">
        <f>SUM('Upload Detail'!L136:L137)</f>
        <v>202706.77388428425</v>
      </c>
      <c r="M74" s="4">
        <f>SUM('Upload Detail'!M136:M137)</f>
        <v>206855.92091160861</v>
      </c>
      <c r="N74" s="4">
        <f>SUM('Upload Detail'!N136:N137)</f>
        <v>211005.06793893297</v>
      </c>
      <c r="O74" s="4">
        <f>SUM('Upload Detail'!O136:O137)</f>
        <v>215154.21496625734</v>
      </c>
      <c r="P74" s="4">
        <f>SUM('Upload Detail'!P136:P137)</f>
        <v>219303.3619935817</v>
      </c>
      <c r="Q74" s="4">
        <f>SUM('Upload Detail'!Q136:Q137)</f>
        <v>223452.50902090606</v>
      </c>
      <c r="R74" s="4">
        <f>SUM('Upload Detail'!R136:R137)</f>
        <v>227601.65604823042</v>
      </c>
      <c r="S74" s="4">
        <f>SUM('Upload Detail'!S136:S137)</f>
        <v>231750.80307555478</v>
      </c>
      <c r="T74" s="4">
        <f>SUM('Upload Detail'!T136:T137)</f>
        <v>235899.95010287917</v>
      </c>
      <c r="U74" s="4">
        <f>SUM('Upload Detail'!U136:U137)</f>
        <v>240049.0971302035</v>
      </c>
      <c r="V74" s="4">
        <f>SUM('Upload Detail'!V136:V137)</f>
        <v>245978.36455548042</v>
      </c>
      <c r="W74" s="4">
        <f>SUM('Upload Detail'!W136:W137)</f>
        <v>250151.89679373565</v>
      </c>
    </row>
    <row r="75" spans="1:25" s="4" customFormat="1">
      <c r="A75" s="4" t="s">
        <v>152</v>
      </c>
      <c r="B75" s="4" t="str">
        <f t="shared" si="0"/>
        <v>D10_11032</v>
      </c>
      <c r="C75" s="4" t="str">
        <f t="shared" si="1"/>
        <v>LE_XXXX</v>
      </c>
      <c r="D75" s="4" t="s">
        <v>2886</v>
      </c>
      <c r="E75" s="4">
        <v>3030</v>
      </c>
      <c r="F75" s="4" t="s">
        <v>150</v>
      </c>
      <c r="G75" s="4" t="s">
        <v>2889</v>
      </c>
      <c r="H75" s="4" t="s">
        <v>145</v>
      </c>
      <c r="I75" s="4" t="s">
        <v>146</v>
      </c>
      <c r="J75" s="4" t="s">
        <v>147</v>
      </c>
      <c r="K75" s="4" t="str">
        <f>+"FY"&amp;RIGHT(YEAR('Hyperion Panel'!$B$9)+3,2)</f>
        <v>FY13</v>
      </c>
      <c r="L75" s="4">
        <f>SUM('Upload Detail'!L139:L140)</f>
        <v>63552.144515220163</v>
      </c>
      <c r="M75" s="4">
        <f>SUM('Upload Detail'!M139:M140)</f>
        <v>64587.615751198056</v>
      </c>
      <c r="N75" s="4">
        <f>SUM('Upload Detail'!N139:N140)</f>
        <v>65623.08698717595</v>
      </c>
      <c r="O75" s="4">
        <f>SUM('Upload Detail'!O139:O140)</f>
        <v>66658.558223153843</v>
      </c>
      <c r="P75" s="4">
        <f>SUM('Upload Detail'!P139:P140)</f>
        <v>67694.029459131751</v>
      </c>
      <c r="Q75" s="4">
        <f>SUM('Upload Detail'!Q139:Q140)</f>
        <v>68729.500695109629</v>
      </c>
      <c r="R75" s="4">
        <f>SUM('Upload Detail'!R139:R140)</f>
        <v>69764.971931087537</v>
      </c>
      <c r="S75" s="4">
        <f>SUM('Upload Detail'!S139:S140)</f>
        <v>70800.443167065445</v>
      </c>
      <c r="T75" s="4">
        <f>SUM('Upload Detail'!T139:T140)</f>
        <v>71835.914403043338</v>
      </c>
      <c r="U75" s="4">
        <f>SUM('Upload Detail'!U139:U140)</f>
        <v>72871.385639021246</v>
      </c>
      <c r="V75" s="4">
        <f>SUM('Upload Detail'!V139:V140)</f>
        <v>75631.165563812683</v>
      </c>
      <c r="W75" s="4">
        <f>SUM('Upload Detail'!W139:W140)</f>
        <v>77786.616348143754</v>
      </c>
    </row>
    <row r="76" spans="1:25" s="4" customFormat="1">
      <c r="A76" s="1689" t="s">
        <v>170</v>
      </c>
      <c r="B76" s="1689" t="str">
        <f>+$B$2</f>
        <v>D10_11032</v>
      </c>
      <c r="C76" s="1689" t="str">
        <f t="shared" si="1"/>
        <v>LE_XXXX</v>
      </c>
      <c r="D76" s="1689" t="s">
        <v>2886</v>
      </c>
      <c r="E76" s="1689">
        <v>3050</v>
      </c>
      <c r="F76" s="1689" t="s">
        <v>731</v>
      </c>
      <c r="G76" s="1689" t="s">
        <v>2889</v>
      </c>
      <c r="H76" s="1689" t="s">
        <v>145</v>
      </c>
      <c r="I76" s="1689" t="s">
        <v>146</v>
      </c>
      <c r="J76" s="1689" t="s">
        <v>147</v>
      </c>
      <c r="K76" s="4" t="str">
        <f>+"FY"&amp;RIGHT(YEAR('Hyperion Panel'!$B$9)+3,2)</f>
        <v>FY13</v>
      </c>
      <c r="L76" s="1689">
        <f>SUM('Upload Detail'!L142:L143)</f>
        <v>17728.991348789521</v>
      </c>
      <c r="M76" s="1689">
        <f>SUM('Upload Detail'!M142:M143)</f>
        <v>18010.403909881417</v>
      </c>
      <c r="N76" s="1689">
        <f>SUM('Upload Detail'!N142:N143)</f>
        <v>18291.816470973314</v>
      </c>
      <c r="O76" s="1689">
        <f>SUM('Upload Detail'!O142:O143)</f>
        <v>18573.229032065203</v>
      </c>
      <c r="P76" s="1689">
        <f>SUM('Upload Detail'!P142:P143)</f>
        <v>18854.641593157103</v>
      </c>
      <c r="Q76" s="1689">
        <f>SUM('Upload Detail'!Q142:Q143)</f>
        <v>19136.054154249003</v>
      </c>
      <c r="R76" s="1689">
        <f>SUM('Upload Detail'!R142:R143)</f>
        <v>19417.466715340895</v>
      </c>
      <c r="S76" s="1689">
        <f>SUM('Upload Detail'!S142:S143)</f>
        <v>19698.879276432795</v>
      </c>
      <c r="T76" s="1689">
        <f>SUM('Upload Detail'!T142:T143)</f>
        <v>19980.291837524695</v>
      </c>
      <c r="U76" s="1689">
        <f>SUM('Upload Detail'!U142:U143)</f>
        <v>20261.704398616588</v>
      </c>
      <c r="V76" s="1689">
        <f>SUM('Upload Detail'!V142:V143)</f>
        <v>20543.116959708485</v>
      </c>
      <c r="W76" s="1689">
        <f>SUM('Upload Detail'!W142:W143)</f>
        <v>20824.529520800377</v>
      </c>
    </row>
    <row r="77" spans="1:25">
      <c r="A77" t="s">
        <v>2651</v>
      </c>
      <c r="B77" t="str">
        <f t="shared" si="0"/>
        <v>D10_11032</v>
      </c>
      <c r="C77" t="str">
        <f t="shared" si="1"/>
        <v>LE_XXXX</v>
      </c>
      <c r="D77" t="s">
        <v>2886</v>
      </c>
      <c r="E77">
        <v>6010</v>
      </c>
      <c r="F77" t="s">
        <v>2888</v>
      </c>
      <c r="G77" t="s">
        <v>153</v>
      </c>
      <c r="H77" t="s">
        <v>154</v>
      </c>
      <c r="I77" t="s">
        <v>146</v>
      </c>
      <c r="J77" t="s">
        <v>147</v>
      </c>
      <c r="K77" t="str">
        <f>+"FY"&amp;RIGHT(YEAR('Hyperion Panel'!$B$9)+3,2)</f>
        <v>FY13</v>
      </c>
      <c r="L77">
        <f>'Upload Detail'!L144</f>
        <v>35213.598551863564</v>
      </c>
      <c r="M77">
        <f>'Upload Detail'!M144</f>
        <v>36026.795394188259</v>
      </c>
      <c r="N77">
        <f>'Upload Detail'!N144</f>
        <v>36839.992236512953</v>
      </c>
      <c r="O77">
        <f>'Upload Detail'!O144</f>
        <v>37653.18907883764</v>
      </c>
      <c r="P77">
        <f>'Upload Detail'!P144</f>
        <v>38466.385921162335</v>
      </c>
      <c r="Q77">
        <f>'Upload Detail'!Q144</f>
        <v>39279.582763487022</v>
      </c>
      <c r="R77">
        <f>'Upload Detail'!R144</f>
        <v>40092.779605811716</v>
      </c>
      <c r="S77">
        <f>'Upload Detail'!S144</f>
        <v>40905.976448136404</v>
      </c>
      <c r="T77">
        <f>'Upload Detail'!T144</f>
        <v>41719.173290461105</v>
      </c>
      <c r="U77">
        <f>'Upload Detail'!U144</f>
        <v>42532.370132785793</v>
      </c>
      <c r="V77">
        <f>'Upload Detail'!V144</f>
        <v>42572.432120429148</v>
      </c>
      <c r="W77">
        <f>'Upload Detail'!W144</f>
        <v>43350.29357580567</v>
      </c>
    </row>
    <row r="78" spans="1:25">
      <c r="A78" t="s">
        <v>2652</v>
      </c>
      <c r="B78" t="str">
        <f t="shared" si="0"/>
        <v>D10_11032</v>
      </c>
      <c r="C78" t="str">
        <f t="shared" si="1"/>
        <v>LE_XXXX</v>
      </c>
      <c r="D78" t="s">
        <v>2886</v>
      </c>
      <c r="E78">
        <v>6010</v>
      </c>
      <c r="F78" t="s">
        <v>2888</v>
      </c>
      <c r="G78" t="s">
        <v>155</v>
      </c>
      <c r="H78" t="s">
        <v>154</v>
      </c>
      <c r="I78" t="s">
        <v>146</v>
      </c>
      <c r="J78" t="s">
        <v>147</v>
      </c>
      <c r="K78" t="str">
        <f>+"FY"&amp;RIGHT(YEAR('Hyperion Panel'!$B$9)+3,2)</f>
        <v>FY13</v>
      </c>
      <c r="L78">
        <f>'Upload Detail'!L145</f>
        <v>20360.439166666671</v>
      </c>
      <c r="M78">
        <f>'Upload Detail'!M145</f>
        <v>20360.439166666671</v>
      </c>
      <c r="N78">
        <f>'Upload Detail'!N145</f>
        <v>20360.439166666671</v>
      </c>
      <c r="O78">
        <f>'Upload Detail'!O145</f>
        <v>20360.439166666671</v>
      </c>
      <c r="P78">
        <f>'Upload Detail'!P145</f>
        <v>20360.439166666671</v>
      </c>
      <c r="Q78">
        <f>'Upload Detail'!Q145</f>
        <v>20360.439166666671</v>
      </c>
      <c r="R78">
        <f>'Upload Detail'!R145</f>
        <v>20360.439166666671</v>
      </c>
      <c r="S78">
        <f>'Upload Detail'!S145</f>
        <v>20360.439166666671</v>
      </c>
      <c r="T78">
        <f>'Upload Detail'!T145</f>
        <v>20360.439166666671</v>
      </c>
      <c r="U78">
        <f>'Upload Detail'!U145</f>
        <v>20360.439166666671</v>
      </c>
      <c r="V78">
        <f>'Upload Detail'!V145</f>
        <v>25946.195544444436</v>
      </c>
      <c r="W78">
        <f>'Upload Detail'!W145</f>
        <v>25946.195544444436</v>
      </c>
    </row>
    <row r="79" spans="1:25">
      <c r="A79" t="s">
        <v>2653</v>
      </c>
      <c r="B79" t="str">
        <f t="shared" si="0"/>
        <v>D10_11032</v>
      </c>
      <c r="C79" t="str">
        <f t="shared" si="1"/>
        <v>LE_XXXX</v>
      </c>
      <c r="D79" t="s">
        <v>2886</v>
      </c>
      <c r="E79">
        <v>6051</v>
      </c>
      <c r="F79" t="s">
        <v>2888</v>
      </c>
      <c r="G79" t="s">
        <v>153</v>
      </c>
      <c r="H79" t="s">
        <v>154</v>
      </c>
      <c r="I79" t="s">
        <v>146</v>
      </c>
      <c r="J79" t="s">
        <v>147</v>
      </c>
      <c r="K79" t="str">
        <f>+"FY"&amp;RIGHT(YEAR('Hyperion Panel'!$B$9)+3,2)</f>
        <v>FY13</v>
      </c>
      <c r="L79">
        <f>'Upload Detail'!L146</f>
        <v>22783.888399999996</v>
      </c>
      <c r="M79">
        <f>'Upload Detail'!M146</f>
        <v>22783.888399999996</v>
      </c>
      <c r="N79">
        <f>'Upload Detail'!N146</f>
        <v>22783.888399999996</v>
      </c>
      <c r="O79">
        <f>'Upload Detail'!O146</f>
        <v>22783.888399999996</v>
      </c>
      <c r="P79">
        <f>'Upload Detail'!P146</f>
        <v>22783.888399999996</v>
      </c>
      <c r="Q79">
        <f>'Upload Detail'!Q146</f>
        <v>22783.888399999996</v>
      </c>
      <c r="R79">
        <f>'Upload Detail'!R146</f>
        <v>22783.888399999996</v>
      </c>
      <c r="S79">
        <f>'Upload Detail'!S146</f>
        <v>22783.888399999996</v>
      </c>
      <c r="T79">
        <f>'Upload Detail'!T146</f>
        <v>22783.888399999996</v>
      </c>
      <c r="U79">
        <f>'Upload Detail'!U146</f>
        <v>22783.888399999996</v>
      </c>
      <c r="V79">
        <f>'Upload Detail'!V146</f>
        <v>28390.777611083311</v>
      </c>
      <c r="W79">
        <f>'Upload Detail'!W146</f>
        <v>28390.777611083311</v>
      </c>
    </row>
    <row r="80" spans="1:25">
      <c r="A80" t="s">
        <v>2654</v>
      </c>
      <c r="B80" t="str">
        <f t="shared" si="0"/>
        <v>D10_11032</v>
      </c>
      <c r="C80" t="str">
        <f t="shared" si="1"/>
        <v>LE_XXXX</v>
      </c>
      <c r="D80" t="s">
        <v>2886</v>
      </c>
      <c r="E80">
        <v>6011</v>
      </c>
      <c r="F80" t="s">
        <v>2888</v>
      </c>
      <c r="G80" t="s">
        <v>153</v>
      </c>
      <c r="H80" t="s">
        <v>154</v>
      </c>
      <c r="I80" t="s">
        <v>146</v>
      </c>
      <c r="J80" t="s">
        <v>147</v>
      </c>
      <c r="K80" t="str">
        <f>+"FY"&amp;RIGHT(YEAR('Hyperion Panel'!$B$9)+3,2)</f>
        <v>FY13</v>
      </c>
      <c r="L80">
        <f>'Upload Detail'!L147</f>
        <v>0</v>
      </c>
      <c r="M80">
        <f>'Upload Detail'!M147</f>
        <v>0</v>
      </c>
      <c r="N80">
        <f>'Upload Detail'!N147</f>
        <v>0</v>
      </c>
      <c r="O80">
        <f>'Upload Detail'!O147</f>
        <v>0</v>
      </c>
      <c r="P80">
        <f>'Upload Detail'!P147</f>
        <v>0</v>
      </c>
      <c r="Q80">
        <f>'Upload Detail'!Q147</f>
        <v>0</v>
      </c>
      <c r="R80">
        <f>'Upload Detail'!R147</f>
        <v>0</v>
      </c>
      <c r="S80">
        <f>'Upload Detail'!S147</f>
        <v>0</v>
      </c>
      <c r="T80">
        <f>'Upload Detail'!T147</f>
        <v>0</v>
      </c>
      <c r="U80">
        <f>'Upload Detail'!U147</f>
        <v>0</v>
      </c>
      <c r="V80">
        <f>'Upload Detail'!V147</f>
        <v>0</v>
      </c>
      <c r="W80">
        <f>'Upload Detail'!W147</f>
        <v>0</v>
      </c>
    </row>
    <row r="81" spans="1:25">
      <c r="A81" t="s">
        <v>3696</v>
      </c>
      <c r="B81" t="str">
        <f t="shared" si="0"/>
        <v>D10_11032</v>
      </c>
      <c r="C81" t="str">
        <f t="shared" si="1"/>
        <v>LE_XXXX</v>
      </c>
      <c r="D81" t="s">
        <v>2886</v>
      </c>
      <c r="E81">
        <v>6600</v>
      </c>
      <c r="F81" t="s">
        <v>2888</v>
      </c>
      <c r="G81" t="s">
        <v>2889</v>
      </c>
      <c r="H81" t="s">
        <v>154</v>
      </c>
      <c r="I81" t="s">
        <v>146</v>
      </c>
      <c r="J81" t="s">
        <v>147</v>
      </c>
      <c r="K81" t="str">
        <f>+"FY"&amp;RIGHT(YEAR('Hyperion Panel'!$B$9)+3,2)</f>
        <v>FY13</v>
      </c>
      <c r="L81">
        <f>'Upload Detail'!L148</f>
        <v>49681.827385397199</v>
      </c>
      <c r="M81">
        <f>'Upload Detail'!M148</f>
        <v>50795.098157725392</v>
      </c>
      <c r="N81">
        <f>'Upload Detail'!N148</f>
        <v>51908.368930053577</v>
      </c>
      <c r="O81">
        <f>'Upload Detail'!O148</f>
        <v>53021.639702381755</v>
      </c>
      <c r="P81">
        <f>'Upload Detail'!P148</f>
        <v>54134.910474709955</v>
      </c>
      <c r="Q81">
        <f>'Upload Detail'!Q148</f>
        <v>55248.181247038134</v>
      </c>
      <c r="R81">
        <f>'Upload Detail'!R148</f>
        <v>56361.452019366319</v>
      </c>
      <c r="S81">
        <f>'Upload Detail'!S148</f>
        <v>57474.722791694512</v>
      </c>
      <c r="T81">
        <f>'Upload Detail'!T148</f>
        <v>58587.993564022712</v>
      </c>
      <c r="U81">
        <f>'Upload Detail'!U148</f>
        <v>59701.264336350891</v>
      </c>
      <c r="V81">
        <f>'Upload Detail'!V148</f>
        <v>62099.275009988822</v>
      </c>
      <c r="W81">
        <f>'Upload Detail'!W148</f>
        <v>63303.260396899757</v>
      </c>
    </row>
    <row r="82" spans="1:25">
      <c r="A82" t="s">
        <v>1381</v>
      </c>
      <c r="B82" t="str">
        <f t="shared" si="0"/>
        <v>D10_11032</v>
      </c>
      <c r="C82" t="str">
        <f t="shared" si="1"/>
        <v>LE_XXXX</v>
      </c>
      <c r="D82" t="s">
        <v>2886</v>
      </c>
      <c r="E82">
        <v>6800</v>
      </c>
      <c r="F82" t="s">
        <v>156</v>
      </c>
      <c r="G82" t="s">
        <v>2889</v>
      </c>
      <c r="H82" t="s">
        <v>154</v>
      </c>
      <c r="I82" t="s">
        <v>146</v>
      </c>
      <c r="J82" t="s">
        <v>147</v>
      </c>
      <c r="K82" t="str">
        <f>+"FY"&amp;RIGHT(YEAR('Hyperion Panel'!$B$9)+3,2)</f>
        <v>FY13</v>
      </c>
      <c r="L82">
        <f>'Upload Detail'!L149</f>
        <v>18774.350973420624</v>
      </c>
      <c r="M82">
        <f>'Upload Detail'!M149</f>
        <v>19195.046775247833</v>
      </c>
      <c r="N82">
        <f>'Upload Detail'!N149</f>
        <v>19615.742577075034</v>
      </c>
      <c r="O82">
        <f>'Upload Detail'!O149</f>
        <v>20036.438378902236</v>
      </c>
      <c r="P82">
        <f>'Upload Detail'!P149</f>
        <v>20457.134180729445</v>
      </c>
      <c r="Q82">
        <f>'Upload Detail'!Q149</f>
        <v>20877.829982556646</v>
      </c>
      <c r="R82">
        <f>'Upload Detail'!R149</f>
        <v>21298.525784383848</v>
      </c>
      <c r="S82">
        <f>'Upload Detail'!S149</f>
        <v>21719.221586211057</v>
      </c>
      <c r="T82">
        <f>'Upload Detail'!T149</f>
        <v>22139.917388038266</v>
      </c>
      <c r="U82">
        <f>'Upload Detail'!U149</f>
        <v>22560.613189865468</v>
      </c>
      <c r="V82">
        <f>'Upload Detail'!V149</f>
        <v>23696.868238733292</v>
      </c>
      <c r="W82">
        <f>'Upload Detail'!W149</f>
        <v>24156.304891905158</v>
      </c>
    </row>
    <row r="83" spans="1:25">
      <c r="A83" t="s">
        <v>3697</v>
      </c>
      <c r="B83" t="str">
        <f t="shared" si="0"/>
        <v>D10_11032</v>
      </c>
      <c r="C83" t="str">
        <f t="shared" si="1"/>
        <v>LE_XXXX</v>
      </c>
      <c r="D83" t="s">
        <v>2886</v>
      </c>
      <c r="E83">
        <v>8600</v>
      </c>
      <c r="F83" t="s">
        <v>156</v>
      </c>
      <c r="G83" t="s">
        <v>2889</v>
      </c>
      <c r="H83" t="s">
        <v>154</v>
      </c>
      <c r="I83" t="s">
        <v>146</v>
      </c>
      <c r="J83" t="s">
        <v>147</v>
      </c>
      <c r="K83" t="str">
        <f>+"FY"&amp;RIGHT(YEAR('Hyperion Panel'!$B$9)+3,2)</f>
        <v>FY13</v>
      </c>
      <c r="L83">
        <f>'Upload Detail'!L150</f>
        <v>21845.900030399996</v>
      </c>
      <c r="M83">
        <f>'Upload Detail'!M150</f>
        <v>21845.900030399996</v>
      </c>
      <c r="N83">
        <f>'Upload Detail'!N150</f>
        <v>21845.900030399996</v>
      </c>
      <c r="O83">
        <f>'Upload Detail'!O150</f>
        <v>21845.900030399996</v>
      </c>
      <c r="P83">
        <f>'Upload Detail'!P150</f>
        <v>21845.900030399996</v>
      </c>
      <c r="Q83">
        <f>'Upload Detail'!Q150</f>
        <v>21845.900030399996</v>
      </c>
      <c r="R83">
        <f>'Upload Detail'!R150</f>
        <v>21845.900030399996</v>
      </c>
      <c r="S83">
        <f>'Upload Detail'!S150</f>
        <v>21845.900030399996</v>
      </c>
      <c r="T83">
        <f>'Upload Detail'!T150</f>
        <v>21845.900030399996</v>
      </c>
      <c r="U83">
        <f>'Upload Detail'!U150</f>
        <v>21845.900030399996</v>
      </c>
      <c r="V83">
        <f>'Upload Detail'!V150</f>
        <v>22501.277031311998</v>
      </c>
      <c r="W83">
        <f>'Upload Detail'!W150</f>
        <v>22501.277031311998</v>
      </c>
    </row>
    <row r="84" spans="1:25">
      <c r="A84" t="s">
        <v>157</v>
      </c>
      <c r="B84" t="str">
        <f t="shared" si="0"/>
        <v>D10_11032</v>
      </c>
      <c r="C84" t="str">
        <f t="shared" si="1"/>
        <v>LE_XXXX</v>
      </c>
      <c r="D84" t="s">
        <v>2886</v>
      </c>
      <c r="E84">
        <v>6720</v>
      </c>
      <c r="F84" t="s">
        <v>156</v>
      </c>
      <c r="G84" t="s">
        <v>2889</v>
      </c>
      <c r="H84" t="s">
        <v>154</v>
      </c>
      <c r="I84" t="s">
        <v>146</v>
      </c>
      <c r="J84" t="s">
        <v>147</v>
      </c>
      <c r="K84" t="str">
        <f>+"FY"&amp;RIGHT(YEAR('Hyperion Panel'!$B$9)+3,2)</f>
        <v>FY13</v>
      </c>
      <c r="L84">
        <f>'Upload Detail'!L151</f>
        <v>14118.416666666666</v>
      </c>
      <c r="M84">
        <f>'Upload Detail'!M151</f>
        <v>14118.416666666666</v>
      </c>
      <c r="N84">
        <f>'Upload Detail'!N151</f>
        <v>14118.416666666666</v>
      </c>
      <c r="O84">
        <f>'Upload Detail'!O151</f>
        <v>14118.416666666666</v>
      </c>
      <c r="P84">
        <f>'Upload Detail'!P151</f>
        <v>14118.416666666666</v>
      </c>
      <c r="Q84">
        <f>'Upload Detail'!Q151</f>
        <v>14118.416666666666</v>
      </c>
      <c r="R84">
        <f>'Upload Detail'!R151</f>
        <v>14118.416666666666</v>
      </c>
      <c r="S84">
        <f>'Upload Detail'!S151</f>
        <v>14118.416666666666</v>
      </c>
      <c r="T84">
        <f>'Upload Detail'!T151</f>
        <v>14118.416666666666</v>
      </c>
      <c r="U84">
        <f>'Upload Detail'!U151</f>
        <v>14118.416666666666</v>
      </c>
      <c r="V84">
        <f>'Upload Detail'!V151</f>
        <v>14118.416666666666</v>
      </c>
      <c r="W84">
        <f>'Upload Detail'!W151</f>
        <v>14118.416666666666</v>
      </c>
    </row>
    <row r="85" spans="1:25">
      <c r="A85" t="s">
        <v>3925</v>
      </c>
      <c r="B85" t="str">
        <f t="shared" si="0"/>
        <v>D10_11032</v>
      </c>
      <c r="C85" t="str">
        <f t="shared" si="1"/>
        <v>LE_XXXX</v>
      </c>
      <c r="D85" t="s">
        <v>2886</v>
      </c>
      <c r="E85">
        <v>8110</v>
      </c>
      <c r="F85" t="s">
        <v>156</v>
      </c>
      <c r="G85" t="s">
        <v>2889</v>
      </c>
      <c r="H85" t="s">
        <v>154</v>
      </c>
      <c r="I85" t="s">
        <v>146</v>
      </c>
      <c r="J85" t="s">
        <v>147</v>
      </c>
      <c r="K85" t="str">
        <f>+"FY"&amp;RIGHT(YEAR('Hyperion Panel'!$B$9)+3,2)</f>
        <v>FY13</v>
      </c>
      <c r="L85">
        <f>'Upload Detail'!L152</f>
        <v>1403.8815437000001</v>
      </c>
      <c r="M85">
        <f>'Upload Detail'!M152</f>
        <v>1403.8815437000001</v>
      </c>
      <c r="N85">
        <f>'Upload Detail'!N152</f>
        <v>1403.8815437000001</v>
      </c>
      <c r="O85">
        <f>'Upload Detail'!O152</f>
        <v>1403.8815437000001</v>
      </c>
      <c r="P85">
        <f>'Upload Detail'!P152</f>
        <v>1403.8815437000001</v>
      </c>
      <c r="Q85">
        <f>'Upload Detail'!Q152</f>
        <v>1403.8815437000001</v>
      </c>
      <c r="R85">
        <f>'Upload Detail'!R152</f>
        <v>1403.8815437000001</v>
      </c>
      <c r="S85">
        <f>'Upload Detail'!S152</f>
        <v>1403.8815437000001</v>
      </c>
      <c r="T85">
        <f>'Upload Detail'!T152</f>
        <v>1403.8815437000001</v>
      </c>
      <c r="U85">
        <f>'Upload Detail'!U152</f>
        <v>1403.8815437000001</v>
      </c>
      <c r="V85">
        <f>'Upload Detail'!V152</f>
        <v>1445.997990011</v>
      </c>
      <c r="W85">
        <f>'Upload Detail'!W152</f>
        <v>1445.997990011</v>
      </c>
    </row>
    <row r="86" spans="1:25">
      <c r="A86" t="s">
        <v>3926</v>
      </c>
      <c r="B86" t="str">
        <f t="shared" si="0"/>
        <v>D10_11032</v>
      </c>
      <c r="C86" t="str">
        <f t="shared" si="1"/>
        <v>LE_XXXX</v>
      </c>
      <c r="D86" t="s">
        <v>2886</v>
      </c>
      <c r="E86">
        <v>6412</v>
      </c>
      <c r="F86" t="s">
        <v>156</v>
      </c>
      <c r="G86" t="s">
        <v>2889</v>
      </c>
      <c r="H86" t="s">
        <v>154</v>
      </c>
      <c r="I86" t="s">
        <v>146</v>
      </c>
      <c r="J86" t="s">
        <v>147</v>
      </c>
      <c r="K86" t="str">
        <f>+"FY"&amp;RIGHT(YEAR('Hyperion Panel'!$B$9)+3,2)</f>
        <v>FY13</v>
      </c>
      <c r="L86">
        <f>'Upload Detail'!L153</f>
        <v>17759.354386926709</v>
      </c>
      <c r="M86">
        <f>'Upload Detail'!M153</f>
        <v>18157.306137393021</v>
      </c>
      <c r="N86">
        <f>'Upload Detail'!N153</f>
        <v>18555.25788785933</v>
      </c>
      <c r="O86">
        <f>'Upload Detail'!O153</f>
        <v>18953.209638325639</v>
      </c>
      <c r="P86">
        <f>'Upload Detail'!P153</f>
        <v>19351.161388791952</v>
      </c>
      <c r="Q86">
        <f>'Upload Detail'!Q153</f>
        <v>19749.113139258261</v>
      </c>
      <c r="R86">
        <f>'Upload Detail'!R153</f>
        <v>20147.06488972457</v>
      </c>
      <c r="S86">
        <f>'Upload Detail'!S153</f>
        <v>20545.016640190883</v>
      </c>
      <c r="T86">
        <f>'Upload Detail'!T153</f>
        <v>20942.968390657195</v>
      </c>
      <c r="U86">
        <f>'Upload Detail'!U153</f>
        <v>21340.920141123504</v>
      </c>
      <c r="V86">
        <f>'Upload Detail'!V153</f>
        <v>22415.745902895327</v>
      </c>
      <c r="W86">
        <f>'Upload Detail'!W153</f>
        <v>22850.344060433454</v>
      </c>
    </row>
    <row r="87" spans="1:25" s="104" customFormat="1">
      <c r="A87" s="104" t="s">
        <v>730</v>
      </c>
      <c r="B87" s="104" t="str">
        <f t="shared" si="0"/>
        <v>D10_11032</v>
      </c>
      <c r="C87" s="104" t="str">
        <f t="shared" si="1"/>
        <v>LE_XXXX</v>
      </c>
      <c r="D87" s="104" t="s">
        <v>2886</v>
      </c>
      <c r="E87" s="104">
        <v>8110</v>
      </c>
      <c r="F87" s="104" t="s">
        <v>731</v>
      </c>
      <c r="G87" s="104" t="s">
        <v>2889</v>
      </c>
      <c r="H87" s="104" t="s">
        <v>154</v>
      </c>
      <c r="I87" s="104" t="s">
        <v>146</v>
      </c>
      <c r="J87" s="104" t="s">
        <v>147</v>
      </c>
      <c r="K87" t="str">
        <f>+"FY"&amp;RIGHT(YEAR('Hyperion Panel'!$B$9)+3,2)</f>
        <v>FY13</v>
      </c>
      <c r="L87" s="104">
        <f>'Upload Detail'!L154</f>
        <v>884.08333333333337</v>
      </c>
      <c r="M87" s="104">
        <f>'Upload Detail'!M154</f>
        <v>884.08333333333337</v>
      </c>
      <c r="N87" s="104">
        <f>'Upload Detail'!N154</f>
        <v>884.08333333333337</v>
      </c>
      <c r="O87" s="104">
        <f>'Upload Detail'!O154</f>
        <v>884.08333333333337</v>
      </c>
      <c r="P87" s="104">
        <f>'Upload Detail'!P154</f>
        <v>884.08333333333337</v>
      </c>
      <c r="Q87" s="104">
        <f>'Upload Detail'!Q154</f>
        <v>884.08333333333337</v>
      </c>
      <c r="R87" s="104">
        <f>'Upload Detail'!R154</f>
        <v>884.08333333333337</v>
      </c>
      <c r="S87" s="104">
        <f>'Upload Detail'!S154</f>
        <v>884.08333333333337</v>
      </c>
      <c r="T87" s="104">
        <f>'Upload Detail'!T154</f>
        <v>884.08333333333337</v>
      </c>
      <c r="U87" s="104">
        <f>'Upload Detail'!U154</f>
        <v>884.08333333333337</v>
      </c>
      <c r="V87" s="104">
        <f>'Upload Detail'!V154</f>
        <v>910.60583333333341</v>
      </c>
      <c r="W87" s="104">
        <f>'Upload Detail'!W154</f>
        <v>910.60583333333341</v>
      </c>
      <c r="Y87" s="1690"/>
    </row>
    <row r="88" spans="1:25" s="104" customFormat="1">
      <c r="A88" s="104" t="s">
        <v>732</v>
      </c>
      <c r="B88" s="104" t="str">
        <f t="shared" si="0"/>
        <v>D10_11032</v>
      </c>
      <c r="C88" s="104" t="str">
        <f t="shared" si="1"/>
        <v>LE_XXXX</v>
      </c>
      <c r="D88" s="104" t="s">
        <v>2886</v>
      </c>
      <c r="F88" s="104" t="s">
        <v>731</v>
      </c>
      <c r="G88" s="104" t="s">
        <v>2889</v>
      </c>
      <c r="H88" s="104" t="s">
        <v>154</v>
      </c>
      <c r="I88" s="104" t="s">
        <v>146</v>
      </c>
      <c r="J88" s="104" t="s">
        <v>147</v>
      </c>
      <c r="K88" t="str">
        <f>+"FY"&amp;RIGHT(YEAR('Hyperion Panel'!$B$9)+3,2)</f>
        <v>FY13</v>
      </c>
      <c r="L88" s="104">
        <f>'Upload Detail'!L155</f>
        <v>60.531049999999937</v>
      </c>
      <c r="M88" s="104">
        <f>'Upload Detail'!M155</f>
        <v>60.531049999999937</v>
      </c>
      <c r="N88" s="104">
        <f>'Upload Detail'!N155</f>
        <v>60.531049999999937</v>
      </c>
      <c r="O88" s="104">
        <f>'Upload Detail'!O155</f>
        <v>60.531049999999937</v>
      </c>
      <c r="P88" s="104">
        <f>'Upload Detail'!P155</f>
        <v>60.531049999999937</v>
      </c>
      <c r="Q88" s="104">
        <f>'Upload Detail'!Q155</f>
        <v>60.531049999999937</v>
      </c>
      <c r="R88" s="104">
        <f>'Upload Detail'!R155</f>
        <v>60.531049999999937</v>
      </c>
      <c r="S88" s="104">
        <f>'Upload Detail'!S155</f>
        <v>60.531049999999937</v>
      </c>
      <c r="T88" s="104">
        <f>'Upload Detail'!T155</f>
        <v>60.531049999999937</v>
      </c>
      <c r="U88" s="104">
        <f>'Upload Detail'!U155</f>
        <v>60.531049999999937</v>
      </c>
      <c r="V88" s="104">
        <f>'Upload Detail'!V155</f>
        <v>36.626414999999888</v>
      </c>
      <c r="W88" s="104">
        <f>'Upload Detail'!W155</f>
        <v>36.626414999999888</v>
      </c>
      <c r="Y88" s="1690"/>
    </row>
    <row r="89" spans="1:25" s="104" customFormat="1">
      <c r="A89" s="104" t="s">
        <v>733</v>
      </c>
      <c r="B89" s="104" t="str">
        <f t="shared" si="0"/>
        <v>D10_11032</v>
      </c>
      <c r="C89" s="104" t="str">
        <f t="shared" si="1"/>
        <v>LE_XXXX</v>
      </c>
      <c r="D89" s="104" t="s">
        <v>2886</v>
      </c>
      <c r="F89" s="104" t="s">
        <v>731</v>
      </c>
      <c r="G89" s="104" t="s">
        <v>2889</v>
      </c>
      <c r="H89" s="104" t="s">
        <v>154</v>
      </c>
      <c r="I89" s="104" t="s">
        <v>146</v>
      </c>
      <c r="J89" s="104" t="s">
        <v>147</v>
      </c>
      <c r="K89" t="str">
        <f>+"FY"&amp;RIGHT(YEAR('Hyperion Panel'!$B$9)+3,2)</f>
        <v>FY13</v>
      </c>
      <c r="L89" s="104">
        <f>'Upload Detail'!L156</f>
        <v>14208.395999999995</v>
      </c>
      <c r="M89" s="104">
        <f>'Upload Detail'!M156</f>
        <v>14208.395999999995</v>
      </c>
      <c r="N89" s="104">
        <f>'Upload Detail'!N156</f>
        <v>14208.395999999995</v>
      </c>
      <c r="O89" s="104">
        <f>'Upload Detail'!O156</f>
        <v>14208.395999999995</v>
      </c>
      <c r="P89" s="104">
        <f>'Upload Detail'!P156</f>
        <v>14208.395999999995</v>
      </c>
      <c r="Q89" s="104">
        <f>'Upload Detail'!Q156</f>
        <v>14208.395999999995</v>
      </c>
      <c r="R89" s="104">
        <f>'Upload Detail'!R156</f>
        <v>14208.395999999995</v>
      </c>
      <c r="S89" s="104">
        <f>'Upload Detail'!S156</f>
        <v>14208.395999999995</v>
      </c>
      <c r="T89" s="104">
        <f>'Upload Detail'!T156</f>
        <v>14208.395999999995</v>
      </c>
      <c r="U89" s="104">
        <f>'Upload Detail'!U156</f>
        <v>14208.395999999995</v>
      </c>
      <c r="V89" s="104">
        <f>'Upload Detail'!V156</f>
        <v>17476.327079999985</v>
      </c>
      <c r="W89" s="104">
        <f>'Upload Detail'!W156</f>
        <v>17476.327079999985</v>
      </c>
      <c r="Y89" s="1690"/>
    </row>
    <row r="90" spans="1:25" s="104" customFormat="1">
      <c r="A90" s="104" t="s">
        <v>734</v>
      </c>
      <c r="B90" s="104" t="str">
        <f t="shared" si="0"/>
        <v>D10_11032</v>
      </c>
      <c r="C90" s="104" t="str">
        <f t="shared" si="1"/>
        <v>LE_XXXX</v>
      </c>
      <c r="D90" s="104" t="s">
        <v>2886</v>
      </c>
      <c r="E90" s="104">
        <v>6800</v>
      </c>
      <c r="F90" s="104" t="s">
        <v>731</v>
      </c>
      <c r="G90" s="104" t="s">
        <v>2889</v>
      </c>
      <c r="H90" s="104" t="s">
        <v>154</v>
      </c>
      <c r="I90" s="104" t="s">
        <v>146</v>
      </c>
      <c r="J90" s="104" t="s">
        <v>147</v>
      </c>
      <c r="K90" t="str">
        <f>+"FY"&amp;RIGHT(YEAR('Hyperion Panel'!$B$9)+3,2)</f>
        <v>FY13</v>
      </c>
      <c r="L90" s="104">
        <f>'Upload Detail'!L157</f>
        <v>2630.1479166666654</v>
      </c>
      <c r="M90" s="104">
        <f>'Upload Detail'!M157</f>
        <v>2630.1479166666654</v>
      </c>
      <c r="N90" s="104">
        <f>'Upload Detail'!N157</f>
        <v>2630.1479166666654</v>
      </c>
      <c r="O90" s="104">
        <f>'Upload Detail'!O157</f>
        <v>2630.1479166666654</v>
      </c>
      <c r="P90" s="104">
        <f>'Upload Detail'!P157</f>
        <v>2630.1479166666654</v>
      </c>
      <c r="Q90" s="104">
        <f>'Upload Detail'!Q157</f>
        <v>2630.1479166666654</v>
      </c>
      <c r="R90" s="104">
        <f>'Upload Detail'!R157</f>
        <v>2630.1479166666654</v>
      </c>
      <c r="S90" s="104">
        <f>'Upload Detail'!S157</f>
        <v>2630.1479166666654</v>
      </c>
      <c r="T90" s="104">
        <f>'Upload Detail'!T157</f>
        <v>2630.1479166666654</v>
      </c>
      <c r="U90" s="104">
        <f>'Upload Detail'!U157</f>
        <v>2630.1479166666654</v>
      </c>
      <c r="V90" s="104">
        <f>'Upload Detail'!V157</f>
        <v>3266.7984270833308</v>
      </c>
      <c r="W90" s="104">
        <f>'Upload Detail'!W157</f>
        <v>3266.7984270833308</v>
      </c>
      <c r="Y90" s="1690"/>
    </row>
    <row r="91" spans="1:25">
      <c r="A91" t="s">
        <v>158</v>
      </c>
      <c r="B91" t="str">
        <f t="shared" si="0"/>
        <v>D10_11032</v>
      </c>
      <c r="C91" t="str">
        <f t="shared" si="1"/>
        <v>LE_XXXX</v>
      </c>
      <c r="D91" t="s">
        <v>2886</v>
      </c>
      <c r="E91" t="s">
        <v>159</v>
      </c>
      <c r="F91" t="s">
        <v>156</v>
      </c>
      <c r="G91" t="s">
        <v>2889</v>
      </c>
      <c r="H91" t="s">
        <v>154</v>
      </c>
      <c r="I91" t="s">
        <v>146</v>
      </c>
      <c r="J91" t="s">
        <v>147</v>
      </c>
      <c r="K91" t="str">
        <f>+"FY"&amp;RIGHT(YEAR('Hyperion Panel'!$B$9)+3,2)</f>
        <v>FY13</v>
      </c>
      <c r="L91" s="103">
        <f>'Upload Detail'!L158</f>
        <v>0.6</v>
      </c>
      <c r="M91" s="103">
        <f>'Upload Detail'!M158</f>
        <v>0.6</v>
      </c>
      <c r="N91" s="103">
        <f>'Upload Detail'!N158</f>
        <v>0.6</v>
      </c>
      <c r="O91" s="103">
        <f>'Upload Detail'!O158</f>
        <v>0.6</v>
      </c>
      <c r="P91" s="103">
        <f>'Upload Detail'!P158</f>
        <v>0.6</v>
      </c>
      <c r="Q91" s="103">
        <f>'Upload Detail'!Q158</f>
        <v>0.6</v>
      </c>
      <c r="R91" s="103">
        <f>'Upload Detail'!R158</f>
        <v>0.6</v>
      </c>
      <c r="S91" s="103">
        <f>'Upload Detail'!S158</f>
        <v>0.6</v>
      </c>
      <c r="T91" s="103">
        <f>'Upload Detail'!T158</f>
        <v>0.6</v>
      </c>
      <c r="U91" s="103">
        <f>'Upload Detail'!U158</f>
        <v>0.6</v>
      </c>
      <c r="V91" s="103">
        <f>'Upload Detail'!V158</f>
        <v>0.6</v>
      </c>
      <c r="W91" s="103">
        <f>'Upload Detail'!W158</f>
        <v>0.6</v>
      </c>
    </row>
    <row r="92" spans="1:25">
      <c r="A92" t="s">
        <v>160</v>
      </c>
      <c r="B92" t="str">
        <f t="shared" si="0"/>
        <v>D10_11032</v>
      </c>
      <c r="C92" t="str">
        <f t="shared" si="1"/>
        <v>LE_XXXX</v>
      </c>
      <c r="D92" t="s">
        <v>2886</v>
      </c>
      <c r="E92" t="s">
        <v>161</v>
      </c>
      <c r="F92" t="s">
        <v>156</v>
      </c>
      <c r="G92" t="s">
        <v>2889</v>
      </c>
      <c r="H92" t="s">
        <v>154</v>
      </c>
      <c r="I92" t="s">
        <v>146</v>
      </c>
      <c r="J92" t="s">
        <v>147</v>
      </c>
      <c r="K92" t="str">
        <f>+"FY"&amp;RIGHT(YEAR('Hyperion Panel'!$B$9)+3,2)</f>
        <v>FY13</v>
      </c>
      <c r="L92">
        <f>'Upload Detail'!L159</f>
        <v>0</v>
      </c>
      <c r="M92">
        <f>'Upload Detail'!M159</f>
        <v>0</v>
      </c>
      <c r="N92">
        <f>'Upload Detail'!N159</f>
        <v>0</v>
      </c>
      <c r="O92">
        <f>'Upload Detail'!O159</f>
        <v>0</v>
      </c>
      <c r="P92">
        <f>'Upload Detail'!P159</f>
        <v>0</v>
      </c>
      <c r="Q92">
        <f>'Upload Detail'!Q159</f>
        <v>0</v>
      </c>
      <c r="R92">
        <f>'Upload Detail'!R159</f>
        <v>0</v>
      </c>
      <c r="S92">
        <f>'Upload Detail'!S159</f>
        <v>0</v>
      </c>
      <c r="T92">
        <f>'Upload Detail'!T159</f>
        <v>0</v>
      </c>
      <c r="U92">
        <f>'Upload Detail'!U159</f>
        <v>0</v>
      </c>
      <c r="V92">
        <f>'Upload Detail'!V159</f>
        <v>0</v>
      </c>
      <c r="W92">
        <f>'Upload Detail'!W159</f>
        <v>0</v>
      </c>
    </row>
    <row r="93" spans="1:25" s="104" customFormat="1">
      <c r="A93" s="104" t="s">
        <v>735</v>
      </c>
      <c r="B93" s="104" t="str">
        <f t="shared" si="0"/>
        <v>D10_11032</v>
      </c>
      <c r="C93" s="104" t="str">
        <f t="shared" si="1"/>
        <v>LE_XXXX</v>
      </c>
      <c r="D93" s="104" t="s">
        <v>2886</v>
      </c>
      <c r="F93" s="104" t="s">
        <v>731</v>
      </c>
      <c r="G93" s="104" t="s">
        <v>2889</v>
      </c>
      <c r="H93" s="104" t="s">
        <v>154</v>
      </c>
      <c r="I93" s="104" t="s">
        <v>146</v>
      </c>
      <c r="J93" s="104" t="s">
        <v>147</v>
      </c>
      <c r="K93" t="str">
        <f>+"FY"&amp;RIGHT(YEAR('Hyperion Panel'!$B$9)+3,2)</f>
        <v>FY13</v>
      </c>
      <c r="L93" s="104">
        <f>'Upload Detail'!L160</f>
        <v>0</v>
      </c>
      <c r="M93" s="104">
        <f>'Upload Detail'!M160</f>
        <v>0</v>
      </c>
      <c r="N93" s="104">
        <f>'Upload Detail'!N160</f>
        <v>0</v>
      </c>
      <c r="O93" s="104">
        <f>'Upload Detail'!O160</f>
        <v>0</v>
      </c>
      <c r="P93" s="104">
        <f>'Upload Detail'!P160</f>
        <v>0</v>
      </c>
      <c r="Q93" s="104">
        <f>'Upload Detail'!Q160</f>
        <v>0</v>
      </c>
      <c r="R93" s="104">
        <f>'Upload Detail'!R160</f>
        <v>0</v>
      </c>
      <c r="S93" s="104">
        <f>'Upload Detail'!S160</f>
        <v>0</v>
      </c>
      <c r="T93" s="104">
        <f>'Upload Detail'!T160</f>
        <v>0</v>
      </c>
      <c r="U93" s="104">
        <f>'Upload Detail'!U160</f>
        <v>0</v>
      </c>
      <c r="V93" s="104">
        <f>'Upload Detail'!V160</f>
        <v>0</v>
      </c>
      <c r="W93" s="104">
        <f>'Upload Detail'!W160</f>
        <v>0</v>
      </c>
    </row>
    <row r="94" spans="1:25" s="4" customFormat="1">
      <c r="A94" s="4" t="s">
        <v>2885</v>
      </c>
      <c r="B94" s="4" t="str">
        <f t="shared" si="0"/>
        <v>D10_11032</v>
      </c>
      <c r="C94" s="4" t="str">
        <f t="shared" si="1"/>
        <v>LE_XXXX</v>
      </c>
      <c r="D94" s="4" t="s">
        <v>2886</v>
      </c>
      <c r="E94" s="4" t="s">
        <v>2887</v>
      </c>
      <c r="F94" s="4" t="s">
        <v>2888</v>
      </c>
      <c r="G94" s="4" t="s">
        <v>2889</v>
      </c>
      <c r="H94" s="4" t="s">
        <v>145</v>
      </c>
      <c r="I94" s="4" t="s">
        <v>146</v>
      </c>
      <c r="J94" s="4" t="s">
        <v>147</v>
      </c>
      <c r="K94" s="4" t="str">
        <f>+"FY"&amp;RIGHT(YEAR('Hyperion Panel'!$B$9)+4,2)</f>
        <v>FY14</v>
      </c>
      <c r="L94" s="4">
        <f>SUM('Upload Detail'!L163:L164)</f>
        <v>744.51</v>
      </c>
      <c r="M94" s="4">
        <f>SUM('Upload Detail'!M163:M164)</f>
        <v>757.4666666666667</v>
      </c>
      <c r="N94" s="4">
        <f>SUM('Upload Detail'!N163:N164)</f>
        <v>770.4233333333334</v>
      </c>
      <c r="O94" s="4">
        <f>SUM('Upload Detail'!O163:O164)</f>
        <v>783.37999999999988</v>
      </c>
      <c r="P94" s="4">
        <f>SUM('Upload Detail'!P163:P164)</f>
        <v>796.33666666666659</v>
      </c>
      <c r="Q94" s="4">
        <f>SUM('Upload Detail'!Q163:Q164)</f>
        <v>809.29333333333329</v>
      </c>
      <c r="R94" s="4">
        <f>SUM('Upload Detail'!R163:R164)</f>
        <v>822.24999999999989</v>
      </c>
      <c r="S94" s="4">
        <f>SUM('Upload Detail'!S163:S164)</f>
        <v>835.20666666666659</v>
      </c>
      <c r="T94" s="4">
        <f>SUM('Upload Detail'!T163:T164)</f>
        <v>848.1633333333333</v>
      </c>
      <c r="U94" s="4">
        <f>SUM('Upload Detail'!U163:U164)</f>
        <v>861.11999999999989</v>
      </c>
      <c r="V94" s="4">
        <f>SUM('Upload Detail'!V163:V164)</f>
        <v>870.08999999999992</v>
      </c>
      <c r="W94" s="4">
        <f>SUM('Upload Detail'!W163:W164)</f>
        <v>879.06000000000006</v>
      </c>
    </row>
    <row r="95" spans="1:25" s="4" customFormat="1">
      <c r="A95" s="4" t="s">
        <v>148</v>
      </c>
      <c r="B95" s="4" t="str">
        <f t="shared" si="0"/>
        <v>D10_11032</v>
      </c>
      <c r="C95" s="4" t="str">
        <f t="shared" si="1"/>
        <v>LE_XXXX</v>
      </c>
      <c r="D95" s="4" t="s">
        <v>2886</v>
      </c>
      <c r="E95" s="4" t="s">
        <v>149</v>
      </c>
      <c r="F95" s="4" t="s">
        <v>150</v>
      </c>
      <c r="G95" s="4" t="s">
        <v>2889</v>
      </c>
      <c r="H95" s="4" t="s">
        <v>145</v>
      </c>
      <c r="I95" s="4" t="s">
        <v>146</v>
      </c>
      <c r="J95" s="4" t="s">
        <v>147</v>
      </c>
      <c r="K95" s="4" t="str">
        <f>+"FY"&amp;RIGHT(YEAR('Hyperion Panel'!$B$9)+4,2)</f>
        <v>FY14</v>
      </c>
      <c r="L95" s="4">
        <f>SUM('Upload Detail'!L166:L167)</f>
        <v>225.38750000000007</v>
      </c>
      <c r="M95" s="4">
        <f>SUM('Upload Detail'!M166:M167)</f>
        <v>230.53333333333336</v>
      </c>
      <c r="N95" s="4">
        <f>SUM('Upload Detail'!N166:N167)</f>
        <v>235.67916666666665</v>
      </c>
      <c r="O95" s="4">
        <f>SUM('Upload Detail'!O166:O167)</f>
        <v>240.82499999999999</v>
      </c>
      <c r="P95" s="4">
        <f>SUM('Upload Detail'!P166:P167)</f>
        <v>245.97083333333333</v>
      </c>
      <c r="Q95" s="4">
        <f>SUM('Upload Detail'!Q166:Q167)</f>
        <v>251.11666666666662</v>
      </c>
      <c r="R95" s="4">
        <f>SUM('Upload Detail'!R166:R167)</f>
        <v>256.26249999999993</v>
      </c>
      <c r="S95" s="4">
        <f>SUM('Upload Detail'!S166:S167)</f>
        <v>261.40833333333325</v>
      </c>
      <c r="T95" s="4">
        <f>SUM('Upload Detail'!T166:T167)</f>
        <v>266.55416666666656</v>
      </c>
      <c r="U95" s="4">
        <f>SUM('Upload Detail'!U166:U167)</f>
        <v>271.69999999999993</v>
      </c>
      <c r="V95" s="4">
        <f>SUM('Upload Detail'!V166:V167)</f>
        <v>274.78749999999991</v>
      </c>
      <c r="W95" s="4">
        <f>SUM('Upload Detail'!W166:W167)</f>
        <v>277.87499999999994</v>
      </c>
    </row>
    <row r="96" spans="1:25" s="4" customFormat="1">
      <c r="A96" s="1689" t="s">
        <v>169</v>
      </c>
      <c r="B96" s="1689" t="str">
        <f>+$B$2</f>
        <v>D10_11032</v>
      </c>
      <c r="C96" s="1689" t="str">
        <f>+$C$2</f>
        <v>LE_XXXX</v>
      </c>
      <c r="D96" s="1689" t="s">
        <v>2886</v>
      </c>
      <c r="E96" s="1689" t="s">
        <v>719</v>
      </c>
      <c r="F96" s="1689" t="s">
        <v>731</v>
      </c>
      <c r="G96" s="1689" t="s">
        <v>2889</v>
      </c>
      <c r="H96" s="1689" t="s">
        <v>145</v>
      </c>
      <c r="I96" s="1689" t="s">
        <v>146</v>
      </c>
      <c r="J96" s="1689" t="s">
        <v>147</v>
      </c>
      <c r="K96" s="4" t="str">
        <f>+"FY"&amp;RIGHT(YEAR('Hyperion Panel'!$B$9)+4,2)</f>
        <v>FY14</v>
      </c>
      <c r="L96" s="1689">
        <f>SUM('Upload Detail'!L169:L170)</f>
        <v>118.51666666666659</v>
      </c>
      <c r="M96" s="1689">
        <f>SUM('Upload Detail'!M169:M170)</f>
        <v>119.59999999999992</v>
      </c>
      <c r="N96" s="1689">
        <f>SUM('Upload Detail'!N169:N170)</f>
        <v>120.68333333333325</v>
      </c>
      <c r="O96" s="1689">
        <f>SUM('Upload Detail'!O169:O170)</f>
        <v>121.76666666666658</v>
      </c>
      <c r="P96" s="1689">
        <f>SUM('Upload Detail'!P169:P170)</f>
        <v>122.84999999999991</v>
      </c>
      <c r="Q96" s="1689">
        <f>SUM('Upload Detail'!Q169:Q170)</f>
        <v>123.93333333333324</v>
      </c>
      <c r="R96" s="1689">
        <f>SUM('Upload Detail'!R169:R170)</f>
        <v>125.01666666666658</v>
      </c>
      <c r="S96" s="1689">
        <f>SUM('Upload Detail'!S169:S170)</f>
        <v>126.09999999999989</v>
      </c>
      <c r="T96" s="1689">
        <f>SUM('Upload Detail'!T169:T170)</f>
        <v>127.18333333333322</v>
      </c>
      <c r="U96" s="1689">
        <f>SUM('Upload Detail'!U169:U170)</f>
        <v>128.26666666666659</v>
      </c>
      <c r="V96" s="1689">
        <f>SUM('Upload Detail'!V169:V170)</f>
        <v>129.34999999999991</v>
      </c>
      <c r="W96" s="1689">
        <f>SUM('Upload Detail'!W169:W170)</f>
        <v>130.43333333333322</v>
      </c>
    </row>
    <row r="97" spans="1:25" s="4" customFormat="1">
      <c r="A97" s="4" t="s">
        <v>151</v>
      </c>
      <c r="B97" s="4" t="str">
        <f t="shared" ref="B97:B139" si="2">+$B$2</f>
        <v>D10_11032</v>
      </c>
      <c r="C97" s="4" t="str">
        <f t="shared" ref="C97:C140" si="3">+$C$2</f>
        <v>LE_XXXX</v>
      </c>
      <c r="D97" s="4" t="s">
        <v>2886</v>
      </c>
      <c r="E97" s="4">
        <v>3010</v>
      </c>
      <c r="F97" s="4" t="s">
        <v>2888</v>
      </c>
      <c r="G97" s="4" t="s">
        <v>2889</v>
      </c>
      <c r="H97" s="4" t="s">
        <v>145</v>
      </c>
      <c r="I97" s="4" t="s">
        <v>146</v>
      </c>
      <c r="J97" s="4" t="s">
        <v>147</v>
      </c>
      <c r="K97" s="4" t="str">
        <f>+"FY"&amp;RIGHT(YEAR('Hyperion Panel'!$B$9)+4,2)</f>
        <v>FY14</v>
      </c>
      <c r="L97" s="4">
        <f>SUM('Upload Detail'!L176:L177)</f>
        <v>254325.42903199082</v>
      </c>
      <c r="M97" s="4">
        <f>SUM('Upload Detail'!M176:M177)</f>
        <v>258498.96127024607</v>
      </c>
      <c r="N97" s="4">
        <f>SUM('Upload Detail'!N176:N177)</f>
        <v>262672.49350850127</v>
      </c>
      <c r="O97" s="4">
        <f>SUM('Upload Detail'!O176:O177)</f>
        <v>266846.02574675647</v>
      </c>
      <c r="P97" s="4">
        <f>SUM('Upload Detail'!P176:P177)</f>
        <v>271019.55798501172</v>
      </c>
      <c r="Q97" s="4">
        <f>SUM('Upload Detail'!Q176:Q177)</f>
        <v>275193.09022326698</v>
      </c>
      <c r="R97" s="4">
        <f>SUM('Upload Detail'!R176:R177)</f>
        <v>279366.62246152211</v>
      </c>
      <c r="S97" s="4">
        <f>SUM('Upload Detail'!S176:S177)</f>
        <v>283540.15469977737</v>
      </c>
      <c r="T97" s="4">
        <f>SUM('Upload Detail'!T176:T177)</f>
        <v>287713.68693803257</v>
      </c>
      <c r="U97" s="4">
        <f>SUM('Upload Detail'!U176:U177)</f>
        <v>291887.21917628782</v>
      </c>
      <c r="V97" s="4">
        <f>SUM('Upload Detail'!V176:V177)</f>
        <v>301208.30948684656</v>
      </c>
      <c r="W97" s="4">
        <f>SUM('Upload Detail'!W176:W177)</f>
        <v>304418.33324704785</v>
      </c>
    </row>
    <row r="98" spans="1:25" s="4" customFormat="1">
      <c r="A98" s="4" t="s">
        <v>152</v>
      </c>
      <c r="B98" s="4" t="str">
        <f t="shared" si="2"/>
        <v>D10_11032</v>
      </c>
      <c r="C98" s="4" t="str">
        <f t="shared" si="3"/>
        <v>LE_XXXX</v>
      </c>
      <c r="D98" s="4" t="s">
        <v>2886</v>
      </c>
      <c r="E98" s="4">
        <v>3030</v>
      </c>
      <c r="F98" s="4" t="s">
        <v>150</v>
      </c>
      <c r="G98" s="4" t="s">
        <v>2889</v>
      </c>
      <c r="H98" s="4" t="s">
        <v>145</v>
      </c>
      <c r="I98" s="4" t="s">
        <v>146</v>
      </c>
      <c r="J98" s="4" t="s">
        <v>147</v>
      </c>
      <c r="K98" s="4" t="str">
        <f>+"FY"&amp;RIGHT(YEAR('Hyperion Panel'!$B$9)+4,2)</f>
        <v>FY14</v>
      </c>
      <c r="L98" s="4">
        <f>SUM('Upload Detail'!L179:L180)</f>
        <v>79942.067132474825</v>
      </c>
      <c r="M98" s="4">
        <f>SUM('Upload Detail'!M179:M180)</f>
        <v>82097.517916805897</v>
      </c>
      <c r="N98" s="4">
        <f>SUM('Upload Detail'!N179:N180)</f>
        <v>84252.968701136968</v>
      </c>
      <c r="O98" s="4">
        <f>SUM('Upload Detail'!O179:O180)</f>
        <v>86408.419485468039</v>
      </c>
      <c r="P98" s="4">
        <f>SUM('Upload Detail'!P179:P180)</f>
        <v>88563.870269799125</v>
      </c>
      <c r="Q98" s="4">
        <f>SUM('Upload Detail'!Q179:Q180)</f>
        <v>90719.321054130196</v>
      </c>
      <c r="R98" s="4">
        <f>SUM('Upload Detail'!R179:R180)</f>
        <v>92874.771838461253</v>
      </c>
      <c r="S98" s="4">
        <f>SUM('Upload Detail'!S179:S180)</f>
        <v>95030.222622792338</v>
      </c>
      <c r="T98" s="4">
        <f>SUM('Upload Detail'!T179:T180)</f>
        <v>97185.67340712341</v>
      </c>
      <c r="U98" s="4">
        <f>SUM('Upload Detail'!U179:U180)</f>
        <v>99341.124191454495</v>
      </c>
      <c r="V98" s="4">
        <f>SUM('Upload Detail'!V179:V180)</f>
        <v>103122.73387481975</v>
      </c>
      <c r="W98" s="4">
        <f>SUM('Upload Detail'!W179:W180)</f>
        <v>104796.56328313379</v>
      </c>
    </row>
    <row r="99" spans="1:25" s="4" customFormat="1">
      <c r="A99" s="1689" t="s">
        <v>170</v>
      </c>
      <c r="B99" s="1689" t="str">
        <f>+$B$2</f>
        <v>D10_11032</v>
      </c>
      <c r="C99" s="1689" t="str">
        <f t="shared" si="3"/>
        <v>LE_XXXX</v>
      </c>
      <c r="D99" s="1689" t="s">
        <v>2886</v>
      </c>
      <c r="E99" s="1689">
        <v>3050</v>
      </c>
      <c r="F99" s="1689" t="s">
        <v>731</v>
      </c>
      <c r="G99" s="1689" t="s">
        <v>2889</v>
      </c>
      <c r="H99" s="1689" t="s">
        <v>145</v>
      </c>
      <c r="I99" s="1689" t="s">
        <v>146</v>
      </c>
      <c r="J99" s="1689" t="s">
        <v>147</v>
      </c>
      <c r="K99" s="4" t="str">
        <f>+"FY"&amp;RIGHT(YEAR('Hyperion Panel'!$B$9)+4,2)</f>
        <v>FY14</v>
      </c>
      <c r="L99" s="1689">
        <f>SUM('Upload Detail'!L182:L183)</f>
        <v>21105.942081892277</v>
      </c>
      <c r="M99" s="1689">
        <f>SUM('Upload Detail'!M182:M183)</f>
        <v>21387.35464298417</v>
      </c>
      <c r="N99" s="1689">
        <f>SUM('Upload Detail'!N182:N183)</f>
        <v>21668.767204076066</v>
      </c>
      <c r="O99" s="1689">
        <f>SUM('Upload Detail'!O182:O183)</f>
        <v>21950.179765167959</v>
      </c>
      <c r="P99" s="1689">
        <f>SUM('Upload Detail'!P182:P183)</f>
        <v>22231.592326259859</v>
      </c>
      <c r="Q99" s="1689">
        <f>SUM('Upload Detail'!Q182:Q183)</f>
        <v>22513.004887351755</v>
      </c>
      <c r="R99" s="1689">
        <f>SUM('Upload Detail'!R182:R183)</f>
        <v>22794.417448443655</v>
      </c>
      <c r="S99" s="1689">
        <f>SUM('Upload Detail'!S182:S183)</f>
        <v>23075.830009535548</v>
      </c>
      <c r="T99" s="1689">
        <f>SUM('Upload Detail'!T182:T183)</f>
        <v>23357.242570627444</v>
      </c>
      <c r="U99" s="1689">
        <f>SUM('Upload Detail'!U182:U183)</f>
        <v>23638.655131719348</v>
      </c>
      <c r="V99" s="1689">
        <f>SUM('Upload Detail'!V182:V183)</f>
        <v>24398.469046667466</v>
      </c>
      <c r="W99" s="1689">
        <f>SUM('Upload Detail'!W182:W183)</f>
        <v>24685.509858981201</v>
      </c>
    </row>
    <row r="100" spans="1:25">
      <c r="A100" t="s">
        <v>2651</v>
      </c>
      <c r="B100" t="str">
        <f t="shared" si="2"/>
        <v>D10_11032</v>
      </c>
      <c r="C100" t="str">
        <f t="shared" si="3"/>
        <v>LE_XXXX</v>
      </c>
      <c r="D100" t="s">
        <v>2886</v>
      </c>
      <c r="E100">
        <v>6010</v>
      </c>
      <c r="F100" t="s">
        <v>2888</v>
      </c>
      <c r="G100" t="s">
        <v>153</v>
      </c>
      <c r="H100" t="s">
        <v>154</v>
      </c>
      <c r="I100" t="s">
        <v>146</v>
      </c>
      <c r="J100" t="s">
        <v>147</v>
      </c>
      <c r="K100" t="str">
        <f>+"FY"&amp;RIGHT(YEAR('Hyperion Panel'!$B$9)+4,2)</f>
        <v>FY14</v>
      </c>
      <c r="L100">
        <f>'Upload Detail'!L184</f>
        <v>44128.155031182185</v>
      </c>
      <c r="M100">
        <f>'Upload Detail'!M184</f>
        <v>44906.016486558699</v>
      </c>
      <c r="N100">
        <f>'Upload Detail'!N184</f>
        <v>45683.877941935221</v>
      </c>
      <c r="O100">
        <f>'Upload Detail'!O184</f>
        <v>46461.739397311743</v>
      </c>
      <c r="P100">
        <f>'Upload Detail'!P184</f>
        <v>47239.600852688258</v>
      </c>
      <c r="Q100">
        <f>'Upload Detail'!Q184</f>
        <v>48017.46230806478</v>
      </c>
      <c r="R100">
        <f>'Upload Detail'!R184</f>
        <v>48795.323763441302</v>
      </c>
      <c r="S100">
        <f>'Upload Detail'!S184</f>
        <v>49573.185218817816</v>
      </c>
      <c r="T100">
        <f>'Upload Detail'!T184</f>
        <v>50351.046674194331</v>
      </c>
      <c r="U100">
        <f>'Upload Detail'!U184</f>
        <v>51128.90812957086</v>
      </c>
      <c r="V100">
        <f>'Upload Detail'!V184</f>
        <v>51399.768345648947</v>
      </c>
      <c r="W100">
        <f>'Upload Detail'!W184</f>
        <v>51929.843068727925</v>
      </c>
    </row>
    <row r="101" spans="1:25">
      <c r="A101" t="s">
        <v>2652</v>
      </c>
      <c r="B101" t="str">
        <f t="shared" si="2"/>
        <v>D10_11032</v>
      </c>
      <c r="C101" t="str">
        <f t="shared" si="3"/>
        <v>LE_XXXX</v>
      </c>
      <c r="D101" t="s">
        <v>2886</v>
      </c>
      <c r="E101">
        <v>6010</v>
      </c>
      <c r="F101" t="s">
        <v>2888</v>
      </c>
      <c r="G101" t="s">
        <v>155</v>
      </c>
      <c r="H101" t="s">
        <v>154</v>
      </c>
      <c r="I101" t="s">
        <v>146</v>
      </c>
      <c r="J101" t="s">
        <v>147</v>
      </c>
      <c r="K101" t="str">
        <f>+"FY"&amp;RIGHT(YEAR('Hyperion Panel'!$B$9)+4,2)</f>
        <v>FY14</v>
      </c>
      <c r="L101">
        <f>'Upload Detail'!L185</f>
        <v>25946.195544444436</v>
      </c>
      <c r="M101">
        <f>'Upload Detail'!M185</f>
        <v>25946.195544444436</v>
      </c>
      <c r="N101">
        <f>'Upload Detail'!N185</f>
        <v>25946.195544444436</v>
      </c>
      <c r="O101">
        <f>'Upload Detail'!O185</f>
        <v>25946.195544444436</v>
      </c>
      <c r="P101">
        <f>'Upload Detail'!P185</f>
        <v>25946.195544444436</v>
      </c>
      <c r="Q101">
        <f>'Upload Detail'!Q185</f>
        <v>25946.195544444436</v>
      </c>
      <c r="R101">
        <f>'Upload Detail'!R185</f>
        <v>25946.195544444436</v>
      </c>
      <c r="S101">
        <f>'Upload Detail'!S185</f>
        <v>25946.195544444436</v>
      </c>
      <c r="T101">
        <f>'Upload Detail'!T185</f>
        <v>25946.195544444436</v>
      </c>
      <c r="U101">
        <f>'Upload Detail'!U185</f>
        <v>25946.195544444436</v>
      </c>
      <c r="V101">
        <f>'Upload Detail'!V185</f>
        <v>29672.789210305549</v>
      </c>
      <c r="W101">
        <f>'Upload Detail'!W185</f>
        <v>29672.789210305549</v>
      </c>
    </row>
    <row r="102" spans="1:25">
      <c r="A102" t="s">
        <v>2653</v>
      </c>
      <c r="B102" t="str">
        <f t="shared" si="2"/>
        <v>D10_11032</v>
      </c>
      <c r="C102" t="str">
        <f t="shared" si="3"/>
        <v>LE_XXXX</v>
      </c>
      <c r="D102" t="s">
        <v>2886</v>
      </c>
      <c r="E102">
        <v>6051</v>
      </c>
      <c r="F102" t="s">
        <v>2888</v>
      </c>
      <c r="G102" t="s">
        <v>153</v>
      </c>
      <c r="H102" t="s">
        <v>154</v>
      </c>
      <c r="I102" t="s">
        <v>146</v>
      </c>
      <c r="J102" t="s">
        <v>147</v>
      </c>
      <c r="K102" t="str">
        <f>+"FY"&amp;RIGHT(YEAR('Hyperion Panel'!$B$9)+4,2)</f>
        <v>FY14</v>
      </c>
      <c r="L102">
        <f>'Upload Detail'!L186</f>
        <v>28390.777611083311</v>
      </c>
      <c r="M102">
        <f>'Upload Detail'!M186</f>
        <v>28390.777611083311</v>
      </c>
      <c r="N102">
        <f>'Upload Detail'!N186</f>
        <v>28390.777611083311</v>
      </c>
      <c r="O102">
        <f>'Upload Detail'!O186</f>
        <v>28390.777611083311</v>
      </c>
      <c r="P102">
        <f>'Upload Detail'!P186</f>
        <v>28390.777611083311</v>
      </c>
      <c r="Q102">
        <f>'Upload Detail'!Q186</f>
        <v>28390.777611083311</v>
      </c>
      <c r="R102">
        <f>'Upload Detail'!R186</f>
        <v>28390.777611083311</v>
      </c>
      <c r="S102">
        <f>'Upload Detail'!S186</f>
        <v>28390.777611083311</v>
      </c>
      <c r="T102">
        <f>'Upload Detail'!T186</f>
        <v>28390.777611083311</v>
      </c>
      <c r="U102">
        <f>'Upload Detail'!U186</f>
        <v>28390.777611083311</v>
      </c>
      <c r="V102">
        <f>'Upload Detail'!V186</f>
        <v>32755.307727826661</v>
      </c>
      <c r="W102">
        <f>'Upload Detail'!W186</f>
        <v>32755.307727826661</v>
      </c>
    </row>
    <row r="103" spans="1:25">
      <c r="A103" t="s">
        <v>2654</v>
      </c>
      <c r="B103" t="str">
        <f t="shared" si="2"/>
        <v>D10_11032</v>
      </c>
      <c r="C103" t="str">
        <f t="shared" si="3"/>
        <v>LE_XXXX</v>
      </c>
      <c r="D103" t="s">
        <v>2886</v>
      </c>
      <c r="E103">
        <v>6011</v>
      </c>
      <c r="F103" t="s">
        <v>2888</v>
      </c>
      <c r="G103" t="s">
        <v>153</v>
      </c>
      <c r="H103" t="s">
        <v>154</v>
      </c>
      <c r="I103" t="s">
        <v>146</v>
      </c>
      <c r="J103" t="s">
        <v>147</v>
      </c>
      <c r="K103" t="str">
        <f>+"FY"&amp;RIGHT(YEAR('Hyperion Panel'!$B$9)+4,2)</f>
        <v>FY14</v>
      </c>
      <c r="L103">
        <f>'Upload Detail'!L187</f>
        <v>0</v>
      </c>
      <c r="M103">
        <f>'Upload Detail'!M187</f>
        <v>0</v>
      </c>
      <c r="N103">
        <f>'Upload Detail'!N187</f>
        <v>0</v>
      </c>
      <c r="O103">
        <f>'Upload Detail'!O187</f>
        <v>0</v>
      </c>
      <c r="P103">
        <f>'Upload Detail'!P187</f>
        <v>0</v>
      </c>
      <c r="Q103">
        <f>'Upload Detail'!Q187</f>
        <v>0</v>
      </c>
      <c r="R103">
        <f>'Upload Detail'!R187</f>
        <v>0</v>
      </c>
      <c r="S103">
        <f>'Upload Detail'!S187</f>
        <v>0</v>
      </c>
      <c r="T103">
        <f>'Upload Detail'!T187</f>
        <v>0</v>
      </c>
      <c r="U103">
        <f>'Upload Detail'!U187</f>
        <v>0</v>
      </c>
      <c r="V103">
        <f>'Upload Detail'!V187</f>
        <v>0</v>
      </c>
      <c r="W103">
        <f>'Upload Detail'!W187</f>
        <v>0</v>
      </c>
    </row>
    <row r="104" spans="1:25">
      <c r="A104" t="s">
        <v>3696</v>
      </c>
      <c r="B104" t="str">
        <f t="shared" si="2"/>
        <v>D10_11032</v>
      </c>
      <c r="C104" t="str">
        <f t="shared" si="3"/>
        <v>LE_XXXX</v>
      </c>
      <c r="D104" t="s">
        <v>2886</v>
      </c>
      <c r="E104">
        <v>6600</v>
      </c>
      <c r="F104" t="s">
        <v>2888</v>
      </c>
      <c r="G104" t="s">
        <v>2889</v>
      </c>
      <c r="H104" t="s">
        <v>154</v>
      </c>
      <c r="I104" t="s">
        <v>146</v>
      </c>
      <c r="J104" t="s">
        <v>147</v>
      </c>
      <c r="K104" t="str">
        <f>+"FY"&amp;RIGHT(YEAR('Hyperion Panel'!$B$9)+4,2)</f>
        <v>FY14</v>
      </c>
      <c r="L104">
        <f>'Upload Detail'!L188</f>
        <v>64507.245783810671</v>
      </c>
      <c r="M104">
        <f>'Upload Detail'!M188</f>
        <v>65711.231170721585</v>
      </c>
      <c r="N104">
        <f>'Upload Detail'!N188</f>
        <v>66915.216557632491</v>
      </c>
      <c r="O104">
        <f>'Upload Detail'!O188</f>
        <v>68119.201944543413</v>
      </c>
      <c r="P104">
        <f>'Upload Detail'!P188</f>
        <v>69323.187331454334</v>
      </c>
      <c r="Q104">
        <f>'Upload Detail'!Q188</f>
        <v>70527.17271836524</v>
      </c>
      <c r="R104">
        <f>'Upload Detail'!R188</f>
        <v>71731.158105276161</v>
      </c>
      <c r="S104">
        <f>'Upload Detail'!S188</f>
        <v>72935.143492187082</v>
      </c>
      <c r="T104">
        <f>'Upload Detail'!T188</f>
        <v>74139.128879097989</v>
      </c>
      <c r="U104">
        <f>'Upload Detail'!U188</f>
        <v>75343.11426600891</v>
      </c>
      <c r="V104">
        <f>'Upload Detail'!V188</f>
        <v>77667.951686185159</v>
      </c>
      <c r="W104">
        <f>'Upload Detail'!W188</f>
        <v>78485.926821041241</v>
      </c>
    </row>
    <row r="105" spans="1:25">
      <c r="A105" t="s">
        <v>1381</v>
      </c>
      <c r="B105" t="str">
        <f t="shared" si="2"/>
        <v>D10_11032</v>
      </c>
      <c r="C105" t="str">
        <f t="shared" si="3"/>
        <v>LE_XXXX</v>
      </c>
      <c r="D105" t="s">
        <v>2886</v>
      </c>
      <c r="E105">
        <v>6800</v>
      </c>
      <c r="F105" t="s">
        <v>156</v>
      </c>
      <c r="G105" t="s">
        <v>2889</v>
      </c>
      <c r="H105" t="s">
        <v>154</v>
      </c>
      <c r="I105" t="s">
        <v>146</v>
      </c>
      <c r="J105" t="s">
        <v>147</v>
      </c>
      <c r="K105" t="str">
        <f>+"FY"&amp;RIGHT(YEAR('Hyperion Panel'!$B$9)+4,2)</f>
        <v>FY14</v>
      </c>
      <c r="L105">
        <f>'Upload Detail'!L189</f>
        <v>24615.74154507702</v>
      </c>
      <c r="M105">
        <f>'Upload Detail'!M189</f>
        <v>25075.178198248879</v>
      </c>
      <c r="N105">
        <f>'Upload Detail'!N189</f>
        <v>25534.614851420742</v>
      </c>
      <c r="O105">
        <f>'Upload Detail'!O189</f>
        <v>25994.051504592604</v>
      </c>
      <c r="P105">
        <f>'Upload Detail'!P189</f>
        <v>26453.488157764466</v>
      </c>
      <c r="Q105">
        <f>'Upload Detail'!Q189</f>
        <v>26912.924810936329</v>
      </c>
      <c r="R105">
        <f>'Upload Detail'!R189</f>
        <v>27372.361464108188</v>
      </c>
      <c r="S105">
        <f>'Upload Detail'!S189</f>
        <v>27831.79811728005</v>
      </c>
      <c r="T105">
        <f>'Upload Detail'!T189</f>
        <v>28291.234770451912</v>
      </c>
      <c r="U105">
        <f>'Upload Detail'!U189</f>
        <v>28750.671423623775</v>
      </c>
      <c r="V105">
        <f>'Upload Detail'!V189</f>
        <v>29928.388205967258</v>
      </c>
      <c r="W105">
        <f>'Upload Detail'!W189</f>
        <v>30243.584845602025</v>
      </c>
    </row>
    <row r="106" spans="1:25">
      <c r="A106" t="s">
        <v>3697</v>
      </c>
      <c r="B106" t="str">
        <f t="shared" si="2"/>
        <v>D10_11032</v>
      </c>
      <c r="C106" t="str">
        <f t="shared" si="3"/>
        <v>LE_XXXX</v>
      </c>
      <c r="D106" t="s">
        <v>2886</v>
      </c>
      <c r="E106">
        <v>8600</v>
      </c>
      <c r="F106" t="s">
        <v>156</v>
      </c>
      <c r="G106" t="s">
        <v>2889</v>
      </c>
      <c r="H106" t="s">
        <v>154</v>
      </c>
      <c r="I106" t="s">
        <v>146</v>
      </c>
      <c r="J106" t="s">
        <v>147</v>
      </c>
      <c r="K106" t="str">
        <f>+"FY"&amp;RIGHT(YEAR('Hyperion Panel'!$B$9)+4,2)</f>
        <v>FY14</v>
      </c>
      <c r="L106">
        <f>'Upload Detail'!L190</f>
        <v>22501.277031311998</v>
      </c>
      <c r="M106">
        <f>'Upload Detail'!M190</f>
        <v>22501.277031311998</v>
      </c>
      <c r="N106">
        <f>'Upload Detail'!N190</f>
        <v>22501.277031311998</v>
      </c>
      <c r="O106">
        <f>'Upload Detail'!O190</f>
        <v>22501.277031311998</v>
      </c>
      <c r="P106">
        <f>'Upload Detail'!P190</f>
        <v>22501.277031311998</v>
      </c>
      <c r="Q106">
        <f>'Upload Detail'!Q190</f>
        <v>22501.277031311998</v>
      </c>
      <c r="R106">
        <f>'Upload Detail'!R190</f>
        <v>22501.277031311998</v>
      </c>
      <c r="S106">
        <f>'Upload Detail'!S190</f>
        <v>22501.277031311998</v>
      </c>
      <c r="T106">
        <f>'Upload Detail'!T190</f>
        <v>22501.277031311998</v>
      </c>
      <c r="U106">
        <f>'Upload Detail'!U190</f>
        <v>22501.277031311998</v>
      </c>
      <c r="V106">
        <f>'Upload Detail'!V190</f>
        <v>23176.315342251357</v>
      </c>
      <c r="W106">
        <f>'Upload Detail'!W190</f>
        <v>23176.315342251357</v>
      </c>
    </row>
    <row r="107" spans="1:25">
      <c r="A107" t="s">
        <v>157</v>
      </c>
      <c r="B107" t="str">
        <f t="shared" si="2"/>
        <v>D10_11032</v>
      </c>
      <c r="C107" t="str">
        <f t="shared" si="3"/>
        <v>LE_XXXX</v>
      </c>
      <c r="D107" t="s">
        <v>2886</v>
      </c>
      <c r="E107">
        <v>6720</v>
      </c>
      <c r="F107" t="s">
        <v>156</v>
      </c>
      <c r="G107" t="s">
        <v>2889</v>
      </c>
      <c r="H107" t="s">
        <v>154</v>
      </c>
      <c r="I107" t="s">
        <v>146</v>
      </c>
      <c r="J107" t="s">
        <v>147</v>
      </c>
      <c r="K107" t="str">
        <f>+"FY"&amp;RIGHT(YEAR('Hyperion Panel'!$B$9)+4,2)</f>
        <v>FY14</v>
      </c>
      <c r="L107">
        <f>'Upload Detail'!L191</f>
        <v>14118.416666666666</v>
      </c>
      <c r="M107">
        <f>'Upload Detail'!M191</f>
        <v>14118.416666666666</v>
      </c>
      <c r="N107">
        <f>'Upload Detail'!N191</f>
        <v>14118.416666666666</v>
      </c>
      <c r="O107">
        <f>'Upload Detail'!O191</f>
        <v>14118.416666666666</v>
      </c>
      <c r="P107">
        <f>'Upload Detail'!P191</f>
        <v>14118.416666666666</v>
      </c>
      <c r="Q107">
        <f>'Upload Detail'!Q191</f>
        <v>14118.416666666666</v>
      </c>
      <c r="R107">
        <f>'Upload Detail'!R191</f>
        <v>14118.416666666666</v>
      </c>
      <c r="S107">
        <f>'Upload Detail'!S191</f>
        <v>14118.416666666666</v>
      </c>
      <c r="T107">
        <f>'Upload Detail'!T191</f>
        <v>14118.416666666666</v>
      </c>
      <c r="U107">
        <f>'Upload Detail'!U191</f>
        <v>14118.416666666666</v>
      </c>
      <c r="V107">
        <f>'Upload Detail'!V191</f>
        <v>14118.416666666666</v>
      </c>
      <c r="W107">
        <f>'Upload Detail'!W191</f>
        <v>14118.416666666666</v>
      </c>
    </row>
    <row r="108" spans="1:25">
      <c r="A108" t="s">
        <v>3925</v>
      </c>
      <c r="B108" t="str">
        <f t="shared" si="2"/>
        <v>D10_11032</v>
      </c>
      <c r="C108" t="str">
        <f t="shared" si="3"/>
        <v>LE_XXXX</v>
      </c>
      <c r="D108" t="s">
        <v>2886</v>
      </c>
      <c r="E108">
        <v>8110</v>
      </c>
      <c r="F108" t="s">
        <v>156</v>
      </c>
      <c r="G108" t="s">
        <v>2889</v>
      </c>
      <c r="H108" t="s">
        <v>154</v>
      </c>
      <c r="I108" t="s">
        <v>146</v>
      </c>
      <c r="J108" t="s">
        <v>147</v>
      </c>
      <c r="K108" t="str">
        <f>+"FY"&amp;RIGHT(YEAR('Hyperion Panel'!$B$9)+4,2)</f>
        <v>FY14</v>
      </c>
      <c r="L108">
        <f>'Upload Detail'!L192</f>
        <v>1445.997990011</v>
      </c>
      <c r="M108">
        <f>'Upload Detail'!M192</f>
        <v>1445.997990011</v>
      </c>
      <c r="N108">
        <f>'Upload Detail'!N192</f>
        <v>1445.997990011</v>
      </c>
      <c r="O108">
        <f>'Upload Detail'!O192</f>
        <v>1445.997990011</v>
      </c>
      <c r="P108">
        <f>'Upload Detail'!P192</f>
        <v>1445.997990011</v>
      </c>
      <c r="Q108">
        <f>'Upload Detail'!Q192</f>
        <v>1445.997990011</v>
      </c>
      <c r="R108">
        <f>'Upload Detail'!R192</f>
        <v>1445.997990011</v>
      </c>
      <c r="S108">
        <f>'Upload Detail'!S192</f>
        <v>1445.997990011</v>
      </c>
      <c r="T108">
        <f>'Upload Detail'!T192</f>
        <v>1445.997990011</v>
      </c>
      <c r="U108">
        <f>'Upload Detail'!U192</f>
        <v>1445.997990011</v>
      </c>
      <c r="V108">
        <f>'Upload Detail'!V192</f>
        <v>1489.3779297113299</v>
      </c>
      <c r="W108">
        <f>'Upload Detail'!W192</f>
        <v>1489.3779297113299</v>
      </c>
    </row>
    <row r="109" spans="1:25">
      <c r="A109" t="s">
        <v>3926</v>
      </c>
      <c r="B109" t="str">
        <f t="shared" si="2"/>
        <v>D10_11032</v>
      </c>
      <c r="C109" t="str">
        <f t="shared" si="3"/>
        <v>LE_XXXX</v>
      </c>
      <c r="D109" t="s">
        <v>2886</v>
      </c>
      <c r="E109">
        <v>6412</v>
      </c>
      <c r="F109" t="s">
        <v>156</v>
      </c>
      <c r="G109" t="s">
        <v>2889</v>
      </c>
      <c r="H109" t="s">
        <v>154</v>
      </c>
      <c r="I109" t="s">
        <v>146</v>
      </c>
      <c r="J109" t="s">
        <v>147</v>
      </c>
      <c r="K109" t="str">
        <f>+"FY"&amp;RIGHT(YEAR('Hyperion Panel'!$B$9)+4,2)</f>
        <v>FY14</v>
      </c>
      <c r="L109">
        <f>'Upload Detail'!L193</f>
        <v>23284.942217971573</v>
      </c>
      <c r="M109">
        <f>'Upload Detail'!M193</f>
        <v>23719.540375509692</v>
      </c>
      <c r="N109">
        <f>'Upload Detail'!N193</f>
        <v>24154.138533047812</v>
      </c>
      <c r="O109">
        <f>'Upload Detail'!O193</f>
        <v>24588.736690585934</v>
      </c>
      <c r="P109">
        <f>'Upload Detail'!P193</f>
        <v>25023.334848124054</v>
      </c>
      <c r="Q109">
        <f>'Upload Detail'!Q193</f>
        <v>25457.933005662177</v>
      </c>
      <c r="R109">
        <f>'Upload Detail'!R193</f>
        <v>25892.531163200296</v>
      </c>
      <c r="S109">
        <f>'Upload Detail'!S193</f>
        <v>26327.129320738415</v>
      </c>
      <c r="T109">
        <f>'Upload Detail'!T193</f>
        <v>26761.727478276538</v>
      </c>
      <c r="U109">
        <f>'Upload Detail'!U193</f>
        <v>27196.325635814657</v>
      </c>
      <c r="V109">
        <f>'Upload Detail'!V193</f>
        <v>28310.371587905334</v>
      </c>
      <c r="W109">
        <f>'Upload Detail'!W193</f>
        <v>28608.527770921573</v>
      </c>
    </row>
    <row r="110" spans="1:25" s="104" customFormat="1">
      <c r="A110" s="104" t="s">
        <v>730</v>
      </c>
      <c r="B110" s="104" t="str">
        <f t="shared" si="2"/>
        <v>D10_11032</v>
      </c>
      <c r="C110" s="104" t="str">
        <f t="shared" si="3"/>
        <v>LE_XXXX</v>
      </c>
      <c r="D110" s="104" t="s">
        <v>2886</v>
      </c>
      <c r="E110" s="104">
        <v>8110</v>
      </c>
      <c r="F110" s="104" t="s">
        <v>731</v>
      </c>
      <c r="G110" s="104" t="s">
        <v>2889</v>
      </c>
      <c r="H110" s="104" t="s">
        <v>154</v>
      </c>
      <c r="I110" s="104" t="s">
        <v>146</v>
      </c>
      <c r="J110" s="104" t="s">
        <v>147</v>
      </c>
      <c r="K110" t="str">
        <f>+"FY"&amp;RIGHT(YEAR('Hyperion Panel'!$B$9)+4,2)</f>
        <v>FY14</v>
      </c>
      <c r="L110" s="104">
        <f>'Upload Detail'!L194</f>
        <v>910.60583333333341</v>
      </c>
      <c r="M110" s="104">
        <f>'Upload Detail'!M194</f>
        <v>910.60583333333341</v>
      </c>
      <c r="N110" s="104">
        <f>'Upload Detail'!N194</f>
        <v>910.60583333333341</v>
      </c>
      <c r="O110" s="104">
        <f>'Upload Detail'!O194</f>
        <v>910.60583333333341</v>
      </c>
      <c r="P110" s="104">
        <f>'Upload Detail'!P194</f>
        <v>910.60583333333341</v>
      </c>
      <c r="Q110" s="104">
        <f>'Upload Detail'!Q194</f>
        <v>910.60583333333341</v>
      </c>
      <c r="R110" s="104">
        <f>'Upload Detail'!R194</f>
        <v>910.60583333333341</v>
      </c>
      <c r="S110" s="104">
        <f>'Upload Detail'!S194</f>
        <v>910.60583333333341</v>
      </c>
      <c r="T110" s="104">
        <f>'Upload Detail'!T194</f>
        <v>910.60583333333341</v>
      </c>
      <c r="U110" s="104">
        <f>'Upload Detail'!U194</f>
        <v>910.60583333333341</v>
      </c>
      <c r="V110" s="104">
        <f>'Upload Detail'!V194</f>
        <v>937.9240083333334</v>
      </c>
      <c r="W110" s="104">
        <f>'Upload Detail'!W194</f>
        <v>937.9240083333334</v>
      </c>
      <c r="Y110" s="1690"/>
    </row>
    <row r="111" spans="1:25" s="104" customFormat="1">
      <c r="A111" s="104" t="s">
        <v>732</v>
      </c>
      <c r="B111" s="104" t="str">
        <f t="shared" si="2"/>
        <v>D10_11032</v>
      </c>
      <c r="C111" s="104" t="str">
        <f t="shared" si="3"/>
        <v>LE_XXXX</v>
      </c>
      <c r="D111" s="104" t="s">
        <v>2886</v>
      </c>
      <c r="F111" s="104" t="s">
        <v>731</v>
      </c>
      <c r="G111" s="104" t="s">
        <v>2889</v>
      </c>
      <c r="H111" s="104" t="s">
        <v>154</v>
      </c>
      <c r="I111" s="104" t="s">
        <v>146</v>
      </c>
      <c r="J111" s="104" t="s">
        <v>147</v>
      </c>
      <c r="K111" t="str">
        <f>+"FY"&amp;RIGHT(YEAR('Hyperion Panel'!$B$9)+4,2)</f>
        <v>FY14</v>
      </c>
      <c r="L111" s="104">
        <f>'Upload Detail'!L195</f>
        <v>36.626414999999888</v>
      </c>
      <c r="M111" s="104">
        <f>'Upload Detail'!M195</f>
        <v>36.626414999999888</v>
      </c>
      <c r="N111" s="104">
        <f>'Upload Detail'!N195</f>
        <v>36.626414999999888</v>
      </c>
      <c r="O111" s="104">
        <f>'Upload Detail'!O195</f>
        <v>36.626414999999888</v>
      </c>
      <c r="P111" s="104">
        <f>'Upload Detail'!P195</f>
        <v>36.626414999999888</v>
      </c>
      <c r="Q111" s="104">
        <f>'Upload Detail'!Q195</f>
        <v>36.626414999999888</v>
      </c>
      <c r="R111" s="104">
        <f>'Upload Detail'!R195</f>
        <v>36.626414999999888</v>
      </c>
      <c r="S111" s="104">
        <f>'Upload Detail'!S195</f>
        <v>36.626414999999888</v>
      </c>
      <c r="T111" s="104">
        <f>'Upload Detail'!T195</f>
        <v>36.626414999999888</v>
      </c>
      <c r="U111" s="104">
        <f>'Upload Detail'!U195</f>
        <v>36.626414999999888</v>
      </c>
      <c r="V111" s="104">
        <f>'Upload Detail'!V195</f>
        <v>25.617561119999944</v>
      </c>
      <c r="W111" s="104">
        <f>'Upload Detail'!W195</f>
        <v>25.617561119999944</v>
      </c>
      <c r="Y111" s="1690"/>
    </row>
    <row r="112" spans="1:25" s="104" customFormat="1">
      <c r="A112" s="104" t="s">
        <v>733</v>
      </c>
      <c r="B112" s="104" t="str">
        <f t="shared" si="2"/>
        <v>D10_11032</v>
      </c>
      <c r="C112" s="104" t="str">
        <f t="shared" si="3"/>
        <v>LE_XXXX</v>
      </c>
      <c r="D112" s="104" t="s">
        <v>2886</v>
      </c>
      <c r="F112" s="104" t="s">
        <v>731</v>
      </c>
      <c r="G112" s="104" t="s">
        <v>2889</v>
      </c>
      <c r="H112" s="104" t="s">
        <v>154</v>
      </c>
      <c r="I112" s="104" t="s">
        <v>146</v>
      </c>
      <c r="J112" s="104" t="s">
        <v>147</v>
      </c>
      <c r="K112" t="str">
        <f>+"FY"&amp;RIGHT(YEAR('Hyperion Panel'!$B$9)+4,2)</f>
        <v>FY14</v>
      </c>
      <c r="L112" s="104">
        <f>'Upload Detail'!L196</f>
        <v>17476.327079999985</v>
      </c>
      <c r="M112" s="104">
        <f>'Upload Detail'!M196</f>
        <v>17476.327079999985</v>
      </c>
      <c r="N112" s="104">
        <f>'Upload Detail'!N196</f>
        <v>17476.327079999985</v>
      </c>
      <c r="O112" s="104">
        <f>'Upload Detail'!O196</f>
        <v>17476.327079999985</v>
      </c>
      <c r="P112" s="104">
        <f>'Upload Detail'!P196</f>
        <v>17476.327079999985</v>
      </c>
      <c r="Q112" s="104">
        <f>'Upload Detail'!Q196</f>
        <v>17476.327079999985</v>
      </c>
      <c r="R112" s="104">
        <f>'Upload Detail'!R196</f>
        <v>17476.327079999985</v>
      </c>
      <c r="S112" s="104">
        <f>'Upload Detail'!S196</f>
        <v>17476.327079999985</v>
      </c>
      <c r="T112" s="104">
        <f>'Upload Detail'!T196</f>
        <v>17476.327079999985</v>
      </c>
      <c r="U112" s="104">
        <f>'Upload Detail'!U196</f>
        <v>17476.327079999985</v>
      </c>
      <c r="V112" s="104">
        <f>'Upload Detail'!V196</f>
        <v>19912.78282607998</v>
      </c>
      <c r="W112" s="104">
        <f>'Upload Detail'!W196</f>
        <v>19912.78282607998</v>
      </c>
      <c r="Y112" s="1690"/>
    </row>
    <row r="113" spans="1:25" s="104" customFormat="1">
      <c r="A113" s="104" t="s">
        <v>734</v>
      </c>
      <c r="B113" s="104" t="str">
        <f t="shared" si="2"/>
        <v>D10_11032</v>
      </c>
      <c r="C113" s="104" t="str">
        <f t="shared" si="3"/>
        <v>LE_XXXX</v>
      </c>
      <c r="D113" s="104" t="s">
        <v>2886</v>
      </c>
      <c r="E113" s="104">
        <v>6800</v>
      </c>
      <c r="F113" s="104" t="s">
        <v>731</v>
      </c>
      <c r="G113" s="104" t="s">
        <v>2889</v>
      </c>
      <c r="H113" s="104" t="s">
        <v>154</v>
      </c>
      <c r="I113" s="104" t="s">
        <v>146</v>
      </c>
      <c r="J113" s="104" t="s">
        <v>147</v>
      </c>
      <c r="K113" t="str">
        <f>+"FY"&amp;RIGHT(YEAR('Hyperion Panel'!$B$9)+4,2)</f>
        <v>FY14</v>
      </c>
      <c r="L113" s="104">
        <f>'Upload Detail'!L197</f>
        <v>3266.7984270833308</v>
      </c>
      <c r="M113" s="104">
        <f>'Upload Detail'!M197</f>
        <v>3266.7984270833308</v>
      </c>
      <c r="N113" s="104">
        <f>'Upload Detail'!N197</f>
        <v>3266.7984270833308</v>
      </c>
      <c r="O113" s="104">
        <f>'Upload Detail'!O197</f>
        <v>3266.7984270833308</v>
      </c>
      <c r="P113" s="104">
        <f>'Upload Detail'!P197</f>
        <v>3266.7984270833308</v>
      </c>
      <c r="Q113" s="104">
        <f>'Upload Detail'!Q197</f>
        <v>3266.7984270833308</v>
      </c>
      <c r="R113" s="104">
        <f>'Upload Detail'!R197</f>
        <v>3266.7984270833308</v>
      </c>
      <c r="S113" s="104">
        <f>'Upload Detail'!S197</f>
        <v>3266.7984270833308</v>
      </c>
      <c r="T113" s="104">
        <f>'Upload Detail'!T197</f>
        <v>3266.7984270833308</v>
      </c>
      <c r="U113" s="104">
        <f>'Upload Detail'!U197</f>
        <v>3266.7984270833308</v>
      </c>
      <c r="V113" s="104">
        <f>'Upload Detail'!V197</f>
        <v>3758.7304633958297</v>
      </c>
      <c r="W113" s="104">
        <f>'Upload Detail'!W197</f>
        <v>3758.7304633958297</v>
      </c>
      <c r="Y113" s="1690"/>
    </row>
    <row r="114" spans="1:25">
      <c r="A114" t="s">
        <v>158</v>
      </c>
      <c r="B114" t="str">
        <f t="shared" si="2"/>
        <v>D10_11032</v>
      </c>
      <c r="C114" t="str">
        <f t="shared" si="3"/>
        <v>LE_XXXX</v>
      </c>
      <c r="D114" t="s">
        <v>2886</v>
      </c>
      <c r="E114" t="s">
        <v>159</v>
      </c>
      <c r="F114" t="s">
        <v>156</v>
      </c>
      <c r="G114" t="s">
        <v>2889</v>
      </c>
      <c r="H114" t="s">
        <v>154</v>
      </c>
      <c r="I114" t="s">
        <v>146</v>
      </c>
      <c r="J114" t="s">
        <v>147</v>
      </c>
      <c r="K114" t="str">
        <f>+"FY"&amp;RIGHT(YEAR('Hyperion Panel'!$B$9)+4,2)</f>
        <v>FY14</v>
      </c>
      <c r="L114" s="103">
        <f>'Upload Detail'!L198</f>
        <v>0.6</v>
      </c>
      <c r="M114" s="103">
        <f>'Upload Detail'!M198</f>
        <v>0.6</v>
      </c>
      <c r="N114" s="103">
        <f>'Upload Detail'!N198</f>
        <v>0.6</v>
      </c>
      <c r="O114" s="103">
        <f>'Upload Detail'!O198</f>
        <v>0.6</v>
      </c>
      <c r="P114" s="103">
        <f>'Upload Detail'!P198</f>
        <v>0.6</v>
      </c>
      <c r="Q114" s="103">
        <f>'Upload Detail'!Q198</f>
        <v>0.6</v>
      </c>
      <c r="R114" s="103">
        <f>'Upload Detail'!R198</f>
        <v>0.6</v>
      </c>
      <c r="S114" s="103">
        <f>'Upload Detail'!S198</f>
        <v>0.6</v>
      </c>
      <c r="T114" s="103">
        <f>'Upload Detail'!T198</f>
        <v>0.6</v>
      </c>
      <c r="U114" s="103">
        <f>'Upload Detail'!U198</f>
        <v>0.6</v>
      </c>
      <c r="V114" s="103">
        <f>'Upload Detail'!V198</f>
        <v>0.6</v>
      </c>
      <c r="W114" s="103">
        <f>'Upload Detail'!W198</f>
        <v>0.6</v>
      </c>
    </row>
    <row r="115" spans="1:25">
      <c r="A115" t="s">
        <v>160</v>
      </c>
      <c r="B115" t="str">
        <f t="shared" si="2"/>
        <v>D10_11032</v>
      </c>
      <c r="C115" t="str">
        <f t="shared" si="3"/>
        <v>LE_XXXX</v>
      </c>
      <c r="D115" t="s">
        <v>2886</v>
      </c>
      <c r="E115" t="s">
        <v>161</v>
      </c>
      <c r="F115" t="s">
        <v>156</v>
      </c>
      <c r="G115" t="s">
        <v>2889</v>
      </c>
      <c r="H115" t="s">
        <v>154</v>
      </c>
      <c r="I115" t="s">
        <v>146</v>
      </c>
      <c r="J115" t="s">
        <v>147</v>
      </c>
      <c r="K115" t="str">
        <f>+"FY"&amp;RIGHT(YEAR('Hyperion Panel'!$B$9)+4,2)</f>
        <v>FY14</v>
      </c>
      <c r="L115">
        <f>'Upload Detail'!L199</f>
        <v>0</v>
      </c>
      <c r="M115">
        <f>'Upload Detail'!M199</f>
        <v>0</v>
      </c>
      <c r="N115">
        <f>'Upload Detail'!N199</f>
        <v>0</v>
      </c>
      <c r="O115">
        <f>'Upload Detail'!O199</f>
        <v>0</v>
      </c>
      <c r="P115">
        <f>'Upload Detail'!P199</f>
        <v>0</v>
      </c>
      <c r="Q115">
        <f>'Upload Detail'!Q199</f>
        <v>0</v>
      </c>
      <c r="R115">
        <f>'Upload Detail'!R199</f>
        <v>0</v>
      </c>
      <c r="S115">
        <f>'Upload Detail'!S199</f>
        <v>0</v>
      </c>
      <c r="T115">
        <f>'Upload Detail'!T199</f>
        <v>0</v>
      </c>
      <c r="U115">
        <f>'Upload Detail'!U199</f>
        <v>0</v>
      </c>
      <c r="V115">
        <f>'Upload Detail'!V199</f>
        <v>0</v>
      </c>
      <c r="W115">
        <f>'Upload Detail'!W199</f>
        <v>0</v>
      </c>
    </row>
    <row r="116" spans="1:25" s="104" customFormat="1">
      <c r="A116" s="104" t="s">
        <v>735</v>
      </c>
      <c r="B116" s="104" t="str">
        <f t="shared" si="2"/>
        <v>D10_11032</v>
      </c>
      <c r="C116" s="104" t="str">
        <f t="shared" si="3"/>
        <v>LE_XXXX</v>
      </c>
      <c r="D116" s="104" t="s">
        <v>2886</v>
      </c>
      <c r="F116" s="104" t="s">
        <v>731</v>
      </c>
      <c r="G116" s="104" t="s">
        <v>2889</v>
      </c>
      <c r="H116" s="104" t="s">
        <v>154</v>
      </c>
      <c r="I116" s="104" t="s">
        <v>146</v>
      </c>
      <c r="J116" s="104" t="s">
        <v>147</v>
      </c>
      <c r="K116" t="str">
        <f>+"FY"&amp;RIGHT(YEAR('Hyperion Panel'!$B$9)+4,2)</f>
        <v>FY14</v>
      </c>
      <c r="L116" s="104">
        <f>'Upload Detail'!L200</f>
        <v>0</v>
      </c>
      <c r="M116" s="104">
        <f>'Upload Detail'!M200</f>
        <v>0</v>
      </c>
      <c r="N116" s="104">
        <f>'Upload Detail'!N200</f>
        <v>0</v>
      </c>
      <c r="O116" s="104">
        <f>'Upload Detail'!O200</f>
        <v>0</v>
      </c>
      <c r="P116" s="104">
        <f>'Upload Detail'!P200</f>
        <v>0</v>
      </c>
      <c r="Q116" s="104">
        <f>'Upload Detail'!Q200</f>
        <v>0</v>
      </c>
      <c r="R116" s="104">
        <f>'Upload Detail'!R200</f>
        <v>0</v>
      </c>
      <c r="S116" s="104">
        <f>'Upload Detail'!S200</f>
        <v>0</v>
      </c>
      <c r="T116" s="104">
        <f>'Upload Detail'!T200</f>
        <v>0</v>
      </c>
      <c r="U116" s="104">
        <f>'Upload Detail'!U200</f>
        <v>0</v>
      </c>
      <c r="V116" s="104">
        <f>'Upload Detail'!V200</f>
        <v>0</v>
      </c>
      <c r="W116" s="104">
        <f>'Upload Detail'!W200</f>
        <v>0</v>
      </c>
    </row>
    <row r="117" spans="1:25" s="4" customFormat="1">
      <c r="A117" s="4" t="s">
        <v>2885</v>
      </c>
      <c r="B117" s="4" t="str">
        <f t="shared" si="2"/>
        <v>D10_11032</v>
      </c>
      <c r="C117" s="4" t="str">
        <f t="shared" si="3"/>
        <v>LE_XXXX</v>
      </c>
      <c r="D117" s="4" t="s">
        <v>2886</v>
      </c>
      <c r="E117" s="4" t="s">
        <v>2887</v>
      </c>
      <c r="F117" s="4" t="s">
        <v>2888</v>
      </c>
      <c r="G117" s="4" t="s">
        <v>2889</v>
      </c>
      <c r="H117" s="4" t="s">
        <v>145</v>
      </c>
      <c r="I117" s="4" t="s">
        <v>146</v>
      </c>
      <c r="J117" s="4" t="s">
        <v>147</v>
      </c>
      <c r="K117" s="4" t="str">
        <f>+"FY"&amp;RIGHT(YEAR('Hyperion Panel'!$B$9)+5,2)</f>
        <v>FY15</v>
      </c>
      <c r="L117" s="4">
        <f>SUM('Upload Detail'!L203:L204)</f>
        <v>888.03000000000031</v>
      </c>
      <c r="M117" s="4">
        <f>SUM('Upload Detail'!M203:M204)</f>
        <v>897.00000000000023</v>
      </c>
      <c r="N117" s="4">
        <f>SUM('Upload Detail'!N203:N204)</f>
        <v>905.97000000000025</v>
      </c>
      <c r="O117" s="4">
        <f>SUM('Upload Detail'!O203:O204)</f>
        <v>914.94000000000028</v>
      </c>
      <c r="P117" s="4">
        <f>SUM('Upload Detail'!P203:P204)</f>
        <v>923.91000000000031</v>
      </c>
      <c r="Q117" s="4">
        <f>SUM('Upload Detail'!Q203:Q204)</f>
        <v>932.88000000000045</v>
      </c>
      <c r="R117" s="4">
        <f>SUM('Upload Detail'!R203:R204)</f>
        <v>941.85000000000036</v>
      </c>
      <c r="S117" s="4">
        <f>SUM('Upload Detail'!S203:S204)</f>
        <v>950.82000000000062</v>
      </c>
      <c r="T117" s="4">
        <f>SUM('Upload Detail'!T203:T204)</f>
        <v>959.79000000000053</v>
      </c>
      <c r="U117" s="4">
        <f>SUM('Upload Detail'!U203:U204)</f>
        <v>968.76000000000045</v>
      </c>
      <c r="V117" s="4">
        <f>SUM('Upload Detail'!V203:V204)</f>
        <v>0</v>
      </c>
      <c r="W117" s="4">
        <f>SUM('Upload Detail'!W203:W204)</f>
        <v>0</v>
      </c>
    </row>
    <row r="118" spans="1:25" s="4" customFormat="1">
      <c r="A118" s="4" t="s">
        <v>148</v>
      </c>
      <c r="B118" s="4" t="str">
        <f t="shared" si="2"/>
        <v>D10_11032</v>
      </c>
      <c r="C118" s="4" t="str">
        <f t="shared" si="3"/>
        <v>LE_XXXX</v>
      </c>
      <c r="D118" s="4" t="s">
        <v>2886</v>
      </c>
      <c r="E118" s="4" t="s">
        <v>149</v>
      </c>
      <c r="F118" s="4" t="s">
        <v>150</v>
      </c>
      <c r="G118" s="4" t="s">
        <v>2889</v>
      </c>
      <c r="H118" s="4" t="s">
        <v>145</v>
      </c>
      <c r="I118" s="4" t="s">
        <v>146</v>
      </c>
      <c r="J118" s="4" t="s">
        <v>147</v>
      </c>
      <c r="K118" s="4" t="str">
        <f>+"FY"&amp;RIGHT(YEAR('Hyperion Panel'!$B$9)+5,2)</f>
        <v>FY15</v>
      </c>
      <c r="L118" s="4">
        <f>SUM('Upload Detail'!L206:L207)</f>
        <v>280.96249999999992</v>
      </c>
      <c r="M118" s="4">
        <f>SUM('Upload Detail'!M206:M207)</f>
        <v>284.04999999999995</v>
      </c>
      <c r="N118" s="4">
        <f>SUM('Upload Detail'!N206:N207)</f>
        <v>287.13749999999999</v>
      </c>
      <c r="O118" s="4">
        <f>SUM('Upload Detail'!O206:O207)</f>
        <v>290.22500000000002</v>
      </c>
      <c r="P118" s="4">
        <f>SUM('Upload Detail'!P206:P207)</f>
        <v>293.3125</v>
      </c>
      <c r="Q118" s="4">
        <f>SUM('Upload Detail'!Q206:Q207)</f>
        <v>296.40000000000003</v>
      </c>
      <c r="R118" s="4">
        <f>SUM('Upload Detail'!R206:R207)</f>
        <v>299.48750000000007</v>
      </c>
      <c r="S118" s="4">
        <f>SUM('Upload Detail'!S206:S207)</f>
        <v>302.5750000000001</v>
      </c>
      <c r="T118" s="4">
        <f>SUM('Upload Detail'!T206:T207)</f>
        <v>305.66250000000014</v>
      </c>
      <c r="U118" s="4">
        <f>SUM('Upload Detail'!U206:U207)</f>
        <v>308.75000000000011</v>
      </c>
      <c r="V118" s="4">
        <f>SUM('Upload Detail'!V206:V207)</f>
        <v>0</v>
      </c>
      <c r="W118" s="4">
        <f>SUM('Upload Detail'!W206:W207)</f>
        <v>0</v>
      </c>
    </row>
    <row r="119" spans="1:25" s="4" customFormat="1">
      <c r="A119" s="1689" t="s">
        <v>169</v>
      </c>
      <c r="B119" s="1689" t="str">
        <f>+$B$2</f>
        <v>D10_11032</v>
      </c>
      <c r="C119" s="1689" t="str">
        <f>+$C$2</f>
        <v>LE_XXXX</v>
      </c>
      <c r="D119" s="1689" t="s">
        <v>2886</v>
      </c>
      <c r="E119" s="1689" t="s">
        <v>719</v>
      </c>
      <c r="F119" s="1689" t="s">
        <v>731</v>
      </c>
      <c r="G119" s="1689" t="s">
        <v>2889</v>
      </c>
      <c r="H119" s="1689" t="s">
        <v>145</v>
      </c>
      <c r="I119" s="1689" t="s">
        <v>146</v>
      </c>
      <c r="J119" s="1689" t="s">
        <v>147</v>
      </c>
      <c r="K119" s="4" t="str">
        <f>+"FY"&amp;RIGHT(YEAR('Hyperion Panel'!$B$9)+5,2)</f>
        <v>FY15</v>
      </c>
      <c r="L119" s="1689">
        <f>SUM('Upload Detail'!L209:L210)</f>
        <v>131.51666666666654</v>
      </c>
      <c r="M119" s="1689">
        <f>SUM('Upload Detail'!M209:M210)</f>
        <v>132.59999999999985</v>
      </c>
      <c r="N119" s="1689">
        <f>SUM('Upload Detail'!N209:N210)</f>
        <v>133.68333333333322</v>
      </c>
      <c r="O119" s="1689">
        <f>SUM('Upload Detail'!O209:O210)</f>
        <v>134.76666666666654</v>
      </c>
      <c r="P119" s="1689">
        <f>SUM('Upload Detail'!P209:P210)</f>
        <v>135.84999999999985</v>
      </c>
      <c r="Q119" s="1689">
        <f>SUM('Upload Detail'!Q209:Q210)</f>
        <v>136.93333333333322</v>
      </c>
      <c r="R119" s="1689">
        <f>SUM('Upload Detail'!R209:R210)</f>
        <v>138.01666666666654</v>
      </c>
      <c r="S119" s="1689">
        <f>SUM('Upload Detail'!S209:S210)</f>
        <v>139.09999999999985</v>
      </c>
      <c r="T119" s="1689">
        <f>SUM('Upload Detail'!T209:T210)</f>
        <v>140.18333333333317</v>
      </c>
      <c r="U119" s="1689">
        <f>SUM('Upload Detail'!U209:U210)</f>
        <v>141.26666666666648</v>
      </c>
      <c r="V119" s="1689">
        <f>SUM('Upload Detail'!V209:V210)</f>
        <v>0</v>
      </c>
      <c r="W119" s="1689">
        <f>SUM('Upload Detail'!W209:W210)</f>
        <v>0</v>
      </c>
    </row>
    <row r="120" spans="1:25" s="4" customFormat="1">
      <c r="A120" s="4" t="s">
        <v>151</v>
      </c>
      <c r="B120" s="4" t="str">
        <f t="shared" si="2"/>
        <v>D10_11032</v>
      </c>
      <c r="C120" s="4" t="str">
        <f t="shared" si="3"/>
        <v>LE_XXXX</v>
      </c>
      <c r="D120" s="4" t="s">
        <v>2886</v>
      </c>
      <c r="E120" s="4">
        <v>3010</v>
      </c>
      <c r="F120" s="4" t="s">
        <v>2888</v>
      </c>
      <c r="G120" s="4" t="s">
        <v>2889</v>
      </c>
      <c r="H120" s="4" t="s">
        <v>145</v>
      </c>
      <c r="I120" s="4" t="s">
        <v>146</v>
      </c>
      <c r="J120" s="4" t="s">
        <v>147</v>
      </c>
      <c r="K120" s="4" t="str">
        <f>+"FY"&amp;RIGHT(YEAR('Hyperion Panel'!$B$9)+5,2)</f>
        <v>FY15</v>
      </c>
      <c r="L120" s="4">
        <f>SUM('Upload Detail'!L216:L217)</f>
        <v>307628.3570072492</v>
      </c>
      <c r="M120" s="4">
        <f>SUM('Upload Detail'!M216:M217)</f>
        <v>310838.38076745044</v>
      </c>
      <c r="N120" s="4">
        <f>SUM('Upload Detail'!N216:N217)</f>
        <v>314048.40452765167</v>
      </c>
      <c r="O120" s="4">
        <f>SUM('Upload Detail'!O216:O217)</f>
        <v>317258.42828785296</v>
      </c>
      <c r="P120" s="4">
        <f>SUM('Upload Detail'!P216:P217)</f>
        <v>320468.4520480542</v>
      </c>
      <c r="Q120" s="4">
        <f>SUM('Upload Detail'!Q216:Q217)</f>
        <v>323678.47580825555</v>
      </c>
      <c r="R120" s="4">
        <f>SUM('Upload Detail'!R216:R217)</f>
        <v>326888.49956845678</v>
      </c>
      <c r="S120" s="4">
        <f>SUM('Upload Detail'!S216:S217)</f>
        <v>330098.52332865808</v>
      </c>
      <c r="T120" s="4">
        <f>SUM('Upload Detail'!T216:T217)</f>
        <v>333308.54708885937</v>
      </c>
      <c r="U120" s="4">
        <f>SUM('Upload Detail'!U216:U217)</f>
        <v>336518.5708490606</v>
      </c>
      <c r="V120" s="4">
        <f>SUM('Upload Detail'!V216:V217)</f>
        <v>0</v>
      </c>
      <c r="W120" s="4">
        <f>SUM('Upload Detail'!W216:W217)</f>
        <v>0</v>
      </c>
    </row>
    <row r="121" spans="1:25" s="4" customFormat="1">
      <c r="A121" s="4" t="s">
        <v>152</v>
      </c>
      <c r="B121" s="4" t="str">
        <f t="shared" si="2"/>
        <v>D10_11032</v>
      </c>
      <c r="C121" s="4" t="str">
        <f t="shared" si="3"/>
        <v>LE_XXXX</v>
      </c>
      <c r="D121" s="4" t="s">
        <v>2886</v>
      </c>
      <c r="E121" s="4">
        <v>3030</v>
      </c>
      <c r="F121" s="4" t="s">
        <v>150</v>
      </c>
      <c r="G121" s="4" t="s">
        <v>2889</v>
      </c>
      <c r="H121" s="4" t="s">
        <v>145</v>
      </c>
      <c r="I121" s="4" t="s">
        <v>146</v>
      </c>
      <c r="J121" s="4" t="s">
        <v>147</v>
      </c>
      <c r="K121" s="4" t="str">
        <f>+"FY"&amp;RIGHT(YEAR('Hyperion Panel'!$B$9)+5,2)</f>
        <v>FY15</v>
      </c>
      <c r="L121" s="4">
        <f>SUM('Upload Detail'!L219:L220)</f>
        <v>106470.39269144779</v>
      </c>
      <c r="M121" s="4">
        <f>SUM('Upload Detail'!M219:M220)</f>
        <v>108144.22209976184</v>
      </c>
      <c r="N121" s="4">
        <f>SUM('Upload Detail'!N219:N220)</f>
        <v>109818.05150807588</v>
      </c>
      <c r="O121" s="4">
        <f>SUM('Upload Detail'!O219:O220)</f>
        <v>111491.88091638993</v>
      </c>
      <c r="P121" s="4">
        <f>SUM('Upload Detail'!P219:P220)</f>
        <v>113165.71032470395</v>
      </c>
      <c r="Q121" s="4">
        <f>SUM('Upload Detail'!Q219:Q220)</f>
        <v>114839.539733018</v>
      </c>
      <c r="R121" s="4">
        <f>SUM('Upload Detail'!R219:R220)</f>
        <v>116513.36914133202</v>
      </c>
      <c r="S121" s="4">
        <f>SUM('Upload Detail'!S219:S220)</f>
        <v>118187.19854964607</v>
      </c>
      <c r="T121" s="4">
        <f>SUM('Upload Detail'!T219:T220)</f>
        <v>119861.02795796012</v>
      </c>
      <c r="U121" s="4">
        <f>SUM('Upload Detail'!U219:U220)</f>
        <v>121534.85736627414</v>
      </c>
      <c r="V121" s="4">
        <f>SUM('Upload Detail'!V219:V220)</f>
        <v>0</v>
      </c>
      <c r="W121" s="4">
        <f>SUM('Upload Detail'!W219:W220)</f>
        <v>0</v>
      </c>
    </row>
    <row r="122" spans="1:25" s="4" customFormat="1">
      <c r="A122" s="1689" t="s">
        <v>170</v>
      </c>
      <c r="B122" s="1689" t="str">
        <f>+$B$2</f>
        <v>D10_11032</v>
      </c>
      <c r="C122" s="1689" t="str">
        <f t="shared" si="3"/>
        <v>LE_XXXX</v>
      </c>
      <c r="D122" s="1689" t="s">
        <v>2886</v>
      </c>
      <c r="E122" s="1689">
        <v>3050</v>
      </c>
      <c r="F122" s="1689" t="s">
        <v>731</v>
      </c>
      <c r="G122" s="1689" t="s">
        <v>2889</v>
      </c>
      <c r="H122" s="1689" t="s">
        <v>145</v>
      </c>
      <c r="I122" s="1689" t="s">
        <v>146</v>
      </c>
      <c r="J122" s="1689" t="s">
        <v>147</v>
      </c>
      <c r="K122" s="4" t="str">
        <f>+"FY"&amp;RIGHT(YEAR('Hyperion Panel'!$B$9)+5,2)</f>
        <v>FY15</v>
      </c>
      <c r="L122" s="1689">
        <f>SUM('Upload Detail'!L222:L223)</f>
        <v>24972.550671294932</v>
      </c>
      <c r="M122" s="1689">
        <f>SUM('Upload Detail'!M222:M223)</f>
        <v>25259.591483608663</v>
      </c>
      <c r="N122" s="1689">
        <f>SUM('Upload Detail'!N222:N223)</f>
        <v>25546.632295922402</v>
      </c>
      <c r="O122" s="1689">
        <f>SUM('Upload Detail'!O222:O223)</f>
        <v>25833.673108236137</v>
      </c>
      <c r="P122" s="1689">
        <f>SUM('Upload Detail'!P222:P223)</f>
        <v>26120.713920549868</v>
      </c>
      <c r="Q122" s="1689">
        <f>SUM('Upload Detail'!Q222:Q223)</f>
        <v>26407.754732863606</v>
      </c>
      <c r="R122" s="1689">
        <f>SUM('Upload Detail'!R222:R223)</f>
        <v>26694.795545177338</v>
      </c>
      <c r="S122" s="1689">
        <f>SUM('Upload Detail'!S222:S223)</f>
        <v>26981.836357491065</v>
      </c>
      <c r="T122" s="1689">
        <f>SUM('Upload Detail'!T222:T223)</f>
        <v>27268.877169804804</v>
      </c>
      <c r="U122" s="1689">
        <f>SUM('Upload Detail'!U222:U223)</f>
        <v>27555.917982118535</v>
      </c>
      <c r="V122" s="1689">
        <f>SUM('Upload Detail'!V222:V223)</f>
        <v>0</v>
      </c>
      <c r="W122" s="1689">
        <f>SUM('Upload Detail'!W222:W223)</f>
        <v>0</v>
      </c>
    </row>
    <row r="123" spans="1:25">
      <c r="A123" t="s">
        <v>2651</v>
      </c>
      <c r="B123" t="str">
        <f t="shared" si="2"/>
        <v>D10_11032</v>
      </c>
      <c r="C123" t="str">
        <f t="shared" si="3"/>
        <v>LE_XXXX</v>
      </c>
      <c r="D123" t="s">
        <v>2886</v>
      </c>
      <c r="E123">
        <v>6010</v>
      </c>
      <c r="F123" t="s">
        <v>2888</v>
      </c>
      <c r="G123" t="s">
        <v>153</v>
      </c>
      <c r="H123" t="s">
        <v>154</v>
      </c>
      <c r="I123" t="s">
        <v>146</v>
      </c>
      <c r="J123" t="s">
        <v>147</v>
      </c>
      <c r="K123" t="str">
        <f>+"FY"&amp;RIGHT(YEAR('Hyperion Panel'!$B$9)+5,2)</f>
        <v>FY15</v>
      </c>
      <c r="L123">
        <f>'Upload Detail'!L224</f>
        <v>52459.917791806925</v>
      </c>
      <c r="M123">
        <f>'Upload Detail'!M224</f>
        <v>52989.992514885889</v>
      </c>
      <c r="N123">
        <f>'Upload Detail'!N224</f>
        <v>53520.067237964868</v>
      </c>
      <c r="O123">
        <f>'Upload Detail'!O224</f>
        <v>54050.141961043839</v>
      </c>
      <c r="P123">
        <f>'Upload Detail'!P224</f>
        <v>54580.216684122825</v>
      </c>
      <c r="Q123">
        <f>'Upload Detail'!Q224</f>
        <v>55110.291407201803</v>
      </c>
      <c r="R123">
        <f>'Upload Detail'!R224</f>
        <v>55640.366130280767</v>
      </c>
      <c r="S123">
        <f>'Upload Detail'!S224</f>
        <v>56170.440853359767</v>
      </c>
      <c r="T123">
        <f>'Upload Detail'!T224</f>
        <v>56700.515576438738</v>
      </c>
      <c r="U123">
        <f>'Upload Detail'!U224</f>
        <v>57230.590299517709</v>
      </c>
      <c r="V123">
        <f>'Upload Detail'!V224</f>
        <v>0</v>
      </c>
      <c r="W123">
        <f>'Upload Detail'!W224</f>
        <v>0</v>
      </c>
    </row>
    <row r="124" spans="1:25">
      <c r="A124" t="s">
        <v>2652</v>
      </c>
      <c r="B124" t="str">
        <f t="shared" si="2"/>
        <v>D10_11032</v>
      </c>
      <c r="C124" t="str">
        <f t="shared" si="3"/>
        <v>LE_XXXX</v>
      </c>
      <c r="D124" t="s">
        <v>2886</v>
      </c>
      <c r="E124">
        <v>6010</v>
      </c>
      <c r="F124" t="s">
        <v>2888</v>
      </c>
      <c r="G124" t="s">
        <v>155</v>
      </c>
      <c r="H124" t="s">
        <v>154</v>
      </c>
      <c r="I124" t="s">
        <v>146</v>
      </c>
      <c r="J124" t="s">
        <v>147</v>
      </c>
      <c r="K124" t="str">
        <f>+"FY"&amp;RIGHT(YEAR('Hyperion Panel'!$B$9)+5,2)</f>
        <v>FY15</v>
      </c>
      <c r="L124">
        <f>'Upload Detail'!L225</f>
        <v>29672.789210305549</v>
      </c>
      <c r="M124">
        <f>'Upload Detail'!M225</f>
        <v>29672.789210305549</v>
      </c>
      <c r="N124">
        <f>'Upload Detail'!N225</f>
        <v>29672.789210305549</v>
      </c>
      <c r="O124">
        <f>'Upload Detail'!O225</f>
        <v>29672.789210305549</v>
      </c>
      <c r="P124">
        <f>'Upload Detail'!P225</f>
        <v>29672.789210305549</v>
      </c>
      <c r="Q124">
        <f>'Upload Detail'!Q225</f>
        <v>29672.789210305549</v>
      </c>
      <c r="R124">
        <f>'Upload Detail'!R225</f>
        <v>29672.789210305549</v>
      </c>
      <c r="S124">
        <f>'Upload Detail'!S225</f>
        <v>29672.789210305549</v>
      </c>
      <c r="T124">
        <f>'Upload Detail'!T225</f>
        <v>29672.789210305549</v>
      </c>
      <c r="U124">
        <f>'Upload Detail'!U225</f>
        <v>29672.789210305549</v>
      </c>
      <c r="V124">
        <f>'Upload Detail'!V225</f>
        <v>0</v>
      </c>
      <c r="W124">
        <f>'Upload Detail'!W225</f>
        <v>0</v>
      </c>
    </row>
    <row r="125" spans="1:25">
      <c r="A125" t="s">
        <v>2653</v>
      </c>
      <c r="B125" t="str">
        <f t="shared" si="2"/>
        <v>D10_11032</v>
      </c>
      <c r="C125" t="str">
        <f t="shared" si="3"/>
        <v>LE_XXXX</v>
      </c>
      <c r="D125" t="s">
        <v>2886</v>
      </c>
      <c r="E125">
        <v>6051</v>
      </c>
      <c r="F125" t="s">
        <v>2888</v>
      </c>
      <c r="G125" t="s">
        <v>153</v>
      </c>
      <c r="H125" t="s">
        <v>154</v>
      </c>
      <c r="I125" t="s">
        <v>146</v>
      </c>
      <c r="J125" t="s">
        <v>147</v>
      </c>
      <c r="K125" t="str">
        <f>+"FY"&amp;RIGHT(YEAR('Hyperion Panel'!$B$9)+5,2)</f>
        <v>FY15</v>
      </c>
      <c r="L125">
        <f>'Upload Detail'!L226</f>
        <v>32755.307727826661</v>
      </c>
      <c r="M125">
        <f>'Upload Detail'!M226</f>
        <v>32755.307727826661</v>
      </c>
      <c r="N125">
        <f>'Upload Detail'!N226</f>
        <v>32755.307727826661</v>
      </c>
      <c r="O125">
        <f>'Upload Detail'!O226</f>
        <v>32755.307727826661</v>
      </c>
      <c r="P125">
        <f>'Upload Detail'!P226</f>
        <v>32755.307727826661</v>
      </c>
      <c r="Q125">
        <f>'Upload Detail'!Q226</f>
        <v>32755.307727826661</v>
      </c>
      <c r="R125">
        <f>'Upload Detail'!R226</f>
        <v>32755.307727826661</v>
      </c>
      <c r="S125">
        <f>'Upload Detail'!S226</f>
        <v>32755.307727826661</v>
      </c>
      <c r="T125">
        <f>'Upload Detail'!T226</f>
        <v>32755.307727826661</v>
      </c>
      <c r="U125">
        <f>'Upload Detail'!U226</f>
        <v>32755.307727826661</v>
      </c>
      <c r="V125">
        <f>'Upload Detail'!V226</f>
        <v>0</v>
      </c>
      <c r="W125">
        <f>'Upload Detail'!W226</f>
        <v>0</v>
      </c>
    </row>
    <row r="126" spans="1:25">
      <c r="A126" t="s">
        <v>2654</v>
      </c>
      <c r="B126" t="str">
        <f t="shared" si="2"/>
        <v>D10_11032</v>
      </c>
      <c r="C126" t="str">
        <f t="shared" si="3"/>
        <v>LE_XXXX</v>
      </c>
      <c r="D126" t="s">
        <v>2886</v>
      </c>
      <c r="E126">
        <v>6011</v>
      </c>
      <c r="F126" t="s">
        <v>2888</v>
      </c>
      <c r="G126" t="s">
        <v>153</v>
      </c>
      <c r="H126" t="s">
        <v>154</v>
      </c>
      <c r="I126" t="s">
        <v>146</v>
      </c>
      <c r="J126" t="s">
        <v>147</v>
      </c>
      <c r="K126" t="str">
        <f>+"FY"&amp;RIGHT(YEAR('Hyperion Panel'!$B$9)+5,2)</f>
        <v>FY15</v>
      </c>
      <c r="L126">
        <f>'Upload Detail'!L227</f>
        <v>0</v>
      </c>
      <c r="M126">
        <f>'Upload Detail'!M227</f>
        <v>0</v>
      </c>
      <c r="N126">
        <f>'Upload Detail'!N227</f>
        <v>0</v>
      </c>
      <c r="O126">
        <f>'Upload Detail'!O227</f>
        <v>0</v>
      </c>
      <c r="P126">
        <f>'Upload Detail'!P227</f>
        <v>0</v>
      </c>
      <c r="Q126">
        <f>'Upload Detail'!Q227</f>
        <v>0</v>
      </c>
      <c r="R126">
        <f>'Upload Detail'!R227</f>
        <v>0</v>
      </c>
      <c r="S126">
        <f>'Upload Detail'!S227</f>
        <v>0</v>
      </c>
      <c r="T126">
        <f>'Upload Detail'!T227</f>
        <v>0</v>
      </c>
      <c r="U126">
        <f>'Upload Detail'!U227</f>
        <v>0</v>
      </c>
      <c r="V126">
        <f>'Upload Detail'!V227</f>
        <v>0</v>
      </c>
      <c r="W126">
        <f>'Upload Detail'!W227</f>
        <v>0</v>
      </c>
    </row>
    <row r="127" spans="1:25">
      <c r="A127" t="s">
        <v>3696</v>
      </c>
      <c r="B127" t="str">
        <f t="shared" si="2"/>
        <v>D10_11032</v>
      </c>
      <c r="C127" t="str">
        <f t="shared" si="3"/>
        <v>LE_XXXX</v>
      </c>
      <c r="D127" t="s">
        <v>2886</v>
      </c>
      <c r="E127">
        <v>6600</v>
      </c>
      <c r="F127" t="s">
        <v>2888</v>
      </c>
      <c r="G127" t="s">
        <v>2889</v>
      </c>
      <c r="H127" t="s">
        <v>154</v>
      </c>
      <c r="I127" t="s">
        <v>146</v>
      </c>
      <c r="J127" t="s">
        <v>147</v>
      </c>
      <c r="K127" t="str">
        <f>+"FY"&amp;RIGHT(YEAR('Hyperion Panel'!$B$9)+5,2)</f>
        <v>FY15</v>
      </c>
      <c r="L127">
        <f>'Upload Detail'!L228</f>
        <v>79303.901955897323</v>
      </c>
      <c r="M127">
        <f>'Upload Detail'!M228</f>
        <v>80121.877090753391</v>
      </c>
      <c r="N127">
        <f>'Upload Detail'!N228</f>
        <v>80939.852225609473</v>
      </c>
      <c r="O127">
        <f>'Upload Detail'!O228</f>
        <v>81757.827360465526</v>
      </c>
      <c r="P127">
        <f>'Upload Detail'!P228</f>
        <v>82575.802495321608</v>
      </c>
      <c r="Q127">
        <f>'Upload Detail'!Q228</f>
        <v>83393.777630177676</v>
      </c>
      <c r="R127">
        <f>'Upload Detail'!R228</f>
        <v>84211.752765033743</v>
      </c>
      <c r="S127">
        <f>'Upload Detail'!S228</f>
        <v>85029.727899889825</v>
      </c>
      <c r="T127">
        <f>'Upload Detail'!T228</f>
        <v>85847.703034745908</v>
      </c>
      <c r="U127">
        <f>'Upload Detail'!U228</f>
        <v>86665.678169601961</v>
      </c>
      <c r="V127">
        <f>'Upload Detail'!V228</f>
        <v>0</v>
      </c>
      <c r="W127">
        <f>'Upload Detail'!W228</f>
        <v>0</v>
      </c>
    </row>
    <row r="128" spans="1:25">
      <c r="A128" t="s">
        <v>1381</v>
      </c>
      <c r="B128" t="str">
        <f t="shared" si="2"/>
        <v>D10_11032</v>
      </c>
      <c r="C128" t="str">
        <f t="shared" si="3"/>
        <v>LE_XXXX</v>
      </c>
      <c r="D128" t="s">
        <v>2886</v>
      </c>
      <c r="E128">
        <v>6800</v>
      </c>
      <c r="F128" t="s">
        <v>156</v>
      </c>
      <c r="G128" t="s">
        <v>2889</v>
      </c>
      <c r="H128" t="s">
        <v>154</v>
      </c>
      <c r="I128" t="s">
        <v>146</v>
      </c>
      <c r="J128" t="s">
        <v>147</v>
      </c>
      <c r="K128" t="str">
        <f>+"FY"&amp;RIGHT(YEAR('Hyperion Panel'!$B$9)+5,2)</f>
        <v>FY15</v>
      </c>
      <c r="L128">
        <f>'Upload Detail'!L229</f>
        <v>30558.781485236799</v>
      </c>
      <c r="M128">
        <f>'Upload Detail'!M229</f>
        <v>30873.978124871563</v>
      </c>
      <c r="N128">
        <f>'Upload Detail'!N229</f>
        <v>31189.17476450633</v>
      </c>
      <c r="O128">
        <f>'Upload Detail'!O229</f>
        <v>31504.371404141089</v>
      </c>
      <c r="P128">
        <f>'Upload Detail'!P229</f>
        <v>31819.56804377586</v>
      </c>
      <c r="Q128">
        <f>'Upload Detail'!Q229</f>
        <v>32134.764683410627</v>
      </c>
      <c r="R128">
        <f>'Upload Detail'!R229</f>
        <v>32449.961323045387</v>
      </c>
      <c r="S128">
        <f>'Upload Detail'!S229</f>
        <v>32765.157962680161</v>
      </c>
      <c r="T128">
        <f>'Upload Detail'!T229</f>
        <v>33080.354602314932</v>
      </c>
      <c r="U128">
        <f>'Upload Detail'!U229</f>
        <v>33395.551241949688</v>
      </c>
      <c r="V128">
        <f>'Upload Detail'!V229</f>
        <v>0</v>
      </c>
      <c r="W128">
        <f>'Upload Detail'!W229</f>
        <v>0</v>
      </c>
    </row>
    <row r="129" spans="1:25">
      <c r="A129" t="s">
        <v>3697</v>
      </c>
      <c r="B129" t="str">
        <f t="shared" si="2"/>
        <v>D10_11032</v>
      </c>
      <c r="C129" t="str">
        <f t="shared" si="3"/>
        <v>LE_XXXX</v>
      </c>
      <c r="D129" t="s">
        <v>2886</v>
      </c>
      <c r="E129">
        <v>8600</v>
      </c>
      <c r="F129" t="s">
        <v>156</v>
      </c>
      <c r="G129" t="s">
        <v>2889</v>
      </c>
      <c r="H129" t="s">
        <v>154</v>
      </c>
      <c r="I129" t="s">
        <v>146</v>
      </c>
      <c r="J129" t="s">
        <v>147</v>
      </c>
      <c r="K129" t="str">
        <f>+"FY"&amp;RIGHT(YEAR('Hyperion Panel'!$B$9)+5,2)</f>
        <v>FY15</v>
      </c>
      <c r="L129">
        <f>'Upload Detail'!L230</f>
        <v>23176.315342251357</v>
      </c>
      <c r="M129">
        <f>'Upload Detail'!M230</f>
        <v>23176.315342251357</v>
      </c>
      <c r="N129">
        <f>'Upload Detail'!N230</f>
        <v>23176.315342251357</v>
      </c>
      <c r="O129">
        <f>'Upload Detail'!O230</f>
        <v>23176.315342251357</v>
      </c>
      <c r="P129">
        <f>'Upload Detail'!P230</f>
        <v>23176.315342251357</v>
      </c>
      <c r="Q129">
        <f>'Upload Detail'!Q230</f>
        <v>23176.315342251357</v>
      </c>
      <c r="R129">
        <f>'Upload Detail'!R230</f>
        <v>23176.315342251357</v>
      </c>
      <c r="S129">
        <f>'Upload Detail'!S230</f>
        <v>23176.315342251357</v>
      </c>
      <c r="T129">
        <f>'Upload Detail'!T230</f>
        <v>23176.315342251357</v>
      </c>
      <c r="U129">
        <f>'Upload Detail'!U230</f>
        <v>23176.315342251357</v>
      </c>
      <c r="V129">
        <f>'Upload Detail'!V230</f>
        <v>0</v>
      </c>
      <c r="W129">
        <f>'Upload Detail'!W230</f>
        <v>0</v>
      </c>
    </row>
    <row r="130" spans="1:25">
      <c r="A130" t="s">
        <v>157</v>
      </c>
      <c r="B130" t="str">
        <f t="shared" si="2"/>
        <v>D10_11032</v>
      </c>
      <c r="C130" t="str">
        <f t="shared" si="3"/>
        <v>LE_XXXX</v>
      </c>
      <c r="D130" t="s">
        <v>2886</v>
      </c>
      <c r="E130">
        <v>6720</v>
      </c>
      <c r="F130" t="s">
        <v>156</v>
      </c>
      <c r="G130" t="s">
        <v>2889</v>
      </c>
      <c r="H130" t="s">
        <v>154</v>
      </c>
      <c r="I130" t="s">
        <v>146</v>
      </c>
      <c r="J130" t="s">
        <v>147</v>
      </c>
      <c r="K130" t="str">
        <f>+"FY"&amp;RIGHT(YEAR('Hyperion Panel'!$B$9)+5,2)</f>
        <v>FY15</v>
      </c>
      <c r="L130">
        <f>'Upload Detail'!L231</f>
        <v>14118.416666666666</v>
      </c>
      <c r="M130">
        <f>'Upload Detail'!M231</f>
        <v>14118.416666666666</v>
      </c>
      <c r="N130">
        <f>'Upload Detail'!N231</f>
        <v>14118.416666666666</v>
      </c>
      <c r="O130">
        <f>'Upload Detail'!O231</f>
        <v>14118.416666666666</v>
      </c>
      <c r="P130">
        <f>'Upload Detail'!P231</f>
        <v>14118.416666666666</v>
      </c>
      <c r="Q130">
        <f>'Upload Detail'!Q231</f>
        <v>14118.416666666666</v>
      </c>
      <c r="R130">
        <f>'Upload Detail'!R231</f>
        <v>14118.416666666666</v>
      </c>
      <c r="S130">
        <f>'Upload Detail'!S231</f>
        <v>14118.416666666666</v>
      </c>
      <c r="T130">
        <f>'Upload Detail'!T231</f>
        <v>14118.416666666666</v>
      </c>
      <c r="U130">
        <f>'Upload Detail'!U231</f>
        <v>14118.416666666666</v>
      </c>
      <c r="V130">
        <f>'Upload Detail'!V231</f>
        <v>0</v>
      </c>
      <c r="W130">
        <f>'Upload Detail'!W231</f>
        <v>0</v>
      </c>
    </row>
    <row r="131" spans="1:25">
      <c r="A131" t="s">
        <v>3925</v>
      </c>
      <c r="B131" t="str">
        <f t="shared" si="2"/>
        <v>D10_11032</v>
      </c>
      <c r="C131" t="str">
        <f t="shared" si="3"/>
        <v>LE_XXXX</v>
      </c>
      <c r="D131" t="s">
        <v>2886</v>
      </c>
      <c r="E131">
        <v>8110</v>
      </c>
      <c r="F131" t="s">
        <v>156</v>
      </c>
      <c r="G131" t="s">
        <v>2889</v>
      </c>
      <c r="H131" t="s">
        <v>154</v>
      </c>
      <c r="I131" t="s">
        <v>146</v>
      </c>
      <c r="J131" t="s">
        <v>147</v>
      </c>
      <c r="K131" t="str">
        <f>+"FY"&amp;RIGHT(YEAR('Hyperion Panel'!$B$9)+5,2)</f>
        <v>FY15</v>
      </c>
      <c r="L131">
        <f>'Upload Detail'!L232</f>
        <v>1489.3779297113299</v>
      </c>
      <c r="M131">
        <f>'Upload Detail'!M232</f>
        <v>1489.3779297113299</v>
      </c>
      <c r="N131">
        <f>'Upload Detail'!N232</f>
        <v>1489.3779297113299</v>
      </c>
      <c r="O131">
        <f>'Upload Detail'!O232</f>
        <v>1489.3779297113299</v>
      </c>
      <c r="P131">
        <f>'Upload Detail'!P232</f>
        <v>1489.3779297113299</v>
      </c>
      <c r="Q131">
        <f>'Upload Detail'!Q232</f>
        <v>1489.3779297113299</v>
      </c>
      <c r="R131">
        <f>'Upload Detail'!R232</f>
        <v>1489.3779297113299</v>
      </c>
      <c r="S131">
        <f>'Upload Detail'!S232</f>
        <v>1489.3779297113299</v>
      </c>
      <c r="T131">
        <f>'Upload Detail'!T232</f>
        <v>1489.3779297113299</v>
      </c>
      <c r="U131">
        <f>'Upload Detail'!U232</f>
        <v>1489.3779297113299</v>
      </c>
      <c r="V131">
        <f>'Upload Detail'!V232</f>
        <v>0</v>
      </c>
      <c r="W131">
        <f>'Upload Detail'!W232</f>
        <v>0</v>
      </c>
    </row>
    <row r="132" spans="1:25">
      <c r="A132" t="s">
        <v>3926</v>
      </c>
      <c r="B132" t="str">
        <f t="shared" si="2"/>
        <v>D10_11032</v>
      </c>
      <c r="C132" t="str">
        <f t="shared" si="3"/>
        <v>LE_XXXX</v>
      </c>
      <c r="D132" t="s">
        <v>2886</v>
      </c>
      <c r="E132">
        <v>6412</v>
      </c>
      <c r="F132" t="s">
        <v>156</v>
      </c>
      <c r="G132" t="s">
        <v>2889</v>
      </c>
      <c r="H132" t="s">
        <v>154</v>
      </c>
      <c r="I132" t="s">
        <v>146</v>
      </c>
      <c r="J132" t="s">
        <v>147</v>
      </c>
      <c r="K132" t="str">
        <f>+"FY"&amp;RIGHT(YEAR('Hyperion Panel'!$B$9)+5,2)</f>
        <v>FY15</v>
      </c>
      <c r="L132">
        <f>'Upload Detail'!L233</f>
        <v>28906.683953937816</v>
      </c>
      <c r="M132">
        <f>'Upload Detail'!M233</f>
        <v>29204.840136954048</v>
      </c>
      <c r="N132">
        <f>'Upload Detail'!N233</f>
        <v>29502.996319970283</v>
      </c>
      <c r="O132">
        <f>'Upload Detail'!O233</f>
        <v>29801.152502986515</v>
      </c>
      <c r="P132">
        <f>'Upload Detail'!P233</f>
        <v>30099.308686002751</v>
      </c>
      <c r="Q132">
        <f>'Upload Detail'!Q233</f>
        <v>30397.46486901899</v>
      </c>
      <c r="R132">
        <f>'Upload Detail'!R233</f>
        <v>30695.621052035222</v>
      </c>
      <c r="S132">
        <f>'Upload Detail'!S233</f>
        <v>30993.777235051464</v>
      </c>
      <c r="T132">
        <f>'Upload Detail'!T233</f>
        <v>31291.9334180677</v>
      </c>
      <c r="U132">
        <f>'Upload Detail'!U233</f>
        <v>31590.089601083931</v>
      </c>
      <c r="V132">
        <f>'Upload Detail'!V233</f>
        <v>0</v>
      </c>
      <c r="W132">
        <f>'Upload Detail'!W233</f>
        <v>0</v>
      </c>
    </row>
    <row r="133" spans="1:25" s="104" customFormat="1">
      <c r="A133" s="104" t="s">
        <v>730</v>
      </c>
      <c r="B133" s="104" t="str">
        <f t="shared" si="2"/>
        <v>D10_11032</v>
      </c>
      <c r="C133" s="104" t="str">
        <f t="shared" si="3"/>
        <v>LE_XXXX</v>
      </c>
      <c r="D133" s="104" t="s">
        <v>2886</v>
      </c>
      <c r="E133" s="104">
        <v>8110</v>
      </c>
      <c r="F133" s="104" t="s">
        <v>731</v>
      </c>
      <c r="G133" s="104" t="s">
        <v>2889</v>
      </c>
      <c r="H133" s="104" t="s">
        <v>154</v>
      </c>
      <c r="I133" s="104" t="s">
        <v>146</v>
      </c>
      <c r="J133" s="104" t="s">
        <v>147</v>
      </c>
      <c r="K133" t="str">
        <f>+"FY"&amp;RIGHT(YEAR('Hyperion Panel'!$B$9)+5,2)</f>
        <v>FY15</v>
      </c>
      <c r="L133" s="104">
        <f>'Upload Detail'!L234</f>
        <v>937.9240083333334</v>
      </c>
      <c r="M133" s="104">
        <f>'Upload Detail'!M234</f>
        <v>937.9240083333334</v>
      </c>
      <c r="N133" s="104">
        <f>'Upload Detail'!N234</f>
        <v>937.9240083333334</v>
      </c>
      <c r="O133" s="104">
        <f>'Upload Detail'!O234</f>
        <v>937.9240083333334</v>
      </c>
      <c r="P133" s="104">
        <f>'Upload Detail'!P234</f>
        <v>937.9240083333334</v>
      </c>
      <c r="Q133" s="104">
        <f>'Upload Detail'!Q234</f>
        <v>937.9240083333334</v>
      </c>
      <c r="R133" s="104">
        <f>'Upload Detail'!R234</f>
        <v>937.9240083333334</v>
      </c>
      <c r="S133" s="104">
        <f>'Upload Detail'!S234</f>
        <v>937.9240083333334</v>
      </c>
      <c r="T133" s="104">
        <f>'Upload Detail'!T234</f>
        <v>937.9240083333334</v>
      </c>
      <c r="U133" s="104">
        <f>'Upload Detail'!U234</f>
        <v>937.9240083333334</v>
      </c>
      <c r="V133" s="104">
        <f>'Upload Detail'!V234</f>
        <v>0</v>
      </c>
      <c r="W133" s="104">
        <f>'Upload Detail'!W234</f>
        <v>0</v>
      </c>
      <c r="Y133" s="1690"/>
    </row>
    <row r="134" spans="1:25" s="104" customFormat="1">
      <c r="A134" s="104" t="s">
        <v>732</v>
      </c>
      <c r="B134" s="104" t="str">
        <f t="shared" si="2"/>
        <v>D10_11032</v>
      </c>
      <c r="C134" s="104" t="str">
        <f t="shared" si="3"/>
        <v>LE_XXXX</v>
      </c>
      <c r="D134" s="104" t="s">
        <v>2886</v>
      </c>
      <c r="F134" s="104" t="s">
        <v>731</v>
      </c>
      <c r="G134" s="104" t="s">
        <v>2889</v>
      </c>
      <c r="H134" s="104" t="s">
        <v>154</v>
      </c>
      <c r="I134" s="104" t="s">
        <v>146</v>
      </c>
      <c r="J134" s="104" t="s">
        <v>147</v>
      </c>
      <c r="K134" t="str">
        <f>+"FY"&amp;RIGHT(YEAR('Hyperion Panel'!$B$9)+5,2)</f>
        <v>FY15</v>
      </c>
      <c r="L134" s="104">
        <f>'Upload Detail'!L235</f>
        <v>25.617561119999944</v>
      </c>
      <c r="M134" s="104">
        <f>'Upload Detail'!M235</f>
        <v>25.617561119999944</v>
      </c>
      <c r="N134" s="104">
        <f>'Upload Detail'!N235</f>
        <v>25.617561119999944</v>
      </c>
      <c r="O134" s="104">
        <f>'Upload Detail'!O235</f>
        <v>25.617561119999944</v>
      </c>
      <c r="P134" s="104">
        <f>'Upload Detail'!P235</f>
        <v>25.617561119999944</v>
      </c>
      <c r="Q134" s="104">
        <f>'Upload Detail'!Q235</f>
        <v>25.617561119999944</v>
      </c>
      <c r="R134" s="104">
        <f>'Upload Detail'!R235</f>
        <v>25.617561119999944</v>
      </c>
      <c r="S134" s="104">
        <f>'Upload Detail'!S235</f>
        <v>25.617561119999944</v>
      </c>
      <c r="T134" s="104">
        <f>'Upload Detail'!T235</f>
        <v>25.617561119999944</v>
      </c>
      <c r="U134" s="104">
        <f>'Upload Detail'!U235</f>
        <v>25.617561119999944</v>
      </c>
      <c r="V134" s="104">
        <f>'Upload Detail'!V235</f>
        <v>0</v>
      </c>
      <c r="W134" s="104">
        <f>'Upload Detail'!W235</f>
        <v>0</v>
      </c>
      <c r="Y134" s="1690"/>
    </row>
    <row r="135" spans="1:25" s="104" customFormat="1">
      <c r="A135" s="104" t="s">
        <v>733</v>
      </c>
      <c r="B135" s="104" t="str">
        <f t="shared" si="2"/>
        <v>D10_11032</v>
      </c>
      <c r="C135" s="104" t="str">
        <f t="shared" si="3"/>
        <v>LE_XXXX</v>
      </c>
      <c r="D135" s="104" t="s">
        <v>2886</v>
      </c>
      <c r="F135" s="104" t="s">
        <v>731</v>
      </c>
      <c r="G135" s="104" t="s">
        <v>2889</v>
      </c>
      <c r="H135" s="104" t="s">
        <v>154</v>
      </c>
      <c r="I135" s="104" t="s">
        <v>146</v>
      </c>
      <c r="J135" s="104" t="s">
        <v>147</v>
      </c>
      <c r="K135" t="str">
        <f>+"FY"&amp;RIGHT(YEAR('Hyperion Panel'!$B$9)+5,2)</f>
        <v>FY15</v>
      </c>
      <c r="L135" s="104">
        <f>'Upload Detail'!L236</f>
        <v>19912.78282607998</v>
      </c>
      <c r="M135" s="104">
        <f>'Upload Detail'!M236</f>
        <v>19912.78282607998</v>
      </c>
      <c r="N135" s="104">
        <f>'Upload Detail'!N236</f>
        <v>19912.78282607998</v>
      </c>
      <c r="O135" s="104">
        <f>'Upload Detail'!O236</f>
        <v>19912.78282607998</v>
      </c>
      <c r="P135" s="104">
        <f>'Upload Detail'!P236</f>
        <v>19912.78282607998</v>
      </c>
      <c r="Q135" s="104">
        <f>'Upload Detail'!Q236</f>
        <v>19912.78282607998</v>
      </c>
      <c r="R135" s="104">
        <f>'Upload Detail'!R236</f>
        <v>19912.78282607998</v>
      </c>
      <c r="S135" s="104">
        <f>'Upload Detail'!S236</f>
        <v>19912.78282607998</v>
      </c>
      <c r="T135" s="104">
        <f>'Upload Detail'!T236</f>
        <v>19912.78282607998</v>
      </c>
      <c r="U135" s="104">
        <f>'Upload Detail'!U236</f>
        <v>19912.78282607998</v>
      </c>
      <c r="V135" s="104">
        <f>'Upload Detail'!V236</f>
        <v>0</v>
      </c>
      <c r="W135" s="104">
        <f>'Upload Detail'!W236</f>
        <v>0</v>
      </c>
      <c r="Y135" s="1690"/>
    </row>
    <row r="136" spans="1:25" s="104" customFormat="1">
      <c r="A136" s="104" t="s">
        <v>734</v>
      </c>
      <c r="B136" s="104" t="str">
        <f t="shared" si="2"/>
        <v>D10_11032</v>
      </c>
      <c r="C136" s="104" t="str">
        <f t="shared" si="3"/>
        <v>LE_XXXX</v>
      </c>
      <c r="D136" s="104" t="s">
        <v>2886</v>
      </c>
      <c r="E136" s="104">
        <v>6800</v>
      </c>
      <c r="F136" s="104" t="s">
        <v>731</v>
      </c>
      <c r="G136" s="104" t="s">
        <v>2889</v>
      </c>
      <c r="H136" s="104" t="s">
        <v>154</v>
      </c>
      <c r="I136" s="104" t="s">
        <v>146</v>
      </c>
      <c r="J136" s="104" t="s">
        <v>147</v>
      </c>
      <c r="K136" t="str">
        <f>+"FY"&amp;RIGHT(YEAR('Hyperion Panel'!$B$9)+5,2)</f>
        <v>FY15</v>
      </c>
      <c r="L136" s="104">
        <f>'Upload Detail'!L237</f>
        <v>3758.7304633958297</v>
      </c>
      <c r="M136" s="104">
        <f>'Upload Detail'!M237</f>
        <v>3758.7304633958297</v>
      </c>
      <c r="N136" s="104">
        <f>'Upload Detail'!N237</f>
        <v>3758.7304633958297</v>
      </c>
      <c r="O136" s="104">
        <f>'Upload Detail'!O237</f>
        <v>3758.7304633958297</v>
      </c>
      <c r="P136" s="104">
        <f>'Upload Detail'!P237</f>
        <v>3758.7304633958297</v>
      </c>
      <c r="Q136" s="104">
        <f>'Upload Detail'!Q237</f>
        <v>3758.7304633958297</v>
      </c>
      <c r="R136" s="104">
        <f>'Upload Detail'!R237</f>
        <v>3758.7304633958297</v>
      </c>
      <c r="S136" s="104">
        <f>'Upload Detail'!S237</f>
        <v>3758.7304633958297</v>
      </c>
      <c r="T136" s="104">
        <f>'Upload Detail'!T237</f>
        <v>3758.7304633958297</v>
      </c>
      <c r="U136" s="104">
        <f>'Upload Detail'!U237</f>
        <v>3758.7304633958297</v>
      </c>
      <c r="V136" s="104">
        <f>'Upload Detail'!V237</f>
        <v>0</v>
      </c>
      <c r="W136" s="104">
        <f>'Upload Detail'!W237</f>
        <v>0</v>
      </c>
      <c r="Y136" s="1690"/>
    </row>
    <row r="137" spans="1:25">
      <c r="A137" t="s">
        <v>158</v>
      </c>
      <c r="B137" t="str">
        <f t="shared" si="2"/>
        <v>D10_11032</v>
      </c>
      <c r="C137" t="str">
        <f t="shared" si="3"/>
        <v>LE_XXXX</v>
      </c>
      <c r="D137" t="s">
        <v>2886</v>
      </c>
      <c r="E137" t="s">
        <v>159</v>
      </c>
      <c r="F137" t="s">
        <v>156</v>
      </c>
      <c r="G137" t="s">
        <v>2889</v>
      </c>
      <c r="H137" t="s">
        <v>154</v>
      </c>
      <c r="I137" t="s">
        <v>146</v>
      </c>
      <c r="J137" t="s">
        <v>147</v>
      </c>
      <c r="K137" t="str">
        <f>+"FY"&amp;RIGHT(YEAR('Hyperion Panel'!$B$9)+5,2)</f>
        <v>FY15</v>
      </c>
      <c r="L137" s="103">
        <f>'Upload Detail'!L238</f>
        <v>0.6</v>
      </c>
      <c r="M137" s="103">
        <f>'Upload Detail'!M238</f>
        <v>0.6</v>
      </c>
      <c r="N137" s="103">
        <f>'Upload Detail'!N238</f>
        <v>0.6</v>
      </c>
      <c r="O137" s="103">
        <f>'Upload Detail'!O238</f>
        <v>0.6</v>
      </c>
      <c r="P137" s="103">
        <f>'Upload Detail'!P238</f>
        <v>0.6</v>
      </c>
      <c r="Q137" s="103">
        <f>'Upload Detail'!Q238</f>
        <v>0.6</v>
      </c>
      <c r="R137" s="103">
        <f>'Upload Detail'!R238</f>
        <v>0.6</v>
      </c>
      <c r="S137" s="103">
        <f>'Upload Detail'!S238</f>
        <v>0.6</v>
      </c>
      <c r="T137" s="103">
        <f>'Upload Detail'!T238</f>
        <v>0.6</v>
      </c>
      <c r="U137" s="103">
        <f>'Upload Detail'!U238</f>
        <v>0.6</v>
      </c>
      <c r="V137" s="103">
        <f>'Upload Detail'!V238</f>
        <v>0.6</v>
      </c>
      <c r="W137" s="103">
        <f>'Upload Detail'!W238</f>
        <v>0.6</v>
      </c>
    </row>
    <row r="138" spans="1:25">
      <c r="A138" t="s">
        <v>160</v>
      </c>
      <c r="B138" t="str">
        <f t="shared" si="2"/>
        <v>D10_11032</v>
      </c>
      <c r="C138" t="str">
        <f t="shared" si="3"/>
        <v>LE_XXXX</v>
      </c>
      <c r="D138" t="s">
        <v>2886</v>
      </c>
      <c r="E138" t="s">
        <v>161</v>
      </c>
      <c r="F138" t="s">
        <v>156</v>
      </c>
      <c r="G138" t="s">
        <v>2889</v>
      </c>
      <c r="H138" t="s">
        <v>154</v>
      </c>
      <c r="I138" t="s">
        <v>146</v>
      </c>
      <c r="J138" t="s">
        <v>147</v>
      </c>
      <c r="K138" t="str">
        <f>+"FY"&amp;RIGHT(YEAR('Hyperion Panel'!$B$9)+5,2)</f>
        <v>FY15</v>
      </c>
      <c r="L138">
        <f>'Upload Detail'!L239</f>
        <v>0</v>
      </c>
      <c r="M138">
        <f>'Upload Detail'!M239</f>
        <v>0</v>
      </c>
      <c r="N138">
        <f>'Upload Detail'!N239</f>
        <v>0</v>
      </c>
      <c r="O138">
        <f>'Upload Detail'!O239</f>
        <v>0</v>
      </c>
      <c r="P138">
        <f>'Upload Detail'!P239</f>
        <v>0</v>
      </c>
      <c r="Q138">
        <f>'Upload Detail'!Q239</f>
        <v>0</v>
      </c>
      <c r="R138">
        <f>'Upload Detail'!R239</f>
        <v>0</v>
      </c>
      <c r="S138">
        <f>'Upload Detail'!S239</f>
        <v>0</v>
      </c>
      <c r="T138">
        <f>'Upload Detail'!T239</f>
        <v>0</v>
      </c>
      <c r="U138">
        <f>'Upload Detail'!U239</f>
        <v>0</v>
      </c>
      <c r="V138">
        <f>'Upload Detail'!V239</f>
        <v>0</v>
      </c>
      <c r="W138">
        <f>'Upload Detail'!W239</f>
        <v>0</v>
      </c>
    </row>
    <row r="139" spans="1:25" s="104" customFormat="1">
      <c r="A139" s="104" t="s">
        <v>735</v>
      </c>
      <c r="B139" s="104" t="str">
        <f t="shared" si="2"/>
        <v>D10_11032</v>
      </c>
      <c r="C139" s="104" t="str">
        <f t="shared" si="3"/>
        <v>LE_XXXX</v>
      </c>
      <c r="D139" s="104" t="s">
        <v>2886</v>
      </c>
      <c r="F139" s="104" t="s">
        <v>731</v>
      </c>
      <c r="G139" s="104" t="s">
        <v>2889</v>
      </c>
      <c r="H139" s="104" t="s">
        <v>154</v>
      </c>
      <c r="I139" s="104" t="s">
        <v>146</v>
      </c>
      <c r="J139" s="104" t="s">
        <v>147</v>
      </c>
      <c r="K139" t="str">
        <f>+"FY"&amp;RIGHT(YEAR('Hyperion Panel'!$B$9)+5,2)</f>
        <v>FY15</v>
      </c>
      <c r="L139" s="104">
        <f>'Upload Detail'!L240</f>
        <v>0</v>
      </c>
      <c r="M139" s="104">
        <f>'Upload Detail'!M240</f>
        <v>0</v>
      </c>
      <c r="N139" s="104">
        <f>'Upload Detail'!N240</f>
        <v>0</v>
      </c>
      <c r="O139" s="104">
        <f>'Upload Detail'!O240</f>
        <v>0</v>
      </c>
      <c r="P139" s="104">
        <f>'Upload Detail'!P240</f>
        <v>0</v>
      </c>
      <c r="Q139" s="104">
        <f>'Upload Detail'!Q240</f>
        <v>0</v>
      </c>
      <c r="R139" s="104">
        <f>'Upload Detail'!R240</f>
        <v>0</v>
      </c>
      <c r="S139" s="104">
        <f>'Upload Detail'!S240</f>
        <v>0</v>
      </c>
      <c r="T139" s="104">
        <f>'Upload Detail'!T240</f>
        <v>0</v>
      </c>
      <c r="U139" s="104">
        <f>'Upload Detail'!U240</f>
        <v>0</v>
      </c>
      <c r="V139" s="104">
        <f>'Upload Detail'!V240</f>
        <v>0</v>
      </c>
      <c r="W139" s="104">
        <f>'Upload Detail'!W240</f>
        <v>0</v>
      </c>
    </row>
    <row r="140" spans="1:25" s="6" customFormat="1">
      <c r="A140" s="6" t="s">
        <v>165</v>
      </c>
      <c r="B140" s="6" t="str">
        <f>+"P"&amp;RIGHT(YEAR('Hyperion Panel'!$B$9),2)&amp;"_"&amp;IF(LEN('Hyperion Panel'!$B$6)&lt;4,0,"")&amp;'Hyperion Panel'!$B$6&amp;"_"&amp;IF(LEN('Hyperion Panel'!$C$6)&lt;4,0,"")&amp;'Hyperion Panel'!$C$6</f>
        <v>P10_11032_00494</v>
      </c>
      <c r="C140" s="6" t="str">
        <f t="shared" si="3"/>
        <v>LE_XXXX</v>
      </c>
      <c r="D140" s="6" t="s">
        <v>2886</v>
      </c>
      <c r="E140" s="6" t="s">
        <v>2887</v>
      </c>
      <c r="F140" s="6" t="s">
        <v>2888</v>
      </c>
      <c r="G140" s="6" t="s">
        <v>2889</v>
      </c>
      <c r="H140" s="6" t="s">
        <v>145</v>
      </c>
      <c r="I140" s="6" t="s">
        <v>146</v>
      </c>
      <c r="J140" s="6" t="s">
        <v>147</v>
      </c>
      <c r="K140" s="6" t="str">
        <f>+"FY"&amp;RIGHT(YEAR('Hyperion Panel'!$B$9),2)</f>
        <v>FY10</v>
      </c>
      <c r="L140" s="6">
        <f>SUM('Upload Detail'!L244:L245)</f>
        <v>0</v>
      </c>
      <c r="M140" s="6">
        <f>SUM('Upload Detail'!M244:M245)</f>
        <v>0</v>
      </c>
      <c r="N140" s="6">
        <f>SUM('Upload Detail'!N244:N245)</f>
        <v>0</v>
      </c>
      <c r="O140" s="6">
        <f>SUM('Upload Detail'!O244:O245)</f>
        <v>0</v>
      </c>
      <c r="P140" s="6">
        <f>SUM('Upload Detail'!P244:P245)</f>
        <v>0</v>
      </c>
      <c r="Q140" s="6">
        <f>SUM('Upload Detail'!Q244:Q245)</f>
        <v>0</v>
      </c>
      <c r="R140" s="6">
        <f>SUM('Upload Detail'!R244:R245)</f>
        <v>0</v>
      </c>
      <c r="S140" s="6">
        <f>SUM('Upload Detail'!S244:S245)</f>
        <v>0</v>
      </c>
      <c r="T140" s="6">
        <f>SUM('Upload Detail'!T244:T245)</f>
        <v>0</v>
      </c>
      <c r="U140" s="6">
        <f>SUM('Upload Detail'!U244:U245)</f>
        <v>0</v>
      </c>
      <c r="V140" s="6">
        <f>SUM('Upload Detail'!V244:V245)</f>
        <v>598</v>
      </c>
      <c r="W140" s="6">
        <f>SUM('Upload Detail'!W244:W245)</f>
        <v>598</v>
      </c>
    </row>
    <row r="141" spans="1:25" s="6" customFormat="1">
      <c r="A141" s="6" t="s">
        <v>162</v>
      </c>
      <c r="B141" s="6" t="str">
        <f>+$B$140</f>
        <v>P10_11032_00494</v>
      </c>
      <c r="C141" s="6" t="str">
        <f>+$C$140</f>
        <v>LE_XXXX</v>
      </c>
      <c r="D141" s="6" t="s">
        <v>2886</v>
      </c>
      <c r="E141" s="6" t="s">
        <v>149</v>
      </c>
      <c r="F141" s="6" t="s">
        <v>150</v>
      </c>
      <c r="G141" s="6" t="s">
        <v>2889</v>
      </c>
      <c r="H141" s="6" t="s">
        <v>145</v>
      </c>
      <c r="I141" s="6" t="s">
        <v>146</v>
      </c>
      <c r="J141" s="6" t="s">
        <v>147</v>
      </c>
      <c r="K141" s="6" t="str">
        <f>+"FY"&amp;RIGHT(YEAR('Hyperion Panel'!$B$9),2)</f>
        <v>FY10</v>
      </c>
      <c r="L141" s="6">
        <f>SUM('Upload Detail'!L247:L248)</f>
        <v>0</v>
      </c>
      <c r="M141" s="6">
        <f>SUM('Upload Detail'!M247:M248)</f>
        <v>0</v>
      </c>
      <c r="N141" s="6">
        <f>SUM('Upload Detail'!N247:N248)</f>
        <v>0</v>
      </c>
      <c r="O141" s="6">
        <f>SUM('Upload Detail'!O247:O248)</f>
        <v>0</v>
      </c>
      <c r="P141" s="6">
        <f>SUM('Upload Detail'!P247:P248)</f>
        <v>0</v>
      </c>
      <c r="Q141" s="6">
        <f>SUM('Upload Detail'!Q247:Q248)</f>
        <v>0</v>
      </c>
      <c r="R141" s="6">
        <f>SUM('Upload Detail'!R247:R248)</f>
        <v>0</v>
      </c>
      <c r="S141" s="6">
        <f>SUM('Upload Detail'!S247:S248)</f>
        <v>0</v>
      </c>
      <c r="T141" s="6">
        <f>SUM('Upload Detail'!T247:T248)</f>
        <v>0</v>
      </c>
      <c r="U141" s="6">
        <f>SUM('Upload Detail'!U247:U248)</f>
        <v>0</v>
      </c>
      <c r="V141" s="6">
        <f>SUM('Upload Detail'!V247:V248)</f>
        <v>247</v>
      </c>
      <c r="W141" s="6">
        <f>SUM('Upload Detail'!W247:W248)</f>
        <v>247</v>
      </c>
    </row>
    <row r="142" spans="1:25" s="1691" customFormat="1">
      <c r="A142" s="1691" t="s">
        <v>3767</v>
      </c>
      <c r="B142" s="1691" t="str">
        <f>+$B$140</f>
        <v>P10_11032_00494</v>
      </c>
      <c r="C142" s="1691" t="str">
        <f>+$C$140</f>
        <v>LE_XXXX</v>
      </c>
      <c r="D142" s="1691" t="s">
        <v>2886</v>
      </c>
      <c r="E142" s="1691" t="s">
        <v>719</v>
      </c>
      <c r="F142" s="1691" t="s">
        <v>731</v>
      </c>
      <c r="G142" s="1691" t="s">
        <v>2889</v>
      </c>
      <c r="H142" s="1691" t="s">
        <v>145</v>
      </c>
      <c r="I142" s="1691" t="s">
        <v>146</v>
      </c>
      <c r="J142" s="1691" t="s">
        <v>147</v>
      </c>
      <c r="K142" s="6" t="str">
        <f>+"FY"&amp;RIGHT(YEAR('Hyperion Panel'!$B$9),2)</f>
        <v>FY10</v>
      </c>
      <c r="L142" s="1691">
        <f>SUM('Upload Detail'!L250:L251)</f>
        <v>0</v>
      </c>
      <c r="M142" s="1691">
        <f>SUM('Upload Detail'!M250:M251)</f>
        <v>0</v>
      </c>
      <c r="N142" s="1691">
        <f>SUM('Upload Detail'!N250:N251)</f>
        <v>0</v>
      </c>
      <c r="O142" s="1691">
        <f>SUM('Upload Detail'!O250:O251)</f>
        <v>0</v>
      </c>
      <c r="P142" s="1691">
        <f>SUM('Upload Detail'!P250:P251)</f>
        <v>0</v>
      </c>
      <c r="Q142" s="1691">
        <f>SUM('Upload Detail'!Q250:Q251)</f>
        <v>0</v>
      </c>
      <c r="R142" s="1691">
        <f>SUM('Upload Detail'!R250:R251)</f>
        <v>0</v>
      </c>
      <c r="S142" s="1691">
        <f>SUM('Upload Detail'!S250:S251)</f>
        <v>0</v>
      </c>
      <c r="T142" s="1691">
        <f>SUM('Upload Detail'!T250:T251)</f>
        <v>0</v>
      </c>
      <c r="U142" s="1691">
        <f>SUM('Upload Detail'!U250:U251)</f>
        <v>0</v>
      </c>
      <c r="V142" s="1691">
        <f>SUM('Upload Detail'!V250:V251)</f>
        <v>65</v>
      </c>
      <c r="W142" s="1691">
        <f>SUM('Upload Detail'!W250:W251)</f>
        <v>65</v>
      </c>
    </row>
    <row r="143" spans="1:25" s="6" customFormat="1">
      <c r="A143" s="6" t="s">
        <v>163</v>
      </c>
      <c r="B143" s="6" t="str">
        <f t="shared" ref="B143:B233" si="4">+$B$140</f>
        <v>P10_11032_00494</v>
      </c>
      <c r="C143" s="6" t="str">
        <f>+$C$140</f>
        <v>LE_XXXX</v>
      </c>
      <c r="D143" s="6" t="s">
        <v>2886</v>
      </c>
      <c r="E143" s="6">
        <v>3010</v>
      </c>
      <c r="F143" s="6" t="s">
        <v>2888</v>
      </c>
      <c r="G143" s="6" t="s">
        <v>2889</v>
      </c>
      <c r="H143" s="6" t="s">
        <v>145</v>
      </c>
      <c r="I143" s="6" t="s">
        <v>146</v>
      </c>
      <c r="J143" s="6" t="s">
        <v>147</v>
      </c>
      <c r="K143" s="6" t="str">
        <f>+"FY"&amp;RIGHT(YEAR('Hyperion Panel'!$B$9),2)</f>
        <v>FY10</v>
      </c>
      <c r="L143" s="6">
        <f>SUM('Upload Detail'!L253:L254)</f>
        <v>0</v>
      </c>
      <c r="M143" s="6">
        <f>SUM('Upload Detail'!M253:M254)</f>
        <v>0</v>
      </c>
      <c r="N143" s="6">
        <f>SUM('Upload Detail'!N253:N254)</f>
        <v>0</v>
      </c>
      <c r="O143" s="6">
        <f>SUM('Upload Detail'!O253:O254)</f>
        <v>0</v>
      </c>
      <c r="P143" s="6">
        <f>SUM('Upload Detail'!P253:P254)</f>
        <v>0</v>
      </c>
      <c r="Q143" s="6">
        <f>SUM('Upload Detail'!Q253:Q254)</f>
        <v>0</v>
      </c>
      <c r="R143" s="6">
        <f>SUM('Upload Detail'!R253:R254)</f>
        <v>0</v>
      </c>
      <c r="S143" s="6">
        <f>SUM('Upload Detail'!S253:S254)</f>
        <v>0</v>
      </c>
      <c r="T143" s="6">
        <f>SUM('Upload Detail'!T253:T254)</f>
        <v>0</v>
      </c>
      <c r="U143" s="6">
        <f>SUM('Upload Detail'!U253:U254)</f>
        <v>0</v>
      </c>
      <c r="V143" s="6">
        <f>SUM('Upload Detail'!V253:V254)</f>
        <v>172953.90732544177</v>
      </c>
      <c r="W143" s="6">
        <f>SUM('Upload Detail'!W253:W254)</f>
        <v>172953.90732544177</v>
      </c>
    </row>
    <row r="144" spans="1:25" s="6" customFormat="1">
      <c r="A144" s="6" t="s">
        <v>164</v>
      </c>
      <c r="B144" s="6" t="str">
        <f t="shared" si="4"/>
        <v>P10_11032_00494</v>
      </c>
      <c r="C144" s="6" t="str">
        <f>+$C$140</f>
        <v>LE_XXXX</v>
      </c>
      <c r="D144" s="6" t="s">
        <v>2886</v>
      </c>
      <c r="E144" s="6">
        <v>3030</v>
      </c>
      <c r="F144" s="6" t="s">
        <v>150</v>
      </c>
      <c r="G144" s="6" t="s">
        <v>2889</v>
      </c>
      <c r="H144" s="6" t="s">
        <v>145</v>
      </c>
      <c r="I144" s="6" t="s">
        <v>146</v>
      </c>
      <c r="J144" s="6" t="s">
        <v>147</v>
      </c>
      <c r="K144" s="6" t="str">
        <f>+"FY"&amp;RIGHT(YEAR('Hyperion Panel'!$B$9),2)</f>
        <v>FY10</v>
      </c>
      <c r="L144" s="6">
        <f>SUM('Upload Detail'!L256:L257)</f>
        <v>0</v>
      </c>
      <c r="M144" s="6">
        <f>SUM('Upload Detail'!M256:M257)</f>
        <v>0</v>
      </c>
      <c r="N144" s="6">
        <f>SUM('Upload Detail'!N256:N257)</f>
        <v>0</v>
      </c>
      <c r="O144" s="6">
        <f>SUM('Upload Detail'!O256:O257)</f>
        <v>0</v>
      </c>
      <c r="P144" s="6">
        <f>SUM('Upload Detail'!P256:P257)</f>
        <v>0</v>
      </c>
      <c r="Q144" s="6">
        <f>SUM('Upload Detail'!Q256:Q257)</f>
        <v>0</v>
      </c>
      <c r="R144" s="6">
        <f>SUM('Upload Detail'!R256:R257)</f>
        <v>0</v>
      </c>
      <c r="S144" s="6">
        <f>SUM('Upload Detail'!S256:S257)</f>
        <v>0</v>
      </c>
      <c r="T144" s="6">
        <f>SUM('Upload Detail'!T256:T257)</f>
        <v>0</v>
      </c>
      <c r="U144" s="6">
        <f>SUM('Upload Detail'!U256:U257)</f>
        <v>0</v>
      </c>
      <c r="V144" s="6">
        <f>SUM('Upload Detail'!V256:V257)</f>
        <v>118919.72127984778</v>
      </c>
      <c r="W144" s="6">
        <f>SUM('Upload Detail'!W256:W257)</f>
        <v>118919.72127984778</v>
      </c>
    </row>
    <row r="145" spans="1:25" s="1691" customFormat="1">
      <c r="A145" s="1691" t="s">
        <v>3768</v>
      </c>
      <c r="B145" s="1691" t="str">
        <f t="shared" si="4"/>
        <v>P10_11032_00494</v>
      </c>
      <c r="C145" s="1691" t="str">
        <f>+$C$140</f>
        <v>LE_XXXX</v>
      </c>
      <c r="D145" s="1691" t="s">
        <v>2886</v>
      </c>
      <c r="E145" s="1691">
        <v>3050</v>
      </c>
      <c r="F145" s="1691" t="s">
        <v>731</v>
      </c>
      <c r="G145" s="1691" t="s">
        <v>2889</v>
      </c>
      <c r="H145" s="1691" t="s">
        <v>145</v>
      </c>
      <c r="I145" s="1691" t="s">
        <v>146</v>
      </c>
      <c r="J145" s="1691" t="s">
        <v>147</v>
      </c>
      <c r="K145" s="6" t="str">
        <f>+"FY"&amp;RIGHT(YEAR('Hyperion Panel'!$B$9),2)</f>
        <v>FY10</v>
      </c>
      <c r="L145" s="1691">
        <f>SUM('Upload Detail'!L259:L260)</f>
        <v>0</v>
      </c>
      <c r="M145" s="1691">
        <f>SUM('Upload Detail'!M259:M260)</f>
        <v>0</v>
      </c>
      <c r="N145" s="1691">
        <f>SUM('Upload Detail'!N259:N260)</f>
        <v>0</v>
      </c>
      <c r="O145" s="1691">
        <f>SUM('Upload Detail'!O259:O260)</f>
        <v>0</v>
      </c>
      <c r="P145" s="1691">
        <f>SUM('Upload Detail'!P259:P260)</f>
        <v>0</v>
      </c>
      <c r="Q145" s="1691">
        <f>SUM('Upload Detail'!Q259:Q260)</f>
        <v>0</v>
      </c>
      <c r="R145" s="1691">
        <f>SUM('Upload Detail'!R259:R260)</f>
        <v>0</v>
      </c>
      <c r="S145" s="1691">
        <f>SUM('Upload Detail'!S259:S260)</f>
        <v>0</v>
      </c>
      <c r="T145" s="1691">
        <f>SUM('Upload Detail'!T259:T260)</f>
        <v>0</v>
      </c>
      <c r="U145" s="1691">
        <f>SUM('Upload Detail'!U259:U260)</f>
        <v>0</v>
      </c>
      <c r="V145" s="1691">
        <f>SUM('Upload Detail'!V259:V260)</f>
        <v>16927.071343873515</v>
      </c>
      <c r="W145" s="1691">
        <f>SUM('Upload Detail'!W259:W260)</f>
        <v>16927.071343873515</v>
      </c>
    </row>
    <row r="146" spans="1:25">
      <c r="A146" t="s">
        <v>2651</v>
      </c>
      <c r="B146" t="str">
        <f t="shared" si="4"/>
        <v>P10_11032_00494</v>
      </c>
      <c r="C146" t="str">
        <f t="shared" ref="C146:C233" si="5">+$C$140</f>
        <v>LE_XXXX</v>
      </c>
      <c r="D146" t="s">
        <v>2886</v>
      </c>
      <c r="E146">
        <v>6010</v>
      </c>
      <c r="F146" t="s">
        <v>2888</v>
      </c>
      <c r="G146" t="s">
        <v>153</v>
      </c>
      <c r="H146" t="s">
        <v>154</v>
      </c>
      <c r="I146" t="s">
        <v>146</v>
      </c>
      <c r="J146" t="s">
        <v>147</v>
      </c>
      <c r="K146" t="str">
        <f>+"FY"&amp;RIGHT(YEAR('Hyperion Panel'!$B$9),2)</f>
        <v>FY10</v>
      </c>
      <c r="L146">
        <f>'Upload Detail'!L261</f>
        <v>0</v>
      </c>
      <c r="M146">
        <f>'Upload Detail'!M261</f>
        <v>0</v>
      </c>
      <c r="N146">
        <f>'Upload Detail'!N261</f>
        <v>0</v>
      </c>
      <c r="O146">
        <f>'Upload Detail'!O261</f>
        <v>0</v>
      </c>
      <c r="P146">
        <f>'Upload Detail'!P261</f>
        <v>0</v>
      </c>
      <c r="Q146">
        <f>'Upload Detail'!Q261</f>
        <v>0</v>
      </c>
      <c r="R146">
        <f>'Upload Detail'!R261</f>
        <v>0</v>
      </c>
      <c r="S146">
        <f>'Upload Detail'!S261</f>
        <v>0</v>
      </c>
      <c r="T146">
        <f>'Upload Detail'!T261</f>
        <v>0</v>
      </c>
      <c r="U146">
        <f>'Upload Detail'!U261</f>
        <v>0</v>
      </c>
      <c r="V146">
        <f>'Upload Detail'!V261</f>
        <v>38699.784812132857</v>
      </c>
      <c r="W146">
        <f>'Upload Detail'!W261</f>
        <v>38699.784812132857</v>
      </c>
    </row>
    <row r="147" spans="1:25">
      <c r="A147" t="s">
        <v>2652</v>
      </c>
      <c r="B147" t="str">
        <f t="shared" si="4"/>
        <v>P10_11032_00494</v>
      </c>
      <c r="C147" t="str">
        <f t="shared" si="5"/>
        <v>LE_XXXX</v>
      </c>
      <c r="D147" t="s">
        <v>2886</v>
      </c>
      <c r="E147">
        <v>6010</v>
      </c>
      <c r="F147" t="s">
        <v>2888</v>
      </c>
      <c r="G147" t="s">
        <v>155</v>
      </c>
      <c r="H147" t="s">
        <v>154</v>
      </c>
      <c r="I147" t="s">
        <v>146</v>
      </c>
      <c r="J147" t="s">
        <v>147</v>
      </c>
      <c r="K147" t="str">
        <f>+"FY"&amp;RIGHT(YEAR('Hyperion Panel'!$B$9),2)</f>
        <v>FY10</v>
      </c>
      <c r="L147">
        <f>'Upload Detail'!L262</f>
        <v>0</v>
      </c>
      <c r="M147">
        <f>'Upload Detail'!M262</f>
        <v>0</v>
      </c>
      <c r="N147">
        <f>'Upload Detail'!N262</f>
        <v>0</v>
      </c>
      <c r="O147">
        <f>'Upload Detail'!O262</f>
        <v>0</v>
      </c>
      <c r="P147">
        <f>'Upload Detail'!P262</f>
        <v>0</v>
      </c>
      <c r="Q147">
        <f>'Upload Detail'!Q262</f>
        <v>0</v>
      </c>
      <c r="R147">
        <f>'Upload Detail'!R262</f>
        <v>0</v>
      </c>
      <c r="S147">
        <f>'Upload Detail'!S262</f>
        <v>0</v>
      </c>
      <c r="T147">
        <f>'Upload Detail'!T262</f>
        <v>0</v>
      </c>
      <c r="U147">
        <f>'Upload Detail'!U262</f>
        <v>0</v>
      </c>
      <c r="V147">
        <f>'Upload Detail'!V262</f>
        <v>14795</v>
      </c>
      <c r="W147">
        <f>'Upload Detail'!W262</f>
        <v>14795</v>
      </c>
    </row>
    <row r="148" spans="1:25">
      <c r="A148" t="s">
        <v>2653</v>
      </c>
      <c r="B148" t="str">
        <f t="shared" si="4"/>
        <v>P10_11032_00494</v>
      </c>
      <c r="C148" t="str">
        <f t="shared" si="5"/>
        <v>LE_XXXX</v>
      </c>
      <c r="D148" t="s">
        <v>2886</v>
      </c>
      <c r="E148">
        <v>6051</v>
      </c>
      <c r="F148" t="s">
        <v>2888</v>
      </c>
      <c r="G148" t="s">
        <v>153</v>
      </c>
      <c r="H148" t="s">
        <v>154</v>
      </c>
      <c r="I148" t="s">
        <v>146</v>
      </c>
      <c r="J148" t="s">
        <v>147</v>
      </c>
      <c r="K148" t="str">
        <f>+"FY"&amp;RIGHT(YEAR('Hyperion Panel'!$B$9),2)</f>
        <v>FY10</v>
      </c>
      <c r="L148">
        <f>'Upload Detail'!L263</f>
        <v>0</v>
      </c>
      <c r="M148">
        <f>'Upload Detail'!M263</f>
        <v>0</v>
      </c>
      <c r="N148">
        <f>'Upload Detail'!N263</f>
        <v>0</v>
      </c>
      <c r="O148">
        <f>'Upload Detail'!O263</f>
        <v>0</v>
      </c>
      <c r="P148">
        <f>'Upload Detail'!P263</f>
        <v>0</v>
      </c>
      <c r="Q148">
        <f>'Upload Detail'!Q263</f>
        <v>0</v>
      </c>
      <c r="R148">
        <f>'Upload Detail'!R263</f>
        <v>0</v>
      </c>
      <c r="S148">
        <f>'Upload Detail'!S263</f>
        <v>0</v>
      </c>
      <c r="T148">
        <f>'Upload Detail'!T263</f>
        <v>0</v>
      </c>
      <c r="U148">
        <f>'Upload Detail'!U263</f>
        <v>0</v>
      </c>
      <c r="V148">
        <f>'Upload Detail'!V263</f>
        <v>18890.728391370059</v>
      </c>
      <c r="W148">
        <f>'Upload Detail'!W263</f>
        <v>18890.728391370059</v>
      </c>
    </row>
    <row r="149" spans="1:25">
      <c r="A149" t="s">
        <v>2654</v>
      </c>
      <c r="B149" t="str">
        <f t="shared" si="4"/>
        <v>P10_11032_00494</v>
      </c>
      <c r="C149" t="str">
        <f t="shared" si="5"/>
        <v>LE_XXXX</v>
      </c>
      <c r="D149" t="s">
        <v>2886</v>
      </c>
      <c r="E149">
        <v>6011</v>
      </c>
      <c r="F149" t="s">
        <v>2888</v>
      </c>
      <c r="G149" t="s">
        <v>153</v>
      </c>
      <c r="H149" t="s">
        <v>154</v>
      </c>
      <c r="I149" t="s">
        <v>146</v>
      </c>
      <c r="J149" t="s">
        <v>147</v>
      </c>
      <c r="K149" t="str">
        <f>+"FY"&amp;RIGHT(YEAR('Hyperion Panel'!$B$9),2)</f>
        <v>FY10</v>
      </c>
      <c r="L149">
        <f>'Upload Detail'!L264</f>
        <v>0</v>
      </c>
      <c r="M149">
        <f>'Upload Detail'!M264</f>
        <v>0</v>
      </c>
      <c r="N149">
        <f>'Upload Detail'!N264</f>
        <v>0</v>
      </c>
      <c r="O149">
        <f>'Upload Detail'!O264</f>
        <v>0</v>
      </c>
      <c r="P149">
        <f>'Upload Detail'!P264</f>
        <v>0</v>
      </c>
      <c r="Q149">
        <f>'Upload Detail'!Q264</f>
        <v>0</v>
      </c>
      <c r="R149">
        <f>'Upload Detail'!R264</f>
        <v>0</v>
      </c>
      <c r="S149">
        <f>'Upload Detail'!S264</f>
        <v>0</v>
      </c>
      <c r="T149">
        <f>'Upload Detail'!T264</f>
        <v>0</v>
      </c>
      <c r="U149">
        <f>'Upload Detail'!U264</f>
        <v>0</v>
      </c>
      <c r="V149">
        <f>'Upload Detail'!V264</f>
        <v>0</v>
      </c>
      <c r="W149">
        <f>'Upload Detail'!W264</f>
        <v>0</v>
      </c>
    </row>
    <row r="150" spans="1:25">
      <c r="A150" t="s">
        <v>3696</v>
      </c>
      <c r="B150" t="str">
        <f t="shared" si="4"/>
        <v>P10_11032_00494</v>
      </c>
      <c r="C150" t="str">
        <f t="shared" si="5"/>
        <v>LE_XXXX</v>
      </c>
      <c r="D150" t="s">
        <v>2886</v>
      </c>
      <c r="E150">
        <v>6600</v>
      </c>
      <c r="F150" t="s">
        <v>2888</v>
      </c>
      <c r="G150" t="s">
        <v>2889</v>
      </c>
      <c r="H150" t="s">
        <v>154</v>
      </c>
      <c r="I150" t="s">
        <v>146</v>
      </c>
      <c r="J150" t="s">
        <v>147</v>
      </c>
      <c r="K150" t="str">
        <f>+"FY"&amp;RIGHT(YEAR('Hyperion Panel'!$B$9),2)</f>
        <v>FY10</v>
      </c>
      <c r="L150">
        <f>'Upload Detail'!L265</f>
        <v>0</v>
      </c>
      <c r="M150">
        <f>'Upload Detail'!M265</f>
        <v>0</v>
      </c>
      <c r="N150">
        <f>'Upload Detail'!N265</f>
        <v>0</v>
      </c>
      <c r="O150">
        <f>'Upload Detail'!O265</f>
        <v>0</v>
      </c>
      <c r="P150">
        <f>'Upload Detail'!P265</f>
        <v>0</v>
      </c>
      <c r="Q150">
        <f>'Upload Detail'!Q265</f>
        <v>0</v>
      </c>
      <c r="R150">
        <f>'Upload Detail'!R265</f>
        <v>0</v>
      </c>
      <c r="S150">
        <f>'Upload Detail'!S265</f>
        <v>0</v>
      </c>
      <c r="T150">
        <f>'Upload Detail'!T265</f>
        <v>0</v>
      </c>
      <c r="U150">
        <f>'Upload Detail'!U265</f>
        <v>0</v>
      </c>
      <c r="V150">
        <f>'Upload Detail'!V265</f>
        <v>52958.887494461407</v>
      </c>
      <c r="W150">
        <f>'Upload Detail'!W265</f>
        <v>52958.887494461407</v>
      </c>
    </row>
    <row r="151" spans="1:25">
      <c r="A151" t="s">
        <v>1381</v>
      </c>
      <c r="B151" t="str">
        <f t="shared" si="4"/>
        <v>P10_11032_00494</v>
      </c>
      <c r="C151" t="str">
        <f t="shared" si="5"/>
        <v>LE_XXXX</v>
      </c>
      <c r="D151" t="s">
        <v>2886</v>
      </c>
      <c r="E151">
        <v>6800</v>
      </c>
      <c r="F151" t="s">
        <v>156</v>
      </c>
      <c r="G151" t="s">
        <v>2889</v>
      </c>
      <c r="H151" t="s">
        <v>154</v>
      </c>
      <c r="I151" t="s">
        <v>146</v>
      </c>
      <c r="J151" t="s">
        <v>147</v>
      </c>
      <c r="K151" t="str">
        <f>+"FY"&amp;RIGHT(YEAR('Hyperion Panel'!$B$9),2)</f>
        <v>FY10</v>
      </c>
      <c r="L151">
        <f>'Upload Detail'!L266</f>
        <v>0</v>
      </c>
      <c r="M151">
        <f>'Upload Detail'!M266</f>
        <v>0</v>
      </c>
      <c r="N151">
        <f>'Upload Detail'!N266</f>
        <v>0</v>
      </c>
      <c r="O151">
        <f>'Upload Detail'!O266</f>
        <v>0</v>
      </c>
      <c r="P151">
        <f>'Upload Detail'!P266</f>
        <v>0</v>
      </c>
      <c r="Q151">
        <f>'Upload Detail'!Q266</f>
        <v>0</v>
      </c>
      <c r="R151">
        <f>'Upload Detail'!R266</f>
        <v>0</v>
      </c>
      <c r="S151">
        <f>'Upload Detail'!S266</f>
        <v>0</v>
      </c>
      <c r="T151">
        <f>'Upload Detail'!T266</f>
        <v>0</v>
      </c>
      <c r="U151">
        <f>'Upload Detail'!U266</f>
        <v>0</v>
      </c>
      <c r="V151">
        <f>'Upload Detail'!V266</f>
        <v>19626.014631840881</v>
      </c>
      <c r="W151">
        <f>'Upload Detail'!W266</f>
        <v>19626.014631840881</v>
      </c>
    </row>
    <row r="152" spans="1:25">
      <c r="A152" t="s">
        <v>3697</v>
      </c>
      <c r="B152" t="str">
        <f t="shared" si="4"/>
        <v>P10_11032_00494</v>
      </c>
      <c r="C152" t="str">
        <f t="shared" si="5"/>
        <v>LE_XXXX</v>
      </c>
      <c r="D152" t="s">
        <v>2886</v>
      </c>
      <c r="E152">
        <v>8600</v>
      </c>
      <c r="F152" t="s">
        <v>156</v>
      </c>
      <c r="G152" t="s">
        <v>2889</v>
      </c>
      <c r="H152" t="s">
        <v>154</v>
      </c>
      <c r="I152" t="s">
        <v>146</v>
      </c>
      <c r="J152" t="s">
        <v>147</v>
      </c>
      <c r="K152" t="str">
        <f>+"FY"&amp;RIGHT(YEAR('Hyperion Panel'!$B$9),2)</f>
        <v>FY10</v>
      </c>
      <c r="L152">
        <f>'Upload Detail'!L267</f>
        <v>0</v>
      </c>
      <c r="M152">
        <f>'Upload Detail'!M267</f>
        <v>0</v>
      </c>
      <c r="N152">
        <f>'Upload Detail'!N267</f>
        <v>0</v>
      </c>
      <c r="O152">
        <f>'Upload Detail'!O267</f>
        <v>0</v>
      </c>
      <c r="P152">
        <f>'Upload Detail'!P267</f>
        <v>0</v>
      </c>
      <c r="Q152">
        <f>'Upload Detail'!Q267</f>
        <v>0</v>
      </c>
      <c r="R152">
        <f>'Upload Detail'!R267</f>
        <v>0</v>
      </c>
      <c r="S152">
        <f>'Upload Detail'!S267</f>
        <v>0</v>
      </c>
      <c r="T152">
        <f>'Upload Detail'!T267</f>
        <v>0</v>
      </c>
      <c r="U152">
        <f>'Upload Detail'!U267</f>
        <v>0</v>
      </c>
      <c r="V152">
        <f>'Upload Detail'!V267</f>
        <v>16474.989999999998</v>
      </c>
      <c r="W152">
        <f>'Upload Detail'!W267</f>
        <v>16474.989999999998</v>
      </c>
    </row>
    <row r="153" spans="1:25">
      <c r="A153" t="s">
        <v>157</v>
      </c>
      <c r="B153" t="str">
        <f t="shared" si="4"/>
        <v>P10_11032_00494</v>
      </c>
      <c r="C153" t="str">
        <f t="shared" si="5"/>
        <v>LE_XXXX</v>
      </c>
      <c r="D153" t="s">
        <v>2886</v>
      </c>
      <c r="E153">
        <v>6720</v>
      </c>
      <c r="F153" t="s">
        <v>156</v>
      </c>
      <c r="G153" t="s">
        <v>2889</v>
      </c>
      <c r="H153" t="s">
        <v>154</v>
      </c>
      <c r="I153" t="s">
        <v>146</v>
      </c>
      <c r="J153" t="s">
        <v>147</v>
      </c>
      <c r="K153" t="str">
        <f>+"FY"&amp;RIGHT(YEAR('Hyperion Panel'!$B$9),2)</f>
        <v>FY10</v>
      </c>
      <c r="L153">
        <f>'Upload Detail'!L268</f>
        <v>0</v>
      </c>
      <c r="M153">
        <f>'Upload Detail'!M268</f>
        <v>0</v>
      </c>
      <c r="N153">
        <f>'Upload Detail'!N268</f>
        <v>0</v>
      </c>
      <c r="O153">
        <f>'Upload Detail'!O268</f>
        <v>0</v>
      </c>
      <c r="P153">
        <f>'Upload Detail'!P268</f>
        <v>0</v>
      </c>
      <c r="Q153">
        <f>'Upload Detail'!Q268</f>
        <v>0</v>
      </c>
      <c r="R153">
        <f>'Upload Detail'!R268</f>
        <v>0</v>
      </c>
      <c r="S153">
        <f>'Upload Detail'!S268</f>
        <v>0</v>
      </c>
      <c r="T153">
        <f>'Upload Detail'!T268</f>
        <v>0</v>
      </c>
      <c r="U153">
        <f>'Upload Detail'!U268</f>
        <v>0</v>
      </c>
      <c r="V153">
        <f>'Upload Detail'!V268</f>
        <v>15833.32</v>
      </c>
      <c r="W153">
        <f>'Upload Detail'!W268</f>
        <v>15833.32</v>
      </c>
    </row>
    <row r="154" spans="1:25">
      <c r="A154" t="s">
        <v>3925</v>
      </c>
      <c r="B154" t="str">
        <f t="shared" si="4"/>
        <v>P10_11032_00494</v>
      </c>
      <c r="C154" t="str">
        <f t="shared" si="5"/>
        <v>LE_XXXX</v>
      </c>
      <c r="D154" t="s">
        <v>2886</v>
      </c>
      <c r="E154">
        <v>8110</v>
      </c>
      <c r="F154" t="s">
        <v>156</v>
      </c>
      <c r="G154" t="s">
        <v>2889</v>
      </c>
      <c r="H154" t="s">
        <v>154</v>
      </c>
      <c r="I154" t="s">
        <v>146</v>
      </c>
      <c r="J154" t="s">
        <v>147</v>
      </c>
      <c r="K154" t="str">
        <f>+"FY"&amp;RIGHT(YEAR('Hyperion Panel'!$B$9),2)</f>
        <v>FY10</v>
      </c>
      <c r="L154">
        <f>'Upload Detail'!L269</f>
        <v>0</v>
      </c>
      <c r="M154">
        <f>'Upload Detail'!M269</f>
        <v>0</v>
      </c>
      <c r="N154">
        <f>'Upload Detail'!N269</f>
        <v>0</v>
      </c>
      <c r="O154">
        <f>'Upload Detail'!O269</f>
        <v>0</v>
      </c>
      <c r="P154">
        <f>'Upload Detail'!P269</f>
        <v>0</v>
      </c>
      <c r="Q154">
        <f>'Upload Detail'!Q269</f>
        <v>0</v>
      </c>
      <c r="R154">
        <f>'Upload Detail'!R269</f>
        <v>0</v>
      </c>
      <c r="S154">
        <f>'Upload Detail'!S269</f>
        <v>0</v>
      </c>
      <c r="T154">
        <f>'Upload Detail'!T269</f>
        <v>0</v>
      </c>
      <c r="U154">
        <f>'Upload Detail'!U269</f>
        <v>0</v>
      </c>
      <c r="V154">
        <f>'Upload Detail'!V269</f>
        <v>1044.7049999999999</v>
      </c>
      <c r="W154">
        <f>'Upload Detail'!W269</f>
        <v>1044.7049999999999</v>
      </c>
    </row>
    <row r="155" spans="1:25">
      <c r="A155" t="s">
        <v>3926</v>
      </c>
      <c r="B155" t="str">
        <f t="shared" si="4"/>
        <v>P10_11032_00494</v>
      </c>
      <c r="C155" t="str">
        <f t="shared" si="5"/>
        <v>LE_XXXX</v>
      </c>
      <c r="D155" t="s">
        <v>2886</v>
      </c>
      <c r="E155">
        <v>6412</v>
      </c>
      <c r="F155" t="s">
        <v>156</v>
      </c>
      <c r="G155" t="s">
        <v>2889</v>
      </c>
      <c r="H155" t="s">
        <v>154</v>
      </c>
      <c r="I155" t="s">
        <v>146</v>
      </c>
      <c r="J155" t="s">
        <v>147</v>
      </c>
      <c r="K155" t="str">
        <f>+"FY"&amp;RIGHT(YEAR('Hyperion Panel'!$B$9),2)</f>
        <v>FY10</v>
      </c>
      <c r="L155">
        <f>'Upload Detail'!L270</f>
        <v>0</v>
      </c>
      <c r="M155">
        <f>'Upload Detail'!M270</f>
        <v>0</v>
      </c>
      <c r="N155">
        <f>'Upload Detail'!N270</f>
        <v>0</v>
      </c>
      <c r="O155">
        <f>'Upload Detail'!O270</f>
        <v>0</v>
      </c>
      <c r="P155">
        <f>'Upload Detail'!P270</f>
        <v>0</v>
      </c>
      <c r="Q155">
        <f>'Upload Detail'!Q270</f>
        <v>0</v>
      </c>
      <c r="R155">
        <f>'Upload Detail'!R270</f>
        <v>0</v>
      </c>
      <c r="S155">
        <f>'Upload Detail'!S270</f>
        <v>0</v>
      </c>
      <c r="T155">
        <f>'Upload Detail'!T270</f>
        <v>0</v>
      </c>
      <c r="U155">
        <f>'Upload Detail'!U270</f>
        <v>0</v>
      </c>
      <c r="V155">
        <f>'Upload Detail'!V270</f>
        <v>18564.974605157677</v>
      </c>
      <c r="W155">
        <f>'Upload Detail'!W270</f>
        <v>18564.974605157677</v>
      </c>
    </row>
    <row r="156" spans="1:25" s="104" customFormat="1">
      <c r="A156" s="104" t="s">
        <v>730</v>
      </c>
      <c r="B156" s="104" t="str">
        <f t="shared" si="4"/>
        <v>P10_11032_00494</v>
      </c>
      <c r="C156" s="104" t="str">
        <f t="shared" si="5"/>
        <v>LE_XXXX</v>
      </c>
      <c r="D156" s="104" t="s">
        <v>2886</v>
      </c>
      <c r="E156" s="104">
        <v>8110</v>
      </c>
      <c r="F156" s="104" t="s">
        <v>731</v>
      </c>
      <c r="G156" s="104" t="s">
        <v>2889</v>
      </c>
      <c r="H156" s="104" t="s">
        <v>154</v>
      </c>
      <c r="I156" s="104" t="s">
        <v>146</v>
      </c>
      <c r="J156" s="104" t="s">
        <v>147</v>
      </c>
      <c r="K156" t="str">
        <f>+"FY"&amp;RIGHT(YEAR('Hyperion Panel'!$B$9),2)</f>
        <v>FY10</v>
      </c>
      <c r="L156" s="104">
        <f>'Upload Detail'!L271</f>
        <v>0</v>
      </c>
      <c r="M156" s="104">
        <f>'Upload Detail'!M271</f>
        <v>0</v>
      </c>
      <c r="N156" s="104">
        <f>'Upload Detail'!N271</f>
        <v>0</v>
      </c>
      <c r="O156" s="104">
        <f>'Upload Detail'!O271</f>
        <v>0</v>
      </c>
      <c r="P156" s="104">
        <f>'Upload Detail'!P271</f>
        <v>0</v>
      </c>
      <c r="Q156" s="104">
        <f>'Upload Detail'!Q271</f>
        <v>0</v>
      </c>
      <c r="R156" s="104">
        <f>'Upload Detail'!R271</f>
        <v>0</v>
      </c>
      <c r="S156" s="104">
        <f>'Upload Detail'!S271</f>
        <v>0</v>
      </c>
      <c r="T156" s="104">
        <f>'Upload Detail'!T271</f>
        <v>0</v>
      </c>
      <c r="U156" s="104">
        <f>'Upload Detail'!U271</f>
        <v>0</v>
      </c>
      <c r="V156" s="104">
        <f>'Upload Detail'!V271</f>
        <v>833.33333333333337</v>
      </c>
      <c r="W156" s="104">
        <f>'Upload Detail'!W271</f>
        <v>833.33333333333337</v>
      </c>
      <c r="Y156" s="1690"/>
    </row>
    <row r="157" spans="1:25" s="104" customFormat="1">
      <c r="A157" s="104" t="s">
        <v>732</v>
      </c>
      <c r="B157" s="104" t="str">
        <f t="shared" si="4"/>
        <v>P10_11032_00494</v>
      </c>
      <c r="C157" s="104" t="str">
        <f t="shared" si="5"/>
        <v>LE_XXXX</v>
      </c>
      <c r="D157" s="104" t="s">
        <v>2886</v>
      </c>
      <c r="F157" s="104" t="s">
        <v>731</v>
      </c>
      <c r="G157" s="104" t="s">
        <v>2889</v>
      </c>
      <c r="H157" s="104" t="s">
        <v>154</v>
      </c>
      <c r="I157" s="104" t="s">
        <v>146</v>
      </c>
      <c r="J157" s="104" t="s">
        <v>147</v>
      </c>
      <c r="K157" t="str">
        <f>+"FY"&amp;RIGHT(YEAR('Hyperion Panel'!$B$9),2)</f>
        <v>FY10</v>
      </c>
      <c r="L157" s="104">
        <f>'Upload Detail'!L272</f>
        <v>0</v>
      </c>
      <c r="M157" s="104">
        <f>'Upload Detail'!M272</f>
        <v>0</v>
      </c>
      <c r="N157" s="104">
        <f>'Upload Detail'!N272</f>
        <v>0</v>
      </c>
      <c r="O157" s="104">
        <f>'Upload Detail'!O272</f>
        <v>0</v>
      </c>
      <c r="P157" s="104">
        <f>'Upload Detail'!P272</f>
        <v>0</v>
      </c>
      <c r="Q157" s="104">
        <f>'Upload Detail'!Q272</f>
        <v>0</v>
      </c>
      <c r="R157" s="104">
        <f>'Upload Detail'!R272</f>
        <v>0</v>
      </c>
      <c r="S157" s="104">
        <f>'Upload Detail'!S272</f>
        <v>0</v>
      </c>
      <c r="T157" s="104">
        <f>'Upload Detail'!T272</f>
        <v>0</v>
      </c>
      <c r="U157" s="104">
        <f>'Upload Detail'!U272</f>
        <v>0</v>
      </c>
      <c r="V157" s="104">
        <f>'Upload Detail'!V272</f>
        <v>0</v>
      </c>
      <c r="W157" s="104">
        <f>'Upload Detail'!W272</f>
        <v>0</v>
      </c>
      <c r="Y157" s="1690"/>
    </row>
    <row r="158" spans="1:25" s="104" customFormat="1">
      <c r="A158" s="104" t="s">
        <v>733</v>
      </c>
      <c r="B158" s="104" t="str">
        <f t="shared" si="4"/>
        <v>P10_11032_00494</v>
      </c>
      <c r="C158" s="104" t="str">
        <f t="shared" si="5"/>
        <v>LE_XXXX</v>
      </c>
      <c r="D158" s="104" t="s">
        <v>2886</v>
      </c>
      <c r="F158" s="104" t="s">
        <v>731</v>
      </c>
      <c r="G158" s="104" t="s">
        <v>2889</v>
      </c>
      <c r="H158" s="104" t="s">
        <v>154</v>
      </c>
      <c r="I158" s="104" t="s">
        <v>146</v>
      </c>
      <c r="J158" s="104" t="s">
        <v>147</v>
      </c>
      <c r="K158" t="str">
        <f>+"FY"&amp;RIGHT(YEAR('Hyperion Panel'!$B$9),2)</f>
        <v>FY10</v>
      </c>
      <c r="L158" s="104">
        <f>'Upload Detail'!L273</f>
        <v>0</v>
      </c>
      <c r="M158" s="104">
        <f>'Upload Detail'!M273</f>
        <v>0</v>
      </c>
      <c r="N158" s="104">
        <f>'Upload Detail'!N273</f>
        <v>0</v>
      </c>
      <c r="O158" s="104">
        <f>'Upload Detail'!O273</f>
        <v>0</v>
      </c>
      <c r="P158" s="104">
        <f>'Upload Detail'!P273</f>
        <v>0</v>
      </c>
      <c r="Q158" s="104">
        <f>'Upload Detail'!Q273</f>
        <v>0</v>
      </c>
      <c r="R158" s="104">
        <f>'Upload Detail'!R273</f>
        <v>0</v>
      </c>
      <c r="S158" s="104">
        <f>'Upload Detail'!S273</f>
        <v>0</v>
      </c>
      <c r="T158" s="104">
        <f>'Upload Detail'!T273</f>
        <v>0</v>
      </c>
      <c r="U158" s="104">
        <f>'Upload Detail'!U273</f>
        <v>0</v>
      </c>
      <c r="V158" s="104">
        <f>'Upload Detail'!V273</f>
        <v>9640</v>
      </c>
      <c r="W158" s="104">
        <f>'Upload Detail'!W273</f>
        <v>9640</v>
      </c>
      <c r="Y158" s="1690"/>
    </row>
    <row r="159" spans="1:25" s="104" customFormat="1">
      <c r="A159" s="104" t="s">
        <v>734</v>
      </c>
      <c r="B159" s="104" t="str">
        <f t="shared" si="4"/>
        <v>P10_11032_00494</v>
      </c>
      <c r="C159" s="104" t="str">
        <f t="shared" si="5"/>
        <v>LE_XXXX</v>
      </c>
      <c r="D159" s="104" t="s">
        <v>2886</v>
      </c>
      <c r="E159" s="104">
        <v>6800</v>
      </c>
      <c r="F159" s="104" t="s">
        <v>731</v>
      </c>
      <c r="G159" s="104" t="s">
        <v>2889</v>
      </c>
      <c r="H159" s="104" t="s">
        <v>154</v>
      </c>
      <c r="I159" s="104" t="s">
        <v>146</v>
      </c>
      <c r="J159" s="104" t="s">
        <v>147</v>
      </c>
      <c r="K159" t="str">
        <f>+"FY"&amp;RIGHT(YEAR('Hyperion Panel'!$B$9),2)</f>
        <v>FY10</v>
      </c>
      <c r="L159" s="104">
        <f>'Upload Detail'!L274</f>
        <v>0</v>
      </c>
      <c r="M159" s="104">
        <f>'Upload Detail'!M274</f>
        <v>0</v>
      </c>
      <c r="N159" s="104">
        <f>'Upload Detail'!N274</f>
        <v>0</v>
      </c>
      <c r="O159" s="104">
        <f>'Upload Detail'!O274</f>
        <v>0</v>
      </c>
      <c r="P159" s="104">
        <f>'Upload Detail'!P274</f>
        <v>0</v>
      </c>
      <c r="Q159" s="104">
        <f>'Upload Detail'!Q274</f>
        <v>0</v>
      </c>
      <c r="R159" s="104">
        <f>'Upload Detail'!R274</f>
        <v>0</v>
      </c>
      <c r="S159" s="104">
        <f>'Upload Detail'!S274</f>
        <v>0</v>
      </c>
      <c r="T159" s="104">
        <f>'Upload Detail'!T274</f>
        <v>0</v>
      </c>
      <c r="U159" s="104">
        <f>'Upload Detail'!U274</f>
        <v>0</v>
      </c>
      <c r="V159" s="104">
        <f>'Upload Detail'!V274</f>
        <v>1750</v>
      </c>
      <c r="W159" s="104">
        <f>'Upload Detail'!W274</f>
        <v>1750</v>
      </c>
      <c r="Y159" s="1690"/>
    </row>
    <row r="160" spans="1:25">
      <c r="A160" t="s">
        <v>158</v>
      </c>
      <c r="B160" t="str">
        <f t="shared" si="4"/>
        <v>P10_11032_00494</v>
      </c>
      <c r="C160" t="str">
        <f t="shared" si="5"/>
        <v>LE_XXXX</v>
      </c>
      <c r="D160" t="s">
        <v>2886</v>
      </c>
      <c r="E160" t="s">
        <v>159</v>
      </c>
      <c r="F160" t="s">
        <v>156</v>
      </c>
      <c r="G160" t="s">
        <v>2889</v>
      </c>
      <c r="H160" t="s">
        <v>154</v>
      </c>
      <c r="I160" t="s">
        <v>146</v>
      </c>
      <c r="J160" t="s">
        <v>147</v>
      </c>
      <c r="K160" t="str">
        <f>+"FY"&amp;RIGHT(YEAR('Hyperion Panel'!$B$9),2)</f>
        <v>FY10</v>
      </c>
      <c r="L160" s="103">
        <f>'Upload Detail'!L275</f>
        <v>1</v>
      </c>
      <c r="M160" s="103">
        <f>'Upload Detail'!M275</f>
        <v>1</v>
      </c>
      <c r="N160" s="103">
        <f>'Upload Detail'!N275</f>
        <v>1</v>
      </c>
      <c r="O160" s="103">
        <f>'Upload Detail'!O275</f>
        <v>1</v>
      </c>
      <c r="P160" s="103">
        <f>'Upload Detail'!P275</f>
        <v>1</v>
      </c>
      <c r="Q160" s="103">
        <f>'Upload Detail'!Q275</f>
        <v>1</v>
      </c>
      <c r="R160" s="103">
        <f>'Upload Detail'!R275</f>
        <v>1</v>
      </c>
      <c r="S160" s="103">
        <f>'Upload Detail'!S275</f>
        <v>1</v>
      </c>
      <c r="T160" s="103">
        <f>'Upload Detail'!T275</f>
        <v>1</v>
      </c>
      <c r="U160" s="103">
        <f>'Upload Detail'!U275</f>
        <v>1</v>
      </c>
      <c r="V160" s="103">
        <f>'Upload Detail'!V275</f>
        <v>1</v>
      </c>
      <c r="W160" s="103">
        <f>'Upload Detail'!W275</f>
        <v>1</v>
      </c>
    </row>
    <row r="161" spans="1:25">
      <c r="A161" t="s">
        <v>160</v>
      </c>
      <c r="B161" t="str">
        <f t="shared" si="4"/>
        <v>P10_11032_00494</v>
      </c>
      <c r="C161" t="str">
        <f t="shared" si="5"/>
        <v>LE_XXXX</v>
      </c>
      <c r="D161" t="s">
        <v>2886</v>
      </c>
      <c r="E161" t="s">
        <v>161</v>
      </c>
      <c r="F161" t="s">
        <v>156</v>
      </c>
      <c r="G161" t="s">
        <v>2889</v>
      </c>
      <c r="H161" t="s">
        <v>154</v>
      </c>
      <c r="I161" t="s">
        <v>146</v>
      </c>
      <c r="J161" t="s">
        <v>147</v>
      </c>
      <c r="K161" t="str">
        <f>+"FY"&amp;RIGHT(YEAR('Hyperion Panel'!$B$9),2)</f>
        <v>FY10</v>
      </c>
      <c r="L161">
        <f>'Upload Detail'!L276</f>
        <v>0</v>
      </c>
      <c r="M161">
        <f>'Upload Detail'!M276</f>
        <v>0</v>
      </c>
      <c r="N161">
        <f>'Upload Detail'!N276</f>
        <v>0</v>
      </c>
      <c r="O161">
        <f>'Upload Detail'!O276</f>
        <v>0</v>
      </c>
      <c r="P161">
        <f>'Upload Detail'!P276</f>
        <v>0</v>
      </c>
      <c r="Q161">
        <f>'Upload Detail'!Q276</f>
        <v>0</v>
      </c>
      <c r="R161">
        <f>'Upload Detail'!R276</f>
        <v>0</v>
      </c>
      <c r="S161">
        <f>'Upload Detail'!S276</f>
        <v>0</v>
      </c>
      <c r="T161">
        <f>'Upload Detail'!T276</f>
        <v>0</v>
      </c>
      <c r="U161">
        <f>'Upload Detail'!U276</f>
        <v>0</v>
      </c>
      <c r="V161">
        <f>'Upload Detail'!V276</f>
        <v>0</v>
      </c>
      <c r="W161">
        <f>'Upload Detail'!W276</f>
        <v>0</v>
      </c>
    </row>
    <row r="162" spans="1:25" s="104" customFormat="1">
      <c r="A162" s="104" t="s">
        <v>735</v>
      </c>
      <c r="B162" t="str">
        <f t="shared" si="4"/>
        <v>P10_11032_00494</v>
      </c>
      <c r="C162" t="str">
        <f t="shared" si="5"/>
        <v>LE_XXXX</v>
      </c>
      <c r="D162" t="s">
        <v>2886</v>
      </c>
      <c r="F162" s="104" t="s">
        <v>731</v>
      </c>
      <c r="G162" s="104" t="s">
        <v>2889</v>
      </c>
      <c r="H162" s="104" t="s">
        <v>154</v>
      </c>
      <c r="I162" s="104" t="s">
        <v>146</v>
      </c>
      <c r="J162" s="104" t="s">
        <v>147</v>
      </c>
      <c r="K162" t="str">
        <f>+"FY"&amp;RIGHT(YEAR('Hyperion Panel'!$B$9),2)</f>
        <v>FY10</v>
      </c>
      <c r="L162" s="104">
        <f>'Upload Detail'!L277</f>
        <v>0</v>
      </c>
      <c r="M162" s="104">
        <f>'Upload Detail'!M277</f>
        <v>0</v>
      </c>
      <c r="N162" s="104">
        <f>'Upload Detail'!N277</f>
        <v>0</v>
      </c>
      <c r="O162" s="104">
        <f>'Upload Detail'!O277</f>
        <v>0</v>
      </c>
      <c r="P162" s="104">
        <f>'Upload Detail'!P277</f>
        <v>0</v>
      </c>
      <c r="Q162" s="104">
        <f>'Upload Detail'!Q277</f>
        <v>0</v>
      </c>
      <c r="R162" s="104">
        <f>'Upload Detail'!R277</f>
        <v>0</v>
      </c>
      <c r="S162" s="104">
        <f>'Upload Detail'!S277</f>
        <v>0</v>
      </c>
      <c r="T162" s="104">
        <f>'Upload Detail'!T277</f>
        <v>0</v>
      </c>
      <c r="U162" s="104">
        <f>'Upload Detail'!U277</f>
        <v>0</v>
      </c>
      <c r="V162" s="104">
        <f>'Upload Detail'!V277</f>
        <v>0</v>
      </c>
      <c r="W162" s="104">
        <f>'Upload Detail'!W277</f>
        <v>0</v>
      </c>
    </row>
    <row r="163" spans="1:25" s="6" customFormat="1">
      <c r="A163" s="6" t="s">
        <v>165</v>
      </c>
      <c r="B163" s="6" t="str">
        <f t="shared" si="4"/>
        <v>P10_11032_00494</v>
      </c>
      <c r="C163" s="6" t="str">
        <f t="shared" si="5"/>
        <v>LE_XXXX</v>
      </c>
      <c r="D163" s="6" t="s">
        <v>2886</v>
      </c>
      <c r="E163" s="6" t="s">
        <v>2887</v>
      </c>
      <c r="F163" s="6" t="s">
        <v>2888</v>
      </c>
      <c r="G163" s="6" t="s">
        <v>2889</v>
      </c>
      <c r="H163" s="6" t="s">
        <v>145</v>
      </c>
      <c r="I163" s="6" t="s">
        <v>146</v>
      </c>
      <c r="J163" s="6" t="s">
        <v>147</v>
      </c>
      <c r="K163" s="6" t="str">
        <f>+"FY"&amp;RIGHT(YEAR('Hyperion Panel'!$B$9)+1,2)</f>
        <v>FY11</v>
      </c>
      <c r="L163" s="6">
        <f>SUM('Upload Detail'!L280:L281)</f>
        <v>598</v>
      </c>
      <c r="M163" s="6">
        <f>SUM('Upload Detail'!M280:M281)</f>
        <v>598</v>
      </c>
      <c r="N163" s="6">
        <f>SUM('Upload Detail'!N280:N281)</f>
        <v>598</v>
      </c>
      <c r="O163" s="6">
        <f>SUM('Upload Detail'!O280:O281)</f>
        <v>598</v>
      </c>
      <c r="P163" s="6">
        <f>SUM('Upload Detail'!P280:P281)</f>
        <v>598</v>
      </c>
      <c r="Q163" s="6">
        <f>SUM('Upload Detail'!Q280:Q281)</f>
        <v>598</v>
      </c>
      <c r="R163" s="6">
        <f>SUM('Upload Detail'!R280:R281)</f>
        <v>598</v>
      </c>
      <c r="S163" s="6">
        <f>SUM('Upload Detail'!S280:S281)</f>
        <v>598</v>
      </c>
      <c r="T163" s="6">
        <f>SUM('Upload Detail'!T280:T281)</f>
        <v>598</v>
      </c>
      <c r="U163" s="6">
        <f>SUM('Upload Detail'!U280:U281)</f>
        <v>598</v>
      </c>
      <c r="V163" s="6">
        <f>SUM('Upload Detail'!V280:V281)</f>
        <v>598</v>
      </c>
      <c r="W163" s="6">
        <f>SUM('Upload Detail'!W280:W281)</f>
        <v>598</v>
      </c>
    </row>
    <row r="164" spans="1:25" s="6" customFormat="1">
      <c r="A164" s="6" t="s">
        <v>162</v>
      </c>
      <c r="B164" s="6" t="str">
        <f t="shared" si="4"/>
        <v>P10_11032_00494</v>
      </c>
      <c r="C164" s="6" t="str">
        <f t="shared" si="5"/>
        <v>LE_XXXX</v>
      </c>
      <c r="D164" s="6" t="s">
        <v>2886</v>
      </c>
      <c r="E164" s="6" t="s">
        <v>149</v>
      </c>
      <c r="F164" s="6" t="s">
        <v>150</v>
      </c>
      <c r="G164" s="6" t="s">
        <v>2889</v>
      </c>
      <c r="H164" s="6" t="s">
        <v>145</v>
      </c>
      <c r="I164" s="6" t="s">
        <v>146</v>
      </c>
      <c r="J164" s="6" t="s">
        <v>147</v>
      </c>
      <c r="K164" s="6" t="str">
        <f>+"FY"&amp;RIGHT(YEAR('Hyperion Panel'!$B$9)+1,2)</f>
        <v>FY11</v>
      </c>
      <c r="L164" s="6">
        <f>SUM('Upload Detail'!L283:L284)</f>
        <v>247</v>
      </c>
      <c r="M164" s="6">
        <f>SUM('Upload Detail'!M283:M284)</f>
        <v>247</v>
      </c>
      <c r="N164" s="6">
        <f>SUM('Upload Detail'!N283:N284)</f>
        <v>247</v>
      </c>
      <c r="O164" s="6">
        <f>SUM('Upload Detail'!O283:O284)</f>
        <v>247</v>
      </c>
      <c r="P164" s="6">
        <f>SUM('Upload Detail'!P283:P284)</f>
        <v>247</v>
      </c>
      <c r="Q164" s="6">
        <f>SUM('Upload Detail'!Q283:Q284)</f>
        <v>247</v>
      </c>
      <c r="R164" s="6">
        <f>SUM('Upload Detail'!R283:R284)</f>
        <v>247</v>
      </c>
      <c r="S164" s="6">
        <f>SUM('Upload Detail'!S283:S284)</f>
        <v>247</v>
      </c>
      <c r="T164" s="6">
        <f>SUM('Upload Detail'!T283:T284)</f>
        <v>247</v>
      </c>
      <c r="U164" s="6">
        <f>SUM('Upload Detail'!U283:U284)</f>
        <v>247</v>
      </c>
      <c r="V164" s="6">
        <f>SUM('Upload Detail'!V283:V284)</f>
        <v>247</v>
      </c>
      <c r="W164" s="6">
        <f>SUM('Upload Detail'!W283:W284)</f>
        <v>247</v>
      </c>
    </row>
    <row r="165" spans="1:25" s="1691" customFormat="1">
      <c r="A165" s="1691" t="s">
        <v>3767</v>
      </c>
      <c r="B165" s="1691" t="str">
        <f t="shared" si="4"/>
        <v>P10_11032_00494</v>
      </c>
      <c r="C165" s="1691" t="str">
        <f t="shared" si="5"/>
        <v>LE_XXXX</v>
      </c>
      <c r="D165" s="1691" t="s">
        <v>2886</v>
      </c>
      <c r="E165" s="1691" t="s">
        <v>719</v>
      </c>
      <c r="F165" s="1691" t="s">
        <v>731</v>
      </c>
      <c r="G165" s="1691" t="s">
        <v>2889</v>
      </c>
      <c r="H165" s="1691" t="s">
        <v>145</v>
      </c>
      <c r="I165" s="1691" t="s">
        <v>146</v>
      </c>
      <c r="J165" s="1691" t="s">
        <v>147</v>
      </c>
      <c r="K165" s="6" t="str">
        <f>+"FY"&amp;RIGHT(YEAR('Hyperion Panel'!$B$9)+1,2)</f>
        <v>FY11</v>
      </c>
      <c r="L165" s="1691">
        <f>SUM('Upload Detail'!L286:L287)</f>
        <v>65</v>
      </c>
      <c r="M165" s="1691">
        <f>SUM('Upload Detail'!M286:M287)</f>
        <v>65</v>
      </c>
      <c r="N165" s="1691">
        <f>SUM('Upload Detail'!N286:N287)</f>
        <v>65</v>
      </c>
      <c r="O165" s="1691">
        <f>SUM('Upload Detail'!O286:O287)</f>
        <v>65</v>
      </c>
      <c r="P165" s="1691">
        <f>SUM('Upload Detail'!P286:P287)</f>
        <v>65</v>
      </c>
      <c r="Q165" s="1691">
        <f>SUM('Upload Detail'!Q286:Q287)</f>
        <v>65</v>
      </c>
      <c r="R165" s="1691">
        <f>SUM('Upload Detail'!R286:R287)</f>
        <v>65</v>
      </c>
      <c r="S165" s="1691">
        <f>SUM('Upload Detail'!S286:S287)</f>
        <v>65</v>
      </c>
      <c r="T165" s="1691">
        <f>SUM('Upload Detail'!T286:T287)</f>
        <v>65</v>
      </c>
      <c r="U165" s="1691">
        <f>SUM('Upload Detail'!U286:U287)</f>
        <v>65</v>
      </c>
      <c r="V165" s="1691">
        <f>SUM('Upload Detail'!V286:V287)</f>
        <v>65</v>
      </c>
      <c r="W165" s="1691">
        <f>SUM('Upload Detail'!W286:W287)</f>
        <v>65</v>
      </c>
    </row>
    <row r="166" spans="1:25" s="6" customFormat="1">
      <c r="A166" s="6" t="s">
        <v>163</v>
      </c>
      <c r="B166" s="6" t="str">
        <f t="shared" si="4"/>
        <v>P10_11032_00494</v>
      </c>
      <c r="C166" s="6" t="str">
        <f t="shared" si="5"/>
        <v>LE_XXXX</v>
      </c>
      <c r="D166" s="6" t="s">
        <v>2886</v>
      </c>
      <c r="E166" s="6">
        <v>3010</v>
      </c>
      <c r="F166" s="6" t="s">
        <v>2888</v>
      </c>
      <c r="G166" s="6" t="s">
        <v>2889</v>
      </c>
      <c r="H166" s="6" t="s">
        <v>145</v>
      </c>
      <c r="I166" s="6" t="s">
        <v>146</v>
      </c>
      <c r="J166" s="6" t="s">
        <v>147</v>
      </c>
      <c r="K166" s="6" t="str">
        <f>+"FY"&amp;RIGHT(YEAR('Hyperion Panel'!$B$9)+1,2)</f>
        <v>FY11</v>
      </c>
      <c r="L166" s="6">
        <f>SUM('Upload Detail'!L289:L290)</f>
        <v>172953.90732544177</v>
      </c>
      <c r="M166" s="6">
        <f>SUM('Upload Detail'!M289:M290)</f>
        <v>172953.90732544177</v>
      </c>
      <c r="N166" s="6">
        <f>SUM('Upload Detail'!N289:N290)</f>
        <v>172953.90732544177</v>
      </c>
      <c r="O166" s="6">
        <f>SUM('Upload Detail'!O289:O290)</f>
        <v>172953.90732544177</v>
      </c>
      <c r="P166" s="6">
        <f>SUM('Upload Detail'!P289:P290)</f>
        <v>172953.90732544177</v>
      </c>
      <c r="Q166" s="6">
        <f>SUM('Upload Detail'!Q289:Q290)</f>
        <v>172953.90732544177</v>
      </c>
      <c r="R166" s="6">
        <f>SUM('Upload Detail'!R289:R290)</f>
        <v>172953.90732544177</v>
      </c>
      <c r="S166" s="6">
        <f>SUM('Upload Detail'!S289:S290)</f>
        <v>172953.90732544177</v>
      </c>
      <c r="T166" s="6">
        <f>SUM('Upload Detail'!T289:T290)</f>
        <v>172953.90732544177</v>
      </c>
      <c r="U166" s="6">
        <f>SUM('Upload Detail'!U289:U290)</f>
        <v>172953.90732544177</v>
      </c>
      <c r="V166" s="6">
        <f>SUM('Upload Detail'!V289:V290)</f>
        <v>173141.53275853995</v>
      </c>
      <c r="W166" s="6">
        <f>SUM('Upload Detail'!W289:W290)</f>
        <v>173141.53275853995</v>
      </c>
    </row>
    <row r="167" spans="1:25" s="6" customFormat="1">
      <c r="A167" s="6" t="s">
        <v>164</v>
      </c>
      <c r="B167" s="6" t="str">
        <f t="shared" si="4"/>
        <v>P10_11032_00494</v>
      </c>
      <c r="C167" s="6" t="str">
        <f t="shared" si="5"/>
        <v>LE_XXXX</v>
      </c>
      <c r="D167" s="6" t="s">
        <v>2886</v>
      </c>
      <c r="E167" s="6">
        <v>3030</v>
      </c>
      <c r="F167" s="6" t="s">
        <v>150</v>
      </c>
      <c r="G167" s="6" t="s">
        <v>2889</v>
      </c>
      <c r="H167" s="6" t="s">
        <v>145</v>
      </c>
      <c r="I167" s="6" t="s">
        <v>146</v>
      </c>
      <c r="J167" s="6" t="s">
        <v>147</v>
      </c>
      <c r="K167" s="6" t="str">
        <f>+"FY"&amp;RIGHT(YEAR('Hyperion Panel'!$B$9)+1,2)</f>
        <v>FY11</v>
      </c>
      <c r="L167" s="6">
        <f>SUM('Upload Detail'!L292:L293)</f>
        <v>118919.72127984778</v>
      </c>
      <c r="M167" s="6">
        <f>SUM('Upload Detail'!M292:M293)</f>
        <v>118919.72127984778</v>
      </c>
      <c r="N167" s="6">
        <f>SUM('Upload Detail'!N292:N293)</f>
        <v>118919.72127984778</v>
      </c>
      <c r="O167" s="6">
        <f>SUM('Upload Detail'!O292:O293)</f>
        <v>118919.72127984778</v>
      </c>
      <c r="P167" s="6">
        <f>SUM('Upload Detail'!P292:P293)</f>
        <v>118919.72127984778</v>
      </c>
      <c r="Q167" s="6">
        <f>SUM('Upload Detail'!Q292:Q293)</f>
        <v>118919.72127984778</v>
      </c>
      <c r="R167" s="6">
        <f>SUM('Upload Detail'!R292:R293)</f>
        <v>118919.72127984778</v>
      </c>
      <c r="S167" s="6">
        <f>SUM('Upload Detail'!S292:S293)</f>
        <v>118919.72127984778</v>
      </c>
      <c r="T167" s="6">
        <f>SUM('Upload Detail'!T292:T293)</f>
        <v>118919.72127984778</v>
      </c>
      <c r="U167" s="6">
        <f>SUM('Upload Detail'!U292:U293)</f>
        <v>118919.72127984778</v>
      </c>
      <c r="V167" s="6">
        <f>SUM('Upload Detail'!V292:V293)</f>
        <v>120543.10575276063</v>
      </c>
      <c r="W167" s="6">
        <f>SUM('Upload Detail'!W292:W293)</f>
        <v>120543.10575276063</v>
      </c>
    </row>
    <row r="168" spans="1:25" s="1691" customFormat="1">
      <c r="A168" s="1691" t="s">
        <v>3768</v>
      </c>
      <c r="B168" s="1691" t="str">
        <f t="shared" si="4"/>
        <v>P10_11032_00494</v>
      </c>
      <c r="C168" s="1691" t="str">
        <f t="shared" si="5"/>
        <v>LE_XXXX</v>
      </c>
      <c r="D168" s="1691" t="s">
        <v>2886</v>
      </c>
      <c r="E168" s="1691">
        <v>3050</v>
      </c>
      <c r="F168" s="1691" t="s">
        <v>731</v>
      </c>
      <c r="G168" s="1691" t="s">
        <v>2889</v>
      </c>
      <c r="H168" s="1691" t="s">
        <v>145</v>
      </c>
      <c r="I168" s="1691" t="s">
        <v>146</v>
      </c>
      <c r="J168" s="1691" t="s">
        <v>147</v>
      </c>
      <c r="K168" s="6" t="str">
        <f>+"FY"&amp;RIGHT(YEAR('Hyperion Panel'!$B$9)+1,2)</f>
        <v>FY11</v>
      </c>
      <c r="L168" s="1691">
        <f>SUM('Upload Detail'!L295:L296)</f>
        <v>16927.071343873515</v>
      </c>
      <c r="M168" s="1691">
        <f>SUM('Upload Detail'!M295:M296)</f>
        <v>16927.071343873515</v>
      </c>
      <c r="N168" s="1691">
        <f>SUM('Upload Detail'!N295:N296)</f>
        <v>16927.071343873515</v>
      </c>
      <c r="O168" s="1691">
        <f>SUM('Upload Detail'!O295:O296)</f>
        <v>16927.071343873515</v>
      </c>
      <c r="P168" s="1691">
        <f>SUM('Upload Detail'!P295:P296)</f>
        <v>16927.071343873515</v>
      </c>
      <c r="Q168" s="1691">
        <f>SUM('Upload Detail'!Q295:Q296)</f>
        <v>16927.071343873515</v>
      </c>
      <c r="R168" s="1691">
        <f>SUM('Upload Detail'!R295:R296)</f>
        <v>16927.071343873515</v>
      </c>
      <c r="S168" s="1691">
        <f>SUM('Upload Detail'!S295:S296)</f>
        <v>16927.071343873515</v>
      </c>
      <c r="T168" s="1691">
        <f>SUM('Upload Detail'!T295:T296)</f>
        <v>16927.071343873515</v>
      </c>
      <c r="U168" s="1691">
        <f>SUM('Upload Detail'!U295:U296)</f>
        <v>16927.071343873515</v>
      </c>
      <c r="V168" s="1691">
        <f>SUM('Upload Detail'!V295:V296)</f>
        <v>16884.753665513832</v>
      </c>
      <c r="W168" s="1691">
        <f>SUM('Upload Detail'!W295:W296)</f>
        <v>16884.753665513832</v>
      </c>
    </row>
    <row r="169" spans="1:25">
      <c r="A169" t="s">
        <v>2651</v>
      </c>
      <c r="B169" t="str">
        <f t="shared" si="4"/>
        <v>P10_11032_00494</v>
      </c>
      <c r="C169" t="str">
        <f t="shared" si="5"/>
        <v>LE_XXXX</v>
      </c>
      <c r="D169" t="s">
        <v>2886</v>
      </c>
      <c r="E169">
        <v>6010</v>
      </c>
      <c r="F169" t="s">
        <v>2888</v>
      </c>
      <c r="G169" t="s">
        <v>153</v>
      </c>
      <c r="H169" t="s">
        <v>154</v>
      </c>
      <c r="I169" t="s">
        <v>146</v>
      </c>
      <c r="J169" t="s">
        <v>147</v>
      </c>
      <c r="K169" t="str">
        <f>+"FY"&amp;RIGHT(YEAR('Hyperion Panel'!$B$9)+1,2)</f>
        <v>FY11</v>
      </c>
      <c r="L169">
        <f>'Upload Detail'!L297</f>
        <v>38699.784812132857</v>
      </c>
      <c r="M169">
        <f>'Upload Detail'!M297</f>
        <v>38699.784812132857</v>
      </c>
      <c r="N169">
        <f>'Upload Detail'!N297</f>
        <v>38699.784812132857</v>
      </c>
      <c r="O169">
        <f>'Upload Detail'!O297</f>
        <v>38699.784812132857</v>
      </c>
      <c r="P169">
        <f>'Upload Detail'!P297</f>
        <v>38699.784812132857</v>
      </c>
      <c r="Q169">
        <f>'Upload Detail'!Q297</f>
        <v>38699.784812132857</v>
      </c>
      <c r="R169">
        <f>'Upload Detail'!R297</f>
        <v>38699.784812132857</v>
      </c>
      <c r="S169">
        <f>'Upload Detail'!S297</f>
        <v>38699.784812132857</v>
      </c>
      <c r="T169">
        <f>'Upload Detail'!T297</f>
        <v>38699.784812132857</v>
      </c>
      <c r="U169">
        <f>'Upload Detail'!U297</f>
        <v>38699.784812132857</v>
      </c>
      <c r="V169">
        <f>'Upload Detail'!V297</f>
        <v>39860.778356496841</v>
      </c>
      <c r="W169">
        <f>'Upload Detail'!W297</f>
        <v>39860.778356496841</v>
      </c>
      <c r="Y169" s="105"/>
    </row>
    <row r="170" spans="1:25">
      <c r="A170" t="s">
        <v>2652</v>
      </c>
      <c r="B170" t="str">
        <f t="shared" si="4"/>
        <v>P10_11032_00494</v>
      </c>
      <c r="C170" t="str">
        <f t="shared" si="5"/>
        <v>LE_XXXX</v>
      </c>
      <c r="D170" t="s">
        <v>2886</v>
      </c>
      <c r="E170">
        <v>6010</v>
      </c>
      <c r="F170" t="s">
        <v>2888</v>
      </c>
      <c r="G170" t="s">
        <v>155</v>
      </c>
      <c r="H170" t="s">
        <v>154</v>
      </c>
      <c r="I170" t="s">
        <v>146</v>
      </c>
      <c r="J170" t="s">
        <v>147</v>
      </c>
      <c r="K170" t="str">
        <f>+"FY"&amp;RIGHT(YEAR('Hyperion Panel'!$B$9)+1,2)</f>
        <v>FY11</v>
      </c>
      <c r="L170">
        <f>'Upload Detail'!L298</f>
        <v>14795</v>
      </c>
      <c r="M170">
        <f>'Upload Detail'!M298</f>
        <v>14795</v>
      </c>
      <c r="N170">
        <f>'Upload Detail'!N298</f>
        <v>14795</v>
      </c>
      <c r="O170">
        <f>'Upload Detail'!O298</f>
        <v>14795</v>
      </c>
      <c r="P170">
        <f>'Upload Detail'!P298</f>
        <v>14795</v>
      </c>
      <c r="Q170">
        <f>'Upload Detail'!Q298</f>
        <v>14795</v>
      </c>
      <c r="R170">
        <f>'Upload Detail'!R298</f>
        <v>14795</v>
      </c>
      <c r="S170">
        <f>'Upload Detail'!S298</f>
        <v>14795</v>
      </c>
      <c r="T170">
        <f>'Upload Detail'!T298</f>
        <v>14795</v>
      </c>
      <c r="U170">
        <f>'Upload Detail'!U298</f>
        <v>14795</v>
      </c>
      <c r="V170">
        <f>'Upload Detail'!V298</f>
        <v>15238.85</v>
      </c>
      <c r="W170">
        <f>'Upload Detail'!W298</f>
        <v>15238.85</v>
      </c>
      <c r="Y170" s="105"/>
    </row>
    <row r="171" spans="1:25">
      <c r="A171" t="s">
        <v>2653</v>
      </c>
      <c r="B171" t="str">
        <f t="shared" si="4"/>
        <v>P10_11032_00494</v>
      </c>
      <c r="C171" t="str">
        <f t="shared" si="5"/>
        <v>LE_XXXX</v>
      </c>
      <c r="D171" t="s">
        <v>2886</v>
      </c>
      <c r="E171">
        <v>6051</v>
      </c>
      <c r="F171" t="s">
        <v>2888</v>
      </c>
      <c r="G171" t="s">
        <v>153</v>
      </c>
      <c r="H171" t="s">
        <v>154</v>
      </c>
      <c r="I171" t="s">
        <v>146</v>
      </c>
      <c r="J171" t="s">
        <v>147</v>
      </c>
      <c r="K171" t="str">
        <f>+"FY"&amp;RIGHT(YEAR('Hyperion Panel'!$B$9)+1,2)</f>
        <v>FY11</v>
      </c>
      <c r="L171">
        <f>'Upload Detail'!L299</f>
        <v>18890.728391370059</v>
      </c>
      <c r="M171">
        <f>'Upload Detail'!M299</f>
        <v>18890.728391370059</v>
      </c>
      <c r="N171">
        <f>'Upload Detail'!N299</f>
        <v>18890.728391370059</v>
      </c>
      <c r="O171">
        <f>'Upload Detail'!O299</f>
        <v>18890.728391370059</v>
      </c>
      <c r="P171">
        <f>'Upload Detail'!P299</f>
        <v>18890.728391370059</v>
      </c>
      <c r="Q171">
        <f>'Upload Detail'!Q299</f>
        <v>18890.728391370059</v>
      </c>
      <c r="R171">
        <f>'Upload Detail'!R299</f>
        <v>18890.728391370059</v>
      </c>
      <c r="S171">
        <f>'Upload Detail'!S299</f>
        <v>18890.728391370059</v>
      </c>
      <c r="T171">
        <f>'Upload Detail'!T299</f>
        <v>18890.728391370059</v>
      </c>
      <c r="U171">
        <f>'Upload Detail'!U299</f>
        <v>18890.728391370059</v>
      </c>
      <c r="V171">
        <f>'Upload Detail'!V299</f>
        <v>19457.450243111161</v>
      </c>
      <c r="W171">
        <f>'Upload Detail'!W299</f>
        <v>19457.450243111161</v>
      </c>
      <c r="Y171" s="105"/>
    </row>
    <row r="172" spans="1:25">
      <c r="A172" t="s">
        <v>2654</v>
      </c>
      <c r="B172" t="str">
        <f t="shared" si="4"/>
        <v>P10_11032_00494</v>
      </c>
      <c r="C172" t="str">
        <f t="shared" si="5"/>
        <v>LE_XXXX</v>
      </c>
      <c r="D172" t="s">
        <v>2886</v>
      </c>
      <c r="E172">
        <v>6011</v>
      </c>
      <c r="F172" t="s">
        <v>2888</v>
      </c>
      <c r="G172" t="s">
        <v>153</v>
      </c>
      <c r="H172" t="s">
        <v>154</v>
      </c>
      <c r="I172" t="s">
        <v>146</v>
      </c>
      <c r="J172" t="s">
        <v>147</v>
      </c>
      <c r="K172" t="str">
        <f>+"FY"&amp;RIGHT(YEAR('Hyperion Panel'!$B$9)+1,2)</f>
        <v>FY11</v>
      </c>
      <c r="L172">
        <f>'Upload Detail'!L300</f>
        <v>0</v>
      </c>
      <c r="M172">
        <f>'Upload Detail'!M300</f>
        <v>0</v>
      </c>
      <c r="N172">
        <f>'Upload Detail'!N300</f>
        <v>0</v>
      </c>
      <c r="O172">
        <f>'Upload Detail'!O300</f>
        <v>0</v>
      </c>
      <c r="P172">
        <f>'Upload Detail'!P300</f>
        <v>0</v>
      </c>
      <c r="Q172">
        <f>'Upload Detail'!Q300</f>
        <v>0</v>
      </c>
      <c r="R172">
        <f>'Upload Detail'!R300</f>
        <v>0</v>
      </c>
      <c r="S172">
        <f>'Upload Detail'!S300</f>
        <v>0</v>
      </c>
      <c r="T172">
        <f>'Upload Detail'!T300</f>
        <v>0</v>
      </c>
      <c r="U172">
        <f>'Upload Detail'!U300</f>
        <v>0</v>
      </c>
      <c r="V172">
        <f>'Upload Detail'!V300</f>
        <v>0</v>
      </c>
      <c r="W172">
        <f>'Upload Detail'!W300</f>
        <v>0</v>
      </c>
      <c r="Y172" s="105"/>
    </row>
    <row r="173" spans="1:25">
      <c r="A173" t="s">
        <v>3696</v>
      </c>
      <c r="B173" t="str">
        <f t="shared" si="4"/>
        <v>P10_11032_00494</v>
      </c>
      <c r="C173" t="str">
        <f t="shared" si="5"/>
        <v>LE_XXXX</v>
      </c>
      <c r="D173" t="s">
        <v>2886</v>
      </c>
      <c r="E173">
        <v>6600</v>
      </c>
      <c r="F173" t="s">
        <v>2888</v>
      </c>
      <c r="G173" t="s">
        <v>2889</v>
      </c>
      <c r="H173" t="s">
        <v>154</v>
      </c>
      <c r="I173" t="s">
        <v>146</v>
      </c>
      <c r="J173" t="s">
        <v>147</v>
      </c>
      <c r="K173" t="str">
        <f>+"FY"&amp;RIGHT(YEAR('Hyperion Panel'!$B$9)+1,2)</f>
        <v>FY11</v>
      </c>
      <c r="L173">
        <f>'Upload Detail'!L301</f>
        <v>52958.887494461407</v>
      </c>
      <c r="M173">
        <f>'Upload Detail'!M301</f>
        <v>52958.887494461407</v>
      </c>
      <c r="N173">
        <f>'Upload Detail'!N301</f>
        <v>52958.887494461407</v>
      </c>
      <c r="O173">
        <f>'Upload Detail'!O301</f>
        <v>52958.887494461407</v>
      </c>
      <c r="P173">
        <f>'Upload Detail'!P301</f>
        <v>52958.887494461407</v>
      </c>
      <c r="Q173">
        <f>'Upload Detail'!Q301</f>
        <v>52958.887494461407</v>
      </c>
      <c r="R173">
        <f>'Upload Detail'!R301</f>
        <v>52958.887494461407</v>
      </c>
      <c r="S173">
        <f>'Upload Detail'!S301</f>
        <v>52958.887494461407</v>
      </c>
      <c r="T173">
        <f>'Upload Detail'!T301</f>
        <v>52958.887494461407</v>
      </c>
      <c r="U173">
        <f>'Upload Detail'!U301</f>
        <v>52958.887494461407</v>
      </c>
      <c r="V173">
        <f>'Upload Detail'!V301</f>
        <v>54018.065244350633</v>
      </c>
      <c r="W173">
        <f>'Upload Detail'!W301</f>
        <v>54018.065244350633</v>
      </c>
      <c r="Y173" s="105"/>
    </row>
    <row r="174" spans="1:25">
      <c r="A174" t="s">
        <v>1381</v>
      </c>
      <c r="B174" t="str">
        <f t="shared" si="4"/>
        <v>P10_11032_00494</v>
      </c>
      <c r="C174" t="str">
        <f t="shared" si="5"/>
        <v>LE_XXXX</v>
      </c>
      <c r="D174" t="s">
        <v>2886</v>
      </c>
      <c r="E174">
        <v>6800</v>
      </c>
      <c r="F174" t="s">
        <v>156</v>
      </c>
      <c r="G174" t="s">
        <v>2889</v>
      </c>
      <c r="H174" t="s">
        <v>154</v>
      </c>
      <c r="I174" t="s">
        <v>146</v>
      </c>
      <c r="J174" t="s">
        <v>147</v>
      </c>
      <c r="K174" t="str">
        <f>+"FY"&amp;RIGHT(YEAR('Hyperion Panel'!$B$9)+1,2)</f>
        <v>FY11</v>
      </c>
      <c r="L174">
        <f>'Upload Detail'!L302</f>
        <v>19626.014631840881</v>
      </c>
      <c r="M174">
        <f>'Upload Detail'!M302</f>
        <v>19626.014631840881</v>
      </c>
      <c r="N174">
        <f>'Upload Detail'!N302</f>
        <v>19626.014631840881</v>
      </c>
      <c r="O174">
        <f>'Upload Detail'!O302</f>
        <v>19626.014631840881</v>
      </c>
      <c r="P174">
        <f>'Upload Detail'!P302</f>
        <v>19626.014631840881</v>
      </c>
      <c r="Q174">
        <f>'Upload Detail'!Q302</f>
        <v>19626.014631840881</v>
      </c>
      <c r="R174">
        <f>'Upload Detail'!R302</f>
        <v>19626.014631840881</v>
      </c>
      <c r="S174">
        <f>'Upload Detail'!S302</f>
        <v>19626.014631840881</v>
      </c>
      <c r="T174">
        <f>'Upload Detail'!T302</f>
        <v>19626.014631840881</v>
      </c>
      <c r="U174">
        <f>'Upload Detail'!U302</f>
        <v>19626.014631840881</v>
      </c>
      <c r="V174">
        <f>'Upload Detail'!V302</f>
        <v>20214.79507079611</v>
      </c>
      <c r="W174">
        <f>'Upload Detail'!W302</f>
        <v>20214.79507079611</v>
      </c>
      <c r="Y174" s="105"/>
    </row>
    <row r="175" spans="1:25">
      <c r="A175" t="s">
        <v>3697</v>
      </c>
      <c r="B175" t="str">
        <f t="shared" si="4"/>
        <v>P10_11032_00494</v>
      </c>
      <c r="C175" t="str">
        <f t="shared" si="5"/>
        <v>LE_XXXX</v>
      </c>
      <c r="D175" t="s">
        <v>2886</v>
      </c>
      <c r="E175">
        <v>8600</v>
      </c>
      <c r="F175" t="s">
        <v>156</v>
      </c>
      <c r="G175" t="s">
        <v>2889</v>
      </c>
      <c r="H175" t="s">
        <v>154</v>
      </c>
      <c r="I175" t="s">
        <v>146</v>
      </c>
      <c r="J175" t="s">
        <v>147</v>
      </c>
      <c r="K175" t="str">
        <f>+"FY"&amp;RIGHT(YEAR('Hyperion Panel'!$B$9)+1,2)</f>
        <v>FY11</v>
      </c>
      <c r="L175">
        <f>'Upload Detail'!L303</f>
        <v>16474.989999999998</v>
      </c>
      <c r="M175">
        <f>'Upload Detail'!M303</f>
        <v>16474.989999999998</v>
      </c>
      <c r="N175">
        <f>'Upload Detail'!N303</f>
        <v>16474.989999999998</v>
      </c>
      <c r="O175">
        <f>'Upload Detail'!O303</f>
        <v>16474.989999999998</v>
      </c>
      <c r="P175">
        <f>'Upload Detail'!P303</f>
        <v>16474.989999999998</v>
      </c>
      <c r="Q175">
        <f>'Upload Detail'!Q303</f>
        <v>16474.989999999998</v>
      </c>
      <c r="R175">
        <f>'Upload Detail'!R303</f>
        <v>16474.989999999998</v>
      </c>
      <c r="S175">
        <f>'Upload Detail'!S303</f>
        <v>16474.989999999998</v>
      </c>
      <c r="T175">
        <f>'Upload Detail'!T303</f>
        <v>16474.989999999998</v>
      </c>
      <c r="U175">
        <f>'Upload Detail'!U303</f>
        <v>16474.989999999998</v>
      </c>
      <c r="V175">
        <f>'Upload Detail'!V303</f>
        <v>16969.239699999998</v>
      </c>
      <c r="W175">
        <f>'Upload Detail'!W303</f>
        <v>16969.239699999998</v>
      </c>
      <c r="Y175" s="105"/>
    </row>
    <row r="176" spans="1:25">
      <c r="A176" t="s">
        <v>157</v>
      </c>
      <c r="B176" t="str">
        <f t="shared" si="4"/>
        <v>P10_11032_00494</v>
      </c>
      <c r="C176" t="str">
        <f t="shared" si="5"/>
        <v>LE_XXXX</v>
      </c>
      <c r="D176" t="s">
        <v>2886</v>
      </c>
      <c r="E176">
        <v>6720</v>
      </c>
      <c r="F176" t="s">
        <v>156</v>
      </c>
      <c r="G176" t="s">
        <v>2889</v>
      </c>
      <c r="H176" t="s">
        <v>154</v>
      </c>
      <c r="I176" t="s">
        <v>146</v>
      </c>
      <c r="J176" t="s">
        <v>147</v>
      </c>
      <c r="K176" t="str">
        <f>+"FY"&amp;RIGHT(YEAR('Hyperion Panel'!$B$9)+1,2)</f>
        <v>FY11</v>
      </c>
      <c r="L176">
        <f>'Upload Detail'!L304</f>
        <v>15833.32</v>
      </c>
      <c r="M176">
        <f>'Upload Detail'!M304</f>
        <v>15833.32</v>
      </c>
      <c r="N176">
        <f>'Upload Detail'!N304</f>
        <v>15833.32</v>
      </c>
      <c r="O176">
        <f>'Upload Detail'!O304</f>
        <v>15833.32</v>
      </c>
      <c r="P176">
        <f>'Upload Detail'!P304</f>
        <v>15833.32</v>
      </c>
      <c r="Q176">
        <f>'Upload Detail'!Q304</f>
        <v>15833.32</v>
      </c>
      <c r="R176">
        <f>'Upload Detail'!R304</f>
        <v>15833.32</v>
      </c>
      <c r="S176">
        <f>'Upload Detail'!S304</f>
        <v>15833.32</v>
      </c>
      <c r="T176">
        <f>'Upload Detail'!T304</f>
        <v>15833.32</v>
      </c>
      <c r="U176">
        <f>'Upload Detail'!U304</f>
        <v>15833.32</v>
      </c>
      <c r="V176">
        <f>'Upload Detail'!V304</f>
        <v>15833.32</v>
      </c>
      <c r="W176">
        <f>'Upload Detail'!W304</f>
        <v>15833.32</v>
      </c>
      <c r="Y176" s="105"/>
    </row>
    <row r="177" spans="1:25">
      <c r="A177" t="s">
        <v>3925</v>
      </c>
      <c r="B177" t="str">
        <f t="shared" si="4"/>
        <v>P10_11032_00494</v>
      </c>
      <c r="C177" t="str">
        <f t="shared" si="5"/>
        <v>LE_XXXX</v>
      </c>
      <c r="D177" t="s">
        <v>2886</v>
      </c>
      <c r="E177">
        <v>8110</v>
      </c>
      <c r="F177" t="s">
        <v>156</v>
      </c>
      <c r="G177" t="s">
        <v>2889</v>
      </c>
      <c r="H177" t="s">
        <v>154</v>
      </c>
      <c r="I177" t="s">
        <v>146</v>
      </c>
      <c r="J177" t="s">
        <v>147</v>
      </c>
      <c r="K177" t="str">
        <f>+"FY"&amp;RIGHT(YEAR('Hyperion Panel'!$B$9)+1,2)</f>
        <v>FY11</v>
      </c>
      <c r="L177">
        <f>'Upload Detail'!L305</f>
        <v>1044.7049999999999</v>
      </c>
      <c r="M177">
        <f>'Upload Detail'!M305</f>
        <v>1044.7049999999999</v>
      </c>
      <c r="N177">
        <f>'Upload Detail'!N305</f>
        <v>1044.7049999999999</v>
      </c>
      <c r="O177">
        <f>'Upload Detail'!O305</f>
        <v>1044.7049999999999</v>
      </c>
      <c r="P177">
        <f>'Upload Detail'!P305</f>
        <v>1044.7049999999999</v>
      </c>
      <c r="Q177">
        <f>'Upload Detail'!Q305</f>
        <v>1044.7049999999999</v>
      </c>
      <c r="R177">
        <f>'Upload Detail'!R305</f>
        <v>1044.7049999999999</v>
      </c>
      <c r="S177">
        <f>'Upload Detail'!S305</f>
        <v>1044.7049999999999</v>
      </c>
      <c r="T177">
        <f>'Upload Detail'!T305</f>
        <v>1044.7049999999999</v>
      </c>
      <c r="U177">
        <f>'Upload Detail'!U305</f>
        <v>1044.7049999999999</v>
      </c>
      <c r="V177">
        <f>'Upload Detail'!V305</f>
        <v>1076.0461499999999</v>
      </c>
      <c r="W177">
        <f>'Upload Detail'!W305</f>
        <v>1076.0461499999999</v>
      </c>
      <c r="Y177" s="105"/>
    </row>
    <row r="178" spans="1:25">
      <c r="A178" t="s">
        <v>3926</v>
      </c>
      <c r="B178" t="str">
        <f t="shared" si="4"/>
        <v>P10_11032_00494</v>
      </c>
      <c r="C178" t="str">
        <f t="shared" si="5"/>
        <v>LE_XXXX</v>
      </c>
      <c r="D178" t="s">
        <v>2886</v>
      </c>
      <c r="E178">
        <v>6412</v>
      </c>
      <c r="F178" t="s">
        <v>156</v>
      </c>
      <c r="G178" t="s">
        <v>2889</v>
      </c>
      <c r="H178" t="s">
        <v>154</v>
      </c>
      <c r="I178" t="s">
        <v>146</v>
      </c>
      <c r="J178" t="s">
        <v>147</v>
      </c>
      <c r="K178" t="str">
        <f>+"FY"&amp;RIGHT(YEAR('Hyperion Panel'!$B$9)+1,2)</f>
        <v>FY11</v>
      </c>
      <c r="L178">
        <f>'Upload Detail'!L306</f>
        <v>18564.974605157677</v>
      </c>
      <c r="M178">
        <f>'Upload Detail'!M306</f>
        <v>18564.974605157677</v>
      </c>
      <c r="N178">
        <f>'Upload Detail'!N306</f>
        <v>18564.974605157677</v>
      </c>
      <c r="O178">
        <f>'Upload Detail'!O306</f>
        <v>18564.974605157677</v>
      </c>
      <c r="P178">
        <f>'Upload Detail'!P306</f>
        <v>18564.974605157677</v>
      </c>
      <c r="Q178">
        <f>'Upload Detail'!Q306</f>
        <v>18564.974605157677</v>
      </c>
      <c r="R178">
        <f>'Upload Detail'!R306</f>
        <v>18564.974605157677</v>
      </c>
      <c r="S178">
        <f>'Upload Detail'!S306</f>
        <v>18564.974605157677</v>
      </c>
      <c r="T178">
        <f>'Upload Detail'!T306</f>
        <v>18564.974605157677</v>
      </c>
      <c r="U178">
        <f>'Upload Detail'!U306</f>
        <v>18564.974605157677</v>
      </c>
      <c r="V178">
        <f>'Upload Detail'!V306</f>
        <v>19121.923843312405</v>
      </c>
      <c r="W178">
        <f>'Upload Detail'!W306</f>
        <v>19121.923843312405</v>
      </c>
      <c r="Y178" s="105"/>
    </row>
    <row r="179" spans="1:25" s="104" customFormat="1">
      <c r="A179" s="104" t="s">
        <v>730</v>
      </c>
      <c r="B179" s="104" t="str">
        <f t="shared" si="4"/>
        <v>P10_11032_00494</v>
      </c>
      <c r="C179" s="104" t="str">
        <f t="shared" si="5"/>
        <v>LE_XXXX</v>
      </c>
      <c r="D179" s="104" t="s">
        <v>2886</v>
      </c>
      <c r="E179" s="104">
        <v>8110</v>
      </c>
      <c r="F179" s="104" t="s">
        <v>731</v>
      </c>
      <c r="G179" s="104" t="s">
        <v>2889</v>
      </c>
      <c r="H179" s="104" t="s">
        <v>154</v>
      </c>
      <c r="I179" s="104" t="s">
        <v>146</v>
      </c>
      <c r="J179" s="104" t="s">
        <v>147</v>
      </c>
      <c r="K179" t="str">
        <f>+"FY"&amp;RIGHT(YEAR('Hyperion Panel'!$B$9)+1,2)</f>
        <v>FY11</v>
      </c>
      <c r="L179" s="104">
        <f>'Upload Detail'!L307</f>
        <v>833.33333333333337</v>
      </c>
      <c r="M179" s="104">
        <f>'Upload Detail'!M307</f>
        <v>833.33333333333337</v>
      </c>
      <c r="N179" s="104">
        <f>'Upload Detail'!N307</f>
        <v>833.33333333333337</v>
      </c>
      <c r="O179" s="104">
        <f>'Upload Detail'!O307</f>
        <v>833.33333333333337</v>
      </c>
      <c r="P179" s="104">
        <f>'Upload Detail'!P307</f>
        <v>833.33333333333337</v>
      </c>
      <c r="Q179" s="104">
        <f>'Upload Detail'!Q307</f>
        <v>833.33333333333337</v>
      </c>
      <c r="R179" s="104">
        <f>'Upload Detail'!R307</f>
        <v>833.33333333333337</v>
      </c>
      <c r="S179" s="104">
        <f>'Upload Detail'!S307</f>
        <v>833.33333333333337</v>
      </c>
      <c r="T179" s="104">
        <f>'Upload Detail'!T307</f>
        <v>833.33333333333337</v>
      </c>
      <c r="U179" s="104">
        <f>'Upload Detail'!U307</f>
        <v>833.33333333333337</v>
      </c>
      <c r="V179" s="104">
        <f>'Upload Detail'!V307</f>
        <v>858.33333333333337</v>
      </c>
      <c r="W179" s="104">
        <f>'Upload Detail'!W307</f>
        <v>858.33333333333337</v>
      </c>
      <c r="Y179" s="1690"/>
    </row>
    <row r="180" spans="1:25" s="104" customFormat="1">
      <c r="A180" s="104" t="s">
        <v>732</v>
      </c>
      <c r="B180" s="104" t="str">
        <f t="shared" si="4"/>
        <v>P10_11032_00494</v>
      </c>
      <c r="C180" s="104" t="str">
        <f t="shared" si="5"/>
        <v>LE_XXXX</v>
      </c>
      <c r="D180" s="104" t="s">
        <v>2886</v>
      </c>
      <c r="F180" s="104" t="s">
        <v>731</v>
      </c>
      <c r="G180" s="104" t="s">
        <v>2889</v>
      </c>
      <c r="H180" s="104" t="s">
        <v>154</v>
      </c>
      <c r="I180" s="104" t="s">
        <v>146</v>
      </c>
      <c r="J180" s="104" t="s">
        <v>147</v>
      </c>
      <c r="K180" t="str">
        <f>+"FY"&amp;RIGHT(YEAR('Hyperion Panel'!$B$9)+1,2)</f>
        <v>FY11</v>
      </c>
      <c r="L180" s="104">
        <f>'Upload Detail'!L308</f>
        <v>0</v>
      </c>
      <c r="M180" s="104">
        <f>'Upload Detail'!M308</f>
        <v>0</v>
      </c>
      <c r="N180" s="104">
        <f>'Upload Detail'!N308</f>
        <v>0</v>
      </c>
      <c r="O180" s="104">
        <f>'Upload Detail'!O308</f>
        <v>0</v>
      </c>
      <c r="P180" s="104">
        <f>'Upload Detail'!P308</f>
        <v>0</v>
      </c>
      <c r="Q180" s="104">
        <f>'Upload Detail'!Q308</f>
        <v>0</v>
      </c>
      <c r="R180" s="104">
        <f>'Upload Detail'!R308</f>
        <v>0</v>
      </c>
      <c r="S180" s="104">
        <f>'Upload Detail'!S308</f>
        <v>0</v>
      </c>
      <c r="T180" s="104">
        <f>'Upload Detail'!T308</f>
        <v>0</v>
      </c>
      <c r="U180" s="104">
        <f>'Upload Detail'!U308</f>
        <v>0</v>
      </c>
      <c r="V180" s="104">
        <f>'Upload Detail'!V308</f>
        <v>0</v>
      </c>
      <c r="W180" s="104">
        <f>'Upload Detail'!W308</f>
        <v>0</v>
      </c>
      <c r="Y180" s="1690"/>
    </row>
    <row r="181" spans="1:25" s="104" customFormat="1">
      <c r="A181" s="104" t="s">
        <v>733</v>
      </c>
      <c r="B181" s="104" t="str">
        <f t="shared" si="4"/>
        <v>P10_11032_00494</v>
      </c>
      <c r="C181" s="104" t="str">
        <f t="shared" si="5"/>
        <v>LE_XXXX</v>
      </c>
      <c r="D181" s="104" t="s">
        <v>2886</v>
      </c>
      <c r="F181" s="104" t="s">
        <v>731</v>
      </c>
      <c r="G181" s="104" t="s">
        <v>2889</v>
      </c>
      <c r="H181" s="104" t="s">
        <v>154</v>
      </c>
      <c r="I181" s="104" t="s">
        <v>146</v>
      </c>
      <c r="J181" s="104" t="s">
        <v>147</v>
      </c>
      <c r="K181" t="str">
        <f>+"FY"&amp;RIGHT(YEAR('Hyperion Panel'!$B$9)+1,2)</f>
        <v>FY11</v>
      </c>
      <c r="L181" s="104">
        <f>'Upload Detail'!L309</f>
        <v>9640</v>
      </c>
      <c r="M181" s="104">
        <f>'Upload Detail'!M309</f>
        <v>9640</v>
      </c>
      <c r="N181" s="104">
        <f>'Upload Detail'!N309</f>
        <v>9640</v>
      </c>
      <c r="O181" s="104">
        <f>'Upload Detail'!O309</f>
        <v>9640</v>
      </c>
      <c r="P181" s="104">
        <f>'Upload Detail'!P309</f>
        <v>9640</v>
      </c>
      <c r="Q181" s="104">
        <f>'Upload Detail'!Q309</f>
        <v>9640</v>
      </c>
      <c r="R181" s="104">
        <f>'Upload Detail'!R309</f>
        <v>9640</v>
      </c>
      <c r="S181" s="104">
        <f>'Upload Detail'!S309</f>
        <v>9640</v>
      </c>
      <c r="T181" s="104">
        <f>'Upload Detail'!T309</f>
        <v>9640</v>
      </c>
      <c r="U181" s="104">
        <f>'Upload Detail'!U309</f>
        <v>9640</v>
      </c>
      <c r="V181" s="104">
        <f>'Upload Detail'!V309</f>
        <v>9832.7999999999993</v>
      </c>
      <c r="W181" s="104">
        <f>'Upload Detail'!W309</f>
        <v>9832.7999999999993</v>
      </c>
      <c r="Y181" s="1690"/>
    </row>
    <row r="182" spans="1:25" s="104" customFormat="1">
      <c r="A182" s="104" t="s">
        <v>734</v>
      </c>
      <c r="B182" s="104" t="str">
        <f t="shared" si="4"/>
        <v>P10_11032_00494</v>
      </c>
      <c r="C182" s="104" t="str">
        <f t="shared" si="5"/>
        <v>LE_XXXX</v>
      </c>
      <c r="D182" s="104" t="s">
        <v>2886</v>
      </c>
      <c r="E182" s="104">
        <v>6800</v>
      </c>
      <c r="F182" s="104" t="s">
        <v>731</v>
      </c>
      <c r="G182" s="104" t="s">
        <v>2889</v>
      </c>
      <c r="H182" s="104" t="s">
        <v>154</v>
      </c>
      <c r="I182" s="104" t="s">
        <v>146</v>
      </c>
      <c r="J182" s="104" t="s">
        <v>147</v>
      </c>
      <c r="K182" t="str">
        <f>+"FY"&amp;RIGHT(YEAR('Hyperion Panel'!$B$9)+1,2)</f>
        <v>FY11</v>
      </c>
      <c r="L182" s="104">
        <f>'Upload Detail'!L310</f>
        <v>1750</v>
      </c>
      <c r="M182" s="104">
        <f>'Upload Detail'!M310</f>
        <v>1750</v>
      </c>
      <c r="N182" s="104">
        <f>'Upload Detail'!N310</f>
        <v>1750</v>
      </c>
      <c r="O182" s="104">
        <f>'Upload Detail'!O310</f>
        <v>1750</v>
      </c>
      <c r="P182" s="104">
        <f>'Upload Detail'!P310</f>
        <v>1750</v>
      </c>
      <c r="Q182" s="104">
        <f>'Upload Detail'!Q310</f>
        <v>1750</v>
      </c>
      <c r="R182" s="104">
        <f>'Upload Detail'!R310</f>
        <v>1750</v>
      </c>
      <c r="S182" s="104">
        <f>'Upload Detail'!S310</f>
        <v>1750</v>
      </c>
      <c r="T182" s="104">
        <f>'Upload Detail'!T310</f>
        <v>1750</v>
      </c>
      <c r="U182" s="104">
        <f>'Upload Detail'!U310</f>
        <v>1750</v>
      </c>
      <c r="V182" s="104">
        <f>'Upload Detail'!V310</f>
        <v>1802.5</v>
      </c>
      <c r="W182" s="104">
        <f>'Upload Detail'!W310</f>
        <v>1802.5</v>
      </c>
      <c r="Y182" s="1690"/>
    </row>
    <row r="183" spans="1:25">
      <c r="A183" t="s">
        <v>158</v>
      </c>
      <c r="B183" t="str">
        <f t="shared" si="4"/>
        <v>P10_11032_00494</v>
      </c>
      <c r="C183" t="str">
        <f t="shared" si="5"/>
        <v>LE_XXXX</v>
      </c>
      <c r="D183" t="s">
        <v>2886</v>
      </c>
      <c r="E183" t="s">
        <v>159</v>
      </c>
      <c r="F183" t="s">
        <v>156</v>
      </c>
      <c r="G183" t="s">
        <v>2889</v>
      </c>
      <c r="H183" t="s">
        <v>154</v>
      </c>
      <c r="I183" t="s">
        <v>146</v>
      </c>
      <c r="J183" t="s">
        <v>147</v>
      </c>
      <c r="K183" t="str">
        <f>+"FY"&amp;RIGHT(YEAR('Hyperion Panel'!$B$9)+1,2)</f>
        <v>FY11</v>
      </c>
      <c r="L183" s="103">
        <f>'Upload Detail'!L311</f>
        <v>1</v>
      </c>
      <c r="M183" s="103">
        <f>'Upload Detail'!M311</f>
        <v>1</v>
      </c>
      <c r="N183" s="103">
        <f>'Upload Detail'!N311</f>
        <v>1</v>
      </c>
      <c r="O183" s="103">
        <f>'Upload Detail'!O311</f>
        <v>1</v>
      </c>
      <c r="P183" s="103">
        <f>'Upload Detail'!P311</f>
        <v>1</v>
      </c>
      <c r="Q183" s="103">
        <f>'Upload Detail'!Q311</f>
        <v>1</v>
      </c>
      <c r="R183" s="103">
        <f>'Upload Detail'!R311</f>
        <v>1</v>
      </c>
      <c r="S183" s="103">
        <f>'Upload Detail'!S311</f>
        <v>1</v>
      </c>
      <c r="T183" s="103">
        <f>'Upload Detail'!T311</f>
        <v>1</v>
      </c>
      <c r="U183" s="103">
        <f>'Upload Detail'!U311</f>
        <v>1</v>
      </c>
      <c r="V183" s="103">
        <f>'Upload Detail'!V311</f>
        <v>1</v>
      </c>
      <c r="W183" s="103">
        <f>'Upload Detail'!W311</f>
        <v>1</v>
      </c>
    </row>
    <row r="184" spans="1:25">
      <c r="A184" t="s">
        <v>160</v>
      </c>
      <c r="B184" t="str">
        <f t="shared" si="4"/>
        <v>P10_11032_00494</v>
      </c>
      <c r="C184" t="str">
        <f t="shared" si="5"/>
        <v>LE_XXXX</v>
      </c>
      <c r="D184" t="s">
        <v>2886</v>
      </c>
      <c r="E184" t="s">
        <v>161</v>
      </c>
      <c r="F184" t="s">
        <v>156</v>
      </c>
      <c r="G184" t="s">
        <v>2889</v>
      </c>
      <c r="H184" t="s">
        <v>154</v>
      </c>
      <c r="I184" t="s">
        <v>146</v>
      </c>
      <c r="J184" t="s">
        <v>147</v>
      </c>
      <c r="K184" t="str">
        <f>+"FY"&amp;RIGHT(YEAR('Hyperion Panel'!$B$9)+1,2)</f>
        <v>FY11</v>
      </c>
      <c r="L184">
        <f>'Upload Detail'!L312</f>
        <v>0</v>
      </c>
      <c r="M184">
        <f>'Upload Detail'!M312</f>
        <v>0</v>
      </c>
      <c r="N184">
        <f>'Upload Detail'!N312</f>
        <v>0</v>
      </c>
      <c r="O184">
        <f>'Upload Detail'!O312</f>
        <v>0</v>
      </c>
      <c r="P184">
        <f>'Upload Detail'!P312</f>
        <v>0</v>
      </c>
      <c r="Q184">
        <f>'Upload Detail'!Q312</f>
        <v>0</v>
      </c>
      <c r="R184">
        <f>'Upload Detail'!R312</f>
        <v>0</v>
      </c>
      <c r="S184">
        <f>'Upload Detail'!S312</f>
        <v>0</v>
      </c>
      <c r="T184">
        <f>'Upload Detail'!T312</f>
        <v>0</v>
      </c>
      <c r="U184">
        <f>'Upload Detail'!U312</f>
        <v>0</v>
      </c>
      <c r="V184">
        <f>'Upload Detail'!V312</f>
        <v>0</v>
      </c>
      <c r="W184">
        <f>'Upload Detail'!W312</f>
        <v>0</v>
      </c>
    </row>
    <row r="185" spans="1:25" s="104" customFormat="1">
      <c r="A185" s="104" t="s">
        <v>735</v>
      </c>
      <c r="B185" t="str">
        <f t="shared" si="4"/>
        <v>P10_11032_00494</v>
      </c>
      <c r="C185" t="str">
        <f t="shared" si="5"/>
        <v>LE_XXXX</v>
      </c>
      <c r="D185" t="s">
        <v>2886</v>
      </c>
      <c r="F185" s="104" t="s">
        <v>731</v>
      </c>
      <c r="G185" s="104" t="s">
        <v>2889</v>
      </c>
      <c r="H185" s="104" t="s">
        <v>154</v>
      </c>
      <c r="I185" s="104" t="s">
        <v>146</v>
      </c>
      <c r="J185" s="104" t="s">
        <v>147</v>
      </c>
      <c r="K185" t="str">
        <f>+"FY"&amp;RIGHT(YEAR('Hyperion Panel'!$B$9)+1,2)</f>
        <v>FY11</v>
      </c>
      <c r="L185" s="104">
        <f>'Upload Detail'!L313</f>
        <v>0</v>
      </c>
      <c r="M185" s="104">
        <f>'Upload Detail'!M313</f>
        <v>0</v>
      </c>
      <c r="N185" s="104">
        <f>'Upload Detail'!N313</f>
        <v>0</v>
      </c>
      <c r="O185" s="104">
        <f>'Upload Detail'!O313</f>
        <v>0</v>
      </c>
      <c r="P185" s="104">
        <f>'Upload Detail'!P313</f>
        <v>0</v>
      </c>
      <c r="Q185" s="104">
        <f>'Upload Detail'!Q313</f>
        <v>0</v>
      </c>
      <c r="R185" s="104">
        <f>'Upload Detail'!R313</f>
        <v>0</v>
      </c>
      <c r="S185" s="104">
        <f>'Upload Detail'!S313</f>
        <v>0</v>
      </c>
      <c r="T185" s="104">
        <f>'Upload Detail'!T313</f>
        <v>0</v>
      </c>
      <c r="U185" s="104">
        <f>'Upload Detail'!U313</f>
        <v>0</v>
      </c>
      <c r="V185" s="104">
        <f>'Upload Detail'!V313</f>
        <v>0</v>
      </c>
      <c r="W185" s="104">
        <f>'Upload Detail'!W313</f>
        <v>0</v>
      </c>
    </row>
    <row r="186" spans="1:25" s="6" customFormat="1">
      <c r="A186" s="6" t="s">
        <v>165</v>
      </c>
      <c r="B186" s="6" t="str">
        <f t="shared" si="4"/>
        <v>P10_11032_00494</v>
      </c>
      <c r="C186" s="6" t="str">
        <f t="shared" si="5"/>
        <v>LE_XXXX</v>
      </c>
      <c r="D186" s="6" t="s">
        <v>2886</v>
      </c>
      <c r="E186" s="6" t="s">
        <v>2887</v>
      </c>
      <c r="F186" s="6" t="s">
        <v>2888</v>
      </c>
      <c r="G186" s="6" t="s">
        <v>2889</v>
      </c>
      <c r="H186" s="6" t="s">
        <v>145</v>
      </c>
      <c r="I186" s="6" t="s">
        <v>146</v>
      </c>
      <c r="J186" s="6" t="s">
        <v>147</v>
      </c>
      <c r="K186" s="1692" t="str">
        <f>+"FY"&amp;RIGHT(YEAR('Hyperion Panel'!$B$9)+2,2)</f>
        <v>FY12</v>
      </c>
      <c r="L186" s="6">
        <f>SUM('Upload Detail'!L316:L317)</f>
        <v>598</v>
      </c>
      <c r="M186" s="6">
        <f>SUM('Upload Detail'!M316:M317)</f>
        <v>598</v>
      </c>
      <c r="N186" s="6">
        <f>SUM('Upload Detail'!N316:N317)</f>
        <v>598</v>
      </c>
      <c r="O186" s="6">
        <f>SUM('Upload Detail'!O316:O317)</f>
        <v>598</v>
      </c>
      <c r="P186" s="6">
        <f>SUM('Upload Detail'!P316:P317)</f>
        <v>598</v>
      </c>
      <c r="Q186" s="6">
        <f>SUM('Upload Detail'!Q316:Q317)</f>
        <v>598</v>
      </c>
      <c r="R186" s="6">
        <f>SUM('Upload Detail'!R316:R317)</f>
        <v>598</v>
      </c>
      <c r="S186" s="6">
        <f>SUM('Upload Detail'!S316:S317)</f>
        <v>598</v>
      </c>
      <c r="T186" s="6">
        <f>SUM('Upload Detail'!T316:T317)</f>
        <v>598</v>
      </c>
      <c r="U186" s="6">
        <f>SUM('Upload Detail'!U316:U317)</f>
        <v>598</v>
      </c>
      <c r="V186" s="6">
        <f>SUM('Upload Detail'!V316:V317)</f>
        <v>598</v>
      </c>
      <c r="W186" s="6">
        <f>SUM('Upload Detail'!W316:W317)</f>
        <v>598</v>
      </c>
    </row>
    <row r="187" spans="1:25" s="6" customFormat="1">
      <c r="A187" s="6" t="s">
        <v>162</v>
      </c>
      <c r="B187" s="6" t="str">
        <f t="shared" si="4"/>
        <v>P10_11032_00494</v>
      </c>
      <c r="C187" s="6" t="str">
        <f t="shared" si="5"/>
        <v>LE_XXXX</v>
      </c>
      <c r="D187" s="6" t="s">
        <v>2886</v>
      </c>
      <c r="E187" s="6" t="s">
        <v>149</v>
      </c>
      <c r="F187" s="6" t="s">
        <v>150</v>
      </c>
      <c r="G187" s="6" t="s">
        <v>2889</v>
      </c>
      <c r="H187" s="6" t="s">
        <v>145</v>
      </c>
      <c r="I187" s="6" t="s">
        <v>146</v>
      </c>
      <c r="J187" s="6" t="s">
        <v>147</v>
      </c>
      <c r="K187" s="1692" t="str">
        <f>+"FY"&amp;RIGHT(YEAR('Hyperion Panel'!$B$9)+2,2)</f>
        <v>FY12</v>
      </c>
      <c r="L187" s="6">
        <f>SUM('Upload Detail'!L319:L320)</f>
        <v>247</v>
      </c>
      <c r="M187" s="6">
        <f>SUM('Upload Detail'!M319:M320)</f>
        <v>247</v>
      </c>
      <c r="N187" s="6">
        <f>SUM('Upload Detail'!N319:N320)</f>
        <v>247</v>
      </c>
      <c r="O187" s="6">
        <f>SUM('Upload Detail'!O319:O320)</f>
        <v>247</v>
      </c>
      <c r="P187" s="6">
        <f>SUM('Upload Detail'!P319:P320)</f>
        <v>247</v>
      </c>
      <c r="Q187" s="6">
        <f>SUM('Upload Detail'!Q319:Q320)</f>
        <v>247</v>
      </c>
      <c r="R187" s="6">
        <f>SUM('Upload Detail'!R319:R320)</f>
        <v>247</v>
      </c>
      <c r="S187" s="6">
        <f>SUM('Upload Detail'!S319:S320)</f>
        <v>247</v>
      </c>
      <c r="T187" s="6">
        <f>SUM('Upload Detail'!T319:T320)</f>
        <v>247</v>
      </c>
      <c r="U187" s="6">
        <f>SUM('Upload Detail'!U319:U320)</f>
        <v>247</v>
      </c>
      <c r="V187" s="6">
        <f>SUM('Upload Detail'!V319:V320)</f>
        <v>247</v>
      </c>
      <c r="W187" s="6">
        <f>SUM('Upload Detail'!W319:W320)</f>
        <v>247</v>
      </c>
    </row>
    <row r="188" spans="1:25" s="1691" customFormat="1">
      <c r="A188" s="1691" t="s">
        <v>3767</v>
      </c>
      <c r="B188" s="1691" t="str">
        <f t="shared" si="4"/>
        <v>P10_11032_00494</v>
      </c>
      <c r="C188" s="1691" t="str">
        <f t="shared" si="5"/>
        <v>LE_XXXX</v>
      </c>
      <c r="D188" s="1691" t="s">
        <v>2886</v>
      </c>
      <c r="E188" s="1691" t="s">
        <v>719</v>
      </c>
      <c r="F188" s="1691" t="s">
        <v>731</v>
      </c>
      <c r="G188" s="1691" t="s">
        <v>2889</v>
      </c>
      <c r="H188" s="1691" t="s">
        <v>145</v>
      </c>
      <c r="I188" s="1691" t="s">
        <v>146</v>
      </c>
      <c r="J188" s="1691" t="s">
        <v>147</v>
      </c>
      <c r="K188" s="1692" t="str">
        <f>+"FY"&amp;RIGHT(YEAR('Hyperion Panel'!$B$9)+2,2)</f>
        <v>FY12</v>
      </c>
      <c r="L188" s="1691">
        <f>SUM('Upload Detail'!L322:L323)</f>
        <v>65</v>
      </c>
      <c r="M188" s="1691">
        <f>SUM('Upload Detail'!M322:M323)</f>
        <v>65</v>
      </c>
      <c r="N188" s="1691">
        <f>SUM('Upload Detail'!N322:N323)</f>
        <v>65</v>
      </c>
      <c r="O188" s="1691">
        <f>SUM('Upload Detail'!O322:O323)</f>
        <v>65</v>
      </c>
      <c r="P188" s="1691">
        <f>SUM('Upload Detail'!P322:P323)</f>
        <v>65</v>
      </c>
      <c r="Q188" s="1691">
        <f>SUM('Upload Detail'!Q322:Q323)</f>
        <v>65</v>
      </c>
      <c r="R188" s="1691">
        <f>SUM('Upload Detail'!R322:R323)</f>
        <v>65</v>
      </c>
      <c r="S188" s="1691">
        <f>SUM('Upload Detail'!S322:S323)</f>
        <v>65</v>
      </c>
      <c r="T188" s="1691">
        <f>SUM('Upload Detail'!T322:T323)</f>
        <v>65</v>
      </c>
      <c r="U188" s="1691">
        <f>SUM('Upload Detail'!U322:U323)</f>
        <v>65</v>
      </c>
      <c r="V188" s="1691">
        <f>SUM('Upload Detail'!V322:V323)</f>
        <v>65</v>
      </c>
      <c r="W188" s="1691">
        <f>SUM('Upload Detail'!W322:W323)</f>
        <v>65</v>
      </c>
    </row>
    <row r="189" spans="1:25" s="6" customFormat="1">
      <c r="A189" s="6" t="s">
        <v>163</v>
      </c>
      <c r="B189" s="6" t="str">
        <f t="shared" si="4"/>
        <v>P10_11032_00494</v>
      </c>
      <c r="C189" s="6" t="str">
        <f t="shared" si="5"/>
        <v>LE_XXXX</v>
      </c>
      <c r="D189" s="6" t="s">
        <v>2886</v>
      </c>
      <c r="E189" s="6">
        <v>3010</v>
      </c>
      <c r="F189" s="6" t="s">
        <v>2888</v>
      </c>
      <c r="G189" s="6" t="s">
        <v>2889</v>
      </c>
      <c r="H189" s="6" t="s">
        <v>145</v>
      </c>
      <c r="I189" s="6" t="s">
        <v>146</v>
      </c>
      <c r="J189" s="6" t="s">
        <v>147</v>
      </c>
      <c r="K189" s="1692" t="str">
        <f>+"FY"&amp;RIGHT(YEAR('Hyperion Panel'!$B$9)+2,2)</f>
        <v>FY12</v>
      </c>
      <c r="L189" s="6">
        <f>SUM('Upload Detail'!L325:L326)</f>
        <v>173141.53275853995</v>
      </c>
      <c r="M189" s="6">
        <f>SUM('Upload Detail'!M325:M326)</f>
        <v>173141.53275853995</v>
      </c>
      <c r="N189" s="6">
        <f>SUM('Upload Detail'!N325:N326)</f>
        <v>173141.53275853995</v>
      </c>
      <c r="O189" s="6">
        <f>SUM('Upload Detail'!O325:O326)</f>
        <v>173141.53275853995</v>
      </c>
      <c r="P189" s="6">
        <f>SUM('Upload Detail'!P325:P326)</f>
        <v>173141.53275853995</v>
      </c>
      <c r="Q189" s="6">
        <f>SUM('Upload Detail'!Q325:Q326)</f>
        <v>173141.53275853995</v>
      </c>
      <c r="R189" s="6">
        <f>SUM('Upload Detail'!R325:R326)</f>
        <v>173141.53275853995</v>
      </c>
      <c r="S189" s="6">
        <f>SUM('Upload Detail'!S325:S326)</f>
        <v>173141.53275853995</v>
      </c>
      <c r="T189" s="6">
        <f>SUM('Upload Detail'!T325:T326)</f>
        <v>173141.53275853995</v>
      </c>
      <c r="U189" s="6">
        <f>SUM('Upload Detail'!U325:U326)</f>
        <v>173141.53275853995</v>
      </c>
      <c r="V189" s="6">
        <f>SUM('Upload Detail'!V325:V326)</f>
        <v>173713.61981850141</v>
      </c>
      <c r="W189" s="6">
        <f>SUM('Upload Detail'!W325:W326)</f>
        <v>173713.61981850141</v>
      </c>
    </row>
    <row r="190" spans="1:25" s="6" customFormat="1">
      <c r="A190" s="6" t="s">
        <v>164</v>
      </c>
      <c r="B190" s="6" t="str">
        <f t="shared" si="4"/>
        <v>P10_11032_00494</v>
      </c>
      <c r="C190" s="6" t="str">
        <f t="shared" si="5"/>
        <v>LE_XXXX</v>
      </c>
      <c r="D190" s="6" t="s">
        <v>2886</v>
      </c>
      <c r="E190" s="6">
        <v>3030</v>
      </c>
      <c r="F190" s="6" t="s">
        <v>150</v>
      </c>
      <c r="G190" s="6" t="s">
        <v>2889</v>
      </c>
      <c r="H190" s="6" t="s">
        <v>145</v>
      </c>
      <c r="I190" s="6" t="s">
        <v>146</v>
      </c>
      <c r="J190" s="6" t="s">
        <v>147</v>
      </c>
      <c r="K190" s="1692" t="str">
        <f>+"FY"&amp;RIGHT(YEAR('Hyperion Panel'!$B$9)+2,2)</f>
        <v>FY12</v>
      </c>
      <c r="L190" s="6">
        <f>SUM('Upload Detail'!L328:L329)</f>
        <v>120543.10575276063</v>
      </c>
      <c r="M190" s="6">
        <f>SUM('Upload Detail'!M328:M329)</f>
        <v>120543.10575276063</v>
      </c>
      <c r="N190" s="6">
        <f>SUM('Upload Detail'!N328:N329)</f>
        <v>120543.10575276063</v>
      </c>
      <c r="O190" s="6">
        <f>SUM('Upload Detail'!O328:O329)</f>
        <v>120543.10575276063</v>
      </c>
      <c r="P190" s="6">
        <f>SUM('Upload Detail'!P328:P329)</f>
        <v>120543.10575276063</v>
      </c>
      <c r="Q190" s="6">
        <f>SUM('Upload Detail'!Q328:Q329)</f>
        <v>120543.10575276063</v>
      </c>
      <c r="R190" s="6">
        <f>SUM('Upload Detail'!R328:R329)</f>
        <v>120543.10575276063</v>
      </c>
      <c r="S190" s="6">
        <f>SUM('Upload Detail'!S328:S329)</f>
        <v>120543.10575276063</v>
      </c>
      <c r="T190" s="6">
        <f>SUM('Upload Detail'!T328:T329)</f>
        <v>120543.10575276063</v>
      </c>
      <c r="U190" s="6">
        <f>SUM('Upload Detail'!U328:U329)</f>
        <v>120543.10575276063</v>
      </c>
      <c r="V190" s="6">
        <f>SUM('Upload Detail'!V328:V329)</f>
        <v>122315.33197111951</v>
      </c>
      <c r="W190" s="6">
        <f>SUM('Upload Detail'!W328:W329)</f>
        <v>122315.33197111951</v>
      </c>
    </row>
    <row r="191" spans="1:25" s="1691" customFormat="1">
      <c r="A191" s="1691" t="s">
        <v>3768</v>
      </c>
      <c r="B191" s="1691" t="str">
        <f t="shared" si="4"/>
        <v>P10_11032_00494</v>
      </c>
      <c r="C191" s="1691" t="str">
        <f t="shared" si="5"/>
        <v>LE_XXXX</v>
      </c>
      <c r="D191" s="1691" t="s">
        <v>2886</v>
      </c>
      <c r="E191" s="1691">
        <v>3050</v>
      </c>
      <c r="F191" s="1691" t="s">
        <v>731</v>
      </c>
      <c r="G191" s="1691" t="s">
        <v>2889</v>
      </c>
      <c r="H191" s="1691" t="s">
        <v>145</v>
      </c>
      <c r="I191" s="1691" t="s">
        <v>146</v>
      </c>
      <c r="J191" s="1691" t="s">
        <v>147</v>
      </c>
      <c r="K191" s="1692" t="str">
        <f>+"FY"&amp;RIGHT(YEAR('Hyperion Panel'!$B$9)+2,2)</f>
        <v>FY12</v>
      </c>
      <c r="L191" s="1691">
        <f>SUM('Upload Detail'!L331:L332)</f>
        <v>16884.753665513832</v>
      </c>
      <c r="M191" s="1691">
        <f>SUM('Upload Detail'!M331:M332)</f>
        <v>16884.753665513832</v>
      </c>
      <c r="N191" s="1691">
        <f>SUM('Upload Detail'!N331:N332)</f>
        <v>16884.753665513832</v>
      </c>
      <c r="O191" s="1691">
        <f>SUM('Upload Detail'!O331:O332)</f>
        <v>16884.753665513832</v>
      </c>
      <c r="P191" s="1691">
        <f>SUM('Upload Detail'!P331:P332)</f>
        <v>16884.753665513832</v>
      </c>
      <c r="Q191" s="1691">
        <f>SUM('Upload Detail'!Q331:Q332)</f>
        <v>16884.753665513832</v>
      </c>
      <c r="R191" s="1691">
        <f>SUM('Upload Detail'!R331:R332)</f>
        <v>16884.753665513832</v>
      </c>
      <c r="S191" s="1691">
        <f>SUM('Upload Detail'!S331:S332)</f>
        <v>16884.753665513832</v>
      </c>
      <c r="T191" s="1691">
        <f>SUM('Upload Detail'!T331:T332)</f>
        <v>16884.753665513832</v>
      </c>
      <c r="U191" s="1691">
        <f>SUM('Upload Detail'!U331:U332)</f>
        <v>16884.753665513832</v>
      </c>
      <c r="V191" s="1691">
        <f>SUM('Upload Detail'!V331:V332)</f>
        <v>16884.753665513832</v>
      </c>
      <c r="W191" s="1691">
        <f>SUM('Upload Detail'!W331:W332)</f>
        <v>16884.753665513832</v>
      </c>
    </row>
    <row r="192" spans="1:25">
      <c r="A192" t="s">
        <v>2651</v>
      </c>
      <c r="B192" t="str">
        <f t="shared" si="4"/>
        <v>P10_11032_00494</v>
      </c>
      <c r="C192" t="str">
        <f t="shared" si="5"/>
        <v>LE_XXXX</v>
      </c>
      <c r="D192" t="s">
        <v>2886</v>
      </c>
      <c r="E192">
        <v>6010</v>
      </c>
      <c r="F192" t="s">
        <v>2888</v>
      </c>
      <c r="G192" t="s">
        <v>153</v>
      </c>
      <c r="H192" t="s">
        <v>154</v>
      </c>
      <c r="I192" t="s">
        <v>146</v>
      </c>
      <c r="J192" t="s">
        <v>147</v>
      </c>
      <c r="K192" s="45" t="str">
        <f>+"FY"&amp;RIGHT(YEAR('Hyperion Panel'!$B$9)+2,2)</f>
        <v>FY12</v>
      </c>
      <c r="L192">
        <f>'Upload Detail'!L333</f>
        <v>39860.778356496841</v>
      </c>
      <c r="M192">
        <f>'Upload Detail'!M333</f>
        <v>39860.778356496841</v>
      </c>
      <c r="N192">
        <f>'Upload Detail'!N333</f>
        <v>39860.778356496841</v>
      </c>
      <c r="O192">
        <f>'Upload Detail'!O333</f>
        <v>39860.778356496841</v>
      </c>
      <c r="P192">
        <f>'Upload Detail'!P333</f>
        <v>39860.778356496841</v>
      </c>
      <c r="Q192">
        <f>'Upload Detail'!Q333</f>
        <v>39860.778356496841</v>
      </c>
      <c r="R192">
        <f>'Upload Detail'!R333</f>
        <v>39860.778356496841</v>
      </c>
      <c r="S192">
        <f>'Upload Detail'!S333</f>
        <v>39860.778356496841</v>
      </c>
      <c r="T192">
        <f>'Upload Detail'!T333</f>
        <v>39860.778356496841</v>
      </c>
      <c r="U192">
        <f>'Upload Detail'!U333</f>
        <v>39860.778356496841</v>
      </c>
      <c r="V192">
        <f>'Upload Detail'!V333</f>
        <v>41056.601707191752</v>
      </c>
      <c r="W192">
        <f>'Upload Detail'!W333</f>
        <v>41056.601707191752</v>
      </c>
    </row>
    <row r="193" spans="1:25">
      <c r="A193" t="s">
        <v>2652</v>
      </c>
      <c r="B193" t="str">
        <f t="shared" si="4"/>
        <v>P10_11032_00494</v>
      </c>
      <c r="C193" t="str">
        <f t="shared" si="5"/>
        <v>LE_XXXX</v>
      </c>
      <c r="D193" t="s">
        <v>2886</v>
      </c>
      <c r="E193">
        <v>6010</v>
      </c>
      <c r="F193" t="s">
        <v>2888</v>
      </c>
      <c r="G193" t="s">
        <v>155</v>
      </c>
      <c r="H193" t="s">
        <v>154</v>
      </c>
      <c r="I193" t="s">
        <v>146</v>
      </c>
      <c r="J193" t="s">
        <v>147</v>
      </c>
      <c r="K193" s="45" t="str">
        <f>+"FY"&amp;RIGHT(YEAR('Hyperion Panel'!$B$9)+2,2)</f>
        <v>FY12</v>
      </c>
      <c r="L193">
        <f>'Upload Detail'!L334</f>
        <v>15238.85</v>
      </c>
      <c r="M193">
        <f>'Upload Detail'!M334</f>
        <v>15238.85</v>
      </c>
      <c r="N193">
        <f>'Upload Detail'!N334</f>
        <v>15238.85</v>
      </c>
      <c r="O193">
        <f>'Upload Detail'!O334</f>
        <v>15238.85</v>
      </c>
      <c r="P193">
        <f>'Upload Detail'!P334</f>
        <v>15238.85</v>
      </c>
      <c r="Q193">
        <f>'Upload Detail'!Q334</f>
        <v>15238.85</v>
      </c>
      <c r="R193">
        <f>'Upload Detail'!R334</f>
        <v>15238.85</v>
      </c>
      <c r="S193">
        <f>'Upload Detail'!S334</f>
        <v>15238.85</v>
      </c>
      <c r="T193">
        <f>'Upload Detail'!T334</f>
        <v>15238.85</v>
      </c>
      <c r="U193">
        <f>'Upload Detail'!U334</f>
        <v>15238.85</v>
      </c>
      <c r="V193">
        <f>'Upload Detail'!V334</f>
        <v>15696.015500000001</v>
      </c>
      <c r="W193">
        <f>'Upload Detail'!W334</f>
        <v>15696.015500000001</v>
      </c>
    </row>
    <row r="194" spans="1:25">
      <c r="A194" t="s">
        <v>2653</v>
      </c>
      <c r="B194" t="str">
        <f t="shared" si="4"/>
        <v>P10_11032_00494</v>
      </c>
      <c r="C194" t="str">
        <f t="shared" si="5"/>
        <v>LE_XXXX</v>
      </c>
      <c r="D194" t="s">
        <v>2886</v>
      </c>
      <c r="E194">
        <v>6051</v>
      </c>
      <c r="F194" t="s">
        <v>2888</v>
      </c>
      <c r="G194" t="s">
        <v>153</v>
      </c>
      <c r="H194" t="s">
        <v>154</v>
      </c>
      <c r="I194" t="s">
        <v>146</v>
      </c>
      <c r="J194" t="s">
        <v>147</v>
      </c>
      <c r="K194" s="45" t="str">
        <f>+"FY"&amp;RIGHT(YEAR('Hyperion Panel'!$B$9)+2,2)</f>
        <v>FY12</v>
      </c>
      <c r="L194">
        <f>'Upload Detail'!L335</f>
        <v>19457.450243111161</v>
      </c>
      <c r="M194">
        <f>'Upload Detail'!M335</f>
        <v>19457.450243111161</v>
      </c>
      <c r="N194">
        <f>'Upload Detail'!N335</f>
        <v>19457.450243111161</v>
      </c>
      <c r="O194">
        <f>'Upload Detail'!O335</f>
        <v>19457.450243111161</v>
      </c>
      <c r="P194">
        <f>'Upload Detail'!P335</f>
        <v>19457.450243111161</v>
      </c>
      <c r="Q194">
        <f>'Upload Detail'!Q335</f>
        <v>19457.450243111161</v>
      </c>
      <c r="R194">
        <f>'Upload Detail'!R335</f>
        <v>19457.450243111161</v>
      </c>
      <c r="S194">
        <f>'Upload Detail'!S335</f>
        <v>19457.450243111161</v>
      </c>
      <c r="T194">
        <f>'Upload Detail'!T335</f>
        <v>19457.450243111161</v>
      </c>
      <c r="U194">
        <f>'Upload Detail'!U335</f>
        <v>19457.450243111161</v>
      </c>
      <c r="V194">
        <f>'Upload Detail'!V335</f>
        <v>20041.173750404498</v>
      </c>
      <c r="W194">
        <f>'Upload Detail'!W335</f>
        <v>20041.173750404498</v>
      </c>
    </row>
    <row r="195" spans="1:25">
      <c r="A195" t="s">
        <v>2654</v>
      </c>
      <c r="B195" t="str">
        <f t="shared" si="4"/>
        <v>P10_11032_00494</v>
      </c>
      <c r="C195" t="str">
        <f t="shared" si="5"/>
        <v>LE_XXXX</v>
      </c>
      <c r="D195" t="s">
        <v>2886</v>
      </c>
      <c r="E195">
        <v>6011</v>
      </c>
      <c r="F195" t="s">
        <v>2888</v>
      </c>
      <c r="G195" t="s">
        <v>153</v>
      </c>
      <c r="H195" t="s">
        <v>154</v>
      </c>
      <c r="I195" t="s">
        <v>146</v>
      </c>
      <c r="J195" t="s">
        <v>147</v>
      </c>
      <c r="K195" s="45" t="str">
        <f>+"FY"&amp;RIGHT(YEAR('Hyperion Panel'!$B$9)+2,2)</f>
        <v>FY12</v>
      </c>
      <c r="L195">
        <f>'Upload Detail'!L336</f>
        <v>0</v>
      </c>
      <c r="M195">
        <f>'Upload Detail'!M336</f>
        <v>0</v>
      </c>
      <c r="N195">
        <f>'Upload Detail'!N336</f>
        <v>0</v>
      </c>
      <c r="O195">
        <f>'Upload Detail'!O336</f>
        <v>0</v>
      </c>
      <c r="P195">
        <f>'Upload Detail'!P336</f>
        <v>0</v>
      </c>
      <c r="Q195">
        <f>'Upload Detail'!Q336</f>
        <v>0</v>
      </c>
      <c r="R195">
        <f>'Upload Detail'!R336</f>
        <v>0</v>
      </c>
      <c r="S195">
        <f>'Upload Detail'!S336</f>
        <v>0</v>
      </c>
      <c r="T195">
        <f>'Upload Detail'!T336</f>
        <v>0</v>
      </c>
      <c r="U195">
        <f>'Upload Detail'!U336</f>
        <v>0</v>
      </c>
      <c r="V195">
        <f>'Upload Detail'!V336</f>
        <v>0</v>
      </c>
      <c r="W195">
        <f>'Upload Detail'!W336</f>
        <v>0</v>
      </c>
    </row>
    <row r="196" spans="1:25">
      <c r="A196" t="s">
        <v>3696</v>
      </c>
      <c r="B196" t="str">
        <f t="shared" si="4"/>
        <v>P10_11032_00494</v>
      </c>
      <c r="C196" t="str">
        <f t="shared" si="5"/>
        <v>LE_XXXX</v>
      </c>
      <c r="D196" t="s">
        <v>2886</v>
      </c>
      <c r="E196">
        <v>6600</v>
      </c>
      <c r="F196" t="s">
        <v>2888</v>
      </c>
      <c r="G196" t="s">
        <v>2889</v>
      </c>
      <c r="H196" t="s">
        <v>154</v>
      </c>
      <c r="I196" t="s">
        <v>146</v>
      </c>
      <c r="J196" t="s">
        <v>147</v>
      </c>
      <c r="K196" s="45" t="str">
        <f>+"FY"&amp;RIGHT(YEAR('Hyperion Panel'!$B$9)+2,2)</f>
        <v>FY12</v>
      </c>
      <c r="L196">
        <f>'Upload Detail'!L337</f>
        <v>54018.065244350633</v>
      </c>
      <c r="M196">
        <f>'Upload Detail'!M337</f>
        <v>54018.065244350633</v>
      </c>
      <c r="N196">
        <f>'Upload Detail'!N337</f>
        <v>54018.065244350633</v>
      </c>
      <c r="O196">
        <f>'Upload Detail'!O337</f>
        <v>54018.065244350633</v>
      </c>
      <c r="P196">
        <f>'Upload Detail'!P337</f>
        <v>54018.065244350633</v>
      </c>
      <c r="Q196">
        <f>'Upload Detail'!Q337</f>
        <v>54018.065244350633</v>
      </c>
      <c r="R196">
        <f>'Upload Detail'!R337</f>
        <v>54018.065244350633</v>
      </c>
      <c r="S196">
        <f>'Upload Detail'!S337</f>
        <v>54018.065244350633</v>
      </c>
      <c r="T196">
        <f>'Upload Detail'!T337</f>
        <v>54018.065244350633</v>
      </c>
      <c r="U196">
        <f>'Upload Detail'!U337</f>
        <v>54018.065244350633</v>
      </c>
      <c r="V196">
        <f>'Upload Detail'!V337</f>
        <v>55098.426549237643</v>
      </c>
      <c r="W196">
        <f>'Upload Detail'!W337</f>
        <v>55098.426549237643</v>
      </c>
    </row>
    <row r="197" spans="1:25">
      <c r="A197" t="s">
        <v>1381</v>
      </c>
      <c r="B197" t="str">
        <f t="shared" si="4"/>
        <v>P10_11032_00494</v>
      </c>
      <c r="C197" t="str">
        <f t="shared" si="5"/>
        <v>LE_XXXX</v>
      </c>
      <c r="D197" t="s">
        <v>2886</v>
      </c>
      <c r="E197">
        <v>6800</v>
      </c>
      <c r="F197" t="s">
        <v>156</v>
      </c>
      <c r="G197" t="s">
        <v>2889</v>
      </c>
      <c r="H197" t="s">
        <v>154</v>
      </c>
      <c r="I197" t="s">
        <v>146</v>
      </c>
      <c r="J197" t="s">
        <v>147</v>
      </c>
      <c r="K197" s="45" t="str">
        <f>+"FY"&amp;RIGHT(YEAR('Hyperion Panel'!$B$9)+2,2)</f>
        <v>FY12</v>
      </c>
      <c r="L197">
        <f>'Upload Detail'!L338</f>
        <v>20214.79507079611</v>
      </c>
      <c r="M197">
        <f>'Upload Detail'!M338</f>
        <v>20214.79507079611</v>
      </c>
      <c r="N197">
        <f>'Upload Detail'!N338</f>
        <v>20214.79507079611</v>
      </c>
      <c r="O197">
        <f>'Upload Detail'!O338</f>
        <v>20214.79507079611</v>
      </c>
      <c r="P197">
        <f>'Upload Detail'!P338</f>
        <v>20214.79507079611</v>
      </c>
      <c r="Q197">
        <f>'Upload Detail'!Q338</f>
        <v>20214.79507079611</v>
      </c>
      <c r="R197">
        <f>'Upload Detail'!R338</f>
        <v>20214.79507079611</v>
      </c>
      <c r="S197">
        <f>'Upload Detail'!S338</f>
        <v>20214.79507079611</v>
      </c>
      <c r="T197">
        <f>'Upload Detail'!T338</f>
        <v>20214.79507079611</v>
      </c>
      <c r="U197">
        <f>'Upload Detail'!U338</f>
        <v>20214.79507079611</v>
      </c>
      <c r="V197">
        <f>'Upload Detail'!V338</f>
        <v>20821.238922919994</v>
      </c>
      <c r="W197">
        <f>'Upload Detail'!W338</f>
        <v>20821.238922919994</v>
      </c>
    </row>
    <row r="198" spans="1:25">
      <c r="A198" t="s">
        <v>3697</v>
      </c>
      <c r="B198" t="str">
        <f t="shared" si="4"/>
        <v>P10_11032_00494</v>
      </c>
      <c r="C198" t="str">
        <f t="shared" si="5"/>
        <v>LE_XXXX</v>
      </c>
      <c r="D198" t="s">
        <v>2886</v>
      </c>
      <c r="E198">
        <v>8600</v>
      </c>
      <c r="F198" t="s">
        <v>156</v>
      </c>
      <c r="G198" t="s">
        <v>2889</v>
      </c>
      <c r="H198" t="s">
        <v>154</v>
      </c>
      <c r="I198" t="s">
        <v>146</v>
      </c>
      <c r="J198" t="s">
        <v>147</v>
      </c>
      <c r="K198" s="45" t="str">
        <f>+"FY"&amp;RIGHT(YEAR('Hyperion Panel'!$B$9)+2,2)</f>
        <v>FY12</v>
      </c>
      <c r="L198">
        <f>'Upload Detail'!L339</f>
        <v>16969.239699999998</v>
      </c>
      <c r="M198">
        <f>'Upload Detail'!M339</f>
        <v>16969.239699999998</v>
      </c>
      <c r="N198">
        <f>'Upload Detail'!N339</f>
        <v>16969.239699999998</v>
      </c>
      <c r="O198">
        <f>'Upload Detail'!O339</f>
        <v>16969.239699999998</v>
      </c>
      <c r="P198">
        <f>'Upload Detail'!P339</f>
        <v>16969.239699999998</v>
      </c>
      <c r="Q198">
        <f>'Upload Detail'!Q339</f>
        <v>16969.239699999998</v>
      </c>
      <c r="R198">
        <f>'Upload Detail'!R339</f>
        <v>16969.239699999998</v>
      </c>
      <c r="S198">
        <f>'Upload Detail'!S339</f>
        <v>16969.239699999998</v>
      </c>
      <c r="T198">
        <f>'Upload Detail'!T339</f>
        <v>16969.239699999998</v>
      </c>
      <c r="U198">
        <f>'Upload Detail'!U339</f>
        <v>16969.239699999998</v>
      </c>
      <c r="V198">
        <f>'Upload Detail'!V339</f>
        <v>17478.316890999999</v>
      </c>
      <c r="W198">
        <f>'Upload Detail'!W339</f>
        <v>17478.316890999999</v>
      </c>
    </row>
    <row r="199" spans="1:25">
      <c r="A199" t="s">
        <v>157</v>
      </c>
      <c r="B199" t="str">
        <f t="shared" si="4"/>
        <v>P10_11032_00494</v>
      </c>
      <c r="C199" t="str">
        <f t="shared" si="5"/>
        <v>LE_XXXX</v>
      </c>
      <c r="D199" t="s">
        <v>2886</v>
      </c>
      <c r="E199">
        <v>6720</v>
      </c>
      <c r="F199" t="s">
        <v>156</v>
      </c>
      <c r="G199" t="s">
        <v>2889</v>
      </c>
      <c r="H199" t="s">
        <v>154</v>
      </c>
      <c r="I199" t="s">
        <v>146</v>
      </c>
      <c r="J199" t="s">
        <v>147</v>
      </c>
      <c r="K199" s="45" t="str">
        <f>+"FY"&amp;RIGHT(YEAR('Hyperion Panel'!$B$9)+2,2)</f>
        <v>FY12</v>
      </c>
      <c r="L199">
        <f>'Upload Detail'!L340</f>
        <v>15833.32</v>
      </c>
      <c r="M199">
        <f>'Upload Detail'!M340</f>
        <v>15833.32</v>
      </c>
      <c r="N199">
        <f>'Upload Detail'!N340</f>
        <v>15833.32</v>
      </c>
      <c r="O199">
        <f>'Upload Detail'!O340</f>
        <v>15833.32</v>
      </c>
      <c r="P199">
        <f>'Upload Detail'!P340</f>
        <v>15833.32</v>
      </c>
      <c r="Q199">
        <f>'Upload Detail'!Q340</f>
        <v>15833.32</v>
      </c>
      <c r="R199">
        <f>'Upload Detail'!R340</f>
        <v>15833.32</v>
      </c>
      <c r="S199">
        <f>'Upload Detail'!S340</f>
        <v>15833.32</v>
      </c>
      <c r="T199">
        <f>'Upload Detail'!T340</f>
        <v>15833.32</v>
      </c>
      <c r="U199">
        <f>'Upload Detail'!U340</f>
        <v>15833.32</v>
      </c>
      <c r="V199">
        <f>'Upload Detail'!V340</f>
        <v>15833.32</v>
      </c>
      <c r="W199">
        <f>'Upload Detail'!W340</f>
        <v>15833.32</v>
      </c>
    </row>
    <row r="200" spans="1:25">
      <c r="A200" t="s">
        <v>3925</v>
      </c>
      <c r="B200" t="str">
        <f t="shared" si="4"/>
        <v>P10_11032_00494</v>
      </c>
      <c r="C200" t="str">
        <f t="shared" si="5"/>
        <v>LE_XXXX</v>
      </c>
      <c r="D200" t="s">
        <v>2886</v>
      </c>
      <c r="E200">
        <v>8110</v>
      </c>
      <c r="F200" t="s">
        <v>156</v>
      </c>
      <c r="G200" t="s">
        <v>2889</v>
      </c>
      <c r="H200" t="s">
        <v>154</v>
      </c>
      <c r="I200" t="s">
        <v>146</v>
      </c>
      <c r="J200" t="s">
        <v>147</v>
      </c>
      <c r="K200" s="45" t="str">
        <f>+"FY"&amp;RIGHT(YEAR('Hyperion Panel'!$B$9)+2,2)</f>
        <v>FY12</v>
      </c>
      <c r="L200">
        <f>'Upload Detail'!L341</f>
        <v>1076.0461499999999</v>
      </c>
      <c r="M200">
        <f>'Upload Detail'!M341</f>
        <v>1076.0461499999999</v>
      </c>
      <c r="N200">
        <f>'Upload Detail'!N341</f>
        <v>1076.0461499999999</v>
      </c>
      <c r="O200">
        <f>'Upload Detail'!O341</f>
        <v>1076.0461499999999</v>
      </c>
      <c r="P200">
        <f>'Upload Detail'!P341</f>
        <v>1076.0461499999999</v>
      </c>
      <c r="Q200">
        <f>'Upload Detail'!Q341</f>
        <v>1076.0461499999999</v>
      </c>
      <c r="R200">
        <f>'Upload Detail'!R341</f>
        <v>1076.0461499999999</v>
      </c>
      <c r="S200">
        <f>'Upload Detail'!S341</f>
        <v>1076.0461499999999</v>
      </c>
      <c r="T200">
        <f>'Upload Detail'!T341</f>
        <v>1076.0461499999999</v>
      </c>
      <c r="U200">
        <f>'Upload Detail'!U341</f>
        <v>1076.0461499999999</v>
      </c>
      <c r="V200">
        <f>'Upload Detail'!V341</f>
        <v>1108.3275345</v>
      </c>
      <c r="W200">
        <f>'Upload Detail'!W341</f>
        <v>1108.3275345</v>
      </c>
    </row>
    <row r="201" spans="1:25">
      <c r="A201" t="s">
        <v>3926</v>
      </c>
      <c r="B201" t="str">
        <f t="shared" si="4"/>
        <v>P10_11032_00494</v>
      </c>
      <c r="C201" t="str">
        <f t="shared" si="5"/>
        <v>LE_XXXX</v>
      </c>
      <c r="D201" t="s">
        <v>2886</v>
      </c>
      <c r="E201">
        <v>6412</v>
      </c>
      <c r="F201" t="s">
        <v>156</v>
      </c>
      <c r="G201" t="s">
        <v>2889</v>
      </c>
      <c r="H201" t="s">
        <v>154</v>
      </c>
      <c r="I201" t="s">
        <v>146</v>
      </c>
      <c r="J201" t="s">
        <v>147</v>
      </c>
      <c r="K201" s="45" t="str">
        <f>+"FY"&amp;RIGHT(YEAR('Hyperion Panel'!$B$9)+2,2)</f>
        <v>FY12</v>
      </c>
      <c r="L201">
        <f>'Upload Detail'!L342</f>
        <v>19121.923843312405</v>
      </c>
      <c r="M201">
        <f>'Upload Detail'!M342</f>
        <v>19121.923843312405</v>
      </c>
      <c r="N201">
        <f>'Upload Detail'!N342</f>
        <v>19121.923843312405</v>
      </c>
      <c r="O201">
        <f>'Upload Detail'!O342</f>
        <v>19121.923843312405</v>
      </c>
      <c r="P201">
        <f>'Upload Detail'!P342</f>
        <v>19121.923843312405</v>
      </c>
      <c r="Q201">
        <f>'Upload Detail'!Q342</f>
        <v>19121.923843312405</v>
      </c>
      <c r="R201">
        <f>'Upload Detail'!R342</f>
        <v>19121.923843312405</v>
      </c>
      <c r="S201">
        <f>'Upload Detail'!S342</f>
        <v>19121.923843312405</v>
      </c>
      <c r="T201">
        <f>'Upload Detail'!T342</f>
        <v>19121.923843312405</v>
      </c>
      <c r="U201">
        <f>'Upload Detail'!U342</f>
        <v>19121.923843312405</v>
      </c>
      <c r="V201">
        <f>'Upload Detail'!V342</f>
        <v>19695.581558611779</v>
      </c>
      <c r="W201">
        <f>'Upload Detail'!W342</f>
        <v>19695.581558611779</v>
      </c>
    </row>
    <row r="202" spans="1:25" s="104" customFormat="1">
      <c r="A202" s="104" t="s">
        <v>730</v>
      </c>
      <c r="B202" s="104" t="str">
        <f t="shared" si="4"/>
        <v>P10_11032_00494</v>
      </c>
      <c r="C202" s="104" t="str">
        <f t="shared" si="5"/>
        <v>LE_XXXX</v>
      </c>
      <c r="D202" s="104" t="s">
        <v>2886</v>
      </c>
      <c r="E202" s="104">
        <v>8110</v>
      </c>
      <c r="F202" s="104" t="s">
        <v>731</v>
      </c>
      <c r="G202" s="104" t="s">
        <v>2889</v>
      </c>
      <c r="H202" s="104" t="s">
        <v>154</v>
      </c>
      <c r="I202" s="104" t="s">
        <v>146</v>
      </c>
      <c r="J202" s="104" t="s">
        <v>147</v>
      </c>
      <c r="K202" s="45" t="str">
        <f>+"FY"&amp;RIGHT(YEAR('Hyperion Panel'!$B$9)+2,2)</f>
        <v>FY12</v>
      </c>
      <c r="L202" s="104">
        <f>'Upload Detail'!L343</f>
        <v>858.33333333333337</v>
      </c>
      <c r="M202" s="104">
        <f>'Upload Detail'!M343</f>
        <v>858.33333333333337</v>
      </c>
      <c r="N202" s="104">
        <f>'Upload Detail'!N343</f>
        <v>858.33333333333337</v>
      </c>
      <c r="O202" s="104">
        <f>'Upload Detail'!O343</f>
        <v>858.33333333333337</v>
      </c>
      <c r="P202" s="104">
        <f>'Upload Detail'!P343</f>
        <v>858.33333333333337</v>
      </c>
      <c r="Q202" s="104">
        <f>'Upload Detail'!Q343</f>
        <v>858.33333333333337</v>
      </c>
      <c r="R202" s="104">
        <f>'Upload Detail'!R343</f>
        <v>858.33333333333337</v>
      </c>
      <c r="S202" s="104">
        <f>'Upload Detail'!S343</f>
        <v>858.33333333333337</v>
      </c>
      <c r="T202" s="104">
        <f>'Upload Detail'!T343</f>
        <v>858.33333333333337</v>
      </c>
      <c r="U202" s="104">
        <f>'Upload Detail'!U343</f>
        <v>858.33333333333337</v>
      </c>
      <c r="V202" s="104">
        <f>'Upload Detail'!V343</f>
        <v>884.08333333333337</v>
      </c>
      <c r="W202" s="104">
        <f>'Upload Detail'!W343</f>
        <v>884.08333333333337</v>
      </c>
      <c r="Y202" s="1690"/>
    </row>
    <row r="203" spans="1:25" s="104" customFormat="1">
      <c r="A203" s="104" t="s">
        <v>732</v>
      </c>
      <c r="B203" s="104" t="str">
        <f t="shared" si="4"/>
        <v>P10_11032_00494</v>
      </c>
      <c r="C203" s="104" t="str">
        <f t="shared" si="5"/>
        <v>LE_XXXX</v>
      </c>
      <c r="D203" s="104" t="s">
        <v>2886</v>
      </c>
      <c r="F203" s="104" t="s">
        <v>731</v>
      </c>
      <c r="G203" s="104" t="s">
        <v>2889</v>
      </c>
      <c r="H203" s="104" t="s">
        <v>154</v>
      </c>
      <c r="I203" s="104" t="s">
        <v>146</v>
      </c>
      <c r="J203" s="104" t="s">
        <v>147</v>
      </c>
      <c r="K203" s="45" t="str">
        <f>+"FY"&amp;RIGHT(YEAR('Hyperion Panel'!$B$9)+2,2)</f>
        <v>FY12</v>
      </c>
      <c r="L203" s="104">
        <f>'Upload Detail'!L344</f>
        <v>0</v>
      </c>
      <c r="M203" s="104">
        <f>'Upload Detail'!M344</f>
        <v>0</v>
      </c>
      <c r="N203" s="104">
        <f>'Upload Detail'!N344</f>
        <v>0</v>
      </c>
      <c r="O203" s="104">
        <f>'Upload Detail'!O344</f>
        <v>0</v>
      </c>
      <c r="P203" s="104">
        <f>'Upload Detail'!P344</f>
        <v>0</v>
      </c>
      <c r="Q203" s="104">
        <f>'Upload Detail'!Q344</f>
        <v>0</v>
      </c>
      <c r="R203" s="104">
        <f>'Upload Detail'!R344</f>
        <v>0</v>
      </c>
      <c r="S203" s="104">
        <f>'Upload Detail'!S344</f>
        <v>0</v>
      </c>
      <c r="T203" s="104">
        <f>'Upload Detail'!T344</f>
        <v>0</v>
      </c>
      <c r="U203" s="104">
        <f>'Upload Detail'!U344</f>
        <v>0</v>
      </c>
      <c r="V203" s="104">
        <f>'Upload Detail'!V344</f>
        <v>0</v>
      </c>
      <c r="W203" s="104">
        <f>'Upload Detail'!W344</f>
        <v>0</v>
      </c>
      <c r="Y203" s="1690"/>
    </row>
    <row r="204" spans="1:25" s="104" customFormat="1">
      <c r="A204" s="104" t="s">
        <v>733</v>
      </c>
      <c r="B204" s="104" t="str">
        <f t="shared" si="4"/>
        <v>P10_11032_00494</v>
      </c>
      <c r="C204" s="104" t="str">
        <f t="shared" si="5"/>
        <v>LE_XXXX</v>
      </c>
      <c r="D204" s="104" t="s">
        <v>2886</v>
      </c>
      <c r="F204" s="104" t="s">
        <v>731</v>
      </c>
      <c r="G204" s="104" t="s">
        <v>2889</v>
      </c>
      <c r="H204" s="104" t="s">
        <v>154</v>
      </c>
      <c r="I204" s="104" t="s">
        <v>146</v>
      </c>
      <c r="J204" s="104" t="s">
        <v>147</v>
      </c>
      <c r="K204" s="45" t="str">
        <f>+"FY"&amp;RIGHT(YEAR('Hyperion Panel'!$B$9)+2,2)</f>
        <v>FY12</v>
      </c>
      <c r="L204" s="104">
        <f>'Upload Detail'!L345</f>
        <v>9832.7999999999993</v>
      </c>
      <c r="M204" s="104">
        <f>'Upload Detail'!M345</f>
        <v>9832.7999999999993</v>
      </c>
      <c r="N204" s="104">
        <f>'Upload Detail'!N345</f>
        <v>9832.7999999999993</v>
      </c>
      <c r="O204" s="104">
        <f>'Upload Detail'!O345</f>
        <v>9832.7999999999993</v>
      </c>
      <c r="P204" s="104">
        <f>'Upload Detail'!P345</f>
        <v>9832.7999999999993</v>
      </c>
      <c r="Q204" s="104">
        <f>'Upload Detail'!Q345</f>
        <v>9832.7999999999993</v>
      </c>
      <c r="R204" s="104">
        <f>'Upload Detail'!R345</f>
        <v>9832.7999999999993</v>
      </c>
      <c r="S204" s="104">
        <f>'Upload Detail'!S345</f>
        <v>9832.7999999999993</v>
      </c>
      <c r="T204" s="104">
        <f>'Upload Detail'!T345</f>
        <v>9832.7999999999993</v>
      </c>
      <c r="U204" s="104">
        <f>'Upload Detail'!U345</f>
        <v>9832.7999999999993</v>
      </c>
      <c r="V204" s="104">
        <f>'Upload Detail'!V345</f>
        <v>10029.456</v>
      </c>
      <c r="W204" s="104">
        <f>'Upload Detail'!W345</f>
        <v>10029.456</v>
      </c>
      <c r="Y204" s="1690"/>
    </row>
    <row r="205" spans="1:25" s="104" customFormat="1">
      <c r="A205" s="104" t="s">
        <v>734</v>
      </c>
      <c r="B205" s="104" t="str">
        <f t="shared" si="4"/>
        <v>P10_11032_00494</v>
      </c>
      <c r="C205" s="104" t="str">
        <f t="shared" si="5"/>
        <v>LE_XXXX</v>
      </c>
      <c r="D205" s="104" t="s">
        <v>2886</v>
      </c>
      <c r="E205" s="104">
        <v>6800</v>
      </c>
      <c r="F205" s="104" t="s">
        <v>731</v>
      </c>
      <c r="G205" s="104" t="s">
        <v>2889</v>
      </c>
      <c r="H205" s="104" t="s">
        <v>154</v>
      </c>
      <c r="I205" s="104" t="s">
        <v>146</v>
      </c>
      <c r="J205" s="104" t="s">
        <v>147</v>
      </c>
      <c r="K205" s="45" t="str">
        <f>+"FY"&amp;RIGHT(YEAR('Hyperion Panel'!$B$9)+2,2)</f>
        <v>FY12</v>
      </c>
      <c r="L205" s="104">
        <f>'Upload Detail'!L346</f>
        <v>1802.5</v>
      </c>
      <c r="M205" s="104">
        <f>'Upload Detail'!M346</f>
        <v>1802.5</v>
      </c>
      <c r="N205" s="104">
        <f>'Upload Detail'!N346</f>
        <v>1802.5</v>
      </c>
      <c r="O205" s="104">
        <f>'Upload Detail'!O346</f>
        <v>1802.5</v>
      </c>
      <c r="P205" s="104">
        <f>'Upload Detail'!P346</f>
        <v>1802.5</v>
      </c>
      <c r="Q205" s="104">
        <f>'Upload Detail'!Q346</f>
        <v>1802.5</v>
      </c>
      <c r="R205" s="104">
        <f>'Upload Detail'!R346</f>
        <v>1802.5</v>
      </c>
      <c r="S205" s="104">
        <f>'Upload Detail'!S346</f>
        <v>1802.5</v>
      </c>
      <c r="T205" s="104">
        <f>'Upload Detail'!T346</f>
        <v>1802.5</v>
      </c>
      <c r="U205" s="104">
        <f>'Upload Detail'!U346</f>
        <v>1802.5</v>
      </c>
      <c r="V205" s="104">
        <f>'Upload Detail'!V346</f>
        <v>1856.575</v>
      </c>
      <c r="W205" s="104">
        <f>'Upload Detail'!W346</f>
        <v>1856.575</v>
      </c>
      <c r="Y205" s="1690"/>
    </row>
    <row r="206" spans="1:25">
      <c r="A206" t="s">
        <v>158</v>
      </c>
      <c r="B206" t="str">
        <f t="shared" si="4"/>
        <v>P10_11032_00494</v>
      </c>
      <c r="C206" t="str">
        <f t="shared" si="5"/>
        <v>LE_XXXX</v>
      </c>
      <c r="D206" t="s">
        <v>2886</v>
      </c>
      <c r="E206" t="s">
        <v>159</v>
      </c>
      <c r="F206" t="s">
        <v>156</v>
      </c>
      <c r="G206" t="s">
        <v>2889</v>
      </c>
      <c r="H206" t="s">
        <v>154</v>
      </c>
      <c r="I206" t="s">
        <v>146</v>
      </c>
      <c r="J206" t="s">
        <v>147</v>
      </c>
      <c r="K206" s="45" t="str">
        <f>+"FY"&amp;RIGHT(YEAR('Hyperion Panel'!$B$9)+2,2)</f>
        <v>FY12</v>
      </c>
      <c r="L206" s="103">
        <f>'Upload Detail'!L347</f>
        <v>1</v>
      </c>
      <c r="M206" s="103">
        <f>'Upload Detail'!M347</f>
        <v>1</v>
      </c>
      <c r="N206" s="103">
        <f>'Upload Detail'!N347</f>
        <v>1</v>
      </c>
      <c r="O206" s="103">
        <f>'Upload Detail'!O347</f>
        <v>1</v>
      </c>
      <c r="P206" s="103">
        <f>'Upload Detail'!P347</f>
        <v>1</v>
      </c>
      <c r="Q206" s="103">
        <f>'Upload Detail'!Q347</f>
        <v>1</v>
      </c>
      <c r="R206" s="103">
        <f>'Upload Detail'!R347</f>
        <v>1</v>
      </c>
      <c r="S206" s="103">
        <f>'Upload Detail'!S347</f>
        <v>1</v>
      </c>
      <c r="T206" s="103">
        <f>'Upload Detail'!T347</f>
        <v>1</v>
      </c>
      <c r="U206" s="103">
        <f>'Upload Detail'!U347</f>
        <v>1</v>
      </c>
      <c r="V206" s="103">
        <f>'Upload Detail'!V347</f>
        <v>1</v>
      </c>
      <c r="W206" s="103">
        <f>'Upload Detail'!W347</f>
        <v>1</v>
      </c>
    </row>
    <row r="207" spans="1:25">
      <c r="A207" t="s">
        <v>160</v>
      </c>
      <c r="B207" t="str">
        <f t="shared" si="4"/>
        <v>P10_11032_00494</v>
      </c>
      <c r="C207" t="str">
        <f t="shared" si="5"/>
        <v>LE_XXXX</v>
      </c>
      <c r="D207" t="s">
        <v>2886</v>
      </c>
      <c r="E207" t="s">
        <v>161</v>
      </c>
      <c r="F207" t="s">
        <v>156</v>
      </c>
      <c r="G207" t="s">
        <v>2889</v>
      </c>
      <c r="H207" t="s">
        <v>154</v>
      </c>
      <c r="I207" t="s">
        <v>146</v>
      </c>
      <c r="J207" t="s">
        <v>147</v>
      </c>
      <c r="K207" s="45" t="str">
        <f>+"FY"&amp;RIGHT(YEAR('Hyperion Panel'!$B$9)+2,2)</f>
        <v>FY12</v>
      </c>
      <c r="L207">
        <f>'Upload Detail'!L348</f>
        <v>0</v>
      </c>
      <c r="M207">
        <f>'Upload Detail'!M348</f>
        <v>0</v>
      </c>
      <c r="N207">
        <f>'Upload Detail'!N348</f>
        <v>0</v>
      </c>
      <c r="O207">
        <f>'Upload Detail'!O348</f>
        <v>0</v>
      </c>
      <c r="P207">
        <f>'Upload Detail'!P348</f>
        <v>0</v>
      </c>
      <c r="Q207">
        <f>'Upload Detail'!Q348</f>
        <v>0</v>
      </c>
      <c r="R207">
        <f>'Upload Detail'!R348</f>
        <v>0</v>
      </c>
      <c r="S207">
        <f>'Upload Detail'!S348</f>
        <v>0</v>
      </c>
      <c r="T207">
        <f>'Upload Detail'!T348</f>
        <v>0</v>
      </c>
      <c r="U207">
        <f>'Upload Detail'!U348</f>
        <v>0</v>
      </c>
      <c r="V207">
        <f>'Upload Detail'!V348</f>
        <v>0</v>
      </c>
      <c r="W207">
        <f>'Upload Detail'!W348</f>
        <v>0</v>
      </c>
    </row>
    <row r="208" spans="1:25" s="104" customFormat="1">
      <c r="A208" s="104" t="s">
        <v>735</v>
      </c>
      <c r="B208" t="str">
        <f t="shared" si="4"/>
        <v>P10_11032_00494</v>
      </c>
      <c r="C208" t="str">
        <f t="shared" si="5"/>
        <v>LE_XXXX</v>
      </c>
      <c r="D208" t="s">
        <v>2886</v>
      </c>
      <c r="F208" s="104" t="s">
        <v>731</v>
      </c>
      <c r="G208" s="104" t="s">
        <v>2889</v>
      </c>
      <c r="H208" s="104" t="s">
        <v>154</v>
      </c>
      <c r="I208" s="104" t="s">
        <v>146</v>
      </c>
      <c r="J208" s="104" t="s">
        <v>147</v>
      </c>
      <c r="K208" s="45" t="str">
        <f>+"FY"&amp;RIGHT(YEAR('Hyperion Panel'!$B$9)+2,2)</f>
        <v>FY12</v>
      </c>
      <c r="L208" s="104">
        <f>'Upload Detail'!L349</f>
        <v>0</v>
      </c>
      <c r="M208" s="104">
        <f>'Upload Detail'!M349</f>
        <v>0</v>
      </c>
      <c r="N208" s="104">
        <f>'Upload Detail'!N349</f>
        <v>0</v>
      </c>
      <c r="O208" s="104">
        <f>'Upload Detail'!O349</f>
        <v>0</v>
      </c>
      <c r="P208" s="104">
        <f>'Upload Detail'!P349</f>
        <v>0</v>
      </c>
      <c r="Q208" s="104">
        <f>'Upload Detail'!Q349</f>
        <v>0</v>
      </c>
      <c r="R208" s="104">
        <f>'Upload Detail'!R349</f>
        <v>0</v>
      </c>
      <c r="S208" s="104">
        <f>'Upload Detail'!S349</f>
        <v>0</v>
      </c>
      <c r="T208" s="104">
        <f>'Upload Detail'!T349</f>
        <v>0</v>
      </c>
      <c r="U208" s="104">
        <f>'Upload Detail'!U349</f>
        <v>0</v>
      </c>
      <c r="V208" s="104">
        <f>'Upload Detail'!V349</f>
        <v>0</v>
      </c>
      <c r="W208" s="104">
        <f>'Upload Detail'!W349</f>
        <v>0</v>
      </c>
    </row>
    <row r="209" spans="1:25" s="6" customFormat="1">
      <c r="A209" s="6" t="s">
        <v>165</v>
      </c>
      <c r="B209" s="6" t="str">
        <f t="shared" si="4"/>
        <v>P10_11032_00494</v>
      </c>
      <c r="C209" s="6" t="str">
        <f t="shared" si="5"/>
        <v>LE_XXXX</v>
      </c>
      <c r="D209" s="6" t="s">
        <v>2886</v>
      </c>
      <c r="E209" s="6" t="s">
        <v>2887</v>
      </c>
      <c r="F209" s="6" t="s">
        <v>2888</v>
      </c>
      <c r="G209" s="6" t="s">
        <v>2889</v>
      </c>
      <c r="H209" s="6" t="s">
        <v>145</v>
      </c>
      <c r="I209" s="6" t="s">
        <v>146</v>
      </c>
      <c r="J209" s="6" t="s">
        <v>147</v>
      </c>
      <c r="K209" s="1692" t="str">
        <f>+"FY"&amp;RIGHT(YEAR('Hyperion Panel'!$B$9)+3,2)</f>
        <v>FY13</v>
      </c>
      <c r="L209" s="6">
        <f>SUM('Upload Detail'!L352:L353)</f>
        <v>598</v>
      </c>
      <c r="M209" s="6">
        <f>SUM('Upload Detail'!M352:M353)</f>
        <v>598</v>
      </c>
      <c r="N209" s="6">
        <f>SUM('Upload Detail'!N352:N353)</f>
        <v>598</v>
      </c>
      <c r="O209" s="6">
        <f>SUM('Upload Detail'!O352:O353)</f>
        <v>598</v>
      </c>
      <c r="P209" s="6">
        <f>SUM('Upload Detail'!P352:P353)</f>
        <v>598</v>
      </c>
      <c r="Q209" s="6">
        <f>SUM('Upload Detail'!Q352:Q353)</f>
        <v>598</v>
      </c>
      <c r="R209" s="6">
        <f>SUM('Upload Detail'!R352:R353)</f>
        <v>598</v>
      </c>
      <c r="S209" s="6">
        <f>SUM('Upload Detail'!S352:S353)</f>
        <v>598</v>
      </c>
      <c r="T209" s="6">
        <f>SUM('Upload Detail'!T352:T353)</f>
        <v>598</v>
      </c>
      <c r="U209" s="6">
        <f>SUM('Upload Detail'!U352:U353)</f>
        <v>598</v>
      </c>
      <c r="V209" s="6">
        <f>SUM('Upload Detail'!V352:V353)</f>
        <v>598</v>
      </c>
      <c r="W209" s="6">
        <f>SUM('Upload Detail'!W352:W353)</f>
        <v>598</v>
      </c>
    </row>
    <row r="210" spans="1:25" s="6" customFormat="1">
      <c r="A210" s="6" t="s">
        <v>162</v>
      </c>
      <c r="B210" s="6" t="str">
        <f t="shared" si="4"/>
        <v>P10_11032_00494</v>
      </c>
      <c r="C210" s="6" t="str">
        <f t="shared" si="5"/>
        <v>LE_XXXX</v>
      </c>
      <c r="D210" s="6" t="s">
        <v>2886</v>
      </c>
      <c r="E210" s="6" t="s">
        <v>149</v>
      </c>
      <c r="F210" s="6" t="s">
        <v>150</v>
      </c>
      <c r="G210" s="6" t="s">
        <v>2889</v>
      </c>
      <c r="H210" s="6" t="s">
        <v>145</v>
      </c>
      <c r="I210" s="6" t="s">
        <v>146</v>
      </c>
      <c r="J210" s="6" t="s">
        <v>147</v>
      </c>
      <c r="K210" s="1692" t="str">
        <f>+"FY"&amp;RIGHT(YEAR('Hyperion Panel'!$B$9)+3,2)</f>
        <v>FY13</v>
      </c>
      <c r="L210" s="6">
        <f>SUM('Upload Detail'!L355:L356)</f>
        <v>247</v>
      </c>
      <c r="M210" s="6">
        <f>SUM('Upload Detail'!M355:M356)</f>
        <v>247</v>
      </c>
      <c r="N210" s="6">
        <f>SUM('Upload Detail'!N355:N356)</f>
        <v>247</v>
      </c>
      <c r="O210" s="6">
        <f>SUM('Upload Detail'!O355:O356)</f>
        <v>247</v>
      </c>
      <c r="P210" s="6">
        <f>SUM('Upload Detail'!P355:P356)</f>
        <v>247</v>
      </c>
      <c r="Q210" s="6">
        <f>SUM('Upload Detail'!Q355:Q356)</f>
        <v>247</v>
      </c>
      <c r="R210" s="6">
        <f>SUM('Upload Detail'!R355:R356)</f>
        <v>247</v>
      </c>
      <c r="S210" s="6">
        <f>SUM('Upload Detail'!S355:S356)</f>
        <v>247</v>
      </c>
      <c r="T210" s="6">
        <f>SUM('Upload Detail'!T355:T356)</f>
        <v>247</v>
      </c>
      <c r="U210" s="6">
        <f>SUM('Upload Detail'!U355:U356)</f>
        <v>247</v>
      </c>
      <c r="V210" s="6">
        <f>SUM('Upload Detail'!V355:V356)</f>
        <v>247</v>
      </c>
      <c r="W210" s="6">
        <f>SUM('Upload Detail'!W355:W356)</f>
        <v>247</v>
      </c>
    </row>
    <row r="211" spans="1:25" s="1691" customFormat="1">
      <c r="A211" s="1691" t="s">
        <v>3767</v>
      </c>
      <c r="B211" s="1691" t="str">
        <f t="shared" si="4"/>
        <v>P10_11032_00494</v>
      </c>
      <c r="C211" s="1691" t="str">
        <f t="shared" si="5"/>
        <v>LE_XXXX</v>
      </c>
      <c r="D211" s="1691" t="s">
        <v>2886</v>
      </c>
      <c r="E211" s="1691" t="s">
        <v>719</v>
      </c>
      <c r="F211" s="1691" t="s">
        <v>731</v>
      </c>
      <c r="G211" s="1691" t="s">
        <v>2889</v>
      </c>
      <c r="H211" s="1691" t="s">
        <v>145</v>
      </c>
      <c r="I211" s="1691" t="s">
        <v>146</v>
      </c>
      <c r="J211" s="1691" t="s">
        <v>147</v>
      </c>
      <c r="K211" s="1692" t="str">
        <f>+"FY"&amp;RIGHT(YEAR('Hyperion Panel'!$B$9)+3,2)</f>
        <v>FY13</v>
      </c>
      <c r="L211" s="1691">
        <f>SUM('Upload Detail'!L358:L359)</f>
        <v>65</v>
      </c>
      <c r="M211" s="1691">
        <f>SUM('Upload Detail'!M358:M359)</f>
        <v>65</v>
      </c>
      <c r="N211" s="1691">
        <f>SUM('Upload Detail'!N358:N359)</f>
        <v>65</v>
      </c>
      <c r="O211" s="1691">
        <f>SUM('Upload Detail'!O358:O359)</f>
        <v>65</v>
      </c>
      <c r="P211" s="1691">
        <f>SUM('Upload Detail'!P358:P359)</f>
        <v>65</v>
      </c>
      <c r="Q211" s="1691">
        <f>SUM('Upload Detail'!Q358:Q359)</f>
        <v>65</v>
      </c>
      <c r="R211" s="1691">
        <f>SUM('Upload Detail'!R358:R359)</f>
        <v>65</v>
      </c>
      <c r="S211" s="1691">
        <f>SUM('Upload Detail'!S358:S359)</f>
        <v>65</v>
      </c>
      <c r="T211" s="1691">
        <f>SUM('Upload Detail'!T358:T359)</f>
        <v>65</v>
      </c>
      <c r="U211" s="1691">
        <f>SUM('Upload Detail'!U358:U359)</f>
        <v>65</v>
      </c>
      <c r="V211" s="1691">
        <f>SUM('Upload Detail'!V358:V359)</f>
        <v>65</v>
      </c>
      <c r="W211" s="1691">
        <f>SUM('Upload Detail'!W358:W359)</f>
        <v>65</v>
      </c>
    </row>
    <row r="212" spans="1:25" s="6" customFormat="1">
      <c r="A212" s="6" t="s">
        <v>163</v>
      </c>
      <c r="B212" s="6" t="str">
        <f t="shared" si="4"/>
        <v>P10_11032_00494</v>
      </c>
      <c r="C212" s="6" t="str">
        <f t="shared" si="5"/>
        <v>LE_XXXX</v>
      </c>
      <c r="D212" s="6" t="s">
        <v>2886</v>
      </c>
      <c r="E212" s="6">
        <v>3010</v>
      </c>
      <c r="F212" s="6" t="s">
        <v>2888</v>
      </c>
      <c r="G212" s="6" t="s">
        <v>2889</v>
      </c>
      <c r="H212" s="6" t="s">
        <v>145</v>
      </c>
      <c r="I212" s="6" t="s">
        <v>146</v>
      </c>
      <c r="J212" s="6" t="s">
        <v>147</v>
      </c>
      <c r="K212" s="1692" t="str">
        <f>+"FY"&amp;RIGHT(YEAR('Hyperion Panel'!$B$9)+3,2)</f>
        <v>FY13</v>
      </c>
      <c r="L212" s="6">
        <f>SUM('Upload Detail'!L361:L362)</f>
        <v>173713.61981850141</v>
      </c>
      <c r="M212" s="6">
        <f>SUM('Upload Detail'!M361:M362)</f>
        <v>173713.61981850141</v>
      </c>
      <c r="N212" s="6">
        <f>SUM('Upload Detail'!N361:N362)</f>
        <v>173713.61981850141</v>
      </c>
      <c r="O212" s="6">
        <f>SUM('Upload Detail'!O361:O362)</f>
        <v>173713.61981850141</v>
      </c>
      <c r="P212" s="6">
        <f>SUM('Upload Detail'!P361:P362)</f>
        <v>173713.61981850141</v>
      </c>
      <c r="Q212" s="6">
        <f>SUM('Upload Detail'!Q361:Q362)</f>
        <v>173713.61981850141</v>
      </c>
      <c r="R212" s="6">
        <f>SUM('Upload Detail'!R361:R362)</f>
        <v>173713.61981850141</v>
      </c>
      <c r="S212" s="6">
        <f>SUM('Upload Detail'!S361:S362)</f>
        <v>173713.61981850141</v>
      </c>
      <c r="T212" s="6">
        <f>SUM('Upload Detail'!T361:T362)</f>
        <v>173713.61981850141</v>
      </c>
      <c r="U212" s="6">
        <f>SUM('Upload Detail'!U361:U362)</f>
        <v>173713.61981850141</v>
      </c>
      <c r="V212" s="1692">
        <f>SUM('Upload Detail'!V361:V362)</f>
        <v>174298.86488084195</v>
      </c>
      <c r="W212" s="1692">
        <f>SUM('Upload Detail'!W361:W362)</f>
        <v>174298.86488084195</v>
      </c>
    </row>
    <row r="213" spans="1:25" s="6" customFormat="1">
      <c r="A213" s="6" t="s">
        <v>164</v>
      </c>
      <c r="B213" s="6" t="str">
        <f t="shared" si="4"/>
        <v>P10_11032_00494</v>
      </c>
      <c r="C213" s="6" t="str">
        <f t="shared" si="5"/>
        <v>LE_XXXX</v>
      </c>
      <c r="D213" s="6" t="s">
        <v>2886</v>
      </c>
      <c r="E213" s="6">
        <v>3030</v>
      </c>
      <c r="F213" s="6" t="s">
        <v>150</v>
      </c>
      <c r="G213" s="6" t="s">
        <v>2889</v>
      </c>
      <c r="H213" s="6" t="s">
        <v>145</v>
      </c>
      <c r="I213" s="6" t="s">
        <v>146</v>
      </c>
      <c r="J213" s="6" t="s">
        <v>147</v>
      </c>
      <c r="K213" s="1692" t="str">
        <f>+"FY"&amp;RIGHT(YEAR('Hyperion Panel'!$B$9)+3,2)</f>
        <v>FY13</v>
      </c>
      <c r="L213" s="6">
        <f>SUM('Upload Detail'!L364:L365)</f>
        <v>122315.33197111951</v>
      </c>
      <c r="M213" s="6">
        <f>SUM('Upload Detail'!M364:M365)</f>
        <v>122315.33197111951</v>
      </c>
      <c r="N213" s="6">
        <f>SUM('Upload Detail'!N364:N365)</f>
        <v>122315.33197111951</v>
      </c>
      <c r="O213" s="6">
        <f>SUM('Upload Detail'!O364:O365)</f>
        <v>122315.33197111951</v>
      </c>
      <c r="P213" s="6">
        <f>SUM('Upload Detail'!P364:P365)</f>
        <v>122315.33197111951</v>
      </c>
      <c r="Q213" s="6">
        <f>SUM('Upload Detail'!Q364:Q365)</f>
        <v>122315.33197111951</v>
      </c>
      <c r="R213" s="6">
        <f>SUM('Upload Detail'!R364:R365)</f>
        <v>122315.33197111951</v>
      </c>
      <c r="S213" s="6">
        <f>SUM('Upload Detail'!S364:S365)</f>
        <v>122315.33197111951</v>
      </c>
      <c r="T213" s="6">
        <f>SUM('Upload Detail'!T364:T365)</f>
        <v>122315.33197111951</v>
      </c>
      <c r="U213" s="6">
        <f>SUM('Upload Detail'!U364:U365)</f>
        <v>122315.33197111951</v>
      </c>
      <c r="V213" s="1692">
        <f>SUM('Upload Detail'!V364:V365)</f>
        <v>124128.31939250056</v>
      </c>
      <c r="W213" s="1692">
        <f>SUM('Upload Detail'!W364:W365)</f>
        <v>124128.31939250056</v>
      </c>
    </row>
    <row r="214" spans="1:25" s="1691" customFormat="1">
      <c r="A214" s="1691" t="s">
        <v>3768</v>
      </c>
      <c r="B214" s="1691" t="str">
        <f t="shared" si="4"/>
        <v>P10_11032_00494</v>
      </c>
      <c r="C214" s="1691" t="str">
        <f t="shared" si="5"/>
        <v>LE_XXXX</v>
      </c>
      <c r="D214" s="1691" t="s">
        <v>2886</v>
      </c>
      <c r="E214" s="1691">
        <v>3050</v>
      </c>
      <c r="F214" s="1691" t="s">
        <v>731</v>
      </c>
      <c r="G214" s="1691" t="s">
        <v>2889</v>
      </c>
      <c r="H214" s="1691" t="s">
        <v>145</v>
      </c>
      <c r="I214" s="1691" t="s">
        <v>146</v>
      </c>
      <c r="J214" s="1691" t="s">
        <v>147</v>
      </c>
      <c r="K214" s="1692" t="str">
        <f>+"FY"&amp;RIGHT(YEAR('Hyperion Panel'!$B$9)+3,2)</f>
        <v>FY13</v>
      </c>
      <c r="L214" s="1691">
        <f>SUM('Upload Detail'!L367:L368)</f>
        <v>16884.753665513832</v>
      </c>
      <c r="M214" s="1691">
        <f>SUM('Upload Detail'!M367:M368)</f>
        <v>16884.753665513832</v>
      </c>
      <c r="N214" s="1691">
        <f>SUM('Upload Detail'!N367:N368)</f>
        <v>16884.753665513832</v>
      </c>
      <c r="O214" s="1691">
        <f>SUM('Upload Detail'!O367:O368)</f>
        <v>16884.753665513832</v>
      </c>
      <c r="P214" s="1691">
        <f>SUM('Upload Detail'!P367:P368)</f>
        <v>16884.753665513832</v>
      </c>
      <c r="Q214" s="1691">
        <f>SUM('Upload Detail'!Q367:Q368)</f>
        <v>16884.753665513832</v>
      </c>
      <c r="R214" s="1691">
        <f>SUM('Upload Detail'!R367:R368)</f>
        <v>16884.753665513832</v>
      </c>
      <c r="S214" s="1691">
        <f>SUM('Upload Detail'!S367:S368)</f>
        <v>16884.753665513832</v>
      </c>
      <c r="T214" s="1691">
        <f>SUM('Upload Detail'!T367:T368)</f>
        <v>16884.753665513832</v>
      </c>
      <c r="U214" s="1691">
        <f>SUM('Upload Detail'!U367:U368)</f>
        <v>16884.753665513832</v>
      </c>
      <c r="V214" s="1691">
        <f>SUM('Upload Detail'!V367:V368)</f>
        <v>16884.753665513832</v>
      </c>
      <c r="W214" s="1691">
        <f>SUM('Upload Detail'!W367:W368)</f>
        <v>16884.753665513832</v>
      </c>
    </row>
    <row r="215" spans="1:25">
      <c r="A215" t="s">
        <v>2651</v>
      </c>
      <c r="B215" t="str">
        <f t="shared" si="4"/>
        <v>P10_11032_00494</v>
      </c>
      <c r="C215" t="str">
        <f t="shared" si="5"/>
        <v>LE_XXXX</v>
      </c>
      <c r="D215" t="s">
        <v>2886</v>
      </c>
      <c r="E215">
        <v>6010</v>
      </c>
      <c r="F215" t="s">
        <v>2888</v>
      </c>
      <c r="G215" t="s">
        <v>153</v>
      </c>
      <c r="H215" t="s">
        <v>154</v>
      </c>
      <c r="I215" t="s">
        <v>146</v>
      </c>
      <c r="J215" t="s">
        <v>147</v>
      </c>
      <c r="K215" s="45" t="str">
        <f>+"FY"&amp;RIGHT(YEAR('Hyperion Panel'!$B$9)+3,2)</f>
        <v>FY13</v>
      </c>
      <c r="L215">
        <f>'Upload Detail'!L369</f>
        <v>41056.601707191752</v>
      </c>
      <c r="M215">
        <f>'Upload Detail'!M369</f>
        <v>41056.601707191752</v>
      </c>
      <c r="N215">
        <f>'Upload Detail'!N369</f>
        <v>41056.601707191752</v>
      </c>
      <c r="O215">
        <f>'Upload Detail'!O369</f>
        <v>41056.601707191752</v>
      </c>
      <c r="P215">
        <f>'Upload Detail'!P369</f>
        <v>41056.601707191752</v>
      </c>
      <c r="Q215">
        <f>'Upload Detail'!Q369</f>
        <v>41056.601707191752</v>
      </c>
      <c r="R215">
        <f>'Upload Detail'!R369</f>
        <v>41056.601707191752</v>
      </c>
      <c r="S215">
        <f>'Upload Detail'!S369</f>
        <v>41056.601707191752</v>
      </c>
      <c r="T215">
        <f>'Upload Detail'!T369</f>
        <v>41056.601707191752</v>
      </c>
      <c r="U215">
        <f>'Upload Detail'!U369</f>
        <v>41056.601707191752</v>
      </c>
      <c r="V215">
        <f>'Upload Detail'!V369</f>
        <v>42288.299758407506</v>
      </c>
      <c r="W215">
        <f>'Upload Detail'!W369</f>
        <v>42288.299758407506</v>
      </c>
      <c r="Y215" s="105"/>
    </row>
    <row r="216" spans="1:25">
      <c r="A216" t="s">
        <v>2652</v>
      </c>
      <c r="B216" t="str">
        <f t="shared" si="4"/>
        <v>P10_11032_00494</v>
      </c>
      <c r="C216" t="str">
        <f t="shared" si="5"/>
        <v>LE_XXXX</v>
      </c>
      <c r="D216" t="s">
        <v>2886</v>
      </c>
      <c r="E216">
        <v>6010</v>
      </c>
      <c r="F216" t="s">
        <v>2888</v>
      </c>
      <c r="G216" t="s">
        <v>155</v>
      </c>
      <c r="H216" t="s">
        <v>154</v>
      </c>
      <c r="I216" t="s">
        <v>146</v>
      </c>
      <c r="J216" t="s">
        <v>147</v>
      </c>
      <c r="K216" s="45" t="str">
        <f>+"FY"&amp;RIGHT(YEAR('Hyperion Panel'!$B$9)+3,2)</f>
        <v>FY13</v>
      </c>
      <c r="L216">
        <f>'Upload Detail'!L370</f>
        <v>15696.015500000001</v>
      </c>
      <c r="M216">
        <f>'Upload Detail'!M370</f>
        <v>15696.015500000001</v>
      </c>
      <c r="N216">
        <f>'Upload Detail'!N370</f>
        <v>15696.015500000001</v>
      </c>
      <c r="O216">
        <f>'Upload Detail'!O370</f>
        <v>15696.015500000001</v>
      </c>
      <c r="P216">
        <f>'Upload Detail'!P370</f>
        <v>15696.015500000001</v>
      </c>
      <c r="Q216">
        <f>'Upload Detail'!Q370</f>
        <v>15696.015500000001</v>
      </c>
      <c r="R216">
        <f>'Upload Detail'!R370</f>
        <v>15696.015500000001</v>
      </c>
      <c r="S216">
        <f>'Upload Detail'!S370</f>
        <v>15696.015500000001</v>
      </c>
      <c r="T216">
        <f>'Upload Detail'!T370</f>
        <v>15696.015500000001</v>
      </c>
      <c r="U216">
        <f>'Upload Detail'!U370</f>
        <v>15696.015500000001</v>
      </c>
      <c r="V216">
        <f>'Upload Detail'!V370</f>
        <v>16166.895965000002</v>
      </c>
      <c r="W216">
        <f>'Upload Detail'!W370</f>
        <v>16166.895965000002</v>
      </c>
      <c r="Y216" s="105"/>
    </row>
    <row r="217" spans="1:25">
      <c r="A217" t="s">
        <v>2653</v>
      </c>
      <c r="B217" t="str">
        <f t="shared" si="4"/>
        <v>P10_11032_00494</v>
      </c>
      <c r="C217" t="str">
        <f t="shared" si="5"/>
        <v>LE_XXXX</v>
      </c>
      <c r="D217" t="s">
        <v>2886</v>
      </c>
      <c r="E217">
        <v>6051</v>
      </c>
      <c r="F217" t="s">
        <v>2888</v>
      </c>
      <c r="G217" t="s">
        <v>153</v>
      </c>
      <c r="H217" t="s">
        <v>154</v>
      </c>
      <c r="I217" t="s">
        <v>146</v>
      </c>
      <c r="J217" t="s">
        <v>147</v>
      </c>
      <c r="K217" s="45" t="str">
        <f>+"FY"&amp;RIGHT(YEAR('Hyperion Panel'!$B$9)+3,2)</f>
        <v>FY13</v>
      </c>
      <c r="L217">
        <f>'Upload Detail'!L371</f>
        <v>20041.173750404498</v>
      </c>
      <c r="M217">
        <f>'Upload Detail'!M371</f>
        <v>20041.173750404498</v>
      </c>
      <c r="N217">
        <f>'Upload Detail'!N371</f>
        <v>20041.173750404498</v>
      </c>
      <c r="O217">
        <f>'Upload Detail'!O371</f>
        <v>20041.173750404498</v>
      </c>
      <c r="P217">
        <f>'Upload Detail'!P371</f>
        <v>20041.173750404498</v>
      </c>
      <c r="Q217">
        <f>'Upload Detail'!Q371</f>
        <v>20041.173750404498</v>
      </c>
      <c r="R217">
        <f>'Upload Detail'!R371</f>
        <v>20041.173750404498</v>
      </c>
      <c r="S217">
        <f>'Upload Detail'!S371</f>
        <v>20041.173750404498</v>
      </c>
      <c r="T217">
        <f>'Upload Detail'!T371</f>
        <v>20041.173750404498</v>
      </c>
      <c r="U217">
        <f>'Upload Detail'!U371</f>
        <v>20041.173750404498</v>
      </c>
      <c r="V217">
        <f>'Upload Detail'!V371</f>
        <v>20642.40896291663</v>
      </c>
      <c r="W217">
        <f>'Upload Detail'!W371</f>
        <v>20642.40896291663</v>
      </c>
      <c r="Y217" s="105"/>
    </row>
    <row r="218" spans="1:25">
      <c r="A218" t="s">
        <v>2654</v>
      </c>
      <c r="B218" t="str">
        <f t="shared" si="4"/>
        <v>P10_11032_00494</v>
      </c>
      <c r="C218" t="str">
        <f t="shared" si="5"/>
        <v>LE_XXXX</v>
      </c>
      <c r="D218" t="s">
        <v>2886</v>
      </c>
      <c r="E218">
        <v>6011</v>
      </c>
      <c r="F218" t="s">
        <v>2888</v>
      </c>
      <c r="G218" t="s">
        <v>153</v>
      </c>
      <c r="H218" t="s">
        <v>154</v>
      </c>
      <c r="I218" t="s">
        <v>146</v>
      </c>
      <c r="J218" t="s">
        <v>147</v>
      </c>
      <c r="K218" s="45" t="str">
        <f>+"FY"&amp;RIGHT(YEAR('Hyperion Panel'!$B$9)+3,2)</f>
        <v>FY13</v>
      </c>
      <c r="L218">
        <f>'Upload Detail'!L372</f>
        <v>0</v>
      </c>
      <c r="M218">
        <f>'Upload Detail'!M372</f>
        <v>0</v>
      </c>
      <c r="N218">
        <f>'Upload Detail'!N372</f>
        <v>0</v>
      </c>
      <c r="O218">
        <f>'Upload Detail'!O372</f>
        <v>0</v>
      </c>
      <c r="P218">
        <f>'Upload Detail'!P372</f>
        <v>0</v>
      </c>
      <c r="Q218">
        <f>'Upload Detail'!Q372</f>
        <v>0</v>
      </c>
      <c r="R218">
        <f>'Upload Detail'!R372</f>
        <v>0</v>
      </c>
      <c r="S218">
        <f>'Upload Detail'!S372</f>
        <v>0</v>
      </c>
      <c r="T218">
        <f>'Upload Detail'!T372</f>
        <v>0</v>
      </c>
      <c r="U218">
        <f>'Upload Detail'!U372</f>
        <v>0</v>
      </c>
      <c r="V218">
        <f>'Upload Detail'!V372</f>
        <v>0</v>
      </c>
      <c r="W218">
        <f>'Upload Detail'!W372</f>
        <v>0</v>
      </c>
      <c r="Y218" s="105"/>
    </row>
    <row r="219" spans="1:25">
      <c r="A219" t="s">
        <v>3696</v>
      </c>
      <c r="B219" t="str">
        <f t="shared" si="4"/>
        <v>P10_11032_00494</v>
      </c>
      <c r="C219" t="str">
        <f t="shared" si="5"/>
        <v>LE_XXXX</v>
      </c>
      <c r="D219" t="s">
        <v>2886</v>
      </c>
      <c r="E219">
        <v>6600</v>
      </c>
      <c r="F219" t="s">
        <v>2888</v>
      </c>
      <c r="G219" t="s">
        <v>2889</v>
      </c>
      <c r="H219" t="s">
        <v>154</v>
      </c>
      <c r="I219" t="s">
        <v>146</v>
      </c>
      <c r="J219" t="s">
        <v>147</v>
      </c>
      <c r="K219" s="45" t="str">
        <f>+"FY"&amp;RIGHT(YEAR('Hyperion Panel'!$B$9)+3,2)</f>
        <v>FY13</v>
      </c>
      <c r="L219">
        <f>'Upload Detail'!L373</f>
        <v>55098.426549237643</v>
      </c>
      <c r="M219">
        <f>'Upload Detail'!M373</f>
        <v>55098.426549237643</v>
      </c>
      <c r="N219">
        <f>'Upload Detail'!N373</f>
        <v>55098.426549237643</v>
      </c>
      <c r="O219">
        <f>'Upload Detail'!O373</f>
        <v>55098.426549237643</v>
      </c>
      <c r="P219">
        <f>'Upload Detail'!P373</f>
        <v>55098.426549237643</v>
      </c>
      <c r="Q219">
        <f>'Upload Detail'!Q373</f>
        <v>55098.426549237643</v>
      </c>
      <c r="R219">
        <f>'Upload Detail'!R373</f>
        <v>55098.426549237643</v>
      </c>
      <c r="S219">
        <f>'Upload Detail'!S373</f>
        <v>55098.426549237643</v>
      </c>
      <c r="T219">
        <f>'Upload Detail'!T373</f>
        <v>55098.426549237643</v>
      </c>
      <c r="U219">
        <f>'Upload Detail'!U373</f>
        <v>55098.426549237643</v>
      </c>
      <c r="V219">
        <f>'Upload Detail'!V373</f>
        <v>56200.395080222406</v>
      </c>
      <c r="W219">
        <f>'Upload Detail'!W373</f>
        <v>56200.395080222406</v>
      </c>
      <c r="Y219" s="105"/>
    </row>
    <row r="220" spans="1:25">
      <c r="A220" t="s">
        <v>1381</v>
      </c>
      <c r="B220" t="str">
        <f t="shared" si="4"/>
        <v>P10_11032_00494</v>
      </c>
      <c r="C220" t="str">
        <f t="shared" si="5"/>
        <v>LE_XXXX</v>
      </c>
      <c r="D220" t="s">
        <v>2886</v>
      </c>
      <c r="E220">
        <v>6800</v>
      </c>
      <c r="F220" t="s">
        <v>156</v>
      </c>
      <c r="G220" t="s">
        <v>2889</v>
      </c>
      <c r="H220" t="s">
        <v>154</v>
      </c>
      <c r="I220" t="s">
        <v>146</v>
      </c>
      <c r="J220" t="s">
        <v>147</v>
      </c>
      <c r="K220" s="45" t="str">
        <f>+"FY"&amp;RIGHT(YEAR('Hyperion Panel'!$B$9)+3,2)</f>
        <v>FY13</v>
      </c>
      <c r="L220">
        <f>'Upload Detail'!L374</f>
        <v>20821.238922919994</v>
      </c>
      <c r="M220">
        <f>'Upload Detail'!M374</f>
        <v>20821.238922919994</v>
      </c>
      <c r="N220">
        <f>'Upload Detail'!N374</f>
        <v>20821.238922919994</v>
      </c>
      <c r="O220">
        <f>'Upload Detail'!O374</f>
        <v>20821.238922919994</v>
      </c>
      <c r="P220">
        <f>'Upload Detail'!P374</f>
        <v>20821.238922919994</v>
      </c>
      <c r="Q220">
        <f>'Upload Detail'!Q374</f>
        <v>20821.238922919994</v>
      </c>
      <c r="R220">
        <f>'Upload Detail'!R374</f>
        <v>20821.238922919994</v>
      </c>
      <c r="S220">
        <f>'Upload Detail'!S374</f>
        <v>20821.238922919994</v>
      </c>
      <c r="T220">
        <f>'Upload Detail'!T374</f>
        <v>20821.238922919994</v>
      </c>
      <c r="U220">
        <f>'Upload Detail'!U374</f>
        <v>20821.238922919994</v>
      </c>
      <c r="V220">
        <f>'Upload Detail'!V374</f>
        <v>21445.876090607595</v>
      </c>
      <c r="W220">
        <f>'Upload Detail'!W374</f>
        <v>21445.876090607595</v>
      </c>
      <c r="Y220" s="105"/>
    </row>
    <row r="221" spans="1:25">
      <c r="A221" t="s">
        <v>3697</v>
      </c>
      <c r="B221" t="str">
        <f t="shared" si="4"/>
        <v>P10_11032_00494</v>
      </c>
      <c r="C221" t="str">
        <f t="shared" si="5"/>
        <v>LE_XXXX</v>
      </c>
      <c r="D221" t="s">
        <v>2886</v>
      </c>
      <c r="E221">
        <v>8600</v>
      </c>
      <c r="F221" t="s">
        <v>156</v>
      </c>
      <c r="G221" t="s">
        <v>2889</v>
      </c>
      <c r="H221" t="s">
        <v>154</v>
      </c>
      <c r="I221" t="s">
        <v>146</v>
      </c>
      <c r="J221" t="s">
        <v>147</v>
      </c>
      <c r="K221" s="45" t="str">
        <f>+"FY"&amp;RIGHT(YEAR('Hyperion Panel'!$B$9)+3,2)</f>
        <v>FY13</v>
      </c>
      <c r="L221">
        <f>'Upload Detail'!L375</f>
        <v>17478.316890999999</v>
      </c>
      <c r="M221">
        <f>'Upload Detail'!M375</f>
        <v>17478.316890999999</v>
      </c>
      <c r="N221">
        <f>'Upload Detail'!N375</f>
        <v>17478.316890999999</v>
      </c>
      <c r="O221">
        <f>'Upload Detail'!O375</f>
        <v>17478.316890999999</v>
      </c>
      <c r="P221">
        <f>'Upload Detail'!P375</f>
        <v>17478.316890999999</v>
      </c>
      <c r="Q221">
        <f>'Upload Detail'!Q375</f>
        <v>17478.316890999999</v>
      </c>
      <c r="R221">
        <f>'Upload Detail'!R375</f>
        <v>17478.316890999999</v>
      </c>
      <c r="S221">
        <f>'Upload Detail'!S375</f>
        <v>17478.316890999999</v>
      </c>
      <c r="T221">
        <f>'Upload Detail'!T375</f>
        <v>17478.316890999999</v>
      </c>
      <c r="U221">
        <f>'Upload Detail'!U375</f>
        <v>17478.316890999999</v>
      </c>
      <c r="V221">
        <f>'Upload Detail'!V375</f>
        <v>18002.666397730001</v>
      </c>
      <c r="W221">
        <f>'Upload Detail'!W375</f>
        <v>18002.666397730001</v>
      </c>
      <c r="Y221" s="105"/>
    </row>
    <row r="222" spans="1:25">
      <c r="A222" t="s">
        <v>157</v>
      </c>
      <c r="B222" t="str">
        <f t="shared" si="4"/>
        <v>P10_11032_00494</v>
      </c>
      <c r="C222" t="str">
        <f t="shared" si="5"/>
        <v>LE_XXXX</v>
      </c>
      <c r="D222" t="s">
        <v>2886</v>
      </c>
      <c r="E222">
        <v>6720</v>
      </c>
      <c r="F222" t="s">
        <v>156</v>
      </c>
      <c r="G222" t="s">
        <v>2889</v>
      </c>
      <c r="H222" t="s">
        <v>154</v>
      </c>
      <c r="I222" t="s">
        <v>146</v>
      </c>
      <c r="J222" t="s">
        <v>147</v>
      </c>
      <c r="K222" s="45" t="str">
        <f>+"FY"&amp;RIGHT(YEAR('Hyperion Panel'!$B$9)+3,2)</f>
        <v>FY13</v>
      </c>
      <c r="L222">
        <f>'Upload Detail'!L376</f>
        <v>15833.32</v>
      </c>
      <c r="M222">
        <f>'Upload Detail'!M376</f>
        <v>15833.32</v>
      </c>
      <c r="N222">
        <f>'Upload Detail'!N376</f>
        <v>15833.32</v>
      </c>
      <c r="O222">
        <f>'Upload Detail'!O376</f>
        <v>15833.32</v>
      </c>
      <c r="P222">
        <f>'Upload Detail'!P376</f>
        <v>15833.32</v>
      </c>
      <c r="Q222">
        <f>'Upload Detail'!Q376</f>
        <v>15833.32</v>
      </c>
      <c r="R222">
        <f>'Upload Detail'!R376</f>
        <v>15833.32</v>
      </c>
      <c r="S222">
        <f>'Upload Detail'!S376</f>
        <v>15833.32</v>
      </c>
      <c r="T222">
        <f>'Upload Detail'!T376</f>
        <v>15833.32</v>
      </c>
      <c r="U222">
        <f>'Upload Detail'!U376</f>
        <v>15833.32</v>
      </c>
      <c r="V222">
        <f>'Upload Detail'!V376</f>
        <v>15833.32</v>
      </c>
      <c r="W222">
        <f>'Upload Detail'!W376</f>
        <v>15833.32</v>
      </c>
      <c r="Y222" s="105"/>
    </row>
    <row r="223" spans="1:25">
      <c r="A223" t="s">
        <v>3925</v>
      </c>
      <c r="B223" t="str">
        <f t="shared" si="4"/>
        <v>P10_11032_00494</v>
      </c>
      <c r="C223" t="str">
        <f t="shared" si="5"/>
        <v>LE_XXXX</v>
      </c>
      <c r="D223" t="s">
        <v>2886</v>
      </c>
      <c r="E223">
        <v>8110</v>
      </c>
      <c r="F223" t="s">
        <v>156</v>
      </c>
      <c r="G223" t="s">
        <v>2889</v>
      </c>
      <c r="H223" t="s">
        <v>154</v>
      </c>
      <c r="I223" t="s">
        <v>146</v>
      </c>
      <c r="J223" t="s">
        <v>147</v>
      </c>
      <c r="K223" s="45" t="str">
        <f>+"FY"&amp;RIGHT(YEAR('Hyperion Panel'!$B$9)+3,2)</f>
        <v>FY13</v>
      </c>
      <c r="L223">
        <f>'Upload Detail'!L377</f>
        <v>1108.3275345</v>
      </c>
      <c r="M223">
        <f>'Upload Detail'!M377</f>
        <v>1108.3275345</v>
      </c>
      <c r="N223">
        <f>'Upload Detail'!N377</f>
        <v>1108.3275345</v>
      </c>
      <c r="O223">
        <f>'Upload Detail'!O377</f>
        <v>1108.3275345</v>
      </c>
      <c r="P223">
        <f>'Upload Detail'!P377</f>
        <v>1108.3275345</v>
      </c>
      <c r="Q223">
        <f>'Upload Detail'!Q377</f>
        <v>1108.3275345</v>
      </c>
      <c r="R223">
        <f>'Upload Detail'!R377</f>
        <v>1108.3275345</v>
      </c>
      <c r="S223">
        <f>'Upload Detail'!S377</f>
        <v>1108.3275345</v>
      </c>
      <c r="T223">
        <f>'Upload Detail'!T377</f>
        <v>1108.3275345</v>
      </c>
      <c r="U223">
        <f>'Upload Detail'!U377</f>
        <v>1108.3275345</v>
      </c>
      <c r="V223">
        <f>'Upload Detail'!V377</f>
        <v>1141.577360535</v>
      </c>
      <c r="W223">
        <f>'Upload Detail'!W377</f>
        <v>1141.577360535</v>
      </c>
      <c r="Y223" s="105"/>
    </row>
    <row r="224" spans="1:25">
      <c r="A224" t="s">
        <v>3926</v>
      </c>
      <c r="B224" t="str">
        <f t="shared" si="4"/>
        <v>P10_11032_00494</v>
      </c>
      <c r="C224" t="str">
        <f t="shared" si="5"/>
        <v>LE_XXXX</v>
      </c>
      <c r="D224" t="s">
        <v>2886</v>
      </c>
      <c r="E224">
        <v>6412</v>
      </c>
      <c r="F224" t="s">
        <v>156</v>
      </c>
      <c r="G224" t="s">
        <v>2889</v>
      </c>
      <c r="H224" t="s">
        <v>154</v>
      </c>
      <c r="I224" t="s">
        <v>146</v>
      </c>
      <c r="J224" t="s">
        <v>147</v>
      </c>
      <c r="K224" s="45" t="str">
        <f>+"FY"&amp;RIGHT(YEAR('Hyperion Panel'!$B$9)+3,2)</f>
        <v>FY13</v>
      </c>
      <c r="L224">
        <f>'Upload Detail'!L378</f>
        <v>19695.581558611779</v>
      </c>
      <c r="M224">
        <f>'Upload Detail'!M378</f>
        <v>19695.581558611779</v>
      </c>
      <c r="N224">
        <f>'Upload Detail'!N378</f>
        <v>19695.581558611779</v>
      </c>
      <c r="O224">
        <f>'Upload Detail'!O378</f>
        <v>19695.581558611779</v>
      </c>
      <c r="P224">
        <f>'Upload Detail'!P378</f>
        <v>19695.581558611779</v>
      </c>
      <c r="Q224">
        <f>'Upload Detail'!Q378</f>
        <v>19695.581558611779</v>
      </c>
      <c r="R224">
        <f>'Upload Detail'!R378</f>
        <v>19695.581558611779</v>
      </c>
      <c r="S224">
        <f>'Upload Detail'!S378</f>
        <v>19695.581558611779</v>
      </c>
      <c r="T224">
        <f>'Upload Detail'!T378</f>
        <v>19695.581558611779</v>
      </c>
      <c r="U224">
        <f>'Upload Detail'!U378</f>
        <v>19695.581558611779</v>
      </c>
      <c r="V224">
        <f>'Upload Detail'!V378</f>
        <v>20286.44900537013</v>
      </c>
      <c r="W224">
        <f>'Upload Detail'!W378</f>
        <v>20286.44900537013</v>
      </c>
      <c r="Y224" s="105"/>
    </row>
    <row r="225" spans="1:25" s="104" customFormat="1">
      <c r="A225" s="104" t="s">
        <v>730</v>
      </c>
      <c r="B225" s="104" t="str">
        <f t="shared" si="4"/>
        <v>P10_11032_00494</v>
      </c>
      <c r="C225" s="104" t="str">
        <f t="shared" si="5"/>
        <v>LE_XXXX</v>
      </c>
      <c r="D225" s="104" t="s">
        <v>2886</v>
      </c>
      <c r="E225" s="104">
        <v>8110</v>
      </c>
      <c r="F225" s="104" t="s">
        <v>731</v>
      </c>
      <c r="G225" s="104" t="s">
        <v>2889</v>
      </c>
      <c r="H225" s="104" t="s">
        <v>154</v>
      </c>
      <c r="I225" s="104" t="s">
        <v>146</v>
      </c>
      <c r="J225" s="104" t="s">
        <v>147</v>
      </c>
      <c r="K225" s="45" t="str">
        <f>+"FY"&amp;RIGHT(YEAR('Hyperion Panel'!$B$9)+3,2)</f>
        <v>FY13</v>
      </c>
      <c r="L225" s="104">
        <f>'Upload Detail'!L379</f>
        <v>884.08333333333337</v>
      </c>
      <c r="M225" s="104">
        <f>'Upload Detail'!M379</f>
        <v>884.08333333333337</v>
      </c>
      <c r="N225" s="104">
        <f>'Upload Detail'!N379</f>
        <v>884.08333333333337</v>
      </c>
      <c r="O225" s="104">
        <f>'Upload Detail'!O379</f>
        <v>884.08333333333337</v>
      </c>
      <c r="P225" s="104">
        <f>'Upload Detail'!P379</f>
        <v>884.08333333333337</v>
      </c>
      <c r="Q225" s="104">
        <f>'Upload Detail'!Q379</f>
        <v>884.08333333333337</v>
      </c>
      <c r="R225" s="104">
        <f>'Upload Detail'!R379</f>
        <v>884.08333333333337</v>
      </c>
      <c r="S225" s="104">
        <f>'Upload Detail'!S379</f>
        <v>884.08333333333337</v>
      </c>
      <c r="T225" s="104">
        <f>'Upload Detail'!T379</f>
        <v>884.08333333333337</v>
      </c>
      <c r="U225" s="104">
        <f>'Upload Detail'!U379</f>
        <v>884.08333333333337</v>
      </c>
      <c r="V225" s="104">
        <f>'Upload Detail'!V379</f>
        <v>910.60583333333341</v>
      </c>
      <c r="W225" s="104">
        <f>'Upload Detail'!W379</f>
        <v>910.60583333333341</v>
      </c>
      <c r="Y225" s="1690"/>
    </row>
    <row r="226" spans="1:25" s="104" customFormat="1">
      <c r="A226" s="104" t="s">
        <v>732</v>
      </c>
      <c r="B226" s="104" t="str">
        <f t="shared" si="4"/>
        <v>P10_11032_00494</v>
      </c>
      <c r="C226" s="104" t="str">
        <f t="shared" si="5"/>
        <v>LE_XXXX</v>
      </c>
      <c r="D226" s="104" t="s">
        <v>2886</v>
      </c>
      <c r="F226" s="104" t="s">
        <v>731</v>
      </c>
      <c r="G226" s="104" t="s">
        <v>2889</v>
      </c>
      <c r="H226" s="104" t="s">
        <v>154</v>
      </c>
      <c r="I226" s="104" t="s">
        <v>146</v>
      </c>
      <c r="J226" s="104" t="s">
        <v>147</v>
      </c>
      <c r="K226" s="45" t="str">
        <f>+"FY"&amp;RIGHT(YEAR('Hyperion Panel'!$B$9)+3,2)</f>
        <v>FY13</v>
      </c>
      <c r="L226" s="104">
        <f>'Upload Detail'!L380</f>
        <v>0</v>
      </c>
      <c r="M226" s="104">
        <f>'Upload Detail'!M380</f>
        <v>0</v>
      </c>
      <c r="N226" s="104">
        <f>'Upload Detail'!N380</f>
        <v>0</v>
      </c>
      <c r="O226" s="104">
        <f>'Upload Detail'!O380</f>
        <v>0</v>
      </c>
      <c r="P226" s="104">
        <f>'Upload Detail'!P380</f>
        <v>0</v>
      </c>
      <c r="Q226" s="104">
        <f>'Upload Detail'!Q380</f>
        <v>0</v>
      </c>
      <c r="R226" s="104">
        <f>'Upload Detail'!R380</f>
        <v>0</v>
      </c>
      <c r="S226" s="104">
        <f>'Upload Detail'!S380</f>
        <v>0</v>
      </c>
      <c r="T226" s="104">
        <f>'Upload Detail'!T380</f>
        <v>0</v>
      </c>
      <c r="U226" s="104">
        <f>'Upload Detail'!U380</f>
        <v>0</v>
      </c>
      <c r="V226" s="104">
        <f>'Upload Detail'!V380</f>
        <v>0</v>
      </c>
      <c r="W226" s="104">
        <f>'Upload Detail'!W380</f>
        <v>0</v>
      </c>
      <c r="Y226" s="1690"/>
    </row>
    <row r="227" spans="1:25" s="104" customFormat="1">
      <c r="A227" s="104" t="s">
        <v>733</v>
      </c>
      <c r="B227" s="104" t="str">
        <f t="shared" si="4"/>
        <v>P10_11032_00494</v>
      </c>
      <c r="C227" s="104" t="str">
        <f t="shared" si="5"/>
        <v>LE_XXXX</v>
      </c>
      <c r="D227" s="104" t="s">
        <v>2886</v>
      </c>
      <c r="F227" s="104" t="s">
        <v>731</v>
      </c>
      <c r="G227" s="104" t="s">
        <v>2889</v>
      </c>
      <c r="H227" s="104" t="s">
        <v>154</v>
      </c>
      <c r="I227" s="104" t="s">
        <v>146</v>
      </c>
      <c r="J227" s="104" t="s">
        <v>147</v>
      </c>
      <c r="K227" s="45" t="str">
        <f>+"FY"&amp;RIGHT(YEAR('Hyperion Panel'!$B$9)+3,2)</f>
        <v>FY13</v>
      </c>
      <c r="L227" s="104">
        <f>'Upload Detail'!L381</f>
        <v>10029.456</v>
      </c>
      <c r="M227" s="104">
        <f>'Upload Detail'!M381</f>
        <v>10029.456</v>
      </c>
      <c r="N227" s="104">
        <f>'Upload Detail'!N381</f>
        <v>10029.456</v>
      </c>
      <c r="O227" s="104">
        <f>'Upload Detail'!O381</f>
        <v>10029.456</v>
      </c>
      <c r="P227" s="104">
        <f>'Upload Detail'!P381</f>
        <v>10029.456</v>
      </c>
      <c r="Q227" s="104">
        <f>'Upload Detail'!Q381</f>
        <v>10029.456</v>
      </c>
      <c r="R227" s="104">
        <f>'Upload Detail'!R381</f>
        <v>10029.456</v>
      </c>
      <c r="S227" s="104">
        <f>'Upload Detail'!S381</f>
        <v>10029.456</v>
      </c>
      <c r="T227" s="104">
        <f>'Upload Detail'!T381</f>
        <v>10029.456</v>
      </c>
      <c r="U227" s="104">
        <f>'Upload Detail'!U381</f>
        <v>10029.456</v>
      </c>
      <c r="V227" s="104">
        <f>'Upload Detail'!V381</f>
        <v>10230.045119999999</v>
      </c>
      <c r="W227" s="104">
        <f>'Upload Detail'!W381</f>
        <v>10230.045119999999</v>
      </c>
      <c r="Y227" s="1690"/>
    </row>
    <row r="228" spans="1:25" s="104" customFormat="1">
      <c r="A228" s="104" t="s">
        <v>734</v>
      </c>
      <c r="B228" s="104" t="str">
        <f t="shared" si="4"/>
        <v>P10_11032_00494</v>
      </c>
      <c r="C228" s="104" t="str">
        <f t="shared" si="5"/>
        <v>LE_XXXX</v>
      </c>
      <c r="D228" s="104" t="s">
        <v>2886</v>
      </c>
      <c r="E228" s="104">
        <v>6800</v>
      </c>
      <c r="F228" s="104" t="s">
        <v>731</v>
      </c>
      <c r="G228" s="104" t="s">
        <v>2889</v>
      </c>
      <c r="H228" s="104" t="s">
        <v>154</v>
      </c>
      <c r="I228" s="104" t="s">
        <v>146</v>
      </c>
      <c r="J228" s="104" t="s">
        <v>147</v>
      </c>
      <c r="K228" s="45" t="str">
        <f>+"FY"&amp;RIGHT(YEAR('Hyperion Panel'!$B$9)+3,2)</f>
        <v>FY13</v>
      </c>
      <c r="L228" s="104">
        <f>'Upload Detail'!L382</f>
        <v>1856.575</v>
      </c>
      <c r="M228" s="104">
        <f>'Upload Detail'!M382</f>
        <v>1856.575</v>
      </c>
      <c r="N228" s="104">
        <f>'Upload Detail'!N382</f>
        <v>1856.575</v>
      </c>
      <c r="O228" s="104">
        <f>'Upload Detail'!O382</f>
        <v>1856.575</v>
      </c>
      <c r="P228" s="104">
        <f>'Upload Detail'!P382</f>
        <v>1856.575</v>
      </c>
      <c r="Q228" s="104">
        <f>'Upload Detail'!Q382</f>
        <v>1856.575</v>
      </c>
      <c r="R228" s="104">
        <f>'Upload Detail'!R382</f>
        <v>1856.575</v>
      </c>
      <c r="S228" s="104">
        <f>'Upload Detail'!S382</f>
        <v>1856.575</v>
      </c>
      <c r="T228" s="104">
        <f>'Upload Detail'!T382</f>
        <v>1856.575</v>
      </c>
      <c r="U228" s="104">
        <f>'Upload Detail'!U382</f>
        <v>1856.575</v>
      </c>
      <c r="V228" s="104">
        <f>'Upload Detail'!V382</f>
        <v>1912.27225</v>
      </c>
      <c r="W228" s="104">
        <f>'Upload Detail'!W382</f>
        <v>1912.27225</v>
      </c>
      <c r="Y228" s="1690"/>
    </row>
    <row r="229" spans="1:25">
      <c r="A229" t="s">
        <v>158</v>
      </c>
      <c r="B229" t="str">
        <f t="shared" si="4"/>
        <v>P10_11032_00494</v>
      </c>
      <c r="C229" t="str">
        <f t="shared" si="5"/>
        <v>LE_XXXX</v>
      </c>
      <c r="D229" t="s">
        <v>2886</v>
      </c>
      <c r="E229" t="s">
        <v>159</v>
      </c>
      <c r="F229" t="s">
        <v>156</v>
      </c>
      <c r="G229" t="s">
        <v>2889</v>
      </c>
      <c r="H229" t="s">
        <v>154</v>
      </c>
      <c r="I229" t="s">
        <v>146</v>
      </c>
      <c r="J229" t="s">
        <v>147</v>
      </c>
      <c r="K229" s="45" t="str">
        <f>+"FY"&amp;RIGHT(YEAR('Hyperion Panel'!$B$9)+3,2)</f>
        <v>FY13</v>
      </c>
      <c r="L229" s="103">
        <f>'Upload Detail'!L383</f>
        <v>1</v>
      </c>
      <c r="M229" s="103">
        <f>'Upload Detail'!M383</f>
        <v>1</v>
      </c>
      <c r="N229" s="103">
        <f>'Upload Detail'!N383</f>
        <v>1</v>
      </c>
      <c r="O229" s="103">
        <f>'Upload Detail'!O383</f>
        <v>1</v>
      </c>
      <c r="P229" s="103">
        <f>'Upload Detail'!P383</f>
        <v>1</v>
      </c>
      <c r="Q229" s="103">
        <f>'Upload Detail'!Q383</f>
        <v>1</v>
      </c>
      <c r="R229" s="103">
        <f>'Upload Detail'!R383</f>
        <v>1</v>
      </c>
      <c r="S229" s="103">
        <f>'Upload Detail'!S383</f>
        <v>1</v>
      </c>
      <c r="T229" s="103">
        <f>'Upload Detail'!T383</f>
        <v>1</v>
      </c>
      <c r="U229" s="103">
        <f>'Upload Detail'!U383</f>
        <v>1</v>
      </c>
      <c r="V229" s="103">
        <f>'Upload Detail'!V383</f>
        <v>1</v>
      </c>
      <c r="W229" s="103">
        <f>'Upload Detail'!W383</f>
        <v>1</v>
      </c>
    </row>
    <row r="230" spans="1:25">
      <c r="A230" t="s">
        <v>160</v>
      </c>
      <c r="B230" t="str">
        <f t="shared" si="4"/>
        <v>P10_11032_00494</v>
      </c>
      <c r="C230" t="str">
        <f t="shared" si="5"/>
        <v>LE_XXXX</v>
      </c>
      <c r="D230" t="s">
        <v>2886</v>
      </c>
      <c r="E230" t="s">
        <v>161</v>
      </c>
      <c r="F230" t="s">
        <v>156</v>
      </c>
      <c r="G230" t="s">
        <v>2889</v>
      </c>
      <c r="H230" t="s">
        <v>154</v>
      </c>
      <c r="I230" t="s">
        <v>146</v>
      </c>
      <c r="J230" t="s">
        <v>147</v>
      </c>
      <c r="K230" s="45" t="str">
        <f>+"FY"&amp;RIGHT(YEAR('Hyperion Panel'!$B$9)+3,2)</f>
        <v>FY13</v>
      </c>
      <c r="L230">
        <f>'Upload Detail'!L384</f>
        <v>0</v>
      </c>
      <c r="M230">
        <f>'Upload Detail'!M384</f>
        <v>0</v>
      </c>
      <c r="N230">
        <f>'Upload Detail'!N384</f>
        <v>0</v>
      </c>
      <c r="O230">
        <f>'Upload Detail'!O384</f>
        <v>0</v>
      </c>
      <c r="P230">
        <f>'Upload Detail'!P384</f>
        <v>0</v>
      </c>
      <c r="Q230">
        <f>'Upload Detail'!Q384</f>
        <v>0</v>
      </c>
      <c r="R230">
        <f>'Upload Detail'!R384</f>
        <v>0</v>
      </c>
      <c r="S230">
        <f>'Upload Detail'!S384</f>
        <v>0</v>
      </c>
      <c r="T230">
        <f>'Upload Detail'!T384</f>
        <v>0</v>
      </c>
      <c r="U230">
        <f>'Upload Detail'!U384</f>
        <v>0</v>
      </c>
      <c r="V230">
        <f>'Upload Detail'!V384</f>
        <v>0</v>
      </c>
      <c r="W230">
        <f>'Upload Detail'!W384</f>
        <v>0</v>
      </c>
    </row>
    <row r="231" spans="1:25" s="104" customFormat="1">
      <c r="A231" s="104" t="s">
        <v>735</v>
      </c>
      <c r="B231" t="str">
        <f t="shared" si="4"/>
        <v>P10_11032_00494</v>
      </c>
      <c r="C231" t="str">
        <f t="shared" si="5"/>
        <v>LE_XXXX</v>
      </c>
      <c r="D231" t="s">
        <v>2886</v>
      </c>
      <c r="F231" s="104" t="s">
        <v>731</v>
      </c>
      <c r="G231" s="104" t="s">
        <v>2889</v>
      </c>
      <c r="H231" s="104" t="s">
        <v>154</v>
      </c>
      <c r="I231" s="104" t="s">
        <v>146</v>
      </c>
      <c r="J231" s="104" t="s">
        <v>147</v>
      </c>
      <c r="K231" s="45" t="str">
        <f>+"FY"&amp;RIGHT(YEAR('Hyperion Panel'!$B$9)+3,2)</f>
        <v>FY13</v>
      </c>
      <c r="L231" s="104">
        <f>'Upload Detail'!L385</f>
        <v>0</v>
      </c>
      <c r="M231" s="104">
        <f>'Upload Detail'!M385</f>
        <v>0</v>
      </c>
      <c r="N231" s="104">
        <f>'Upload Detail'!N385</f>
        <v>0</v>
      </c>
      <c r="O231" s="104">
        <f>'Upload Detail'!O385</f>
        <v>0</v>
      </c>
      <c r="P231" s="104">
        <f>'Upload Detail'!P385</f>
        <v>0</v>
      </c>
      <c r="Q231" s="104">
        <f>'Upload Detail'!Q385</f>
        <v>0</v>
      </c>
      <c r="R231" s="104">
        <f>'Upload Detail'!R385</f>
        <v>0</v>
      </c>
      <c r="S231" s="104">
        <f>'Upload Detail'!S385</f>
        <v>0</v>
      </c>
      <c r="T231" s="104">
        <f>'Upload Detail'!T385</f>
        <v>0</v>
      </c>
      <c r="U231" s="104">
        <f>'Upload Detail'!U385</f>
        <v>0</v>
      </c>
      <c r="V231" s="104">
        <f>'Upload Detail'!V385</f>
        <v>0</v>
      </c>
      <c r="W231" s="104">
        <f>'Upload Detail'!W385</f>
        <v>0</v>
      </c>
    </row>
    <row r="232" spans="1:25" s="6" customFormat="1">
      <c r="A232" s="6" t="s">
        <v>165</v>
      </c>
      <c r="B232" s="6" t="str">
        <f t="shared" si="4"/>
        <v>P10_11032_00494</v>
      </c>
      <c r="C232" s="6" t="str">
        <f t="shared" si="5"/>
        <v>LE_XXXX</v>
      </c>
      <c r="D232" s="6" t="s">
        <v>2886</v>
      </c>
      <c r="E232" s="6" t="s">
        <v>2887</v>
      </c>
      <c r="F232" s="6" t="s">
        <v>2888</v>
      </c>
      <c r="G232" s="6" t="s">
        <v>2889</v>
      </c>
      <c r="H232" s="6" t="s">
        <v>145</v>
      </c>
      <c r="I232" s="6" t="s">
        <v>146</v>
      </c>
      <c r="J232" s="6" t="s">
        <v>147</v>
      </c>
      <c r="K232" s="1692" t="str">
        <f>+"FY"&amp;RIGHT(YEAR('Hyperion Panel'!$B$9)+4,2)</f>
        <v>FY14</v>
      </c>
      <c r="L232" s="6">
        <f>SUM('Upload Detail'!L388:L389)</f>
        <v>598</v>
      </c>
      <c r="M232" s="6">
        <f>SUM('Upload Detail'!M388:M389)</f>
        <v>598</v>
      </c>
      <c r="N232" s="6">
        <f>SUM('Upload Detail'!N388:N389)</f>
        <v>598</v>
      </c>
      <c r="O232" s="6">
        <f>SUM('Upload Detail'!O388:O389)</f>
        <v>598</v>
      </c>
      <c r="P232" s="6">
        <f>SUM('Upload Detail'!P388:P389)</f>
        <v>598</v>
      </c>
      <c r="Q232" s="6">
        <f>SUM('Upload Detail'!Q388:Q389)</f>
        <v>598</v>
      </c>
      <c r="R232" s="6">
        <f>SUM('Upload Detail'!R388:R389)</f>
        <v>598</v>
      </c>
      <c r="S232" s="6">
        <f>SUM('Upload Detail'!S388:S389)</f>
        <v>598</v>
      </c>
      <c r="T232" s="6">
        <f>SUM('Upload Detail'!T388:T389)</f>
        <v>598</v>
      </c>
      <c r="U232" s="6">
        <f>SUM('Upload Detail'!U388:U389)</f>
        <v>598</v>
      </c>
      <c r="V232" s="6">
        <f>SUM('Upload Detail'!V388:V389)</f>
        <v>598</v>
      </c>
      <c r="W232" s="6">
        <f>SUM('Upload Detail'!W388:W389)</f>
        <v>598</v>
      </c>
    </row>
    <row r="233" spans="1:25" s="6" customFormat="1">
      <c r="A233" s="6" t="s">
        <v>162</v>
      </c>
      <c r="B233" s="6" t="str">
        <f t="shared" si="4"/>
        <v>P10_11032_00494</v>
      </c>
      <c r="C233" s="6" t="str">
        <f t="shared" si="5"/>
        <v>LE_XXXX</v>
      </c>
      <c r="D233" s="6" t="s">
        <v>2886</v>
      </c>
      <c r="E233" s="6" t="s">
        <v>149</v>
      </c>
      <c r="F233" s="6" t="s">
        <v>150</v>
      </c>
      <c r="G233" s="6" t="s">
        <v>2889</v>
      </c>
      <c r="H233" s="6" t="s">
        <v>145</v>
      </c>
      <c r="I233" s="6" t="s">
        <v>146</v>
      </c>
      <c r="J233" s="6" t="s">
        <v>147</v>
      </c>
      <c r="K233" s="1692" t="str">
        <f>+"FY"&amp;RIGHT(YEAR('Hyperion Panel'!$B$9)+4,2)</f>
        <v>FY14</v>
      </c>
      <c r="L233" s="6">
        <f>SUM('Upload Detail'!L391:L392)</f>
        <v>247</v>
      </c>
      <c r="M233" s="6">
        <f>SUM('Upload Detail'!M391:M392)</f>
        <v>247</v>
      </c>
      <c r="N233" s="6">
        <f>SUM('Upload Detail'!N391:N392)</f>
        <v>247</v>
      </c>
      <c r="O233" s="6">
        <f>SUM('Upload Detail'!O391:O392)</f>
        <v>247</v>
      </c>
      <c r="P233" s="6">
        <f>SUM('Upload Detail'!P391:P392)</f>
        <v>247</v>
      </c>
      <c r="Q233" s="6">
        <f>SUM('Upload Detail'!Q391:Q392)</f>
        <v>247</v>
      </c>
      <c r="R233" s="6">
        <f>SUM('Upload Detail'!R391:R392)</f>
        <v>247</v>
      </c>
      <c r="S233" s="6">
        <f>SUM('Upload Detail'!S391:S392)</f>
        <v>247</v>
      </c>
      <c r="T233" s="6">
        <f>SUM('Upload Detail'!T391:T392)</f>
        <v>247</v>
      </c>
      <c r="U233" s="6">
        <f>SUM('Upload Detail'!U391:U392)</f>
        <v>247</v>
      </c>
      <c r="V233" s="6">
        <f>SUM('Upload Detail'!V391:V392)</f>
        <v>247</v>
      </c>
      <c r="W233" s="6">
        <f>SUM('Upload Detail'!W391:W392)</f>
        <v>247</v>
      </c>
    </row>
    <row r="234" spans="1:25" s="1691" customFormat="1">
      <c r="A234" s="1691" t="s">
        <v>3767</v>
      </c>
      <c r="B234" s="1691" t="str">
        <f>+$B$140</f>
        <v>P10_11032_00494</v>
      </c>
      <c r="C234" s="1691" t="str">
        <f>+$C$140</f>
        <v>LE_XXXX</v>
      </c>
      <c r="D234" s="1691" t="s">
        <v>2886</v>
      </c>
      <c r="E234" s="1691" t="s">
        <v>719</v>
      </c>
      <c r="F234" s="1691" t="s">
        <v>731</v>
      </c>
      <c r="G234" s="1691" t="s">
        <v>2889</v>
      </c>
      <c r="H234" s="1691" t="s">
        <v>145</v>
      </c>
      <c r="I234" s="1691" t="s">
        <v>146</v>
      </c>
      <c r="J234" s="1691" t="s">
        <v>147</v>
      </c>
      <c r="K234" s="1692" t="str">
        <f>+"FY"&amp;RIGHT(YEAR('Hyperion Panel'!$B$9)+4,2)</f>
        <v>FY14</v>
      </c>
      <c r="L234" s="1691">
        <f>SUM('Upload Detail'!L394:L395)</f>
        <v>65</v>
      </c>
      <c r="M234" s="1691">
        <f>SUM('Upload Detail'!M394:M395)</f>
        <v>65</v>
      </c>
      <c r="N234" s="1691">
        <f>SUM('Upload Detail'!N394:N395)</f>
        <v>65</v>
      </c>
      <c r="O234" s="1691">
        <f>SUM('Upload Detail'!O394:O395)</f>
        <v>65</v>
      </c>
      <c r="P234" s="1691">
        <f>SUM('Upload Detail'!P394:P395)</f>
        <v>65</v>
      </c>
      <c r="Q234" s="1691">
        <f>SUM('Upload Detail'!Q394:Q395)</f>
        <v>65</v>
      </c>
      <c r="R234" s="1691">
        <f>SUM('Upload Detail'!R394:R395)</f>
        <v>65</v>
      </c>
      <c r="S234" s="1691">
        <f>SUM('Upload Detail'!S394:S395)</f>
        <v>65</v>
      </c>
      <c r="T234" s="1691">
        <f>SUM('Upload Detail'!T394:T395)</f>
        <v>65</v>
      </c>
      <c r="U234" s="1691">
        <f>SUM('Upload Detail'!U394:U395)</f>
        <v>65</v>
      </c>
      <c r="V234" s="1691">
        <f>SUM('Upload Detail'!V394:V395)</f>
        <v>65</v>
      </c>
      <c r="W234" s="1691">
        <f>SUM('Upload Detail'!W394:W395)</f>
        <v>65</v>
      </c>
    </row>
    <row r="235" spans="1:25" s="6" customFormat="1">
      <c r="A235" s="6" t="s">
        <v>163</v>
      </c>
      <c r="B235" s="6" t="str">
        <f t="shared" ref="B235:B277" si="6">+$B$140</f>
        <v>P10_11032_00494</v>
      </c>
      <c r="C235" s="6" t="str">
        <f t="shared" ref="C235:C277" si="7">+$C$140</f>
        <v>LE_XXXX</v>
      </c>
      <c r="D235" s="6" t="s">
        <v>2886</v>
      </c>
      <c r="E235" s="6">
        <v>3010</v>
      </c>
      <c r="F235" s="6" t="s">
        <v>2888</v>
      </c>
      <c r="G235" s="6" t="s">
        <v>2889</v>
      </c>
      <c r="H235" s="6" t="s">
        <v>145</v>
      </c>
      <c r="I235" s="6" t="s">
        <v>146</v>
      </c>
      <c r="J235" s="6" t="s">
        <v>147</v>
      </c>
      <c r="K235" s="1692" t="str">
        <f>+"FY"&amp;RIGHT(YEAR('Hyperion Panel'!$B$9)+4,2)</f>
        <v>FY14</v>
      </c>
      <c r="L235" s="6">
        <f>SUM('Upload Detail'!L397:L398)</f>
        <v>174298.86488084195</v>
      </c>
      <c r="M235" s="6">
        <f>SUM('Upload Detail'!M397:M398)</f>
        <v>174298.86488084195</v>
      </c>
      <c r="N235" s="6">
        <f>SUM('Upload Detail'!N397:N398)</f>
        <v>174298.86488084195</v>
      </c>
      <c r="O235" s="6">
        <f>SUM('Upload Detail'!O397:O398)</f>
        <v>174298.86488084195</v>
      </c>
      <c r="P235" s="6">
        <f>SUM('Upload Detail'!P397:P398)</f>
        <v>174298.86488084195</v>
      </c>
      <c r="Q235" s="6">
        <f>SUM('Upload Detail'!Q397:Q398)</f>
        <v>174298.86488084195</v>
      </c>
      <c r="R235" s="6">
        <f>SUM('Upload Detail'!R397:R398)</f>
        <v>174298.86488084195</v>
      </c>
      <c r="S235" s="6">
        <f>SUM('Upload Detail'!S397:S398)</f>
        <v>174298.86488084195</v>
      </c>
      <c r="T235" s="6">
        <f>SUM('Upload Detail'!T397:T398)</f>
        <v>174298.86488084195</v>
      </c>
      <c r="U235" s="6">
        <f>SUM('Upload Detail'!U397:U398)</f>
        <v>174298.86488084195</v>
      </c>
      <c r="V235" s="6">
        <f>SUM('Upload Detail'!V397:V398)</f>
        <v>177862.93422612501</v>
      </c>
      <c r="W235" s="6">
        <f>SUM('Upload Detail'!W397:W398)</f>
        <v>177862.93422612501</v>
      </c>
    </row>
    <row r="236" spans="1:25" s="6" customFormat="1">
      <c r="A236" s="6" t="s">
        <v>164</v>
      </c>
      <c r="B236" s="6" t="str">
        <f t="shared" si="6"/>
        <v>P10_11032_00494</v>
      </c>
      <c r="C236" s="6" t="str">
        <f t="shared" si="7"/>
        <v>LE_XXXX</v>
      </c>
      <c r="D236" s="6" t="s">
        <v>2886</v>
      </c>
      <c r="E236" s="6">
        <v>3030</v>
      </c>
      <c r="F236" s="6" t="s">
        <v>150</v>
      </c>
      <c r="G236" s="6" t="s">
        <v>2889</v>
      </c>
      <c r="H236" s="6" t="s">
        <v>145</v>
      </c>
      <c r="I236" s="6" t="s">
        <v>146</v>
      </c>
      <c r="J236" s="6" t="s">
        <v>147</v>
      </c>
      <c r="K236" s="1692" t="str">
        <f>+"FY"&amp;RIGHT(YEAR('Hyperion Panel'!$B$9)+4,2)</f>
        <v>FY14</v>
      </c>
      <c r="L236" s="6">
        <f>SUM('Upload Detail'!L400:L401)</f>
        <v>124128.31939250056</v>
      </c>
      <c r="M236" s="6">
        <f>SUM('Upload Detail'!M400:M401)</f>
        <v>124128.31939250056</v>
      </c>
      <c r="N236" s="6">
        <f>SUM('Upload Detail'!N400:N401)</f>
        <v>124128.31939250056</v>
      </c>
      <c r="O236" s="6">
        <f>SUM('Upload Detail'!O400:O401)</f>
        <v>124128.31939250056</v>
      </c>
      <c r="P236" s="6">
        <f>SUM('Upload Detail'!P400:P401)</f>
        <v>124128.31939250056</v>
      </c>
      <c r="Q236" s="6">
        <f>SUM('Upload Detail'!Q400:Q401)</f>
        <v>124128.31939250056</v>
      </c>
      <c r="R236" s="6">
        <f>SUM('Upload Detail'!R400:R401)</f>
        <v>124128.31939250056</v>
      </c>
      <c r="S236" s="6">
        <f>SUM('Upload Detail'!S400:S401)</f>
        <v>124128.31939250056</v>
      </c>
      <c r="T236" s="6">
        <f>SUM('Upload Detail'!T400:T401)</f>
        <v>124128.31939250056</v>
      </c>
      <c r="U236" s="6">
        <f>SUM('Upload Detail'!U400:U401)</f>
        <v>124128.31939250056</v>
      </c>
      <c r="V236" s="6">
        <f>SUM('Upload Detail'!V400:V401)</f>
        <v>126852.80136279485</v>
      </c>
      <c r="W236" s="6">
        <f>SUM('Upload Detail'!W400:W401)</f>
        <v>126852.80136279485</v>
      </c>
    </row>
    <row r="237" spans="1:25" s="1691" customFormat="1">
      <c r="A237" s="1691" t="s">
        <v>3768</v>
      </c>
      <c r="B237" s="1691" t="str">
        <f t="shared" si="6"/>
        <v>P10_11032_00494</v>
      </c>
      <c r="C237" s="1691" t="str">
        <f t="shared" si="7"/>
        <v>LE_XXXX</v>
      </c>
      <c r="D237" s="1691" t="s">
        <v>2886</v>
      </c>
      <c r="E237" s="1691">
        <v>3050</v>
      </c>
      <c r="F237" s="1691" t="s">
        <v>731</v>
      </c>
      <c r="G237" s="1691" t="s">
        <v>2889</v>
      </c>
      <c r="H237" s="1691" t="s">
        <v>145</v>
      </c>
      <c r="I237" s="1691" t="s">
        <v>146</v>
      </c>
      <c r="J237" s="1691" t="s">
        <v>147</v>
      </c>
      <c r="K237" s="1692" t="str">
        <f>+"FY"&amp;RIGHT(YEAR('Hyperion Panel'!$B$9)+4,2)</f>
        <v>FY14</v>
      </c>
      <c r="L237" s="1691">
        <f>SUM('Upload Detail'!L403:L404)</f>
        <v>16884.753665513832</v>
      </c>
      <c r="M237" s="1691">
        <f>SUM('Upload Detail'!M403:M404)</f>
        <v>16884.753665513832</v>
      </c>
      <c r="N237" s="1691">
        <f>SUM('Upload Detail'!N403:N404)</f>
        <v>16884.753665513832</v>
      </c>
      <c r="O237" s="1691">
        <f>SUM('Upload Detail'!O403:O404)</f>
        <v>16884.753665513832</v>
      </c>
      <c r="P237" s="1691">
        <f>SUM('Upload Detail'!P403:P404)</f>
        <v>16884.753665513832</v>
      </c>
      <c r="Q237" s="1691">
        <f>SUM('Upload Detail'!Q403:Q404)</f>
        <v>16884.753665513832</v>
      </c>
      <c r="R237" s="1691">
        <f>SUM('Upload Detail'!R403:R404)</f>
        <v>16884.753665513832</v>
      </c>
      <c r="S237" s="1691">
        <f>SUM('Upload Detail'!S403:S404)</f>
        <v>16884.753665513832</v>
      </c>
      <c r="T237" s="1691">
        <f>SUM('Upload Detail'!T403:T404)</f>
        <v>16884.753665513832</v>
      </c>
      <c r="U237" s="1691">
        <f>SUM('Upload Detail'!U403:U404)</f>
        <v>16884.753665513832</v>
      </c>
      <c r="V237" s="1691">
        <f>SUM('Upload Detail'!V403:V404)</f>
        <v>17222.44873882411</v>
      </c>
      <c r="W237" s="1691">
        <f>SUM('Upload Detail'!W403:W404)</f>
        <v>17222.44873882411</v>
      </c>
    </row>
    <row r="238" spans="1:25">
      <c r="A238" t="s">
        <v>2651</v>
      </c>
      <c r="B238" t="str">
        <f t="shared" si="6"/>
        <v>P10_11032_00494</v>
      </c>
      <c r="C238" t="str">
        <f t="shared" si="7"/>
        <v>LE_XXXX</v>
      </c>
      <c r="D238" t="s">
        <v>2886</v>
      </c>
      <c r="E238">
        <v>6010</v>
      </c>
      <c r="F238" t="s">
        <v>2888</v>
      </c>
      <c r="G238" t="s">
        <v>153</v>
      </c>
      <c r="H238" t="s">
        <v>154</v>
      </c>
      <c r="I238" t="s">
        <v>146</v>
      </c>
      <c r="J238" t="s">
        <v>147</v>
      </c>
      <c r="K238" s="45" t="str">
        <f>+"FY"&amp;RIGHT(YEAR('Hyperion Panel'!$B$9)+4,2)</f>
        <v>FY14</v>
      </c>
      <c r="L238">
        <f>'Upload Detail'!L405</f>
        <v>42288.299758407506</v>
      </c>
      <c r="M238">
        <f>'Upload Detail'!M405</f>
        <v>42288.299758407506</v>
      </c>
      <c r="N238">
        <f>'Upload Detail'!N405</f>
        <v>42288.299758407506</v>
      </c>
      <c r="O238">
        <f>'Upload Detail'!O405</f>
        <v>42288.299758407506</v>
      </c>
      <c r="P238">
        <f>'Upload Detail'!P405</f>
        <v>42288.299758407506</v>
      </c>
      <c r="Q238">
        <f>'Upload Detail'!Q405</f>
        <v>42288.299758407506</v>
      </c>
      <c r="R238">
        <f>'Upload Detail'!R405</f>
        <v>42288.299758407506</v>
      </c>
      <c r="S238">
        <f>'Upload Detail'!S405</f>
        <v>42288.299758407506</v>
      </c>
      <c r="T238">
        <f>'Upload Detail'!T405</f>
        <v>42288.299758407506</v>
      </c>
      <c r="U238">
        <f>'Upload Detail'!U405</f>
        <v>42288.299758407506</v>
      </c>
      <c r="V238">
        <f>'Upload Detail'!V405</f>
        <v>43556.948751159733</v>
      </c>
      <c r="W238">
        <f>'Upload Detail'!W405</f>
        <v>43556.948751159733</v>
      </c>
    </row>
    <row r="239" spans="1:25">
      <c r="A239" t="s">
        <v>2652</v>
      </c>
      <c r="B239" t="str">
        <f t="shared" si="6"/>
        <v>P10_11032_00494</v>
      </c>
      <c r="C239" t="str">
        <f t="shared" si="7"/>
        <v>LE_XXXX</v>
      </c>
      <c r="D239" t="s">
        <v>2886</v>
      </c>
      <c r="E239">
        <v>6010</v>
      </c>
      <c r="F239" t="s">
        <v>2888</v>
      </c>
      <c r="G239" t="s">
        <v>155</v>
      </c>
      <c r="H239" t="s">
        <v>154</v>
      </c>
      <c r="I239" t="s">
        <v>146</v>
      </c>
      <c r="J239" t="s">
        <v>147</v>
      </c>
      <c r="K239" s="45" t="str">
        <f>+"FY"&amp;RIGHT(YEAR('Hyperion Panel'!$B$9)+4,2)</f>
        <v>FY14</v>
      </c>
      <c r="L239">
        <f>'Upload Detail'!L406</f>
        <v>16166.895965000002</v>
      </c>
      <c r="M239">
        <f>'Upload Detail'!M406</f>
        <v>16166.895965000002</v>
      </c>
      <c r="N239">
        <f>'Upload Detail'!N406</f>
        <v>16166.895965000002</v>
      </c>
      <c r="O239">
        <f>'Upload Detail'!O406</f>
        <v>16166.895965000002</v>
      </c>
      <c r="P239">
        <f>'Upload Detail'!P406</f>
        <v>16166.895965000002</v>
      </c>
      <c r="Q239">
        <f>'Upload Detail'!Q406</f>
        <v>16166.895965000002</v>
      </c>
      <c r="R239">
        <f>'Upload Detail'!R406</f>
        <v>16166.895965000002</v>
      </c>
      <c r="S239">
        <f>'Upload Detail'!S406</f>
        <v>16166.895965000002</v>
      </c>
      <c r="T239">
        <f>'Upload Detail'!T406</f>
        <v>16166.895965000002</v>
      </c>
      <c r="U239">
        <f>'Upload Detail'!U406</f>
        <v>16166.895965000002</v>
      </c>
      <c r="V239">
        <f>'Upload Detail'!V406</f>
        <v>16651.90284395</v>
      </c>
      <c r="W239">
        <f>'Upload Detail'!W406</f>
        <v>16651.90284395</v>
      </c>
    </row>
    <row r="240" spans="1:25">
      <c r="A240" t="s">
        <v>2653</v>
      </c>
      <c r="B240" t="str">
        <f t="shared" si="6"/>
        <v>P10_11032_00494</v>
      </c>
      <c r="C240" t="str">
        <f t="shared" si="7"/>
        <v>LE_XXXX</v>
      </c>
      <c r="D240" t="s">
        <v>2886</v>
      </c>
      <c r="E240">
        <v>6051</v>
      </c>
      <c r="F240" t="s">
        <v>2888</v>
      </c>
      <c r="G240" t="s">
        <v>153</v>
      </c>
      <c r="H240" t="s">
        <v>154</v>
      </c>
      <c r="I240" t="s">
        <v>146</v>
      </c>
      <c r="J240" t="s">
        <v>147</v>
      </c>
      <c r="K240" s="45" t="str">
        <f>+"FY"&amp;RIGHT(YEAR('Hyperion Panel'!$B$9)+4,2)</f>
        <v>FY14</v>
      </c>
      <c r="L240">
        <f>'Upload Detail'!L407</f>
        <v>20642.40896291663</v>
      </c>
      <c r="M240">
        <f>'Upload Detail'!M407</f>
        <v>20642.40896291663</v>
      </c>
      <c r="N240">
        <f>'Upload Detail'!N407</f>
        <v>20642.40896291663</v>
      </c>
      <c r="O240">
        <f>'Upload Detail'!O407</f>
        <v>20642.40896291663</v>
      </c>
      <c r="P240">
        <f>'Upload Detail'!P407</f>
        <v>20642.40896291663</v>
      </c>
      <c r="Q240">
        <f>'Upload Detail'!Q407</f>
        <v>20642.40896291663</v>
      </c>
      <c r="R240">
        <f>'Upload Detail'!R407</f>
        <v>20642.40896291663</v>
      </c>
      <c r="S240">
        <f>'Upload Detail'!S407</f>
        <v>20642.40896291663</v>
      </c>
      <c r="T240">
        <f>'Upload Detail'!T407</f>
        <v>20642.40896291663</v>
      </c>
      <c r="U240">
        <f>'Upload Detail'!U407</f>
        <v>20642.40896291663</v>
      </c>
      <c r="V240">
        <f>'Upload Detail'!V407</f>
        <v>21261.681231804134</v>
      </c>
      <c r="W240">
        <f>'Upload Detail'!W407</f>
        <v>21261.681231804134</v>
      </c>
    </row>
    <row r="241" spans="1:25">
      <c r="A241" t="s">
        <v>2654</v>
      </c>
      <c r="B241" t="str">
        <f t="shared" si="6"/>
        <v>P10_11032_00494</v>
      </c>
      <c r="C241" t="str">
        <f t="shared" si="7"/>
        <v>LE_XXXX</v>
      </c>
      <c r="D241" t="s">
        <v>2886</v>
      </c>
      <c r="E241">
        <v>6011</v>
      </c>
      <c r="F241" t="s">
        <v>2888</v>
      </c>
      <c r="G241" t="s">
        <v>153</v>
      </c>
      <c r="H241" t="s">
        <v>154</v>
      </c>
      <c r="I241" t="s">
        <v>146</v>
      </c>
      <c r="J241" t="s">
        <v>147</v>
      </c>
      <c r="K241" s="45" t="str">
        <f>+"FY"&amp;RIGHT(YEAR('Hyperion Panel'!$B$9)+4,2)</f>
        <v>FY14</v>
      </c>
      <c r="L241">
        <f>'Upload Detail'!L408</f>
        <v>0</v>
      </c>
      <c r="M241">
        <f>'Upload Detail'!M408</f>
        <v>0</v>
      </c>
      <c r="N241">
        <f>'Upload Detail'!N408</f>
        <v>0</v>
      </c>
      <c r="O241">
        <f>'Upload Detail'!O408</f>
        <v>0</v>
      </c>
      <c r="P241">
        <f>'Upload Detail'!P408</f>
        <v>0</v>
      </c>
      <c r="Q241">
        <f>'Upload Detail'!Q408</f>
        <v>0</v>
      </c>
      <c r="R241">
        <f>'Upload Detail'!R408</f>
        <v>0</v>
      </c>
      <c r="S241">
        <f>'Upload Detail'!S408</f>
        <v>0</v>
      </c>
      <c r="T241">
        <f>'Upload Detail'!T408</f>
        <v>0</v>
      </c>
      <c r="U241">
        <f>'Upload Detail'!U408</f>
        <v>0</v>
      </c>
      <c r="V241">
        <f>'Upload Detail'!V408</f>
        <v>0</v>
      </c>
      <c r="W241">
        <f>'Upload Detail'!W408</f>
        <v>0</v>
      </c>
    </row>
    <row r="242" spans="1:25">
      <c r="A242" t="s">
        <v>3696</v>
      </c>
      <c r="B242" t="str">
        <f t="shared" si="6"/>
        <v>P10_11032_00494</v>
      </c>
      <c r="C242" t="str">
        <f t="shared" si="7"/>
        <v>LE_XXXX</v>
      </c>
      <c r="D242" t="s">
        <v>2886</v>
      </c>
      <c r="E242">
        <v>6600</v>
      </c>
      <c r="F242" t="s">
        <v>2888</v>
      </c>
      <c r="G242" t="s">
        <v>2889</v>
      </c>
      <c r="H242" t="s">
        <v>154</v>
      </c>
      <c r="I242" t="s">
        <v>146</v>
      </c>
      <c r="J242" t="s">
        <v>147</v>
      </c>
      <c r="K242" s="45" t="str">
        <f>+"FY"&amp;RIGHT(YEAR('Hyperion Panel'!$B$9)+4,2)</f>
        <v>FY14</v>
      </c>
      <c r="L242">
        <f>'Upload Detail'!L409</f>
        <v>56200.395080222406</v>
      </c>
      <c r="M242">
        <f>'Upload Detail'!M409</f>
        <v>56200.395080222406</v>
      </c>
      <c r="N242">
        <f>'Upload Detail'!N409</f>
        <v>56200.395080222406</v>
      </c>
      <c r="O242">
        <f>'Upload Detail'!O409</f>
        <v>56200.395080222406</v>
      </c>
      <c r="P242">
        <f>'Upload Detail'!P409</f>
        <v>56200.395080222406</v>
      </c>
      <c r="Q242">
        <f>'Upload Detail'!Q409</f>
        <v>56200.395080222406</v>
      </c>
      <c r="R242">
        <f>'Upload Detail'!R409</f>
        <v>56200.395080222406</v>
      </c>
      <c r="S242">
        <f>'Upload Detail'!S409</f>
        <v>56200.395080222406</v>
      </c>
      <c r="T242">
        <f>'Upload Detail'!T409</f>
        <v>56200.395080222406</v>
      </c>
      <c r="U242">
        <f>'Upload Detail'!U409</f>
        <v>56200.395080222406</v>
      </c>
      <c r="V242">
        <f>'Upload Detail'!V409</f>
        <v>57324.402981826854</v>
      </c>
      <c r="W242">
        <f>'Upload Detail'!W409</f>
        <v>57324.402981826854</v>
      </c>
    </row>
    <row r="243" spans="1:25">
      <c r="A243" t="s">
        <v>1381</v>
      </c>
      <c r="B243" t="str">
        <f t="shared" si="6"/>
        <v>P10_11032_00494</v>
      </c>
      <c r="C243" t="str">
        <f t="shared" si="7"/>
        <v>LE_XXXX</v>
      </c>
      <c r="D243" t="s">
        <v>2886</v>
      </c>
      <c r="E243">
        <v>6800</v>
      </c>
      <c r="F243" t="s">
        <v>156</v>
      </c>
      <c r="G243" t="s">
        <v>2889</v>
      </c>
      <c r="H243" t="s">
        <v>154</v>
      </c>
      <c r="I243" t="s">
        <v>146</v>
      </c>
      <c r="J243" t="s">
        <v>147</v>
      </c>
      <c r="K243" s="45" t="str">
        <f>+"FY"&amp;RIGHT(YEAR('Hyperion Panel'!$B$9)+4,2)</f>
        <v>FY14</v>
      </c>
      <c r="L243">
        <f>'Upload Detail'!L410</f>
        <v>21445.876090607595</v>
      </c>
      <c r="M243">
        <f>'Upload Detail'!M410</f>
        <v>21445.876090607595</v>
      </c>
      <c r="N243">
        <f>'Upload Detail'!N410</f>
        <v>21445.876090607595</v>
      </c>
      <c r="O243">
        <f>'Upload Detail'!O410</f>
        <v>21445.876090607595</v>
      </c>
      <c r="P243">
        <f>'Upload Detail'!P410</f>
        <v>21445.876090607595</v>
      </c>
      <c r="Q243">
        <f>'Upload Detail'!Q410</f>
        <v>21445.876090607595</v>
      </c>
      <c r="R243">
        <f>'Upload Detail'!R410</f>
        <v>21445.876090607595</v>
      </c>
      <c r="S243">
        <f>'Upload Detail'!S410</f>
        <v>21445.876090607595</v>
      </c>
      <c r="T243">
        <f>'Upload Detail'!T410</f>
        <v>21445.876090607595</v>
      </c>
      <c r="U243">
        <f>'Upload Detail'!U410</f>
        <v>21445.876090607595</v>
      </c>
      <c r="V243">
        <f>'Upload Detail'!V410</f>
        <v>22089.252373325824</v>
      </c>
      <c r="W243">
        <f>'Upload Detail'!W410</f>
        <v>22089.252373325824</v>
      </c>
    </row>
    <row r="244" spans="1:25">
      <c r="A244" t="s">
        <v>3697</v>
      </c>
      <c r="B244" t="str">
        <f t="shared" si="6"/>
        <v>P10_11032_00494</v>
      </c>
      <c r="C244" t="str">
        <f t="shared" si="7"/>
        <v>LE_XXXX</v>
      </c>
      <c r="D244" t="s">
        <v>2886</v>
      </c>
      <c r="E244">
        <v>8600</v>
      </c>
      <c r="F244" t="s">
        <v>156</v>
      </c>
      <c r="G244" t="s">
        <v>2889</v>
      </c>
      <c r="H244" t="s">
        <v>154</v>
      </c>
      <c r="I244" t="s">
        <v>146</v>
      </c>
      <c r="J244" t="s">
        <v>147</v>
      </c>
      <c r="K244" s="45" t="str">
        <f>+"FY"&amp;RIGHT(YEAR('Hyperion Panel'!$B$9)+4,2)</f>
        <v>FY14</v>
      </c>
      <c r="L244">
        <f>'Upload Detail'!L411</f>
        <v>18002.666397730001</v>
      </c>
      <c r="M244">
        <f>'Upload Detail'!M411</f>
        <v>18002.666397730001</v>
      </c>
      <c r="N244">
        <f>'Upload Detail'!N411</f>
        <v>18002.666397730001</v>
      </c>
      <c r="O244">
        <f>'Upload Detail'!O411</f>
        <v>18002.666397730001</v>
      </c>
      <c r="P244">
        <f>'Upload Detail'!P411</f>
        <v>18002.666397730001</v>
      </c>
      <c r="Q244">
        <f>'Upload Detail'!Q411</f>
        <v>18002.666397730001</v>
      </c>
      <c r="R244">
        <f>'Upload Detail'!R411</f>
        <v>18002.666397730001</v>
      </c>
      <c r="S244">
        <f>'Upload Detail'!S411</f>
        <v>18002.666397730001</v>
      </c>
      <c r="T244">
        <f>'Upload Detail'!T411</f>
        <v>18002.666397730001</v>
      </c>
      <c r="U244">
        <f>'Upload Detail'!U411</f>
        <v>18002.666397730001</v>
      </c>
      <c r="V244">
        <f>'Upload Detail'!V411</f>
        <v>18542.746389661901</v>
      </c>
      <c r="W244">
        <f>'Upload Detail'!W411</f>
        <v>18542.746389661901</v>
      </c>
    </row>
    <row r="245" spans="1:25">
      <c r="A245" t="s">
        <v>157</v>
      </c>
      <c r="B245" t="str">
        <f t="shared" si="6"/>
        <v>P10_11032_00494</v>
      </c>
      <c r="C245" t="str">
        <f t="shared" si="7"/>
        <v>LE_XXXX</v>
      </c>
      <c r="D245" t="s">
        <v>2886</v>
      </c>
      <c r="E245">
        <v>6720</v>
      </c>
      <c r="F245" t="s">
        <v>156</v>
      </c>
      <c r="G245" t="s">
        <v>2889</v>
      </c>
      <c r="H245" t="s">
        <v>154</v>
      </c>
      <c r="I245" t="s">
        <v>146</v>
      </c>
      <c r="J245" t="s">
        <v>147</v>
      </c>
      <c r="K245" s="45" t="str">
        <f>+"FY"&amp;RIGHT(YEAR('Hyperion Panel'!$B$9)+4,2)</f>
        <v>FY14</v>
      </c>
      <c r="L245">
        <f>'Upload Detail'!L412</f>
        <v>15833.32</v>
      </c>
      <c r="M245">
        <f>'Upload Detail'!M412</f>
        <v>15833.32</v>
      </c>
      <c r="N245">
        <f>'Upload Detail'!N412</f>
        <v>15833.32</v>
      </c>
      <c r="O245">
        <f>'Upload Detail'!O412</f>
        <v>15833.32</v>
      </c>
      <c r="P245">
        <f>'Upload Detail'!P412</f>
        <v>15833.32</v>
      </c>
      <c r="Q245">
        <f>'Upload Detail'!Q412</f>
        <v>15833.32</v>
      </c>
      <c r="R245">
        <f>'Upload Detail'!R412</f>
        <v>15833.32</v>
      </c>
      <c r="S245">
        <f>'Upload Detail'!S412</f>
        <v>15833.32</v>
      </c>
      <c r="T245">
        <f>'Upload Detail'!T412</f>
        <v>15833.32</v>
      </c>
      <c r="U245">
        <f>'Upload Detail'!U412</f>
        <v>15833.32</v>
      </c>
      <c r="V245">
        <f>'Upload Detail'!V412</f>
        <v>15833.32</v>
      </c>
      <c r="W245">
        <f>'Upload Detail'!W412</f>
        <v>15833.32</v>
      </c>
    </row>
    <row r="246" spans="1:25">
      <c r="A246" t="s">
        <v>3925</v>
      </c>
      <c r="B246" t="str">
        <f t="shared" si="6"/>
        <v>P10_11032_00494</v>
      </c>
      <c r="C246" t="str">
        <f t="shared" si="7"/>
        <v>LE_XXXX</v>
      </c>
      <c r="D246" t="s">
        <v>2886</v>
      </c>
      <c r="E246">
        <v>8110</v>
      </c>
      <c r="F246" t="s">
        <v>156</v>
      </c>
      <c r="G246" t="s">
        <v>2889</v>
      </c>
      <c r="H246" t="s">
        <v>154</v>
      </c>
      <c r="I246" t="s">
        <v>146</v>
      </c>
      <c r="J246" t="s">
        <v>147</v>
      </c>
      <c r="K246" s="45" t="str">
        <f>+"FY"&amp;RIGHT(YEAR('Hyperion Panel'!$B$9)+4,2)</f>
        <v>FY14</v>
      </c>
      <c r="L246">
        <f>'Upload Detail'!L413</f>
        <v>1141.577360535</v>
      </c>
      <c r="M246">
        <f>'Upload Detail'!M413</f>
        <v>1141.577360535</v>
      </c>
      <c r="N246">
        <f>'Upload Detail'!N413</f>
        <v>1141.577360535</v>
      </c>
      <c r="O246">
        <f>'Upload Detail'!O413</f>
        <v>1141.577360535</v>
      </c>
      <c r="P246">
        <f>'Upload Detail'!P413</f>
        <v>1141.577360535</v>
      </c>
      <c r="Q246">
        <f>'Upload Detail'!Q413</f>
        <v>1141.577360535</v>
      </c>
      <c r="R246">
        <f>'Upload Detail'!R413</f>
        <v>1141.577360535</v>
      </c>
      <c r="S246">
        <f>'Upload Detail'!S413</f>
        <v>1141.577360535</v>
      </c>
      <c r="T246">
        <f>'Upload Detail'!T413</f>
        <v>1141.577360535</v>
      </c>
      <c r="U246">
        <f>'Upload Detail'!U413</f>
        <v>1141.577360535</v>
      </c>
      <c r="V246">
        <f>'Upload Detail'!V413</f>
        <v>1175.82468135105</v>
      </c>
      <c r="W246">
        <f>'Upload Detail'!W413</f>
        <v>1175.82468135105</v>
      </c>
    </row>
    <row r="247" spans="1:25">
      <c r="A247" t="s">
        <v>3926</v>
      </c>
      <c r="B247" t="str">
        <f t="shared" si="6"/>
        <v>P10_11032_00494</v>
      </c>
      <c r="C247" t="str">
        <f t="shared" si="7"/>
        <v>LE_XXXX</v>
      </c>
      <c r="D247" t="s">
        <v>2886</v>
      </c>
      <c r="E247">
        <v>6412</v>
      </c>
      <c r="F247" t="s">
        <v>156</v>
      </c>
      <c r="G247" t="s">
        <v>2889</v>
      </c>
      <c r="H247" t="s">
        <v>154</v>
      </c>
      <c r="I247" t="s">
        <v>146</v>
      </c>
      <c r="J247" t="s">
        <v>147</v>
      </c>
      <c r="K247" s="45" t="str">
        <f>+"FY"&amp;RIGHT(YEAR('Hyperion Panel'!$B$9)+4,2)</f>
        <v>FY14</v>
      </c>
      <c r="L247">
        <f>'Upload Detail'!L414</f>
        <v>20286.44900537013</v>
      </c>
      <c r="M247">
        <f>'Upload Detail'!M414</f>
        <v>20286.44900537013</v>
      </c>
      <c r="N247">
        <f>'Upload Detail'!N414</f>
        <v>20286.44900537013</v>
      </c>
      <c r="O247">
        <f>'Upload Detail'!O414</f>
        <v>20286.44900537013</v>
      </c>
      <c r="P247">
        <f>'Upload Detail'!P414</f>
        <v>20286.44900537013</v>
      </c>
      <c r="Q247">
        <f>'Upload Detail'!Q414</f>
        <v>20286.44900537013</v>
      </c>
      <c r="R247">
        <f>'Upload Detail'!R414</f>
        <v>20286.44900537013</v>
      </c>
      <c r="S247">
        <f>'Upload Detail'!S414</f>
        <v>20286.44900537013</v>
      </c>
      <c r="T247">
        <f>'Upload Detail'!T414</f>
        <v>20286.44900537013</v>
      </c>
      <c r="U247">
        <f>'Upload Detail'!U414</f>
        <v>20286.44900537013</v>
      </c>
      <c r="V247">
        <f>'Upload Detail'!V414</f>
        <v>20895.042475531234</v>
      </c>
      <c r="W247">
        <f>'Upload Detail'!W414</f>
        <v>20895.042475531234</v>
      </c>
    </row>
    <row r="248" spans="1:25" s="104" customFormat="1">
      <c r="A248" s="104" t="s">
        <v>730</v>
      </c>
      <c r="B248" s="104" t="str">
        <f t="shared" si="6"/>
        <v>P10_11032_00494</v>
      </c>
      <c r="C248" s="104" t="str">
        <f t="shared" si="7"/>
        <v>LE_XXXX</v>
      </c>
      <c r="D248" s="104" t="s">
        <v>2886</v>
      </c>
      <c r="E248" s="104">
        <v>8110</v>
      </c>
      <c r="F248" s="104" t="s">
        <v>731</v>
      </c>
      <c r="G248" s="104" t="s">
        <v>2889</v>
      </c>
      <c r="H248" s="104" t="s">
        <v>154</v>
      </c>
      <c r="I248" s="104" t="s">
        <v>146</v>
      </c>
      <c r="J248" s="104" t="s">
        <v>147</v>
      </c>
      <c r="K248" s="45" t="str">
        <f>+"FY"&amp;RIGHT(YEAR('Hyperion Panel'!$B$9)+4,2)</f>
        <v>FY14</v>
      </c>
      <c r="L248" s="104">
        <f>'Upload Detail'!L415</f>
        <v>910.60583333333341</v>
      </c>
      <c r="M248" s="104">
        <f>'Upload Detail'!M415</f>
        <v>910.60583333333341</v>
      </c>
      <c r="N248" s="104">
        <f>'Upload Detail'!N415</f>
        <v>910.60583333333341</v>
      </c>
      <c r="O248" s="104">
        <f>'Upload Detail'!O415</f>
        <v>910.60583333333341</v>
      </c>
      <c r="P248" s="104">
        <f>'Upload Detail'!P415</f>
        <v>910.60583333333341</v>
      </c>
      <c r="Q248" s="104">
        <f>'Upload Detail'!Q415</f>
        <v>910.60583333333341</v>
      </c>
      <c r="R248" s="104">
        <f>'Upload Detail'!R415</f>
        <v>910.60583333333341</v>
      </c>
      <c r="S248" s="104">
        <f>'Upload Detail'!S415</f>
        <v>910.60583333333341</v>
      </c>
      <c r="T248" s="104">
        <f>'Upload Detail'!T415</f>
        <v>910.60583333333341</v>
      </c>
      <c r="U248" s="104">
        <f>'Upload Detail'!U415</f>
        <v>910.60583333333341</v>
      </c>
      <c r="V248" s="104">
        <f>'Upload Detail'!V415</f>
        <v>937.9240083333334</v>
      </c>
      <c r="W248" s="104">
        <f>'Upload Detail'!W415</f>
        <v>937.9240083333334</v>
      </c>
      <c r="Y248" s="1690"/>
    </row>
    <row r="249" spans="1:25" s="104" customFormat="1">
      <c r="A249" s="104" t="s">
        <v>732</v>
      </c>
      <c r="B249" s="104" t="str">
        <f t="shared" si="6"/>
        <v>P10_11032_00494</v>
      </c>
      <c r="C249" s="104" t="str">
        <f t="shared" si="7"/>
        <v>LE_XXXX</v>
      </c>
      <c r="D249" s="104" t="s">
        <v>2886</v>
      </c>
      <c r="F249" s="104" t="s">
        <v>731</v>
      </c>
      <c r="G249" s="104" t="s">
        <v>2889</v>
      </c>
      <c r="H249" s="104" t="s">
        <v>154</v>
      </c>
      <c r="I249" s="104" t="s">
        <v>146</v>
      </c>
      <c r="J249" s="104" t="s">
        <v>147</v>
      </c>
      <c r="K249" s="45" t="str">
        <f>+"FY"&amp;RIGHT(YEAR('Hyperion Panel'!$B$9)+4,2)</f>
        <v>FY14</v>
      </c>
      <c r="L249" s="104">
        <f>'Upload Detail'!L416</f>
        <v>0</v>
      </c>
      <c r="M249" s="104">
        <f>'Upload Detail'!M416</f>
        <v>0</v>
      </c>
      <c r="N249" s="104">
        <f>'Upload Detail'!N416</f>
        <v>0</v>
      </c>
      <c r="O249" s="104">
        <f>'Upload Detail'!O416</f>
        <v>0</v>
      </c>
      <c r="P249" s="104">
        <f>'Upload Detail'!P416</f>
        <v>0</v>
      </c>
      <c r="Q249" s="104">
        <f>'Upload Detail'!Q416</f>
        <v>0</v>
      </c>
      <c r="R249" s="104">
        <f>'Upload Detail'!R416</f>
        <v>0</v>
      </c>
      <c r="S249" s="104">
        <f>'Upload Detail'!S416</f>
        <v>0</v>
      </c>
      <c r="T249" s="104">
        <f>'Upload Detail'!T416</f>
        <v>0</v>
      </c>
      <c r="U249" s="104">
        <f>'Upload Detail'!U416</f>
        <v>0</v>
      </c>
      <c r="V249" s="104">
        <f>'Upload Detail'!V416</f>
        <v>0</v>
      </c>
      <c r="W249" s="104">
        <f>'Upload Detail'!W416</f>
        <v>0</v>
      </c>
      <c r="Y249" s="1690"/>
    </row>
    <row r="250" spans="1:25" s="104" customFormat="1">
      <c r="A250" s="104" t="s">
        <v>733</v>
      </c>
      <c r="B250" s="104" t="str">
        <f t="shared" si="6"/>
        <v>P10_11032_00494</v>
      </c>
      <c r="C250" s="104" t="str">
        <f t="shared" si="7"/>
        <v>LE_XXXX</v>
      </c>
      <c r="D250" s="104" t="s">
        <v>2886</v>
      </c>
      <c r="F250" s="104" t="s">
        <v>731</v>
      </c>
      <c r="G250" s="104" t="s">
        <v>2889</v>
      </c>
      <c r="H250" s="104" t="s">
        <v>154</v>
      </c>
      <c r="I250" s="104" t="s">
        <v>146</v>
      </c>
      <c r="J250" s="104" t="s">
        <v>147</v>
      </c>
      <c r="K250" s="45" t="str">
        <f>+"FY"&amp;RIGHT(YEAR('Hyperion Panel'!$B$9)+4,2)</f>
        <v>FY14</v>
      </c>
      <c r="L250" s="104">
        <f>'Upload Detail'!L417</f>
        <v>10230.045119999999</v>
      </c>
      <c r="M250" s="104">
        <f>'Upload Detail'!M417</f>
        <v>10230.045119999999</v>
      </c>
      <c r="N250" s="104">
        <f>'Upload Detail'!N417</f>
        <v>10230.045119999999</v>
      </c>
      <c r="O250" s="104">
        <f>'Upload Detail'!O417</f>
        <v>10230.045119999999</v>
      </c>
      <c r="P250" s="104">
        <f>'Upload Detail'!P417</f>
        <v>10230.045119999999</v>
      </c>
      <c r="Q250" s="104">
        <f>'Upload Detail'!Q417</f>
        <v>10230.045119999999</v>
      </c>
      <c r="R250" s="104">
        <f>'Upload Detail'!R417</f>
        <v>10230.045119999999</v>
      </c>
      <c r="S250" s="104">
        <f>'Upload Detail'!S417</f>
        <v>10230.045119999999</v>
      </c>
      <c r="T250" s="104">
        <f>'Upload Detail'!T417</f>
        <v>10230.045119999999</v>
      </c>
      <c r="U250" s="104">
        <f>'Upload Detail'!U417</f>
        <v>10230.045119999999</v>
      </c>
      <c r="V250" s="104">
        <f>'Upload Detail'!V417</f>
        <v>10434.6460224</v>
      </c>
      <c r="W250" s="104">
        <f>'Upload Detail'!W417</f>
        <v>10434.6460224</v>
      </c>
      <c r="Y250" s="1690"/>
    </row>
    <row r="251" spans="1:25" s="104" customFormat="1">
      <c r="A251" s="104" t="s">
        <v>734</v>
      </c>
      <c r="B251" s="104" t="str">
        <f t="shared" si="6"/>
        <v>P10_11032_00494</v>
      </c>
      <c r="C251" s="104" t="str">
        <f t="shared" si="7"/>
        <v>LE_XXXX</v>
      </c>
      <c r="D251" s="104" t="s">
        <v>2886</v>
      </c>
      <c r="E251" s="104">
        <v>6800</v>
      </c>
      <c r="F251" s="104" t="s">
        <v>731</v>
      </c>
      <c r="G251" s="104" t="s">
        <v>2889</v>
      </c>
      <c r="H251" s="104" t="s">
        <v>154</v>
      </c>
      <c r="I251" s="104" t="s">
        <v>146</v>
      </c>
      <c r="J251" s="104" t="s">
        <v>147</v>
      </c>
      <c r="K251" s="45" t="str">
        <f>+"FY"&amp;RIGHT(YEAR('Hyperion Panel'!$B$9)+4,2)</f>
        <v>FY14</v>
      </c>
      <c r="L251" s="104">
        <f>'Upload Detail'!L418</f>
        <v>1912.27225</v>
      </c>
      <c r="M251" s="104">
        <f>'Upload Detail'!M418</f>
        <v>1912.27225</v>
      </c>
      <c r="N251" s="104">
        <f>'Upload Detail'!N418</f>
        <v>1912.27225</v>
      </c>
      <c r="O251" s="104">
        <f>'Upload Detail'!O418</f>
        <v>1912.27225</v>
      </c>
      <c r="P251" s="104">
        <f>'Upload Detail'!P418</f>
        <v>1912.27225</v>
      </c>
      <c r="Q251" s="104">
        <f>'Upload Detail'!Q418</f>
        <v>1912.27225</v>
      </c>
      <c r="R251" s="104">
        <f>'Upload Detail'!R418</f>
        <v>1912.27225</v>
      </c>
      <c r="S251" s="104">
        <f>'Upload Detail'!S418</f>
        <v>1912.27225</v>
      </c>
      <c r="T251" s="104">
        <f>'Upload Detail'!T418</f>
        <v>1912.27225</v>
      </c>
      <c r="U251" s="104">
        <f>'Upload Detail'!U418</f>
        <v>1912.27225</v>
      </c>
      <c r="V251" s="104">
        <f>'Upload Detail'!V418</f>
        <v>1969.6404175</v>
      </c>
      <c r="W251" s="104">
        <f>'Upload Detail'!W418</f>
        <v>1969.6404175</v>
      </c>
      <c r="Y251" s="1690"/>
    </row>
    <row r="252" spans="1:25">
      <c r="A252" t="s">
        <v>158</v>
      </c>
      <c r="B252" t="str">
        <f t="shared" si="6"/>
        <v>P10_11032_00494</v>
      </c>
      <c r="C252" t="str">
        <f t="shared" si="7"/>
        <v>LE_XXXX</v>
      </c>
      <c r="D252" t="s">
        <v>2886</v>
      </c>
      <c r="E252" t="s">
        <v>159</v>
      </c>
      <c r="F252" t="s">
        <v>156</v>
      </c>
      <c r="G252" t="s">
        <v>2889</v>
      </c>
      <c r="H252" t="s">
        <v>154</v>
      </c>
      <c r="I252" t="s">
        <v>146</v>
      </c>
      <c r="J252" t="s">
        <v>147</v>
      </c>
      <c r="K252" s="45" t="str">
        <f>+"FY"&amp;RIGHT(YEAR('Hyperion Panel'!$B$9)+4,2)</f>
        <v>FY14</v>
      </c>
      <c r="L252" s="103">
        <f>'Upload Detail'!L419</f>
        <v>1</v>
      </c>
      <c r="M252" s="103">
        <f>'Upload Detail'!M419</f>
        <v>1</v>
      </c>
      <c r="N252" s="103">
        <f>'Upload Detail'!N419</f>
        <v>1</v>
      </c>
      <c r="O252" s="103">
        <f>'Upload Detail'!O419</f>
        <v>1</v>
      </c>
      <c r="P252" s="103">
        <f>'Upload Detail'!P419</f>
        <v>1</v>
      </c>
      <c r="Q252" s="103">
        <f>'Upload Detail'!Q419</f>
        <v>1</v>
      </c>
      <c r="R252" s="103">
        <f>'Upload Detail'!R419</f>
        <v>1</v>
      </c>
      <c r="S252" s="103">
        <f>'Upload Detail'!S419</f>
        <v>1</v>
      </c>
      <c r="T252" s="103">
        <f>'Upload Detail'!T419</f>
        <v>1</v>
      </c>
      <c r="U252" s="103">
        <f>'Upload Detail'!U419</f>
        <v>1</v>
      </c>
      <c r="V252" s="103">
        <f>'Upload Detail'!V419</f>
        <v>1</v>
      </c>
      <c r="W252" s="103">
        <f>'Upload Detail'!W419</f>
        <v>1</v>
      </c>
    </row>
    <row r="253" spans="1:25">
      <c r="A253" t="s">
        <v>160</v>
      </c>
      <c r="B253" t="str">
        <f t="shared" si="6"/>
        <v>P10_11032_00494</v>
      </c>
      <c r="C253" t="str">
        <f t="shared" si="7"/>
        <v>LE_XXXX</v>
      </c>
      <c r="D253" t="s">
        <v>2886</v>
      </c>
      <c r="E253" t="s">
        <v>161</v>
      </c>
      <c r="F253" t="s">
        <v>156</v>
      </c>
      <c r="G253" t="s">
        <v>2889</v>
      </c>
      <c r="H253" t="s">
        <v>154</v>
      </c>
      <c r="I253" t="s">
        <v>146</v>
      </c>
      <c r="J253" t="s">
        <v>147</v>
      </c>
      <c r="K253" s="45" t="str">
        <f>+"FY"&amp;RIGHT(YEAR('Hyperion Panel'!$B$9)+4,2)</f>
        <v>FY14</v>
      </c>
      <c r="L253">
        <f>'Upload Detail'!L420</f>
        <v>0</v>
      </c>
      <c r="M253">
        <f>'Upload Detail'!M420</f>
        <v>0</v>
      </c>
      <c r="N253">
        <f>'Upload Detail'!N420</f>
        <v>0</v>
      </c>
      <c r="O253">
        <f>'Upload Detail'!O420</f>
        <v>0</v>
      </c>
      <c r="P253">
        <f>'Upload Detail'!P420</f>
        <v>0</v>
      </c>
      <c r="Q253">
        <f>'Upload Detail'!Q420</f>
        <v>0</v>
      </c>
      <c r="R253">
        <f>'Upload Detail'!R420</f>
        <v>0</v>
      </c>
      <c r="S253">
        <f>'Upload Detail'!S420</f>
        <v>0</v>
      </c>
      <c r="T253">
        <f>'Upload Detail'!T420</f>
        <v>0</v>
      </c>
      <c r="U253">
        <f>'Upload Detail'!U420</f>
        <v>0</v>
      </c>
      <c r="V253">
        <f>'Upload Detail'!V420</f>
        <v>0</v>
      </c>
      <c r="W253">
        <f>'Upload Detail'!W420</f>
        <v>0</v>
      </c>
    </row>
    <row r="254" spans="1:25" s="104" customFormat="1">
      <c r="A254" s="104" t="s">
        <v>735</v>
      </c>
      <c r="B254" t="str">
        <f t="shared" si="6"/>
        <v>P10_11032_00494</v>
      </c>
      <c r="C254" t="str">
        <f t="shared" si="7"/>
        <v>LE_XXXX</v>
      </c>
      <c r="D254" t="s">
        <v>2886</v>
      </c>
      <c r="F254" s="104" t="s">
        <v>731</v>
      </c>
      <c r="G254" s="104" t="s">
        <v>2889</v>
      </c>
      <c r="H254" s="104" t="s">
        <v>154</v>
      </c>
      <c r="I254" s="104" t="s">
        <v>146</v>
      </c>
      <c r="J254" s="104" t="s">
        <v>147</v>
      </c>
      <c r="K254" s="45" t="str">
        <f>+"FY"&amp;RIGHT(YEAR('Hyperion Panel'!$B$9)+4,2)</f>
        <v>FY14</v>
      </c>
      <c r="L254" s="104">
        <f>'Upload Detail'!L421</f>
        <v>0</v>
      </c>
      <c r="M254" s="104">
        <f>'Upload Detail'!M421</f>
        <v>0</v>
      </c>
      <c r="N254" s="104">
        <f>'Upload Detail'!N421</f>
        <v>0</v>
      </c>
      <c r="O254" s="104">
        <f>'Upload Detail'!O421</f>
        <v>0</v>
      </c>
      <c r="P254" s="104">
        <f>'Upload Detail'!P421</f>
        <v>0</v>
      </c>
      <c r="Q254" s="104">
        <f>'Upload Detail'!Q421</f>
        <v>0</v>
      </c>
      <c r="R254" s="104">
        <f>'Upload Detail'!R421</f>
        <v>0</v>
      </c>
      <c r="S254" s="104">
        <f>'Upload Detail'!S421</f>
        <v>0</v>
      </c>
      <c r="T254" s="104">
        <f>'Upload Detail'!T421</f>
        <v>0</v>
      </c>
      <c r="U254" s="104">
        <f>'Upload Detail'!U421</f>
        <v>0</v>
      </c>
      <c r="V254" s="104">
        <f>'Upload Detail'!V421</f>
        <v>0</v>
      </c>
      <c r="W254" s="104">
        <f>'Upload Detail'!W421</f>
        <v>0</v>
      </c>
    </row>
    <row r="255" spans="1:25" s="6" customFormat="1">
      <c r="A255" s="6" t="s">
        <v>165</v>
      </c>
      <c r="B255" s="6" t="str">
        <f t="shared" si="6"/>
        <v>P10_11032_00494</v>
      </c>
      <c r="C255" s="6" t="str">
        <f t="shared" si="7"/>
        <v>LE_XXXX</v>
      </c>
      <c r="D255" s="6" t="s">
        <v>2886</v>
      </c>
      <c r="E255" s="6" t="s">
        <v>2887</v>
      </c>
      <c r="F255" s="6" t="s">
        <v>2888</v>
      </c>
      <c r="G255" s="6" t="s">
        <v>2889</v>
      </c>
      <c r="H255" s="6" t="s">
        <v>145</v>
      </c>
      <c r="I255" s="6" t="s">
        <v>146</v>
      </c>
      <c r="J255" s="6" t="s">
        <v>147</v>
      </c>
      <c r="K255" s="1692" t="str">
        <f>+"FY"&amp;RIGHT(YEAR('Hyperion Panel'!$B$9)+5,2)</f>
        <v>FY15</v>
      </c>
      <c r="L255" s="6">
        <f>SUM('Upload Detail'!L424:L425)</f>
        <v>598</v>
      </c>
      <c r="M255" s="6">
        <f>SUM('Upload Detail'!M424:M425)</f>
        <v>598</v>
      </c>
      <c r="N255" s="6">
        <f>SUM('Upload Detail'!N424:N425)</f>
        <v>598</v>
      </c>
      <c r="O255" s="6">
        <f>SUM('Upload Detail'!O424:O425)</f>
        <v>598</v>
      </c>
      <c r="P255" s="6">
        <f>SUM('Upload Detail'!P424:P425)</f>
        <v>598</v>
      </c>
      <c r="Q255" s="6">
        <f>SUM('Upload Detail'!Q424:Q425)</f>
        <v>598</v>
      </c>
      <c r="R255" s="6">
        <f>SUM('Upload Detail'!R424:R425)</f>
        <v>598</v>
      </c>
      <c r="S255" s="6">
        <f>SUM('Upload Detail'!S424:S425)</f>
        <v>598</v>
      </c>
      <c r="T255" s="6">
        <f>SUM('Upload Detail'!T424:T425)</f>
        <v>598</v>
      </c>
      <c r="U255" s="6">
        <f>SUM('Upload Detail'!U424:U425)</f>
        <v>598</v>
      </c>
      <c r="V255" s="6">
        <f>SUM('Upload Detail'!V424:V425)</f>
        <v>0</v>
      </c>
      <c r="W255" s="6">
        <f>SUM('Upload Detail'!W424:W425)</f>
        <v>0</v>
      </c>
    </row>
    <row r="256" spans="1:25" s="6" customFormat="1">
      <c r="A256" s="6" t="s">
        <v>162</v>
      </c>
      <c r="B256" s="6" t="str">
        <f t="shared" si="6"/>
        <v>P10_11032_00494</v>
      </c>
      <c r="C256" s="6" t="str">
        <f t="shared" si="7"/>
        <v>LE_XXXX</v>
      </c>
      <c r="D256" s="6" t="s">
        <v>2886</v>
      </c>
      <c r="E256" s="6" t="s">
        <v>149</v>
      </c>
      <c r="F256" s="6" t="s">
        <v>150</v>
      </c>
      <c r="G256" s="6" t="s">
        <v>2889</v>
      </c>
      <c r="H256" s="6" t="s">
        <v>145</v>
      </c>
      <c r="I256" s="6" t="s">
        <v>146</v>
      </c>
      <c r="J256" s="6" t="s">
        <v>147</v>
      </c>
      <c r="K256" s="1692" t="str">
        <f>+"FY"&amp;RIGHT(YEAR('Hyperion Panel'!$B$9)+5,2)</f>
        <v>FY15</v>
      </c>
      <c r="L256" s="6">
        <f>SUM('Upload Detail'!L427:L428)</f>
        <v>247</v>
      </c>
      <c r="M256" s="6">
        <f>SUM('Upload Detail'!M427:M428)</f>
        <v>247</v>
      </c>
      <c r="N256" s="6">
        <f>SUM('Upload Detail'!N427:N428)</f>
        <v>247</v>
      </c>
      <c r="O256" s="6">
        <f>SUM('Upload Detail'!O427:O428)</f>
        <v>247</v>
      </c>
      <c r="P256" s="6">
        <f>SUM('Upload Detail'!P427:P428)</f>
        <v>247</v>
      </c>
      <c r="Q256" s="6">
        <f>SUM('Upload Detail'!Q427:Q428)</f>
        <v>247</v>
      </c>
      <c r="R256" s="6">
        <f>SUM('Upload Detail'!R427:R428)</f>
        <v>247</v>
      </c>
      <c r="S256" s="6">
        <f>SUM('Upload Detail'!S427:S428)</f>
        <v>247</v>
      </c>
      <c r="T256" s="6">
        <f>SUM('Upload Detail'!T427:T428)</f>
        <v>247</v>
      </c>
      <c r="U256" s="6">
        <f>SUM('Upload Detail'!U427:U428)</f>
        <v>247</v>
      </c>
      <c r="V256" s="6">
        <f>SUM('Upload Detail'!V427:V428)</f>
        <v>0</v>
      </c>
      <c r="W256" s="6">
        <f>SUM('Upload Detail'!W427:W428)</f>
        <v>0</v>
      </c>
    </row>
    <row r="257" spans="1:25" s="1691" customFormat="1">
      <c r="A257" s="1691" t="s">
        <v>3767</v>
      </c>
      <c r="B257" s="1691" t="str">
        <f t="shared" si="6"/>
        <v>P10_11032_00494</v>
      </c>
      <c r="C257" s="1691" t="str">
        <f t="shared" si="7"/>
        <v>LE_XXXX</v>
      </c>
      <c r="D257" s="1691" t="s">
        <v>2886</v>
      </c>
      <c r="E257" s="1691" t="s">
        <v>719</v>
      </c>
      <c r="F257" s="1691" t="s">
        <v>731</v>
      </c>
      <c r="G257" s="1691" t="s">
        <v>2889</v>
      </c>
      <c r="H257" s="1691" t="s">
        <v>145</v>
      </c>
      <c r="I257" s="1691" t="s">
        <v>146</v>
      </c>
      <c r="J257" s="1691" t="s">
        <v>147</v>
      </c>
      <c r="K257" s="1692" t="str">
        <f>+"FY"&amp;RIGHT(YEAR('Hyperion Panel'!$B$9)+5,2)</f>
        <v>FY15</v>
      </c>
      <c r="L257" s="1691">
        <f>SUM('Upload Detail'!L430:L431)</f>
        <v>65</v>
      </c>
      <c r="M257" s="1691">
        <f>SUM('Upload Detail'!M430:M431)</f>
        <v>65</v>
      </c>
      <c r="N257" s="1691">
        <f>SUM('Upload Detail'!N430:N431)</f>
        <v>65</v>
      </c>
      <c r="O257" s="1691">
        <f>SUM('Upload Detail'!O430:O431)</f>
        <v>65</v>
      </c>
      <c r="P257" s="1691">
        <f>SUM('Upload Detail'!P430:P431)</f>
        <v>65</v>
      </c>
      <c r="Q257" s="1691">
        <f>SUM('Upload Detail'!Q430:Q431)</f>
        <v>65</v>
      </c>
      <c r="R257" s="1691">
        <f>SUM('Upload Detail'!R430:R431)</f>
        <v>65</v>
      </c>
      <c r="S257" s="1691">
        <f>SUM('Upload Detail'!S430:S431)</f>
        <v>65</v>
      </c>
      <c r="T257" s="1691">
        <f>SUM('Upload Detail'!T430:T431)</f>
        <v>65</v>
      </c>
      <c r="U257" s="1691">
        <f>SUM('Upload Detail'!U430:U431)</f>
        <v>65</v>
      </c>
      <c r="V257" s="1691">
        <f>SUM('Upload Detail'!V430:V431)</f>
        <v>0</v>
      </c>
      <c r="W257" s="1691">
        <f>SUM('Upload Detail'!W430:W431)</f>
        <v>0</v>
      </c>
    </row>
    <row r="258" spans="1:25" s="6" customFormat="1">
      <c r="A258" s="6" t="s">
        <v>163</v>
      </c>
      <c r="B258" s="6" t="str">
        <f t="shared" si="6"/>
        <v>P10_11032_00494</v>
      </c>
      <c r="C258" s="6" t="str">
        <f t="shared" si="7"/>
        <v>LE_XXXX</v>
      </c>
      <c r="D258" s="6" t="s">
        <v>2886</v>
      </c>
      <c r="E258" s="6">
        <v>3010</v>
      </c>
      <c r="F258" s="6" t="s">
        <v>2888</v>
      </c>
      <c r="G258" s="6" t="s">
        <v>2889</v>
      </c>
      <c r="H258" s="6" t="s">
        <v>145</v>
      </c>
      <c r="I258" s="6" t="s">
        <v>146</v>
      </c>
      <c r="J258" s="6" t="s">
        <v>147</v>
      </c>
      <c r="K258" s="1692" t="str">
        <f>+"FY"&amp;RIGHT(YEAR('Hyperion Panel'!$B$9)+5,2)</f>
        <v>FY15</v>
      </c>
      <c r="L258" s="6">
        <f>SUM('Upload Detail'!L433:L434)</f>
        <v>177862.93422612501</v>
      </c>
      <c r="M258" s="6">
        <f>SUM('Upload Detail'!M433:M434)</f>
        <v>177862.93422612501</v>
      </c>
      <c r="N258" s="6">
        <f>SUM('Upload Detail'!N433:N434)</f>
        <v>177862.93422612501</v>
      </c>
      <c r="O258" s="6">
        <f>SUM('Upload Detail'!O433:O434)</f>
        <v>177862.93422612501</v>
      </c>
      <c r="P258" s="6">
        <f>SUM('Upload Detail'!P433:P434)</f>
        <v>177862.93422612501</v>
      </c>
      <c r="Q258" s="6">
        <f>SUM('Upload Detail'!Q433:Q434)</f>
        <v>177862.93422612501</v>
      </c>
      <c r="R258" s="6">
        <f>SUM('Upload Detail'!R433:R434)</f>
        <v>177862.93422612501</v>
      </c>
      <c r="S258" s="6">
        <f>SUM('Upload Detail'!S433:S434)</f>
        <v>177862.93422612501</v>
      </c>
      <c r="T258" s="6">
        <f>SUM('Upload Detail'!T433:T434)</f>
        <v>177862.93422612501</v>
      </c>
      <c r="U258" s="6">
        <f>SUM('Upload Detail'!U433:U434)</f>
        <v>177862.93422612501</v>
      </c>
      <c r="V258" s="6">
        <f>SUM('Upload Detail'!V433:V434)</f>
        <v>0</v>
      </c>
      <c r="W258" s="6">
        <f>SUM('Upload Detail'!W433:W434)</f>
        <v>0</v>
      </c>
    </row>
    <row r="259" spans="1:25" s="6" customFormat="1">
      <c r="A259" s="6" t="s">
        <v>164</v>
      </c>
      <c r="B259" s="6" t="str">
        <f t="shared" si="6"/>
        <v>P10_11032_00494</v>
      </c>
      <c r="C259" s="6" t="str">
        <f t="shared" si="7"/>
        <v>LE_XXXX</v>
      </c>
      <c r="D259" s="6" t="s">
        <v>2886</v>
      </c>
      <c r="E259" s="6">
        <v>3030</v>
      </c>
      <c r="F259" s="6" t="s">
        <v>150</v>
      </c>
      <c r="G259" s="6" t="s">
        <v>2889</v>
      </c>
      <c r="H259" s="6" t="s">
        <v>145</v>
      </c>
      <c r="I259" s="6" t="s">
        <v>146</v>
      </c>
      <c r="J259" s="6" t="s">
        <v>147</v>
      </c>
      <c r="K259" s="1692" t="str">
        <f>+"FY"&amp;RIGHT(YEAR('Hyperion Panel'!$B$9)+5,2)</f>
        <v>FY15</v>
      </c>
      <c r="L259" s="6">
        <f>SUM('Upload Detail'!L436:L437)</f>
        <v>126852.80136279485</v>
      </c>
      <c r="M259" s="6">
        <f>SUM('Upload Detail'!M436:M437)</f>
        <v>126852.80136279485</v>
      </c>
      <c r="N259" s="6">
        <f>SUM('Upload Detail'!N436:N437)</f>
        <v>126852.80136279485</v>
      </c>
      <c r="O259" s="6">
        <f>SUM('Upload Detail'!O436:O437)</f>
        <v>126852.80136279485</v>
      </c>
      <c r="P259" s="6">
        <f>SUM('Upload Detail'!P436:P437)</f>
        <v>126852.80136279485</v>
      </c>
      <c r="Q259" s="6">
        <f>SUM('Upload Detail'!Q436:Q437)</f>
        <v>126852.80136279485</v>
      </c>
      <c r="R259" s="6">
        <f>SUM('Upload Detail'!R436:R437)</f>
        <v>126852.80136279485</v>
      </c>
      <c r="S259" s="6">
        <f>SUM('Upload Detail'!S436:S437)</f>
        <v>126852.80136279485</v>
      </c>
      <c r="T259" s="6">
        <f>SUM('Upload Detail'!T436:T437)</f>
        <v>126852.80136279485</v>
      </c>
      <c r="U259" s="6">
        <f>SUM('Upload Detail'!U436:U437)</f>
        <v>126852.80136279485</v>
      </c>
      <c r="V259" s="6">
        <f>SUM('Upload Detail'!V436:V437)</f>
        <v>0</v>
      </c>
      <c r="W259" s="6">
        <f>SUM('Upload Detail'!W436:W437)</f>
        <v>0</v>
      </c>
    </row>
    <row r="260" spans="1:25" s="1691" customFormat="1">
      <c r="A260" s="1691" t="s">
        <v>3768</v>
      </c>
      <c r="B260" s="1691" t="str">
        <f t="shared" si="6"/>
        <v>P10_11032_00494</v>
      </c>
      <c r="C260" s="1691" t="str">
        <f t="shared" si="7"/>
        <v>LE_XXXX</v>
      </c>
      <c r="D260" s="1691" t="s">
        <v>2886</v>
      </c>
      <c r="E260" s="1691">
        <v>3050</v>
      </c>
      <c r="F260" s="1691" t="s">
        <v>731</v>
      </c>
      <c r="G260" s="1691" t="s">
        <v>2889</v>
      </c>
      <c r="H260" s="1691" t="s">
        <v>145</v>
      </c>
      <c r="I260" s="1691" t="s">
        <v>146</v>
      </c>
      <c r="J260" s="1691" t="s">
        <v>147</v>
      </c>
      <c r="K260" s="1692" t="str">
        <f>+"FY"&amp;RIGHT(YEAR('Hyperion Panel'!$B$9)+5,2)</f>
        <v>FY15</v>
      </c>
      <c r="L260" s="1691">
        <f>SUM('Upload Detail'!L439:L440)</f>
        <v>17222.44873882411</v>
      </c>
      <c r="M260" s="1691">
        <f>SUM('Upload Detail'!M439:M440)</f>
        <v>17222.44873882411</v>
      </c>
      <c r="N260" s="1691">
        <f>SUM('Upload Detail'!N439:N440)</f>
        <v>17222.44873882411</v>
      </c>
      <c r="O260" s="1691">
        <f>SUM('Upload Detail'!O439:O440)</f>
        <v>17222.44873882411</v>
      </c>
      <c r="P260" s="1691">
        <f>SUM('Upload Detail'!P439:P440)</f>
        <v>17222.44873882411</v>
      </c>
      <c r="Q260" s="1691">
        <f>SUM('Upload Detail'!Q439:Q440)</f>
        <v>17222.44873882411</v>
      </c>
      <c r="R260" s="1691">
        <f>SUM('Upload Detail'!R439:R440)</f>
        <v>17222.44873882411</v>
      </c>
      <c r="S260" s="1691">
        <f>SUM('Upload Detail'!S439:S440)</f>
        <v>17222.44873882411</v>
      </c>
      <c r="T260" s="1691">
        <f>SUM('Upload Detail'!T439:T440)</f>
        <v>17222.44873882411</v>
      </c>
      <c r="U260" s="1691">
        <f>SUM('Upload Detail'!U439:U440)</f>
        <v>17222.44873882411</v>
      </c>
      <c r="V260" s="1691">
        <f>SUM('Upload Detail'!V439:V440)</f>
        <v>0</v>
      </c>
      <c r="W260" s="1691">
        <f>SUM('Upload Detail'!W439:W440)</f>
        <v>0</v>
      </c>
    </row>
    <row r="261" spans="1:25">
      <c r="A261" t="s">
        <v>2651</v>
      </c>
      <c r="B261" t="str">
        <f t="shared" si="6"/>
        <v>P10_11032_00494</v>
      </c>
      <c r="C261" t="str">
        <f t="shared" si="7"/>
        <v>LE_XXXX</v>
      </c>
      <c r="D261" t="s">
        <v>2886</v>
      </c>
      <c r="E261">
        <v>6010</v>
      </c>
      <c r="F261" t="s">
        <v>2888</v>
      </c>
      <c r="G261" t="s">
        <v>153</v>
      </c>
      <c r="H261" t="s">
        <v>154</v>
      </c>
      <c r="I261" t="s">
        <v>146</v>
      </c>
      <c r="J261" t="s">
        <v>147</v>
      </c>
      <c r="K261" s="45" t="str">
        <f>+"FY"&amp;RIGHT(YEAR('Hyperion Panel'!$B$9)+5,2)</f>
        <v>FY15</v>
      </c>
      <c r="L261">
        <f>'Upload Detail'!L441</f>
        <v>43556.948751159733</v>
      </c>
      <c r="M261">
        <f>'Upload Detail'!M441</f>
        <v>43556.948751159733</v>
      </c>
      <c r="N261">
        <f>'Upload Detail'!N441</f>
        <v>43556.948751159733</v>
      </c>
      <c r="O261">
        <f>'Upload Detail'!O441</f>
        <v>43556.948751159733</v>
      </c>
      <c r="P261">
        <f>'Upload Detail'!P441</f>
        <v>43556.948751159733</v>
      </c>
      <c r="Q261">
        <f>'Upload Detail'!Q441</f>
        <v>43556.948751159733</v>
      </c>
      <c r="R261">
        <f>'Upload Detail'!R441</f>
        <v>43556.948751159733</v>
      </c>
      <c r="S261">
        <f>'Upload Detail'!S441</f>
        <v>43556.948751159733</v>
      </c>
      <c r="T261">
        <f>'Upload Detail'!T441</f>
        <v>43556.948751159733</v>
      </c>
      <c r="U261">
        <f>'Upload Detail'!U441</f>
        <v>43556.948751159733</v>
      </c>
      <c r="V261">
        <f>'Upload Detail'!V441</f>
        <v>0</v>
      </c>
      <c r="W261">
        <f>'Upload Detail'!W441</f>
        <v>0</v>
      </c>
    </row>
    <row r="262" spans="1:25">
      <c r="A262" t="s">
        <v>2652</v>
      </c>
      <c r="B262" t="str">
        <f t="shared" si="6"/>
        <v>P10_11032_00494</v>
      </c>
      <c r="C262" t="str">
        <f t="shared" si="7"/>
        <v>LE_XXXX</v>
      </c>
      <c r="D262" t="s">
        <v>2886</v>
      </c>
      <c r="E262">
        <v>6010</v>
      </c>
      <c r="F262" t="s">
        <v>2888</v>
      </c>
      <c r="G262" t="s">
        <v>155</v>
      </c>
      <c r="H262" t="s">
        <v>154</v>
      </c>
      <c r="I262" t="s">
        <v>146</v>
      </c>
      <c r="J262" t="s">
        <v>147</v>
      </c>
      <c r="K262" s="45" t="str">
        <f>+"FY"&amp;RIGHT(YEAR('Hyperion Panel'!$B$9)+5,2)</f>
        <v>FY15</v>
      </c>
      <c r="L262">
        <f>'Upload Detail'!L442</f>
        <v>16651.90284395</v>
      </c>
      <c r="M262">
        <f>'Upload Detail'!M442</f>
        <v>16651.90284395</v>
      </c>
      <c r="N262">
        <f>'Upload Detail'!N442</f>
        <v>16651.90284395</v>
      </c>
      <c r="O262">
        <f>'Upload Detail'!O442</f>
        <v>16651.90284395</v>
      </c>
      <c r="P262">
        <f>'Upload Detail'!P442</f>
        <v>16651.90284395</v>
      </c>
      <c r="Q262">
        <f>'Upload Detail'!Q442</f>
        <v>16651.90284395</v>
      </c>
      <c r="R262">
        <f>'Upload Detail'!R442</f>
        <v>16651.90284395</v>
      </c>
      <c r="S262">
        <f>'Upload Detail'!S442</f>
        <v>16651.90284395</v>
      </c>
      <c r="T262">
        <f>'Upload Detail'!T442</f>
        <v>16651.90284395</v>
      </c>
      <c r="U262">
        <f>'Upload Detail'!U442</f>
        <v>16651.90284395</v>
      </c>
      <c r="V262">
        <f>'Upload Detail'!V442</f>
        <v>0</v>
      </c>
      <c r="W262">
        <f>'Upload Detail'!W442</f>
        <v>0</v>
      </c>
    </row>
    <row r="263" spans="1:25">
      <c r="A263" t="s">
        <v>2653</v>
      </c>
      <c r="B263" t="str">
        <f t="shared" si="6"/>
        <v>P10_11032_00494</v>
      </c>
      <c r="C263" t="str">
        <f t="shared" si="7"/>
        <v>LE_XXXX</v>
      </c>
      <c r="D263" t="s">
        <v>2886</v>
      </c>
      <c r="E263">
        <v>6051</v>
      </c>
      <c r="F263" t="s">
        <v>2888</v>
      </c>
      <c r="G263" t="s">
        <v>153</v>
      </c>
      <c r="H263" t="s">
        <v>154</v>
      </c>
      <c r="I263" t="s">
        <v>146</v>
      </c>
      <c r="J263" t="s">
        <v>147</v>
      </c>
      <c r="K263" s="45" t="str">
        <f>+"FY"&amp;RIGHT(YEAR('Hyperion Panel'!$B$9)+5,2)</f>
        <v>FY15</v>
      </c>
      <c r="L263">
        <f>'Upload Detail'!L443</f>
        <v>21261.681231804134</v>
      </c>
      <c r="M263">
        <f>'Upload Detail'!M443</f>
        <v>21261.681231804134</v>
      </c>
      <c r="N263">
        <f>'Upload Detail'!N443</f>
        <v>21261.681231804134</v>
      </c>
      <c r="O263">
        <f>'Upload Detail'!O443</f>
        <v>21261.681231804134</v>
      </c>
      <c r="P263">
        <f>'Upload Detail'!P443</f>
        <v>21261.681231804134</v>
      </c>
      <c r="Q263">
        <f>'Upload Detail'!Q443</f>
        <v>21261.681231804134</v>
      </c>
      <c r="R263">
        <f>'Upload Detail'!R443</f>
        <v>21261.681231804134</v>
      </c>
      <c r="S263">
        <f>'Upload Detail'!S443</f>
        <v>21261.681231804134</v>
      </c>
      <c r="T263">
        <f>'Upload Detail'!T443</f>
        <v>21261.681231804134</v>
      </c>
      <c r="U263">
        <f>'Upload Detail'!U443</f>
        <v>21261.681231804134</v>
      </c>
      <c r="V263">
        <f>'Upload Detail'!V443</f>
        <v>0</v>
      </c>
      <c r="W263">
        <f>'Upload Detail'!W443</f>
        <v>0</v>
      </c>
    </row>
    <row r="264" spans="1:25">
      <c r="A264" t="s">
        <v>2654</v>
      </c>
      <c r="B264" t="str">
        <f t="shared" si="6"/>
        <v>P10_11032_00494</v>
      </c>
      <c r="C264" t="str">
        <f t="shared" si="7"/>
        <v>LE_XXXX</v>
      </c>
      <c r="D264" t="s">
        <v>2886</v>
      </c>
      <c r="E264">
        <v>6011</v>
      </c>
      <c r="F264" t="s">
        <v>2888</v>
      </c>
      <c r="G264" t="s">
        <v>153</v>
      </c>
      <c r="H264" t="s">
        <v>154</v>
      </c>
      <c r="I264" t="s">
        <v>146</v>
      </c>
      <c r="J264" t="s">
        <v>147</v>
      </c>
      <c r="K264" s="45" t="str">
        <f>+"FY"&amp;RIGHT(YEAR('Hyperion Panel'!$B$9)+5,2)</f>
        <v>FY15</v>
      </c>
      <c r="L264">
        <f>'Upload Detail'!L444</f>
        <v>0</v>
      </c>
      <c r="M264">
        <f>'Upload Detail'!M444</f>
        <v>0</v>
      </c>
      <c r="N264">
        <f>'Upload Detail'!N444</f>
        <v>0</v>
      </c>
      <c r="O264">
        <f>'Upload Detail'!O444</f>
        <v>0</v>
      </c>
      <c r="P264">
        <f>'Upload Detail'!P444</f>
        <v>0</v>
      </c>
      <c r="Q264">
        <f>'Upload Detail'!Q444</f>
        <v>0</v>
      </c>
      <c r="R264">
        <f>'Upload Detail'!R444</f>
        <v>0</v>
      </c>
      <c r="S264">
        <f>'Upload Detail'!S444</f>
        <v>0</v>
      </c>
      <c r="T264">
        <f>'Upload Detail'!T444</f>
        <v>0</v>
      </c>
      <c r="U264">
        <f>'Upload Detail'!U444</f>
        <v>0</v>
      </c>
      <c r="V264">
        <f>'Upload Detail'!V444</f>
        <v>0</v>
      </c>
      <c r="W264">
        <f>'Upload Detail'!W444</f>
        <v>0</v>
      </c>
    </row>
    <row r="265" spans="1:25">
      <c r="A265" t="s">
        <v>3696</v>
      </c>
      <c r="B265" t="str">
        <f t="shared" si="6"/>
        <v>P10_11032_00494</v>
      </c>
      <c r="C265" t="str">
        <f t="shared" si="7"/>
        <v>LE_XXXX</v>
      </c>
      <c r="D265" t="s">
        <v>2886</v>
      </c>
      <c r="E265">
        <v>6600</v>
      </c>
      <c r="F265" t="s">
        <v>2888</v>
      </c>
      <c r="G265" t="s">
        <v>2889</v>
      </c>
      <c r="H265" t="s">
        <v>154</v>
      </c>
      <c r="I265" t="s">
        <v>146</v>
      </c>
      <c r="J265" t="s">
        <v>147</v>
      </c>
      <c r="K265" s="45" t="str">
        <f>+"FY"&amp;RIGHT(YEAR('Hyperion Panel'!$B$9)+5,2)</f>
        <v>FY15</v>
      </c>
      <c r="L265">
        <f>'Upload Detail'!L445</f>
        <v>57324.402981826854</v>
      </c>
      <c r="M265">
        <f>'Upload Detail'!M445</f>
        <v>57324.402981826854</v>
      </c>
      <c r="N265">
        <f>'Upload Detail'!N445</f>
        <v>57324.402981826854</v>
      </c>
      <c r="O265">
        <f>'Upload Detail'!O445</f>
        <v>57324.402981826854</v>
      </c>
      <c r="P265">
        <f>'Upload Detail'!P445</f>
        <v>57324.402981826854</v>
      </c>
      <c r="Q265">
        <f>'Upload Detail'!Q445</f>
        <v>57324.402981826854</v>
      </c>
      <c r="R265">
        <f>'Upload Detail'!R445</f>
        <v>57324.402981826854</v>
      </c>
      <c r="S265">
        <f>'Upload Detail'!S445</f>
        <v>57324.402981826854</v>
      </c>
      <c r="T265">
        <f>'Upload Detail'!T445</f>
        <v>57324.402981826854</v>
      </c>
      <c r="U265">
        <f>'Upload Detail'!U445</f>
        <v>57324.402981826854</v>
      </c>
      <c r="V265">
        <f>'Upload Detail'!V445</f>
        <v>0</v>
      </c>
      <c r="W265">
        <f>'Upload Detail'!W445</f>
        <v>0</v>
      </c>
    </row>
    <row r="266" spans="1:25">
      <c r="A266" t="s">
        <v>1381</v>
      </c>
      <c r="B266" t="str">
        <f t="shared" si="6"/>
        <v>P10_11032_00494</v>
      </c>
      <c r="C266" t="str">
        <f t="shared" si="7"/>
        <v>LE_XXXX</v>
      </c>
      <c r="D266" t="s">
        <v>2886</v>
      </c>
      <c r="E266">
        <v>6800</v>
      </c>
      <c r="F266" t="s">
        <v>156</v>
      </c>
      <c r="G266" t="s">
        <v>2889</v>
      </c>
      <c r="H266" t="s">
        <v>154</v>
      </c>
      <c r="I266" t="s">
        <v>146</v>
      </c>
      <c r="J266" t="s">
        <v>147</v>
      </c>
      <c r="K266" s="45" t="str">
        <f>+"FY"&amp;RIGHT(YEAR('Hyperion Panel'!$B$9)+5,2)</f>
        <v>FY15</v>
      </c>
      <c r="L266">
        <f>'Upload Detail'!L446</f>
        <v>22089.252373325824</v>
      </c>
      <c r="M266">
        <f>'Upload Detail'!M446</f>
        <v>22089.252373325824</v>
      </c>
      <c r="N266">
        <f>'Upload Detail'!N446</f>
        <v>22089.252373325824</v>
      </c>
      <c r="O266">
        <f>'Upload Detail'!O446</f>
        <v>22089.252373325824</v>
      </c>
      <c r="P266">
        <f>'Upload Detail'!P446</f>
        <v>22089.252373325824</v>
      </c>
      <c r="Q266">
        <f>'Upload Detail'!Q446</f>
        <v>22089.252373325824</v>
      </c>
      <c r="R266">
        <f>'Upload Detail'!R446</f>
        <v>22089.252373325824</v>
      </c>
      <c r="S266">
        <f>'Upload Detail'!S446</f>
        <v>22089.252373325824</v>
      </c>
      <c r="T266">
        <f>'Upload Detail'!T446</f>
        <v>22089.252373325824</v>
      </c>
      <c r="U266">
        <f>'Upload Detail'!U446</f>
        <v>22089.252373325824</v>
      </c>
      <c r="V266">
        <f>'Upload Detail'!V446</f>
        <v>0</v>
      </c>
      <c r="W266">
        <f>'Upload Detail'!W446</f>
        <v>0</v>
      </c>
    </row>
    <row r="267" spans="1:25">
      <c r="A267" t="s">
        <v>3697</v>
      </c>
      <c r="B267" t="str">
        <f t="shared" si="6"/>
        <v>P10_11032_00494</v>
      </c>
      <c r="C267" t="str">
        <f t="shared" si="7"/>
        <v>LE_XXXX</v>
      </c>
      <c r="D267" t="s">
        <v>2886</v>
      </c>
      <c r="E267">
        <v>8600</v>
      </c>
      <c r="F267" t="s">
        <v>156</v>
      </c>
      <c r="G267" t="s">
        <v>2889</v>
      </c>
      <c r="H267" t="s">
        <v>154</v>
      </c>
      <c r="I267" t="s">
        <v>146</v>
      </c>
      <c r="J267" t="s">
        <v>147</v>
      </c>
      <c r="K267" s="45" t="str">
        <f>+"FY"&amp;RIGHT(YEAR('Hyperion Panel'!$B$9)+5,2)</f>
        <v>FY15</v>
      </c>
      <c r="L267">
        <f>'Upload Detail'!L447</f>
        <v>18542.746389661901</v>
      </c>
      <c r="M267">
        <f>'Upload Detail'!M447</f>
        <v>18542.746389661901</v>
      </c>
      <c r="N267">
        <f>'Upload Detail'!N447</f>
        <v>18542.746389661901</v>
      </c>
      <c r="O267">
        <f>'Upload Detail'!O447</f>
        <v>18542.746389661901</v>
      </c>
      <c r="P267">
        <f>'Upload Detail'!P447</f>
        <v>18542.746389661901</v>
      </c>
      <c r="Q267">
        <f>'Upload Detail'!Q447</f>
        <v>18542.746389661901</v>
      </c>
      <c r="R267">
        <f>'Upload Detail'!R447</f>
        <v>18542.746389661901</v>
      </c>
      <c r="S267">
        <f>'Upload Detail'!S447</f>
        <v>18542.746389661901</v>
      </c>
      <c r="T267">
        <f>'Upload Detail'!T447</f>
        <v>18542.746389661901</v>
      </c>
      <c r="U267">
        <f>'Upload Detail'!U447</f>
        <v>18542.746389661901</v>
      </c>
      <c r="V267">
        <f>'Upload Detail'!V447</f>
        <v>0</v>
      </c>
      <c r="W267">
        <f>'Upload Detail'!W447</f>
        <v>0</v>
      </c>
    </row>
    <row r="268" spans="1:25">
      <c r="A268" t="s">
        <v>157</v>
      </c>
      <c r="B268" t="str">
        <f t="shared" si="6"/>
        <v>P10_11032_00494</v>
      </c>
      <c r="C268" t="str">
        <f t="shared" si="7"/>
        <v>LE_XXXX</v>
      </c>
      <c r="D268" t="s">
        <v>2886</v>
      </c>
      <c r="E268">
        <v>6720</v>
      </c>
      <c r="F268" t="s">
        <v>156</v>
      </c>
      <c r="G268" t="s">
        <v>2889</v>
      </c>
      <c r="H268" t="s">
        <v>154</v>
      </c>
      <c r="I268" t="s">
        <v>146</v>
      </c>
      <c r="J268" t="s">
        <v>147</v>
      </c>
      <c r="K268" s="45" t="str">
        <f>+"FY"&amp;RIGHT(YEAR('Hyperion Panel'!$B$9)+5,2)</f>
        <v>FY15</v>
      </c>
      <c r="L268">
        <f>'Upload Detail'!L448</f>
        <v>15833.32</v>
      </c>
      <c r="M268">
        <f>'Upload Detail'!M448</f>
        <v>15833.32</v>
      </c>
      <c r="N268">
        <f>'Upload Detail'!N448</f>
        <v>15833.32</v>
      </c>
      <c r="O268">
        <f>'Upload Detail'!O448</f>
        <v>15833.32</v>
      </c>
      <c r="P268">
        <f>'Upload Detail'!P448</f>
        <v>15833.32</v>
      </c>
      <c r="Q268">
        <f>'Upload Detail'!Q448</f>
        <v>15833.32</v>
      </c>
      <c r="R268">
        <f>'Upload Detail'!R448</f>
        <v>15833.32</v>
      </c>
      <c r="S268">
        <f>'Upload Detail'!S448</f>
        <v>15833.32</v>
      </c>
      <c r="T268">
        <f>'Upload Detail'!T448</f>
        <v>15833.32</v>
      </c>
      <c r="U268">
        <f>'Upload Detail'!U448</f>
        <v>15833.32</v>
      </c>
      <c r="V268">
        <f>'Upload Detail'!V448</f>
        <v>0</v>
      </c>
      <c r="W268">
        <f>'Upload Detail'!W448</f>
        <v>0</v>
      </c>
    </row>
    <row r="269" spans="1:25">
      <c r="A269" t="s">
        <v>3925</v>
      </c>
      <c r="B269" t="str">
        <f t="shared" si="6"/>
        <v>P10_11032_00494</v>
      </c>
      <c r="C269" t="str">
        <f t="shared" si="7"/>
        <v>LE_XXXX</v>
      </c>
      <c r="D269" t="s">
        <v>2886</v>
      </c>
      <c r="E269">
        <v>8110</v>
      </c>
      <c r="F269" t="s">
        <v>156</v>
      </c>
      <c r="G269" t="s">
        <v>2889</v>
      </c>
      <c r="H269" t="s">
        <v>154</v>
      </c>
      <c r="I269" t="s">
        <v>146</v>
      </c>
      <c r="J269" t="s">
        <v>147</v>
      </c>
      <c r="K269" s="45" t="str">
        <f>+"FY"&amp;RIGHT(YEAR('Hyperion Panel'!$B$9)+5,2)</f>
        <v>FY15</v>
      </c>
      <c r="L269">
        <f>'Upload Detail'!L449</f>
        <v>1175.82468135105</v>
      </c>
      <c r="M269">
        <f>'Upload Detail'!M449</f>
        <v>1175.82468135105</v>
      </c>
      <c r="N269">
        <f>'Upload Detail'!N449</f>
        <v>1175.82468135105</v>
      </c>
      <c r="O269">
        <f>'Upload Detail'!O449</f>
        <v>1175.82468135105</v>
      </c>
      <c r="P269">
        <f>'Upload Detail'!P449</f>
        <v>1175.82468135105</v>
      </c>
      <c r="Q269">
        <f>'Upload Detail'!Q449</f>
        <v>1175.82468135105</v>
      </c>
      <c r="R269">
        <f>'Upload Detail'!R449</f>
        <v>1175.82468135105</v>
      </c>
      <c r="S269">
        <f>'Upload Detail'!S449</f>
        <v>1175.82468135105</v>
      </c>
      <c r="T269">
        <f>'Upload Detail'!T449</f>
        <v>1175.82468135105</v>
      </c>
      <c r="U269">
        <f>'Upload Detail'!U449</f>
        <v>1175.82468135105</v>
      </c>
      <c r="V269">
        <f>'Upload Detail'!V449</f>
        <v>0</v>
      </c>
      <c r="W269">
        <f>'Upload Detail'!W449</f>
        <v>0</v>
      </c>
    </row>
    <row r="270" spans="1:25">
      <c r="A270" t="s">
        <v>3926</v>
      </c>
      <c r="B270" t="str">
        <f t="shared" si="6"/>
        <v>P10_11032_00494</v>
      </c>
      <c r="C270" t="str">
        <f t="shared" si="7"/>
        <v>LE_XXXX</v>
      </c>
      <c r="D270" t="s">
        <v>2886</v>
      </c>
      <c r="E270">
        <v>6412</v>
      </c>
      <c r="F270" t="s">
        <v>156</v>
      </c>
      <c r="G270" t="s">
        <v>2889</v>
      </c>
      <c r="H270" t="s">
        <v>154</v>
      </c>
      <c r="I270" t="s">
        <v>146</v>
      </c>
      <c r="J270" t="s">
        <v>147</v>
      </c>
      <c r="K270" s="45" t="str">
        <f>+"FY"&amp;RIGHT(YEAR('Hyperion Panel'!$B$9)+5,2)</f>
        <v>FY15</v>
      </c>
      <c r="L270">
        <f>'Upload Detail'!L450</f>
        <v>20895.042475531234</v>
      </c>
      <c r="M270">
        <f>'Upload Detail'!M450</f>
        <v>20895.042475531234</v>
      </c>
      <c r="N270">
        <f>'Upload Detail'!N450</f>
        <v>20895.042475531234</v>
      </c>
      <c r="O270">
        <f>'Upload Detail'!O450</f>
        <v>20895.042475531234</v>
      </c>
      <c r="P270">
        <f>'Upload Detail'!P450</f>
        <v>20895.042475531234</v>
      </c>
      <c r="Q270">
        <f>'Upload Detail'!Q450</f>
        <v>20895.042475531234</v>
      </c>
      <c r="R270">
        <f>'Upload Detail'!R450</f>
        <v>20895.042475531234</v>
      </c>
      <c r="S270">
        <f>'Upload Detail'!S450</f>
        <v>20895.042475531234</v>
      </c>
      <c r="T270">
        <f>'Upload Detail'!T450</f>
        <v>20895.042475531234</v>
      </c>
      <c r="U270">
        <f>'Upload Detail'!U450</f>
        <v>20895.042475531234</v>
      </c>
      <c r="V270">
        <f>'Upload Detail'!V450</f>
        <v>0</v>
      </c>
      <c r="W270">
        <f>'Upload Detail'!W450</f>
        <v>0</v>
      </c>
    </row>
    <row r="271" spans="1:25" s="104" customFormat="1">
      <c r="A271" s="104" t="s">
        <v>730</v>
      </c>
      <c r="B271" s="104" t="str">
        <f t="shared" si="6"/>
        <v>P10_11032_00494</v>
      </c>
      <c r="C271" s="104" t="str">
        <f t="shared" si="7"/>
        <v>LE_XXXX</v>
      </c>
      <c r="D271" s="104" t="s">
        <v>2886</v>
      </c>
      <c r="E271" s="104">
        <v>8110</v>
      </c>
      <c r="F271" s="104" t="s">
        <v>731</v>
      </c>
      <c r="G271" s="104" t="s">
        <v>2889</v>
      </c>
      <c r="H271" s="104" t="s">
        <v>154</v>
      </c>
      <c r="I271" s="104" t="s">
        <v>146</v>
      </c>
      <c r="J271" s="104" t="s">
        <v>147</v>
      </c>
      <c r="K271" s="45" t="str">
        <f>+"FY"&amp;RIGHT(YEAR('Hyperion Panel'!$B$9)+5,2)</f>
        <v>FY15</v>
      </c>
      <c r="L271" s="104">
        <f>'Upload Detail'!L451</f>
        <v>937.9240083333334</v>
      </c>
      <c r="M271" s="104">
        <f>'Upload Detail'!M451</f>
        <v>937.9240083333334</v>
      </c>
      <c r="N271" s="104">
        <f>'Upload Detail'!N451</f>
        <v>937.9240083333334</v>
      </c>
      <c r="O271" s="104">
        <f>'Upload Detail'!O451</f>
        <v>937.9240083333334</v>
      </c>
      <c r="P271" s="104">
        <f>'Upload Detail'!P451</f>
        <v>937.9240083333334</v>
      </c>
      <c r="Q271" s="104">
        <f>'Upload Detail'!Q451</f>
        <v>937.9240083333334</v>
      </c>
      <c r="R271" s="104">
        <f>'Upload Detail'!R451</f>
        <v>937.9240083333334</v>
      </c>
      <c r="S271" s="104">
        <f>'Upload Detail'!S451</f>
        <v>937.9240083333334</v>
      </c>
      <c r="T271" s="104">
        <f>'Upload Detail'!T451</f>
        <v>937.9240083333334</v>
      </c>
      <c r="U271" s="104">
        <f>'Upload Detail'!U451</f>
        <v>937.9240083333334</v>
      </c>
      <c r="V271" s="104">
        <f>'Upload Detail'!V451</f>
        <v>0</v>
      </c>
      <c r="W271" s="104">
        <f>'Upload Detail'!W451</f>
        <v>0</v>
      </c>
      <c r="Y271" s="1690"/>
    </row>
    <row r="272" spans="1:25" s="104" customFormat="1">
      <c r="A272" s="104" t="s">
        <v>732</v>
      </c>
      <c r="B272" s="104" t="str">
        <f t="shared" si="6"/>
        <v>P10_11032_00494</v>
      </c>
      <c r="C272" s="104" t="str">
        <f t="shared" si="7"/>
        <v>LE_XXXX</v>
      </c>
      <c r="D272" s="104" t="s">
        <v>2886</v>
      </c>
      <c r="F272" s="104" t="s">
        <v>731</v>
      </c>
      <c r="G272" s="104" t="s">
        <v>2889</v>
      </c>
      <c r="H272" s="104" t="s">
        <v>154</v>
      </c>
      <c r="I272" s="104" t="s">
        <v>146</v>
      </c>
      <c r="J272" s="104" t="s">
        <v>147</v>
      </c>
      <c r="K272" s="45" t="str">
        <f>+"FY"&amp;RIGHT(YEAR('Hyperion Panel'!$B$9)+5,2)</f>
        <v>FY15</v>
      </c>
      <c r="L272" s="104">
        <f>'Upload Detail'!L452</f>
        <v>0</v>
      </c>
      <c r="M272" s="104">
        <f>'Upload Detail'!M452</f>
        <v>0</v>
      </c>
      <c r="N272" s="104">
        <f>'Upload Detail'!N452</f>
        <v>0</v>
      </c>
      <c r="O272" s="104">
        <f>'Upload Detail'!O452</f>
        <v>0</v>
      </c>
      <c r="P272" s="104">
        <f>'Upload Detail'!P452</f>
        <v>0</v>
      </c>
      <c r="Q272" s="104">
        <f>'Upload Detail'!Q452</f>
        <v>0</v>
      </c>
      <c r="R272" s="104">
        <f>'Upload Detail'!R452</f>
        <v>0</v>
      </c>
      <c r="S272" s="104">
        <f>'Upload Detail'!S452</f>
        <v>0</v>
      </c>
      <c r="T272" s="104">
        <f>'Upload Detail'!T452</f>
        <v>0</v>
      </c>
      <c r="U272" s="104">
        <f>'Upload Detail'!U452</f>
        <v>0</v>
      </c>
      <c r="V272" s="104">
        <f>'Upload Detail'!V452</f>
        <v>0</v>
      </c>
      <c r="W272" s="104">
        <f>'Upload Detail'!W452</f>
        <v>0</v>
      </c>
      <c r="Y272" s="1690"/>
    </row>
    <row r="273" spans="1:25" s="104" customFormat="1">
      <c r="A273" s="104" t="s">
        <v>733</v>
      </c>
      <c r="B273" s="104" t="str">
        <f t="shared" si="6"/>
        <v>P10_11032_00494</v>
      </c>
      <c r="C273" s="104" t="str">
        <f t="shared" si="7"/>
        <v>LE_XXXX</v>
      </c>
      <c r="D273" s="104" t="s">
        <v>2886</v>
      </c>
      <c r="F273" s="104" t="s">
        <v>731</v>
      </c>
      <c r="G273" s="104" t="s">
        <v>2889</v>
      </c>
      <c r="H273" s="104" t="s">
        <v>154</v>
      </c>
      <c r="I273" s="104" t="s">
        <v>146</v>
      </c>
      <c r="J273" s="104" t="s">
        <v>147</v>
      </c>
      <c r="K273" s="45" t="str">
        <f>+"FY"&amp;RIGHT(YEAR('Hyperion Panel'!$B$9)+5,2)</f>
        <v>FY15</v>
      </c>
      <c r="L273" s="104">
        <f>'Upload Detail'!L453</f>
        <v>10434.6460224</v>
      </c>
      <c r="M273" s="104">
        <f>'Upload Detail'!M453</f>
        <v>10434.6460224</v>
      </c>
      <c r="N273" s="104">
        <f>'Upload Detail'!N453</f>
        <v>10434.6460224</v>
      </c>
      <c r="O273" s="104">
        <f>'Upload Detail'!O453</f>
        <v>10434.6460224</v>
      </c>
      <c r="P273" s="104">
        <f>'Upload Detail'!P453</f>
        <v>10434.6460224</v>
      </c>
      <c r="Q273" s="104">
        <f>'Upload Detail'!Q453</f>
        <v>10434.6460224</v>
      </c>
      <c r="R273" s="104">
        <f>'Upload Detail'!R453</f>
        <v>10434.6460224</v>
      </c>
      <c r="S273" s="104">
        <f>'Upload Detail'!S453</f>
        <v>10434.6460224</v>
      </c>
      <c r="T273" s="104">
        <f>'Upload Detail'!T453</f>
        <v>10434.6460224</v>
      </c>
      <c r="U273" s="104">
        <f>'Upload Detail'!U453</f>
        <v>10434.6460224</v>
      </c>
      <c r="V273" s="104">
        <f>'Upload Detail'!V453</f>
        <v>0</v>
      </c>
      <c r="W273" s="104">
        <f>'Upload Detail'!W453</f>
        <v>0</v>
      </c>
      <c r="Y273" s="1690"/>
    </row>
    <row r="274" spans="1:25" s="104" customFormat="1">
      <c r="A274" s="104" t="s">
        <v>734</v>
      </c>
      <c r="B274" s="104" t="str">
        <f t="shared" si="6"/>
        <v>P10_11032_00494</v>
      </c>
      <c r="C274" s="104" t="str">
        <f t="shared" si="7"/>
        <v>LE_XXXX</v>
      </c>
      <c r="D274" s="104" t="s">
        <v>2886</v>
      </c>
      <c r="E274" s="104">
        <v>6800</v>
      </c>
      <c r="F274" s="104" t="s">
        <v>731</v>
      </c>
      <c r="G274" s="104" t="s">
        <v>2889</v>
      </c>
      <c r="H274" s="104" t="s">
        <v>154</v>
      </c>
      <c r="I274" s="104" t="s">
        <v>146</v>
      </c>
      <c r="J274" s="104" t="s">
        <v>147</v>
      </c>
      <c r="K274" s="45" t="str">
        <f>+"FY"&amp;RIGHT(YEAR('Hyperion Panel'!$B$9)+5,2)</f>
        <v>FY15</v>
      </c>
      <c r="L274" s="104">
        <f>'Upload Detail'!L454</f>
        <v>1969.6404175</v>
      </c>
      <c r="M274" s="104">
        <f>'Upload Detail'!M454</f>
        <v>1969.6404175</v>
      </c>
      <c r="N274" s="104">
        <f>'Upload Detail'!N454</f>
        <v>1969.6404175</v>
      </c>
      <c r="O274" s="104">
        <f>'Upload Detail'!O454</f>
        <v>1969.6404175</v>
      </c>
      <c r="P274" s="104">
        <f>'Upload Detail'!P454</f>
        <v>1969.6404175</v>
      </c>
      <c r="Q274" s="104">
        <f>'Upload Detail'!Q454</f>
        <v>1969.6404175</v>
      </c>
      <c r="R274" s="104">
        <f>'Upload Detail'!R454</f>
        <v>1969.6404175</v>
      </c>
      <c r="S274" s="104">
        <f>'Upload Detail'!S454</f>
        <v>1969.6404175</v>
      </c>
      <c r="T274" s="104">
        <f>'Upload Detail'!T454</f>
        <v>1969.6404175</v>
      </c>
      <c r="U274" s="104">
        <f>'Upload Detail'!U454</f>
        <v>1969.6404175</v>
      </c>
      <c r="V274" s="104">
        <f>'Upload Detail'!V454</f>
        <v>0</v>
      </c>
      <c r="W274" s="104">
        <f>'Upload Detail'!W454</f>
        <v>0</v>
      </c>
      <c r="Y274" s="1690"/>
    </row>
    <row r="275" spans="1:25">
      <c r="A275" t="s">
        <v>158</v>
      </c>
      <c r="B275" t="str">
        <f t="shared" si="6"/>
        <v>P10_11032_00494</v>
      </c>
      <c r="C275" t="str">
        <f t="shared" si="7"/>
        <v>LE_XXXX</v>
      </c>
      <c r="D275" t="s">
        <v>2886</v>
      </c>
      <c r="E275" t="s">
        <v>159</v>
      </c>
      <c r="F275" t="s">
        <v>156</v>
      </c>
      <c r="G275" t="s">
        <v>2889</v>
      </c>
      <c r="H275" t="s">
        <v>154</v>
      </c>
      <c r="I275" t="s">
        <v>146</v>
      </c>
      <c r="J275" t="s">
        <v>147</v>
      </c>
      <c r="K275" s="45" t="str">
        <f>+"FY"&amp;RIGHT(YEAR('Hyperion Panel'!$B$9)+5,2)</f>
        <v>FY15</v>
      </c>
      <c r="L275" s="103">
        <f>'Upload Detail'!L455</f>
        <v>1</v>
      </c>
      <c r="M275" s="103">
        <f>'Upload Detail'!M455</f>
        <v>1</v>
      </c>
      <c r="N275" s="103">
        <f>'Upload Detail'!N455</f>
        <v>1</v>
      </c>
      <c r="O275" s="103">
        <f>'Upload Detail'!O455</f>
        <v>1</v>
      </c>
      <c r="P275" s="103">
        <f>'Upload Detail'!P455</f>
        <v>1</v>
      </c>
      <c r="Q275" s="103">
        <f>'Upload Detail'!Q455</f>
        <v>1</v>
      </c>
      <c r="R275" s="103">
        <f>'Upload Detail'!R455</f>
        <v>1</v>
      </c>
      <c r="S275" s="103">
        <f>'Upload Detail'!S455</f>
        <v>1</v>
      </c>
      <c r="T275" s="103">
        <f>'Upload Detail'!T455</f>
        <v>1</v>
      </c>
      <c r="U275" s="103">
        <f>'Upload Detail'!U455</f>
        <v>1</v>
      </c>
      <c r="V275" s="103">
        <f>'Upload Detail'!V455</f>
        <v>1</v>
      </c>
      <c r="W275" s="103">
        <f>'Upload Detail'!W455</f>
        <v>1</v>
      </c>
    </row>
    <row r="276" spans="1:25">
      <c r="A276" t="s">
        <v>160</v>
      </c>
      <c r="B276" t="str">
        <f t="shared" si="6"/>
        <v>P10_11032_00494</v>
      </c>
      <c r="C276" t="str">
        <f t="shared" si="7"/>
        <v>LE_XXXX</v>
      </c>
      <c r="D276" t="s">
        <v>2886</v>
      </c>
      <c r="E276" t="s">
        <v>161</v>
      </c>
      <c r="F276" t="s">
        <v>156</v>
      </c>
      <c r="G276" t="s">
        <v>2889</v>
      </c>
      <c r="H276" t="s">
        <v>154</v>
      </c>
      <c r="I276" t="s">
        <v>146</v>
      </c>
      <c r="J276" t="s">
        <v>147</v>
      </c>
      <c r="K276" s="45" t="str">
        <f>+"FY"&amp;RIGHT(YEAR('Hyperion Panel'!$B$9)+5,2)</f>
        <v>FY15</v>
      </c>
      <c r="L276">
        <f>'Upload Detail'!L456</f>
        <v>0</v>
      </c>
      <c r="M276">
        <f>'Upload Detail'!M456</f>
        <v>0</v>
      </c>
      <c r="N276">
        <f>'Upload Detail'!N456</f>
        <v>0</v>
      </c>
      <c r="O276">
        <f>'Upload Detail'!O456</f>
        <v>0</v>
      </c>
      <c r="P276">
        <f>'Upload Detail'!P456</f>
        <v>0</v>
      </c>
      <c r="Q276">
        <f>'Upload Detail'!Q456</f>
        <v>0</v>
      </c>
      <c r="R276">
        <f>'Upload Detail'!R456</f>
        <v>0</v>
      </c>
      <c r="S276">
        <f>'Upload Detail'!S456</f>
        <v>0</v>
      </c>
      <c r="T276">
        <f>'Upload Detail'!T456</f>
        <v>0</v>
      </c>
      <c r="U276">
        <f>'Upload Detail'!U456</f>
        <v>0</v>
      </c>
      <c r="V276">
        <f>'Upload Detail'!V456</f>
        <v>0</v>
      </c>
      <c r="W276">
        <f>'Upload Detail'!W456</f>
        <v>0</v>
      </c>
    </row>
    <row r="277" spans="1:25" s="104" customFormat="1">
      <c r="A277" s="104" t="s">
        <v>735</v>
      </c>
      <c r="B277" t="str">
        <f t="shared" si="6"/>
        <v>P10_11032_00494</v>
      </c>
      <c r="C277" t="str">
        <f t="shared" si="7"/>
        <v>LE_XXXX</v>
      </c>
      <c r="D277" t="s">
        <v>2886</v>
      </c>
      <c r="F277" s="104" t="s">
        <v>731</v>
      </c>
      <c r="G277" s="104" t="s">
        <v>2889</v>
      </c>
      <c r="H277" s="104" t="s">
        <v>154</v>
      </c>
      <c r="I277" s="104" t="s">
        <v>146</v>
      </c>
      <c r="J277" s="104" t="s">
        <v>147</v>
      </c>
      <c r="K277" s="45" t="str">
        <f>+"FY"&amp;RIGHT(YEAR('Hyperion Panel'!$B$9)+5,2)</f>
        <v>FY15</v>
      </c>
      <c r="L277" s="104">
        <f>'Upload Detail'!L457</f>
        <v>0</v>
      </c>
      <c r="M277" s="104">
        <f>'Upload Detail'!M457</f>
        <v>0</v>
      </c>
      <c r="N277" s="104">
        <f>'Upload Detail'!N457</f>
        <v>0</v>
      </c>
      <c r="O277" s="104">
        <f>'Upload Detail'!O457</f>
        <v>0</v>
      </c>
      <c r="P277" s="104">
        <f>'Upload Detail'!P457</f>
        <v>0</v>
      </c>
      <c r="Q277" s="104">
        <f>'Upload Detail'!Q457</f>
        <v>0</v>
      </c>
      <c r="R277" s="104">
        <f>'Upload Detail'!R457</f>
        <v>0</v>
      </c>
      <c r="S277" s="104">
        <f>'Upload Detail'!S457</f>
        <v>0</v>
      </c>
      <c r="T277" s="104">
        <f>'Upload Detail'!T457</f>
        <v>0</v>
      </c>
      <c r="U277" s="104">
        <f>'Upload Detail'!U457</f>
        <v>0</v>
      </c>
      <c r="V277" s="104">
        <f>'Upload Detail'!V457</f>
        <v>0</v>
      </c>
      <c r="W277" s="104">
        <f>'Upload Detail'!W457</f>
        <v>0</v>
      </c>
    </row>
    <row r="278" spans="1:25" s="106" customFormat="1">
      <c r="A278" s="106" t="s">
        <v>165</v>
      </c>
      <c r="B278" s="106" t="str">
        <f>+"X"&amp;RIGHT(YEAR('Hyperion Panel'!$B$9),2)&amp;"_"&amp;IF(LEN('Hyperion Panel'!$B$6)&lt;4,0,"")&amp;'Hyperion Panel'!$B$6&amp;"_"&amp;IF(LEN('Hyperion Panel'!$C$6)&lt;4,0,"")&amp;'Hyperion Panel'!$C$6</f>
        <v>X10_11032_00494</v>
      </c>
      <c r="C278" s="106" t="str">
        <f>+$C$2</f>
        <v>LE_XXXX</v>
      </c>
      <c r="D278" s="106" t="s">
        <v>2886</v>
      </c>
      <c r="E278" s="106" t="s">
        <v>2887</v>
      </c>
      <c r="F278" s="106" t="s">
        <v>2888</v>
      </c>
      <c r="G278" s="106" t="s">
        <v>2889</v>
      </c>
      <c r="H278" s="106" t="s">
        <v>145</v>
      </c>
      <c r="I278" s="106" t="s">
        <v>146</v>
      </c>
      <c r="J278" s="106" t="s">
        <v>147</v>
      </c>
      <c r="K278" s="106" t="str">
        <f>+"FY"&amp;RIGHT(YEAR('Hyperion Panel'!$B$9),2)</f>
        <v>FY10</v>
      </c>
      <c r="L278" s="106">
        <f>SUM('Upload Detail'!L461:L462)</f>
        <v>0</v>
      </c>
      <c r="M278" s="106">
        <f>SUM('Upload Detail'!M461:M462)</f>
        <v>0</v>
      </c>
      <c r="N278" s="106">
        <f>SUM('Upload Detail'!N461:N462)</f>
        <v>0</v>
      </c>
      <c r="O278" s="106">
        <f>SUM('Upload Detail'!O461:O462)</f>
        <v>0</v>
      </c>
      <c r="P278" s="106">
        <f>SUM('Upload Detail'!P461:P462)</f>
        <v>0</v>
      </c>
      <c r="Q278" s="106">
        <f>SUM('Upload Detail'!Q461:Q462)</f>
        <v>0</v>
      </c>
      <c r="R278" s="106">
        <f>SUM('Upload Detail'!R461:R462)</f>
        <v>0</v>
      </c>
      <c r="S278" s="106">
        <f>SUM('Upload Detail'!S461:S462)</f>
        <v>0</v>
      </c>
      <c r="T278" s="106">
        <f>SUM('Upload Detail'!T461:T462)</f>
        <v>0</v>
      </c>
      <c r="U278" s="106">
        <f>SUM('Upload Detail'!U461:U462)</f>
        <v>0</v>
      </c>
      <c r="V278" s="106">
        <f>SUM('Upload Detail'!V461:V462)</f>
        <v>598</v>
      </c>
      <c r="W278" s="106">
        <f>SUM('Upload Detail'!W461:W462)</f>
        <v>598</v>
      </c>
    </row>
    <row r="279" spans="1:25" s="106" customFormat="1">
      <c r="A279" s="106" t="s">
        <v>162</v>
      </c>
      <c r="B279" s="106" t="str">
        <f>+$B$278</f>
        <v>X10_11032_00494</v>
      </c>
      <c r="C279" s="106" t="str">
        <f>+$C$278</f>
        <v>LE_XXXX</v>
      </c>
      <c r="D279" s="106" t="s">
        <v>2886</v>
      </c>
      <c r="E279" s="106" t="s">
        <v>149</v>
      </c>
      <c r="F279" s="106" t="s">
        <v>150</v>
      </c>
      <c r="G279" s="106" t="s">
        <v>2889</v>
      </c>
      <c r="H279" s="106" t="s">
        <v>145</v>
      </c>
      <c r="I279" s="106" t="s">
        <v>146</v>
      </c>
      <c r="J279" s="106" t="s">
        <v>147</v>
      </c>
      <c r="K279" s="106" t="str">
        <f>+"FY"&amp;RIGHT(YEAR('Hyperion Panel'!$B$9),2)</f>
        <v>FY10</v>
      </c>
      <c r="L279" s="106">
        <f>SUM('Upload Detail'!L464:L465)</f>
        <v>0</v>
      </c>
      <c r="M279" s="106">
        <f>SUM('Upload Detail'!M464:M465)</f>
        <v>0</v>
      </c>
      <c r="N279" s="106">
        <f>SUM('Upload Detail'!N464:N465)</f>
        <v>0</v>
      </c>
      <c r="O279" s="106">
        <f>SUM('Upload Detail'!O464:O465)</f>
        <v>0</v>
      </c>
      <c r="P279" s="106">
        <f>SUM('Upload Detail'!P464:P465)</f>
        <v>0</v>
      </c>
      <c r="Q279" s="106">
        <f>SUM('Upload Detail'!Q464:Q465)</f>
        <v>0</v>
      </c>
      <c r="R279" s="106">
        <f>SUM('Upload Detail'!R464:R465)</f>
        <v>0</v>
      </c>
      <c r="S279" s="106">
        <f>SUM('Upload Detail'!S464:S465)</f>
        <v>0</v>
      </c>
      <c r="T279" s="106">
        <f>SUM('Upload Detail'!T464:T465)</f>
        <v>0</v>
      </c>
      <c r="U279" s="106">
        <f>SUM('Upload Detail'!U464:U465)</f>
        <v>0</v>
      </c>
      <c r="V279" s="106">
        <f>SUM('Upload Detail'!V464:V465)</f>
        <v>247</v>
      </c>
      <c r="W279" s="106">
        <f>SUM('Upload Detail'!W464:W465)</f>
        <v>247</v>
      </c>
    </row>
    <row r="280" spans="1:25" s="1693" customFormat="1">
      <c r="A280" s="1693" t="s">
        <v>3767</v>
      </c>
      <c r="B280" s="1693" t="str">
        <f>+$B$278</f>
        <v>X10_11032_00494</v>
      </c>
      <c r="C280" s="1693" t="str">
        <f>+$C$278</f>
        <v>LE_XXXX</v>
      </c>
      <c r="D280" s="1693" t="s">
        <v>2886</v>
      </c>
      <c r="E280" s="1693" t="s">
        <v>719</v>
      </c>
      <c r="F280" s="1693" t="s">
        <v>731</v>
      </c>
      <c r="G280" s="1693" t="s">
        <v>2889</v>
      </c>
      <c r="H280" s="1693" t="s">
        <v>145</v>
      </c>
      <c r="I280" s="1693" t="s">
        <v>146</v>
      </c>
      <c r="J280" s="1693" t="s">
        <v>147</v>
      </c>
      <c r="K280" s="106" t="str">
        <f>+"FY"&amp;RIGHT(YEAR('Hyperion Panel'!$B$9),2)</f>
        <v>FY10</v>
      </c>
      <c r="L280" s="1693">
        <f>SUM('Upload Detail'!L467:L468)</f>
        <v>0</v>
      </c>
      <c r="M280" s="1693">
        <f>SUM('Upload Detail'!M467:M468)</f>
        <v>0</v>
      </c>
      <c r="N280" s="1693">
        <f>SUM('Upload Detail'!N467:N468)</f>
        <v>0</v>
      </c>
      <c r="O280" s="1693">
        <f>SUM('Upload Detail'!O467:O468)</f>
        <v>0</v>
      </c>
      <c r="P280" s="1693">
        <f>SUM('Upload Detail'!P467:P468)</f>
        <v>0</v>
      </c>
      <c r="Q280" s="1693">
        <f>SUM('Upload Detail'!Q467:Q468)</f>
        <v>0</v>
      </c>
      <c r="R280" s="1693">
        <f>SUM('Upload Detail'!R467:R468)</f>
        <v>0</v>
      </c>
      <c r="S280" s="1693">
        <f>SUM('Upload Detail'!S467:S468)</f>
        <v>0</v>
      </c>
      <c r="T280" s="1693">
        <f>SUM('Upload Detail'!T467:T468)</f>
        <v>0</v>
      </c>
      <c r="U280" s="1693">
        <f>SUM('Upload Detail'!U467:U468)</f>
        <v>0</v>
      </c>
      <c r="V280" s="1693">
        <f>SUM('Upload Detail'!V467:V468)</f>
        <v>65</v>
      </c>
      <c r="W280" s="1693">
        <f>SUM('Upload Detail'!W467:W468)</f>
        <v>65</v>
      </c>
    </row>
    <row r="281" spans="1:25" s="106" customFormat="1">
      <c r="A281" s="106" t="s">
        <v>163</v>
      </c>
      <c r="B281" s="106" t="str">
        <f>+$B$278</f>
        <v>X10_11032_00494</v>
      </c>
      <c r="C281" s="106" t="str">
        <f>+$C$278</f>
        <v>LE_XXXX</v>
      </c>
      <c r="D281" s="106" t="s">
        <v>2886</v>
      </c>
      <c r="E281" s="106">
        <v>3010</v>
      </c>
      <c r="F281" s="106" t="s">
        <v>2888</v>
      </c>
      <c r="G281" s="106" t="s">
        <v>2889</v>
      </c>
      <c r="H281" s="106" t="s">
        <v>145</v>
      </c>
      <c r="I281" s="106" t="s">
        <v>146</v>
      </c>
      <c r="J281" s="106" t="s">
        <v>147</v>
      </c>
      <c r="K281" s="106" t="str">
        <f>+"FY"&amp;RIGHT(YEAR('Hyperion Panel'!$B$9),2)</f>
        <v>FY10</v>
      </c>
      <c r="L281" s="106">
        <f>SUM('Upload Detail'!L470:L471)</f>
        <v>0</v>
      </c>
      <c r="M281" s="106">
        <f>SUM('Upload Detail'!M470:M471)</f>
        <v>0</v>
      </c>
      <c r="N281" s="106">
        <f>SUM('Upload Detail'!N470:N471)</f>
        <v>0</v>
      </c>
      <c r="O281" s="106">
        <f>SUM('Upload Detail'!O470:O471)</f>
        <v>0</v>
      </c>
      <c r="P281" s="106">
        <f>SUM('Upload Detail'!P470:P471)</f>
        <v>0</v>
      </c>
      <c r="Q281" s="106">
        <f>SUM('Upload Detail'!Q470:Q471)</f>
        <v>0</v>
      </c>
      <c r="R281" s="106">
        <f>SUM('Upload Detail'!R470:R471)</f>
        <v>0</v>
      </c>
      <c r="S281" s="106">
        <f>SUM('Upload Detail'!S470:S471)</f>
        <v>0</v>
      </c>
      <c r="T281" s="106">
        <f>SUM('Upload Detail'!T470:T471)</f>
        <v>0</v>
      </c>
      <c r="U281" s="106">
        <f>SUM('Upload Detail'!U470:U471)</f>
        <v>0</v>
      </c>
      <c r="V281" s="106">
        <f>SUM('Upload Detail'!V470:V471)</f>
        <v>172953.90732544177</v>
      </c>
      <c r="W281" s="106">
        <f>SUM('Upload Detail'!W470:W471)</f>
        <v>172953.90732544177</v>
      </c>
    </row>
    <row r="282" spans="1:25" s="106" customFormat="1">
      <c r="A282" s="106" t="s">
        <v>164</v>
      </c>
      <c r="B282" s="106" t="str">
        <f>+$B$278</f>
        <v>X10_11032_00494</v>
      </c>
      <c r="C282" s="106" t="str">
        <f>+$C$278</f>
        <v>LE_XXXX</v>
      </c>
      <c r="D282" s="106" t="s">
        <v>2886</v>
      </c>
      <c r="E282" s="106">
        <v>3030</v>
      </c>
      <c r="F282" s="106" t="s">
        <v>150</v>
      </c>
      <c r="G282" s="106" t="s">
        <v>2889</v>
      </c>
      <c r="H282" s="106" t="s">
        <v>145</v>
      </c>
      <c r="I282" s="106" t="s">
        <v>146</v>
      </c>
      <c r="J282" s="106" t="s">
        <v>147</v>
      </c>
      <c r="K282" s="106" t="str">
        <f>+"FY"&amp;RIGHT(YEAR('Hyperion Panel'!$B$9),2)</f>
        <v>FY10</v>
      </c>
      <c r="L282" s="106">
        <f>SUM('Upload Detail'!L473:L474)</f>
        <v>0</v>
      </c>
      <c r="M282" s="106">
        <f>SUM('Upload Detail'!M473:M474)</f>
        <v>0</v>
      </c>
      <c r="N282" s="106">
        <f>SUM('Upload Detail'!N473:N474)</f>
        <v>0</v>
      </c>
      <c r="O282" s="106">
        <f>SUM('Upload Detail'!O473:O474)</f>
        <v>0</v>
      </c>
      <c r="P282" s="106">
        <f>SUM('Upload Detail'!P473:P474)</f>
        <v>0</v>
      </c>
      <c r="Q282" s="106">
        <f>SUM('Upload Detail'!Q473:Q474)</f>
        <v>0</v>
      </c>
      <c r="R282" s="106">
        <f>SUM('Upload Detail'!R473:R474)</f>
        <v>0</v>
      </c>
      <c r="S282" s="106">
        <f>SUM('Upload Detail'!S473:S474)</f>
        <v>0</v>
      </c>
      <c r="T282" s="106">
        <f>SUM('Upload Detail'!T473:T474)</f>
        <v>0</v>
      </c>
      <c r="U282" s="106">
        <f>SUM('Upload Detail'!U473:U474)</f>
        <v>0</v>
      </c>
      <c r="V282" s="106">
        <f>SUM('Upload Detail'!V473:V474)</f>
        <v>118919.72127984778</v>
      </c>
      <c r="W282" s="106">
        <f>SUM('Upload Detail'!W473:W474)</f>
        <v>118919.72127984778</v>
      </c>
    </row>
    <row r="283" spans="1:25" s="1693" customFormat="1">
      <c r="A283" s="1693" t="s">
        <v>3768</v>
      </c>
      <c r="B283" s="1693" t="str">
        <f>+$B$278</f>
        <v>X10_11032_00494</v>
      </c>
      <c r="C283" s="1693" t="str">
        <f>+$C$278</f>
        <v>LE_XXXX</v>
      </c>
      <c r="D283" s="1693" t="s">
        <v>2886</v>
      </c>
      <c r="E283" s="1693">
        <v>3050</v>
      </c>
      <c r="F283" s="1693" t="s">
        <v>731</v>
      </c>
      <c r="G283" s="1693" t="s">
        <v>2889</v>
      </c>
      <c r="H283" s="1693" t="s">
        <v>145</v>
      </c>
      <c r="I283" s="1693" t="s">
        <v>146</v>
      </c>
      <c r="J283" s="1693" t="s">
        <v>147</v>
      </c>
      <c r="K283" s="106" t="str">
        <f>+"FY"&amp;RIGHT(YEAR('Hyperion Panel'!$B$9),2)</f>
        <v>FY10</v>
      </c>
      <c r="L283" s="1693">
        <f>SUM('Upload Detail'!L476:L477)</f>
        <v>0</v>
      </c>
      <c r="M283" s="1693">
        <f>SUM('Upload Detail'!M476:M477)</f>
        <v>0</v>
      </c>
      <c r="N283" s="1693">
        <f>SUM('Upload Detail'!N476:N477)</f>
        <v>0</v>
      </c>
      <c r="O283" s="1693">
        <f>SUM('Upload Detail'!O476:O477)</f>
        <v>0</v>
      </c>
      <c r="P283" s="1693">
        <f>SUM('Upload Detail'!P476:P477)</f>
        <v>0</v>
      </c>
      <c r="Q283" s="1693">
        <f>SUM('Upload Detail'!Q476:Q477)</f>
        <v>0</v>
      </c>
      <c r="R283" s="1693">
        <f>SUM('Upload Detail'!R476:R477)</f>
        <v>0</v>
      </c>
      <c r="S283" s="1693">
        <f>SUM('Upload Detail'!S476:S477)</f>
        <v>0</v>
      </c>
      <c r="T283" s="1693">
        <f>SUM('Upload Detail'!T476:T477)</f>
        <v>0</v>
      </c>
      <c r="U283" s="1693">
        <f>SUM('Upload Detail'!U476:U477)</f>
        <v>0</v>
      </c>
      <c r="V283" s="1693">
        <f>SUM('Upload Detail'!V476:V477)</f>
        <v>16927.071343873515</v>
      </c>
      <c r="W283" s="1693">
        <f>SUM('Upload Detail'!W476:W477)</f>
        <v>16927.071343873515</v>
      </c>
    </row>
    <row r="284" spans="1:25">
      <c r="A284" t="s">
        <v>2651</v>
      </c>
      <c r="B284" t="str">
        <f t="shared" ref="B284:B371" si="8">+$B$278</f>
        <v>X10_11032_00494</v>
      </c>
      <c r="C284" t="str">
        <f t="shared" ref="C284:C371" si="9">+$C$278</f>
        <v>LE_XXXX</v>
      </c>
      <c r="D284" t="s">
        <v>2886</v>
      </c>
      <c r="E284">
        <v>6010</v>
      </c>
      <c r="F284" t="s">
        <v>2888</v>
      </c>
      <c r="G284" t="s">
        <v>153</v>
      </c>
      <c r="H284" t="s">
        <v>154</v>
      </c>
      <c r="I284" t="s">
        <v>146</v>
      </c>
      <c r="J284" t="s">
        <v>147</v>
      </c>
      <c r="K284" t="str">
        <f>+"FY"&amp;RIGHT(YEAR('Hyperion Panel'!$B$9),2)</f>
        <v>FY10</v>
      </c>
      <c r="L284">
        <f>'Upload Detail'!L478</f>
        <v>0</v>
      </c>
      <c r="M284">
        <f>'Upload Detail'!M478</f>
        <v>0</v>
      </c>
      <c r="N284">
        <f>'Upload Detail'!N478</f>
        <v>0</v>
      </c>
      <c r="O284">
        <f>'Upload Detail'!O478</f>
        <v>0</v>
      </c>
      <c r="P284">
        <f>'Upload Detail'!P478</f>
        <v>0</v>
      </c>
      <c r="Q284">
        <f>'Upload Detail'!Q478</f>
        <v>0</v>
      </c>
      <c r="R284">
        <f>'Upload Detail'!R478</f>
        <v>0</v>
      </c>
      <c r="S284">
        <f>'Upload Detail'!S478</f>
        <v>0</v>
      </c>
      <c r="T284">
        <f>'Upload Detail'!T478</f>
        <v>0</v>
      </c>
      <c r="U284">
        <f>'Upload Detail'!U478</f>
        <v>0</v>
      </c>
      <c r="V284">
        <f>'Upload Detail'!V478</f>
        <v>38699.784812132857</v>
      </c>
      <c r="W284">
        <f>'Upload Detail'!W478</f>
        <v>38699.784812132857</v>
      </c>
    </row>
    <row r="285" spans="1:25">
      <c r="A285" t="s">
        <v>2652</v>
      </c>
      <c r="B285" t="str">
        <f t="shared" si="8"/>
        <v>X10_11032_00494</v>
      </c>
      <c r="C285" t="str">
        <f t="shared" si="9"/>
        <v>LE_XXXX</v>
      </c>
      <c r="D285" t="s">
        <v>2886</v>
      </c>
      <c r="E285">
        <v>6010</v>
      </c>
      <c r="F285" t="s">
        <v>2888</v>
      </c>
      <c r="G285" t="s">
        <v>155</v>
      </c>
      <c r="H285" t="s">
        <v>154</v>
      </c>
      <c r="I285" t="s">
        <v>146</v>
      </c>
      <c r="J285" t="s">
        <v>147</v>
      </c>
      <c r="K285" t="str">
        <f>+"FY"&amp;RIGHT(YEAR('Hyperion Panel'!$B$9),2)</f>
        <v>FY10</v>
      </c>
      <c r="L285">
        <f>'Upload Detail'!L479</f>
        <v>0</v>
      </c>
      <c r="M285">
        <f>'Upload Detail'!M479</f>
        <v>0</v>
      </c>
      <c r="N285">
        <f>'Upload Detail'!N479</f>
        <v>0</v>
      </c>
      <c r="O285">
        <f>'Upload Detail'!O479</f>
        <v>0</v>
      </c>
      <c r="P285">
        <f>'Upload Detail'!P479</f>
        <v>0</v>
      </c>
      <c r="Q285">
        <f>'Upload Detail'!Q479</f>
        <v>0</v>
      </c>
      <c r="R285">
        <f>'Upload Detail'!R479</f>
        <v>0</v>
      </c>
      <c r="S285">
        <f>'Upload Detail'!S479</f>
        <v>0</v>
      </c>
      <c r="T285">
        <f>'Upload Detail'!T479</f>
        <v>0</v>
      </c>
      <c r="U285">
        <f>'Upload Detail'!U479</f>
        <v>0</v>
      </c>
      <c r="V285">
        <f>'Upload Detail'!V479</f>
        <v>14795</v>
      </c>
      <c r="W285">
        <f>'Upload Detail'!W479</f>
        <v>14795</v>
      </c>
    </row>
    <row r="286" spans="1:25">
      <c r="A286" t="s">
        <v>2653</v>
      </c>
      <c r="B286" t="str">
        <f t="shared" si="8"/>
        <v>X10_11032_00494</v>
      </c>
      <c r="C286" t="str">
        <f t="shared" si="9"/>
        <v>LE_XXXX</v>
      </c>
      <c r="D286" t="s">
        <v>2886</v>
      </c>
      <c r="E286">
        <v>6051</v>
      </c>
      <c r="F286" t="s">
        <v>2888</v>
      </c>
      <c r="G286" t="s">
        <v>153</v>
      </c>
      <c r="H286" t="s">
        <v>154</v>
      </c>
      <c r="I286" t="s">
        <v>146</v>
      </c>
      <c r="J286" t="s">
        <v>147</v>
      </c>
      <c r="K286" t="str">
        <f>+"FY"&amp;RIGHT(YEAR('Hyperion Panel'!$B$9),2)</f>
        <v>FY10</v>
      </c>
      <c r="L286">
        <f>'Upload Detail'!L480</f>
        <v>0</v>
      </c>
      <c r="M286">
        <f>'Upload Detail'!M480</f>
        <v>0</v>
      </c>
      <c r="N286">
        <f>'Upload Detail'!N480</f>
        <v>0</v>
      </c>
      <c r="O286">
        <f>'Upload Detail'!O480</f>
        <v>0</v>
      </c>
      <c r="P286">
        <f>'Upload Detail'!P480</f>
        <v>0</v>
      </c>
      <c r="Q286">
        <f>'Upload Detail'!Q480</f>
        <v>0</v>
      </c>
      <c r="R286">
        <f>'Upload Detail'!R480</f>
        <v>0</v>
      </c>
      <c r="S286">
        <f>'Upload Detail'!S480</f>
        <v>0</v>
      </c>
      <c r="T286">
        <f>'Upload Detail'!T480</f>
        <v>0</v>
      </c>
      <c r="U286">
        <f>'Upload Detail'!U480</f>
        <v>0</v>
      </c>
      <c r="V286">
        <f>'Upload Detail'!V480</f>
        <v>18890.728391370059</v>
      </c>
      <c r="W286">
        <f>'Upload Detail'!W480</f>
        <v>18890.728391370059</v>
      </c>
    </row>
    <row r="287" spans="1:25">
      <c r="A287" t="s">
        <v>2654</v>
      </c>
      <c r="B287" t="str">
        <f t="shared" si="8"/>
        <v>X10_11032_00494</v>
      </c>
      <c r="C287" t="str">
        <f t="shared" si="9"/>
        <v>LE_XXXX</v>
      </c>
      <c r="D287" t="s">
        <v>2886</v>
      </c>
      <c r="E287">
        <v>6011</v>
      </c>
      <c r="F287" t="s">
        <v>2888</v>
      </c>
      <c r="G287" t="s">
        <v>153</v>
      </c>
      <c r="H287" t="s">
        <v>154</v>
      </c>
      <c r="I287" t="s">
        <v>146</v>
      </c>
      <c r="J287" t="s">
        <v>147</v>
      </c>
      <c r="K287" t="str">
        <f>+"FY"&amp;RIGHT(YEAR('Hyperion Panel'!$B$9),2)</f>
        <v>FY10</v>
      </c>
      <c r="L287">
        <f>'Upload Detail'!L481</f>
        <v>0</v>
      </c>
      <c r="M287">
        <f>'Upload Detail'!M481</f>
        <v>0</v>
      </c>
      <c r="N287">
        <f>'Upload Detail'!N481</f>
        <v>0</v>
      </c>
      <c r="O287">
        <f>'Upload Detail'!O481</f>
        <v>0</v>
      </c>
      <c r="P287">
        <f>'Upload Detail'!P481</f>
        <v>0</v>
      </c>
      <c r="Q287">
        <f>'Upload Detail'!Q481</f>
        <v>0</v>
      </c>
      <c r="R287">
        <f>'Upload Detail'!R481</f>
        <v>0</v>
      </c>
      <c r="S287">
        <f>'Upload Detail'!S481</f>
        <v>0</v>
      </c>
      <c r="T287">
        <f>'Upload Detail'!T481</f>
        <v>0</v>
      </c>
      <c r="U287">
        <f>'Upload Detail'!U481</f>
        <v>0</v>
      </c>
      <c r="V287">
        <f>'Upload Detail'!V481</f>
        <v>0</v>
      </c>
      <c r="W287">
        <f>'Upload Detail'!W481</f>
        <v>0</v>
      </c>
    </row>
    <row r="288" spans="1:25">
      <c r="A288" t="s">
        <v>3696</v>
      </c>
      <c r="B288" t="str">
        <f t="shared" si="8"/>
        <v>X10_11032_00494</v>
      </c>
      <c r="C288" t="str">
        <f t="shared" si="9"/>
        <v>LE_XXXX</v>
      </c>
      <c r="D288" t="s">
        <v>2886</v>
      </c>
      <c r="E288">
        <v>6600</v>
      </c>
      <c r="F288" t="s">
        <v>2888</v>
      </c>
      <c r="G288" t="s">
        <v>2889</v>
      </c>
      <c r="H288" t="s">
        <v>154</v>
      </c>
      <c r="I288" t="s">
        <v>146</v>
      </c>
      <c r="J288" t="s">
        <v>147</v>
      </c>
      <c r="K288" t="str">
        <f>+"FY"&amp;RIGHT(YEAR('Hyperion Panel'!$B$9),2)</f>
        <v>FY10</v>
      </c>
      <c r="L288">
        <f>'Upload Detail'!L482</f>
        <v>0</v>
      </c>
      <c r="M288">
        <f>'Upload Detail'!M482</f>
        <v>0</v>
      </c>
      <c r="N288">
        <f>'Upload Detail'!N482</f>
        <v>0</v>
      </c>
      <c r="O288">
        <f>'Upload Detail'!O482</f>
        <v>0</v>
      </c>
      <c r="P288">
        <f>'Upload Detail'!P482</f>
        <v>0</v>
      </c>
      <c r="Q288">
        <f>'Upload Detail'!Q482</f>
        <v>0</v>
      </c>
      <c r="R288">
        <f>'Upload Detail'!R482</f>
        <v>0</v>
      </c>
      <c r="S288">
        <f>'Upload Detail'!S482</f>
        <v>0</v>
      </c>
      <c r="T288">
        <f>'Upload Detail'!T482</f>
        <v>0</v>
      </c>
      <c r="U288">
        <f>'Upload Detail'!U482</f>
        <v>0</v>
      </c>
      <c r="V288">
        <f>'Upload Detail'!V482</f>
        <v>52958.887494461407</v>
      </c>
      <c r="W288">
        <f>'Upload Detail'!W482</f>
        <v>52958.887494461407</v>
      </c>
    </row>
    <row r="289" spans="1:25">
      <c r="A289" t="s">
        <v>1381</v>
      </c>
      <c r="B289" t="str">
        <f t="shared" si="8"/>
        <v>X10_11032_00494</v>
      </c>
      <c r="C289" t="str">
        <f t="shared" si="9"/>
        <v>LE_XXXX</v>
      </c>
      <c r="D289" t="s">
        <v>2886</v>
      </c>
      <c r="E289">
        <v>6800</v>
      </c>
      <c r="F289" t="s">
        <v>156</v>
      </c>
      <c r="G289" t="s">
        <v>2889</v>
      </c>
      <c r="H289" t="s">
        <v>154</v>
      </c>
      <c r="I289" t="s">
        <v>146</v>
      </c>
      <c r="J289" t="s">
        <v>147</v>
      </c>
      <c r="K289" t="str">
        <f>+"FY"&amp;RIGHT(YEAR('Hyperion Panel'!$B$9),2)</f>
        <v>FY10</v>
      </c>
      <c r="L289">
        <f>'Upload Detail'!L483</f>
        <v>0</v>
      </c>
      <c r="M289">
        <f>'Upload Detail'!M483</f>
        <v>0</v>
      </c>
      <c r="N289">
        <f>'Upload Detail'!N483</f>
        <v>0</v>
      </c>
      <c r="O289">
        <f>'Upload Detail'!O483</f>
        <v>0</v>
      </c>
      <c r="P289">
        <f>'Upload Detail'!P483</f>
        <v>0</v>
      </c>
      <c r="Q289">
        <f>'Upload Detail'!Q483</f>
        <v>0</v>
      </c>
      <c r="R289">
        <f>'Upload Detail'!R483</f>
        <v>0</v>
      </c>
      <c r="S289">
        <f>'Upload Detail'!S483</f>
        <v>0</v>
      </c>
      <c r="T289">
        <f>'Upload Detail'!T483</f>
        <v>0</v>
      </c>
      <c r="U289">
        <f>'Upload Detail'!U483</f>
        <v>0</v>
      </c>
      <c r="V289">
        <f>'Upload Detail'!V483</f>
        <v>19626.014631840881</v>
      </c>
      <c r="W289">
        <f>'Upload Detail'!W483</f>
        <v>19626.014631840881</v>
      </c>
    </row>
    <row r="290" spans="1:25">
      <c r="A290" t="s">
        <v>3697</v>
      </c>
      <c r="B290" t="str">
        <f t="shared" si="8"/>
        <v>X10_11032_00494</v>
      </c>
      <c r="C290" t="str">
        <f t="shared" si="9"/>
        <v>LE_XXXX</v>
      </c>
      <c r="D290" t="s">
        <v>2886</v>
      </c>
      <c r="E290">
        <v>8600</v>
      </c>
      <c r="F290" t="s">
        <v>156</v>
      </c>
      <c r="G290" t="s">
        <v>2889</v>
      </c>
      <c r="H290" t="s">
        <v>154</v>
      </c>
      <c r="I290" t="s">
        <v>146</v>
      </c>
      <c r="J290" t="s">
        <v>147</v>
      </c>
      <c r="K290" t="str">
        <f>+"FY"&amp;RIGHT(YEAR('Hyperion Panel'!$B$9),2)</f>
        <v>FY10</v>
      </c>
      <c r="L290">
        <f>'Upload Detail'!L484</f>
        <v>0</v>
      </c>
      <c r="M290">
        <f>'Upload Detail'!M484</f>
        <v>0</v>
      </c>
      <c r="N290">
        <f>'Upload Detail'!N484</f>
        <v>0</v>
      </c>
      <c r="O290">
        <f>'Upload Detail'!O484</f>
        <v>0</v>
      </c>
      <c r="P290">
        <f>'Upload Detail'!P484</f>
        <v>0</v>
      </c>
      <c r="Q290">
        <f>'Upload Detail'!Q484</f>
        <v>0</v>
      </c>
      <c r="R290">
        <f>'Upload Detail'!R484</f>
        <v>0</v>
      </c>
      <c r="S290">
        <f>'Upload Detail'!S484</f>
        <v>0</v>
      </c>
      <c r="T290">
        <f>'Upload Detail'!T484</f>
        <v>0</v>
      </c>
      <c r="U290">
        <f>'Upload Detail'!U484</f>
        <v>0</v>
      </c>
      <c r="V290">
        <f>'Upload Detail'!V484</f>
        <v>16474.989999999998</v>
      </c>
      <c r="W290">
        <f>'Upload Detail'!W484</f>
        <v>16474.989999999998</v>
      </c>
    </row>
    <row r="291" spans="1:25">
      <c r="A291" t="s">
        <v>157</v>
      </c>
      <c r="B291" t="str">
        <f t="shared" si="8"/>
        <v>X10_11032_00494</v>
      </c>
      <c r="C291" t="str">
        <f t="shared" si="9"/>
        <v>LE_XXXX</v>
      </c>
      <c r="D291" t="s">
        <v>2886</v>
      </c>
      <c r="E291">
        <v>6720</v>
      </c>
      <c r="F291" t="s">
        <v>156</v>
      </c>
      <c r="G291" t="s">
        <v>2889</v>
      </c>
      <c r="H291" t="s">
        <v>154</v>
      </c>
      <c r="I291" t="s">
        <v>146</v>
      </c>
      <c r="J291" t="s">
        <v>147</v>
      </c>
      <c r="K291" t="str">
        <f>+"FY"&amp;RIGHT(YEAR('Hyperion Panel'!$B$9),2)</f>
        <v>FY10</v>
      </c>
      <c r="L291">
        <f>'Upload Detail'!L485</f>
        <v>0</v>
      </c>
      <c r="M291">
        <f>'Upload Detail'!M485</f>
        <v>0</v>
      </c>
      <c r="N291">
        <f>'Upload Detail'!N485</f>
        <v>0</v>
      </c>
      <c r="O291">
        <f>'Upload Detail'!O485</f>
        <v>0</v>
      </c>
      <c r="P291">
        <f>'Upload Detail'!P485</f>
        <v>0</v>
      </c>
      <c r="Q291">
        <f>'Upload Detail'!Q485</f>
        <v>0</v>
      </c>
      <c r="R291">
        <f>'Upload Detail'!R485</f>
        <v>0</v>
      </c>
      <c r="S291">
        <f>'Upload Detail'!S485</f>
        <v>0</v>
      </c>
      <c r="T291">
        <f>'Upload Detail'!T485</f>
        <v>0</v>
      </c>
      <c r="U291">
        <f>'Upload Detail'!U485</f>
        <v>0</v>
      </c>
      <c r="V291">
        <f>'Upload Detail'!V485</f>
        <v>15833.32</v>
      </c>
      <c r="W291">
        <f>'Upload Detail'!W485</f>
        <v>15833.32</v>
      </c>
    </row>
    <row r="292" spans="1:25">
      <c r="A292" t="s">
        <v>3925</v>
      </c>
      <c r="B292" t="str">
        <f t="shared" si="8"/>
        <v>X10_11032_00494</v>
      </c>
      <c r="C292" t="str">
        <f t="shared" si="9"/>
        <v>LE_XXXX</v>
      </c>
      <c r="D292" t="s">
        <v>2886</v>
      </c>
      <c r="E292">
        <v>8110</v>
      </c>
      <c r="F292" t="s">
        <v>156</v>
      </c>
      <c r="G292" t="s">
        <v>2889</v>
      </c>
      <c r="H292" t="s">
        <v>154</v>
      </c>
      <c r="I292" t="s">
        <v>146</v>
      </c>
      <c r="J292" t="s">
        <v>147</v>
      </c>
      <c r="K292" t="str">
        <f>+"FY"&amp;RIGHT(YEAR('Hyperion Panel'!$B$9),2)</f>
        <v>FY10</v>
      </c>
      <c r="L292">
        <f>'Upload Detail'!L486</f>
        <v>0</v>
      </c>
      <c r="M292">
        <f>'Upload Detail'!M486</f>
        <v>0</v>
      </c>
      <c r="N292">
        <f>'Upload Detail'!N486</f>
        <v>0</v>
      </c>
      <c r="O292">
        <f>'Upload Detail'!O486</f>
        <v>0</v>
      </c>
      <c r="P292">
        <f>'Upload Detail'!P486</f>
        <v>0</v>
      </c>
      <c r="Q292">
        <f>'Upload Detail'!Q486</f>
        <v>0</v>
      </c>
      <c r="R292">
        <f>'Upload Detail'!R486</f>
        <v>0</v>
      </c>
      <c r="S292">
        <f>'Upload Detail'!S486</f>
        <v>0</v>
      </c>
      <c r="T292">
        <f>'Upload Detail'!T486</f>
        <v>0</v>
      </c>
      <c r="U292">
        <f>'Upload Detail'!U486</f>
        <v>0</v>
      </c>
      <c r="V292">
        <f>'Upload Detail'!V486</f>
        <v>1044.7049999999999</v>
      </c>
      <c r="W292">
        <f>'Upload Detail'!W486</f>
        <v>1044.7049999999999</v>
      </c>
    </row>
    <row r="293" spans="1:25">
      <c r="A293" t="s">
        <v>3926</v>
      </c>
      <c r="B293" t="str">
        <f t="shared" si="8"/>
        <v>X10_11032_00494</v>
      </c>
      <c r="C293" t="str">
        <f t="shared" si="9"/>
        <v>LE_XXXX</v>
      </c>
      <c r="D293" t="s">
        <v>2886</v>
      </c>
      <c r="E293">
        <v>6412</v>
      </c>
      <c r="F293" t="s">
        <v>156</v>
      </c>
      <c r="G293" t="s">
        <v>2889</v>
      </c>
      <c r="H293" t="s">
        <v>154</v>
      </c>
      <c r="I293" t="s">
        <v>146</v>
      </c>
      <c r="J293" t="s">
        <v>147</v>
      </c>
      <c r="K293" t="str">
        <f>+"FY"&amp;RIGHT(YEAR('Hyperion Panel'!$B$9),2)</f>
        <v>FY10</v>
      </c>
      <c r="L293">
        <f>'Upload Detail'!L487</f>
        <v>0</v>
      </c>
      <c r="M293">
        <f>'Upload Detail'!M487</f>
        <v>0</v>
      </c>
      <c r="N293">
        <f>'Upload Detail'!N487</f>
        <v>0</v>
      </c>
      <c r="O293">
        <f>'Upload Detail'!O487</f>
        <v>0</v>
      </c>
      <c r="P293">
        <f>'Upload Detail'!P487</f>
        <v>0</v>
      </c>
      <c r="Q293">
        <f>'Upload Detail'!Q487</f>
        <v>0</v>
      </c>
      <c r="R293">
        <f>'Upload Detail'!R487</f>
        <v>0</v>
      </c>
      <c r="S293">
        <f>'Upload Detail'!S487</f>
        <v>0</v>
      </c>
      <c r="T293">
        <f>'Upload Detail'!T487</f>
        <v>0</v>
      </c>
      <c r="U293">
        <f>'Upload Detail'!U487</f>
        <v>0</v>
      </c>
      <c r="V293">
        <f>'Upload Detail'!V487</f>
        <v>18564.974605157677</v>
      </c>
      <c r="W293">
        <f>'Upload Detail'!W487</f>
        <v>18564.974605157677</v>
      </c>
    </row>
    <row r="294" spans="1:25" s="104" customFormat="1">
      <c r="A294" s="104" t="s">
        <v>730</v>
      </c>
      <c r="B294" s="104" t="str">
        <f t="shared" si="8"/>
        <v>X10_11032_00494</v>
      </c>
      <c r="C294" s="104" t="str">
        <f t="shared" si="9"/>
        <v>LE_XXXX</v>
      </c>
      <c r="D294" s="104" t="s">
        <v>2886</v>
      </c>
      <c r="E294" s="104">
        <v>8110</v>
      </c>
      <c r="F294" s="104" t="s">
        <v>731</v>
      </c>
      <c r="G294" s="104" t="s">
        <v>2889</v>
      </c>
      <c r="H294" s="104" t="s">
        <v>154</v>
      </c>
      <c r="I294" s="104" t="s">
        <v>146</v>
      </c>
      <c r="J294" s="104" t="s">
        <v>147</v>
      </c>
      <c r="K294" s="104" t="str">
        <f>+"FY"&amp;RIGHT(YEAR('Hyperion Panel'!$B$9),2)</f>
        <v>FY10</v>
      </c>
      <c r="L294" s="104">
        <f>'Upload Detail'!L488</f>
        <v>0</v>
      </c>
      <c r="M294" s="104">
        <f>'Upload Detail'!M488</f>
        <v>0</v>
      </c>
      <c r="N294" s="104">
        <f>'Upload Detail'!N488</f>
        <v>0</v>
      </c>
      <c r="O294" s="104">
        <f>'Upload Detail'!O488</f>
        <v>0</v>
      </c>
      <c r="P294" s="104">
        <f>'Upload Detail'!P488</f>
        <v>0</v>
      </c>
      <c r="Q294" s="104">
        <f>'Upload Detail'!Q488</f>
        <v>0</v>
      </c>
      <c r="R294" s="104">
        <f>'Upload Detail'!R488</f>
        <v>0</v>
      </c>
      <c r="S294" s="104">
        <f>'Upload Detail'!S488</f>
        <v>0</v>
      </c>
      <c r="T294" s="104">
        <f>'Upload Detail'!T488</f>
        <v>0</v>
      </c>
      <c r="U294" s="104">
        <f>'Upload Detail'!U488</f>
        <v>0</v>
      </c>
      <c r="V294" s="104">
        <f>'Upload Detail'!V488</f>
        <v>833.33333333333337</v>
      </c>
      <c r="W294" s="104">
        <f>'Upload Detail'!W488</f>
        <v>833.33333333333337</v>
      </c>
      <c r="Y294" s="1690"/>
    </row>
    <row r="295" spans="1:25" s="104" customFormat="1">
      <c r="A295" s="104" t="s">
        <v>732</v>
      </c>
      <c r="B295" s="104" t="str">
        <f t="shared" si="8"/>
        <v>X10_11032_00494</v>
      </c>
      <c r="C295" s="104" t="str">
        <f t="shared" si="9"/>
        <v>LE_XXXX</v>
      </c>
      <c r="D295" s="104" t="s">
        <v>2886</v>
      </c>
      <c r="F295" s="104" t="s">
        <v>731</v>
      </c>
      <c r="G295" s="104" t="s">
        <v>2889</v>
      </c>
      <c r="H295" s="104" t="s">
        <v>154</v>
      </c>
      <c r="I295" s="104" t="s">
        <v>146</v>
      </c>
      <c r="J295" s="104" t="s">
        <v>147</v>
      </c>
      <c r="K295" s="104" t="str">
        <f>+"FY"&amp;RIGHT(YEAR('Hyperion Panel'!$B$9),2)</f>
        <v>FY10</v>
      </c>
      <c r="L295" s="104">
        <f>'Upload Detail'!L489</f>
        <v>0</v>
      </c>
      <c r="M295" s="104">
        <f>'Upload Detail'!M489</f>
        <v>0</v>
      </c>
      <c r="N295" s="104">
        <f>'Upload Detail'!N489</f>
        <v>0</v>
      </c>
      <c r="O295" s="104">
        <f>'Upload Detail'!O489</f>
        <v>0</v>
      </c>
      <c r="P295" s="104">
        <f>'Upload Detail'!P489</f>
        <v>0</v>
      </c>
      <c r="Q295" s="104">
        <f>'Upload Detail'!Q489</f>
        <v>0</v>
      </c>
      <c r="R295" s="104">
        <f>'Upload Detail'!R489</f>
        <v>0</v>
      </c>
      <c r="S295" s="104">
        <f>'Upload Detail'!S489</f>
        <v>0</v>
      </c>
      <c r="T295" s="104">
        <f>'Upload Detail'!T489</f>
        <v>0</v>
      </c>
      <c r="U295" s="104">
        <f>'Upload Detail'!U489</f>
        <v>0</v>
      </c>
      <c r="V295" s="104">
        <f>'Upload Detail'!V489</f>
        <v>0</v>
      </c>
      <c r="W295" s="104">
        <f>'Upload Detail'!W489</f>
        <v>0</v>
      </c>
      <c r="Y295" s="1690"/>
    </row>
    <row r="296" spans="1:25" s="104" customFormat="1">
      <c r="A296" s="104" t="s">
        <v>733</v>
      </c>
      <c r="B296" s="104" t="str">
        <f t="shared" si="8"/>
        <v>X10_11032_00494</v>
      </c>
      <c r="C296" s="104" t="str">
        <f t="shared" si="9"/>
        <v>LE_XXXX</v>
      </c>
      <c r="D296" s="104" t="s">
        <v>2886</v>
      </c>
      <c r="F296" s="104" t="s">
        <v>731</v>
      </c>
      <c r="G296" s="104" t="s">
        <v>2889</v>
      </c>
      <c r="H296" s="104" t="s">
        <v>154</v>
      </c>
      <c r="I296" s="104" t="s">
        <v>146</v>
      </c>
      <c r="J296" s="104" t="s">
        <v>147</v>
      </c>
      <c r="K296" s="104" t="str">
        <f>+"FY"&amp;RIGHT(YEAR('Hyperion Panel'!$B$9),2)</f>
        <v>FY10</v>
      </c>
      <c r="L296" s="104">
        <f>'Upload Detail'!L490</f>
        <v>0</v>
      </c>
      <c r="M296" s="104">
        <f>'Upload Detail'!M490</f>
        <v>0</v>
      </c>
      <c r="N296" s="104">
        <f>'Upload Detail'!N490</f>
        <v>0</v>
      </c>
      <c r="O296" s="104">
        <f>'Upload Detail'!O490</f>
        <v>0</v>
      </c>
      <c r="P296" s="104">
        <f>'Upload Detail'!P490</f>
        <v>0</v>
      </c>
      <c r="Q296" s="104">
        <f>'Upload Detail'!Q490</f>
        <v>0</v>
      </c>
      <c r="R296" s="104">
        <f>'Upload Detail'!R490</f>
        <v>0</v>
      </c>
      <c r="S296" s="104">
        <f>'Upload Detail'!S490</f>
        <v>0</v>
      </c>
      <c r="T296" s="104">
        <f>'Upload Detail'!T490</f>
        <v>0</v>
      </c>
      <c r="U296" s="104">
        <f>'Upload Detail'!U490</f>
        <v>0</v>
      </c>
      <c r="V296" s="104">
        <f>'Upload Detail'!V490</f>
        <v>9640</v>
      </c>
      <c r="W296" s="104">
        <f>'Upload Detail'!W490</f>
        <v>9640</v>
      </c>
      <c r="Y296" s="1690"/>
    </row>
    <row r="297" spans="1:25" s="104" customFormat="1">
      <c r="A297" s="104" t="s">
        <v>734</v>
      </c>
      <c r="B297" s="104" t="str">
        <f t="shared" si="8"/>
        <v>X10_11032_00494</v>
      </c>
      <c r="C297" s="104" t="str">
        <f t="shared" si="9"/>
        <v>LE_XXXX</v>
      </c>
      <c r="D297" s="104" t="s">
        <v>2886</v>
      </c>
      <c r="E297" s="104">
        <v>6800</v>
      </c>
      <c r="F297" s="104" t="s">
        <v>731</v>
      </c>
      <c r="G297" s="104" t="s">
        <v>2889</v>
      </c>
      <c r="H297" s="104" t="s">
        <v>154</v>
      </c>
      <c r="I297" s="104" t="s">
        <v>146</v>
      </c>
      <c r="J297" s="104" t="s">
        <v>147</v>
      </c>
      <c r="K297" s="104" t="str">
        <f>+"FY"&amp;RIGHT(YEAR('Hyperion Panel'!$B$9),2)</f>
        <v>FY10</v>
      </c>
      <c r="L297" s="104">
        <f>'Upload Detail'!L491</f>
        <v>0</v>
      </c>
      <c r="M297" s="104">
        <f>'Upload Detail'!M491</f>
        <v>0</v>
      </c>
      <c r="N297" s="104">
        <f>'Upload Detail'!N491</f>
        <v>0</v>
      </c>
      <c r="O297" s="104">
        <f>'Upload Detail'!O491</f>
        <v>0</v>
      </c>
      <c r="P297" s="104">
        <f>'Upload Detail'!P491</f>
        <v>0</v>
      </c>
      <c r="Q297" s="104">
        <f>'Upload Detail'!Q491</f>
        <v>0</v>
      </c>
      <c r="R297" s="104">
        <f>'Upload Detail'!R491</f>
        <v>0</v>
      </c>
      <c r="S297" s="104">
        <f>'Upload Detail'!S491</f>
        <v>0</v>
      </c>
      <c r="T297" s="104">
        <f>'Upload Detail'!T491</f>
        <v>0</v>
      </c>
      <c r="U297" s="104">
        <f>'Upload Detail'!U491</f>
        <v>0</v>
      </c>
      <c r="V297" s="104">
        <f>'Upload Detail'!V491</f>
        <v>1750</v>
      </c>
      <c r="W297" s="104">
        <f>'Upload Detail'!W491</f>
        <v>1750</v>
      </c>
      <c r="Y297" s="1690"/>
    </row>
    <row r="298" spans="1:25">
      <c r="A298" t="s">
        <v>158</v>
      </c>
      <c r="B298" t="str">
        <f t="shared" si="8"/>
        <v>X10_11032_00494</v>
      </c>
      <c r="C298" t="str">
        <f t="shared" si="9"/>
        <v>LE_XXXX</v>
      </c>
      <c r="D298" t="s">
        <v>2886</v>
      </c>
      <c r="E298" t="s">
        <v>159</v>
      </c>
      <c r="F298" t="s">
        <v>156</v>
      </c>
      <c r="G298" t="s">
        <v>2889</v>
      </c>
      <c r="H298" t="s">
        <v>154</v>
      </c>
      <c r="I298" t="s">
        <v>146</v>
      </c>
      <c r="J298" t="s">
        <v>147</v>
      </c>
      <c r="K298" t="str">
        <f>+"FY"&amp;RIGHT(YEAR('Hyperion Panel'!$B$9),2)</f>
        <v>FY10</v>
      </c>
      <c r="L298" s="103">
        <f>'Upload Detail'!L492</f>
        <v>1</v>
      </c>
      <c r="M298" s="103">
        <f>'Upload Detail'!M492</f>
        <v>1</v>
      </c>
      <c r="N298" s="103">
        <f>'Upload Detail'!N492</f>
        <v>1</v>
      </c>
      <c r="O298" s="103">
        <f>'Upload Detail'!O492</f>
        <v>1</v>
      </c>
      <c r="P298" s="103">
        <f>'Upload Detail'!P492</f>
        <v>1</v>
      </c>
      <c r="Q298" s="103">
        <f>'Upload Detail'!Q492</f>
        <v>1</v>
      </c>
      <c r="R298" s="103">
        <f>'Upload Detail'!R492</f>
        <v>1</v>
      </c>
      <c r="S298" s="103">
        <f>'Upload Detail'!S492</f>
        <v>1</v>
      </c>
      <c r="T298" s="103">
        <f>'Upload Detail'!T492</f>
        <v>1</v>
      </c>
      <c r="U298" s="103">
        <f>'Upload Detail'!U492</f>
        <v>1</v>
      </c>
      <c r="V298" s="103">
        <f>'Upload Detail'!V492</f>
        <v>1</v>
      </c>
      <c r="W298" s="103">
        <f>'Upload Detail'!W492</f>
        <v>1</v>
      </c>
    </row>
    <row r="299" spans="1:25">
      <c r="A299" t="s">
        <v>160</v>
      </c>
      <c r="B299" t="str">
        <f t="shared" si="8"/>
        <v>X10_11032_00494</v>
      </c>
      <c r="C299" t="str">
        <f t="shared" si="9"/>
        <v>LE_XXXX</v>
      </c>
      <c r="D299" t="s">
        <v>2886</v>
      </c>
      <c r="E299" t="s">
        <v>161</v>
      </c>
      <c r="F299" t="s">
        <v>156</v>
      </c>
      <c r="G299" t="s">
        <v>2889</v>
      </c>
      <c r="H299" t="s">
        <v>154</v>
      </c>
      <c r="I299" t="s">
        <v>146</v>
      </c>
      <c r="J299" t="s">
        <v>147</v>
      </c>
      <c r="K299" t="str">
        <f>+"FY"&amp;RIGHT(YEAR('Hyperion Panel'!$B$9),2)</f>
        <v>FY10</v>
      </c>
      <c r="L299">
        <f>'Upload Detail'!L493</f>
        <v>0</v>
      </c>
      <c r="M299">
        <f>'Upload Detail'!M493</f>
        <v>0</v>
      </c>
      <c r="N299">
        <f>'Upload Detail'!N493</f>
        <v>0</v>
      </c>
      <c r="O299">
        <f>'Upload Detail'!O493</f>
        <v>0</v>
      </c>
      <c r="P299">
        <f>'Upload Detail'!P493</f>
        <v>0</v>
      </c>
      <c r="Q299">
        <f>'Upload Detail'!Q493</f>
        <v>0</v>
      </c>
      <c r="R299">
        <f>'Upload Detail'!R493</f>
        <v>0</v>
      </c>
      <c r="S299">
        <f>'Upload Detail'!S493</f>
        <v>0</v>
      </c>
      <c r="T299">
        <f>'Upload Detail'!T493</f>
        <v>0</v>
      </c>
      <c r="U299">
        <f>'Upload Detail'!U493</f>
        <v>0</v>
      </c>
      <c r="V299">
        <f>'Upload Detail'!V493</f>
        <v>0</v>
      </c>
      <c r="W299">
        <f>'Upload Detail'!W493</f>
        <v>0</v>
      </c>
    </row>
    <row r="300" spans="1:25" s="104" customFormat="1">
      <c r="A300" s="104" t="s">
        <v>735</v>
      </c>
      <c r="B300" t="str">
        <f t="shared" si="8"/>
        <v>X10_11032_00494</v>
      </c>
      <c r="C300" t="str">
        <f t="shared" si="9"/>
        <v>LE_XXXX</v>
      </c>
      <c r="D300" t="s">
        <v>2886</v>
      </c>
      <c r="F300" s="104" t="s">
        <v>731</v>
      </c>
      <c r="G300" s="104" t="s">
        <v>2889</v>
      </c>
      <c r="H300" s="104" t="s">
        <v>154</v>
      </c>
      <c r="I300" s="104" t="s">
        <v>146</v>
      </c>
      <c r="J300" s="104" t="s">
        <v>147</v>
      </c>
      <c r="K300" t="str">
        <f>+"FY"&amp;RIGHT(YEAR('Hyperion Panel'!$B$9),2)</f>
        <v>FY10</v>
      </c>
      <c r="L300" s="104">
        <f>'Upload Detail'!L494</f>
        <v>0</v>
      </c>
      <c r="M300" s="104">
        <f>'Upload Detail'!M494</f>
        <v>0</v>
      </c>
      <c r="N300" s="104">
        <f>'Upload Detail'!N494</f>
        <v>0</v>
      </c>
      <c r="O300" s="104">
        <f>'Upload Detail'!O494</f>
        <v>0</v>
      </c>
      <c r="P300" s="104">
        <f>'Upload Detail'!P494</f>
        <v>0</v>
      </c>
      <c r="Q300" s="104">
        <f>'Upload Detail'!Q494</f>
        <v>0</v>
      </c>
      <c r="R300" s="104">
        <f>'Upload Detail'!R494</f>
        <v>0</v>
      </c>
      <c r="S300" s="104">
        <f>'Upload Detail'!S494</f>
        <v>0</v>
      </c>
      <c r="T300" s="104">
        <f>'Upload Detail'!T494</f>
        <v>0</v>
      </c>
      <c r="U300" s="104">
        <f>'Upload Detail'!U494</f>
        <v>0</v>
      </c>
      <c r="V300" s="104">
        <f>'Upload Detail'!V494</f>
        <v>0</v>
      </c>
      <c r="W300" s="104">
        <f>'Upload Detail'!W494</f>
        <v>0</v>
      </c>
    </row>
    <row r="301" spans="1:25" s="106" customFormat="1">
      <c r="A301" s="106" t="s">
        <v>165</v>
      </c>
      <c r="B301" s="106" t="str">
        <f t="shared" si="8"/>
        <v>X10_11032_00494</v>
      </c>
      <c r="C301" s="106" t="str">
        <f t="shared" si="9"/>
        <v>LE_XXXX</v>
      </c>
      <c r="D301" s="106" t="s">
        <v>2886</v>
      </c>
      <c r="E301" s="106" t="s">
        <v>2887</v>
      </c>
      <c r="F301" s="106" t="s">
        <v>2888</v>
      </c>
      <c r="G301" s="106" t="s">
        <v>2889</v>
      </c>
      <c r="H301" s="106" t="s">
        <v>145</v>
      </c>
      <c r="I301" s="106" t="s">
        <v>146</v>
      </c>
      <c r="J301" s="106" t="s">
        <v>147</v>
      </c>
      <c r="K301" s="106" t="str">
        <f>+"FY"&amp;RIGHT(YEAR('Hyperion Panel'!$B$9)+1,2)</f>
        <v>FY11</v>
      </c>
      <c r="L301" s="106">
        <f>SUM('Upload Detail'!L497:L498)</f>
        <v>598</v>
      </c>
      <c r="M301" s="106">
        <f>SUM('Upload Detail'!M497:M498)</f>
        <v>598</v>
      </c>
      <c r="N301" s="106">
        <f>SUM('Upload Detail'!N497:N498)</f>
        <v>598</v>
      </c>
      <c r="O301" s="106">
        <f>SUM('Upload Detail'!O497:O498)</f>
        <v>598</v>
      </c>
      <c r="P301" s="106">
        <f>SUM('Upload Detail'!P497:P498)</f>
        <v>598</v>
      </c>
      <c r="Q301" s="106">
        <f>SUM('Upload Detail'!Q497:Q498)</f>
        <v>598</v>
      </c>
      <c r="R301" s="106">
        <f>SUM('Upload Detail'!R497:R498)</f>
        <v>598</v>
      </c>
      <c r="S301" s="106">
        <f>SUM('Upload Detail'!S497:S498)</f>
        <v>598</v>
      </c>
      <c r="T301" s="106">
        <f>SUM('Upload Detail'!T497:T498)</f>
        <v>598</v>
      </c>
      <c r="U301" s="106">
        <f>SUM('Upload Detail'!U497:U498)</f>
        <v>598</v>
      </c>
      <c r="V301" s="106">
        <f>SUM('Upload Detail'!V497:V498)</f>
        <v>598</v>
      </c>
      <c r="W301" s="106">
        <f>SUM('Upload Detail'!W497:W498)</f>
        <v>598</v>
      </c>
    </row>
    <row r="302" spans="1:25" s="106" customFormat="1">
      <c r="A302" s="106" t="s">
        <v>162</v>
      </c>
      <c r="B302" s="106" t="str">
        <f t="shared" si="8"/>
        <v>X10_11032_00494</v>
      </c>
      <c r="C302" s="106" t="str">
        <f t="shared" si="9"/>
        <v>LE_XXXX</v>
      </c>
      <c r="D302" s="106" t="s">
        <v>2886</v>
      </c>
      <c r="E302" s="106" t="s">
        <v>149</v>
      </c>
      <c r="F302" s="106" t="s">
        <v>150</v>
      </c>
      <c r="G302" s="106" t="s">
        <v>2889</v>
      </c>
      <c r="H302" s="106" t="s">
        <v>145</v>
      </c>
      <c r="I302" s="106" t="s">
        <v>146</v>
      </c>
      <c r="J302" s="106" t="s">
        <v>147</v>
      </c>
      <c r="K302" s="106" t="str">
        <f>+"FY"&amp;RIGHT(YEAR('Hyperion Panel'!$B$9)+1,2)</f>
        <v>FY11</v>
      </c>
      <c r="L302" s="106">
        <f>SUM('Upload Detail'!L500:L501)</f>
        <v>247</v>
      </c>
      <c r="M302" s="106">
        <f>SUM('Upload Detail'!M500:M501)</f>
        <v>247</v>
      </c>
      <c r="N302" s="106">
        <f>SUM('Upload Detail'!N500:N501)</f>
        <v>247</v>
      </c>
      <c r="O302" s="106">
        <f>SUM('Upload Detail'!O500:O501)</f>
        <v>247</v>
      </c>
      <c r="P302" s="106">
        <f>SUM('Upload Detail'!P500:P501)</f>
        <v>247</v>
      </c>
      <c r="Q302" s="106">
        <f>SUM('Upload Detail'!Q500:Q501)</f>
        <v>247</v>
      </c>
      <c r="R302" s="106">
        <f>SUM('Upload Detail'!R500:R501)</f>
        <v>247</v>
      </c>
      <c r="S302" s="106">
        <f>SUM('Upload Detail'!S500:S501)</f>
        <v>247</v>
      </c>
      <c r="T302" s="106">
        <f>SUM('Upload Detail'!T500:T501)</f>
        <v>247</v>
      </c>
      <c r="U302" s="106">
        <f>SUM('Upload Detail'!U500:U501)</f>
        <v>247</v>
      </c>
      <c r="V302" s="106">
        <f>SUM('Upload Detail'!V500:V501)</f>
        <v>247</v>
      </c>
      <c r="W302" s="106">
        <f>SUM('Upload Detail'!W500:W501)</f>
        <v>247</v>
      </c>
    </row>
    <row r="303" spans="1:25" s="1693" customFormat="1">
      <c r="A303" s="1693" t="s">
        <v>3767</v>
      </c>
      <c r="B303" s="1693" t="str">
        <f t="shared" si="8"/>
        <v>X10_11032_00494</v>
      </c>
      <c r="C303" s="1693" t="str">
        <f t="shared" si="9"/>
        <v>LE_XXXX</v>
      </c>
      <c r="D303" s="1693" t="s">
        <v>2886</v>
      </c>
      <c r="E303" s="1693" t="s">
        <v>719</v>
      </c>
      <c r="F303" s="1693" t="s">
        <v>731</v>
      </c>
      <c r="G303" s="1693" t="s">
        <v>2889</v>
      </c>
      <c r="H303" s="1693" t="s">
        <v>145</v>
      </c>
      <c r="I303" s="1693" t="s">
        <v>146</v>
      </c>
      <c r="J303" s="1693" t="s">
        <v>147</v>
      </c>
      <c r="K303" s="106" t="str">
        <f>+"FY"&amp;RIGHT(YEAR('Hyperion Panel'!$B$9)+1,2)</f>
        <v>FY11</v>
      </c>
      <c r="L303" s="1693">
        <f>SUM('Upload Detail'!L503:L504)</f>
        <v>65</v>
      </c>
      <c r="M303" s="1693">
        <f>SUM('Upload Detail'!M503:M504)</f>
        <v>65</v>
      </c>
      <c r="N303" s="1693">
        <f>SUM('Upload Detail'!N503:N504)</f>
        <v>65</v>
      </c>
      <c r="O303" s="1693">
        <f>SUM('Upload Detail'!O503:O504)</f>
        <v>65</v>
      </c>
      <c r="P303" s="1693">
        <f>SUM('Upload Detail'!P503:P504)</f>
        <v>65</v>
      </c>
      <c r="Q303" s="1693">
        <f>SUM('Upload Detail'!Q503:Q504)</f>
        <v>65</v>
      </c>
      <c r="R303" s="1693">
        <f>SUM('Upload Detail'!R503:R504)</f>
        <v>65</v>
      </c>
      <c r="S303" s="1693">
        <f>SUM('Upload Detail'!S503:S504)</f>
        <v>65</v>
      </c>
      <c r="T303" s="1693">
        <f>SUM('Upload Detail'!T503:T504)</f>
        <v>65</v>
      </c>
      <c r="U303" s="1693">
        <f>SUM('Upload Detail'!U503:U504)</f>
        <v>65</v>
      </c>
      <c r="V303" s="1693">
        <f>SUM('Upload Detail'!V503:V504)</f>
        <v>65</v>
      </c>
      <c r="W303" s="1693">
        <f>SUM('Upload Detail'!W503:W504)</f>
        <v>65</v>
      </c>
    </row>
    <row r="304" spans="1:25" s="106" customFormat="1">
      <c r="A304" s="106" t="s">
        <v>163</v>
      </c>
      <c r="B304" s="106" t="str">
        <f t="shared" si="8"/>
        <v>X10_11032_00494</v>
      </c>
      <c r="C304" s="106" t="str">
        <f t="shared" si="9"/>
        <v>LE_XXXX</v>
      </c>
      <c r="D304" s="106" t="s">
        <v>2886</v>
      </c>
      <c r="E304" s="106">
        <v>3010</v>
      </c>
      <c r="F304" s="106" t="s">
        <v>2888</v>
      </c>
      <c r="G304" s="106" t="s">
        <v>2889</v>
      </c>
      <c r="H304" s="106" t="s">
        <v>145</v>
      </c>
      <c r="I304" s="106" t="s">
        <v>146</v>
      </c>
      <c r="J304" s="106" t="s">
        <v>147</v>
      </c>
      <c r="K304" s="106" t="str">
        <f>+"FY"&amp;RIGHT(YEAR('Hyperion Panel'!$B$9)+1,2)</f>
        <v>FY11</v>
      </c>
      <c r="L304" s="106">
        <f>SUM('Upload Detail'!L506:L507)</f>
        <v>172953.90732544177</v>
      </c>
      <c r="M304" s="106">
        <f>SUM('Upload Detail'!M506:M507)</f>
        <v>172953.90732544177</v>
      </c>
      <c r="N304" s="106">
        <f>SUM('Upload Detail'!N506:N507)</f>
        <v>172953.90732544177</v>
      </c>
      <c r="O304" s="106">
        <f>SUM('Upload Detail'!O506:O507)</f>
        <v>172953.90732544177</v>
      </c>
      <c r="P304" s="106">
        <f>SUM('Upload Detail'!P506:P507)</f>
        <v>172953.90732544177</v>
      </c>
      <c r="Q304" s="106">
        <f>SUM('Upload Detail'!Q506:Q507)</f>
        <v>172953.90732544177</v>
      </c>
      <c r="R304" s="106">
        <f>SUM('Upload Detail'!R506:R507)</f>
        <v>172953.90732544177</v>
      </c>
      <c r="S304" s="106">
        <f>SUM('Upload Detail'!S506:S507)</f>
        <v>172953.90732544177</v>
      </c>
      <c r="T304" s="106">
        <f>SUM('Upload Detail'!T506:T507)</f>
        <v>172953.90732544177</v>
      </c>
      <c r="U304" s="106">
        <f>SUM('Upload Detail'!U506:U507)</f>
        <v>172953.90732544177</v>
      </c>
      <c r="V304" s="106">
        <f>SUM('Upload Detail'!V506:V507)</f>
        <v>173141.53275853995</v>
      </c>
      <c r="W304" s="106">
        <f>SUM('Upload Detail'!W506:W507)</f>
        <v>173141.53275853995</v>
      </c>
    </row>
    <row r="305" spans="1:25" s="106" customFormat="1">
      <c r="A305" s="106" t="s">
        <v>164</v>
      </c>
      <c r="B305" s="106" t="str">
        <f t="shared" si="8"/>
        <v>X10_11032_00494</v>
      </c>
      <c r="C305" s="106" t="str">
        <f t="shared" si="9"/>
        <v>LE_XXXX</v>
      </c>
      <c r="D305" s="106" t="s">
        <v>2886</v>
      </c>
      <c r="E305" s="106">
        <v>3030</v>
      </c>
      <c r="F305" s="106" t="s">
        <v>150</v>
      </c>
      <c r="G305" s="106" t="s">
        <v>2889</v>
      </c>
      <c r="H305" s="106" t="s">
        <v>145</v>
      </c>
      <c r="I305" s="106" t="s">
        <v>146</v>
      </c>
      <c r="J305" s="106" t="s">
        <v>147</v>
      </c>
      <c r="K305" s="106" t="str">
        <f>+"FY"&amp;RIGHT(YEAR('Hyperion Panel'!$B$9)+1,2)</f>
        <v>FY11</v>
      </c>
      <c r="L305" s="106">
        <f>SUM('Upload Detail'!L509:L510)</f>
        <v>118919.72127984778</v>
      </c>
      <c r="M305" s="106">
        <f>SUM('Upload Detail'!M509:M510)</f>
        <v>118919.72127984778</v>
      </c>
      <c r="N305" s="106">
        <f>SUM('Upload Detail'!N509:N510)</f>
        <v>118919.72127984778</v>
      </c>
      <c r="O305" s="106">
        <f>SUM('Upload Detail'!O509:O510)</f>
        <v>118919.72127984778</v>
      </c>
      <c r="P305" s="106">
        <f>SUM('Upload Detail'!P509:P510)</f>
        <v>118919.72127984778</v>
      </c>
      <c r="Q305" s="106">
        <f>SUM('Upload Detail'!Q509:Q510)</f>
        <v>118919.72127984778</v>
      </c>
      <c r="R305" s="106">
        <f>SUM('Upload Detail'!R509:R510)</f>
        <v>118919.72127984778</v>
      </c>
      <c r="S305" s="106">
        <f>SUM('Upload Detail'!S509:S510)</f>
        <v>118919.72127984778</v>
      </c>
      <c r="T305" s="106">
        <f>SUM('Upload Detail'!T509:T510)</f>
        <v>118919.72127984778</v>
      </c>
      <c r="U305" s="106">
        <f>SUM('Upload Detail'!U509:U510)</f>
        <v>118919.72127984778</v>
      </c>
      <c r="V305" s="106">
        <f>SUM('Upload Detail'!V509:V510)</f>
        <v>120543.10575276063</v>
      </c>
      <c r="W305" s="106">
        <f>SUM('Upload Detail'!W509:W510)</f>
        <v>120543.10575276063</v>
      </c>
    </row>
    <row r="306" spans="1:25" s="1693" customFormat="1">
      <c r="A306" s="1693" t="s">
        <v>3768</v>
      </c>
      <c r="B306" s="1693" t="str">
        <f t="shared" si="8"/>
        <v>X10_11032_00494</v>
      </c>
      <c r="C306" s="1693" t="str">
        <f t="shared" si="9"/>
        <v>LE_XXXX</v>
      </c>
      <c r="D306" s="1693" t="s">
        <v>2886</v>
      </c>
      <c r="E306" s="1693">
        <v>3050</v>
      </c>
      <c r="F306" s="1693" t="s">
        <v>731</v>
      </c>
      <c r="G306" s="1693" t="s">
        <v>2889</v>
      </c>
      <c r="H306" s="1693" t="s">
        <v>145</v>
      </c>
      <c r="I306" s="1693" t="s">
        <v>146</v>
      </c>
      <c r="J306" s="1693" t="s">
        <v>147</v>
      </c>
      <c r="K306" s="106" t="str">
        <f>+"FY"&amp;RIGHT(YEAR('Hyperion Panel'!$B$9)+1,2)</f>
        <v>FY11</v>
      </c>
      <c r="L306" s="1693">
        <f>SUM('Upload Detail'!L512:L513)</f>
        <v>16927.071343873515</v>
      </c>
      <c r="M306" s="1693">
        <f>SUM('Upload Detail'!M512:M513)</f>
        <v>16927.071343873515</v>
      </c>
      <c r="N306" s="1693">
        <f>SUM('Upload Detail'!N512:N513)</f>
        <v>16927.071343873515</v>
      </c>
      <c r="O306" s="1693">
        <f>SUM('Upload Detail'!O512:O513)</f>
        <v>16927.071343873515</v>
      </c>
      <c r="P306" s="1693">
        <f>SUM('Upload Detail'!P512:P513)</f>
        <v>16927.071343873515</v>
      </c>
      <c r="Q306" s="1693">
        <f>SUM('Upload Detail'!Q512:Q513)</f>
        <v>16927.071343873515</v>
      </c>
      <c r="R306" s="1693">
        <f>SUM('Upload Detail'!R512:R513)</f>
        <v>16927.071343873515</v>
      </c>
      <c r="S306" s="1693">
        <f>SUM('Upload Detail'!S512:S513)</f>
        <v>16927.071343873515</v>
      </c>
      <c r="T306" s="1693">
        <f>SUM('Upload Detail'!T512:T513)</f>
        <v>16927.071343873515</v>
      </c>
      <c r="U306" s="1693">
        <f>SUM('Upload Detail'!U512:U513)</f>
        <v>16927.071343873515</v>
      </c>
      <c r="V306" s="1693">
        <f>SUM('Upload Detail'!V512:V513)</f>
        <v>16884.753665513832</v>
      </c>
      <c r="W306" s="1693">
        <f>SUM('Upload Detail'!W512:W513)</f>
        <v>16884.753665513832</v>
      </c>
    </row>
    <row r="307" spans="1:25">
      <c r="A307" t="s">
        <v>2651</v>
      </c>
      <c r="B307" t="str">
        <f t="shared" si="8"/>
        <v>X10_11032_00494</v>
      </c>
      <c r="C307" t="str">
        <f t="shared" si="9"/>
        <v>LE_XXXX</v>
      </c>
      <c r="D307" t="s">
        <v>2886</v>
      </c>
      <c r="E307">
        <v>6010</v>
      </c>
      <c r="F307" t="s">
        <v>2888</v>
      </c>
      <c r="G307" t="s">
        <v>153</v>
      </c>
      <c r="H307" t="s">
        <v>154</v>
      </c>
      <c r="I307" t="s">
        <v>146</v>
      </c>
      <c r="J307" t="s">
        <v>147</v>
      </c>
      <c r="K307" t="str">
        <f>+"FY"&amp;RIGHT(YEAR('Hyperion Panel'!$B$9)+1,2)</f>
        <v>FY11</v>
      </c>
      <c r="L307">
        <f>'Upload Detail'!L514</f>
        <v>38699.784812132857</v>
      </c>
      <c r="M307">
        <f>'Upload Detail'!M514</f>
        <v>38699.784812132857</v>
      </c>
      <c r="N307">
        <f>'Upload Detail'!N514</f>
        <v>38699.784812132857</v>
      </c>
      <c r="O307">
        <f>'Upload Detail'!O514</f>
        <v>38699.784812132857</v>
      </c>
      <c r="P307">
        <f>'Upload Detail'!P514</f>
        <v>38699.784812132857</v>
      </c>
      <c r="Q307">
        <f>'Upload Detail'!Q514</f>
        <v>38699.784812132857</v>
      </c>
      <c r="R307">
        <f>'Upload Detail'!R514</f>
        <v>38699.784812132857</v>
      </c>
      <c r="S307">
        <f>'Upload Detail'!S514</f>
        <v>38699.784812132857</v>
      </c>
      <c r="T307">
        <f>'Upload Detail'!T514</f>
        <v>38699.784812132857</v>
      </c>
      <c r="U307">
        <f>'Upload Detail'!U514</f>
        <v>38699.784812132857</v>
      </c>
      <c r="V307">
        <f>'Upload Detail'!V514</f>
        <v>39860.778356496841</v>
      </c>
      <c r="W307">
        <f>'Upload Detail'!W514</f>
        <v>39860.778356496841</v>
      </c>
      <c r="Y307" s="105"/>
    </row>
    <row r="308" spans="1:25">
      <c r="A308" t="s">
        <v>2652</v>
      </c>
      <c r="B308" t="str">
        <f t="shared" si="8"/>
        <v>X10_11032_00494</v>
      </c>
      <c r="C308" t="str">
        <f t="shared" si="9"/>
        <v>LE_XXXX</v>
      </c>
      <c r="D308" t="s">
        <v>2886</v>
      </c>
      <c r="E308">
        <v>6010</v>
      </c>
      <c r="F308" t="s">
        <v>2888</v>
      </c>
      <c r="G308" t="s">
        <v>155</v>
      </c>
      <c r="H308" t="s">
        <v>154</v>
      </c>
      <c r="I308" t="s">
        <v>146</v>
      </c>
      <c r="J308" t="s">
        <v>147</v>
      </c>
      <c r="K308" t="str">
        <f>+"FY"&amp;RIGHT(YEAR('Hyperion Panel'!$B$9)+1,2)</f>
        <v>FY11</v>
      </c>
      <c r="L308">
        <f>'Upload Detail'!L515</f>
        <v>14795</v>
      </c>
      <c r="M308">
        <f>'Upload Detail'!M515</f>
        <v>14795</v>
      </c>
      <c r="N308">
        <f>'Upload Detail'!N515</f>
        <v>14795</v>
      </c>
      <c r="O308">
        <f>'Upload Detail'!O515</f>
        <v>14795</v>
      </c>
      <c r="P308">
        <f>'Upload Detail'!P515</f>
        <v>14795</v>
      </c>
      <c r="Q308">
        <f>'Upload Detail'!Q515</f>
        <v>14795</v>
      </c>
      <c r="R308">
        <f>'Upload Detail'!R515</f>
        <v>14795</v>
      </c>
      <c r="S308">
        <f>'Upload Detail'!S515</f>
        <v>14795</v>
      </c>
      <c r="T308">
        <f>'Upload Detail'!T515</f>
        <v>14795</v>
      </c>
      <c r="U308">
        <f>'Upload Detail'!U515</f>
        <v>14795</v>
      </c>
      <c r="V308">
        <f>'Upload Detail'!V515</f>
        <v>15238.85</v>
      </c>
      <c r="W308">
        <f>'Upload Detail'!W515</f>
        <v>15238.85</v>
      </c>
      <c r="Y308" s="105"/>
    </row>
    <row r="309" spans="1:25">
      <c r="A309" t="s">
        <v>2653</v>
      </c>
      <c r="B309" t="str">
        <f t="shared" si="8"/>
        <v>X10_11032_00494</v>
      </c>
      <c r="C309" t="str">
        <f t="shared" si="9"/>
        <v>LE_XXXX</v>
      </c>
      <c r="D309" t="s">
        <v>2886</v>
      </c>
      <c r="E309">
        <v>6051</v>
      </c>
      <c r="F309" t="s">
        <v>2888</v>
      </c>
      <c r="G309" t="s">
        <v>153</v>
      </c>
      <c r="H309" t="s">
        <v>154</v>
      </c>
      <c r="I309" t="s">
        <v>146</v>
      </c>
      <c r="J309" t="s">
        <v>147</v>
      </c>
      <c r="K309" t="str">
        <f>+"FY"&amp;RIGHT(YEAR('Hyperion Panel'!$B$9)+1,2)</f>
        <v>FY11</v>
      </c>
      <c r="L309">
        <f>'Upload Detail'!L516</f>
        <v>18890.728391370059</v>
      </c>
      <c r="M309">
        <f>'Upload Detail'!M516</f>
        <v>18890.728391370059</v>
      </c>
      <c r="N309">
        <f>'Upload Detail'!N516</f>
        <v>18890.728391370059</v>
      </c>
      <c r="O309">
        <f>'Upload Detail'!O516</f>
        <v>18890.728391370059</v>
      </c>
      <c r="P309">
        <f>'Upload Detail'!P516</f>
        <v>18890.728391370059</v>
      </c>
      <c r="Q309">
        <f>'Upload Detail'!Q516</f>
        <v>18890.728391370059</v>
      </c>
      <c r="R309">
        <f>'Upload Detail'!R516</f>
        <v>18890.728391370059</v>
      </c>
      <c r="S309">
        <f>'Upload Detail'!S516</f>
        <v>18890.728391370059</v>
      </c>
      <c r="T309">
        <f>'Upload Detail'!T516</f>
        <v>18890.728391370059</v>
      </c>
      <c r="U309">
        <f>'Upload Detail'!U516</f>
        <v>18890.728391370059</v>
      </c>
      <c r="V309">
        <f>'Upload Detail'!V516</f>
        <v>19457.450243111161</v>
      </c>
      <c r="W309">
        <f>'Upload Detail'!W516</f>
        <v>19457.450243111161</v>
      </c>
      <c r="Y309" s="105"/>
    </row>
    <row r="310" spans="1:25">
      <c r="A310" t="s">
        <v>2654</v>
      </c>
      <c r="B310" t="str">
        <f t="shared" si="8"/>
        <v>X10_11032_00494</v>
      </c>
      <c r="C310" t="str">
        <f t="shared" si="9"/>
        <v>LE_XXXX</v>
      </c>
      <c r="D310" t="s">
        <v>2886</v>
      </c>
      <c r="E310">
        <v>6011</v>
      </c>
      <c r="F310" t="s">
        <v>2888</v>
      </c>
      <c r="G310" t="s">
        <v>153</v>
      </c>
      <c r="H310" t="s">
        <v>154</v>
      </c>
      <c r="I310" t="s">
        <v>146</v>
      </c>
      <c r="J310" t="s">
        <v>147</v>
      </c>
      <c r="K310" t="str">
        <f>+"FY"&amp;RIGHT(YEAR('Hyperion Panel'!$B$9)+1,2)</f>
        <v>FY11</v>
      </c>
      <c r="L310">
        <f>'Upload Detail'!L517</f>
        <v>0</v>
      </c>
      <c r="M310">
        <f>'Upload Detail'!M517</f>
        <v>0</v>
      </c>
      <c r="N310">
        <f>'Upload Detail'!N517</f>
        <v>0</v>
      </c>
      <c r="O310">
        <f>'Upload Detail'!O517</f>
        <v>0</v>
      </c>
      <c r="P310">
        <f>'Upload Detail'!P517</f>
        <v>0</v>
      </c>
      <c r="Q310">
        <f>'Upload Detail'!Q517</f>
        <v>0</v>
      </c>
      <c r="R310">
        <f>'Upload Detail'!R517</f>
        <v>0</v>
      </c>
      <c r="S310">
        <f>'Upload Detail'!S517</f>
        <v>0</v>
      </c>
      <c r="T310">
        <f>'Upload Detail'!T517</f>
        <v>0</v>
      </c>
      <c r="U310">
        <f>'Upload Detail'!U517</f>
        <v>0</v>
      </c>
      <c r="V310">
        <f>'Upload Detail'!V517</f>
        <v>0</v>
      </c>
      <c r="W310">
        <f>'Upload Detail'!W517</f>
        <v>0</v>
      </c>
      <c r="Y310" s="105"/>
    </row>
    <row r="311" spans="1:25">
      <c r="A311" t="s">
        <v>3696</v>
      </c>
      <c r="B311" t="str">
        <f t="shared" si="8"/>
        <v>X10_11032_00494</v>
      </c>
      <c r="C311" t="str">
        <f t="shared" si="9"/>
        <v>LE_XXXX</v>
      </c>
      <c r="D311" t="s">
        <v>2886</v>
      </c>
      <c r="E311">
        <v>6600</v>
      </c>
      <c r="F311" t="s">
        <v>2888</v>
      </c>
      <c r="G311" t="s">
        <v>2889</v>
      </c>
      <c r="H311" t="s">
        <v>154</v>
      </c>
      <c r="I311" t="s">
        <v>146</v>
      </c>
      <c r="J311" t="s">
        <v>147</v>
      </c>
      <c r="K311" t="str">
        <f>+"FY"&amp;RIGHT(YEAR('Hyperion Panel'!$B$9)+1,2)</f>
        <v>FY11</v>
      </c>
      <c r="L311">
        <f>'Upload Detail'!L518</f>
        <v>52958.887494461407</v>
      </c>
      <c r="M311">
        <f>'Upload Detail'!M518</f>
        <v>52958.887494461407</v>
      </c>
      <c r="N311">
        <f>'Upload Detail'!N518</f>
        <v>52958.887494461407</v>
      </c>
      <c r="O311">
        <f>'Upload Detail'!O518</f>
        <v>52958.887494461407</v>
      </c>
      <c r="P311">
        <f>'Upload Detail'!P518</f>
        <v>52958.887494461407</v>
      </c>
      <c r="Q311">
        <f>'Upload Detail'!Q518</f>
        <v>52958.887494461407</v>
      </c>
      <c r="R311">
        <f>'Upload Detail'!R518</f>
        <v>52958.887494461407</v>
      </c>
      <c r="S311">
        <f>'Upload Detail'!S518</f>
        <v>52958.887494461407</v>
      </c>
      <c r="T311">
        <f>'Upload Detail'!T518</f>
        <v>52958.887494461407</v>
      </c>
      <c r="U311">
        <f>'Upload Detail'!U518</f>
        <v>52958.887494461407</v>
      </c>
      <c r="V311">
        <f>'Upload Detail'!V518</f>
        <v>54018.065244350641</v>
      </c>
      <c r="W311">
        <f>'Upload Detail'!W518</f>
        <v>54018.065244350641</v>
      </c>
      <c r="Y311" s="105"/>
    </row>
    <row r="312" spans="1:25">
      <c r="A312" t="s">
        <v>1381</v>
      </c>
      <c r="B312" t="str">
        <f t="shared" si="8"/>
        <v>X10_11032_00494</v>
      </c>
      <c r="C312" t="str">
        <f t="shared" si="9"/>
        <v>LE_XXXX</v>
      </c>
      <c r="D312" t="s">
        <v>2886</v>
      </c>
      <c r="E312">
        <v>6800</v>
      </c>
      <c r="F312" t="s">
        <v>156</v>
      </c>
      <c r="G312" t="s">
        <v>2889</v>
      </c>
      <c r="H312" t="s">
        <v>154</v>
      </c>
      <c r="I312" t="s">
        <v>146</v>
      </c>
      <c r="J312" t="s">
        <v>147</v>
      </c>
      <c r="K312" t="str">
        <f>+"FY"&amp;RIGHT(YEAR('Hyperion Panel'!$B$9)+1,2)</f>
        <v>FY11</v>
      </c>
      <c r="L312">
        <f>'Upload Detail'!L519</f>
        <v>19626.014631840881</v>
      </c>
      <c r="M312">
        <f>'Upload Detail'!M519</f>
        <v>19626.014631840881</v>
      </c>
      <c r="N312">
        <f>'Upload Detail'!N519</f>
        <v>19626.014631840881</v>
      </c>
      <c r="O312">
        <f>'Upload Detail'!O519</f>
        <v>19626.014631840881</v>
      </c>
      <c r="P312">
        <f>'Upload Detail'!P519</f>
        <v>19626.014631840881</v>
      </c>
      <c r="Q312">
        <f>'Upload Detail'!Q519</f>
        <v>19626.014631840881</v>
      </c>
      <c r="R312">
        <f>'Upload Detail'!R519</f>
        <v>19626.014631840881</v>
      </c>
      <c r="S312">
        <f>'Upload Detail'!S519</f>
        <v>19626.014631840881</v>
      </c>
      <c r="T312">
        <f>'Upload Detail'!T519</f>
        <v>19626.014631840881</v>
      </c>
      <c r="U312">
        <f>'Upload Detail'!U519</f>
        <v>19626.014631840881</v>
      </c>
      <c r="V312">
        <f>'Upload Detail'!V519</f>
        <v>20214.79507079611</v>
      </c>
      <c r="W312">
        <f>'Upload Detail'!W519</f>
        <v>20214.79507079611</v>
      </c>
      <c r="Y312" s="105"/>
    </row>
    <row r="313" spans="1:25">
      <c r="A313" t="s">
        <v>3697</v>
      </c>
      <c r="B313" t="str">
        <f t="shared" si="8"/>
        <v>X10_11032_00494</v>
      </c>
      <c r="C313" t="str">
        <f t="shared" si="9"/>
        <v>LE_XXXX</v>
      </c>
      <c r="D313" t="s">
        <v>2886</v>
      </c>
      <c r="E313">
        <v>8600</v>
      </c>
      <c r="F313" t="s">
        <v>156</v>
      </c>
      <c r="G313" t="s">
        <v>2889</v>
      </c>
      <c r="H313" t="s">
        <v>154</v>
      </c>
      <c r="I313" t="s">
        <v>146</v>
      </c>
      <c r="J313" t="s">
        <v>147</v>
      </c>
      <c r="K313" t="str">
        <f>+"FY"&amp;RIGHT(YEAR('Hyperion Panel'!$B$9)+1,2)</f>
        <v>FY11</v>
      </c>
      <c r="L313">
        <f>'Upload Detail'!L520</f>
        <v>16474.989999999998</v>
      </c>
      <c r="M313">
        <f>'Upload Detail'!M520</f>
        <v>16474.989999999998</v>
      </c>
      <c r="N313">
        <f>'Upload Detail'!N520</f>
        <v>16474.989999999998</v>
      </c>
      <c r="O313">
        <f>'Upload Detail'!O520</f>
        <v>16474.989999999998</v>
      </c>
      <c r="P313">
        <f>'Upload Detail'!P520</f>
        <v>16474.989999999998</v>
      </c>
      <c r="Q313">
        <f>'Upload Detail'!Q520</f>
        <v>16474.989999999998</v>
      </c>
      <c r="R313">
        <f>'Upload Detail'!R520</f>
        <v>16474.989999999998</v>
      </c>
      <c r="S313">
        <f>'Upload Detail'!S520</f>
        <v>16474.989999999998</v>
      </c>
      <c r="T313">
        <f>'Upload Detail'!T520</f>
        <v>16474.989999999998</v>
      </c>
      <c r="U313">
        <f>'Upload Detail'!U520</f>
        <v>16474.989999999998</v>
      </c>
      <c r="V313">
        <f>'Upload Detail'!V520</f>
        <v>16969.239699999998</v>
      </c>
      <c r="W313">
        <f>'Upload Detail'!W520</f>
        <v>16969.239699999998</v>
      </c>
      <c r="Y313" s="105"/>
    </row>
    <row r="314" spans="1:25">
      <c r="A314" t="s">
        <v>157</v>
      </c>
      <c r="B314" t="str">
        <f t="shared" si="8"/>
        <v>X10_11032_00494</v>
      </c>
      <c r="C314" t="str">
        <f t="shared" si="9"/>
        <v>LE_XXXX</v>
      </c>
      <c r="D314" t="s">
        <v>2886</v>
      </c>
      <c r="E314">
        <v>6720</v>
      </c>
      <c r="F314" t="s">
        <v>156</v>
      </c>
      <c r="G314" t="s">
        <v>2889</v>
      </c>
      <c r="H314" t="s">
        <v>154</v>
      </c>
      <c r="I314" t="s">
        <v>146</v>
      </c>
      <c r="J314" t="s">
        <v>147</v>
      </c>
      <c r="K314" t="str">
        <f>+"FY"&amp;RIGHT(YEAR('Hyperion Panel'!$B$9)+1,2)</f>
        <v>FY11</v>
      </c>
      <c r="L314">
        <f>'Upload Detail'!L521</f>
        <v>15833.32</v>
      </c>
      <c r="M314">
        <f>'Upload Detail'!M521</f>
        <v>15833.32</v>
      </c>
      <c r="N314">
        <f>'Upload Detail'!N521</f>
        <v>15833.32</v>
      </c>
      <c r="O314">
        <f>'Upload Detail'!O521</f>
        <v>15833.32</v>
      </c>
      <c r="P314">
        <f>'Upload Detail'!P521</f>
        <v>15833.32</v>
      </c>
      <c r="Q314">
        <f>'Upload Detail'!Q521</f>
        <v>15833.32</v>
      </c>
      <c r="R314">
        <f>'Upload Detail'!R521</f>
        <v>15833.32</v>
      </c>
      <c r="S314">
        <f>'Upload Detail'!S521</f>
        <v>15833.32</v>
      </c>
      <c r="T314">
        <f>'Upload Detail'!T521</f>
        <v>15833.32</v>
      </c>
      <c r="U314">
        <f>'Upload Detail'!U521</f>
        <v>15833.32</v>
      </c>
      <c r="V314">
        <f>'Upload Detail'!V521</f>
        <v>15833.32</v>
      </c>
      <c r="W314">
        <f>'Upload Detail'!W521</f>
        <v>15833.32</v>
      </c>
      <c r="Y314" s="105"/>
    </row>
    <row r="315" spans="1:25">
      <c r="A315" t="s">
        <v>3925</v>
      </c>
      <c r="B315" t="str">
        <f t="shared" si="8"/>
        <v>X10_11032_00494</v>
      </c>
      <c r="C315" t="str">
        <f t="shared" si="9"/>
        <v>LE_XXXX</v>
      </c>
      <c r="D315" t="s">
        <v>2886</v>
      </c>
      <c r="E315">
        <v>8110</v>
      </c>
      <c r="F315" t="s">
        <v>156</v>
      </c>
      <c r="G315" t="s">
        <v>2889</v>
      </c>
      <c r="H315" t="s">
        <v>154</v>
      </c>
      <c r="I315" t="s">
        <v>146</v>
      </c>
      <c r="J315" t="s">
        <v>147</v>
      </c>
      <c r="K315" t="str">
        <f>+"FY"&amp;RIGHT(YEAR('Hyperion Panel'!$B$9)+1,2)</f>
        <v>FY11</v>
      </c>
      <c r="L315">
        <f>'Upload Detail'!L522</f>
        <v>1044.7049999999999</v>
      </c>
      <c r="M315">
        <f>'Upload Detail'!M522</f>
        <v>1044.7049999999999</v>
      </c>
      <c r="N315">
        <f>'Upload Detail'!N522</f>
        <v>1044.7049999999999</v>
      </c>
      <c r="O315">
        <f>'Upload Detail'!O522</f>
        <v>1044.7049999999999</v>
      </c>
      <c r="P315">
        <f>'Upload Detail'!P522</f>
        <v>1044.7049999999999</v>
      </c>
      <c r="Q315">
        <f>'Upload Detail'!Q522</f>
        <v>1044.7049999999999</v>
      </c>
      <c r="R315">
        <f>'Upload Detail'!R522</f>
        <v>1044.7049999999999</v>
      </c>
      <c r="S315">
        <f>'Upload Detail'!S522</f>
        <v>1044.7049999999999</v>
      </c>
      <c r="T315">
        <f>'Upload Detail'!T522</f>
        <v>1044.7049999999999</v>
      </c>
      <c r="U315">
        <f>'Upload Detail'!U522</f>
        <v>1044.7049999999999</v>
      </c>
      <c r="V315">
        <f>'Upload Detail'!V522</f>
        <v>1076.0461499999999</v>
      </c>
      <c r="W315">
        <f>'Upload Detail'!W522</f>
        <v>1076.0461499999999</v>
      </c>
      <c r="Y315" s="105"/>
    </row>
    <row r="316" spans="1:25">
      <c r="A316" t="s">
        <v>3926</v>
      </c>
      <c r="B316" t="str">
        <f t="shared" si="8"/>
        <v>X10_11032_00494</v>
      </c>
      <c r="C316" t="str">
        <f t="shared" si="9"/>
        <v>LE_XXXX</v>
      </c>
      <c r="D316" t="s">
        <v>2886</v>
      </c>
      <c r="E316">
        <v>6412</v>
      </c>
      <c r="F316" t="s">
        <v>156</v>
      </c>
      <c r="G316" t="s">
        <v>2889</v>
      </c>
      <c r="H316" t="s">
        <v>154</v>
      </c>
      <c r="I316" t="s">
        <v>146</v>
      </c>
      <c r="J316" t="s">
        <v>147</v>
      </c>
      <c r="K316" t="str">
        <f>+"FY"&amp;RIGHT(YEAR('Hyperion Panel'!$B$9)+1,2)</f>
        <v>FY11</v>
      </c>
      <c r="L316">
        <f>'Upload Detail'!L523</f>
        <v>18564.974605157677</v>
      </c>
      <c r="M316">
        <f>'Upload Detail'!M523</f>
        <v>18564.974605157677</v>
      </c>
      <c r="N316">
        <f>'Upload Detail'!N523</f>
        <v>18564.974605157677</v>
      </c>
      <c r="O316">
        <f>'Upload Detail'!O523</f>
        <v>18564.974605157677</v>
      </c>
      <c r="P316">
        <f>'Upload Detail'!P523</f>
        <v>18564.974605157677</v>
      </c>
      <c r="Q316">
        <f>'Upload Detail'!Q523</f>
        <v>18564.974605157677</v>
      </c>
      <c r="R316">
        <f>'Upload Detail'!R523</f>
        <v>18564.974605157677</v>
      </c>
      <c r="S316">
        <f>'Upload Detail'!S523</f>
        <v>18564.974605157677</v>
      </c>
      <c r="T316">
        <f>'Upload Detail'!T523</f>
        <v>18564.974605157677</v>
      </c>
      <c r="U316">
        <f>'Upload Detail'!U523</f>
        <v>18564.974605157677</v>
      </c>
      <c r="V316">
        <f>'Upload Detail'!V523</f>
        <v>19121.923843312405</v>
      </c>
      <c r="W316">
        <f>'Upload Detail'!W523</f>
        <v>19121.923843312405</v>
      </c>
      <c r="Y316" s="105"/>
    </row>
    <row r="317" spans="1:25" s="104" customFormat="1">
      <c r="A317" s="104" t="s">
        <v>730</v>
      </c>
      <c r="B317" s="104" t="str">
        <f t="shared" si="8"/>
        <v>X10_11032_00494</v>
      </c>
      <c r="C317" s="104" t="str">
        <f t="shared" si="9"/>
        <v>LE_XXXX</v>
      </c>
      <c r="D317" s="104" t="s">
        <v>2886</v>
      </c>
      <c r="E317" s="104">
        <v>8110</v>
      </c>
      <c r="F317" s="104" t="s">
        <v>731</v>
      </c>
      <c r="G317" s="104" t="s">
        <v>2889</v>
      </c>
      <c r="H317" s="104" t="s">
        <v>154</v>
      </c>
      <c r="I317" s="104" t="s">
        <v>146</v>
      </c>
      <c r="J317" s="104" t="s">
        <v>147</v>
      </c>
      <c r="K317" t="str">
        <f>+"FY"&amp;RIGHT(YEAR('Hyperion Panel'!$B$9)+1,2)</f>
        <v>FY11</v>
      </c>
      <c r="L317" s="104">
        <f>'Upload Detail'!L524</f>
        <v>833.33333333333337</v>
      </c>
      <c r="M317" s="104">
        <f>'Upload Detail'!M524</f>
        <v>833.33333333333337</v>
      </c>
      <c r="N317" s="104">
        <f>'Upload Detail'!N524</f>
        <v>833.33333333333337</v>
      </c>
      <c r="O317" s="104">
        <f>'Upload Detail'!O524</f>
        <v>833.33333333333337</v>
      </c>
      <c r="P317" s="104">
        <f>'Upload Detail'!P524</f>
        <v>833.33333333333337</v>
      </c>
      <c r="Q317" s="104">
        <f>'Upload Detail'!Q524</f>
        <v>833.33333333333337</v>
      </c>
      <c r="R317" s="104">
        <f>'Upload Detail'!R524</f>
        <v>833.33333333333337</v>
      </c>
      <c r="S317" s="104">
        <f>'Upload Detail'!S524</f>
        <v>833.33333333333337</v>
      </c>
      <c r="T317" s="104">
        <f>'Upload Detail'!T524</f>
        <v>833.33333333333337</v>
      </c>
      <c r="U317" s="104">
        <f>'Upload Detail'!U524</f>
        <v>833.33333333333337</v>
      </c>
      <c r="V317" s="104">
        <f>'Upload Detail'!V524</f>
        <v>858.33333333333337</v>
      </c>
      <c r="W317" s="104">
        <f>'Upload Detail'!W524</f>
        <v>858.33333333333337</v>
      </c>
      <c r="Y317" s="1690"/>
    </row>
    <row r="318" spans="1:25" s="104" customFormat="1">
      <c r="A318" s="104" t="s">
        <v>732</v>
      </c>
      <c r="B318" s="104" t="str">
        <f t="shared" si="8"/>
        <v>X10_11032_00494</v>
      </c>
      <c r="C318" s="104" t="str">
        <f t="shared" si="9"/>
        <v>LE_XXXX</v>
      </c>
      <c r="D318" s="104" t="s">
        <v>2886</v>
      </c>
      <c r="F318" s="104" t="s">
        <v>731</v>
      </c>
      <c r="G318" s="104" t="s">
        <v>2889</v>
      </c>
      <c r="H318" s="104" t="s">
        <v>154</v>
      </c>
      <c r="I318" s="104" t="s">
        <v>146</v>
      </c>
      <c r="J318" s="104" t="s">
        <v>147</v>
      </c>
      <c r="K318" t="str">
        <f>+"FY"&amp;RIGHT(YEAR('Hyperion Panel'!$B$9)+1,2)</f>
        <v>FY11</v>
      </c>
      <c r="L318" s="104">
        <f>'Upload Detail'!L525</f>
        <v>0</v>
      </c>
      <c r="M318" s="104">
        <f>'Upload Detail'!M525</f>
        <v>0</v>
      </c>
      <c r="N318" s="104">
        <f>'Upload Detail'!N525</f>
        <v>0</v>
      </c>
      <c r="O318" s="104">
        <f>'Upload Detail'!O525</f>
        <v>0</v>
      </c>
      <c r="P318" s="104">
        <f>'Upload Detail'!P525</f>
        <v>0</v>
      </c>
      <c r="Q318" s="104">
        <f>'Upload Detail'!Q525</f>
        <v>0</v>
      </c>
      <c r="R318" s="104">
        <f>'Upload Detail'!R525</f>
        <v>0</v>
      </c>
      <c r="S318" s="104">
        <f>'Upload Detail'!S525</f>
        <v>0</v>
      </c>
      <c r="T318" s="104">
        <f>'Upload Detail'!T525</f>
        <v>0</v>
      </c>
      <c r="U318" s="104">
        <f>'Upload Detail'!U525</f>
        <v>0</v>
      </c>
      <c r="V318" s="104">
        <f>'Upload Detail'!V525</f>
        <v>0</v>
      </c>
      <c r="W318" s="104">
        <f>'Upload Detail'!W525</f>
        <v>0</v>
      </c>
      <c r="Y318" s="1690"/>
    </row>
    <row r="319" spans="1:25" s="104" customFormat="1">
      <c r="A319" s="104" t="s">
        <v>733</v>
      </c>
      <c r="B319" s="104" t="str">
        <f t="shared" si="8"/>
        <v>X10_11032_00494</v>
      </c>
      <c r="C319" s="104" t="str">
        <f t="shared" si="9"/>
        <v>LE_XXXX</v>
      </c>
      <c r="D319" s="104" t="s">
        <v>2886</v>
      </c>
      <c r="F319" s="104" t="s">
        <v>731</v>
      </c>
      <c r="G319" s="104" t="s">
        <v>2889</v>
      </c>
      <c r="H319" s="104" t="s">
        <v>154</v>
      </c>
      <c r="I319" s="104" t="s">
        <v>146</v>
      </c>
      <c r="J319" s="104" t="s">
        <v>147</v>
      </c>
      <c r="K319" t="str">
        <f>+"FY"&amp;RIGHT(YEAR('Hyperion Panel'!$B$9)+1,2)</f>
        <v>FY11</v>
      </c>
      <c r="L319" s="104">
        <f>'Upload Detail'!L526</f>
        <v>9640</v>
      </c>
      <c r="M319" s="104">
        <f>'Upload Detail'!M526</f>
        <v>9640</v>
      </c>
      <c r="N319" s="104">
        <f>'Upload Detail'!N526</f>
        <v>9640</v>
      </c>
      <c r="O319" s="104">
        <f>'Upload Detail'!O526</f>
        <v>9640</v>
      </c>
      <c r="P319" s="104">
        <f>'Upload Detail'!P526</f>
        <v>9640</v>
      </c>
      <c r="Q319" s="104">
        <f>'Upload Detail'!Q526</f>
        <v>9640</v>
      </c>
      <c r="R319" s="104">
        <f>'Upload Detail'!R526</f>
        <v>9640</v>
      </c>
      <c r="S319" s="104">
        <f>'Upload Detail'!S526</f>
        <v>9640</v>
      </c>
      <c r="T319" s="104">
        <f>'Upload Detail'!T526</f>
        <v>9640</v>
      </c>
      <c r="U319" s="104">
        <f>'Upload Detail'!U526</f>
        <v>9640</v>
      </c>
      <c r="V319" s="104">
        <f>'Upload Detail'!V526</f>
        <v>9832.7999999999993</v>
      </c>
      <c r="W319" s="104">
        <f>'Upload Detail'!W526</f>
        <v>9832.7999999999993</v>
      </c>
      <c r="Y319" s="1690"/>
    </row>
    <row r="320" spans="1:25" s="104" customFormat="1">
      <c r="A320" s="104" t="s">
        <v>734</v>
      </c>
      <c r="B320" s="104" t="str">
        <f t="shared" si="8"/>
        <v>X10_11032_00494</v>
      </c>
      <c r="C320" s="104" t="str">
        <f t="shared" si="9"/>
        <v>LE_XXXX</v>
      </c>
      <c r="D320" s="104" t="s">
        <v>2886</v>
      </c>
      <c r="E320" s="104">
        <v>6800</v>
      </c>
      <c r="F320" s="104" t="s">
        <v>731</v>
      </c>
      <c r="G320" s="104" t="s">
        <v>2889</v>
      </c>
      <c r="H320" s="104" t="s">
        <v>154</v>
      </c>
      <c r="I320" s="104" t="s">
        <v>146</v>
      </c>
      <c r="J320" s="104" t="s">
        <v>147</v>
      </c>
      <c r="K320" t="str">
        <f>+"FY"&amp;RIGHT(YEAR('Hyperion Panel'!$B$9)+1,2)</f>
        <v>FY11</v>
      </c>
      <c r="L320" s="104">
        <f>'Upload Detail'!L527</f>
        <v>1750</v>
      </c>
      <c r="M320" s="104">
        <f>'Upload Detail'!M527</f>
        <v>1750</v>
      </c>
      <c r="N320" s="104">
        <f>'Upload Detail'!N527</f>
        <v>1750</v>
      </c>
      <c r="O320" s="104">
        <f>'Upload Detail'!O527</f>
        <v>1750</v>
      </c>
      <c r="P320" s="104">
        <f>'Upload Detail'!P527</f>
        <v>1750</v>
      </c>
      <c r="Q320" s="104">
        <f>'Upload Detail'!Q527</f>
        <v>1750</v>
      </c>
      <c r="R320" s="104">
        <f>'Upload Detail'!R527</f>
        <v>1750</v>
      </c>
      <c r="S320" s="104">
        <f>'Upload Detail'!S527</f>
        <v>1750</v>
      </c>
      <c r="T320" s="104">
        <f>'Upload Detail'!T527</f>
        <v>1750</v>
      </c>
      <c r="U320" s="104">
        <f>'Upload Detail'!U527</f>
        <v>1750</v>
      </c>
      <c r="V320" s="104">
        <f>'Upload Detail'!V527</f>
        <v>1802.5</v>
      </c>
      <c r="W320" s="104">
        <f>'Upload Detail'!W527</f>
        <v>1802.5</v>
      </c>
      <c r="Y320" s="1690"/>
    </row>
    <row r="321" spans="1:23">
      <c r="A321" t="s">
        <v>158</v>
      </c>
      <c r="B321" t="str">
        <f t="shared" si="8"/>
        <v>X10_11032_00494</v>
      </c>
      <c r="C321" t="str">
        <f t="shared" si="9"/>
        <v>LE_XXXX</v>
      </c>
      <c r="D321" t="s">
        <v>2886</v>
      </c>
      <c r="E321" t="s">
        <v>159</v>
      </c>
      <c r="F321" t="s">
        <v>156</v>
      </c>
      <c r="G321" t="s">
        <v>2889</v>
      </c>
      <c r="H321" t="s">
        <v>154</v>
      </c>
      <c r="I321" t="s">
        <v>146</v>
      </c>
      <c r="J321" t="s">
        <v>147</v>
      </c>
      <c r="K321" t="str">
        <f>+"FY"&amp;RIGHT(YEAR('Hyperion Panel'!$B$9)+1,2)</f>
        <v>FY11</v>
      </c>
      <c r="L321" s="103">
        <f>'Upload Detail'!L528</f>
        <v>1</v>
      </c>
      <c r="M321" s="103">
        <f>'Upload Detail'!M528</f>
        <v>1</v>
      </c>
      <c r="N321" s="103">
        <f>'Upload Detail'!N528</f>
        <v>1</v>
      </c>
      <c r="O321" s="103">
        <f>'Upload Detail'!O528</f>
        <v>1</v>
      </c>
      <c r="P321" s="103">
        <f>'Upload Detail'!P528</f>
        <v>1</v>
      </c>
      <c r="Q321" s="103">
        <f>'Upload Detail'!Q528</f>
        <v>1</v>
      </c>
      <c r="R321" s="103">
        <f>'Upload Detail'!R528</f>
        <v>1</v>
      </c>
      <c r="S321" s="103">
        <f>'Upload Detail'!S528</f>
        <v>1</v>
      </c>
      <c r="T321" s="103">
        <f>'Upload Detail'!T528</f>
        <v>1</v>
      </c>
      <c r="U321" s="103">
        <f>'Upload Detail'!U528</f>
        <v>1</v>
      </c>
      <c r="V321" s="103">
        <f>'Upload Detail'!V528</f>
        <v>1</v>
      </c>
      <c r="W321" s="103">
        <f>'Upload Detail'!W528</f>
        <v>1</v>
      </c>
    </row>
    <row r="322" spans="1:23">
      <c r="A322" t="s">
        <v>160</v>
      </c>
      <c r="B322" t="str">
        <f t="shared" si="8"/>
        <v>X10_11032_00494</v>
      </c>
      <c r="C322" t="str">
        <f t="shared" si="9"/>
        <v>LE_XXXX</v>
      </c>
      <c r="D322" t="s">
        <v>2886</v>
      </c>
      <c r="E322" t="s">
        <v>161</v>
      </c>
      <c r="F322" t="s">
        <v>156</v>
      </c>
      <c r="G322" t="s">
        <v>2889</v>
      </c>
      <c r="H322" t="s">
        <v>154</v>
      </c>
      <c r="I322" t="s">
        <v>146</v>
      </c>
      <c r="J322" t="s">
        <v>147</v>
      </c>
      <c r="K322" t="str">
        <f>+"FY"&amp;RIGHT(YEAR('Hyperion Panel'!$B$9)+1,2)</f>
        <v>FY11</v>
      </c>
      <c r="L322">
        <f>'Upload Detail'!L529</f>
        <v>0</v>
      </c>
      <c r="M322">
        <f>'Upload Detail'!M529</f>
        <v>0</v>
      </c>
      <c r="N322">
        <f>'Upload Detail'!N529</f>
        <v>0</v>
      </c>
      <c r="O322">
        <f>'Upload Detail'!O529</f>
        <v>0</v>
      </c>
      <c r="P322">
        <f>'Upload Detail'!P529</f>
        <v>0</v>
      </c>
      <c r="Q322">
        <f>'Upload Detail'!Q529</f>
        <v>0</v>
      </c>
      <c r="R322">
        <f>'Upload Detail'!R529</f>
        <v>0</v>
      </c>
      <c r="S322">
        <f>'Upload Detail'!S529</f>
        <v>0</v>
      </c>
      <c r="T322">
        <f>'Upload Detail'!T529</f>
        <v>0</v>
      </c>
      <c r="U322">
        <f>'Upload Detail'!U529</f>
        <v>0</v>
      </c>
      <c r="V322">
        <f>'Upload Detail'!V529</f>
        <v>0</v>
      </c>
      <c r="W322">
        <f>'Upload Detail'!W529</f>
        <v>0</v>
      </c>
    </row>
    <row r="323" spans="1:23" s="104" customFormat="1">
      <c r="A323" s="104" t="s">
        <v>735</v>
      </c>
      <c r="B323" t="str">
        <f t="shared" si="8"/>
        <v>X10_11032_00494</v>
      </c>
      <c r="C323" t="str">
        <f t="shared" si="9"/>
        <v>LE_XXXX</v>
      </c>
      <c r="D323" t="s">
        <v>2886</v>
      </c>
      <c r="F323" s="104" t="s">
        <v>731</v>
      </c>
      <c r="G323" s="104" t="s">
        <v>2889</v>
      </c>
      <c r="H323" s="104" t="s">
        <v>154</v>
      </c>
      <c r="I323" s="104" t="s">
        <v>146</v>
      </c>
      <c r="J323" s="104" t="s">
        <v>147</v>
      </c>
      <c r="K323" t="str">
        <f>+"FY"&amp;RIGHT(YEAR('Hyperion Panel'!$B$9)+1,2)</f>
        <v>FY11</v>
      </c>
      <c r="L323" s="104">
        <f>'Upload Detail'!L530</f>
        <v>0</v>
      </c>
      <c r="M323" s="104">
        <f>'Upload Detail'!M530</f>
        <v>0</v>
      </c>
      <c r="N323" s="104">
        <f>'Upload Detail'!N530</f>
        <v>0</v>
      </c>
      <c r="O323" s="104">
        <f>'Upload Detail'!O530</f>
        <v>0</v>
      </c>
      <c r="P323" s="104">
        <f>'Upload Detail'!P530</f>
        <v>0</v>
      </c>
      <c r="Q323" s="104">
        <f>'Upload Detail'!Q530</f>
        <v>0</v>
      </c>
      <c r="R323" s="104">
        <f>'Upload Detail'!R530</f>
        <v>0</v>
      </c>
      <c r="S323" s="104">
        <f>'Upload Detail'!S530</f>
        <v>0</v>
      </c>
      <c r="T323" s="104">
        <f>'Upload Detail'!T530</f>
        <v>0</v>
      </c>
      <c r="U323" s="104">
        <f>'Upload Detail'!U530</f>
        <v>0</v>
      </c>
      <c r="V323" s="104">
        <f>'Upload Detail'!V530</f>
        <v>0</v>
      </c>
      <c r="W323" s="104">
        <f>'Upload Detail'!W530</f>
        <v>0</v>
      </c>
    </row>
    <row r="324" spans="1:23" s="106" customFormat="1">
      <c r="A324" s="106" t="s">
        <v>165</v>
      </c>
      <c r="B324" s="106" t="str">
        <f t="shared" si="8"/>
        <v>X10_11032_00494</v>
      </c>
      <c r="C324" s="106" t="str">
        <f t="shared" si="9"/>
        <v>LE_XXXX</v>
      </c>
      <c r="D324" s="106" t="s">
        <v>2886</v>
      </c>
      <c r="E324" s="106" t="s">
        <v>2887</v>
      </c>
      <c r="F324" s="106" t="s">
        <v>2888</v>
      </c>
      <c r="G324" s="106" t="s">
        <v>2889</v>
      </c>
      <c r="H324" s="106" t="s">
        <v>145</v>
      </c>
      <c r="I324" s="106" t="s">
        <v>146</v>
      </c>
      <c r="J324" s="106" t="s">
        <v>147</v>
      </c>
      <c r="K324" s="106" t="str">
        <f>+"FY"&amp;RIGHT(YEAR('Hyperion Panel'!$B$9)+2,2)</f>
        <v>FY12</v>
      </c>
      <c r="L324" s="106">
        <f>SUM('Upload Detail'!L533:L534)</f>
        <v>598</v>
      </c>
      <c r="M324" s="106">
        <f>SUM('Upload Detail'!M533:M534)</f>
        <v>598</v>
      </c>
      <c r="N324" s="106">
        <f>SUM('Upload Detail'!N533:N534)</f>
        <v>598</v>
      </c>
      <c r="O324" s="106">
        <f>SUM('Upload Detail'!O533:O534)</f>
        <v>598</v>
      </c>
      <c r="P324" s="106">
        <f>SUM('Upload Detail'!P533:P534)</f>
        <v>598</v>
      </c>
      <c r="Q324" s="106">
        <f>SUM('Upload Detail'!Q533:Q534)</f>
        <v>598</v>
      </c>
      <c r="R324" s="106">
        <f>SUM('Upload Detail'!R533:R534)</f>
        <v>598</v>
      </c>
      <c r="S324" s="106">
        <f>SUM('Upload Detail'!S533:S534)</f>
        <v>598</v>
      </c>
      <c r="T324" s="106">
        <f>SUM('Upload Detail'!T533:T534)</f>
        <v>598</v>
      </c>
      <c r="U324" s="106">
        <f>SUM('Upload Detail'!U533:U534)</f>
        <v>598</v>
      </c>
      <c r="V324" s="106">
        <f>SUM('Upload Detail'!V533:V534)</f>
        <v>598</v>
      </c>
      <c r="W324" s="106">
        <f>SUM('Upload Detail'!W533:W534)</f>
        <v>598</v>
      </c>
    </row>
    <row r="325" spans="1:23" s="106" customFormat="1">
      <c r="A325" s="106" t="s">
        <v>162</v>
      </c>
      <c r="B325" s="106" t="str">
        <f t="shared" si="8"/>
        <v>X10_11032_00494</v>
      </c>
      <c r="C325" s="106" t="str">
        <f t="shared" si="9"/>
        <v>LE_XXXX</v>
      </c>
      <c r="D325" s="106" t="s">
        <v>2886</v>
      </c>
      <c r="E325" s="106" t="s">
        <v>149</v>
      </c>
      <c r="F325" s="106" t="s">
        <v>150</v>
      </c>
      <c r="G325" s="106" t="s">
        <v>2889</v>
      </c>
      <c r="H325" s="106" t="s">
        <v>145</v>
      </c>
      <c r="I325" s="106" t="s">
        <v>146</v>
      </c>
      <c r="J325" s="106" t="s">
        <v>147</v>
      </c>
      <c r="K325" s="106" t="str">
        <f>+"FY"&amp;RIGHT(YEAR('Hyperion Panel'!$B$9)+2,2)</f>
        <v>FY12</v>
      </c>
      <c r="L325" s="106">
        <f>SUM('Upload Detail'!L536:L537)</f>
        <v>247</v>
      </c>
      <c r="M325" s="106">
        <f>SUM('Upload Detail'!M536:M537)</f>
        <v>247</v>
      </c>
      <c r="N325" s="106">
        <f>SUM('Upload Detail'!N536:N537)</f>
        <v>247</v>
      </c>
      <c r="O325" s="106">
        <f>SUM('Upload Detail'!O536:O537)</f>
        <v>247</v>
      </c>
      <c r="P325" s="106">
        <f>SUM('Upload Detail'!P536:P537)</f>
        <v>247</v>
      </c>
      <c r="Q325" s="106">
        <f>SUM('Upload Detail'!Q536:Q537)</f>
        <v>247</v>
      </c>
      <c r="R325" s="106">
        <f>SUM('Upload Detail'!R536:R537)</f>
        <v>247</v>
      </c>
      <c r="S325" s="106">
        <f>SUM('Upload Detail'!S536:S537)</f>
        <v>247</v>
      </c>
      <c r="T325" s="106">
        <f>SUM('Upload Detail'!T536:T537)</f>
        <v>247</v>
      </c>
      <c r="U325" s="106">
        <f>SUM('Upload Detail'!U536:U537)</f>
        <v>247</v>
      </c>
      <c r="V325" s="106">
        <f>SUM('Upload Detail'!V536:V537)</f>
        <v>247</v>
      </c>
      <c r="W325" s="106">
        <f>SUM('Upload Detail'!W536:W537)</f>
        <v>247</v>
      </c>
    </row>
    <row r="326" spans="1:23" s="1693" customFormat="1">
      <c r="A326" s="1693" t="s">
        <v>3767</v>
      </c>
      <c r="B326" s="1693" t="str">
        <f t="shared" si="8"/>
        <v>X10_11032_00494</v>
      </c>
      <c r="C326" s="1693" t="str">
        <f t="shared" si="9"/>
        <v>LE_XXXX</v>
      </c>
      <c r="D326" s="1693" t="s">
        <v>2886</v>
      </c>
      <c r="E326" s="1693" t="s">
        <v>719</v>
      </c>
      <c r="F326" s="1693" t="s">
        <v>731</v>
      </c>
      <c r="G326" s="1693" t="s">
        <v>2889</v>
      </c>
      <c r="H326" s="1693" t="s">
        <v>145</v>
      </c>
      <c r="I326" s="1693" t="s">
        <v>146</v>
      </c>
      <c r="J326" s="1693" t="s">
        <v>147</v>
      </c>
      <c r="K326" s="106" t="str">
        <f>+"FY"&amp;RIGHT(YEAR('Hyperion Panel'!$B$9)+2,2)</f>
        <v>FY12</v>
      </c>
      <c r="L326" s="1693">
        <f>SUM('Upload Detail'!L539:L540)</f>
        <v>65</v>
      </c>
      <c r="M326" s="1693">
        <f>SUM('Upload Detail'!M539:M540)</f>
        <v>65</v>
      </c>
      <c r="N326" s="1693">
        <f>SUM('Upload Detail'!N539:N540)</f>
        <v>65</v>
      </c>
      <c r="O326" s="1693">
        <f>SUM('Upload Detail'!O539:O540)</f>
        <v>65</v>
      </c>
      <c r="P326" s="1693">
        <f>SUM('Upload Detail'!P539:P540)</f>
        <v>65</v>
      </c>
      <c r="Q326" s="1693">
        <f>SUM('Upload Detail'!Q539:Q540)</f>
        <v>65</v>
      </c>
      <c r="R326" s="1693">
        <f>SUM('Upload Detail'!R539:R540)</f>
        <v>65</v>
      </c>
      <c r="S326" s="1693">
        <f>SUM('Upload Detail'!S539:S540)</f>
        <v>65</v>
      </c>
      <c r="T326" s="1693">
        <f>SUM('Upload Detail'!T539:T540)</f>
        <v>65</v>
      </c>
      <c r="U326" s="1693">
        <f>SUM('Upload Detail'!U539:U540)</f>
        <v>65</v>
      </c>
      <c r="V326" s="1693">
        <f>SUM('Upload Detail'!V539:V540)</f>
        <v>65</v>
      </c>
      <c r="W326" s="1693">
        <f>SUM('Upload Detail'!W539:W540)</f>
        <v>65</v>
      </c>
    </row>
    <row r="327" spans="1:23" s="106" customFormat="1">
      <c r="A327" s="106" t="s">
        <v>163</v>
      </c>
      <c r="B327" s="106" t="str">
        <f t="shared" si="8"/>
        <v>X10_11032_00494</v>
      </c>
      <c r="C327" s="106" t="str">
        <f t="shared" si="9"/>
        <v>LE_XXXX</v>
      </c>
      <c r="D327" s="106" t="s">
        <v>2886</v>
      </c>
      <c r="E327" s="106">
        <v>3010</v>
      </c>
      <c r="F327" s="106" t="s">
        <v>2888</v>
      </c>
      <c r="G327" s="106" t="s">
        <v>2889</v>
      </c>
      <c r="H327" s="106" t="s">
        <v>145</v>
      </c>
      <c r="I327" s="106" t="s">
        <v>146</v>
      </c>
      <c r="J327" s="106" t="s">
        <v>147</v>
      </c>
      <c r="K327" s="106" t="str">
        <f>+"FY"&amp;RIGHT(YEAR('Hyperion Panel'!$B$9)+2,2)</f>
        <v>FY12</v>
      </c>
      <c r="L327" s="106">
        <f>SUM('Upload Detail'!L542:L543)</f>
        <v>173141.53275853995</v>
      </c>
      <c r="M327" s="106">
        <f>SUM('Upload Detail'!M542:M543)</f>
        <v>173141.53275853995</v>
      </c>
      <c r="N327" s="106">
        <f>SUM('Upload Detail'!N542:N543)</f>
        <v>173141.53275853995</v>
      </c>
      <c r="O327" s="106">
        <f>SUM('Upload Detail'!O542:O543)</f>
        <v>173141.53275853995</v>
      </c>
      <c r="P327" s="106">
        <f>SUM('Upload Detail'!P542:P543)</f>
        <v>173141.53275853995</v>
      </c>
      <c r="Q327" s="106">
        <f>SUM('Upload Detail'!Q542:Q543)</f>
        <v>173141.53275853995</v>
      </c>
      <c r="R327" s="106">
        <f>SUM('Upload Detail'!R542:R543)</f>
        <v>173141.53275853995</v>
      </c>
      <c r="S327" s="106">
        <f>SUM('Upload Detail'!S542:S543)</f>
        <v>173141.53275853995</v>
      </c>
      <c r="T327" s="106">
        <f>SUM('Upload Detail'!T542:T543)</f>
        <v>173141.53275853995</v>
      </c>
      <c r="U327" s="106">
        <f>SUM('Upload Detail'!U542:U543)</f>
        <v>173141.53275853995</v>
      </c>
      <c r="V327" s="106">
        <f>SUM('Upload Detail'!V542:V543)</f>
        <v>173713.61981850141</v>
      </c>
      <c r="W327" s="106">
        <f>SUM('Upload Detail'!W542:W543)</f>
        <v>173713.61981850141</v>
      </c>
    </row>
    <row r="328" spans="1:23" s="106" customFormat="1">
      <c r="A328" s="106" t="s">
        <v>164</v>
      </c>
      <c r="B328" s="106" t="str">
        <f t="shared" si="8"/>
        <v>X10_11032_00494</v>
      </c>
      <c r="C328" s="106" t="str">
        <f t="shared" si="9"/>
        <v>LE_XXXX</v>
      </c>
      <c r="D328" s="106" t="s">
        <v>2886</v>
      </c>
      <c r="E328" s="106">
        <v>3030</v>
      </c>
      <c r="F328" s="106" t="s">
        <v>150</v>
      </c>
      <c r="G328" s="106" t="s">
        <v>2889</v>
      </c>
      <c r="H328" s="106" t="s">
        <v>145</v>
      </c>
      <c r="I328" s="106" t="s">
        <v>146</v>
      </c>
      <c r="J328" s="106" t="s">
        <v>147</v>
      </c>
      <c r="K328" s="106" t="str">
        <f>+"FY"&amp;RIGHT(YEAR('Hyperion Panel'!$B$9)+2,2)</f>
        <v>FY12</v>
      </c>
      <c r="L328" s="106">
        <f>SUM('Upload Detail'!L545:L546)</f>
        <v>120543.10575276063</v>
      </c>
      <c r="M328" s="106">
        <f>SUM('Upload Detail'!M545:M546)</f>
        <v>120543.10575276063</v>
      </c>
      <c r="N328" s="106">
        <f>SUM('Upload Detail'!N545:N546)</f>
        <v>120543.10575276063</v>
      </c>
      <c r="O328" s="106">
        <f>SUM('Upload Detail'!O545:O546)</f>
        <v>120543.10575276063</v>
      </c>
      <c r="P328" s="106">
        <f>SUM('Upload Detail'!P545:P546)</f>
        <v>120543.10575276063</v>
      </c>
      <c r="Q328" s="106">
        <f>SUM('Upload Detail'!Q545:Q546)</f>
        <v>120543.10575276063</v>
      </c>
      <c r="R328" s="106">
        <f>SUM('Upload Detail'!R545:R546)</f>
        <v>120543.10575276063</v>
      </c>
      <c r="S328" s="106">
        <f>SUM('Upload Detail'!S545:S546)</f>
        <v>120543.10575276063</v>
      </c>
      <c r="T328" s="106">
        <f>SUM('Upload Detail'!T545:T546)</f>
        <v>120543.10575276063</v>
      </c>
      <c r="U328" s="106">
        <f>SUM('Upload Detail'!U545:U546)</f>
        <v>120543.10575276063</v>
      </c>
      <c r="V328" s="106">
        <f>SUM('Upload Detail'!V545:V546)</f>
        <v>122315.33197111951</v>
      </c>
      <c r="W328" s="106">
        <f>SUM('Upload Detail'!W545:W546)</f>
        <v>122315.33197111951</v>
      </c>
    </row>
    <row r="329" spans="1:23" s="1693" customFormat="1">
      <c r="A329" s="1693" t="s">
        <v>3768</v>
      </c>
      <c r="B329" s="1693" t="str">
        <f t="shared" si="8"/>
        <v>X10_11032_00494</v>
      </c>
      <c r="C329" s="1693" t="str">
        <f t="shared" si="9"/>
        <v>LE_XXXX</v>
      </c>
      <c r="D329" s="1693" t="s">
        <v>2886</v>
      </c>
      <c r="E329" s="1693">
        <v>3050</v>
      </c>
      <c r="F329" s="1693" t="s">
        <v>731</v>
      </c>
      <c r="G329" s="1693" t="s">
        <v>2889</v>
      </c>
      <c r="H329" s="1693" t="s">
        <v>145</v>
      </c>
      <c r="I329" s="1693" t="s">
        <v>146</v>
      </c>
      <c r="J329" s="1693" t="s">
        <v>147</v>
      </c>
      <c r="K329" s="106" t="str">
        <f>+"FY"&amp;RIGHT(YEAR('Hyperion Panel'!$B$9)+2,2)</f>
        <v>FY12</v>
      </c>
      <c r="L329" s="1693">
        <f>SUM('Upload Detail'!L548:L549)</f>
        <v>16884.753665513832</v>
      </c>
      <c r="M329" s="1693">
        <f>SUM('Upload Detail'!M548:M549)</f>
        <v>16884.753665513832</v>
      </c>
      <c r="N329" s="1693">
        <f>SUM('Upload Detail'!N548:N549)</f>
        <v>16884.753665513832</v>
      </c>
      <c r="O329" s="1693">
        <f>SUM('Upload Detail'!O548:O549)</f>
        <v>16884.753665513832</v>
      </c>
      <c r="P329" s="1693">
        <f>SUM('Upload Detail'!P548:P549)</f>
        <v>16884.753665513832</v>
      </c>
      <c r="Q329" s="1693">
        <f>SUM('Upload Detail'!Q548:Q549)</f>
        <v>16884.753665513832</v>
      </c>
      <c r="R329" s="1693">
        <f>SUM('Upload Detail'!R548:R549)</f>
        <v>16884.753665513832</v>
      </c>
      <c r="S329" s="1693">
        <f>SUM('Upload Detail'!S548:S549)</f>
        <v>16884.753665513832</v>
      </c>
      <c r="T329" s="1693">
        <f>SUM('Upload Detail'!T548:T549)</f>
        <v>16884.753665513832</v>
      </c>
      <c r="U329" s="1693">
        <f>SUM('Upload Detail'!U548:U549)</f>
        <v>16884.753665513832</v>
      </c>
      <c r="V329" s="1693">
        <f>SUM('Upload Detail'!V548:V549)</f>
        <v>16884.753665513832</v>
      </c>
      <c r="W329" s="1693">
        <f>SUM('Upload Detail'!W548:W549)</f>
        <v>16884.753665513832</v>
      </c>
    </row>
    <row r="330" spans="1:23">
      <c r="A330" t="s">
        <v>2651</v>
      </c>
      <c r="B330" t="str">
        <f t="shared" si="8"/>
        <v>X10_11032_00494</v>
      </c>
      <c r="C330" t="str">
        <f t="shared" si="9"/>
        <v>LE_XXXX</v>
      </c>
      <c r="D330" t="s">
        <v>2886</v>
      </c>
      <c r="E330">
        <v>6010</v>
      </c>
      <c r="F330" t="s">
        <v>2888</v>
      </c>
      <c r="G330" t="s">
        <v>153</v>
      </c>
      <c r="H330" t="s">
        <v>154</v>
      </c>
      <c r="I330" t="s">
        <v>146</v>
      </c>
      <c r="J330" t="s">
        <v>147</v>
      </c>
      <c r="K330" t="str">
        <f>+"FY"&amp;RIGHT(YEAR('Hyperion Panel'!$B$9)+2,2)</f>
        <v>FY12</v>
      </c>
      <c r="L330">
        <f>'Upload Detail'!L550</f>
        <v>39860.778356496841</v>
      </c>
      <c r="M330">
        <f>'Upload Detail'!M550</f>
        <v>39860.778356496841</v>
      </c>
      <c r="N330">
        <f>'Upload Detail'!N550</f>
        <v>39860.778356496841</v>
      </c>
      <c r="O330">
        <f>'Upload Detail'!O550</f>
        <v>39860.778356496841</v>
      </c>
      <c r="P330">
        <f>'Upload Detail'!P550</f>
        <v>39860.778356496841</v>
      </c>
      <c r="Q330">
        <f>'Upload Detail'!Q550</f>
        <v>39860.778356496841</v>
      </c>
      <c r="R330">
        <f>'Upload Detail'!R550</f>
        <v>39860.778356496841</v>
      </c>
      <c r="S330">
        <f>'Upload Detail'!S550</f>
        <v>39860.778356496841</v>
      </c>
      <c r="T330">
        <f>'Upload Detail'!T550</f>
        <v>39860.778356496841</v>
      </c>
      <c r="U330">
        <f>'Upload Detail'!U550</f>
        <v>39860.778356496841</v>
      </c>
      <c r="V330">
        <f>'Upload Detail'!V550</f>
        <v>41056.601707191752</v>
      </c>
      <c r="W330">
        <f>'Upload Detail'!W550</f>
        <v>41056.601707191752</v>
      </c>
    </row>
    <row r="331" spans="1:23">
      <c r="A331" t="s">
        <v>2652</v>
      </c>
      <c r="B331" t="str">
        <f t="shared" si="8"/>
        <v>X10_11032_00494</v>
      </c>
      <c r="C331" t="str">
        <f t="shared" si="9"/>
        <v>LE_XXXX</v>
      </c>
      <c r="D331" t="s">
        <v>2886</v>
      </c>
      <c r="E331">
        <v>6010</v>
      </c>
      <c r="F331" t="s">
        <v>2888</v>
      </c>
      <c r="G331" t="s">
        <v>155</v>
      </c>
      <c r="H331" t="s">
        <v>154</v>
      </c>
      <c r="I331" t="s">
        <v>146</v>
      </c>
      <c r="J331" t="s">
        <v>147</v>
      </c>
      <c r="K331" t="str">
        <f>+"FY"&amp;RIGHT(YEAR('Hyperion Panel'!$B$9)+2,2)</f>
        <v>FY12</v>
      </c>
      <c r="L331">
        <f>'Upload Detail'!L551</f>
        <v>15238.85</v>
      </c>
      <c r="M331">
        <f>'Upload Detail'!M551</f>
        <v>15238.85</v>
      </c>
      <c r="N331">
        <f>'Upload Detail'!N551</f>
        <v>15238.85</v>
      </c>
      <c r="O331">
        <f>'Upload Detail'!O551</f>
        <v>15238.85</v>
      </c>
      <c r="P331">
        <f>'Upload Detail'!P551</f>
        <v>15238.85</v>
      </c>
      <c r="Q331">
        <f>'Upload Detail'!Q551</f>
        <v>15238.85</v>
      </c>
      <c r="R331">
        <f>'Upload Detail'!R551</f>
        <v>15238.85</v>
      </c>
      <c r="S331">
        <f>'Upload Detail'!S551</f>
        <v>15238.85</v>
      </c>
      <c r="T331">
        <f>'Upload Detail'!T551</f>
        <v>15238.85</v>
      </c>
      <c r="U331">
        <f>'Upload Detail'!U551</f>
        <v>15238.85</v>
      </c>
      <c r="V331">
        <f>'Upload Detail'!V551</f>
        <v>15696.015500000001</v>
      </c>
      <c r="W331">
        <f>'Upload Detail'!W551</f>
        <v>15696.015500000001</v>
      </c>
    </row>
    <row r="332" spans="1:23">
      <c r="A332" t="s">
        <v>2653</v>
      </c>
      <c r="B332" t="str">
        <f t="shared" si="8"/>
        <v>X10_11032_00494</v>
      </c>
      <c r="C332" t="str">
        <f t="shared" si="9"/>
        <v>LE_XXXX</v>
      </c>
      <c r="D332" t="s">
        <v>2886</v>
      </c>
      <c r="E332">
        <v>6051</v>
      </c>
      <c r="F332" t="s">
        <v>2888</v>
      </c>
      <c r="G332" t="s">
        <v>153</v>
      </c>
      <c r="H332" t="s">
        <v>154</v>
      </c>
      <c r="I332" t="s">
        <v>146</v>
      </c>
      <c r="J332" t="s">
        <v>147</v>
      </c>
      <c r="K332" t="str">
        <f>+"FY"&amp;RIGHT(YEAR('Hyperion Panel'!$B$9)+2,2)</f>
        <v>FY12</v>
      </c>
      <c r="L332">
        <f>'Upload Detail'!L552</f>
        <v>19457.450243111161</v>
      </c>
      <c r="M332">
        <f>'Upload Detail'!M552</f>
        <v>19457.450243111161</v>
      </c>
      <c r="N332">
        <f>'Upload Detail'!N552</f>
        <v>19457.450243111161</v>
      </c>
      <c r="O332">
        <f>'Upload Detail'!O552</f>
        <v>19457.450243111161</v>
      </c>
      <c r="P332">
        <f>'Upload Detail'!P552</f>
        <v>19457.450243111161</v>
      </c>
      <c r="Q332">
        <f>'Upload Detail'!Q552</f>
        <v>19457.450243111161</v>
      </c>
      <c r="R332">
        <f>'Upload Detail'!R552</f>
        <v>19457.450243111161</v>
      </c>
      <c r="S332">
        <f>'Upload Detail'!S552</f>
        <v>19457.450243111161</v>
      </c>
      <c r="T332">
        <f>'Upload Detail'!T552</f>
        <v>19457.450243111161</v>
      </c>
      <c r="U332">
        <f>'Upload Detail'!U552</f>
        <v>19457.450243111161</v>
      </c>
      <c r="V332">
        <f>'Upload Detail'!V552</f>
        <v>20041.173750404498</v>
      </c>
      <c r="W332">
        <f>'Upload Detail'!W552</f>
        <v>20041.173750404498</v>
      </c>
    </row>
    <row r="333" spans="1:23">
      <c r="A333" t="s">
        <v>2654</v>
      </c>
      <c r="B333" t="str">
        <f t="shared" si="8"/>
        <v>X10_11032_00494</v>
      </c>
      <c r="C333" t="str">
        <f t="shared" si="9"/>
        <v>LE_XXXX</v>
      </c>
      <c r="D333" t="s">
        <v>2886</v>
      </c>
      <c r="E333">
        <v>6011</v>
      </c>
      <c r="F333" t="s">
        <v>2888</v>
      </c>
      <c r="G333" t="s">
        <v>153</v>
      </c>
      <c r="H333" t="s">
        <v>154</v>
      </c>
      <c r="I333" t="s">
        <v>146</v>
      </c>
      <c r="J333" t="s">
        <v>147</v>
      </c>
      <c r="K333" t="str">
        <f>+"FY"&amp;RIGHT(YEAR('Hyperion Panel'!$B$9)+2,2)</f>
        <v>FY12</v>
      </c>
      <c r="L333">
        <f>'Upload Detail'!L553</f>
        <v>0</v>
      </c>
      <c r="M333">
        <f>'Upload Detail'!M553</f>
        <v>0</v>
      </c>
      <c r="N333">
        <f>'Upload Detail'!N553</f>
        <v>0</v>
      </c>
      <c r="O333">
        <f>'Upload Detail'!O553</f>
        <v>0</v>
      </c>
      <c r="P333">
        <f>'Upload Detail'!P553</f>
        <v>0</v>
      </c>
      <c r="Q333">
        <f>'Upload Detail'!Q553</f>
        <v>0</v>
      </c>
      <c r="R333">
        <f>'Upload Detail'!R553</f>
        <v>0</v>
      </c>
      <c r="S333">
        <f>'Upload Detail'!S553</f>
        <v>0</v>
      </c>
      <c r="T333">
        <f>'Upload Detail'!T553</f>
        <v>0</v>
      </c>
      <c r="U333">
        <f>'Upload Detail'!U553</f>
        <v>0</v>
      </c>
      <c r="V333">
        <f>'Upload Detail'!V553</f>
        <v>0</v>
      </c>
      <c r="W333">
        <f>'Upload Detail'!W553</f>
        <v>0</v>
      </c>
    </row>
    <row r="334" spans="1:23">
      <c r="A334" t="s">
        <v>3696</v>
      </c>
      <c r="B334" t="str">
        <f t="shared" si="8"/>
        <v>X10_11032_00494</v>
      </c>
      <c r="C334" t="str">
        <f t="shared" si="9"/>
        <v>LE_XXXX</v>
      </c>
      <c r="D334" t="s">
        <v>2886</v>
      </c>
      <c r="E334">
        <v>6600</v>
      </c>
      <c r="F334" t="s">
        <v>2888</v>
      </c>
      <c r="G334" t="s">
        <v>2889</v>
      </c>
      <c r="H334" t="s">
        <v>154</v>
      </c>
      <c r="I334" t="s">
        <v>146</v>
      </c>
      <c r="J334" t="s">
        <v>147</v>
      </c>
      <c r="K334" t="str">
        <f>+"FY"&amp;RIGHT(YEAR('Hyperion Panel'!$B$9)+2,2)</f>
        <v>FY12</v>
      </c>
      <c r="L334">
        <f>'Upload Detail'!L554</f>
        <v>54018.065244350641</v>
      </c>
      <c r="M334">
        <f>'Upload Detail'!M554</f>
        <v>54018.065244350641</v>
      </c>
      <c r="N334">
        <f>'Upload Detail'!N554</f>
        <v>54018.065244350641</v>
      </c>
      <c r="O334">
        <f>'Upload Detail'!O554</f>
        <v>54018.065244350641</v>
      </c>
      <c r="P334">
        <f>'Upload Detail'!P554</f>
        <v>54018.065244350641</v>
      </c>
      <c r="Q334">
        <f>'Upload Detail'!Q554</f>
        <v>54018.065244350641</v>
      </c>
      <c r="R334">
        <f>'Upload Detail'!R554</f>
        <v>54018.065244350641</v>
      </c>
      <c r="S334">
        <f>'Upload Detail'!S554</f>
        <v>54018.065244350641</v>
      </c>
      <c r="T334">
        <f>'Upload Detail'!T554</f>
        <v>54018.065244350641</v>
      </c>
      <c r="U334">
        <f>'Upload Detail'!U554</f>
        <v>54018.065244350641</v>
      </c>
      <c r="V334">
        <f>'Upload Detail'!V554</f>
        <v>55098.426549237643</v>
      </c>
      <c r="W334">
        <f>'Upload Detail'!W554</f>
        <v>55098.426549237643</v>
      </c>
    </row>
    <row r="335" spans="1:23">
      <c r="A335" t="s">
        <v>1381</v>
      </c>
      <c r="B335" t="str">
        <f t="shared" si="8"/>
        <v>X10_11032_00494</v>
      </c>
      <c r="C335" t="str">
        <f t="shared" si="9"/>
        <v>LE_XXXX</v>
      </c>
      <c r="D335" t="s">
        <v>2886</v>
      </c>
      <c r="E335">
        <v>6800</v>
      </c>
      <c r="F335" t="s">
        <v>156</v>
      </c>
      <c r="G335" t="s">
        <v>2889</v>
      </c>
      <c r="H335" t="s">
        <v>154</v>
      </c>
      <c r="I335" t="s">
        <v>146</v>
      </c>
      <c r="J335" t="s">
        <v>147</v>
      </c>
      <c r="K335" t="str">
        <f>+"FY"&amp;RIGHT(YEAR('Hyperion Panel'!$B$9)+2,2)</f>
        <v>FY12</v>
      </c>
      <c r="L335">
        <f>'Upload Detail'!L555</f>
        <v>20214.79507079611</v>
      </c>
      <c r="M335">
        <f>'Upload Detail'!M555</f>
        <v>20214.79507079611</v>
      </c>
      <c r="N335">
        <f>'Upload Detail'!N555</f>
        <v>20214.79507079611</v>
      </c>
      <c r="O335">
        <f>'Upload Detail'!O555</f>
        <v>20214.79507079611</v>
      </c>
      <c r="P335">
        <f>'Upload Detail'!P555</f>
        <v>20214.79507079611</v>
      </c>
      <c r="Q335">
        <f>'Upload Detail'!Q555</f>
        <v>20214.79507079611</v>
      </c>
      <c r="R335">
        <f>'Upload Detail'!R555</f>
        <v>20214.79507079611</v>
      </c>
      <c r="S335">
        <f>'Upload Detail'!S555</f>
        <v>20214.79507079611</v>
      </c>
      <c r="T335">
        <f>'Upload Detail'!T555</f>
        <v>20214.79507079611</v>
      </c>
      <c r="U335">
        <f>'Upload Detail'!U555</f>
        <v>20214.79507079611</v>
      </c>
      <c r="V335">
        <f>'Upload Detail'!V555</f>
        <v>20821.238922919994</v>
      </c>
      <c r="W335">
        <f>'Upload Detail'!W555</f>
        <v>20821.238922919994</v>
      </c>
    </row>
    <row r="336" spans="1:23">
      <c r="A336" t="s">
        <v>3697</v>
      </c>
      <c r="B336" t="str">
        <f t="shared" si="8"/>
        <v>X10_11032_00494</v>
      </c>
      <c r="C336" t="str">
        <f t="shared" si="9"/>
        <v>LE_XXXX</v>
      </c>
      <c r="D336" t="s">
        <v>2886</v>
      </c>
      <c r="E336">
        <v>8600</v>
      </c>
      <c r="F336" t="s">
        <v>156</v>
      </c>
      <c r="G336" t="s">
        <v>2889</v>
      </c>
      <c r="H336" t="s">
        <v>154</v>
      </c>
      <c r="I336" t="s">
        <v>146</v>
      </c>
      <c r="J336" t="s">
        <v>147</v>
      </c>
      <c r="K336" t="str">
        <f>+"FY"&amp;RIGHT(YEAR('Hyperion Panel'!$B$9)+2,2)</f>
        <v>FY12</v>
      </c>
      <c r="L336">
        <f>'Upload Detail'!L556</f>
        <v>16969.239699999998</v>
      </c>
      <c r="M336">
        <f>'Upload Detail'!M556</f>
        <v>16969.239699999998</v>
      </c>
      <c r="N336">
        <f>'Upload Detail'!N556</f>
        <v>16969.239699999998</v>
      </c>
      <c r="O336">
        <f>'Upload Detail'!O556</f>
        <v>16969.239699999998</v>
      </c>
      <c r="P336">
        <f>'Upload Detail'!P556</f>
        <v>16969.239699999998</v>
      </c>
      <c r="Q336">
        <f>'Upload Detail'!Q556</f>
        <v>16969.239699999998</v>
      </c>
      <c r="R336">
        <f>'Upload Detail'!R556</f>
        <v>16969.239699999998</v>
      </c>
      <c r="S336">
        <f>'Upload Detail'!S556</f>
        <v>16969.239699999998</v>
      </c>
      <c r="T336">
        <f>'Upload Detail'!T556</f>
        <v>16969.239699999998</v>
      </c>
      <c r="U336">
        <f>'Upload Detail'!U556</f>
        <v>16969.239699999998</v>
      </c>
      <c r="V336">
        <f>'Upload Detail'!V556</f>
        <v>17478.316890999999</v>
      </c>
      <c r="W336">
        <f>'Upload Detail'!W556</f>
        <v>17478.316890999999</v>
      </c>
    </row>
    <row r="337" spans="1:25">
      <c r="A337" t="s">
        <v>157</v>
      </c>
      <c r="B337" t="str">
        <f t="shared" si="8"/>
        <v>X10_11032_00494</v>
      </c>
      <c r="C337" t="str">
        <f t="shared" si="9"/>
        <v>LE_XXXX</v>
      </c>
      <c r="D337" t="s">
        <v>2886</v>
      </c>
      <c r="E337">
        <v>6720</v>
      </c>
      <c r="F337" t="s">
        <v>156</v>
      </c>
      <c r="G337" t="s">
        <v>2889</v>
      </c>
      <c r="H337" t="s">
        <v>154</v>
      </c>
      <c r="I337" t="s">
        <v>146</v>
      </c>
      <c r="J337" t="s">
        <v>147</v>
      </c>
      <c r="K337" t="str">
        <f>+"FY"&amp;RIGHT(YEAR('Hyperion Panel'!$B$9)+2,2)</f>
        <v>FY12</v>
      </c>
      <c r="L337">
        <f>'Upload Detail'!L557</f>
        <v>15833.32</v>
      </c>
      <c r="M337">
        <f>'Upload Detail'!M557</f>
        <v>15833.32</v>
      </c>
      <c r="N337">
        <f>'Upload Detail'!N557</f>
        <v>15833.32</v>
      </c>
      <c r="O337">
        <f>'Upload Detail'!O557</f>
        <v>15833.32</v>
      </c>
      <c r="P337">
        <f>'Upload Detail'!P557</f>
        <v>15833.32</v>
      </c>
      <c r="Q337">
        <f>'Upload Detail'!Q557</f>
        <v>15833.32</v>
      </c>
      <c r="R337">
        <f>'Upload Detail'!R557</f>
        <v>15833.32</v>
      </c>
      <c r="S337">
        <f>'Upload Detail'!S557</f>
        <v>15833.32</v>
      </c>
      <c r="T337">
        <f>'Upload Detail'!T557</f>
        <v>15833.32</v>
      </c>
      <c r="U337">
        <f>'Upload Detail'!U557</f>
        <v>15833.32</v>
      </c>
      <c r="V337">
        <f>'Upload Detail'!V557</f>
        <v>15833.32</v>
      </c>
      <c r="W337">
        <f>'Upload Detail'!W557</f>
        <v>15833.32</v>
      </c>
    </row>
    <row r="338" spans="1:25">
      <c r="A338" t="s">
        <v>3925</v>
      </c>
      <c r="B338" t="str">
        <f t="shared" si="8"/>
        <v>X10_11032_00494</v>
      </c>
      <c r="C338" t="str">
        <f t="shared" si="9"/>
        <v>LE_XXXX</v>
      </c>
      <c r="D338" t="s">
        <v>2886</v>
      </c>
      <c r="E338">
        <v>8110</v>
      </c>
      <c r="F338" t="s">
        <v>156</v>
      </c>
      <c r="G338" t="s">
        <v>2889</v>
      </c>
      <c r="H338" t="s">
        <v>154</v>
      </c>
      <c r="I338" t="s">
        <v>146</v>
      </c>
      <c r="J338" t="s">
        <v>147</v>
      </c>
      <c r="K338" t="str">
        <f>+"FY"&amp;RIGHT(YEAR('Hyperion Panel'!$B$9)+2,2)</f>
        <v>FY12</v>
      </c>
      <c r="L338">
        <f>'Upload Detail'!L558</f>
        <v>1076.0461499999999</v>
      </c>
      <c r="M338">
        <f>'Upload Detail'!M558</f>
        <v>1076.0461499999999</v>
      </c>
      <c r="N338">
        <f>'Upload Detail'!N558</f>
        <v>1076.0461499999999</v>
      </c>
      <c r="O338">
        <f>'Upload Detail'!O558</f>
        <v>1076.0461499999999</v>
      </c>
      <c r="P338">
        <f>'Upload Detail'!P558</f>
        <v>1076.0461499999999</v>
      </c>
      <c r="Q338">
        <f>'Upload Detail'!Q558</f>
        <v>1076.0461499999999</v>
      </c>
      <c r="R338">
        <f>'Upload Detail'!R558</f>
        <v>1076.0461499999999</v>
      </c>
      <c r="S338">
        <f>'Upload Detail'!S558</f>
        <v>1076.0461499999999</v>
      </c>
      <c r="T338">
        <f>'Upload Detail'!T558</f>
        <v>1076.0461499999999</v>
      </c>
      <c r="U338">
        <f>'Upload Detail'!U558</f>
        <v>1076.0461499999999</v>
      </c>
      <c r="V338">
        <f>'Upload Detail'!V558</f>
        <v>1108.3275345</v>
      </c>
      <c r="W338">
        <f>'Upload Detail'!W558</f>
        <v>1108.3275345</v>
      </c>
    </row>
    <row r="339" spans="1:25">
      <c r="A339" t="s">
        <v>3926</v>
      </c>
      <c r="B339" t="str">
        <f t="shared" si="8"/>
        <v>X10_11032_00494</v>
      </c>
      <c r="C339" t="str">
        <f t="shared" si="9"/>
        <v>LE_XXXX</v>
      </c>
      <c r="D339" t="s">
        <v>2886</v>
      </c>
      <c r="E339">
        <v>6412</v>
      </c>
      <c r="F339" t="s">
        <v>156</v>
      </c>
      <c r="G339" t="s">
        <v>2889</v>
      </c>
      <c r="H339" t="s">
        <v>154</v>
      </c>
      <c r="I339" t="s">
        <v>146</v>
      </c>
      <c r="J339" t="s">
        <v>147</v>
      </c>
      <c r="K339" t="str">
        <f>+"FY"&amp;RIGHT(YEAR('Hyperion Panel'!$B$9)+2,2)</f>
        <v>FY12</v>
      </c>
      <c r="L339">
        <f>'Upload Detail'!L559</f>
        <v>19121.923843312405</v>
      </c>
      <c r="M339">
        <f>'Upload Detail'!M559</f>
        <v>19121.923843312405</v>
      </c>
      <c r="N339">
        <f>'Upload Detail'!N559</f>
        <v>19121.923843312405</v>
      </c>
      <c r="O339">
        <f>'Upload Detail'!O559</f>
        <v>19121.923843312405</v>
      </c>
      <c r="P339">
        <f>'Upload Detail'!P559</f>
        <v>19121.923843312405</v>
      </c>
      <c r="Q339">
        <f>'Upload Detail'!Q559</f>
        <v>19121.923843312405</v>
      </c>
      <c r="R339">
        <f>'Upload Detail'!R559</f>
        <v>19121.923843312405</v>
      </c>
      <c r="S339">
        <f>'Upload Detail'!S559</f>
        <v>19121.923843312405</v>
      </c>
      <c r="T339">
        <f>'Upload Detail'!T559</f>
        <v>19121.923843312405</v>
      </c>
      <c r="U339">
        <f>'Upload Detail'!U559</f>
        <v>19121.923843312405</v>
      </c>
      <c r="V339">
        <f>'Upload Detail'!V559</f>
        <v>19695.581558611779</v>
      </c>
      <c r="W339">
        <f>'Upload Detail'!W559</f>
        <v>19695.581558611779</v>
      </c>
    </row>
    <row r="340" spans="1:25" s="104" customFormat="1">
      <c r="A340" s="104" t="s">
        <v>730</v>
      </c>
      <c r="B340" s="104" t="str">
        <f t="shared" si="8"/>
        <v>X10_11032_00494</v>
      </c>
      <c r="C340" s="104" t="str">
        <f t="shared" si="9"/>
        <v>LE_XXXX</v>
      </c>
      <c r="D340" s="104" t="s">
        <v>2886</v>
      </c>
      <c r="E340" s="104">
        <v>8110</v>
      </c>
      <c r="F340" s="104" t="s">
        <v>731</v>
      </c>
      <c r="G340" s="104" t="s">
        <v>2889</v>
      </c>
      <c r="H340" s="104" t="s">
        <v>154</v>
      </c>
      <c r="I340" s="104" t="s">
        <v>146</v>
      </c>
      <c r="J340" s="104" t="s">
        <v>147</v>
      </c>
      <c r="K340" t="str">
        <f>+"FY"&amp;RIGHT(YEAR('Hyperion Panel'!$B$9)+2,2)</f>
        <v>FY12</v>
      </c>
      <c r="L340" s="104">
        <f>'Upload Detail'!L560</f>
        <v>858.33333333333337</v>
      </c>
      <c r="M340" s="104">
        <f>'Upload Detail'!M560</f>
        <v>858.33333333333337</v>
      </c>
      <c r="N340" s="104">
        <f>'Upload Detail'!N560</f>
        <v>858.33333333333337</v>
      </c>
      <c r="O340" s="104">
        <f>'Upload Detail'!O560</f>
        <v>858.33333333333337</v>
      </c>
      <c r="P340" s="104">
        <f>'Upload Detail'!P560</f>
        <v>858.33333333333337</v>
      </c>
      <c r="Q340" s="104">
        <f>'Upload Detail'!Q560</f>
        <v>858.33333333333337</v>
      </c>
      <c r="R340" s="104">
        <f>'Upload Detail'!R560</f>
        <v>858.33333333333337</v>
      </c>
      <c r="S340" s="104">
        <f>'Upload Detail'!S560</f>
        <v>858.33333333333337</v>
      </c>
      <c r="T340" s="104">
        <f>'Upload Detail'!T560</f>
        <v>858.33333333333337</v>
      </c>
      <c r="U340" s="104">
        <f>'Upload Detail'!U560</f>
        <v>858.33333333333337</v>
      </c>
      <c r="V340" s="104">
        <f>'Upload Detail'!V560</f>
        <v>884.08333333333337</v>
      </c>
      <c r="W340" s="104">
        <f>'Upload Detail'!W560</f>
        <v>884.08333333333337</v>
      </c>
      <c r="Y340" s="1690"/>
    </row>
    <row r="341" spans="1:25" s="104" customFormat="1">
      <c r="A341" s="104" t="s">
        <v>732</v>
      </c>
      <c r="B341" s="104" t="str">
        <f t="shared" si="8"/>
        <v>X10_11032_00494</v>
      </c>
      <c r="C341" s="104" t="str">
        <f t="shared" si="9"/>
        <v>LE_XXXX</v>
      </c>
      <c r="D341" s="104" t="s">
        <v>2886</v>
      </c>
      <c r="F341" s="104" t="s">
        <v>731</v>
      </c>
      <c r="G341" s="104" t="s">
        <v>2889</v>
      </c>
      <c r="H341" s="104" t="s">
        <v>154</v>
      </c>
      <c r="I341" s="104" t="s">
        <v>146</v>
      </c>
      <c r="J341" s="104" t="s">
        <v>147</v>
      </c>
      <c r="K341" t="str">
        <f>+"FY"&amp;RIGHT(YEAR('Hyperion Panel'!$B$9)+2,2)</f>
        <v>FY12</v>
      </c>
      <c r="L341" s="104">
        <f>'Upload Detail'!L561</f>
        <v>0</v>
      </c>
      <c r="M341" s="104">
        <f>'Upload Detail'!M561</f>
        <v>0</v>
      </c>
      <c r="N341" s="104">
        <f>'Upload Detail'!N561</f>
        <v>0</v>
      </c>
      <c r="O341" s="104">
        <f>'Upload Detail'!O561</f>
        <v>0</v>
      </c>
      <c r="P341" s="104">
        <f>'Upload Detail'!P561</f>
        <v>0</v>
      </c>
      <c r="Q341" s="104">
        <f>'Upload Detail'!Q561</f>
        <v>0</v>
      </c>
      <c r="R341" s="104">
        <f>'Upload Detail'!R561</f>
        <v>0</v>
      </c>
      <c r="S341" s="104">
        <f>'Upload Detail'!S561</f>
        <v>0</v>
      </c>
      <c r="T341" s="104">
        <f>'Upload Detail'!T561</f>
        <v>0</v>
      </c>
      <c r="U341" s="104">
        <f>'Upload Detail'!U561</f>
        <v>0</v>
      </c>
      <c r="V341" s="104">
        <f>'Upload Detail'!V561</f>
        <v>0</v>
      </c>
      <c r="W341" s="104">
        <f>'Upload Detail'!W561</f>
        <v>0</v>
      </c>
      <c r="Y341" s="1690"/>
    </row>
    <row r="342" spans="1:25" s="104" customFormat="1">
      <c r="A342" s="104" t="s">
        <v>733</v>
      </c>
      <c r="B342" s="104" t="str">
        <f t="shared" si="8"/>
        <v>X10_11032_00494</v>
      </c>
      <c r="C342" s="104" t="str">
        <f t="shared" si="9"/>
        <v>LE_XXXX</v>
      </c>
      <c r="D342" s="104" t="s">
        <v>2886</v>
      </c>
      <c r="F342" s="104" t="s">
        <v>731</v>
      </c>
      <c r="G342" s="104" t="s">
        <v>2889</v>
      </c>
      <c r="H342" s="104" t="s">
        <v>154</v>
      </c>
      <c r="I342" s="104" t="s">
        <v>146</v>
      </c>
      <c r="J342" s="104" t="s">
        <v>147</v>
      </c>
      <c r="K342" t="str">
        <f>+"FY"&amp;RIGHT(YEAR('Hyperion Panel'!$B$9)+2,2)</f>
        <v>FY12</v>
      </c>
      <c r="L342" s="104">
        <f>'Upload Detail'!L562</f>
        <v>9832.7999999999993</v>
      </c>
      <c r="M342" s="104">
        <f>'Upload Detail'!M562</f>
        <v>9832.7999999999993</v>
      </c>
      <c r="N342" s="104">
        <f>'Upload Detail'!N562</f>
        <v>9832.7999999999993</v>
      </c>
      <c r="O342" s="104">
        <f>'Upload Detail'!O562</f>
        <v>9832.7999999999993</v>
      </c>
      <c r="P342" s="104">
        <f>'Upload Detail'!P562</f>
        <v>9832.7999999999993</v>
      </c>
      <c r="Q342" s="104">
        <f>'Upload Detail'!Q562</f>
        <v>9832.7999999999993</v>
      </c>
      <c r="R342" s="104">
        <f>'Upload Detail'!R562</f>
        <v>9832.7999999999993</v>
      </c>
      <c r="S342" s="104">
        <f>'Upload Detail'!S562</f>
        <v>9832.7999999999993</v>
      </c>
      <c r="T342" s="104">
        <f>'Upload Detail'!T562</f>
        <v>9832.7999999999993</v>
      </c>
      <c r="U342" s="104">
        <f>'Upload Detail'!U562</f>
        <v>9832.7999999999993</v>
      </c>
      <c r="V342" s="104">
        <f>'Upload Detail'!V562</f>
        <v>10029.456</v>
      </c>
      <c r="W342" s="104">
        <f>'Upload Detail'!W562</f>
        <v>10029.456</v>
      </c>
      <c r="Y342" s="1690"/>
    </row>
    <row r="343" spans="1:25" s="104" customFormat="1">
      <c r="A343" s="104" t="s">
        <v>734</v>
      </c>
      <c r="B343" s="104" t="str">
        <f t="shared" si="8"/>
        <v>X10_11032_00494</v>
      </c>
      <c r="C343" s="104" t="str">
        <f t="shared" si="9"/>
        <v>LE_XXXX</v>
      </c>
      <c r="D343" s="104" t="s">
        <v>2886</v>
      </c>
      <c r="E343" s="104">
        <v>6800</v>
      </c>
      <c r="F343" s="104" t="s">
        <v>731</v>
      </c>
      <c r="G343" s="104" t="s">
        <v>2889</v>
      </c>
      <c r="H343" s="104" t="s">
        <v>154</v>
      </c>
      <c r="I343" s="104" t="s">
        <v>146</v>
      </c>
      <c r="J343" s="104" t="s">
        <v>147</v>
      </c>
      <c r="K343" t="str">
        <f>+"FY"&amp;RIGHT(YEAR('Hyperion Panel'!$B$9)+2,2)</f>
        <v>FY12</v>
      </c>
      <c r="L343" s="104">
        <f>'Upload Detail'!L563</f>
        <v>1802.5</v>
      </c>
      <c r="M343" s="104">
        <f>'Upload Detail'!M563</f>
        <v>1802.5</v>
      </c>
      <c r="N343" s="104">
        <f>'Upload Detail'!N563</f>
        <v>1802.5</v>
      </c>
      <c r="O343" s="104">
        <f>'Upload Detail'!O563</f>
        <v>1802.5</v>
      </c>
      <c r="P343" s="104">
        <f>'Upload Detail'!P563</f>
        <v>1802.5</v>
      </c>
      <c r="Q343" s="104">
        <f>'Upload Detail'!Q563</f>
        <v>1802.5</v>
      </c>
      <c r="R343" s="104">
        <f>'Upload Detail'!R563</f>
        <v>1802.5</v>
      </c>
      <c r="S343" s="104">
        <f>'Upload Detail'!S563</f>
        <v>1802.5</v>
      </c>
      <c r="T343" s="104">
        <f>'Upload Detail'!T563</f>
        <v>1802.5</v>
      </c>
      <c r="U343" s="104">
        <f>'Upload Detail'!U563</f>
        <v>1802.5</v>
      </c>
      <c r="V343" s="104">
        <f>'Upload Detail'!V563</f>
        <v>1856.575</v>
      </c>
      <c r="W343" s="104">
        <f>'Upload Detail'!W563</f>
        <v>1856.575</v>
      </c>
      <c r="Y343" s="1690"/>
    </row>
    <row r="344" spans="1:25">
      <c r="A344" t="s">
        <v>158</v>
      </c>
      <c r="B344" t="str">
        <f t="shared" si="8"/>
        <v>X10_11032_00494</v>
      </c>
      <c r="C344" t="str">
        <f t="shared" si="9"/>
        <v>LE_XXXX</v>
      </c>
      <c r="D344" t="s">
        <v>2886</v>
      </c>
      <c r="E344" t="s">
        <v>159</v>
      </c>
      <c r="F344" t="s">
        <v>156</v>
      </c>
      <c r="G344" t="s">
        <v>2889</v>
      </c>
      <c r="H344" t="s">
        <v>154</v>
      </c>
      <c r="I344" t="s">
        <v>146</v>
      </c>
      <c r="J344" t="s">
        <v>147</v>
      </c>
      <c r="K344" t="str">
        <f>+"FY"&amp;RIGHT(YEAR('Hyperion Panel'!$B$9)+2,2)</f>
        <v>FY12</v>
      </c>
      <c r="L344" s="103">
        <f>'Upload Detail'!L564</f>
        <v>1</v>
      </c>
      <c r="M344" s="103">
        <f>'Upload Detail'!M564</f>
        <v>1</v>
      </c>
      <c r="N344" s="103">
        <f>'Upload Detail'!N564</f>
        <v>1</v>
      </c>
      <c r="O344" s="103">
        <f>'Upload Detail'!O564</f>
        <v>1</v>
      </c>
      <c r="P344" s="103">
        <f>'Upload Detail'!P564</f>
        <v>1</v>
      </c>
      <c r="Q344" s="103">
        <f>'Upload Detail'!Q564</f>
        <v>1</v>
      </c>
      <c r="R344" s="103">
        <f>'Upload Detail'!R564</f>
        <v>1</v>
      </c>
      <c r="S344" s="103">
        <f>'Upload Detail'!S564</f>
        <v>1</v>
      </c>
      <c r="T344" s="103">
        <f>'Upload Detail'!T564</f>
        <v>1</v>
      </c>
      <c r="U344" s="103">
        <f>'Upload Detail'!U564</f>
        <v>1</v>
      </c>
      <c r="V344" s="103">
        <f>'Upload Detail'!V564</f>
        <v>1</v>
      </c>
      <c r="W344" s="103">
        <f>'Upload Detail'!W564</f>
        <v>1</v>
      </c>
    </row>
    <row r="345" spans="1:25">
      <c r="A345" t="s">
        <v>160</v>
      </c>
      <c r="B345" t="str">
        <f t="shared" si="8"/>
        <v>X10_11032_00494</v>
      </c>
      <c r="C345" t="str">
        <f t="shared" si="9"/>
        <v>LE_XXXX</v>
      </c>
      <c r="D345" t="s">
        <v>2886</v>
      </c>
      <c r="E345" t="s">
        <v>161</v>
      </c>
      <c r="F345" t="s">
        <v>156</v>
      </c>
      <c r="G345" t="s">
        <v>2889</v>
      </c>
      <c r="H345" t="s">
        <v>154</v>
      </c>
      <c r="I345" t="s">
        <v>146</v>
      </c>
      <c r="J345" t="s">
        <v>147</v>
      </c>
      <c r="K345" t="str">
        <f>+"FY"&amp;RIGHT(YEAR('Hyperion Panel'!$B$9)+2,2)</f>
        <v>FY12</v>
      </c>
      <c r="L345">
        <f>'Upload Detail'!L565</f>
        <v>0</v>
      </c>
      <c r="M345">
        <f>'Upload Detail'!M565</f>
        <v>0</v>
      </c>
      <c r="N345">
        <f>'Upload Detail'!N565</f>
        <v>0</v>
      </c>
      <c r="O345">
        <f>'Upload Detail'!O565</f>
        <v>0</v>
      </c>
      <c r="P345">
        <f>'Upload Detail'!P565</f>
        <v>0</v>
      </c>
      <c r="Q345">
        <f>'Upload Detail'!Q565</f>
        <v>0</v>
      </c>
      <c r="R345">
        <f>'Upload Detail'!R565</f>
        <v>0</v>
      </c>
      <c r="S345">
        <f>'Upload Detail'!S565</f>
        <v>0</v>
      </c>
      <c r="T345">
        <f>'Upload Detail'!T565</f>
        <v>0</v>
      </c>
      <c r="U345">
        <f>'Upload Detail'!U565</f>
        <v>0</v>
      </c>
      <c r="V345">
        <f>'Upload Detail'!V565</f>
        <v>0</v>
      </c>
      <c r="W345">
        <f>'Upload Detail'!W565</f>
        <v>0</v>
      </c>
    </row>
    <row r="346" spans="1:25" s="104" customFormat="1">
      <c r="A346" s="104" t="s">
        <v>735</v>
      </c>
      <c r="B346" t="str">
        <f t="shared" si="8"/>
        <v>X10_11032_00494</v>
      </c>
      <c r="C346" t="str">
        <f t="shared" si="9"/>
        <v>LE_XXXX</v>
      </c>
      <c r="D346" t="s">
        <v>2886</v>
      </c>
      <c r="F346" s="104" t="s">
        <v>731</v>
      </c>
      <c r="G346" s="104" t="s">
        <v>2889</v>
      </c>
      <c r="H346" s="104" t="s">
        <v>154</v>
      </c>
      <c r="I346" s="104" t="s">
        <v>146</v>
      </c>
      <c r="J346" s="104" t="s">
        <v>147</v>
      </c>
      <c r="K346" t="str">
        <f>+"FY"&amp;RIGHT(YEAR('Hyperion Panel'!$B$9)+2,2)</f>
        <v>FY12</v>
      </c>
      <c r="L346" s="104">
        <f>'Upload Detail'!L566</f>
        <v>0</v>
      </c>
      <c r="M346" s="104">
        <f>'Upload Detail'!M566</f>
        <v>0</v>
      </c>
      <c r="N346" s="104">
        <f>'Upload Detail'!N566</f>
        <v>0</v>
      </c>
      <c r="O346" s="104">
        <f>'Upload Detail'!O566</f>
        <v>0</v>
      </c>
      <c r="P346" s="104">
        <f>'Upload Detail'!P566</f>
        <v>0</v>
      </c>
      <c r="Q346" s="104">
        <f>'Upload Detail'!Q566</f>
        <v>0</v>
      </c>
      <c r="R346" s="104">
        <f>'Upload Detail'!R566</f>
        <v>0</v>
      </c>
      <c r="S346" s="104">
        <f>'Upload Detail'!S566</f>
        <v>0</v>
      </c>
      <c r="T346" s="104">
        <f>'Upload Detail'!T566</f>
        <v>0</v>
      </c>
      <c r="U346" s="104">
        <f>'Upload Detail'!U566</f>
        <v>0</v>
      </c>
      <c r="V346" s="104">
        <f>'Upload Detail'!V566</f>
        <v>0</v>
      </c>
      <c r="W346" s="104">
        <f>'Upload Detail'!W566</f>
        <v>0</v>
      </c>
    </row>
    <row r="347" spans="1:25" s="106" customFormat="1">
      <c r="A347" s="106" t="s">
        <v>165</v>
      </c>
      <c r="B347" s="106" t="str">
        <f t="shared" si="8"/>
        <v>X10_11032_00494</v>
      </c>
      <c r="C347" s="106" t="str">
        <f t="shared" si="9"/>
        <v>LE_XXXX</v>
      </c>
      <c r="D347" s="106" t="s">
        <v>2886</v>
      </c>
      <c r="E347" s="106" t="s">
        <v>2887</v>
      </c>
      <c r="F347" s="106" t="s">
        <v>2888</v>
      </c>
      <c r="G347" s="106" t="s">
        <v>2889</v>
      </c>
      <c r="H347" s="106" t="s">
        <v>145</v>
      </c>
      <c r="I347" s="106" t="s">
        <v>146</v>
      </c>
      <c r="J347" s="106" t="s">
        <v>147</v>
      </c>
      <c r="K347" s="106" t="str">
        <f>+"FY"&amp;RIGHT(YEAR('Hyperion Panel'!$B$9)+3,2)</f>
        <v>FY13</v>
      </c>
      <c r="L347" s="106">
        <f>SUM('Upload Detail'!L569:L570)</f>
        <v>598</v>
      </c>
      <c r="M347" s="106">
        <f>SUM('Upload Detail'!M569:M570)</f>
        <v>598</v>
      </c>
      <c r="N347" s="106">
        <f>SUM('Upload Detail'!N569:N570)</f>
        <v>598</v>
      </c>
      <c r="O347" s="106">
        <f>SUM('Upload Detail'!O569:O570)</f>
        <v>598</v>
      </c>
      <c r="P347" s="106">
        <f>SUM('Upload Detail'!P569:P570)</f>
        <v>598</v>
      </c>
      <c r="Q347" s="106">
        <f>SUM('Upload Detail'!Q569:Q570)</f>
        <v>598</v>
      </c>
      <c r="R347" s="106">
        <f>SUM('Upload Detail'!R569:R570)</f>
        <v>598</v>
      </c>
      <c r="S347" s="106">
        <f>SUM('Upload Detail'!S569:S570)</f>
        <v>598</v>
      </c>
      <c r="T347" s="106">
        <f>SUM('Upload Detail'!T569:T570)</f>
        <v>598</v>
      </c>
      <c r="U347" s="106">
        <f>SUM('Upload Detail'!U569:U570)</f>
        <v>598</v>
      </c>
      <c r="V347" s="106">
        <f>SUM('Upload Detail'!V569:V570)</f>
        <v>598</v>
      </c>
      <c r="W347" s="106">
        <f>SUM('Upload Detail'!W569:W570)</f>
        <v>598</v>
      </c>
    </row>
    <row r="348" spans="1:25" s="106" customFormat="1">
      <c r="A348" s="106" t="s">
        <v>162</v>
      </c>
      <c r="B348" s="106" t="str">
        <f t="shared" si="8"/>
        <v>X10_11032_00494</v>
      </c>
      <c r="C348" s="106" t="str">
        <f t="shared" si="9"/>
        <v>LE_XXXX</v>
      </c>
      <c r="D348" s="106" t="s">
        <v>2886</v>
      </c>
      <c r="E348" s="106" t="s">
        <v>149</v>
      </c>
      <c r="F348" s="106" t="s">
        <v>150</v>
      </c>
      <c r="G348" s="106" t="s">
        <v>2889</v>
      </c>
      <c r="H348" s="106" t="s">
        <v>145</v>
      </c>
      <c r="I348" s="106" t="s">
        <v>146</v>
      </c>
      <c r="J348" s="106" t="s">
        <v>147</v>
      </c>
      <c r="K348" s="106" t="str">
        <f>+"FY"&amp;RIGHT(YEAR('Hyperion Panel'!$B$9)+3,2)</f>
        <v>FY13</v>
      </c>
      <c r="L348" s="106">
        <f>SUM('Upload Detail'!L572:L573)</f>
        <v>247</v>
      </c>
      <c r="M348" s="106">
        <f>SUM('Upload Detail'!M572:M573)</f>
        <v>247</v>
      </c>
      <c r="N348" s="106">
        <f>SUM('Upload Detail'!N572:N573)</f>
        <v>247</v>
      </c>
      <c r="O348" s="106">
        <f>SUM('Upload Detail'!O572:O573)</f>
        <v>247</v>
      </c>
      <c r="P348" s="106">
        <f>SUM('Upload Detail'!P572:P573)</f>
        <v>247</v>
      </c>
      <c r="Q348" s="106">
        <f>SUM('Upload Detail'!Q572:Q573)</f>
        <v>247</v>
      </c>
      <c r="R348" s="106">
        <f>SUM('Upload Detail'!R572:R573)</f>
        <v>247</v>
      </c>
      <c r="S348" s="106">
        <f>SUM('Upload Detail'!S572:S573)</f>
        <v>247</v>
      </c>
      <c r="T348" s="106">
        <f>SUM('Upload Detail'!T572:T573)</f>
        <v>247</v>
      </c>
      <c r="U348" s="106">
        <f>SUM('Upload Detail'!U572:U573)</f>
        <v>247</v>
      </c>
      <c r="V348" s="106">
        <f>SUM('Upload Detail'!V572:V573)</f>
        <v>247</v>
      </c>
      <c r="W348" s="106">
        <f>SUM('Upload Detail'!W572:W573)</f>
        <v>247</v>
      </c>
    </row>
    <row r="349" spans="1:25" s="1693" customFormat="1">
      <c r="A349" s="1693" t="s">
        <v>3767</v>
      </c>
      <c r="B349" s="1693" t="str">
        <f t="shared" si="8"/>
        <v>X10_11032_00494</v>
      </c>
      <c r="C349" s="1693" t="str">
        <f t="shared" si="9"/>
        <v>LE_XXXX</v>
      </c>
      <c r="D349" s="1693" t="s">
        <v>2886</v>
      </c>
      <c r="E349" s="1693" t="s">
        <v>719</v>
      </c>
      <c r="F349" s="1693" t="s">
        <v>731</v>
      </c>
      <c r="G349" s="1693" t="s">
        <v>2889</v>
      </c>
      <c r="H349" s="1693" t="s">
        <v>145</v>
      </c>
      <c r="I349" s="1693" t="s">
        <v>146</v>
      </c>
      <c r="J349" s="1693" t="s">
        <v>147</v>
      </c>
      <c r="K349" s="106" t="str">
        <f>+"FY"&amp;RIGHT(YEAR('Hyperion Panel'!$B$9)+3,2)</f>
        <v>FY13</v>
      </c>
      <c r="L349" s="1693">
        <f>SUM('Upload Detail'!L575:L576)</f>
        <v>65</v>
      </c>
      <c r="M349" s="1693">
        <f>SUM('Upload Detail'!M575:M576)</f>
        <v>65</v>
      </c>
      <c r="N349" s="1693">
        <f>SUM('Upload Detail'!N575:N576)</f>
        <v>65</v>
      </c>
      <c r="O349" s="1693">
        <f>SUM('Upload Detail'!O575:O576)</f>
        <v>65</v>
      </c>
      <c r="P349" s="1693">
        <f>SUM('Upload Detail'!P575:P576)</f>
        <v>65</v>
      </c>
      <c r="Q349" s="1693">
        <f>SUM('Upload Detail'!Q575:Q576)</f>
        <v>65</v>
      </c>
      <c r="R349" s="1693">
        <f>SUM('Upload Detail'!R575:R576)</f>
        <v>65</v>
      </c>
      <c r="S349" s="1693">
        <f>SUM('Upload Detail'!S575:S576)</f>
        <v>65</v>
      </c>
      <c r="T349" s="1693">
        <f>SUM('Upload Detail'!T575:T576)</f>
        <v>65</v>
      </c>
      <c r="U349" s="1693">
        <f>SUM('Upload Detail'!U575:U576)</f>
        <v>65</v>
      </c>
      <c r="V349" s="1693">
        <f>SUM('Upload Detail'!V575:V576)</f>
        <v>65</v>
      </c>
      <c r="W349" s="1693">
        <f>SUM('Upload Detail'!W575:W576)</f>
        <v>65</v>
      </c>
    </row>
    <row r="350" spans="1:25" s="106" customFormat="1">
      <c r="A350" s="106" t="s">
        <v>163</v>
      </c>
      <c r="B350" s="106" t="str">
        <f t="shared" si="8"/>
        <v>X10_11032_00494</v>
      </c>
      <c r="C350" s="106" t="str">
        <f t="shared" si="9"/>
        <v>LE_XXXX</v>
      </c>
      <c r="D350" s="106" t="s">
        <v>2886</v>
      </c>
      <c r="E350" s="106">
        <v>3010</v>
      </c>
      <c r="F350" s="106" t="s">
        <v>2888</v>
      </c>
      <c r="G350" s="106" t="s">
        <v>2889</v>
      </c>
      <c r="H350" s="106" t="s">
        <v>145</v>
      </c>
      <c r="I350" s="106" t="s">
        <v>146</v>
      </c>
      <c r="J350" s="106" t="s">
        <v>147</v>
      </c>
      <c r="K350" s="106" t="str">
        <f>+"FY"&amp;RIGHT(YEAR('Hyperion Panel'!$B$9)+3,2)</f>
        <v>FY13</v>
      </c>
      <c r="L350" s="106">
        <f>SUM('Upload Detail'!L578:L579)</f>
        <v>173713.61981850141</v>
      </c>
      <c r="M350" s="106">
        <f>SUM('Upload Detail'!M578:M579)</f>
        <v>173713.61981850141</v>
      </c>
      <c r="N350" s="106">
        <f>SUM('Upload Detail'!N578:N579)</f>
        <v>173713.61981850141</v>
      </c>
      <c r="O350" s="106">
        <f>SUM('Upload Detail'!O578:O579)</f>
        <v>173713.61981850141</v>
      </c>
      <c r="P350" s="106">
        <f>SUM('Upload Detail'!P578:P579)</f>
        <v>173713.61981850141</v>
      </c>
      <c r="Q350" s="106">
        <f>SUM('Upload Detail'!Q578:Q579)</f>
        <v>173713.61981850141</v>
      </c>
      <c r="R350" s="106">
        <f>SUM('Upload Detail'!R578:R579)</f>
        <v>173713.61981850141</v>
      </c>
      <c r="S350" s="106">
        <f>SUM('Upload Detail'!S578:S579)</f>
        <v>173713.61981850141</v>
      </c>
      <c r="T350" s="106">
        <f>SUM('Upload Detail'!T578:T579)</f>
        <v>173713.61981850141</v>
      </c>
      <c r="U350" s="106">
        <f>SUM('Upload Detail'!U578:U579)</f>
        <v>173713.61981850141</v>
      </c>
      <c r="V350" s="106">
        <f>SUM('Upload Detail'!V578:V579)</f>
        <v>174298.86488084195</v>
      </c>
      <c r="W350" s="106">
        <f>SUM('Upload Detail'!W578:W579)</f>
        <v>174298.86488084195</v>
      </c>
    </row>
    <row r="351" spans="1:25" s="106" customFormat="1">
      <c r="A351" s="106" t="s">
        <v>164</v>
      </c>
      <c r="B351" s="106" t="str">
        <f t="shared" si="8"/>
        <v>X10_11032_00494</v>
      </c>
      <c r="C351" s="106" t="str">
        <f t="shared" si="9"/>
        <v>LE_XXXX</v>
      </c>
      <c r="D351" s="106" t="s">
        <v>2886</v>
      </c>
      <c r="E351" s="106">
        <v>3030</v>
      </c>
      <c r="F351" s="106" t="s">
        <v>150</v>
      </c>
      <c r="G351" s="106" t="s">
        <v>2889</v>
      </c>
      <c r="H351" s="106" t="s">
        <v>145</v>
      </c>
      <c r="I351" s="106" t="s">
        <v>146</v>
      </c>
      <c r="J351" s="106" t="s">
        <v>147</v>
      </c>
      <c r="K351" s="106" t="str">
        <f>+"FY"&amp;RIGHT(YEAR('Hyperion Panel'!$B$9)+3,2)</f>
        <v>FY13</v>
      </c>
      <c r="L351" s="106">
        <f>SUM('Upload Detail'!L581:L582)</f>
        <v>122315.33197111951</v>
      </c>
      <c r="M351" s="106">
        <f>SUM('Upload Detail'!M581:M582)</f>
        <v>122315.33197111951</v>
      </c>
      <c r="N351" s="106">
        <f>SUM('Upload Detail'!N581:N582)</f>
        <v>122315.33197111951</v>
      </c>
      <c r="O351" s="106">
        <f>SUM('Upload Detail'!O581:O582)</f>
        <v>122315.33197111951</v>
      </c>
      <c r="P351" s="106">
        <f>SUM('Upload Detail'!P581:P582)</f>
        <v>122315.33197111951</v>
      </c>
      <c r="Q351" s="106">
        <f>SUM('Upload Detail'!Q581:Q582)</f>
        <v>122315.33197111951</v>
      </c>
      <c r="R351" s="106">
        <f>SUM('Upload Detail'!R581:R582)</f>
        <v>122315.33197111951</v>
      </c>
      <c r="S351" s="106">
        <f>SUM('Upload Detail'!S581:S582)</f>
        <v>122315.33197111951</v>
      </c>
      <c r="T351" s="106">
        <f>SUM('Upload Detail'!T581:T582)</f>
        <v>122315.33197111951</v>
      </c>
      <c r="U351" s="106">
        <f>SUM('Upload Detail'!U581:U582)</f>
        <v>122315.33197111951</v>
      </c>
      <c r="V351" s="106">
        <f>SUM('Upload Detail'!V581:V582)</f>
        <v>124128.31939250056</v>
      </c>
      <c r="W351" s="106">
        <f>SUM('Upload Detail'!W581:W582)</f>
        <v>124128.31939250056</v>
      </c>
    </row>
    <row r="352" spans="1:25" s="1693" customFormat="1">
      <c r="A352" s="1693" t="s">
        <v>3768</v>
      </c>
      <c r="B352" s="1693" t="str">
        <f t="shared" si="8"/>
        <v>X10_11032_00494</v>
      </c>
      <c r="C352" s="1693" t="str">
        <f t="shared" si="9"/>
        <v>LE_XXXX</v>
      </c>
      <c r="D352" s="1693" t="s">
        <v>2886</v>
      </c>
      <c r="E352" s="1693">
        <v>3050</v>
      </c>
      <c r="F352" s="1693" t="s">
        <v>731</v>
      </c>
      <c r="G352" s="1693" t="s">
        <v>2889</v>
      </c>
      <c r="H352" s="1693" t="s">
        <v>145</v>
      </c>
      <c r="I352" s="1693" t="s">
        <v>146</v>
      </c>
      <c r="J352" s="1693" t="s">
        <v>147</v>
      </c>
      <c r="K352" s="106" t="str">
        <f>+"FY"&amp;RIGHT(YEAR('Hyperion Panel'!$B$9)+3,2)</f>
        <v>FY13</v>
      </c>
      <c r="L352" s="1693">
        <f>SUM('Upload Detail'!L584:L585)</f>
        <v>16884.753665513832</v>
      </c>
      <c r="M352" s="1693">
        <f>SUM('Upload Detail'!M584:M585)</f>
        <v>16884.753665513832</v>
      </c>
      <c r="N352" s="1693">
        <f>SUM('Upload Detail'!N584:N585)</f>
        <v>16884.753665513832</v>
      </c>
      <c r="O352" s="1693">
        <f>SUM('Upload Detail'!O584:O585)</f>
        <v>16884.753665513832</v>
      </c>
      <c r="P352" s="1693">
        <f>SUM('Upload Detail'!P584:P585)</f>
        <v>16884.753665513832</v>
      </c>
      <c r="Q352" s="1693">
        <f>SUM('Upload Detail'!Q584:Q585)</f>
        <v>16884.753665513832</v>
      </c>
      <c r="R352" s="1693">
        <f>SUM('Upload Detail'!R584:R585)</f>
        <v>16884.753665513832</v>
      </c>
      <c r="S352" s="1693">
        <f>SUM('Upload Detail'!S584:S585)</f>
        <v>16884.753665513832</v>
      </c>
      <c r="T352" s="1693">
        <f>SUM('Upload Detail'!T584:T585)</f>
        <v>16884.753665513832</v>
      </c>
      <c r="U352" s="1693">
        <f>SUM('Upload Detail'!U584:U585)</f>
        <v>16884.753665513832</v>
      </c>
      <c r="V352" s="1693">
        <f>SUM('Upload Detail'!V584:V585)</f>
        <v>16884.753665513832</v>
      </c>
      <c r="W352" s="1693">
        <f>SUM('Upload Detail'!W584:W585)</f>
        <v>16884.753665513832</v>
      </c>
    </row>
    <row r="353" spans="1:25">
      <c r="A353" t="s">
        <v>2651</v>
      </c>
      <c r="B353" t="str">
        <f t="shared" si="8"/>
        <v>X10_11032_00494</v>
      </c>
      <c r="C353" t="str">
        <f t="shared" si="9"/>
        <v>LE_XXXX</v>
      </c>
      <c r="D353" t="s">
        <v>2886</v>
      </c>
      <c r="E353">
        <v>6010</v>
      </c>
      <c r="F353" t="s">
        <v>2888</v>
      </c>
      <c r="G353" t="s">
        <v>153</v>
      </c>
      <c r="H353" t="s">
        <v>154</v>
      </c>
      <c r="I353" t="s">
        <v>146</v>
      </c>
      <c r="J353" t="s">
        <v>147</v>
      </c>
      <c r="K353" t="str">
        <f>+"FY"&amp;RIGHT(YEAR('Hyperion Panel'!$B$9)+3,2)</f>
        <v>FY13</v>
      </c>
      <c r="L353">
        <f>'Upload Detail'!L586</f>
        <v>41056.601707191752</v>
      </c>
      <c r="M353">
        <f>'Upload Detail'!M586</f>
        <v>41056.601707191752</v>
      </c>
      <c r="N353">
        <f>'Upload Detail'!N586</f>
        <v>41056.601707191752</v>
      </c>
      <c r="O353">
        <f>'Upload Detail'!O586</f>
        <v>41056.601707191752</v>
      </c>
      <c r="P353">
        <f>'Upload Detail'!P586</f>
        <v>41056.601707191752</v>
      </c>
      <c r="Q353">
        <f>'Upload Detail'!Q586</f>
        <v>41056.601707191752</v>
      </c>
      <c r="R353">
        <f>'Upload Detail'!R586</f>
        <v>41056.601707191752</v>
      </c>
      <c r="S353">
        <f>'Upload Detail'!S586</f>
        <v>41056.601707191752</v>
      </c>
      <c r="T353">
        <f>'Upload Detail'!T586</f>
        <v>41056.601707191752</v>
      </c>
      <c r="U353">
        <f>'Upload Detail'!U586</f>
        <v>41056.601707191752</v>
      </c>
      <c r="V353">
        <f>'Upload Detail'!V586</f>
        <v>42288.299758407506</v>
      </c>
      <c r="W353">
        <f>'Upload Detail'!W586</f>
        <v>42288.299758407506</v>
      </c>
      <c r="Y353" s="105">
        <f t="shared" ref="Y353:Y362" si="10">SUM(V353:W353,L376:U376)</f>
        <v>507459.59710089018</v>
      </c>
    </row>
    <row r="354" spans="1:25">
      <c r="A354" t="s">
        <v>2652</v>
      </c>
      <c r="B354" t="str">
        <f t="shared" si="8"/>
        <v>X10_11032_00494</v>
      </c>
      <c r="C354" t="str">
        <f t="shared" si="9"/>
        <v>LE_XXXX</v>
      </c>
      <c r="D354" t="s">
        <v>2886</v>
      </c>
      <c r="E354">
        <v>6010</v>
      </c>
      <c r="F354" t="s">
        <v>2888</v>
      </c>
      <c r="G354" t="s">
        <v>155</v>
      </c>
      <c r="H354" t="s">
        <v>154</v>
      </c>
      <c r="I354" t="s">
        <v>146</v>
      </c>
      <c r="J354" t="s">
        <v>147</v>
      </c>
      <c r="K354" t="str">
        <f>+"FY"&amp;RIGHT(YEAR('Hyperion Panel'!$B$9)+3,2)</f>
        <v>FY13</v>
      </c>
      <c r="L354">
        <f>'Upload Detail'!L587</f>
        <v>15696.015500000001</v>
      </c>
      <c r="M354">
        <f>'Upload Detail'!M587</f>
        <v>15696.015500000001</v>
      </c>
      <c r="N354">
        <f>'Upload Detail'!N587</f>
        <v>15696.015500000001</v>
      </c>
      <c r="O354">
        <f>'Upload Detail'!O587</f>
        <v>15696.015500000001</v>
      </c>
      <c r="P354">
        <f>'Upload Detail'!P587</f>
        <v>15696.015500000001</v>
      </c>
      <c r="Q354">
        <f>'Upload Detail'!Q587</f>
        <v>15696.015500000001</v>
      </c>
      <c r="R354">
        <f>'Upload Detail'!R587</f>
        <v>15696.015500000001</v>
      </c>
      <c r="S354">
        <f>'Upload Detail'!S587</f>
        <v>15696.015500000001</v>
      </c>
      <c r="T354">
        <f>'Upload Detail'!T587</f>
        <v>15696.015500000001</v>
      </c>
      <c r="U354">
        <f>'Upload Detail'!U587</f>
        <v>15696.015500000001</v>
      </c>
      <c r="V354">
        <f>'Upload Detail'!V587</f>
        <v>16166.895965000002</v>
      </c>
      <c r="W354">
        <f>'Upload Detail'!W587</f>
        <v>16166.895965000002</v>
      </c>
      <c r="Y354" s="105">
        <f t="shared" si="10"/>
        <v>194002.75158000001</v>
      </c>
    </row>
    <row r="355" spans="1:25">
      <c r="A355" t="s">
        <v>2653</v>
      </c>
      <c r="B355" t="str">
        <f t="shared" si="8"/>
        <v>X10_11032_00494</v>
      </c>
      <c r="C355" t="str">
        <f t="shared" si="9"/>
        <v>LE_XXXX</v>
      </c>
      <c r="D355" t="s">
        <v>2886</v>
      </c>
      <c r="E355">
        <v>6051</v>
      </c>
      <c r="F355" t="s">
        <v>2888</v>
      </c>
      <c r="G355" t="s">
        <v>153</v>
      </c>
      <c r="H355" t="s">
        <v>154</v>
      </c>
      <c r="I355" t="s">
        <v>146</v>
      </c>
      <c r="J355" t="s">
        <v>147</v>
      </c>
      <c r="K355" t="str">
        <f>+"FY"&amp;RIGHT(YEAR('Hyperion Panel'!$B$9)+3,2)</f>
        <v>FY13</v>
      </c>
      <c r="L355">
        <f>'Upload Detail'!L588</f>
        <v>20041.173750404498</v>
      </c>
      <c r="M355">
        <f>'Upload Detail'!M588</f>
        <v>20041.173750404498</v>
      </c>
      <c r="N355">
        <f>'Upload Detail'!N588</f>
        <v>20041.173750404498</v>
      </c>
      <c r="O355">
        <f>'Upload Detail'!O588</f>
        <v>20041.173750404498</v>
      </c>
      <c r="P355">
        <f>'Upload Detail'!P588</f>
        <v>20041.173750404498</v>
      </c>
      <c r="Q355">
        <f>'Upload Detail'!Q588</f>
        <v>20041.173750404498</v>
      </c>
      <c r="R355">
        <f>'Upload Detail'!R588</f>
        <v>20041.173750404498</v>
      </c>
      <c r="S355">
        <f>'Upload Detail'!S588</f>
        <v>20041.173750404498</v>
      </c>
      <c r="T355">
        <f>'Upload Detail'!T588</f>
        <v>20041.173750404498</v>
      </c>
      <c r="U355">
        <f>'Upload Detail'!U588</f>
        <v>20041.173750404498</v>
      </c>
      <c r="V355">
        <f>'Upload Detail'!V588</f>
        <v>20642.40896291663</v>
      </c>
      <c r="W355">
        <f>'Upload Detail'!W588</f>
        <v>20642.40896291663</v>
      </c>
      <c r="Y355" s="105">
        <f t="shared" si="10"/>
        <v>247708.90755499961</v>
      </c>
    </row>
    <row r="356" spans="1:25">
      <c r="A356" t="s">
        <v>2654</v>
      </c>
      <c r="B356" t="str">
        <f t="shared" si="8"/>
        <v>X10_11032_00494</v>
      </c>
      <c r="C356" t="str">
        <f t="shared" si="9"/>
        <v>LE_XXXX</v>
      </c>
      <c r="D356" t="s">
        <v>2886</v>
      </c>
      <c r="E356">
        <v>6011</v>
      </c>
      <c r="F356" t="s">
        <v>2888</v>
      </c>
      <c r="G356" t="s">
        <v>153</v>
      </c>
      <c r="H356" t="s">
        <v>154</v>
      </c>
      <c r="I356" t="s">
        <v>146</v>
      </c>
      <c r="J356" t="s">
        <v>147</v>
      </c>
      <c r="K356" t="str">
        <f>+"FY"&amp;RIGHT(YEAR('Hyperion Panel'!$B$9)+3,2)</f>
        <v>FY13</v>
      </c>
      <c r="L356">
        <f>'Upload Detail'!L589</f>
        <v>0</v>
      </c>
      <c r="M356">
        <f>'Upload Detail'!M589</f>
        <v>0</v>
      </c>
      <c r="N356">
        <f>'Upload Detail'!N589</f>
        <v>0</v>
      </c>
      <c r="O356">
        <f>'Upload Detail'!O589</f>
        <v>0</v>
      </c>
      <c r="P356">
        <f>'Upload Detail'!P589</f>
        <v>0</v>
      </c>
      <c r="Q356">
        <f>'Upload Detail'!Q589</f>
        <v>0</v>
      </c>
      <c r="R356">
        <f>'Upload Detail'!R589</f>
        <v>0</v>
      </c>
      <c r="S356">
        <f>'Upload Detail'!S589</f>
        <v>0</v>
      </c>
      <c r="T356">
        <f>'Upload Detail'!T589</f>
        <v>0</v>
      </c>
      <c r="U356">
        <f>'Upload Detail'!U589</f>
        <v>0</v>
      </c>
      <c r="V356">
        <f>'Upload Detail'!V589</f>
        <v>0</v>
      </c>
      <c r="W356">
        <f>'Upload Detail'!W589</f>
        <v>0</v>
      </c>
      <c r="Y356" s="105">
        <f t="shared" si="10"/>
        <v>0</v>
      </c>
    </row>
    <row r="357" spans="1:25">
      <c r="A357" t="s">
        <v>3696</v>
      </c>
      <c r="B357" t="str">
        <f t="shared" si="8"/>
        <v>X10_11032_00494</v>
      </c>
      <c r="C357" t="str">
        <f t="shared" si="9"/>
        <v>LE_XXXX</v>
      </c>
      <c r="D357" t="s">
        <v>2886</v>
      </c>
      <c r="E357">
        <v>6600</v>
      </c>
      <c r="F357" t="s">
        <v>2888</v>
      </c>
      <c r="G357" t="s">
        <v>2889</v>
      </c>
      <c r="H357" t="s">
        <v>154</v>
      </c>
      <c r="I357" t="s">
        <v>146</v>
      </c>
      <c r="J357" t="s">
        <v>147</v>
      </c>
      <c r="K357" t="str">
        <f>+"FY"&amp;RIGHT(YEAR('Hyperion Panel'!$B$9)+3,2)</f>
        <v>FY13</v>
      </c>
      <c r="L357">
        <f>'Upload Detail'!L590</f>
        <v>55098.426549237643</v>
      </c>
      <c r="M357">
        <f>'Upload Detail'!M590</f>
        <v>55098.426549237643</v>
      </c>
      <c r="N357">
        <f>'Upload Detail'!N590</f>
        <v>55098.426549237643</v>
      </c>
      <c r="O357">
        <f>'Upload Detail'!O590</f>
        <v>55098.426549237643</v>
      </c>
      <c r="P357">
        <f>'Upload Detail'!P590</f>
        <v>55098.426549237643</v>
      </c>
      <c r="Q357">
        <f>'Upload Detail'!Q590</f>
        <v>55098.426549237643</v>
      </c>
      <c r="R357">
        <f>'Upload Detail'!R590</f>
        <v>55098.426549237643</v>
      </c>
      <c r="S357">
        <f>'Upload Detail'!S590</f>
        <v>55098.426549237643</v>
      </c>
      <c r="T357">
        <f>'Upload Detail'!T590</f>
        <v>55098.426549237643</v>
      </c>
      <c r="U357">
        <f>'Upload Detail'!U590</f>
        <v>55098.426549237643</v>
      </c>
      <c r="V357">
        <f>'Upload Detail'!V590</f>
        <v>56200.395080222406</v>
      </c>
      <c r="W357">
        <f>'Upload Detail'!W590</f>
        <v>56200.395080222406</v>
      </c>
      <c r="Y357" s="105">
        <f t="shared" si="10"/>
        <v>674404.7409626689</v>
      </c>
    </row>
    <row r="358" spans="1:25">
      <c r="A358" t="s">
        <v>1381</v>
      </c>
      <c r="B358" t="str">
        <f t="shared" si="8"/>
        <v>X10_11032_00494</v>
      </c>
      <c r="C358" t="str">
        <f t="shared" si="9"/>
        <v>LE_XXXX</v>
      </c>
      <c r="D358" t="s">
        <v>2886</v>
      </c>
      <c r="E358">
        <v>6800</v>
      </c>
      <c r="F358" t="s">
        <v>156</v>
      </c>
      <c r="G358" t="s">
        <v>2889</v>
      </c>
      <c r="H358" t="s">
        <v>154</v>
      </c>
      <c r="I358" t="s">
        <v>146</v>
      </c>
      <c r="J358" t="s">
        <v>147</v>
      </c>
      <c r="K358" t="str">
        <f>+"FY"&amp;RIGHT(YEAR('Hyperion Panel'!$B$9)+3,2)</f>
        <v>FY13</v>
      </c>
      <c r="L358">
        <f>'Upload Detail'!L591</f>
        <v>20821.238922919994</v>
      </c>
      <c r="M358">
        <f>'Upload Detail'!M591</f>
        <v>20821.238922919994</v>
      </c>
      <c r="N358">
        <f>'Upload Detail'!N591</f>
        <v>20821.238922919994</v>
      </c>
      <c r="O358">
        <f>'Upload Detail'!O591</f>
        <v>20821.238922919994</v>
      </c>
      <c r="P358">
        <f>'Upload Detail'!P591</f>
        <v>20821.238922919994</v>
      </c>
      <c r="Q358">
        <f>'Upload Detail'!Q591</f>
        <v>20821.238922919994</v>
      </c>
      <c r="R358">
        <f>'Upload Detail'!R591</f>
        <v>20821.238922919994</v>
      </c>
      <c r="S358">
        <f>'Upload Detail'!S591</f>
        <v>20821.238922919994</v>
      </c>
      <c r="T358">
        <f>'Upload Detail'!T591</f>
        <v>20821.238922919994</v>
      </c>
      <c r="U358">
        <f>'Upload Detail'!U591</f>
        <v>20821.238922919994</v>
      </c>
      <c r="V358">
        <f>'Upload Detail'!V591</f>
        <v>21445.876090607595</v>
      </c>
      <c r="W358">
        <f>'Upload Detail'!W591</f>
        <v>21445.876090607595</v>
      </c>
      <c r="Y358" s="105">
        <f t="shared" si="10"/>
        <v>257350.51308729118</v>
      </c>
    </row>
    <row r="359" spans="1:25">
      <c r="A359" t="s">
        <v>3697</v>
      </c>
      <c r="B359" t="str">
        <f t="shared" si="8"/>
        <v>X10_11032_00494</v>
      </c>
      <c r="C359" t="str">
        <f t="shared" si="9"/>
        <v>LE_XXXX</v>
      </c>
      <c r="D359" t="s">
        <v>2886</v>
      </c>
      <c r="E359">
        <v>8600</v>
      </c>
      <c r="F359" t="s">
        <v>156</v>
      </c>
      <c r="G359" t="s">
        <v>2889</v>
      </c>
      <c r="H359" t="s">
        <v>154</v>
      </c>
      <c r="I359" t="s">
        <v>146</v>
      </c>
      <c r="J359" t="s">
        <v>147</v>
      </c>
      <c r="K359" t="str">
        <f>+"FY"&amp;RIGHT(YEAR('Hyperion Panel'!$B$9)+3,2)</f>
        <v>FY13</v>
      </c>
      <c r="L359">
        <f>'Upload Detail'!L592</f>
        <v>17478.316890999999</v>
      </c>
      <c r="M359">
        <f>'Upload Detail'!M592</f>
        <v>17478.316890999999</v>
      </c>
      <c r="N359">
        <f>'Upload Detail'!N592</f>
        <v>17478.316890999999</v>
      </c>
      <c r="O359">
        <f>'Upload Detail'!O592</f>
        <v>17478.316890999999</v>
      </c>
      <c r="P359">
        <f>'Upload Detail'!P592</f>
        <v>17478.316890999999</v>
      </c>
      <c r="Q359">
        <f>'Upload Detail'!Q592</f>
        <v>17478.316890999999</v>
      </c>
      <c r="R359">
        <f>'Upload Detail'!R592</f>
        <v>17478.316890999999</v>
      </c>
      <c r="S359">
        <f>'Upload Detail'!S592</f>
        <v>17478.316890999999</v>
      </c>
      <c r="T359">
        <f>'Upload Detail'!T592</f>
        <v>17478.316890999999</v>
      </c>
      <c r="U359">
        <f>'Upload Detail'!U592</f>
        <v>17478.316890999999</v>
      </c>
      <c r="V359">
        <f>'Upload Detail'!V592</f>
        <v>18002.666397730001</v>
      </c>
      <c r="W359">
        <f>'Upload Detail'!W592</f>
        <v>18002.666397730001</v>
      </c>
      <c r="Y359" s="105">
        <f t="shared" si="10"/>
        <v>216031.99677276003</v>
      </c>
    </row>
    <row r="360" spans="1:25">
      <c r="A360" t="s">
        <v>157</v>
      </c>
      <c r="B360" t="str">
        <f t="shared" si="8"/>
        <v>X10_11032_00494</v>
      </c>
      <c r="C360" t="str">
        <f t="shared" si="9"/>
        <v>LE_XXXX</v>
      </c>
      <c r="D360" t="s">
        <v>2886</v>
      </c>
      <c r="E360">
        <v>6720</v>
      </c>
      <c r="F360" t="s">
        <v>156</v>
      </c>
      <c r="G360" t="s">
        <v>2889</v>
      </c>
      <c r="H360" t="s">
        <v>154</v>
      </c>
      <c r="I360" t="s">
        <v>146</v>
      </c>
      <c r="J360" t="s">
        <v>147</v>
      </c>
      <c r="K360" t="str">
        <f>+"FY"&amp;RIGHT(YEAR('Hyperion Panel'!$B$9)+3,2)</f>
        <v>FY13</v>
      </c>
      <c r="L360">
        <f>'Upload Detail'!L593</f>
        <v>15833.32</v>
      </c>
      <c r="M360">
        <f>'Upload Detail'!M593</f>
        <v>15833.32</v>
      </c>
      <c r="N360">
        <f>'Upload Detail'!N593</f>
        <v>15833.32</v>
      </c>
      <c r="O360">
        <f>'Upload Detail'!O593</f>
        <v>15833.32</v>
      </c>
      <c r="P360">
        <f>'Upload Detail'!P593</f>
        <v>15833.32</v>
      </c>
      <c r="Q360">
        <f>'Upload Detail'!Q593</f>
        <v>15833.32</v>
      </c>
      <c r="R360">
        <f>'Upload Detail'!R593</f>
        <v>15833.32</v>
      </c>
      <c r="S360">
        <f>'Upload Detail'!S593</f>
        <v>15833.32</v>
      </c>
      <c r="T360">
        <f>'Upload Detail'!T593</f>
        <v>15833.32</v>
      </c>
      <c r="U360">
        <f>'Upload Detail'!U593</f>
        <v>15833.32</v>
      </c>
      <c r="V360">
        <f>'Upload Detail'!V593</f>
        <v>15833.32</v>
      </c>
      <c r="W360">
        <f>'Upload Detail'!W593</f>
        <v>15833.32</v>
      </c>
      <c r="Y360" s="105">
        <f t="shared" si="10"/>
        <v>189999.84000000005</v>
      </c>
    </row>
    <row r="361" spans="1:25">
      <c r="A361" t="s">
        <v>3925</v>
      </c>
      <c r="B361" t="str">
        <f t="shared" si="8"/>
        <v>X10_11032_00494</v>
      </c>
      <c r="C361" t="str">
        <f t="shared" si="9"/>
        <v>LE_XXXX</v>
      </c>
      <c r="D361" t="s">
        <v>2886</v>
      </c>
      <c r="E361">
        <v>8110</v>
      </c>
      <c r="F361" t="s">
        <v>156</v>
      </c>
      <c r="G361" t="s">
        <v>2889</v>
      </c>
      <c r="H361" t="s">
        <v>154</v>
      </c>
      <c r="I361" t="s">
        <v>146</v>
      </c>
      <c r="J361" t="s">
        <v>147</v>
      </c>
      <c r="K361" t="str">
        <f>+"FY"&amp;RIGHT(YEAR('Hyperion Panel'!$B$9)+3,2)</f>
        <v>FY13</v>
      </c>
      <c r="L361">
        <f>'Upload Detail'!L594</f>
        <v>1108.3275345</v>
      </c>
      <c r="M361">
        <f>'Upload Detail'!M594</f>
        <v>1108.3275345</v>
      </c>
      <c r="N361">
        <f>'Upload Detail'!N594</f>
        <v>1108.3275345</v>
      </c>
      <c r="O361">
        <f>'Upload Detail'!O594</f>
        <v>1108.3275345</v>
      </c>
      <c r="P361">
        <f>'Upload Detail'!P594</f>
        <v>1108.3275345</v>
      </c>
      <c r="Q361">
        <f>'Upload Detail'!Q594</f>
        <v>1108.3275345</v>
      </c>
      <c r="R361">
        <f>'Upload Detail'!R594</f>
        <v>1108.3275345</v>
      </c>
      <c r="S361">
        <f>'Upload Detail'!S594</f>
        <v>1108.3275345</v>
      </c>
      <c r="T361">
        <f>'Upload Detail'!T594</f>
        <v>1108.3275345</v>
      </c>
      <c r="U361">
        <f>'Upload Detail'!U594</f>
        <v>1108.3275345</v>
      </c>
      <c r="V361">
        <f>'Upload Detail'!V594</f>
        <v>1141.577360535</v>
      </c>
      <c r="W361">
        <f>'Upload Detail'!W594</f>
        <v>1141.577360535</v>
      </c>
      <c r="Y361" s="105">
        <f t="shared" si="10"/>
        <v>13698.928326420004</v>
      </c>
    </row>
    <row r="362" spans="1:25">
      <c r="A362" t="s">
        <v>3926</v>
      </c>
      <c r="B362" t="str">
        <f t="shared" si="8"/>
        <v>X10_11032_00494</v>
      </c>
      <c r="C362" t="str">
        <f t="shared" si="9"/>
        <v>LE_XXXX</v>
      </c>
      <c r="D362" t="s">
        <v>2886</v>
      </c>
      <c r="E362">
        <v>6412</v>
      </c>
      <c r="F362" t="s">
        <v>156</v>
      </c>
      <c r="G362" t="s">
        <v>2889</v>
      </c>
      <c r="H362" t="s">
        <v>154</v>
      </c>
      <c r="I362" t="s">
        <v>146</v>
      </c>
      <c r="J362" t="s">
        <v>147</v>
      </c>
      <c r="K362" t="str">
        <f>+"FY"&amp;RIGHT(YEAR('Hyperion Panel'!$B$9)+3,2)</f>
        <v>FY13</v>
      </c>
      <c r="L362">
        <f>'Upload Detail'!L595</f>
        <v>19695.581558611779</v>
      </c>
      <c r="M362">
        <f>'Upload Detail'!M595</f>
        <v>19695.581558611779</v>
      </c>
      <c r="N362">
        <f>'Upload Detail'!N595</f>
        <v>19695.581558611779</v>
      </c>
      <c r="O362">
        <f>'Upload Detail'!O595</f>
        <v>19695.581558611779</v>
      </c>
      <c r="P362">
        <f>'Upload Detail'!P595</f>
        <v>19695.581558611779</v>
      </c>
      <c r="Q362">
        <f>'Upload Detail'!Q595</f>
        <v>19695.581558611779</v>
      </c>
      <c r="R362">
        <f>'Upload Detail'!R595</f>
        <v>19695.581558611779</v>
      </c>
      <c r="S362">
        <f>'Upload Detail'!S595</f>
        <v>19695.581558611779</v>
      </c>
      <c r="T362">
        <f>'Upload Detail'!T595</f>
        <v>19695.581558611779</v>
      </c>
      <c r="U362">
        <f>'Upload Detail'!U595</f>
        <v>19695.581558611779</v>
      </c>
      <c r="V362">
        <f>'Upload Detail'!V595</f>
        <v>20286.44900537013</v>
      </c>
      <c r="W362">
        <f>'Upload Detail'!W595</f>
        <v>20286.44900537013</v>
      </c>
      <c r="Y362" s="105">
        <f t="shared" si="10"/>
        <v>243437.38806444162</v>
      </c>
    </row>
    <row r="363" spans="1:25" s="104" customFormat="1">
      <c r="A363" s="104" t="s">
        <v>730</v>
      </c>
      <c r="B363" s="104" t="str">
        <f t="shared" si="8"/>
        <v>X10_11032_00494</v>
      </c>
      <c r="C363" s="104" t="str">
        <f t="shared" si="9"/>
        <v>LE_XXXX</v>
      </c>
      <c r="D363" s="104" t="s">
        <v>2886</v>
      </c>
      <c r="E363" s="104">
        <v>8110</v>
      </c>
      <c r="F363" s="104" t="s">
        <v>731</v>
      </c>
      <c r="G363" s="104" t="s">
        <v>2889</v>
      </c>
      <c r="H363" s="104" t="s">
        <v>154</v>
      </c>
      <c r="I363" s="104" t="s">
        <v>146</v>
      </c>
      <c r="J363" s="104" t="s">
        <v>147</v>
      </c>
      <c r="K363" t="str">
        <f>+"FY"&amp;RIGHT(YEAR('Hyperion Panel'!$B$9)+3,2)</f>
        <v>FY13</v>
      </c>
      <c r="L363" s="104">
        <f>'Upload Detail'!L596</f>
        <v>884.08333333333337</v>
      </c>
      <c r="M363" s="104">
        <f>'Upload Detail'!M596</f>
        <v>884.08333333333337</v>
      </c>
      <c r="N363" s="104">
        <f>'Upload Detail'!N596</f>
        <v>884.08333333333337</v>
      </c>
      <c r="O363" s="104">
        <f>'Upload Detail'!O596</f>
        <v>884.08333333333337</v>
      </c>
      <c r="P363" s="104">
        <f>'Upload Detail'!P596</f>
        <v>884.08333333333337</v>
      </c>
      <c r="Q363" s="104">
        <f>'Upload Detail'!Q596</f>
        <v>884.08333333333337</v>
      </c>
      <c r="R363" s="104">
        <f>'Upload Detail'!R596</f>
        <v>884.08333333333337</v>
      </c>
      <c r="S363" s="104">
        <f>'Upload Detail'!S596</f>
        <v>884.08333333333337</v>
      </c>
      <c r="T363" s="104">
        <f>'Upload Detail'!T596</f>
        <v>884.08333333333337</v>
      </c>
      <c r="U363" s="104">
        <f>'Upload Detail'!U596</f>
        <v>884.08333333333337</v>
      </c>
      <c r="V363" s="104">
        <f>'Upload Detail'!V596</f>
        <v>910.60583333333341</v>
      </c>
      <c r="W363" s="104">
        <f>'Upload Detail'!W596</f>
        <v>910.60583333333341</v>
      </c>
      <c r="Y363" s="1690"/>
    </row>
    <row r="364" spans="1:25" s="104" customFormat="1">
      <c r="A364" s="104" t="s">
        <v>732</v>
      </c>
      <c r="B364" s="104" t="str">
        <f t="shared" si="8"/>
        <v>X10_11032_00494</v>
      </c>
      <c r="C364" s="104" t="str">
        <f t="shared" si="9"/>
        <v>LE_XXXX</v>
      </c>
      <c r="D364" s="104" t="s">
        <v>2886</v>
      </c>
      <c r="F364" s="104" t="s">
        <v>731</v>
      </c>
      <c r="G364" s="104" t="s">
        <v>2889</v>
      </c>
      <c r="H364" s="104" t="s">
        <v>154</v>
      </c>
      <c r="I364" s="104" t="s">
        <v>146</v>
      </c>
      <c r="J364" s="104" t="s">
        <v>147</v>
      </c>
      <c r="K364" t="str">
        <f>+"FY"&amp;RIGHT(YEAR('Hyperion Panel'!$B$9)+3,2)</f>
        <v>FY13</v>
      </c>
      <c r="L364" s="104">
        <f>'Upload Detail'!L597</f>
        <v>0</v>
      </c>
      <c r="M364" s="104">
        <f>'Upload Detail'!M597</f>
        <v>0</v>
      </c>
      <c r="N364" s="104">
        <f>'Upload Detail'!N597</f>
        <v>0</v>
      </c>
      <c r="O364" s="104">
        <f>'Upload Detail'!O597</f>
        <v>0</v>
      </c>
      <c r="P364" s="104">
        <f>'Upload Detail'!P597</f>
        <v>0</v>
      </c>
      <c r="Q364" s="104">
        <f>'Upload Detail'!Q597</f>
        <v>0</v>
      </c>
      <c r="R364" s="104">
        <f>'Upload Detail'!R597</f>
        <v>0</v>
      </c>
      <c r="S364" s="104">
        <f>'Upload Detail'!S597</f>
        <v>0</v>
      </c>
      <c r="T364" s="104">
        <f>'Upload Detail'!T597</f>
        <v>0</v>
      </c>
      <c r="U364" s="104">
        <f>'Upload Detail'!U597</f>
        <v>0</v>
      </c>
      <c r="V364" s="104">
        <f>'Upload Detail'!V597</f>
        <v>0</v>
      </c>
      <c r="W364" s="104">
        <f>'Upload Detail'!W597</f>
        <v>0</v>
      </c>
      <c r="Y364" s="1690"/>
    </row>
    <row r="365" spans="1:25" s="104" customFormat="1">
      <c r="A365" s="104" t="s">
        <v>733</v>
      </c>
      <c r="B365" s="104" t="str">
        <f t="shared" si="8"/>
        <v>X10_11032_00494</v>
      </c>
      <c r="C365" s="104" t="str">
        <f t="shared" si="9"/>
        <v>LE_XXXX</v>
      </c>
      <c r="D365" s="104" t="s">
        <v>2886</v>
      </c>
      <c r="F365" s="104" t="s">
        <v>731</v>
      </c>
      <c r="G365" s="104" t="s">
        <v>2889</v>
      </c>
      <c r="H365" s="104" t="s">
        <v>154</v>
      </c>
      <c r="I365" s="104" t="s">
        <v>146</v>
      </c>
      <c r="J365" s="104" t="s">
        <v>147</v>
      </c>
      <c r="K365" t="str">
        <f>+"FY"&amp;RIGHT(YEAR('Hyperion Panel'!$B$9)+3,2)</f>
        <v>FY13</v>
      </c>
      <c r="L365" s="104">
        <f>'Upload Detail'!L598</f>
        <v>10029.456</v>
      </c>
      <c r="M365" s="104">
        <f>'Upload Detail'!M598</f>
        <v>10029.456</v>
      </c>
      <c r="N365" s="104">
        <f>'Upload Detail'!N598</f>
        <v>10029.456</v>
      </c>
      <c r="O365" s="104">
        <f>'Upload Detail'!O598</f>
        <v>10029.456</v>
      </c>
      <c r="P365" s="104">
        <f>'Upload Detail'!P598</f>
        <v>10029.456</v>
      </c>
      <c r="Q365" s="104">
        <f>'Upload Detail'!Q598</f>
        <v>10029.456</v>
      </c>
      <c r="R365" s="104">
        <f>'Upload Detail'!R598</f>
        <v>10029.456</v>
      </c>
      <c r="S365" s="104">
        <f>'Upload Detail'!S598</f>
        <v>10029.456</v>
      </c>
      <c r="T365" s="104">
        <f>'Upload Detail'!T598</f>
        <v>10029.456</v>
      </c>
      <c r="U365" s="104">
        <f>'Upload Detail'!U598</f>
        <v>10029.456</v>
      </c>
      <c r="V365" s="104">
        <f>'Upload Detail'!V598</f>
        <v>10230.045119999999</v>
      </c>
      <c r="W365" s="104">
        <f>'Upload Detail'!W598</f>
        <v>10230.045119999999</v>
      </c>
      <c r="Y365" s="1690"/>
    </row>
    <row r="366" spans="1:25" s="104" customFormat="1">
      <c r="A366" s="104" t="s">
        <v>734</v>
      </c>
      <c r="B366" s="104" t="str">
        <f t="shared" si="8"/>
        <v>X10_11032_00494</v>
      </c>
      <c r="C366" s="104" t="str">
        <f t="shared" si="9"/>
        <v>LE_XXXX</v>
      </c>
      <c r="D366" s="104" t="s">
        <v>2886</v>
      </c>
      <c r="E366" s="104">
        <v>6800</v>
      </c>
      <c r="F366" s="104" t="s">
        <v>731</v>
      </c>
      <c r="G366" s="104" t="s">
        <v>2889</v>
      </c>
      <c r="H366" s="104" t="s">
        <v>154</v>
      </c>
      <c r="I366" s="104" t="s">
        <v>146</v>
      </c>
      <c r="J366" s="104" t="s">
        <v>147</v>
      </c>
      <c r="K366" t="str">
        <f>+"FY"&amp;RIGHT(YEAR('Hyperion Panel'!$B$9)+3,2)</f>
        <v>FY13</v>
      </c>
      <c r="L366" s="104">
        <f>'Upload Detail'!L599</f>
        <v>1856.575</v>
      </c>
      <c r="M366" s="104">
        <f>'Upload Detail'!M599</f>
        <v>1856.575</v>
      </c>
      <c r="N366" s="104">
        <f>'Upload Detail'!N599</f>
        <v>1856.575</v>
      </c>
      <c r="O366" s="104">
        <f>'Upload Detail'!O599</f>
        <v>1856.575</v>
      </c>
      <c r="P366" s="104">
        <f>'Upload Detail'!P599</f>
        <v>1856.575</v>
      </c>
      <c r="Q366" s="104">
        <f>'Upload Detail'!Q599</f>
        <v>1856.575</v>
      </c>
      <c r="R366" s="104">
        <f>'Upload Detail'!R599</f>
        <v>1856.575</v>
      </c>
      <c r="S366" s="104">
        <f>'Upload Detail'!S599</f>
        <v>1856.575</v>
      </c>
      <c r="T366" s="104">
        <f>'Upload Detail'!T599</f>
        <v>1856.575</v>
      </c>
      <c r="U366" s="104">
        <f>'Upload Detail'!U599</f>
        <v>1856.575</v>
      </c>
      <c r="V366" s="104">
        <f>'Upload Detail'!V599</f>
        <v>1912.27225</v>
      </c>
      <c r="W366" s="104">
        <f>'Upload Detail'!W599</f>
        <v>1912.27225</v>
      </c>
      <c r="Y366" s="1690"/>
    </row>
    <row r="367" spans="1:25">
      <c r="A367" t="s">
        <v>158</v>
      </c>
      <c r="B367" t="str">
        <f t="shared" si="8"/>
        <v>X10_11032_00494</v>
      </c>
      <c r="C367" t="str">
        <f t="shared" si="9"/>
        <v>LE_XXXX</v>
      </c>
      <c r="D367" t="s">
        <v>2886</v>
      </c>
      <c r="E367" t="s">
        <v>159</v>
      </c>
      <c r="F367" t="s">
        <v>156</v>
      </c>
      <c r="G367" t="s">
        <v>2889</v>
      </c>
      <c r="H367" t="s">
        <v>154</v>
      </c>
      <c r="I367" t="s">
        <v>146</v>
      </c>
      <c r="J367" t="s">
        <v>147</v>
      </c>
      <c r="K367" t="str">
        <f>+"FY"&amp;RIGHT(YEAR('Hyperion Panel'!$B$9)+3,2)</f>
        <v>FY13</v>
      </c>
      <c r="L367" s="103">
        <f>'Upload Detail'!L600</f>
        <v>1</v>
      </c>
      <c r="M367" s="103">
        <f>'Upload Detail'!M600</f>
        <v>1</v>
      </c>
      <c r="N367" s="103">
        <f>'Upload Detail'!N600</f>
        <v>1</v>
      </c>
      <c r="O367" s="103">
        <f>'Upload Detail'!O600</f>
        <v>1</v>
      </c>
      <c r="P367" s="103">
        <f>'Upload Detail'!P600</f>
        <v>1</v>
      </c>
      <c r="Q367" s="103">
        <f>'Upload Detail'!Q600</f>
        <v>1</v>
      </c>
      <c r="R367" s="103">
        <f>'Upload Detail'!R600</f>
        <v>1</v>
      </c>
      <c r="S367" s="103">
        <f>'Upload Detail'!S600</f>
        <v>1</v>
      </c>
      <c r="T367" s="103">
        <f>'Upload Detail'!T600</f>
        <v>1</v>
      </c>
      <c r="U367" s="103">
        <f>'Upload Detail'!U600</f>
        <v>1</v>
      </c>
      <c r="V367" s="103">
        <f>'Upload Detail'!V600</f>
        <v>1</v>
      </c>
      <c r="W367" s="103">
        <f>'Upload Detail'!W600</f>
        <v>1</v>
      </c>
    </row>
    <row r="368" spans="1:25">
      <c r="A368" t="s">
        <v>160</v>
      </c>
      <c r="B368" t="str">
        <f t="shared" si="8"/>
        <v>X10_11032_00494</v>
      </c>
      <c r="C368" t="str">
        <f t="shared" si="9"/>
        <v>LE_XXXX</v>
      </c>
      <c r="D368" t="s">
        <v>2886</v>
      </c>
      <c r="E368" t="s">
        <v>161</v>
      </c>
      <c r="F368" t="s">
        <v>156</v>
      </c>
      <c r="G368" t="s">
        <v>2889</v>
      </c>
      <c r="H368" t="s">
        <v>154</v>
      </c>
      <c r="I368" t="s">
        <v>146</v>
      </c>
      <c r="J368" t="s">
        <v>147</v>
      </c>
      <c r="K368" t="str">
        <f>+"FY"&amp;RIGHT(YEAR('Hyperion Panel'!$B$9)+3,2)</f>
        <v>FY13</v>
      </c>
      <c r="L368">
        <f>'Upload Detail'!L601</f>
        <v>0</v>
      </c>
      <c r="M368">
        <f>'Upload Detail'!M601</f>
        <v>0</v>
      </c>
      <c r="N368">
        <f>'Upload Detail'!N601</f>
        <v>0</v>
      </c>
      <c r="O368">
        <f>'Upload Detail'!O601</f>
        <v>0</v>
      </c>
      <c r="P368">
        <f>'Upload Detail'!P601</f>
        <v>0</v>
      </c>
      <c r="Q368">
        <f>'Upload Detail'!Q601</f>
        <v>0</v>
      </c>
      <c r="R368">
        <f>'Upload Detail'!R601</f>
        <v>0</v>
      </c>
      <c r="S368">
        <f>'Upload Detail'!S601</f>
        <v>0</v>
      </c>
      <c r="T368">
        <f>'Upload Detail'!T601</f>
        <v>0</v>
      </c>
      <c r="U368">
        <f>'Upload Detail'!U601</f>
        <v>0</v>
      </c>
      <c r="V368">
        <f>'Upload Detail'!V601</f>
        <v>0</v>
      </c>
      <c r="W368">
        <f>'Upload Detail'!W601</f>
        <v>0</v>
      </c>
    </row>
    <row r="369" spans="1:23" s="104" customFormat="1">
      <c r="A369" s="104" t="s">
        <v>735</v>
      </c>
      <c r="B369" t="str">
        <f t="shared" si="8"/>
        <v>X10_11032_00494</v>
      </c>
      <c r="C369" t="str">
        <f t="shared" si="9"/>
        <v>LE_XXXX</v>
      </c>
      <c r="D369" t="s">
        <v>2886</v>
      </c>
      <c r="F369" s="104" t="s">
        <v>731</v>
      </c>
      <c r="G369" s="104" t="s">
        <v>2889</v>
      </c>
      <c r="H369" s="104" t="s">
        <v>154</v>
      </c>
      <c r="I369" s="104" t="s">
        <v>146</v>
      </c>
      <c r="J369" s="104" t="s">
        <v>147</v>
      </c>
      <c r="K369" t="str">
        <f>+"FY"&amp;RIGHT(YEAR('Hyperion Panel'!$B$9)+3,2)</f>
        <v>FY13</v>
      </c>
      <c r="L369" s="104">
        <f>'Upload Detail'!L602</f>
        <v>0</v>
      </c>
      <c r="M369" s="104">
        <f>'Upload Detail'!M602</f>
        <v>0</v>
      </c>
      <c r="N369" s="104">
        <f>'Upload Detail'!N602</f>
        <v>0</v>
      </c>
      <c r="O369" s="104">
        <f>'Upload Detail'!O602</f>
        <v>0</v>
      </c>
      <c r="P369" s="104">
        <f>'Upload Detail'!P602</f>
        <v>0</v>
      </c>
      <c r="Q369" s="104">
        <f>'Upload Detail'!Q602</f>
        <v>0</v>
      </c>
      <c r="R369" s="104">
        <f>'Upload Detail'!R602</f>
        <v>0</v>
      </c>
      <c r="S369" s="104">
        <f>'Upload Detail'!S602</f>
        <v>0</v>
      </c>
      <c r="T369" s="104">
        <f>'Upload Detail'!T602</f>
        <v>0</v>
      </c>
      <c r="U369" s="104">
        <f>'Upload Detail'!U602</f>
        <v>0</v>
      </c>
      <c r="V369" s="104">
        <f>'Upload Detail'!V602</f>
        <v>0</v>
      </c>
      <c r="W369" s="104">
        <f>'Upload Detail'!W602</f>
        <v>0</v>
      </c>
    </row>
    <row r="370" spans="1:23" s="106" customFormat="1">
      <c r="A370" s="106" t="s">
        <v>165</v>
      </c>
      <c r="B370" s="106" t="str">
        <f t="shared" si="8"/>
        <v>X10_11032_00494</v>
      </c>
      <c r="C370" s="106" t="str">
        <f t="shared" si="9"/>
        <v>LE_XXXX</v>
      </c>
      <c r="D370" s="106" t="s">
        <v>2886</v>
      </c>
      <c r="E370" s="106" t="s">
        <v>2887</v>
      </c>
      <c r="F370" s="106" t="s">
        <v>2888</v>
      </c>
      <c r="G370" s="106" t="s">
        <v>2889</v>
      </c>
      <c r="H370" s="106" t="s">
        <v>145</v>
      </c>
      <c r="I370" s="106" t="s">
        <v>146</v>
      </c>
      <c r="J370" s="106" t="s">
        <v>147</v>
      </c>
      <c r="K370" s="106" t="str">
        <f>+"FY"&amp;RIGHT(YEAR('Hyperion Panel'!$B$9)+4,2)</f>
        <v>FY14</v>
      </c>
      <c r="L370" s="106">
        <f>SUM('Upload Detail'!L605:L606)</f>
        <v>598</v>
      </c>
      <c r="M370" s="106">
        <f>SUM('Upload Detail'!M605:M606)</f>
        <v>598</v>
      </c>
      <c r="N370" s="106">
        <f>SUM('Upload Detail'!N605:N606)</f>
        <v>598</v>
      </c>
      <c r="O370" s="106">
        <f>SUM('Upload Detail'!O605:O606)</f>
        <v>598</v>
      </c>
      <c r="P370" s="106">
        <f>SUM('Upload Detail'!P605:P606)</f>
        <v>598</v>
      </c>
      <c r="Q370" s="106">
        <f>SUM('Upload Detail'!Q605:Q606)</f>
        <v>598</v>
      </c>
      <c r="R370" s="106">
        <f>SUM('Upload Detail'!R605:R606)</f>
        <v>598</v>
      </c>
      <c r="S370" s="106">
        <f>SUM('Upload Detail'!S605:S606)</f>
        <v>598</v>
      </c>
      <c r="T370" s="106">
        <f>SUM('Upload Detail'!T605:T606)</f>
        <v>598</v>
      </c>
      <c r="U370" s="106">
        <f>SUM('Upload Detail'!U605:U606)</f>
        <v>598</v>
      </c>
      <c r="V370" s="106">
        <f>SUM('Upload Detail'!V605:V606)</f>
        <v>598</v>
      </c>
      <c r="W370" s="106">
        <f>SUM('Upload Detail'!W605:W606)</f>
        <v>598</v>
      </c>
    </row>
    <row r="371" spans="1:23" s="106" customFormat="1">
      <c r="A371" s="106" t="s">
        <v>162</v>
      </c>
      <c r="B371" s="106" t="str">
        <f t="shared" si="8"/>
        <v>X10_11032_00494</v>
      </c>
      <c r="C371" s="106" t="str">
        <f t="shared" si="9"/>
        <v>LE_XXXX</v>
      </c>
      <c r="D371" s="106" t="s">
        <v>2886</v>
      </c>
      <c r="E371" s="106" t="s">
        <v>149</v>
      </c>
      <c r="F371" s="106" t="s">
        <v>150</v>
      </c>
      <c r="G371" s="106" t="s">
        <v>2889</v>
      </c>
      <c r="H371" s="106" t="s">
        <v>145</v>
      </c>
      <c r="I371" s="106" t="s">
        <v>146</v>
      </c>
      <c r="J371" s="106" t="s">
        <v>147</v>
      </c>
      <c r="K371" s="106" t="str">
        <f>+"FY"&amp;RIGHT(YEAR('Hyperion Panel'!$B$9)+4,2)</f>
        <v>FY14</v>
      </c>
      <c r="L371" s="106">
        <f>SUM('Upload Detail'!L608:L609)</f>
        <v>247</v>
      </c>
      <c r="M371" s="106">
        <f>SUM('Upload Detail'!M608:M609)</f>
        <v>247</v>
      </c>
      <c r="N371" s="106">
        <f>SUM('Upload Detail'!N608:N609)</f>
        <v>247</v>
      </c>
      <c r="O371" s="106">
        <f>SUM('Upload Detail'!O608:O609)</f>
        <v>247</v>
      </c>
      <c r="P371" s="106">
        <f>SUM('Upload Detail'!P608:P609)</f>
        <v>247</v>
      </c>
      <c r="Q371" s="106">
        <f>SUM('Upload Detail'!Q608:Q609)</f>
        <v>247</v>
      </c>
      <c r="R371" s="106">
        <f>SUM('Upload Detail'!R608:R609)</f>
        <v>247</v>
      </c>
      <c r="S371" s="106">
        <f>SUM('Upload Detail'!S608:S609)</f>
        <v>247</v>
      </c>
      <c r="T371" s="106">
        <f>SUM('Upload Detail'!T608:T609)</f>
        <v>247</v>
      </c>
      <c r="U371" s="106">
        <f>SUM('Upload Detail'!U608:U609)</f>
        <v>247</v>
      </c>
      <c r="V371" s="106">
        <f>SUM('Upload Detail'!V608:V609)</f>
        <v>247</v>
      </c>
      <c r="W371" s="106">
        <f>SUM('Upload Detail'!W608:W609)</f>
        <v>247</v>
      </c>
    </row>
    <row r="372" spans="1:23" s="1693" customFormat="1">
      <c r="A372" s="1693" t="s">
        <v>3767</v>
      </c>
      <c r="B372" s="1693" t="str">
        <f>+$B$278</f>
        <v>X10_11032_00494</v>
      </c>
      <c r="C372" s="1693" t="str">
        <f>+$C$278</f>
        <v>LE_XXXX</v>
      </c>
      <c r="D372" s="1693" t="s">
        <v>2886</v>
      </c>
      <c r="E372" s="1693" t="s">
        <v>719</v>
      </c>
      <c r="F372" s="1693" t="s">
        <v>731</v>
      </c>
      <c r="G372" s="1693" t="s">
        <v>2889</v>
      </c>
      <c r="H372" s="1693" t="s">
        <v>145</v>
      </c>
      <c r="I372" s="1693" t="s">
        <v>146</v>
      </c>
      <c r="J372" s="1693" t="s">
        <v>147</v>
      </c>
      <c r="K372" s="106" t="str">
        <f>+"FY"&amp;RIGHT(YEAR('Hyperion Panel'!$B$9)+4,2)</f>
        <v>FY14</v>
      </c>
      <c r="L372" s="1693">
        <f>SUM('Upload Detail'!L611:L612)</f>
        <v>65</v>
      </c>
      <c r="M372" s="1693">
        <f>SUM('Upload Detail'!M611:M612)</f>
        <v>65</v>
      </c>
      <c r="N372" s="1693">
        <f>SUM('Upload Detail'!N611:N612)</f>
        <v>65</v>
      </c>
      <c r="O372" s="1693">
        <f>SUM('Upload Detail'!O611:O612)</f>
        <v>65</v>
      </c>
      <c r="P372" s="1693">
        <f>SUM('Upload Detail'!P611:P612)</f>
        <v>65</v>
      </c>
      <c r="Q372" s="1693">
        <f>SUM('Upload Detail'!Q611:Q612)</f>
        <v>65</v>
      </c>
      <c r="R372" s="1693">
        <f>SUM('Upload Detail'!R611:R612)</f>
        <v>65</v>
      </c>
      <c r="S372" s="1693">
        <f>SUM('Upload Detail'!S611:S612)</f>
        <v>65</v>
      </c>
      <c r="T372" s="1693">
        <f>SUM('Upload Detail'!T611:T612)</f>
        <v>65</v>
      </c>
      <c r="U372" s="1693">
        <f>SUM('Upload Detail'!U611:U612)</f>
        <v>65</v>
      </c>
      <c r="V372" s="1693">
        <f>SUM('Upload Detail'!V611:V612)</f>
        <v>65</v>
      </c>
      <c r="W372" s="1693">
        <f>SUM('Upload Detail'!W611:W612)</f>
        <v>65</v>
      </c>
    </row>
    <row r="373" spans="1:23" s="106" customFormat="1">
      <c r="A373" s="106" t="s">
        <v>163</v>
      </c>
      <c r="B373" s="106" t="str">
        <f t="shared" ref="B373:B415" si="11">+$B$278</f>
        <v>X10_11032_00494</v>
      </c>
      <c r="C373" s="106" t="str">
        <f t="shared" ref="C373:C415" si="12">+$C$278</f>
        <v>LE_XXXX</v>
      </c>
      <c r="D373" s="106" t="s">
        <v>2886</v>
      </c>
      <c r="E373" s="106">
        <v>3010</v>
      </c>
      <c r="F373" s="106" t="s">
        <v>2888</v>
      </c>
      <c r="G373" s="106" t="s">
        <v>2889</v>
      </c>
      <c r="H373" s="106" t="s">
        <v>145</v>
      </c>
      <c r="I373" s="106" t="s">
        <v>146</v>
      </c>
      <c r="J373" s="106" t="s">
        <v>147</v>
      </c>
      <c r="K373" s="106" t="str">
        <f>+"FY"&amp;RIGHT(YEAR('Hyperion Panel'!$B$9)+4,2)</f>
        <v>FY14</v>
      </c>
      <c r="L373" s="106">
        <f>SUM('Upload Detail'!L614:L615)</f>
        <v>174298.86488084195</v>
      </c>
      <c r="M373" s="106">
        <f>SUM('Upload Detail'!M614:M615)</f>
        <v>174298.86488084195</v>
      </c>
      <c r="N373" s="106">
        <f>SUM('Upload Detail'!N614:N615)</f>
        <v>174298.86488084195</v>
      </c>
      <c r="O373" s="106">
        <f>SUM('Upload Detail'!O614:O615)</f>
        <v>174298.86488084195</v>
      </c>
      <c r="P373" s="106">
        <f>SUM('Upload Detail'!P614:P615)</f>
        <v>174298.86488084195</v>
      </c>
      <c r="Q373" s="106">
        <f>SUM('Upload Detail'!Q614:Q615)</f>
        <v>174298.86488084195</v>
      </c>
      <c r="R373" s="106">
        <f>SUM('Upload Detail'!R614:R615)</f>
        <v>174298.86488084195</v>
      </c>
      <c r="S373" s="106">
        <f>SUM('Upload Detail'!S614:S615)</f>
        <v>174298.86488084195</v>
      </c>
      <c r="T373" s="106">
        <f>SUM('Upload Detail'!T614:T615)</f>
        <v>174298.86488084195</v>
      </c>
      <c r="U373" s="106">
        <f>SUM('Upload Detail'!U614:U615)</f>
        <v>174298.86488084195</v>
      </c>
      <c r="V373" s="106">
        <f>SUM('Upload Detail'!V614:V615)</f>
        <v>177862.93422612501</v>
      </c>
      <c r="W373" s="106">
        <f>SUM('Upload Detail'!W614:W615)</f>
        <v>177862.93422612501</v>
      </c>
    </row>
    <row r="374" spans="1:23" s="106" customFormat="1">
      <c r="A374" s="106" t="s">
        <v>164</v>
      </c>
      <c r="B374" s="106" t="str">
        <f t="shared" si="11"/>
        <v>X10_11032_00494</v>
      </c>
      <c r="C374" s="106" t="str">
        <f t="shared" si="12"/>
        <v>LE_XXXX</v>
      </c>
      <c r="D374" s="106" t="s">
        <v>2886</v>
      </c>
      <c r="E374" s="106">
        <v>3030</v>
      </c>
      <c r="F374" s="106" t="s">
        <v>150</v>
      </c>
      <c r="G374" s="106" t="s">
        <v>2889</v>
      </c>
      <c r="H374" s="106" t="s">
        <v>145</v>
      </c>
      <c r="I374" s="106" t="s">
        <v>146</v>
      </c>
      <c r="J374" s="106" t="s">
        <v>147</v>
      </c>
      <c r="K374" s="106" t="str">
        <f>+"FY"&amp;RIGHT(YEAR('Hyperion Panel'!$B$9)+4,2)</f>
        <v>FY14</v>
      </c>
      <c r="L374" s="106">
        <f>SUM('Upload Detail'!L617:L618)</f>
        <v>124128.31939250056</v>
      </c>
      <c r="M374" s="106">
        <f>SUM('Upload Detail'!M617:M618)</f>
        <v>124128.31939250056</v>
      </c>
      <c r="N374" s="106">
        <f>SUM('Upload Detail'!N617:N618)</f>
        <v>124128.31939250056</v>
      </c>
      <c r="O374" s="106">
        <f>SUM('Upload Detail'!O617:O618)</f>
        <v>124128.31939250056</v>
      </c>
      <c r="P374" s="106">
        <f>SUM('Upload Detail'!P617:P618)</f>
        <v>124128.31939250056</v>
      </c>
      <c r="Q374" s="106">
        <f>SUM('Upload Detail'!Q617:Q618)</f>
        <v>124128.31939250056</v>
      </c>
      <c r="R374" s="106">
        <f>SUM('Upload Detail'!R617:R618)</f>
        <v>124128.31939250056</v>
      </c>
      <c r="S374" s="106">
        <f>SUM('Upload Detail'!S617:S618)</f>
        <v>124128.31939250056</v>
      </c>
      <c r="T374" s="106">
        <f>SUM('Upload Detail'!T617:T618)</f>
        <v>124128.31939250056</v>
      </c>
      <c r="U374" s="106">
        <f>SUM('Upload Detail'!U617:U618)</f>
        <v>124128.31939250056</v>
      </c>
      <c r="V374" s="106">
        <f>SUM('Upload Detail'!V617:V618)</f>
        <v>126852.80136279485</v>
      </c>
      <c r="W374" s="106">
        <f>SUM('Upload Detail'!W617:W618)</f>
        <v>126852.80136279485</v>
      </c>
    </row>
    <row r="375" spans="1:23" s="1693" customFormat="1">
      <c r="A375" s="1693" t="s">
        <v>3768</v>
      </c>
      <c r="B375" s="1693" t="str">
        <f t="shared" si="11"/>
        <v>X10_11032_00494</v>
      </c>
      <c r="C375" s="1693" t="str">
        <f t="shared" si="12"/>
        <v>LE_XXXX</v>
      </c>
      <c r="D375" s="1693" t="s">
        <v>2886</v>
      </c>
      <c r="E375" s="1693">
        <v>3050</v>
      </c>
      <c r="F375" s="1693" t="s">
        <v>731</v>
      </c>
      <c r="G375" s="1693" t="s">
        <v>2889</v>
      </c>
      <c r="H375" s="1693" t="s">
        <v>145</v>
      </c>
      <c r="I375" s="1693" t="s">
        <v>146</v>
      </c>
      <c r="J375" s="1693" t="s">
        <v>147</v>
      </c>
      <c r="K375" s="106" t="str">
        <f>+"FY"&amp;RIGHT(YEAR('Hyperion Panel'!$B$9)+4,2)</f>
        <v>FY14</v>
      </c>
      <c r="L375" s="1693">
        <f>SUM('Upload Detail'!L620:L621)</f>
        <v>16884.753665513832</v>
      </c>
      <c r="M375" s="1693">
        <f>SUM('Upload Detail'!M620:M621)</f>
        <v>16884.753665513832</v>
      </c>
      <c r="N375" s="1693">
        <f>SUM('Upload Detail'!N620:N621)</f>
        <v>16884.753665513832</v>
      </c>
      <c r="O375" s="1693">
        <f>SUM('Upload Detail'!O620:O621)</f>
        <v>16884.753665513832</v>
      </c>
      <c r="P375" s="1693">
        <f>SUM('Upload Detail'!P620:P621)</f>
        <v>16884.753665513832</v>
      </c>
      <c r="Q375" s="1693">
        <f>SUM('Upload Detail'!Q620:Q621)</f>
        <v>16884.753665513832</v>
      </c>
      <c r="R375" s="1693">
        <f>SUM('Upload Detail'!R620:R621)</f>
        <v>16884.753665513832</v>
      </c>
      <c r="S375" s="1693">
        <f>SUM('Upload Detail'!S620:S621)</f>
        <v>16884.753665513832</v>
      </c>
      <c r="T375" s="1693">
        <f>SUM('Upload Detail'!T620:T621)</f>
        <v>16884.753665513832</v>
      </c>
      <c r="U375" s="1693">
        <f>SUM('Upload Detail'!U620:U621)</f>
        <v>16884.753665513832</v>
      </c>
      <c r="V375" s="1693">
        <f>SUM('Upload Detail'!V620:V621)</f>
        <v>17222.44873882411</v>
      </c>
      <c r="W375" s="1693">
        <f>SUM('Upload Detail'!W620:W621)</f>
        <v>17222.44873882411</v>
      </c>
    </row>
    <row r="376" spans="1:23">
      <c r="A376" t="s">
        <v>2651</v>
      </c>
      <c r="B376" t="str">
        <f t="shared" si="11"/>
        <v>X10_11032_00494</v>
      </c>
      <c r="C376" t="str">
        <f t="shared" si="12"/>
        <v>LE_XXXX</v>
      </c>
      <c r="D376" t="s">
        <v>2886</v>
      </c>
      <c r="E376">
        <v>6010</v>
      </c>
      <c r="F376" t="s">
        <v>2888</v>
      </c>
      <c r="G376" t="s">
        <v>153</v>
      </c>
      <c r="H376" t="s">
        <v>154</v>
      </c>
      <c r="I376" t="s">
        <v>146</v>
      </c>
      <c r="J376" t="s">
        <v>147</v>
      </c>
      <c r="K376" t="str">
        <f>+"FY"&amp;RIGHT(YEAR('Hyperion Panel'!$B$9)+4,2)</f>
        <v>FY14</v>
      </c>
      <c r="L376">
        <f>'Upload Detail'!L622</f>
        <v>42288.299758407506</v>
      </c>
      <c r="M376">
        <f>'Upload Detail'!M622</f>
        <v>42288.299758407506</v>
      </c>
      <c r="N376">
        <f>'Upload Detail'!N622</f>
        <v>42288.299758407506</v>
      </c>
      <c r="O376">
        <f>'Upload Detail'!O622</f>
        <v>42288.299758407506</v>
      </c>
      <c r="P376">
        <f>'Upload Detail'!P622</f>
        <v>42288.299758407506</v>
      </c>
      <c r="Q376">
        <f>'Upload Detail'!Q622</f>
        <v>42288.299758407506</v>
      </c>
      <c r="R376">
        <f>'Upload Detail'!R622</f>
        <v>42288.299758407506</v>
      </c>
      <c r="S376">
        <f>'Upload Detail'!S622</f>
        <v>42288.299758407506</v>
      </c>
      <c r="T376">
        <f>'Upload Detail'!T622</f>
        <v>42288.299758407506</v>
      </c>
      <c r="U376">
        <f>'Upload Detail'!U622</f>
        <v>42288.299758407506</v>
      </c>
      <c r="V376">
        <f>'Upload Detail'!V622</f>
        <v>43556.948751159733</v>
      </c>
      <c r="W376">
        <f>'Upload Detail'!W622</f>
        <v>43556.948751159733</v>
      </c>
    </row>
    <row r="377" spans="1:23">
      <c r="A377" t="s">
        <v>2652</v>
      </c>
      <c r="B377" t="str">
        <f t="shared" si="11"/>
        <v>X10_11032_00494</v>
      </c>
      <c r="C377" t="str">
        <f t="shared" si="12"/>
        <v>LE_XXXX</v>
      </c>
      <c r="D377" t="s">
        <v>2886</v>
      </c>
      <c r="E377">
        <v>6010</v>
      </c>
      <c r="F377" t="s">
        <v>2888</v>
      </c>
      <c r="G377" t="s">
        <v>155</v>
      </c>
      <c r="H377" t="s">
        <v>154</v>
      </c>
      <c r="I377" t="s">
        <v>146</v>
      </c>
      <c r="J377" t="s">
        <v>147</v>
      </c>
      <c r="K377" t="str">
        <f>+"FY"&amp;RIGHT(YEAR('Hyperion Panel'!$B$9)+4,2)</f>
        <v>FY14</v>
      </c>
      <c r="L377">
        <f>'Upload Detail'!L623</f>
        <v>16166.895965000002</v>
      </c>
      <c r="M377">
        <f>'Upload Detail'!M623</f>
        <v>16166.895965000002</v>
      </c>
      <c r="N377">
        <f>'Upload Detail'!N623</f>
        <v>16166.895965000002</v>
      </c>
      <c r="O377">
        <f>'Upload Detail'!O623</f>
        <v>16166.895965000002</v>
      </c>
      <c r="P377">
        <f>'Upload Detail'!P623</f>
        <v>16166.895965000002</v>
      </c>
      <c r="Q377">
        <f>'Upload Detail'!Q623</f>
        <v>16166.895965000002</v>
      </c>
      <c r="R377">
        <f>'Upload Detail'!R623</f>
        <v>16166.895965000002</v>
      </c>
      <c r="S377">
        <f>'Upload Detail'!S623</f>
        <v>16166.895965000002</v>
      </c>
      <c r="T377">
        <f>'Upload Detail'!T623</f>
        <v>16166.895965000002</v>
      </c>
      <c r="U377">
        <f>'Upload Detail'!U623</f>
        <v>16166.895965000002</v>
      </c>
      <c r="V377">
        <f>'Upload Detail'!V623</f>
        <v>16651.90284395</v>
      </c>
      <c r="W377">
        <f>'Upload Detail'!W623</f>
        <v>16651.90284395</v>
      </c>
    </row>
    <row r="378" spans="1:23">
      <c r="A378" t="s">
        <v>2653</v>
      </c>
      <c r="B378" t="str">
        <f t="shared" si="11"/>
        <v>X10_11032_00494</v>
      </c>
      <c r="C378" t="str">
        <f t="shared" si="12"/>
        <v>LE_XXXX</v>
      </c>
      <c r="D378" t="s">
        <v>2886</v>
      </c>
      <c r="E378">
        <v>6051</v>
      </c>
      <c r="F378" t="s">
        <v>2888</v>
      </c>
      <c r="G378" t="s">
        <v>153</v>
      </c>
      <c r="H378" t="s">
        <v>154</v>
      </c>
      <c r="I378" t="s">
        <v>146</v>
      </c>
      <c r="J378" t="s">
        <v>147</v>
      </c>
      <c r="K378" t="str">
        <f>+"FY"&amp;RIGHT(YEAR('Hyperion Panel'!$B$9)+4,2)</f>
        <v>FY14</v>
      </c>
      <c r="L378">
        <f>'Upload Detail'!L624</f>
        <v>20642.40896291663</v>
      </c>
      <c r="M378">
        <f>'Upload Detail'!M624</f>
        <v>20642.40896291663</v>
      </c>
      <c r="N378">
        <f>'Upload Detail'!N624</f>
        <v>20642.40896291663</v>
      </c>
      <c r="O378">
        <f>'Upload Detail'!O624</f>
        <v>20642.40896291663</v>
      </c>
      <c r="P378">
        <f>'Upload Detail'!P624</f>
        <v>20642.40896291663</v>
      </c>
      <c r="Q378">
        <f>'Upload Detail'!Q624</f>
        <v>20642.40896291663</v>
      </c>
      <c r="R378">
        <f>'Upload Detail'!R624</f>
        <v>20642.40896291663</v>
      </c>
      <c r="S378">
        <f>'Upload Detail'!S624</f>
        <v>20642.40896291663</v>
      </c>
      <c r="T378">
        <f>'Upload Detail'!T624</f>
        <v>20642.40896291663</v>
      </c>
      <c r="U378">
        <f>'Upload Detail'!U624</f>
        <v>20642.40896291663</v>
      </c>
      <c r="V378">
        <f>'Upload Detail'!V624</f>
        <v>21261.681231804134</v>
      </c>
      <c r="W378">
        <f>'Upload Detail'!W624</f>
        <v>21261.681231804134</v>
      </c>
    </row>
    <row r="379" spans="1:23">
      <c r="A379" t="s">
        <v>2654</v>
      </c>
      <c r="B379" t="str">
        <f t="shared" si="11"/>
        <v>X10_11032_00494</v>
      </c>
      <c r="C379" t="str">
        <f t="shared" si="12"/>
        <v>LE_XXXX</v>
      </c>
      <c r="D379" t="s">
        <v>2886</v>
      </c>
      <c r="E379">
        <v>6011</v>
      </c>
      <c r="F379" t="s">
        <v>2888</v>
      </c>
      <c r="G379" t="s">
        <v>153</v>
      </c>
      <c r="H379" t="s">
        <v>154</v>
      </c>
      <c r="I379" t="s">
        <v>146</v>
      </c>
      <c r="J379" t="s">
        <v>147</v>
      </c>
      <c r="K379" t="str">
        <f>+"FY"&amp;RIGHT(YEAR('Hyperion Panel'!$B$9)+4,2)</f>
        <v>FY14</v>
      </c>
      <c r="L379">
        <f>'Upload Detail'!L625</f>
        <v>0</v>
      </c>
      <c r="M379">
        <f>'Upload Detail'!M625</f>
        <v>0</v>
      </c>
      <c r="N379">
        <f>'Upload Detail'!N625</f>
        <v>0</v>
      </c>
      <c r="O379">
        <f>'Upload Detail'!O625</f>
        <v>0</v>
      </c>
      <c r="P379">
        <f>'Upload Detail'!P625</f>
        <v>0</v>
      </c>
      <c r="Q379">
        <f>'Upload Detail'!Q625</f>
        <v>0</v>
      </c>
      <c r="R379">
        <f>'Upload Detail'!R625</f>
        <v>0</v>
      </c>
      <c r="S379">
        <f>'Upload Detail'!S625</f>
        <v>0</v>
      </c>
      <c r="T379">
        <f>'Upload Detail'!T625</f>
        <v>0</v>
      </c>
      <c r="U379">
        <f>'Upload Detail'!U625</f>
        <v>0</v>
      </c>
      <c r="V379">
        <f>'Upload Detail'!V625</f>
        <v>0</v>
      </c>
      <c r="W379">
        <f>'Upload Detail'!W625</f>
        <v>0</v>
      </c>
    </row>
    <row r="380" spans="1:23">
      <c r="A380" t="s">
        <v>3696</v>
      </c>
      <c r="B380" t="str">
        <f t="shared" si="11"/>
        <v>X10_11032_00494</v>
      </c>
      <c r="C380" t="str">
        <f t="shared" si="12"/>
        <v>LE_XXXX</v>
      </c>
      <c r="D380" t="s">
        <v>2886</v>
      </c>
      <c r="E380">
        <v>6600</v>
      </c>
      <c r="F380" t="s">
        <v>2888</v>
      </c>
      <c r="G380" t="s">
        <v>2889</v>
      </c>
      <c r="H380" t="s">
        <v>154</v>
      </c>
      <c r="I380" t="s">
        <v>146</v>
      </c>
      <c r="J380" t="s">
        <v>147</v>
      </c>
      <c r="K380" t="str">
        <f>+"FY"&amp;RIGHT(YEAR('Hyperion Panel'!$B$9)+4,2)</f>
        <v>FY14</v>
      </c>
      <c r="L380">
        <f>'Upload Detail'!L626</f>
        <v>56200.395080222406</v>
      </c>
      <c r="M380">
        <f>'Upload Detail'!M626</f>
        <v>56200.395080222406</v>
      </c>
      <c r="N380">
        <f>'Upload Detail'!N626</f>
        <v>56200.395080222406</v>
      </c>
      <c r="O380">
        <f>'Upload Detail'!O626</f>
        <v>56200.395080222406</v>
      </c>
      <c r="P380">
        <f>'Upload Detail'!P626</f>
        <v>56200.395080222406</v>
      </c>
      <c r="Q380">
        <f>'Upload Detail'!Q626</f>
        <v>56200.395080222406</v>
      </c>
      <c r="R380">
        <f>'Upload Detail'!R626</f>
        <v>56200.395080222406</v>
      </c>
      <c r="S380">
        <f>'Upload Detail'!S626</f>
        <v>56200.395080222406</v>
      </c>
      <c r="T380">
        <f>'Upload Detail'!T626</f>
        <v>56200.395080222406</v>
      </c>
      <c r="U380">
        <f>'Upload Detail'!U626</f>
        <v>56200.395080222406</v>
      </c>
      <c r="V380">
        <f>'Upload Detail'!V626</f>
        <v>57324.402981826854</v>
      </c>
      <c r="W380">
        <f>'Upload Detail'!W626</f>
        <v>57324.402981826854</v>
      </c>
    </row>
    <row r="381" spans="1:23">
      <c r="A381" t="s">
        <v>1381</v>
      </c>
      <c r="B381" t="str">
        <f t="shared" si="11"/>
        <v>X10_11032_00494</v>
      </c>
      <c r="C381" t="str">
        <f t="shared" si="12"/>
        <v>LE_XXXX</v>
      </c>
      <c r="D381" t="s">
        <v>2886</v>
      </c>
      <c r="E381">
        <v>6800</v>
      </c>
      <c r="F381" t="s">
        <v>156</v>
      </c>
      <c r="G381" t="s">
        <v>2889</v>
      </c>
      <c r="H381" t="s">
        <v>154</v>
      </c>
      <c r="I381" t="s">
        <v>146</v>
      </c>
      <c r="J381" t="s">
        <v>147</v>
      </c>
      <c r="K381" t="str">
        <f>+"FY"&amp;RIGHT(YEAR('Hyperion Panel'!$B$9)+4,2)</f>
        <v>FY14</v>
      </c>
      <c r="L381">
        <f>'Upload Detail'!L627</f>
        <v>21445.876090607595</v>
      </c>
      <c r="M381">
        <f>'Upload Detail'!M627</f>
        <v>21445.876090607595</v>
      </c>
      <c r="N381">
        <f>'Upload Detail'!N627</f>
        <v>21445.876090607595</v>
      </c>
      <c r="O381">
        <f>'Upload Detail'!O627</f>
        <v>21445.876090607595</v>
      </c>
      <c r="P381">
        <f>'Upload Detail'!P627</f>
        <v>21445.876090607595</v>
      </c>
      <c r="Q381">
        <f>'Upload Detail'!Q627</f>
        <v>21445.876090607595</v>
      </c>
      <c r="R381">
        <f>'Upload Detail'!R627</f>
        <v>21445.876090607595</v>
      </c>
      <c r="S381">
        <f>'Upload Detail'!S627</f>
        <v>21445.876090607595</v>
      </c>
      <c r="T381">
        <f>'Upload Detail'!T627</f>
        <v>21445.876090607595</v>
      </c>
      <c r="U381">
        <f>'Upload Detail'!U627</f>
        <v>21445.876090607595</v>
      </c>
      <c r="V381">
        <f>'Upload Detail'!V627</f>
        <v>22089.25237332582</v>
      </c>
      <c r="W381">
        <f>'Upload Detail'!W627</f>
        <v>22089.25237332582</v>
      </c>
    </row>
    <row r="382" spans="1:23">
      <c r="A382" t="s">
        <v>3697</v>
      </c>
      <c r="B382" t="str">
        <f t="shared" si="11"/>
        <v>X10_11032_00494</v>
      </c>
      <c r="C382" t="str">
        <f t="shared" si="12"/>
        <v>LE_XXXX</v>
      </c>
      <c r="D382" t="s">
        <v>2886</v>
      </c>
      <c r="E382">
        <v>8600</v>
      </c>
      <c r="F382" t="s">
        <v>156</v>
      </c>
      <c r="G382" t="s">
        <v>2889</v>
      </c>
      <c r="H382" t="s">
        <v>154</v>
      </c>
      <c r="I382" t="s">
        <v>146</v>
      </c>
      <c r="J382" t="s">
        <v>147</v>
      </c>
      <c r="K382" t="str">
        <f>+"FY"&amp;RIGHT(YEAR('Hyperion Panel'!$B$9)+4,2)</f>
        <v>FY14</v>
      </c>
      <c r="L382">
        <f>'Upload Detail'!L628</f>
        <v>18002.666397730001</v>
      </c>
      <c r="M382">
        <f>'Upload Detail'!M628</f>
        <v>18002.666397730001</v>
      </c>
      <c r="N382">
        <f>'Upload Detail'!N628</f>
        <v>18002.666397730001</v>
      </c>
      <c r="O382">
        <f>'Upload Detail'!O628</f>
        <v>18002.666397730001</v>
      </c>
      <c r="P382">
        <f>'Upload Detail'!P628</f>
        <v>18002.666397730001</v>
      </c>
      <c r="Q382">
        <f>'Upload Detail'!Q628</f>
        <v>18002.666397730001</v>
      </c>
      <c r="R382">
        <f>'Upload Detail'!R628</f>
        <v>18002.666397730001</v>
      </c>
      <c r="S382">
        <f>'Upload Detail'!S628</f>
        <v>18002.666397730001</v>
      </c>
      <c r="T382">
        <f>'Upload Detail'!T628</f>
        <v>18002.666397730001</v>
      </c>
      <c r="U382">
        <f>'Upload Detail'!U628</f>
        <v>18002.666397730001</v>
      </c>
      <c r="V382">
        <f>'Upload Detail'!V628</f>
        <v>18542.746389661901</v>
      </c>
      <c r="W382">
        <f>'Upload Detail'!W628</f>
        <v>18542.746389661901</v>
      </c>
    </row>
    <row r="383" spans="1:23">
      <c r="A383" t="s">
        <v>157</v>
      </c>
      <c r="B383" t="str">
        <f t="shared" si="11"/>
        <v>X10_11032_00494</v>
      </c>
      <c r="C383" t="str">
        <f t="shared" si="12"/>
        <v>LE_XXXX</v>
      </c>
      <c r="D383" t="s">
        <v>2886</v>
      </c>
      <c r="E383">
        <v>6720</v>
      </c>
      <c r="F383" t="s">
        <v>156</v>
      </c>
      <c r="G383" t="s">
        <v>2889</v>
      </c>
      <c r="H383" t="s">
        <v>154</v>
      </c>
      <c r="I383" t="s">
        <v>146</v>
      </c>
      <c r="J383" t="s">
        <v>147</v>
      </c>
      <c r="K383" t="str">
        <f>+"FY"&amp;RIGHT(YEAR('Hyperion Panel'!$B$9)+4,2)</f>
        <v>FY14</v>
      </c>
      <c r="L383">
        <f>'Upload Detail'!L629</f>
        <v>15833.32</v>
      </c>
      <c r="M383">
        <f>'Upload Detail'!M629</f>
        <v>15833.32</v>
      </c>
      <c r="N383">
        <f>'Upload Detail'!N629</f>
        <v>15833.32</v>
      </c>
      <c r="O383">
        <f>'Upload Detail'!O629</f>
        <v>15833.32</v>
      </c>
      <c r="P383">
        <f>'Upload Detail'!P629</f>
        <v>15833.32</v>
      </c>
      <c r="Q383">
        <f>'Upload Detail'!Q629</f>
        <v>15833.32</v>
      </c>
      <c r="R383">
        <f>'Upload Detail'!R629</f>
        <v>15833.32</v>
      </c>
      <c r="S383">
        <f>'Upload Detail'!S629</f>
        <v>15833.32</v>
      </c>
      <c r="T383">
        <f>'Upload Detail'!T629</f>
        <v>15833.32</v>
      </c>
      <c r="U383">
        <f>'Upload Detail'!U629</f>
        <v>15833.32</v>
      </c>
      <c r="V383">
        <f>'Upload Detail'!V629</f>
        <v>15833.32</v>
      </c>
      <c r="W383">
        <f>'Upload Detail'!W629</f>
        <v>15833.32</v>
      </c>
    </row>
    <row r="384" spans="1:23">
      <c r="A384" t="s">
        <v>3925</v>
      </c>
      <c r="B384" t="str">
        <f t="shared" si="11"/>
        <v>X10_11032_00494</v>
      </c>
      <c r="C384" t="str">
        <f t="shared" si="12"/>
        <v>LE_XXXX</v>
      </c>
      <c r="D384" t="s">
        <v>2886</v>
      </c>
      <c r="E384">
        <v>8110</v>
      </c>
      <c r="F384" t="s">
        <v>156</v>
      </c>
      <c r="G384" t="s">
        <v>2889</v>
      </c>
      <c r="H384" t="s">
        <v>154</v>
      </c>
      <c r="I384" t="s">
        <v>146</v>
      </c>
      <c r="J384" t="s">
        <v>147</v>
      </c>
      <c r="K384" t="str">
        <f>+"FY"&amp;RIGHT(YEAR('Hyperion Panel'!$B$9)+4,2)</f>
        <v>FY14</v>
      </c>
      <c r="L384">
        <f>'Upload Detail'!L630</f>
        <v>1141.577360535</v>
      </c>
      <c r="M384">
        <f>'Upload Detail'!M630</f>
        <v>1141.577360535</v>
      </c>
      <c r="N384">
        <f>'Upload Detail'!N630</f>
        <v>1141.577360535</v>
      </c>
      <c r="O384">
        <f>'Upload Detail'!O630</f>
        <v>1141.577360535</v>
      </c>
      <c r="P384">
        <f>'Upload Detail'!P630</f>
        <v>1141.577360535</v>
      </c>
      <c r="Q384">
        <f>'Upload Detail'!Q630</f>
        <v>1141.577360535</v>
      </c>
      <c r="R384">
        <f>'Upload Detail'!R630</f>
        <v>1141.577360535</v>
      </c>
      <c r="S384">
        <f>'Upload Detail'!S630</f>
        <v>1141.577360535</v>
      </c>
      <c r="T384">
        <f>'Upload Detail'!T630</f>
        <v>1141.577360535</v>
      </c>
      <c r="U384">
        <f>'Upload Detail'!U630</f>
        <v>1141.577360535</v>
      </c>
      <c r="V384">
        <f>'Upload Detail'!V630</f>
        <v>1175.82468135105</v>
      </c>
      <c r="W384">
        <f>'Upload Detail'!W630</f>
        <v>1175.82468135105</v>
      </c>
    </row>
    <row r="385" spans="1:25">
      <c r="A385" t="s">
        <v>3926</v>
      </c>
      <c r="B385" t="str">
        <f t="shared" si="11"/>
        <v>X10_11032_00494</v>
      </c>
      <c r="C385" t="str">
        <f t="shared" si="12"/>
        <v>LE_XXXX</v>
      </c>
      <c r="D385" t="s">
        <v>2886</v>
      </c>
      <c r="E385">
        <v>6412</v>
      </c>
      <c r="F385" t="s">
        <v>156</v>
      </c>
      <c r="G385" t="s">
        <v>2889</v>
      </c>
      <c r="H385" t="s">
        <v>154</v>
      </c>
      <c r="I385" t="s">
        <v>146</v>
      </c>
      <c r="J385" t="s">
        <v>147</v>
      </c>
      <c r="K385" t="str">
        <f>+"FY"&amp;RIGHT(YEAR('Hyperion Panel'!$B$9)+4,2)</f>
        <v>FY14</v>
      </c>
      <c r="L385">
        <f>'Upload Detail'!L631</f>
        <v>20286.44900537013</v>
      </c>
      <c r="M385">
        <f>'Upload Detail'!M631</f>
        <v>20286.44900537013</v>
      </c>
      <c r="N385">
        <f>'Upload Detail'!N631</f>
        <v>20286.44900537013</v>
      </c>
      <c r="O385">
        <f>'Upload Detail'!O631</f>
        <v>20286.44900537013</v>
      </c>
      <c r="P385">
        <f>'Upload Detail'!P631</f>
        <v>20286.44900537013</v>
      </c>
      <c r="Q385">
        <f>'Upload Detail'!Q631</f>
        <v>20286.44900537013</v>
      </c>
      <c r="R385">
        <f>'Upload Detail'!R631</f>
        <v>20286.44900537013</v>
      </c>
      <c r="S385">
        <f>'Upload Detail'!S631</f>
        <v>20286.44900537013</v>
      </c>
      <c r="T385">
        <f>'Upload Detail'!T631</f>
        <v>20286.44900537013</v>
      </c>
      <c r="U385">
        <f>'Upload Detail'!U631</f>
        <v>20286.44900537013</v>
      </c>
      <c r="V385">
        <f>'Upload Detail'!V631</f>
        <v>20895.042475531234</v>
      </c>
      <c r="W385">
        <f>'Upload Detail'!W631</f>
        <v>20895.042475531234</v>
      </c>
    </row>
    <row r="386" spans="1:25" s="104" customFormat="1">
      <c r="A386" s="104" t="s">
        <v>730</v>
      </c>
      <c r="B386" s="104" t="str">
        <f t="shared" si="11"/>
        <v>X10_11032_00494</v>
      </c>
      <c r="C386" s="104" t="str">
        <f t="shared" si="12"/>
        <v>LE_XXXX</v>
      </c>
      <c r="D386" s="104" t="s">
        <v>2886</v>
      </c>
      <c r="E386" s="104">
        <v>8110</v>
      </c>
      <c r="F386" s="104" t="s">
        <v>731</v>
      </c>
      <c r="G386" s="104" t="s">
        <v>2889</v>
      </c>
      <c r="H386" s="104" t="s">
        <v>154</v>
      </c>
      <c r="I386" s="104" t="s">
        <v>146</v>
      </c>
      <c r="J386" s="104" t="s">
        <v>147</v>
      </c>
      <c r="K386" t="str">
        <f>+"FY"&amp;RIGHT(YEAR('Hyperion Panel'!$B$9)+4,2)</f>
        <v>FY14</v>
      </c>
      <c r="L386" s="104">
        <f>'Upload Detail'!L632</f>
        <v>910.60583333333341</v>
      </c>
      <c r="M386" s="104">
        <f>'Upload Detail'!M632</f>
        <v>910.60583333333341</v>
      </c>
      <c r="N386" s="104">
        <f>'Upload Detail'!N632</f>
        <v>910.60583333333341</v>
      </c>
      <c r="O386" s="104">
        <f>'Upload Detail'!O632</f>
        <v>910.60583333333341</v>
      </c>
      <c r="P386" s="104">
        <f>'Upload Detail'!P632</f>
        <v>910.60583333333341</v>
      </c>
      <c r="Q386" s="104">
        <f>'Upload Detail'!Q632</f>
        <v>910.60583333333341</v>
      </c>
      <c r="R386" s="104">
        <f>'Upload Detail'!R632</f>
        <v>910.60583333333341</v>
      </c>
      <c r="S386" s="104">
        <f>'Upload Detail'!S632</f>
        <v>910.60583333333341</v>
      </c>
      <c r="T386" s="104">
        <f>'Upload Detail'!T632</f>
        <v>910.60583333333341</v>
      </c>
      <c r="U386" s="104">
        <f>'Upload Detail'!U632</f>
        <v>910.60583333333341</v>
      </c>
      <c r="V386" s="104">
        <f>'Upload Detail'!V632</f>
        <v>937.9240083333334</v>
      </c>
      <c r="W386" s="104">
        <f>'Upload Detail'!W632</f>
        <v>937.9240083333334</v>
      </c>
      <c r="Y386" s="1690"/>
    </row>
    <row r="387" spans="1:25" s="104" customFormat="1">
      <c r="A387" s="104" t="s">
        <v>732</v>
      </c>
      <c r="B387" s="104" t="str">
        <f t="shared" si="11"/>
        <v>X10_11032_00494</v>
      </c>
      <c r="C387" s="104" t="str">
        <f t="shared" si="12"/>
        <v>LE_XXXX</v>
      </c>
      <c r="D387" s="104" t="s">
        <v>2886</v>
      </c>
      <c r="F387" s="104" t="s">
        <v>731</v>
      </c>
      <c r="G387" s="104" t="s">
        <v>2889</v>
      </c>
      <c r="H387" s="104" t="s">
        <v>154</v>
      </c>
      <c r="I387" s="104" t="s">
        <v>146</v>
      </c>
      <c r="J387" s="104" t="s">
        <v>147</v>
      </c>
      <c r="K387" t="str">
        <f>+"FY"&amp;RIGHT(YEAR('Hyperion Panel'!$B$9)+4,2)</f>
        <v>FY14</v>
      </c>
      <c r="L387" s="104">
        <f>'Upload Detail'!L633</f>
        <v>0</v>
      </c>
      <c r="M387" s="104">
        <f>'Upload Detail'!M633</f>
        <v>0</v>
      </c>
      <c r="N387" s="104">
        <f>'Upload Detail'!N633</f>
        <v>0</v>
      </c>
      <c r="O387" s="104">
        <f>'Upload Detail'!O633</f>
        <v>0</v>
      </c>
      <c r="P387" s="104">
        <f>'Upload Detail'!P633</f>
        <v>0</v>
      </c>
      <c r="Q387" s="104">
        <f>'Upload Detail'!Q633</f>
        <v>0</v>
      </c>
      <c r="R387" s="104">
        <f>'Upload Detail'!R633</f>
        <v>0</v>
      </c>
      <c r="S387" s="104">
        <f>'Upload Detail'!S633</f>
        <v>0</v>
      </c>
      <c r="T387" s="104">
        <f>'Upload Detail'!T633</f>
        <v>0</v>
      </c>
      <c r="U387" s="104">
        <f>'Upload Detail'!U633</f>
        <v>0</v>
      </c>
      <c r="V387" s="104">
        <f>'Upload Detail'!V633</f>
        <v>0</v>
      </c>
      <c r="W387" s="104">
        <f>'Upload Detail'!W633</f>
        <v>0</v>
      </c>
      <c r="Y387" s="1690"/>
    </row>
    <row r="388" spans="1:25" s="104" customFormat="1">
      <c r="A388" s="104" t="s">
        <v>733</v>
      </c>
      <c r="B388" s="104" t="str">
        <f t="shared" si="11"/>
        <v>X10_11032_00494</v>
      </c>
      <c r="C388" s="104" t="str">
        <f t="shared" si="12"/>
        <v>LE_XXXX</v>
      </c>
      <c r="D388" s="104" t="s">
        <v>2886</v>
      </c>
      <c r="F388" s="104" t="s">
        <v>731</v>
      </c>
      <c r="G388" s="104" t="s">
        <v>2889</v>
      </c>
      <c r="H388" s="104" t="s">
        <v>154</v>
      </c>
      <c r="I388" s="104" t="s">
        <v>146</v>
      </c>
      <c r="J388" s="104" t="s">
        <v>147</v>
      </c>
      <c r="K388" t="str">
        <f>+"FY"&amp;RIGHT(YEAR('Hyperion Panel'!$B$9)+4,2)</f>
        <v>FY14</v>
      </c>
      <c r="L388" s="104">
        <f>'Upload Detail'!L634</f>
        <v>10230.045119999999</v>
      </c>
      <c r="M388" s="104">
        <f>'Upload Detail'!M634</f>
        <v>10230.045119999999</v>
      </c>
      <c r="N388" s="104">
        <f>'Upload Detail'!N634</f>
        <v>10230.045119999999</v>
      </c>
      <c r="O388" s="104">
        <f>'Upload Detail'!O634</f>
        <v>10230.045119999999</v>
      </c>
      <c r="P388" s="104">
        <f>'Upload Detail'!P634</f>
        <v>10230.045119999999</v>
      </c>
      <c r="Q388" s="104">
        <f>'Upload Detail'!Q634</f>
        <v>10230.045119999999</v>
      </c>
      <c r="R388" s="104">
        <f>'Upload Detail'!R634</f>
        <v>10230.045119999999</v>
      </c>
      <c r="S388" s="104">
        <f>'Upload Detail'!S634</f>
        <v>10230.045119999999</v>
      </c>
      <c r="T388" s="104">
        <f>'Upload Detail'!T634</f>
        <v>10230.045119999999</v>
      </c>
      <c r="U388" s="104">
        <f>'Upload Detail'!U634</f>
        <v>10230.045119999999</v>
      </c>
      <c r="V388" s="104">
        <f>'Upload Detail'!V634</f>
        <v>10434.6460224</v>
      </c>
      <c r="W388" s="104">
        <f>'Upload Detail'!W634</f>
        <v>10434.6460224</v>
      </c>
      <c r="Y388" s="1690"/>
    </row>
    <row r="389" spans="1:25" s="104" customFormat="1">
      <c r="A389" s="104" t="s">
        <v>734</v>
      </c>
      <c r="B389" s="104" t="str">
        <f t="shared" si="11"/>
        <v>X10_11032_00494</v>
      </c>
      <c r="C389" s="104" t="str">
        <f t="shared" si="12"/>
        <v>LE_XXXX</v>
      </c>
      <c r="D389" s="104" t="s">
        <v>2886</v>
      </c>
      <c r="E389" s="104">
        <v>6800</v>
      </c>
      <c r="F389" s="104" t="s">
        <v>731</v>
      </c>
      <c r="G389" s="104" t="s">
        <v>2889</v>
      </c>
      <c r="H389" s="104" t="s">
        <v>154</v>
      </c>
      <c r="I389" s="104" t="s">
        <v>146</v>
      </c>
      <c r="J389" s="104" t="s">
        <v>147</v>
      </c>
      <c r="K389" t="str">
        <f>+"FY"&amp;RIGHT(YEAR('Hyperion Panel'!$B$9)+4,2)</f>
        <v>FY14</v>
      </c>
      <c r="L389" s="104">
        <f>'Upload Detail'!L635</f>
        <v>1912.27225</v>
      </c>
      <c r="M389" s="104">
        <f>'Upload Detail'!M635</f>
        <v>1912.27225</v>
      </c>
      <c r="N389" s="104">
        <f>'Upload Detail'!N635</f>
        <v>1912.27225</v>
      </c>
      <c r="O389" s="104">
        <f>'Upload Detail'!O635</f>
        <v>1912.27225</v>
      </c>
      <c r="P389" s="104">
        <f>'Upload Detail'!P635</f>
        <v>1912.27225</v>
      </c>
      <c r="Q389" s="104">
        <f>'Upload Detail'!Q635</f>
        <v>1912.27225</v>
      </c>
      <c r="R389" s="104">
        <f>'Upload Detail'!R635</f>
        <v>1912.27225</v>
      </c>
      <c r="S389" s="104">
        <f>'Upload Detail'!S635</f>
        <v>1912.27225</v>
      </c>
      <c r="T389" s="104">
        <f>'Upload Detail'!T635</f>
        <v>1912.27225</v>
      </c>
      <c r="U389" s="104">
        <f>'Upload Detail'!U635</f>
        <v>1912.27225</v>
      </c>
      <c r="V389" s="104">
        <f>'Upload Detail'!V635</f>
        <v>1969.6404175</v>
      </c>
      <c r="W389" s="104">
        <f>'Upload Detail'!W635</f>
        <v>1969.6404175</v>
      </c>
      <c r="Y389" s="1690"/>
    </row>
    <row r="390" spans="1:25">
      <c r="A390" t="s">
        <v>158</v>
      </c>
      <c r="B390" t="str">
        <f t="shared" si="11"/>
        <v>X10_11032_00494</v>
      </c>
      <c r="C390" t="str">
        <f t="shared" si="12"/>
        <v>LE_XXXX</v>
      </c>
      <c r="D390" t="s">
        <v>2886</v>
      </c>
      <c r="E390" t="s">
        <v>159</v>
      </c>
      <c r="F390" t="s">
        <v>156</v>
      </c>
      <c r="G390" t="s">
        <v>2889</v>
      </c>
      <c r="H390" t="s">
        <v>154</v>
      </c>
      <c r="I390" t="s">
        <v>146</v>
      </c>
      <c r="J390" t="s">
        <v>147</v>
      </c>
      <c r="K390" t="str">
        <f>+"FY"&amp;RIGHT(YEAR('Hyperion Panel'!$B$9)+4,2)</f>
        <v>FY14</v>
      </c>
      <c r="L390" s="103">
        <f>'Upload Detail'!L636</f>
        <v>1</v>
      </c>
      <c r="M390" s="103">
        <f>'Upload Detail'!M636</f>
        <v>1</v>
      </c>
      <c r="N390" s="103">
        <f>'Upload Detail'!N636</f>
        <v>1</v>
      </c>
      <c r="O390" s="103">
        <f>'Upload Detail'!O636</f>
        <v>1</v>
      </c>
      <c r="P390" s="103">
        <f>'Upload Detail'!P636</f>
        <v>1</v>
      </c>
      <c r="Q390" s="103">
        <f>'Upload Detail'!Q636</f>
        <v>1</v>
      </c>
      <c r="R390" s="103">
        <f>'Upload Detail'!R636</f>
        <v>1</v>
      </c>
      <c r="S390" s="103">
        <f>'Upload Detail'!S636</f>
        <v>1</v>
      </c>
      <c r="T390" s="103">
        <f>'Upload Detail'!T636</f>
        <v>1</v>
      </c>
      <c r="U390" s="103">
        <f>'Upload Detail'!U636</f>
        <v>1</v>
      </c>
      <c r="V390" s="103">
        <f>'Upload Detail'!V636</f>
        <v>1</v>
      </c>
      <c r="W390" s="103">
        <f>'Upload Detail'!W636</f>
        <v>1</v>
      </c>
    </row>
    <row r="391" spans="1:25">
      <c r="A391" t="s">
        <v>160</v>
      </c>
      <c r="B391" t="str">
        <f t="shared" si="11"/>
        <v>X10_11032_00494</v>
      </c>
      <c r="C391" t="str">
        <f t="shared" si="12"/>
        <v>LE_XXXX</v>
      </c>
      <c r="D391" t="s">
        <v>2886</v>
      </c>
      <c r="E391" t="s">
        <v>161</v>
      </c>
      <c r="F391" t="s">
        <v>156</v>
      </c>
      <c r="G391" t="s">
        <v>2889</v>
      </c>
      <c r="H391" t="s">
        <v>154</v>
      </c>
      <c r="I391" t="s">
        <v>146</v>
      </c>
      <c r="J391" t="s">
        <v>147</v>
      </c>
      <c r="K391" t="str">
        <f>+"FY"&amp;RIGHT(YEAR('Hyperion Panel'!$B$9)+4,2)</f>
        <v>FY14</v>
      </c>
      <c r="L391">
        <f>'Upload Detail'!L637</f>
        <v>0</v>
      </c>
      <c r="M391">
        <f>'Upload Detail'!M637</f>
        <v>0</v>
      </c>
      <c r="N391">
        <f>'Upload Detail'!N637</f>
        <v>0</v>
      </c>
      <c r="O391">
        <f>'Upload Detail'!O637</f>
        <v>0</v>
      </c>
      <c r="P391">
        <f>'Upload Detail'!P637</f>
        <v>0</v>
      </c>
      <c r="Q391">
        <f>'Upload Detail'!Q637</f>
        <v>0</v>
      </c>
      <c r="R391">
        <f>'Upload Detail'!R637</f>
        <v>0</v>
      </c>
      <c r="S391">
        <f>'Upload Detail'!S637</f>
        <v>0</v>
      </c>
      <c r="T391">
        <f>'Upload Detail'!T637</f>
        <v>0</v>
      </c>
      <c r="U391">
        <f>'Upload Detail'!U637</f>
        <v>0</v>
      </c>
      <c r="V391">
        <f>'Upload Detail'!V637</f>
        <v>0</v>
      </c>
      <c r="W391">
        <f>'Upload Detail'!W637</f>
        <v>0</v>
      </c>
    </row>
    <row r="392" spans="1:25" s="104" customFormat="1">
      <c r="A392" s="104" t="s">
        <v>735</v>
      </c>
      <c r="B392" t="str">
        <f t="shared" si="11"/>
        <v>X10_11032_00494</v>
      </c>
      <c r="C392" t="str">
        <f t="shared" si="12"/>
        <v>LE_XXXX</v>
      </c>
      <c r="D392" t="s">
        <v>2886</v>
      </c>
      <c r="F392" s="104" t="s">
        <v>731</v>
      </c>
      <c r="G392" s="104" t="s">
        <v>2889</v>
      </c>
      <c r="H392" s="104" t="s">
        <v>154</v>
      </c>
      <c r="I392" s="104" t="s">
        <v>146</v>
      </c>
      <c r="J392" s="104" t="s">
        <v>147</v>
      </c>
      <c r="K392" t="str">
        <f>+"FY"&amp;RIGHT(YEAR('Hyperion Panel'!$B$9)+4,2)</f>
        <v>FY14</v>
      </c>
      <c r="L392" s="104">
        <f>'Upload Detail'!L638</f>
        <v>0</v>
      </c>
      <c r="M392" s="104">
        <f>'Upload Detail'!M638</f>
        <v>0</v>
      </c>
      <c r="N392" s="104">
        <f>'Upload Detail'!N638</f>
        <v>0</v>
      </c>
      <c r="O392" s="104">
        <f>'Upload Detail'!O638</f>
        <v>0</v>
      </c>
      <c r="P392" s="104">
        <f>'Upload Detail'!P638</f>
        <v>0</v>
      </c>
      <c r="Q392" s="104">
        <f>'Upload Detail'!Q638</f>
        <v>0</v>
      </c>
      <c r="R392" s="104">
        <f>'Upload Detail'!R638</f>
        <v>0</v>
      </c>
      <c r="S392" s="104">
        <f>'Upload Detail'!S638</f>
        <v>0</v>
      </c>
      <c r="T392" s="104">
        <f>'Upload Detail'!T638</f>
        <v>0</v>
      </c>
      <c r="U392" s="104">
        <f>'Upload Detail'!U638</f>
        <v>0</v>
      </c>
      <c r="V392" s="104">
        <f>'Upload Detail'!V638</f>
        <v>0</v>
      </c>
      <c r="W392" s="104">
        <f>'Upload Detail'!W638</f>
        <v>0</v>
      </c>
    </row>
    <row r="393" spans="1:25" s="106" customFormat="1">
      <c r="A393" s="106" t="s">
        <v>165</v>
      </c>
      <c r="B393" s="106" t="str">
        <f t="shared" si="11"/>
        <v>X10_11032_00494</v>
      </c>
      <c r="C393" s="106" t="str">
        <f t="shared" si="12"/>
        <v>LE_XXXX</v>
      </c>
      <c r="D393" s="106" t="s">
        <v>2886</v>
      </c>
      <c r="E393" s="106" t="s">
        <v>2887</v>
      </c>
      <c r="F393" s="106" t="s">
        <v>2888</v>
      </c>
      <c r="G393" s="106" t="s">
        <v>2889</v>
      </c>
      <c r="H393" s="106" t="s">
        <v>145</v>
      </c>
      <c r="I393" s="106" t="s">
        <v>146</v>
      </c>
      <c r="J393" s="106" t="s">
        <v>147</v>
      </c>
      <c r="K393" s="106" t="str">
        <f>+"FY"&amp;RIGHT(YEAR('Hyperion Panel'!$B$9)+5,2)</f>
        <v>FY15</v>
      </c>
      <c r="L393" s="106">
        <f>SUM('Upload Detail'!L641:L642)</f>
        <v>598</v>
      </c>
      <c r="M393" s="106">
        <f>SUM('Upload Detail'!M641:M642)</f>
        <v>598</v>
      </c>
      <c r="N393" s="106">
        <f>SUM('Upload Detail'!N641:N642)</f>
        <v>598</v>
      </c>
      <c r="O393" s="106">
        <f>SUM('Upload Detail'!O641:O642)</f>
        <v>598</v>
      </c>
      <c r="P393" s="106">
        <f>SUM('Upload Detail'!P641:P642)</f>
        <v>598</v>
      </c>
      <c r="Q393" s="106">
        <f>SUM('Upload Detail'!Q641:Q642)</f>
        <v>598</v>
      </c>
      <c r="R393" s="106">
        <f>SUM('Upload Detail'!R641:R642)</f>
        <v>598</v>
      </c>
      <c r="S393" s="106">
        <f>SUM('Upload Detail'!S641:S642)</f>
        <v>598</v>
      </c>
      <c r="T393" s="106">
        <f>SUM('Upload Detail'!T641:T642)</f>
        <v>598</v>
      </c>
      <c r="U393" s="106">
        <f>SUM('Upload Detail'!U641:U642)</f>
        <v>598</v>
      </c>
      <c r="V393" s="106">
        <f>SUM('Upload Detail'!V641:V642)</f>
        <v>0</v>
      </c>
      <c r="W393" s="106">
        <f>SUM('Upload Detail'!W641:W642)</f>
        <v>0</v>
      </c>
    </row>
    <row r="394" spans="1:25" s="106" customFormat="1">
      <c r="A394" s="106" t="s">
        <v>162</v>
      </c>
      <c r="B394" s="106" t="str">
        <f t="shared" si="11"/>
        <v>X10_11032_00494</v>
      </c>
      <c r="C394" s="106" t="str">
        <f t="shared" si="12"/>
        <v>LE_XXXX</v>
      </c>
      <c r="D394" s="106" t="s">
        <v>2886</v>
      </c>
      <c r="E394" s="106" t="s">
        <v>149</v>
      </c>
      <c r="F394" s="106" t="s">
        <v>150</v>
      </c>
      <c r="G394" s="106" t="s">
        <v>2889</v>
      </c>
      <c r="H394" s="106" t="s">
        <v>145</v>
      </c>
      <c r="I394" s="106" t="s">
        <v>146</v>
      </c>
      <c r="J394" s="106" t="s">
        <v>147</v>
      </c>
      <c r="K394" s="106" t="str">
        <f>+"FY"&amp;RIGHT(YEAR('Hyperion Panel'!$B$9)+5,2)</f>
        <v>FY15</v>
      </c>
      <c r="L394" s="106">
        <f>SUM('Upload Detail'!L644:L645)</f>
        <v>247</v>
      </c>
      <c r="M394" s="106">
        <f>SUM('Upload Detail'!M644:M645)</f>
        <v>247</v>
      </c>
      <c r="N394" s="106">
        <f>SUM('Upload Detail'!N644:N645)</f>
        <v>247</v>
      </c>
      <c r="O394" s="106">
        <f>SUM('Upload Detail'!O644:O645)</f>
        <v>247</v>
      </c>
      <c r="P394" s="106">
        <f>SUM('Upload Detail'!P644:P645)</f>
        <v>247</v>
      </c>
      <c r="Q394" s="106">
        <f>SUM('Upload Detail'!Q644:Q645)</f>
        <v>247</v>
      </c>
      <c r="R394" s="106">
        <f>SUM('Upload Detail'!R644:R645)</f>
        <v>247</v>
      </c>
      <c r="S394" s="106">
        <f>SUM('Upload Detail'!S644:S645)</f>
        <v>247</v>
      </c>
      <c r="T394" s="106">
        <f>SUM('Upload Detail'!T644:T645)</f>
        <v>247</v>
      </c>
      <c r="U394" s="106">
        <f>SUM('Upload Detail'!U644:U645)</f>
        <v>247</v>
      </c>
      <c r="V394" s="106">
        <f>SUM('Upload Detail'!V644:V645)</f>
        <v>0</v>
      </c>
      <c r="W394" s="106">
        <f>SUM('Upload Detail'!W644:W645)</f>
        <v>0</v>
      </c>
    </row>
    <row r="395" spans="1:25" s="1693" customFormat="1">
      <c r="A395" s="1693" t="s">
        <v>3767</v>
      </c>
      <c r="B395" s="1693" t="str">
        <f t="shared" si="11"/>
        <v>X10_11032_00494</v>
      </c>
      <c r="C395" s="1693" t="str">
        <f t="shared" si="12"/>
        <v>LE_XXXX</v>
      </c>
      <c r="D395" s="1693" t="s">
        <v>2886</v>
      </c>
      <c r="E395" s="1693" t="s">
        <v>719</v>
      </c>
      <c r="F395" s="1693" t="s">
        <v>731</v>
      </c>
      <c r="G395" s="1693" t="s">
        <v>2889</v>
      </c>
      <c r="H395" s="1693" t="s">
        <v>145</v>
      </c>
      <c r="I395" s="1693" t="s">
        <v>146</v>
      </c>
      <c r="J395" s="1693" t="s">
        <v>147</v>
      </c>
      <c r="K395" s="106" t="str">
        <f>+"FY"&amp;RIGHT(YEAR('Hyperion Panel'!$B$9)+5,2)</f>
        <v>FY15</v>
      </c>
      <c r="L395" s="1693">
        <f>SUM('Upload Detail'!L647:L648)</f>
        <v>65</v>
      </c>
      <c r="M395" s="1693">
        <f>SUM('Upload Detail'!M647:M648)</f>
        <v>65</v>
      </c>
      <c r="N395" s="1693">
        <f>SUM('Upload Detail'!N647:N648)</f>
        <v>65</v>
      </c>
      <c r="O395" s="1693">
        <f>SUM('Upload Detail'!O647:O648)</f>
        <v>65</v>
      </c>
      <c r="P395" s="1693">
        <f>SUM('Upload Detail'!P647:P648)</f>
        <v>65</v>
      </c>
      <c r="Q395" s="1693">
        <f>SUM('Upload Detail'!Q647:Q648)</f>
        <v>65</v>
      </c>
      <c r="R395" s="1693">
        <f>SUM('Upload Detail'!R647:R648)</f>
        <v>65</v>
      </c>
      <c r="S395" s="1693">
        <f>SUM('Upload Detail'!S647:S648)</f>
        <v>65</v>
      </c>
      <c r="T395" s="1693">
        <f>SUM('Upload Detail'!T647:T648)</f>
        <v>65</v>
      </c>
      <c r="U395" s="1693">
        <f>SUM('Upload Detail'!U647:U648)</f>
        <v>65</v>
      </c>
      <c r="V395" s="1693">
        <f>SUM('Upload Detail'!V647:V648)</f>
        <v>0</v>
      </c>
      <c r="W395" s="1693">
        <f>SUM('Upload Detail'!W647:W648)</f>
        <v>0</v>
      </c>
    </row>
    <row r="396" spans="1:25" s="106" customFormat="1">
      <c r="A396" s="106" t="s">
        <v>163</v>
      </c>
      <c r="B396" s="106" t="str">
        <f t="shared" si="11"/>
        <v>X10_11032_00494</v>
      </c>
      <c r="C396" s="106" t="str">
        <f t="shared" si="12"/>
        <v>LE_XXXX</v>
      </c>
      <c r="D396" s="106" t="s">
        <v>2886</v>
      </c>
      <c r="E396" s="106">
        <v>3010</v>
      </c>
      <c r="F396" s="106" t="s">
        <v>2888</v>
      </c>
      <c r="G396" s="106" t="s">
        <v>2889</v>
      </c>
      <c r="H396" s="106" t="s">
        <v>145</v>
      </c>
      <c r="I396" s="106" t="s">
        <v>146</v>
      </c>
      <c r="J396" s="106" t="s">
        <v>147</v>
      </c>
      <c r="K396" s="106" t="str">
        <f>+"FY"&amp;RIGHT(YEAR('Hyperion Panel'!$B$9)+5,2)</f>
        <v>FY15</v>
      </c>
      <c r="L396" s="106">
        <f>SUM('Upload Detail'!L650:L651)</f>
        <v>177862.93422612501</v>
      </c>
      <c r="M396" s="106">
        <f>SUM('Upload Detail'!M650:M651)</f>
        <v>177862.93422612501</v>
      </c>
      <c r="N396" s="106">
        <f>SUM('Upload Detail'!N650:N651)</f>
        <v>177862.93422612501</v>
      </c>
      <c r="O396" s="106">
        <f>SUM('Upload Detail'!O650:O651)</f>
        <v>177862.93422612501</v>
      </c>
      <c r="P396" s="106">
        <f>SUM('Upload Detail'!P650:P651)</f>
        <v>177862.93422612501</v>
      </c>
      <c r="Q396" s="106">
        <f>SUM('Upload Detail'!Q650:Q651)</f>
        <v>177862.93422612501</v>
      </c>
      <c r="R396" s="106">
        <f>SUM('Upload Detail'!R650:R651)</f>
        <v>177862.93422612501</v>
      </c>
      <c r="S396" s="106">
        <f>SUM('Upload Detail'!S650:S651)</f>
        <v>177862.93422612501</v>
      </c>
      <c r="T396" s="106">
        <f>SUM('Upload Detail'!T650:T651)</f>
        <v>177862.93422612501</v>
      </c>
      <c r="U396" s="106">
        <f>SUM('Upload Detail'!U650:U651)</f>
        <v>177862.93422612501</v>
      </c>
      <c r="V396" s="106">
        <f>SUM('Upload Detail'!V650:V651)</f>
        <v>0</v>
      </c>
      <c r="W396" s="106">
        <f>SUM('Upload Detail'!W650:W651)</f>
        <v>0</v>
      </c>
    </row>
    <row r="397" spans="1:25" s="106" customFormat="1">
      <c r="A397" s="106" t="s">
        <v>164</v>
      </c>
      <c r="B397" s="106" t="str">
        <f t="shared" si="11"/>
        <v>X10_11032_00494</v>
      </c>
      <c r="C397" s="106" t="str">
        <f t="shared" si="12"/>
        <v>LE_XXXX</v>
      </c>
      <c r="D397" s="106" t="s">
        <v>2886</v>
      </c>
      <c r="E397" s="106">
        <v>3030</v>
      </c>
      <c r="F397" s="106" t="s">
        <v>150</v>
      </c>
      <c r="G397" s="106" t="s">
        <v>2889</v>
      </c>
      <c r="H397" s="106" t="s">
        <v>145</v>
      </c>
      <c r="I397" s="106" t="s">
        <v>146</v>
      </c>
      <c r="J397" s="106" t="s">
        <v>147</v>
      </c>
      <c r="K397" s="106" t="str">
        <f>+"FY"&amp;RIGHT(YEAR('Hyperion Panel'!$B$9)+5,2)</f>
        <v>FY15</v>
      </c>
      <c r="L397" s="106">
        <f>SUM('Upload Detail'!L653:L654)</f>
        <v>126852.80136279485</v>
      </c>
      <c r="M397" s="106">
        <f>SUM('Upload Detail'!M653:M654)</f>
        <v>126852.80136279485</v>
      </c>
      <c r="N397" s="106">
        <f>SUM('Upload Detail'!N653:N654)</f>
        <v>126852.80136279485</v>
      </c>
      <c r="O397" s="106">
        <f>SUM('Upload Detail'!O653:O654)</f>
        <v>126852.80136279485</v>
      </c>
      <c r="P397" s="106">
        <f>SUM('Upload Detail'!P653:P654)</f>
        <v>126852.80136279485</v>
      </c>
      <c r="Q397" s="106">
        <f>SUM('Upload Detail'!Q653:Q654)</f>
        <v>126852.80136279485</v>
      </c>
      <c r="R397" s="106">
        <f>SUM('Upload Detail'!R653:R654)</f>
        <v>126852.80136279485</v>
      </c>
      <c r="S397" s="106">
        <f>SUM('Upload Detail'!S653:S654)</f>
        <v>126852.80136279485</v>
      </c>
      <c r="T397" s="106">
        <f>SUM('Upload Detail'!T653:T654)</f>
        <v>126852.80136279485</v>
      </c>
      <c r="U397" s="106">
        <f>SUM('Upload Detail'!U653:U654)</f>
        <v>126852.80136279485</v>
      </c>
      <c r="V397" s="106">
        <f>SUM('Upload Detail'!V653:V654)</f>
        <v>0</v>
      </c>
      <c r="W397" s="106">
        <f>SUM('Upload Detail'!W653:W654)</f>
        <v>0</v>
      </c>
    </row>
    <row r="398" spans="1:25" s="1693" customFormat="1">
      <c r="A398" s="1693" t="s">
        <v>3768</v>
      </c>
      <c r="B398" s="1693" t="str">
        <f t="shared" si="11"/>
        <v>X10_11032_00494</v>
      </c>
      <c r="C398" s="1693" t="str">
        <f t="shared" si="12"/>
        <v>LE_XXXX</v>
      </c>
      <c r="D398" s="1693" t="s">
        <v>2886</v>
      </c>
      <c r="E398" s="1693">
        <v>3050</v>
      </c>
      <c r="F398" s="1693" t="s">
        <v>731</v>
      </c>
      <c r="G398" s="1693" t="s">
        <v>2889</v>
      </c>
      <c r="H398" s="1693" t="s">
        <v>145</v>
      </c>
      <c r="I398" s="1693" t="s">
        <v>146</v>
      </c>
      <c r="J398" s="1693" t="s">
        <v>147</v>
      </c>
      <c r="K398" s="106" t="str">
        <f>+"FY"&amp;RIGHT(YEAR('Hyperion Panel'!$B$9)+5,2)</f>
        <v>FY15</v>
      </c>
      <c r="L398" s="1693">
        <f>SUM('Upload Detail'!L656:L657)</f>
        <v>17222.44873882411</v>
      </c>
      <c r="M398" s="1693">
        <f>SUM('Upload Detail'!M656:M657)</f>
        <v>17222.44873882411</v>
      </c>
      <c r="N398" s="1693">
        <f>SUM('Upload Detail'!N656:N657)</f>
        <v>17222.44873882411</v>
      </c>
      <c r="O398" s="1693">
        <f>SUM('Upload Detail'!O656:O657)</f>
        <v>17222.44873882411</v>
      </c>
      <c r="P398" s="1693">
        <f>SUM('Upload Detail'!P656:P657)</f>
        <v>17222.44873882411</v>
      </c>
      <c r="Q398" s="1693">
        <f>SUM('Upload Detail'!Q656:Q657)</f>
        <v>17222.44873882411</v>
      </c>
      <c r="R398" s="1693">
        <f>SUM('Upload Detail'!R656:R657)</f>
        <v>17222.44873882411</v>
      </c>
      <c r="S398" s="1693">
        <f>SUM('Upload Detail'!S656:S657)</f>
        <v>17222.44873882411</v>
      </c>
      <c r="T398" s="1693">
        <f>SUM('Upload Detail'!T656:T657)</f>
        <v>17222.44873882411</v>
      </c>
      <c r="U398" s="1693">
        <f>SUM('Upload Detail'!U656:U657)</f>
        <v>17222.44873882411</v>
      </c>
      <c r="V398" s="1693">
        <f>SUM('Upload Detail'!V656:V657)</f>
        <v>0</v>
      </c>
      <c r="W398" s="1693">
        <f>SUM('Upload Detail'!W656:W657)</f>
        <v>0</v>
      </c>
    </row>
    <row r="399" spans="1:25">
      <c r="A399" t="s">
        <v>2651</v>
      </c>
      <c r="B399" t="str">
        <f t="shared" si="11"/>
        <v>X10_11032_00494</v>
      </c>
      <c r="C399" t="str">
        <f t="shared" si="12"/>
        <v>LE_XXXX</v>
      </c>
      <c r="D399" t="s">
        <v>2886</v>
      </c>
      <c r="E399">
        <v>6010</v>
      </c>
      <c r="F399" t="s">
        <v>2888</v>
      </c>
      <c r="G399" t="s">
        <v>153</v>
      </c>
      <c r="H399" t="s">
        <v>154</v>
      </c>
      <c r="I399" t="s">
        <v>146</v>
      </c>
      <c r="J399" t="s">
        <v>147</v>
      </c>
      <c r="K399" t="str">
        <f>+"FY"&amp;RIGHT(YEAR('Hyperion Panel'!$B$9)+5,2)</f>
        <v>FY15</v>
      </c>
      <c r="L399">
        <f>'Upload Detail'!L658</f>
        <v>43556.948751159733</v>
      </c>
      <c r="M399">
        <f>'Upload Detail'!M658</f>
        <v>43556.948751159733</v>
      </c>
      <c r="N399">
        <f>'Upload Detail'!N658</f>
        <v>43556.948751159733</v>
      </c>
      <c r="O399">
        <f>'Upload Detail'!O658</f>
        <v>43556.948751159733</v>
      </c>
      <c r="P399">
        <f>'Upload Detail'!P658</f>
        <v>43556.948751159733</v>
      </c>
      <c r="Q399">
        <f>'Upload Detail'!Q658</f>
        <v>43556.948751159733</v>
      </c>
      <c r="R399">
        <f>'Upload Detail'!R658</f>
        <v>43556.948751159733</v>
      </c>
      <c r="S399">
        <f>'Upload Detail'!S658</f>
        <v>43556.948751159733</v>
      </c>
      <c r="T399">
        <f>'Upload Detail'!T658</f>
        <v>43556.948751159733</v>
      </c>
      <c r="U399">
        <f>'Upload Detail'!U658</f>
        <v>43556.948751159733</v>
      </c>
      <c r="V399">
        <f>'Upload Detail'!V658</f>
        <v>0</v>
      </c>
      <c r="W399">
        <f>'Upload Detail'!W658</f>
        <v>0</v>
      </c>
    </row>
    <row r="400" spans="1:25">
      <c r="A400" t="s">
        <v>2652</v>
      </c>
      <c r="B400" t="str">
        <f t="shared" si="11"/>
        <v>X10_11032_00494</v>
      </c>
      <c r="C400" t="str">
        <f t="shared" si="12"/>
        <v>LE_XXXX</v>
      </c>
      <c r="D400" t="s">
        <v>2886</v>
      </c>
      <c r="E400">
        <v>6010</v>
      </c>
      <c r="F400" t="s">
        <v>2888</v>
      </c>
      <c r="G400" t="s">
        <v>155</v>
      </c>
      <c r="H400" t="s">
        <v>154</v>
      </c>
      <c r="I400" t="s">
        <v>146</v>
      </c>
      <c r="J400" t="s">
        <v>147</v>
      </c>
      <c r="K400" t="str">
        <f>+"FY"&amp;RIGHT(YEAR('Hyperion Panel'!$B$9)+5,2)</f>
        <v>FY15</v>
      </c>
      <c r="L400">
        <f>'Upload Detail'!L659</f>
        <v>16651.90284395</v>
      </c>
      <c r="M400">
        <f>'Upload Detail'!M659</f>
        <v>16651.90284395</v>
      </c>
      <c r="N400">
        <f>'Upload Detail'!N659</f>
        <v>16651.90284395</v>
      </c>
      <c r="O400">
        <f>'Upload Detail'!O659</f>
        <v>16651.90284395</v>
      </c>
      <c r="P400">
        <f>'Upload Detail'!P659</f>
        <v>16651.90284395</v>
      </c>
      <c r="Q400">
        <f>'Upload Detail'!Q659</f>
        <v>16651.90284395</v>
      </c>
      <c r="R400">
        <f>'Upload Detail'!R659</f>
        <v>16651.90284395</v>
      </c>
      <c r="S400">
        <f>'Upload Detail'!S659</f>
        <v>16651.90284395</v>
      </c>
      <c r="T400">
        <f>'Upload Detail'!T659</f>
        <v>16651.90284395</v>
      </c>
      <c r="U400">
        <f>'Upload Detail'!U659</f>
        <v>16651.90284395</v>
      </c>
      <c r="V400">
        <f>'Upload Detail'!V659</f>
        <v>0</v>
      </c>
      <c r="W400">
        <f>'Upload Detail'!W659</f>
        <v>0</v>
      </c>
    </row>
    <row r="401" spans="1:25">
      <c r="A401" t="s">
        <v>2653</v>
      </c>
      <c r="B401" t="str">
        <f t="shared" si="11"/>
        <v>X10_11032_00494</v>
      </c>
      <c r="C401" t="str">
        <f t="shared" si="12"/>
        <v>LE_XXXX</v>
      </c>
      <c r="D401" t="s">
        <v>2886</v>
      </c>
      <c r="E401">
        <v>6051</v>
      </c>
      <c r="F401" t="s">
        <v>2888</v>
      </c>
      <c r="G401" t="s">
        <v>153</v>
      </c>
      <c r="H401" t="s">
        <v>154</v>
      </c>
      <c r="I401" t="s">
        <v>146</v>
      </c>
      <c r="J401" t="s">
        <v>147</v>
      </c>
      <c r="K401" t="str">
        <f>+"FY"&amp;RIGHT(YEAR('Hyperion Panel'!$B$9)+5,2)</f>
        <v>FY15</v>
      </c>
      <c r="L401">
        <f>'Upload Detail'!L660</f>
        <v>21261.681231804134</v>
      </c>
      <c r="M401">
        <f>'Upload Detail'!M660</f>
        <v>21261.681231804134</v>
      </c>
      <c r="N401">
        <f>'Upload Detail'!N660</f>
        <v>21261.681231804134</v>
      </c>
      <c r="O401">
        <f>'Upload Detail'!O660</f>
        <v>21261.681231804134</v>
      </c>
      <c r="P401">
        <f>'Upload Detail'!P660</f>
        <v>21261.681231804134</v>
      </c>
      <c r="Q401">
        <f>'Upload Detail'!Q660</f>
        <v>21261.681231804134</v>
      </c>
      <c r="R401">
        <f>'Upload Detail'!R660</f>
        <v>21261.681231804134</v>
      </c>
      <c r="S401">
        <f>'Upload Detail'!S660</f>
        <v>21261.681231804134</v>
      </c>
      <c r="T401">
        <f>'Upload Detail'!T660</f>
        <v>21261.681231804134</v>
      </c>
      <c r="U401">
        <f>'Upload Detail'!U660</f>
        <v>21261.681231804134</v>
      </c>
      <c r="V401">
        <f>'Upload Detail'!V660</f>
        <v>0</v>
      </c>
      <c r="W401">
        <f>'Upload Detail'!W660</f>
        <v>0</v>
      </c>
    </row>
    <row r="402" spans="1:25">
      <c r="A402" t="s">
        <v>2654</v>
      </c>
      <c r="B402" t="str">
        <f t="shared" si="11"/>
        <v>X10_11032_00494</v>
      </c>
      <c r="C402" t="str">
        <f t="shared" si="12"/>
        <v>LE_XXXX</v>
      </c>
      <c r="D402" t="s">
        <v>2886</v>
      </c>
      <c r="E402">
        <v>6011</v>
      </c>
      <c r="F402" t="s">
        <v>2888</v>
      </c>
      <c r="G402" t="s">
        <v>153</v>
      </c>
      <c r="H402" t="s">
        <v>154</v>
      </c>
      <c r="I402" t="s">
        <v>146</v>
      </c>
      <c r="J402" t="s">
        <v>147</v>
      </c>
      <c r="K402" t="str">
        <f>+"FY"&amp;RIGHT(YEAR('Hyperion Panel'!$B$9)+5,2)</f>
        <v>FY15</v>
      </c>
      <c r="L402">
        <f>'Upload Detail'!L661</f>
        <v>0</v>
      </c>
      <c r="M402">
        <f>'Upload Detail'!M661</f>
        <v>0</v>
      </c>
      <c r="N402">
        <f>'Upload Detail'!N661</f>
        <v>0</v>
      </c>
      <c r="O402">
        <f>'Upload Detail'!O661</f>
        <v>0</v>
      </c>
      <c r="P402">
        <f>'Upload Detail'!P661</f>
        <v>0</v>
      </c>
      <c r="Q402">
        <f>'Upload Detail'!Q661</f>
        <v>0</v>
      </c>
      <c r="R402">
        <f>'Upload Detail'!R661</f>
        <v>0</v>
      </c>
      <c r="S402">
        <f>'Upload Detail'!S661</f>
        <v>0</v>
      </c>
      <c r="T402">
        <f>'Upload Detail'!T661</f>
        <v>0</v>
      </c>
      <c r="U402">
        <f>'Upload Detail'!U661</f>
        <v>0</v>
      </c>
      <c r="V402">
        <f>'Upload Detail'!V661</f>
        <v>0</v>
      </c>
      <c r="W402">
        <f>'Upload Detail'!W661</f>
        <v>0</v>
      </c>
    </row>
    <row r="403" spans="1:25">
      <c r="A403" t="s">
        <v>3696</v>
      </c>
      <c r="B403" t="str">
        <f t="shared" si="11"/>
        <v>X10_11032_00494</v>
      </c>
      <c r="C403" t="str">
        <f t="shared" si="12"/>
        <v>LE_XXXX</v>
      </c>
      <c r="D403" t="s">
        <v>2886</v>
      </c>
      <c r="E403">
        <v>6600</v>
      </c>
      <c r="F403" t="s">
        <v>2888</v>
      </c>
      <c r="G403" t="s">
        <v>2889</v>
      </c>
      <c r="H403" t="s">
        <v>154</v>
      </c>
      <c r="I403" t="s">
        <v>146</v>
      </c>
      <c r="J403" t="s">
        <v>147</v>
      </c>
      <c r="K403" t="str">
        <f>+"FY"&amp;RIGHT(YEAR('Hyperion Panel'!$B$9)+5,2)</f>
        <v>FY15</v>
      </c>
      <c r="L403">
        <f>'Upload Detail'!L662</f>
        <v>57324.402981826854</v>
      </c>
      <c r="M403">
        <f>'Upload Detail'!M662</f>
        <v>57324.402981826854</v>
      </c>
      <c r="N403">
        <f>'Upload Detail'!N662</f>
        <v>57324.402981826854</v>
      </c>
      <c r="O403">
        <f>'Upload Detail'!O662</f>
        <v>57324.402981826854</v>
      </c>
      <c r="P403">
        <f>'Upload Detail'!P662</f>
        <v>57324.402981826854</v>
      </c>
      <c r="Q403">
        <f>'Upload Detail'!Q662</f>
        <v>57324.402981826854</v>
      </c>
      <c r="R403">
        <f>'Upload Detail'!R662</f>
        <v>57324.402981826854</v>
      </c>
      <c r="S403">
        <f>'Upload Detail'!S662</f>
        <v>57324.402981826854</v>
      </c>
      <c r="T403">
        <f>'Upload Detail'!T662</f>
        <v>57324.402981826854</v>
      </c>
      <c r="U403">
        <f>'Upload Detail'!U662</f>
        <v>57324.402981826854</v>
      </c>
      <c r="V403">
        <f>'Upload Detail'!V662</f>
        <v>0</v>
      </c>
      <c r="W403">
        <f>'Upload Detail'!W662</f>
        <v>0</v>
      </c>
    </row>
    <row r="404" spans="1:25">
      <c r="A404" t="s">
        <v>1381</v>
      </c>
      <c r="B404" t="str">
        <f t="shared" si="11"/>
        <v>X10_11032_00494</v>
      </c>
      <c r="C404" t="str">
        <f t="shared" si="12"/>
        <v>LE_XXXX</v>
      </c>
      <c r="D404" t="s">
        <v>2886</v>
      </c>
      <c r="E404">
        <v>6800</v>
      </c>
      <c r="F404" t="s">
        <v>156</v>
      </c>
      <c r="G404" t="s">
        <v>2889</v>
      </c>
      <c r="H404" t="s">
        <v>154</v>
      </c>
      <c r="I404" t="s">
        <v>146</v>
      </c>
      <c r="J404" t="s">
        <v>147</v>
      </c>
      <c r="K404" t="str">
        <f>+"FY"&amp;RIGHT(YEAR('Hyperion Panel'!$B$9)+5,2)</f>
        <v>FY15</v>
      </c>
      <c r="L404">
        <f>'Upload Detail'!L663</f>
        <v>22089.25237332582</v>
      </c>
      <c r="M404">
        <f>'Upload Detail'!M663</f>
        <v>22089.25237332582</v>
      </c>
      <c r="N404">
        <f>'Upload Detail'!N663</f>
        <v>22089.25237332582</v>
      </c>
      <c r="O404">
        <f>'Upload Detail'!O663</f>
        <v>22089.25237332582</v>
      </c>
      <c r="P404">
        <f>'Upload Detail'!P663</f>
        <v>22089.25237332582</v>
      </c>
      <c r="Q404">
        <f>'Upload Detail'!Q663</f>
        <v>22089.25237332582</v>
      </c>
      <c r="R404">
        <f>'Upload Detail'!R663</f>
        <v>22089.25237332582</v>
      </c>
      <c r="S404">
        <f>'Upload Detail'!S663</f>
        <v>22089.25237332582</v>
      </c>
      <c r="T404">
        <f>'Upload Detail'!T663</f>
        <v>22089.25237332582</v>
      </c>
      <c r="U404">
        <f>'Upload Detail'!U663</f>
        <v>22089.25237332582</v>
      </c>
      <c r="V404">
        <f>'Upload Detail'!V663</f>
        <v>0</v>
      </c>
      <c r="W404">
        <f>'Upload Detail'!W663</f>
        <v>0</v>
      </c>
    </row>
    <row r="405" spans="1:25">
      <c r="A405" t="s">
        <v>3697</v>
      </c>
      <c r="B405" t="str">
        <f t="shared" si="11"/>
        <v>X10_11032_00494</v>
      </c>
      <c r="C405" t="str">
        <f t="shared" si="12"/>
        <v>LE_XXXX</v>
      </c>
      <c r="D405" t="s">
        <v>2886</v>
      </c>
      <c r="E405">
        <v>8600</v>
      </c>
      <c r="F405" t="s">
        <v>156</v>
      </c>
      <c r="G405" t="s">
        <v>2889</v>
      </c>
      <c r="H405" t="s">
        <v>154</v>
      </c>
      <c r="I405" t="s">
        <v>146</v>
      </c>
      <c r="J405" t="s">
        <v>147</v>
      </c>
      <c r="K405" t="str">
        <f>+"FY"&amp;RIGHT(YEAR('Hyperion Panel'!$B$9)+5,2)</f>
        <v>FY15</v>
      </c>
      <c r="L405">
        <f>'Upload Detail'!L664</f>
        <v>18542.746389661901</v>
      </c>
      <c r="M405">
        <f>'Upload Detail'!M664</f>
        <v>18542.746389661901</v>
      </c>
      <c r="N405">
        <f>'Upload Detail'!N664</f>
        <v>18542.746389661901</v>
      </c>
      <c r="O405">
        <f>'Upload Detail'!O664</f>
        <v>18542.746389661901</v>
      </c>
      <c r="P405">
        <f>'Upload Detail'!P664</f>
        <v>18542.746389661901</v>
      </c>
      <c r="Q405">
        <f>'Upload Detail'!Q664</f>
        <v>18542.746389661901</v>
      </c>
      <c r="R405">
        <f>'Upload Detail'!R664</f>
        <v>18542.746389661901</v>
      </c>
      <c r="S405">
        <f>'Upload Detail'!S664</f>
        <v>18542.746389661901</v>
      </c>
      <c r="T405">
        <f>'Upload Detail'!T664</f>
        <v>18542.746389661901</v>
      </c>
      <c r="U405">
        <f>'Upload Detail'!U664</f>
        <v>18542.746389661901</v>
      </c>
      <c r="V405">
        <f>'Upload Detail'!V664</f>
        <v>0</v>
      </c>
      <c r="W405">
        <f>'Upload Detail'!W664</f>
        <v>0</v>
      </c>
    </row>
    <row r="406" spans="1:25">
      <c r="A406" t="s">
        <v>157</v>
      </c>
      <c r="B406" t="str">
        <f t="shared" si="11"/>
        <v>X10_11032_00494</v>
      </c>
      <c r="C406" t="str">
        <f t="shared" si="12"/>
        <v>LE_XXXX</v>
      </c>
      <c r="D406" t="s">
        <v>2886</v>
      </c>
      <c r="E406">
        <v>6720</v>
      </c>
      <c r="F406" t="s">
        <v>156</v>
      </c>
      <c r="G406" t="s">
        <v>2889</v>
      </c>
      <c r="H406" t="s">
        <v>154</v>
      </c>
      <c r="I406" t="s">
        <v>146</v>
      </c>
      <c r="J406" t="s">
        <v>147</v>
      </c>
      <c r="K406" t="str">
        <f>+"FY"&amp;RIGHT(YEAR('Hyperion Panel'!$B$9)+5,2)</f>
        <v>FY15</v>
      </c>
      <c r="L406">
        <f>'Upload Detail'!L665</f>
        <v>15833.32</v>
      </c>
      <c r="M406">
        <f>'Upload Detail'!M665</f>
        <v>15833.32</v>
      </c>
      <c r="N406">
        <f>'Upload Detail'!N665</f>
        <v>15833.32</v>
      </c>
      <c r="O406">
        <f>'Upload Detail'!O665</f>
        <v>15833.32</v>
      </c>
      <c r="P406">
        <f>'Upload Detail'!P665</f>
        <v>15833.32</v>
      </c>
      <c r="Q406">
        <f>'Upload Detail'!Q665</f>
        <v>15833.32</v>
      </c>
      <c r="R406">
        <f>'Upload Detail'!R665</f>
        <v>15833.32</v>
      </c>
      <c r="S406">
        <f>'Upload Detail'!S665</f>
        <v>15833.32</v>
      </c>
      <c r="T406">
        <f>'Upload Detail'!T665</f>
        <v>15833.32</v>
      </c>
      <c r="U406">
        <f>'Upload Detail'!U665</f>
        <v>15833.32</v>
      </c>
      <c r="V406">
        <f>'Upload Detail'!V665</f>
        <v>0</v>
      </c>
      <c r="W406">
        <f>'Upload Detail'!W665</f>
        <v>0</v>
      </c>
    </row>
    <row r="407" spans="1:25">
      <c r="A407" t="s">
        <v>3925</v>
      </c>
      <c r="B407" t="str">
        <f t="shared" si="11"/>
        <v>X10_11032_00494</v>
      </c>
      <c r="C407" t="str">
        <f t="shared" si="12"/>
        <v>LE_XXXX</v>
      </c>
      <c r="D407" t="s">
        <v>2886</v>
      </c>
      <c r="E407">
        <v>8110</v>
      </c>
      <c r="F407" t="s">
        <v>156</v>
      </c>
      <c r="G407" t="s">
        <v>2889</v>
      </c>
      <c r="H407" t="s">
        <v>154</v>
      </c>
      <c r="I407" t="s">
        <v>146</v>
      </c>
      <c r="J407" t="s">
        <v>147</v>
      </c>
      <c r="K407" t="str">
        <f>+"FY"&amp;RIGHT(YEAR('Hyperion Panel'!$B$9)+5,2)</f>
        <v>FY15</v>
      </c>
      <c r="L407">
        <f>'Upload Detail'!L666</f>
        <v>1175.82468135105</v>
      </c>
      <c r="M407">
        <f>'Upload Detail'!M666</f>
        <v>1175.82468135105</v>
      </c>
      <c r="N407">
        <f>'Upload Detail'!N666</f>
        <v>1175.82468135105</v>
      </c>
      <c r="O407">
        <f>'Upload Detail'!O666</f>
        <v>1175.82468135105</v>
      </c>
      <c r="P407">
        <f>'Upload Detail'!P666</f>
        <v>1175.82468135105</v>
      </c>
      <c r="Q407">
        <f>'Upload Detail'!Q666</f>
        <v>1175.82468135105</v>
      </c>
      <c r="R407">
        <f>'Upload Detail'!R666</f>
        <v>1175.82468135105</v>
      </c>
      <c r="S407">
        <f>'Upload Detail'!S666</f>
        <v>1175.82468135105</v>
      </c>
      <c r="T407">
        <f>'Upload Detail'!T666</f>
        <v>1175.82468135105</v>
      </c>
      <c r="U407">
        <f>'Upload Detail'!U666</f>
        <v>1175.82468135105</v>
      </c>
      <c r="V407">
        <f>'Upload Detail'!V666</f>
        <v>0</v>
      </c>
      <c r="W407">
        <f>'Upload Detail'!W666</f>
        <v>0</v>
      </c>
    </row>
    <row r="408" spans="1:25">
      <c r="A408" t="s">
        <v>3926</v>
      </c>
      <c r="B408" t="str">
        <f t="shared" si="11"/>
        <v>X10_11032_00494</v>
      </c>
      <c r="C408" t="str">
        <f t="shared" si="12"/>
        <v>LE_XXXX</v>
      </c>
      <c r="D408" t="s">
        <v>2886</v>
      </c>
      <c r="E408">
        <v>6412</v>
      </c>
      <c r="F408" t="s">
        <v>156</v>
      </c>
      <c r="G408" t="s">
        <v>2889</v>
      </c>
      <c r="H408" t="s">
        <v>154</v>
      </c>
      <c r="I408" t="s">
        <v>146</v>
      </c>
      <c r="J408" t="s">
        <v>147</v>
      </c>
      <c r="K408" t="str">
        <f>+"FY"&amp;RIGHT(YEAR('Hyperion Panel'!$B$9)+5,2)</f>
        <v>FY15</v>
      </c>
      <c r="L408">
        <f>'Upload Detail'!L667</f>
        <v>20895.042475531234</v>
      </c>
      <c r="M408">
        <f>'Upload Detail'!M667</f>
        <v>20895.042475531234</v>
      </c>
      <c r="N408">
        <f>'Upload Detail'!N667</f>
        <v>20895.042475531234</v>
      </c>
      <c r="O408">
        <f>'Upload Detail'!O667</f>
        <v>20895.042475531234</v>
      </c>
      <c r="P408">
        <f>'Upload Detail'!P667</f>
        <v>20895.042475531234</v>
      </c>
      <c r="Q408">
        <f>'Upload Detail'!Q667</f>
        <v>20895.042475531234</v>
      </c>
      <c r="R408">
        <f>'Upload Detail'!R667</f>
        <v>20895.042475531234</v>
      </c>
      <c r="S408">
        <f>'Upload Detail'!S667</f>
        <v>20895.042475531234</v>
      </c>
      <c r="T408">
        <f>'Upload Detail'!T667</f>
        <v>20895.042475531234</v>
      </c>
      <c r="U408">
        <f>'Upload Detail'!U667</f>
        <v>20895.042475531234</v>
      </c>
      <c r="V408">
        <f>'Upload Detail'!V667</f>
        <v>0</v>
      </c>
      <c r="W408">
        <f>'Upload Detail'!W667</f>
        <v>0</v>
      </c>
    </row>
    <row r="409" spans="1:25" s="104" customFormat="1">
      <c r="A409" s="104" t="s">
        <v>730</v>
      </c>
      <c r="B409" s="104" t="str">
        <f t="shared" si="11"/>
        <v>X10_11032_00494</v>
      </c>
      <c r="C409" s="104" t="str">
        <f t="shared" si="12"/>
        <v>LE_XXXX</v>
      </c>
      <c r="D409" s="104" t="s">
        <v>2886</v>
      </c>
      <c r="E409" s="104">
        <v>8110</v>
      </c>
      <c r="F409" s="104" t="s">
        <v>731</v>
      </c>
      <c r="G409" s="104" t="s">
        <v>2889</v>
      </c>
      <c r="H409" s="104" t="s">
        <v>154</v>
      </c>
      <c r="I409" s="104" t="s">
        <v>146</v>
      </c>
      <c r="J409" s="104" t="s">
        <v>147</v>
      </c>
      <c r="K409" t="str">
        <f>+"FY"&amp;RIGHT(YEAR('Hyperion Panel'!$B$9)+5,2)</f>
        <v>FY15</v>
      </c>
      <c r="L409" s="104">
        <f>'Upload Detail'!L668</f>
        <v>937.9240083333334</v>
      </c>
      <c r="M409" s="104">
        <f>'Upload Detail'!M668</f>
        <v>937.9240083333334</v>
      </c>
      <c r="N409" s="104">
        <f>'Upload Detail'!N668</f>
        <v>937.9240083333334</v>
      </c>
      <c r="O409" s="104">
        <f>'Upload Detail'!O668</f>
        <v>937.9240083333334</v>
      </c>
      <c r="P409" s="104">
        <f>'Upload Detail'!P668</f>
        <v>937.9240083333334</v>
      </c>
      <c r="Q409" s="104">
        <f>'Upload Detail'!Q668</f>
        <v>937.9240083333334</v>
      </c>
      <c r="R409" s="104">
        <f>'Upload Detail'!R668</f>
        <v>937.9240083333334</v>
      </c>
      <c r="S409" s="104">
        <f>'Upload Detail'!S668</f>
        <v>937.9240083333334</v>
      </c>
      <c r="T409" s="104">
        <f>'Upload Detail'!T668</f>
        <v>937.9240083333334</v>
      </c>
      <c r="U409" s="104">
        <f>'Upload Detail'!U668</f>
        <v>937.9240083333334</v>
      </c>
      <c r="V409" s="104">
        <f>'Upload Detail'!V668</f>
        <v>0</v>
      </c>
      <c r="W409" s="104">
        <f>'Upload Detail'!W668</f>
        <v>0</v>
      </c>
      <c r="Y409" s="1690"/>
    </row>
    <row r="410" spans="1:25" s="104" customFormat="1">
      <c r="A410" s="104" t="s">
        <v>732</v>
      </c>
      <c r="B410" s="104" t="str">
        <f t="shared" si="11"/>
        <v>X10_11032_00494</v>
      </c>
      <c r="C410" s="104" t="str">
        <f t="shared" si="12"/>
        <v>LE_XXXX</v>
      </c>
      <c r="D410" s="104" t="s">
        <v>2886</v>
      </c>
      <c r="F410" s="104" t="s">
        <v>731</v>
      </c>
      <c r="G410" s="104" t="s">
        <v>2889</v>
      </c>
      <c r="H410" s="104" t="s">
        <v>154</v>
      </c>
      <c r="I410" s="104" t="s">
        <v>146</v>
      </c>
      <c r="J410" s="104" t="s">
        <v>147</v>
      </c>
      <c r="K410" t="str">
        <f>+"FY"&amp;RIGHT(YEAR('Hyperion Panel'!$B$9)+5,2)</f>
        <v>FY15</v>
      </c>
      <c r="L410" s="104">
        <f>'Upload Detail'!L669</f>
        <v>0</v>
      </c>
      <c r="M410" s="104">
        <f>'Upload Detail'!M669</f>
        <v>0</v>
      </c>
      <c r="N410" s="104">
        <f>'Upload Detail'!N669</f>
        <v>0</v>
      </c>
      <c r="O410" s="104">
        <f>'Upload Detail'!O669</f>
        <v>0</v>
      </c>
      <c r="P410" s="104">
        <f>'Upload Detail'!P669</f>
        <v>0</v>
      </c>
      <c r="Q410" s="104">
        <f>'Upload Detail'!Q669</f>
        <v>0</v>
      </c>
      <c r="R410" s="104">
        <f>'Upload Detail'!R669</f>
        <v>0</v>
      </c>
      <c r="S410" s="104">
        <f>'Upload Detail'!S669</f>
        <v>0</v>
      </c>
      <c r="T410" s="104">
        <f>'Upload Detail'!T669</f>
        <v>0</v>
      </c>
      <c r="U410" s="104">
        <f>'Upload Detail'!U669</f>
        <v>0</v>
      </c>
      <c r="V410" s="104">
        <f>'Upload Detail'!V669</f>
        <v>0</v>
      </c>
      <c r="W410" s="104">
        <f>'Upload Detail'!W669</f>
        <v>0</v>
      </c>
      <c r="Y410" s="1690"/>
    </row>
    <row r="411" spans="1:25" s="104" customFormat="1">
      <c r="A411" s="104" t="s">
        <v>733</v>
      </c>
      <c r="B411" s="104" t="str">
        <f t="shared" si="11"/>
        <v>X10_11032_00494</v>
      </c>
      <c r="C411" s="104" t="str">
        <f t="shared" si="12"/>
        <v>LE_XXXX</v>
      </c>
      <c r="D411" s="104" t="s">
        <v>2886</v>
      </c>
      <c r="F411" s="104" t="s">
        <v>731</v>
      </c>
      <c r="G411" s="104" t="s">
        <v>2889</v>
      </c>
      <c r="H411" s="104" t="s">
        <v>154</v>
      </c>
      <c r="I411" s="104" t="s">
        <v>146</v>
      </c>
      <c r="J411" s="104" t="s">
        <v>147</v>
      </c>
      <c r="K411" t="str">
        <f>+"FY"&amp;RIGHT(YEAR('Hyperion Panel'!$B$9)+5,2)</f>
        <v>FY15</v>
      </c>
      <c r="L411" s="104">
        <f>'Upload Detail'!L670</f>
        <v>10434.6460224</v>
      </c>
      <c r="M411" s="104">
        <f>'Upload Detail'!M670</f>
        <v>10434.6460224</v>
      </c>
      <c r="N411" s="104">
        <f>'Upload Detail'!N670</f>
        <v>10434.6460224</v>
      </c>
      <c r="O411" s="104">
        <f>'Upload Detail'!O670</f>
        <v>10434.6460224</v>
      </c>
      <c r="P411" s="104">
        <f>'Upload Detail'!P670</f>
        <v>10434.6460224</v>
      </c>
      <c r="Q411" s="104">
        <f>'Upload Detail'!Q670</f>
        <v>10434.6460224</v>
      </c>
      <c r="R411" s="104">
        <f>'Upload Detail'!R670</f>
        <v>10434.6460224</v>
      </c>
      <c r="S411" s="104">
        <f>'Upload Detail'!S670</f>
        <v>10434.6460224</v>
      </c>
      <c r="T411" s="104">
        <f>'Upload Detail'!T670</f>
        <v>10434.6460224</v>
      </c>
      <c r="U411" s="104">
        <f>'Upload Detail'!U670</f>
        <v>10434.6460224</v>
      </c>
      <c r="V411" s="104">
        <f>'Upload Detail'!V670</f>
        <v>0</v>
      </c>
      <c r="W411" s="104">
        <f>'Upload Detail'!W670</f>
        <v>0</v>
      </c>
      <c r="Y411" s="1690"/>
    </row>
    <row r="412" spans="1:25" s="104" customFormat="1">
      <c r="A412" s="104" t="s">
        <v>734</v>
      </c>
      <c r="B412" s="104" t="str">
        <f t="shared" si="11"/>
        <v>X10_11032_00494</v>
      </c>
      <c r="C412" s="104" t="str">
        <f t="shared" si="12"/>
        <v>LE_XXXX</v>
      </c>
      <c r="D412" s="104" t="s">
        <v>2886</v>
      </c>
      <c r="E412" s="104">
        <v>6800</v>
      </c>
      <c r="F412" s="104" t="s">
        <v>731</v>
      </c>
      <c r="G412" s="104" t="s">
        <v>2889</v>
      </c>
      <c r="H412" s="104" t="s">
        <v>154</v>
      </c>
      <c r="I412" s="104" t="s">
        <v>146</v>
      </c>
      <c r="J412" s="104" t="s">
        <v>147</v>
      </c>
      <c r="K412" t="str">
        <f>+"FY"&amp;RIGHT(YEAR('Hyperion Panel'!$B$9)+5,2)</f>
        <v>FY15</v>
      </c>
      <c r="L412" s="104">
        <f>'Upload Detail'!L671</f>
        <v>1969.6404175</v>
      </c>
      <c r="M412" s="104">
        <f>'Upload Detail'!M671</f>
        <v>1969.6404175</v>
      </c>
      <c r="N412" s="104">
        <f>'Upload Detail'!N671</f>
        <v>1969.6404175</v>
      </c>
      <c r="O412" s="104">
        <f>'Upload Detail'!O671</f>
        <v>1969.6404175</v>
      </c>
      <c r="P412" s="104">
        <f>'Upload Detail'!P671</f>
        <v>1969.6404175</v>
      </c>
      <c r="Q412" s="104">
        <f>'Upload Detail'!Q671</f>
        <v>1969.6404175</v>
      </c>
      <c r="R412" s="104">
        <f>'Upload Detail'!R671</f>
        <v>1969.6404175</v>
      </c>
      <c r="S412" s="104">
        <f>'Upload Detail'!S671</f>
        <v>1969.6404175</v>
      </c>
      <c r="T412" s="104">
        <f>'Upload Detail'!T671</f>
        <v>1969.6404175</v>
      </c>
      <c r="U412" s="104">
        <f>'Upload Detail'!U671</f>
        <v>1969.6404175</v>
      </c>
      <c r="V412" s="104">
        <f>'Upload Detail'!V671</f>
        <v>0</v>
      </c>
      <c r="W412" s="104">
        <f>'Upload Detail'!W671</f>
        <v>0</v>
      </c>
      <c r="Y412" s="1690"/>
    </row>
    <row r="413" spans="1:25">
      <c r="A413" t="s">
        <v>158</v>
      </c>
      <c r="B413" t="str">
        <f t="shared" si="11"/>
        <v>X10_11032_00494</v>
      </c>
      <c r="C413" t="str">
        <f t="shared" si="12"/>
        <v>LE_XXXX</v>
      </c>
      <c r="D413" t="s">
        <v>2886</v>
      </c>
      <c r="E413" t="s">
        <v>159</v>
      </c>
      <c r="F413" t="s">
        <v>156</v>
      </c>
      <c r="G413" t="s">
        <v>2889</v>
      </c>
      <c r="H413" t="s">
        <v>154</v>
      </c>
      <c r="I413" t="s">
        <v>146</v>
      </c>
      <c r="J413" t="s">
        <v>147</v>
      </c>
      <c r="K413" t="str">
        <f>+"FY"&amp;RIGHT(YEAR('Hyperion Panel'!$B$9)+5,2)</f>
        <v>FY15</v>
      </c>
      <c r="L413" s="103">
        <f>'Upload Detail'!L672</f>
        <v>1</v>
      </c>
      <c r="M413" s="103">
        <f>'Upload Detail'!M672</f>
        <v>1</v>
      </c>
      <c r="N413" s="103">
        <f>'Upload Detail'!N672</f>
        <v>1</v>
      </c>
      <c r="O413" s="103">
        <f>'Upload Detail'!O672</f>
        <v>1</v>
      </c>
      <c r="P413" s="103">
        <f>'Upload Detail'!P672</f>
        <v>1</v>
      </c>
      <c r="Q413" s="103">
        <f>'Upload Detail'!Q672</f>
        <v>1</v>
      </c>
      <c r="R413" s="103">
        <f>'Upload Detail'!R672</f>
        <v>1</v>
      </c>
      <c r="S413" s="103">
        <f>'Upload Detail'!S672</f>
        <v>1</v>
      </c>
      <c r="T413" s="103">
        <f>'Upload Detail'!T672</f>
        <v>1</v>
      </c>
      <c r="U413" s="103">
        <f>'Upload Detail'!U672</f>
        <v>1</v>
      </c>
      <c r="V413" s="103">
        <f>'Upload Detail'!V672</f>
        <v>1</v>
      </c>
      <c r="W413" s="103">
        <f>'Upload Detail'!W672</f>
        <v>1</v>
      </c>
    </row>
    <row r="414" spans="1:25">
      <c r="A414" t="s">
        <v>160</v>
      </c>
      <c r="B414" t="str">
        <f t="shared" si="11"/>
        <v>X10_11032_00494</v>
      </c>
      <c r="C414" t="str">
        <f t="shared" si="12"/>
        <v>LE_XXXX</v>
      </c>
      <c r="D414" t="s">
        <v>2886</v>
      </c>
      <c r="E414" t="s">
        <v>161</v>
      </c>
      <c r="F414" t="s">
        <v>156</v>
      </c>
      <c r="G414" t="s">
        <v>2889</v>
      </c>
      <c r="H414" t="s">
        <v>154</v>
      </c>
      <c r="I414" t="s">
        <v>146</v>
      </c>
      <c r="J414" t="s">
        <v>147</v>
      </c>
      <c r="K414" t="str">
        <f>+"FY"&amp;RIGHT(YEAR('Hyperion Panel'!$B$9)+5,2)</f>
        <v>FY15</v>
      </c>
      <c r="L414">
        <f>'Upload Detail'!L673</f>
        <v>0</v>
      </c>
      <c r="M414">
        <f>'Upload Detail'!M673</f>
        <v>0</v>
      </c>
      <c r="N414">
        <f>'Upload Detail'!N673</f>
        <v>0</v>
      </c>
      <c r="O414">
        <f>'Upload Detail'!O673</f>
        <v>0</v>
      </c>
      <c r="P414">
        <f>'Upload Detail'!P673</f>
        <v>0</v>
      </c>
      <c r="Q414">
        <f>'Upload Detail'!Q673</f>
        <v>0</v>
      </c>
      <c r="R414">
        <f>'Upload Detail'!R673</f>
        <v>0</v>
      </c>
      <c r="S414">
        <f>'Upload Detail'!S673</f>
        <v>0</v>
      </c>
      <c r="T414">
        <f>'Upload Detail'!T673</f>
        <v>0</v>
      </c>
      <c r="U414">
        <f>'Upload Detail'!U673</f>
        <v>0</v>
      </c>
      <c r="V414">
        <f>'Upload Detail'!V673</f>
        <v>0</v>
      </c>
      <c r="W414">
        <f>'Upload Detail'!W673</f>
        <v>0</v>
      </c>
    </row>
    <row r="415" spans="1:25" s="104" customFormat="1">
      <c r="A415" s="104" t="s">
        <v>735</v>
      </c>
      <c r="B415" t="str">
        <f t="shared" si="11"/>
        <v>X10_11032_00494</v>
      </c>
      <c r="C415" t="str">
        <f t="shared" si="12"/>
        <v>LE_XXXX</v>
      </c>
      <c r="D415" t="s">
        <v>2886</v>
      </c>
      <c r="F415" s="104" t="s">
        <v>731</v>
      </c>
      <c r="G415" s="104" t="s">
        <v>2889</v>
      </c>
      <c r="H415" s="104" t="s">
        <v>154</v>
      </c>
      <c r="I415" s="104" t="s">
        <v>146</v>
      </c>
      <c r="J415" s="104" t="s">
        <v>147</v>
      </c>
      <c r="K415" t="str">
        <f>+"FY"&amp;RIGHT(YEAR('Hyperion Panel'!$B$9)+5,2)</f>
        <v>FY15</v>
      </c>
      <c r="L415" s="104">
        <f>'Upload Detail'!L674</f>
        <v>0</v>
      </c>
      <c r="M415" s="104">
        <f>'Upload Detail'!M674</f>
        <v>0</v>
      </c>
      <c r="N415" s="104">
        <f>'Upload Detail'!N674</f>
        <v>0</v>
      </c>
      <c r="O415" s="104">
        <f>'Upload Detail'!O674</f>
        <v>0</v>
      </c>
      <c r="P415" s="104">
        <f>'Upload Detail'!P674</f>
        <v>0</v>
      </c>
      <c r="Q415" s="104">
        <f>'Upload Detail'!Q674</f>
        <v>0</v>
      </c>
      <c r="R415" s="104">
        <f>'Upload Detail'!R674</f>
        <v>0</v>
      </c>
      <c r="S415" s="104">
        <f>'Upload Detail'!S674</f>
        <v>0</v>
      </c>
      <c r="T415" s="104">
        <f>'Upload Detail'!T674</f>
        <v>0</v>
      </c>
      <c r="U415" s="104">
        <f>'Upload Detail'!U674</f>
        <v>0</v>
      </c>
      <c r="V415" s="104">
        <f>'Upload Detail'!V674</f>
        <v>0</v>
      </c>
      <c r="W415" s="104">
        <f>'Upload Detail'!W674</f>
        <v>0</v>
      </c>
    </row>
  </sheetData>
  <sheetProtection password="CC45" sheet="1" objects="1" scenarios="1"/>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sheetPr codeName="Sheet27" enableFormatConditionsCalculation="0">
    <tabColor indexed="10"/>
  </sheetPr>
  <dimension ref="A1:Z674"/>
  <sheetViews>
    <sheetView showGridLines="0" zoomScale="75" workbookViewId="0">
      <pane xSplit="11" ySplit="1" topLeftCell="L2" activePane="bottomRight" state="frozen"/>
      <selection activeCell="B10" sqref="B10"/>
      <selection pane="topRight" activeCell="B10" sqref="B10"/>
      <selection pane="bottomLeft" activeCell="B10" sqref="B10"/>
      <selection pane="bottomRight" activeCell="L2" sqref="L2"/>
    </sheetView>
  </sheetViews>
  <sheetFormatPr defaultRowHeight="12.75" outlineLevelCol="1"/>
  <cols>
    <col min="1" max="1" width="41.85546875" bestFit="1" customWidth="1"/>
    <col min="2" max="2" width="14.42578125" customWidth="1"/>
    <col min="3" max="3" width="8.85546875" hidden="1" customWidth="1" outlineLevel="1"/>
    <col min="4" max="4" width="10" hidden="1" customWidth="1" outlineLevel="1"/>
    <col min="5" max="7" width="9.140625" hidden="1" customWidth="1" outlineLevel="1"/>
    <col min="8" max="8" width="11" hidden="1" customWidth="1" outlineLevel="1"/>
    <col min="9" max="9" width="13.42578125" hidden="1" customWidth="1" outlineLevel="1"/>
    <col min="10" max="10" width="9.140625" hidden="1" customWidth="1" outlineLevel="1"/>
    <col min="11" max="11" width="9.140625" collapsed="1"/>
    <col min="22" max="22" width="9.140625" style="404"/>
    <col min="24" max="24" width="2.7109375" customWidth="1"/>
    <col min="25" max="25" width="9.140625" style="45"/>
  </cols>
  <sheetData>
    <row r="1" spans="1:26">
      <c r="B1" t="s">
        <v>3631</v>
      </c>
      <c r="C1" t="s">
        <v>3632</v>
      </c>
      <c r="D1" t="s">
        <v>3633</v>
      </c>
      <c r="E1" t="s">
        <v>3634</v>
      </c>
      <c r="F1" t="s">
        <v>3635</v>
      </c>
      <c r="G1" t="s">
        <v>3636</v>
      </c>
      <c r="H1" t="s">
        <v>3637</v>
      </c>
      <c r="I1" t="s">
        <v>3638</v>
      </c>
      <c r="J1" t="s">
        <v>1959</v>
      </c>
      <c r="K1" t="s">
        <v>3639</v>
      </c>
      <c r="L1" t="s">
        <v>3640</v>
      </c>
      <c r="M1" t="s">
        <v>3641</v>
      </c>
      <c r="N1" t="s">
        <v>3642</v>
      </c>
      <c r="O1" t="s">
        <v>3643</v>
      </c>
      <c r="P1" t="s">
        <v>3644</v>
      </c>
      <c r="Q1" t="s">
        <v>3645</v>
      </c>
      <c r="R1" t="s">
        <v>3646</v>
      </c>
      <c r="S1" t="s">
        <v>3647</v>
      </c>
      <c r="T1" t="s">
        <v>3648</v>
      </c>
      <c r="U1" t="s">
        <v>3649</v>
      </c>
      <c r="V1" s="45" t="s">
        <v>3650</v>
      </c>
      <c r="W1" t="s">
        <v>3651</v>
      </c>
      <c r="Y1" s="96" t="s">
        <v>168</v>
      </c>
      <c r="Z1" s="97"/>
    </row>
    <row r="2" spans="1:26" s="98" customFormat="1" ht="12.75" customHeight="1">
      <c r="A2" s="98" t="s">
        <v>2885</v>
      </c>
      <c r="B2" s="98" t="str">
        <f>+LEFT('Hyperion Panel'!$B$5,1)&amp;RIGHT(YEAR('Hyperion Panel'!$B$9),2)&amp;"_"&amp;IF(LEN('Hyperion Panel'!$B$6)&lt;4,0,"")&amp;'Hyperion Panel'!$B$6</f>
        <v>D10_11032</v>
      </c>
      <c r="C2" s="98" t="str">
        <f>+'Hyperion Panel'!$B$8</f>
        <v>LE_XXXX</v>
      </c>
      <c r="D2" s="98" t="s">
        <v>2886</v>
      </c>
      <c r="E2" s="98" t="s">
        <v>2887</v>
      </c>
      <c r="F2" s="98" t="s">
        <v>2888</v>
      </c>
      <c r="G2" s="98" t="s">
        <v>2889</v>
      </c>
      <c r="H2" s="98" t="s">
        <v>145</v>
      </c>
      <c r="I2" s="98" t="s">
        <v>146</v>
      </c>
      <c r="J2" s="98" t="s">
        <v>147</v>
      </c>
      <c r="K2" s="45" t="str">
        <f>+"FY"&amp;RIGHT(YEAR('Hyperion Panel'!$B$9),2)</f>
        <v>FY10</v>
      </c>
      <c r="L2" s="1697"/>
      <c r="M2" s="1697"/>
      <c r="N2" s="1697"/>
      <c r="O2" s="1697"/>
      <c r="P2" s="1697"/>
      <c r="Q2" s="1697"/>
      <c r="R2" s="1697"/>
      <c r="S2" s="1697"/>
      <c r="T2" s="1697"/>
      <c r="U2" s="1697"/>
      <c r="V2" s="1697"/>
      <c r="W2" s="1697"/>
      <c r="Y2" s="99"/>
      <c r="Z2" s="97"/>
    </row>
    <row r="3" spans="1:26" s="98" customFormat="1" ht="12.75" customHeight="1">
      <c r="A3" s="100" t="s">
        <v>463</v>
      </c>
      <c r="L3" s="1697">
        <f>+IF(COLUMNS($L3:L3)&lt;month,0,VLOOKUP("Month "&amp;(COLUMNS($L3:L3)-month+1),DeNovo_Tx,3,FALSE)*52*3/12*(1-hemomiss))</f>
        <v>0</v>
      </c>
      <c r="M3" s="1697">
        <f>+IF(COLUMNS($L3:M3)&lt;month,0,VLOOKUP("Month "&amp;(COLUMNS($L3:M3)-month+1),DeNovo_Tx,3,FALSE)*52*3/12*(1-hemomiss))</f>
        <v>0</v>
      </c>
      <c r="N3" s="1697">
        <f>+IF(COLUMNS($L3:N3)&lt;month,0,VLOOKUP("Month "&amp;(COLUMNS($L3:N3)-month+1),DeNovo_Tx,3,FALSE)*52*3/12*(1-hemomiss))</f>
        <v>0</v>
      </c>
      <c r="O3" s="1697">
        <f>+IF(COLUMNS($L3:O3)&lt;month,0,VLOOKUP("Month "&amp;(COLUMNS($L3:O3)-month+1),DeNovo_Tx,3,FALSE)*52*3/12*(1-hemomiss))</f>
        <v>0</v>
      </c>
      <c r="P3" s="1697">
        <f>+IF(COLUMNS($L3:P3)&lt;month,0,VLOOKUP("Month "&amp;(COLUMNS($L3:P3)-month+1),DeNovo_Tx,3,FALSE)*52*3/12*(1-hemomiss))</f>
        <v>0</v>
      </c>
      <c r="Q3" s="1697">
        <f>+IF(COLUMNS($L3:Q3)&lt;month,0,VLOOKUP("Month "&amp;(COLUMNS($L3:Q3)-month+1),DeNovo_Tx,3,FALSE)*52*3/12*(1-hemomiss))</f>
        <v>0</v>
      </c>
      <c r="R3" s="1697">
        <f>+IF(COLUMNS($L3:R3)&lt;month,0,VLOOKUP("Month "&amp;(COLUMNS($L3:R3)-month+1),DeNovo_Tx,3,FALSE)*52*3/12*(1-hemomiss))</f>
        <v>0</v>
      </c>
      <c r="S3" s="1697">
        <f>+IF(COLUMNS($L3:S3)&lt;month,0,VLOOKUP("Month "&amp;(COLUMNS($L3:S3)-month+1),DeNovo_Tx,3,FALSE)*52*3/12*(1-hemomiss))</f>
        <v>0</v>
      </c>
      <c r="T3" s="1697">
        <f>+IF(COLUMNS($L3:T3)&lt;month,0,VLOOKUP("Month "&amp;(COLUMNS($L3:T3)-month+1),DeNovo_Tx,3,FALSE)*52*3/12*(1-hemomiss))</f>
        <v>0</v>
      </c>
      <c r="U3" s="1697">
        <f>+IF(COLUMNS($L3:U3)&lt;month,0,VLOOKUP("Month "&amp;(COLUMNS($L3:U3)-month+1),DeNovo_Tx,3,FALSE)*52*3/12*(1-hemomiss))</f>
        <v>0</v>
      </c>
      <c r="V3" s="1697">
        <f>+IF(COLUMNS($L3:V3)&lt;month,0,VLOOKUP("Month "&amp;(COLUMNS($L3:V3)-month+1),DeNovo_Tx,3,FALSE)*52*3/12*(1-hemomiss))</f>
        <v>22.923333333333336</v>
      </c>
      <c r="W3" s="1697">
        <f>+IF(COLUMNS($L3:W3)&lt;month,0,VLOOKUP("Month "&amp;(COLUMNS($L3:W3)-month+1),DeNovo_Tx,3,FALSE)*52*3/12*(1-hemomiss))</f>
        <v>45.846666666666671</v>
      </c>
      <c r="Y3" s="99"/>
      <c r="Z3" s="97"/>
    </row>
    <row r="4" spans="1:26" s="98" customFormat="1" ht="12.75" customHeight="1">
      <c r="A4" s="100" t="s">
        <v>464</v>
      </c>
      <c r="L4" s="1697">
        <f>+IF(COLUMNS($L4:L4)&lt;month,0,VLOOKUP("Month "&amp;(COLUMNS($L4:L4)-month+1),DeNovo_Tx,4,FALSE)*52*3/12*(1-hemomiss))</f>
        <v>0</v>
      </c>
      <c r="M4" s="1697">
        <f>+IF(COLUMNS($L4:M4)&lt;month,0,VLOOKUP("Month "&amp;(COLUMNS($L4:M4)-month+1),DeNovo_Tx,4,FALSE)*52*3/12*(1-hemomiss))</f>
        <v>0</v>
      </c>
      <c r="N4" s="1697">
        <f>+IF(COLUMNS($L4:N4)&lt;month,0,VLOOKUP("Month "&amp;(COLUMNS($L4:N4)-month+1),DeNovo_Tx,4,FALSE)*52*3/12*(1-hemomiss))</f>
        <v>0</v>
      </c>
      <c r="O4" s="1697">
        <f>+IF(COLUMNS($L4:O4)&lt;month,0,VLOOKUP("Month "&amp;(COLUMNS($L4:O4)-month+1),DeNovo_Tx,4,FALSE)*52*3/12*(1-hemomiss))</f>
        <v>0</v>
      </c>
      <c r="P4" s="1697">
        <f>+IF(COLUMNS($L4:P4)&lt;month,0,VLOOKUP("Month "&amp;(COLUMNS($L4:P4)-month+1),DeNovo_Tx,4,FALSE)*52*3/12*(1-hemomiss))</f>
        <v>0</v>
      </c>
      <c r="Q4" s="1697">
        <f>+IF(COLUMNS($L4:Q4)&lt;month,0,VLOOKUP("Month "&amp;(COLUMNS($L4:Q4)-month+1),DeNovo_Tx,4,FALSE)*52*3/12*(1-hemomiss))</f>
        <v>0</v>
      </c>
      <c r="R4" s="1697">
        <f>+IF(COLUMNS($L4:R4)&lt;month,0,VLOOKUP("Month "&amp;(COLUMNS($L4:R4)-month+1),DeNovo_Tx,4,FALSE)*52*3/12*(1-hemomiss))</f>
        <v>0</v>
      </c>
      <c r="S4" s="1697">
        <f>+IF(COLUMNS($L4:S4)&lt;month,0,VLOOKUP("Month "&amp;(COLUMNS($L4:S4)-month+1),DeNovo_Tx,4,FALSE)*52*3/12*(1-hemomiss))</f>
        <v>0</v>
      </c>
      <c r="T4" s="1697">
        <f>+IF(COLUMNS($L4:T4)&lt;month,0,VLOOKUP("Month "&amp;(COLUMNS($L4:T4)-month+1),DeNovo_Tx,4,FALSE)*52*3/12*(1-hemomiss))</f>
        <v>0</v>
      </c>
      <c r="U4" s="1697">
        <f>+IF(COLUMNS($L4:U4)&lt;month,0,VLOOKUP("Month "&amp;(COLUMNS($L4:U4)-month+1),DeNovo_Tx,4,FALSE)*52*3/12*(1-hemomiss))</f>
        <v>0</v>
      </c>
      <c r="V4" s="1697">
        <f>+IF(COLUMNS($L4:V4)&lt;month,0,VLOOKUP("Month "&amp;(COLUMNS($L4:V4)-month+1),DeNovo_Tx,4,FALSE)*52*3/12*(1-hemomiss))</f>
        <v>13.953333333333333</v>
      </c>
      <c r="W4" s="1697">
        <f>+IF(COLUMNS($L4:W4)&lt;month,0,VLOOKUP("Month "&amp;(COLUMNS($L4:W4)-month+1),DeNovo_Tx,4,FALSE)*52*3/12*(1-hemomiss))</f>
        <v>15.946666666666669</v>
      </c>
      <c r="Y4" s="99"/>
      <c r="Z4" s="97"/>
    </row>
    <row r="5" spans="1:26" s="98" customFormat="1">
      <c r="A5" s="98" t="s">
        <v>148</v>
      </c>
      <c r="B5" t="str">
        <f>+$B$2</f>
        <v>D10_11032</v>
      </c>
      <c r="C5" s="98" t="str">
        <f>+$C$2</f>
        <v>LE_XXXX</v>
      </c>
      <c r="D5" s="98" t="s">
        <v>2886</v>
      </c>
      <c r="E5" s="98" t="s">
        <v>149</v>
      </c>
      <c r="F5" s="98" t="s">
        <v>150</v>
      </c>
      <c r="G5" s="98" t="s">
        <v>2889</v>
      </c>
      <c r="H5" s="98" t="s">
        <v>145</v>
      </c>
      <c r="I5" s="98" t="s">
        <v>146</v>
      </c>
      <c r="J5" s="98" t="s">
        <v>147</v>
      </c>
      <c r="K5" s="45" t="str">
        <f>+"FY"&amp;RIGHT(YEAR('Hyperion Panel'!$B$9),2)</f>
        <v>FY10</v>
      </c>
      <c r="L5" s="1697"/>
      <c r="M5" s="1697"/>
      <c r="N5" s="1697"/>
      <c r="O5" s="1697"/>
      <c r="P5" s="1697"/>
      <c r="Q5" s="1697"/>
      <c r="R5" s="1697"/>
      <c r="S5" s="1697"/>
      <c r="T5" s="1697"/>
      <c r="U5" s="1697"/>
      <c r="V5" s="1697"/>
      <c r="W5" s="1697"/>
      <c r="Y5" s="99"/>
    </row>
    <row r="6" spans="1:26" s="98" customFormat="1">
      <c r="A6" s="100" t="s">
        <v>463</v>
      </c>
      <c r="L6" s="1697">
        <f>+IF(COLUMNS($L6:L6)&lt;month,0,VLOOKUP("Month "&amp;(COLUMNS($L6:L6)-month+1),DeNovo_Tx,14,FALSE)*52*3/12*(1-homemiss))</f>
        <v>0</v>
      </c>
      <c r="M6" s="1697">
        <f>+IF(COLUMNS($L6:M6)&lt;month,0,VLOOKUP("Month "&amp;(COLUMNS($L6:M6)-month+1),DeNovo_Tx,14,FALSE)*52*3/12*(1-homemiss))</f>
        <v>0</v>
      </c>
      <c r="N6" s="1697">
        <f>+IF(COLUMNS($L6:N6)&lt;month,0,VLOOKUP("Month "&amp;(COLUMNS($L6:N6)-month+1),DeNovo_Tx,14,FALSE)*52*3/12*(1-homemiss))</f>
        <v>0</v>
      </c>
      <c r="O6" s="1697">
        <f>+IF(COLUMNS($L6:O6)&lt;month,0,VLOOKUP("Month "&amp;(COLUMNS($L6:O6)-month+1),DeNovo_Tx,14,FALSE)*52*3/12*(1-homemiss))</f>
        <v>0</v>
      </c>
      <c r="P6" s="1697">
        <f>+IF(COLUMNS($L6:P6)&lt;month,0,VLOOKUP("Month "&amp;(COLUMNS($L6:P6)-month+1),DeNovo_Tx,14,FALSE)*52*3/12*(1-homemiss))</f>
        <v>0</v>
      </c>
      <c r="Q6" s="1697">
        <f>+IF(COLUMNS($L6:Q6)&lt;month,0,VLOOKUP("Month "&amp;(COLUMNS($L6:Q6)-month+1),DeNovo_Tx,14,FALSE)*52*3/12*(1-homemiss))</f>
        <v>0</v>
      </c>
      <c r="R6" s="1697">
        <f>+IF(COLUMNS($L6:R6)&lt;month,0,VLOOKUP("Month "&amp;(COLUMNS($L6:R6)-month+1),DeNovo_Tx,14,FALSE)*52*3/12*(1-homemiss))</f>
        <v>0</v>
      </c>
      <c r="S6" s="1697">
        <f>+IF(COLUMNS($L6:S6)&lt;month,0,VLOOKUP("Month "&amp;(COLUMNS($L6:S6)-month+1),DeNovo_Tx,14,FALSE)*52*3/12*(1-homemiss))</f>
        <v>0</v>
      </c>
      <c r="T6" s="1697">
        <f>+IF(COLUMNS($L6:T6)&lt;month,0,VLOOKUP("Month "&amp;(COLUMNS($L6:T6)-month+1),DeNovo_Tx,14,FALSE)*52*3/12*(1-homemiss))</f>
        <v>0</v>
      </c>
      <c r="U6" s="1697">
        <f>+IF(COLUMNS($L6:U6)&lt;month,0,VLOOKUP("Month "&amp;(COLUMNS($L6:U6)-month+1),DeNovo_Tx,14,FALSE)*52*3/12*(1-homemiss))</f>
        <v>0</v>
      </c>
      <c r="V6" s="1697">
        <f>+IF(COLUMNS($L6:V6)&lt;month,0,VLOOKUP("Month "&amp;(COLUMNS($L6:V6)-month+1),DeNovo_Tx,14,FALSE)*52*3/12*(1-homemiss))</f>
        <v>6.1749999999999998</v>
      </c>
      <c r="W6" s="1697">
        <f>+IF(COLUMNS($L6:W6)&lt;month,0,VLOOKUP("Month "&amp;(COLUMNS($L6:W6)-month+1),DeNovo_Tx,14,FALSE)*52*3/12*(1-homemiss))</f>
        <v>12.35</v>
      </c>
      <c r="Y6" s="99"/>
    </row>
    <row r="7" spans="1:26" s="98" customFormat="1">
      <c r="A7" s="100" t="s">
        <v>464</v>
      </c>
      <c r="L7" s="1697">
        <f>+IF(COLUMNS($L7:L7)&lt;month,0,VLOOKUP("Month "&amp;(COLUMNS($L7:L7)-month+1),DeNovo_Tx,15,FALSE)*52*3/12*(1-homemiss))</f>
        <v>0</v>
      </c>
      <c r="M7" s="1697">
        <f>+IF(COLUMNS($L7:M7)&lt;month,0,VLOOKUP("Month "&amp;(COLUMNS($L7:M7)-month+1),DeNovo_Tx,15,FALSE)*52*3/12*(1-homemiss))</f>
        <v>0</v>
      </c>
      <c r="N7" s="1697">
        <f>+IF(COLUMNS($L7:N7)&lt;month,0,VLOOKUP("Month "&amp;(COLUMNS($L7:N7)-month+1),DeNovo_Tx,15,FALSE)*52*3/12*(1-homemiss))</f>
        <v>0</v>
      </c>
      <c r="O7" s="1697">
        <f>+IF(COLUMNS($L7:O7)&lt;month,0,VLOOKUP("Month "&amp;(COLUMNS($L7:O7)-month+1),DeNovo_Tx,15,FALSE)*52*3/12*(1-homemiss))</f>
        <v>0</v>
      </c>
      <c r="P7" s="1697">
        <f>+IF(COLUMNS($L7:P7)&lt;month,0,VLOOKUP("Month "&amp;(COLUMNS($L7:P7)-month+1),DeNovo_Tx,15,FALSE)*52*3/12*(1-homemiss))</f>
        <v>0</v>
      </c>
      <c r="Q7" s="1697">
        <f>+IF(COLUMNS($L7:Q7)&lt;month,0,VLOOKUP("Month "&amp;(COLUMNS($L7:Q7)-month+1),DeNovo_Tx,15,FALSE)*52*3/12*(1-homemiss))</f>
        <v>0</v>
      </c>
      <c r="R7" s="1697">
        <f>+IF(COLUMNS($L7:R7)&lt;month,0,VLOOKUP("Month "&amp;(COLUMNS($L7:R7)-month+1),DeNovo_Tx,15,FALSE)*52*3/12*(1-homemiss))</f>
        <v>0</v>
      </c>
      <c r="S7" s="1697">
        <f>+IF(COLUMNS($L7:S7)&lt;month,0,VLOOKUP("Month "&amp;(COLUMNS($L7:S7)-month+1),DeNovo_Tx,15,FALSE)*52*3/12*(1-homemiss))</f>
        <v>0</v>
      </c>
      <c r="T7" s="1697">
        <f>+IF(COLUMNS($L7:T7)&lt;month,0,VLOOKUP("Month "&amp;(COLUMNS($L7:T7)-month+1),DeNovo_Tx,15,FALSE)*52*3/12*(1-homemiss))</f>
        <v>0</v>
      </c>
      <c r="U7" s="1697">
        <f>+IF(COLUMNS($L7:U7)&lt;month,0,VLOOKUP("Month "&amp;(COLUMNS($L7:U7)-month+1),DeNovo_Tx,15,FALSE)*52*3/12*(1-homemiss))</f>
        <v>0</v>
      </c>
      <c r="V7" s="1697">
        <f>+IF(COLUMNS($L7:V7)&lt;month,0,VLOOKUP("Month "&amp;(COLUMNS($L7:V7)-month+1),DeNovo_Tx,15,FALSE)*52*3/12*(1-homemiss))</f>
        <v>12.35</v>
      </c>
      <c r="W7" s="1697">
        <f>+IF(COLUMNS($L7:W7)&lt;month,0,VLOOKUP("Month "&amp;(COLUMNS($L7:W7)-month+1),DeNovo_Tx,15,FALSE)*52*3/12*(1-homemiss))</f>
        <v>12.35</v>
      </c>
      <c r="Y7" s="99"/>
    </row>
    <row r="8" spans="1:26">
      <c r="A8" s="4" t="s">
        <v>169</v>
      </c>
      <c r="B8" s="4" t="str">
        <f>+$B$2</f>
        <v>D10_11032</v>
      </c>
      <c r="C8" s="4"/>
      <c r="D8" s="4"/>
      <c r="E8" s="4"/>
      <c r="F8" s="4"/>
      <c r="G8" s="4"/>
      <c r="H8" s="4"/>
      <c r="I8" s="4"/>
      <c r="J8" s="4"/>
      <c r="K8" s="4" t="str">
        <f>+"FY"&amp;RIGHT(YEAR('Hyperion Panel'!$B$9),2)</f>
        <v>FY10</v>
      </c>
      <c r="L8" s="1698"/>
      <c r="M8" s="1698"/>
      <c r="N8" s="1698"/>
      <c r="O8" s="1698"/>
      <c r="P8" s="1698"/>
      <c r="Q8" s="1698"/>
      <c r="R8" s="1698"/>
      <c r="S8" s="1698"/>
      <c r="T8" s="1698"/>
      <c r="U8" s="1698"/>
      <c r="V8" s="1699"/>
      <c r="W8" s="1698"/>
      <c r="Y8" s="99"/>
    </row>
    <row r="9" spans="1:26">
      <c r="A9" s="101" t="s">
        <v>463</v>
      </c>
      <c r="B9" s="4"/>
      <c r="C9" s="4"/>
      <c r="D9" s="4"/>
      <c r="E9" s="4"/>
      <c r="F9" s="4"/>
      <c r="G9" s="4"/>
      <c r="H9" s="4"/>
      <c r="I9" s="4"/>
      <c r="J9" s="4"/>
      <c r="K9" s="4"/>
      <c r="L9" s="1698">
        <f>+IF(COLUMNS($L9:L9)&lt;month,0,VLOOKUP("Month "&amp;(COLUMNS($L9:L9)-month+1),DeNovo_Tx,25,FALSE)*52*3/12*(1-hhdmiss))</f>
        <v>0</v>
      </c>
      <c r="M9" s="1698">
        <f>+IF(COLUMNS($L9:M9)&lt;month,0,VLOOKUP("Month "&amp;(COLUMNS($L9:M9)-month+1),DeNovo_Tx,25,FALSE)*52*3/12*(1-hhdmiss))</f>
        <v>0</v>
      </c>
      <c r="N9" s="1698">
        <f>+IF(COLUMNS($L9:N9)&lt;month,0,VLOOKUP("Month "&amp;(COLUMNS($L9:N9)-month+1),DeNovo_Tx,25,FALSE)*52*3/12*(1-hhdmiss))</f>
        <v>0</v>
      </c>
      <c r="O9" s="1698">
        <f>+IF(COLUMNS($L9:O9)&lt;month,0,VLOOKUP("Month "&amp;(COLUMNS($L9:O9)-month+1),DeNovo_Tx,25,FALSE)*52*3/12*(1-hhdmiss))</f>
        <v>0</v>
      </c>
      <c r="P9" s="1698">
        <f>+IF(COLUMNS($L9:P9)&lt;month,0,VLOOKUP("Month "&amp;(COLUMNS($L9:P9)-month+1),DeNovo_Tx,25,FALSE)*52*3/12*(1-hhdmiss))</f>
        <v>0</v>
      </c>
      <c r="Q9" s="1698">
        <f>+IF(COLUMNS($L9:Q9)&lt;month,0,VLOOKUP("Month "&amp;(COLUMNS($L9:Q9)-month+1),DeNovo_Tx,25,FALSE)*52*3/12*(1-hhdmiss))</f>
        <v>0</v>
      </c>
      <c r="R9" s="1698">
        <f>+IF(COLUMNS($L9:R9)&lt;month,0,VLOOKUP("Month "&amp;(COLUMNS($L9:R9)-month+1),DeNovo_Tx,25,FALSE)*52*3/12*(1-hhdmiss))</f>
        <v>0</v>
      </c>
      <c r="S9" s="1698">
        <f>+IF(COLUMNS($L9:S9)&lt;month,0,VLOOKUP("Month "&amp;(COLUMNS($L9:S9)-month+1),DeNovo_Tx,25,FALSE)*52*3/12*(1-hhdmiss))</f>
        <v>0</v>
      </c>
      <c r="T9" s="1698">
        <f>+IF(COLUMNS($L9:T9)&lt;month,0,VLOOKUP("Month "&amp;(COLUMNS($L9:T9)-month+1),DeNovo_Tx,25,FALSE)*52*3/12*(1-hhdmiss))</f>
        <v>0</v>
      </c>
      <c r="U9" s="1698">
        <f>+IF(COLUMNS($L9:U9)&lt;month,0,VLOOKUP("Month "&amp;(COLUMNS($L9:U9)-month+1),DeNovo_Tx,25,FALSE)*52*3/12*(1-hhdmiss))</f>
        <v>0</v>
      </c>
      <c r="V9" s="1699">
        <f>+IF(COLUMNS($L9:V9)&lt;month,0,VLOOKUP("Month "&amp;(COLUMNS($L9:V9)-month+1),DeNovo_Tx,25,FALSE)*52*3/12*(1-hhdmiss))</f>
        <v>2.1666666666666665</v>
      </c>
      <c r="W9" s="1698">
        <f>+IF(COLUMNS($L9:W9)&lt;month,0,VLOOKUP("Month "&amp;(COLUMNS($L9:W9)-month+1),DeNovo_Tx,25,FALSE)*52*3/12*(1-hhdmiss))</f>
        <v>4.333333333333333</v>
      </c>
      <c r="Y9" s="99"/>
    </row>
    <row r="10" spans="1:26">
      <c r="A10" s="101" t="s">
        <v>464</v>
      </c>
      <c r="B10" s="4"/>
      <c r="C10" s="4"/>
      <c r="D10" s="4"/>
      <c r="E10" s="4"/>
      <c r="F10" s="4"/>
      <c r="G10" s="4"/>
      <c r="H10" s="4"/>
      <c r="I10" s="4"/>
      <c r="J10" s="4"/>
      <c r="K10" s="4"/>
      <c r="L10" s="1698">
        <f>+IF(COLUMNS($L10:L10)&lt;month,0,VLOOKUP("Month "&amp;(COLUMNS($L10:L10)-month+1),DeNovo_Tx,26,FALSE)*52*4.3/12*(1-hhdmiss))</f>
        <v>0</v>
      </c>
      <c r="M10" s="1698">
        <f>+IF(COLUMNS($L10:M10)&lt;month,0,VLOOKUP("Month "&amp;(COLUMNS($L10:M10)-month+1),DeNovo_Tx,26,FALSE)*52*4.3/12*(1-hhdmiss))</f>
        <v>0</v>
      </c>
      <c r="N10" s="1698">
        <f>+IF(COLUMNS($L10:N10)&lt;month,0,VLOOKUP("Month "&amp;(COLUMNS($L10:N10)-month+1),DeNovo_Tx,26,FALSE)*52*4.3/12*(1-hhdmiss))</f>
        <v>0</v>
      </c>
      <c r="O10" s="1698">
        <f>+IF(COLUMNS($L10:O10)&lt;month,0,VLOOKUP("Month "&amp;(COLUMNS($L10:O10)-month+1),DeNovo_Tx,26,FALSE)*52*4.3/12*(1-hhdmiss))</f>
        <v>0</v>
      </c>
      <c r="P10" s="1698">
        <f>+IF(COLUMNS($L10:P10)&lt;month,0,VLOOKUP("Month "&amp;(COLUMNS($L10:P10)-month+1),DeNovo_Tx,26,FALSE)*52*4.3/12*(1-hhdmiss))</f>
        <v>0</v>
      </c>
      <c r="Q10" s="1698">
        <f>+IF(COLUMNS($L10:Q10)&lt;month,0,VLOOKUP("Month "&amp;(COLUMNS($L10:Q10)-month+1),DeNovo_Tx,26,FALSE)*52*4.3/12*(1-hhdmiss))</f>
        <v>0</v>
      </c>
      <c r="R10" s="1698">
        <f>+IF(COLUMNS($L10:R10)&lt;month,0,VLOOKUP("Month "&amp;(COLUMNS($L10:R10)-month+1),DeNovo_Tx,26,FALSE)*52*4.3/12*(1-hhdmiss))</f>
        <v>0</v>
      </c>
      <c r="S10" s="1698">
        <f>+IF(COLUMNS($L10:S10)&lt;month,0,VLOOKUP("Month "&amp;(COLUMNS($L10:S10)-month+1),DeNovo_Tx,26,FALSE)*52*4.3/12*(1-hhdmiss))</f>
        <v>0</v>
      </c>
      <c r="T10" s="1698">
        <f>+IF(COLUMNS($L10:T10)&lt;month,0,VLOOKUP("Month "&amp;(COLUMNS($L10:T10)-month+1),DeNovo_Tx,26,FALSE)*52*4.3/12*(1-hhdmiss))</f>
        <v>0</v>
      </c>
      <c r="U10" s="1698">
        <f>+IF(COLUMNS($L10:U10)&lt;month,0,VLOOKUP("Month "&amp;(COLUMNS($L10:U10)-month+1),DeNovo_Tx,26,FALSE)*52*4.3/12*(1-hhdmiss))</f>
        <v>0</v>
      </c>
      <c r="V10" s="1698">
        <f>+IF(COLUMNS($L10:V10)&lt;month,0,VLOOKUP("Month "&amp;(COLUMNS($L10:V10)-month+1),DeNovo_Tx,26,FALSE)*52*4.3/12*(1-hhdmiss))</f>
        <v>18.633333333333333</v>
      </c>
      <c r="W10" s="1698">
        <f>+IF(COLUMNS($L10:W10)&lt;month,0,VLOOKUP("Month "&amp;(COLUMNS($L10:W10)-month+1),DeNovo_Tx,26,FALSE)*52*4.3/12*(1-hhdmiss))</f>
        <v>18.633333333333333</v>
      </c>
      <c r="Y10" s="99"/>
    </row>
    <row r="11" spans="1:26">
      <c r="A11" s="1958" t="s">
        <v>1556</v>
      </c>
      <c r="B11" s="35"/>
      <c r="C11" s="35"/>
      <c r="D11" s="35"/>
      <c r="E11" s="35"/>
      <c r="F11" s="35"/>
      <c r="G11" s="35"/>
      <c r="H11" s="35"/>
      <c r="I11" s="35"/>
      <c r="J11" s="35"/>
      <c r="K11" s="35"/>
      <c r="L11" s="1959">
        <f>((12*L9)/(1-hhdmiss))/52/'5. Financials'!$I$46</f>
        <v>0</v>
      </c>
      <c r="M11" s="1959">
        <f>((12*M9)/(1-hhdmiss))/52/'5. Financials'!$I$46</f>
        <v>0</v>
      </c>
      <c r="N11" s="1959">
        <f>((12*N9)/(1-hhdmiss))/52/'5. Financials'!$I$46</f>
        <v>0</v>
      </c>
      <c r="O11" s="1959">
        <f>((12*O9)/(1-hhdmiss))/52/'5. Financials'!$I$46</f>
        <v>0</v>
      </c>
      <c r="P11" s="1959">
        <f>((12*P9)/(1-hhdmiss))/52/'5. Financials'!$I$46</f>
        <v>0</v>
      </c>
      <c r="Q11" s="1959">
        <f>((12*Q9)/(1-hhdmiss))/52/'5. Financials'!$I$46</f>
        <v>0</v>
      </c>
      <c r="R11" s="1959">
        <f>((12*R9)/(1-hhdmiss))/52/'5. Financials'!$I$46</f>
        <v>0</v>
      </c>
      <c r="S11" s="1959">
        <f>((12*S9)/(1-hhdmiss))/52/'5. Financials'!$I$46</f>
        <v>0</v>
      </c>
      <c r="T11" s="1959">
        <f>((12*T9)/(1-hhdmiss))/52/'5. Financials'!$I$46</f>
        <v>0</v>
      </c>
      <c r="U11" s="1959">
        <f>((12*U9)/(1-hhdmiss))/52/'5. Financials'!$I$46</f>
        <v>0</v>
      </c>
      <c r="V11" s="1959">
        <f>((12*V9)/(1-hhdmiss))/52/'5. Financials'!$I$46</f>
        <v>0.16666666666666666</v>
      </c>
      <c r="W11" s="1959">
        <f>((12*W9)/(1-hhdmiss))/52/'5. Financials'!$I$46</f>
        <v>0.33333333333333331</v>
      </c>
      <c r="Y11" s="99"/>
    </row>
    <row r="12" spans="1:26">
      <c r="A12" s="1958" t="s">
        <v>1557</v>
      </c>
      <c r="B12" s="35"/>
      <c r="C12" s="35"/>
      <c r="D12" s="35"/>
      <c r="E12" s="35"/>
      <c r="F12" s="35"/>
      <c r="G12" s="35"/>
      <c r="H12" s="35"/>
      <c r="I12" s="35"/>
      <c r="J12" s="35"/>
      <c r="K12" s="35"/>
      <c r="L12" s="1959">
        <f>((12*L10)/(1-hhdmiss))/52/'5. Financials'!$I$54</f>
        <v>0</v>
      </c>
      <c r="M12" s="1959">
        <f>((12*M10)/(1-hhdmiss))/52/'5. Financials'!$I$54</f>
        <v>0</v>
      </c>
      <c r="N12" s="1959">
        <f>((12*N10)/(1-hhdmiss))/52/'5. Financials'!$I$54</f>
        <v>0</v>
      </c>
      <c r="O12" s="1959">
        <f>((12*O10)/(1-hhdmiss))/52/'5. Financials'!$I$54</f>
        <v>0</v>
      </c>
      <c r="P12" s="1959">
        <f>((12*P10)/(1-hhdmiss))/52/'5. Financials'!$I$54</f>
        <v>0</v>
      </c>
      <c r="Q12" s="1959">
        <f>((12*Q10)/(1-hhdmiss))/52/'5. Financials'!$I$54</f>
        <v>0</v>
      </c>
      <c r="R12" s="1959">
        <f>((12*R10)/(1-hhdmiss))/52/'5. Financials'!$I$54</f>
        <v>0</v>
      </c>
      <c r="S12" s="1959">
        <f>((12*S10)/(1-hhdmiss))/52/'5. Financials'!$I$54</f>
        <v>0</v>
      </c>
      <c r="T12" s="1959">
        <f>((12*T10)/(1-hhdmiss))/52/'5. Financials'!$I$54</f>
        <v>0</v>
      </c>
      <c r="U12" s="1959">
        <f>((12*U10)/(1-hhdmiss))/52/'5. Financials'!$I$54</f>
        <v>0</v>
      </c>
      <c r="V12" s="1959">
        <f>((12*V10)/(1-hhdmiss))/52/'5. Financials'!$I$54</f>
        <v>1</v>
      </c>
      <c r="W12" s="1959">
        <f>((12*W10)/(1-hhdmiss))/52/'5. Financials'!$I$54</f>
        <v>1</v>
      </c>
      <c r="Y12" s="99"/>
    </row>
    <row r="13" spans="1:26">
      <c r="A13" s="1958" t="s">
        <v>1558</v>
      </c>
      <c r="B13" s="35"/>
      <c r="C13" s="35"/>
      <c r="D13" s="35"/>
      <c r="E13" s="35"/>
      <c r="F13" s="35"/>
      <c r="G13" s="35"/>
      <c r="H13" s="35"/>
      <c r="I13" s="35"/>
      <c r="J13" s="35"/>
      <c r="K13" s="35"/>
      <c r="L13" s="1959">
        <f>(52*'5. Financials'!$I$46*'Upload Detail'!L11*(1-hhdmiss)-clawback*(52*('5. Financials'!$I$46-3)*'Upload Detail'!L11*(1-hhdmiss)))/12</f>
        <v>0</v>
      </c>
      <c r="M13" s="1959">
        <f>(52*'5. Financials'!$I$46*'Upload Detail'!M11*(1-hhdmiss)-clawback*(52*('5. Financials'!$I$46-3)*'Upload Detail'!M11*(1-hhdmiss)))/12</f>
        <v>0</v>
      </c>
      <c r="N13" s="1959">
        <f>(52*'5. Financials'!$I$46*'Upload Detail'!N11*(1-hhdmiss)-clawback*(52*('5. Financials'!$I$46-3)*'Upload Detail'!N11*(1-hhdmiss)))/12</f>
        <v>0</v>
      </c>
      <c r="O13" s="1959">
        <f>(52*'5. Financials'!$I$46*'Upload Detail'!O11*(1-hhdmiss)-clawback*(52*('5. Financials'!$I$46-3)*'Upload Detail'!O11*(1-hhdmiss)))/12</f>
        <v>0</v>
      </c>
      <c r="P13" s="1959">
        <f>(52*'5. Financials'!$I$46*'Upload Detail'!P11*(1-hhdmiss)-clawback*(52*('5. Financials'!$I$46-3)*'Upload Detail'!P11*(1-hhdmiss)))/12</f>
        <v>0</v>
      </c>
      <c r="Q13" s="1959">
        <f>(52*'5. Financials'!$I$46*'Upload Detail'!Q11*(1-hhdmiss)-clawback*(52*('5. Financials'!$I$46-3)*'Upload Detail'!Q11*(1-hhdmiss)))/12</f>
        <v>0</v>
      </c>
      <c r="R13" s="1959">
        <f>(52*'5. Financials'!$I$46*'Upload Detail'!R11*(1-hhdmiss)-clawback*(52*('5. Financials'!$I$46-3)*'Upload Detail'!R11*(1-hhdmiss)))/12</f>
        <v>0</v>
      </c>
      <c r="S13" s="1959">
        <f>(52*'5. Financials'!$I$46*'Upload Detail'!S11*(1-hhdmiss)-clawback*(52*('5. Financials'!$I$46-3)*'Upload Detail'!S11*(1-hhdmiss)))/12</f>
        <v>0</v>
      </c>
      <c r="T13" s="1959">
        <f>(52*'5. Financials'!$I$46*'Upload Detail'!T11*(1-hhdmiss)-clawback*(52*('5. Financials'!$I$46-3)*'Upload Detail'!T11*(1-hhdmiss)))/12</f>
        <v>0</v>
      </c>
      <c r="U13" s="1959">
        <f>(52*'5. Financials'!$I$46*'Upload Detail'!U11*(1-hhdmiss)-clawback*(52*('5. Financials'!$I$46-3)*'Upload Detail'!U11*(1-hhdmiss)))/12</f>
        <v>0</v>
      </c>
      <c r="V13" s="1959">
        <f>(52*'5. Financials'!$I$46*'Upload Detail'!V11*(1-hhdmiss)-clawback*(52*('5. Financials'!$I$46-3)*'Upload Detail'!V11*(1-hhdmiss)))/12</f>
        <v>2.1666666666666665</v>
      </c>
      <c r="W13" s="1959">
        <f>(52*'5. Financials'!$I$46*'Upload Detail'!W11*(1-hhdmiss)-clawback*(52*('5. Financials'!$I$46-3)*'Upload Detail'!W11*(1-hhdmiss)))/12</f>
        <v>4.333333333333333</v>
      </c>
      <c r="Y13" s="99"/>
    </row>
    <row r="14" spans="1:26">
      <c r="A14" s="1958" t="s">
        <v>1559</v>
      </c>
      <c r="B14" s="35"/>
      <c r="C14" s="35"/>
      <c r="D14" s="35"/>
      <c r="E14" s="35"/>
      <c r="F14" s="35"/>
      <c r="G14" s="35"/>
      <c r="H14" s="35"/>
      <c r="I14" s="35"/>
      <c r="J14" s="35"/>
      <c r="K14" s="35"/>
      <c r="L14" s="1959">
        <f>(52*'5. Financials'!$I$54*'Upload Detail'!L12*(1-hhdmiss)-clawback*(52*('5. Financials'!$I$54-3)*'Upload Detail'!L12*(1-hhdmiss)))/12</f>
        <v>0</v>
      </c>
      <c r="M14" s="1959">
        <f>(52*'5. Financials'!$I$54*'Upload Detail'!M12*(1-hhdmiss)-clawback*(52*('5. Financials'!$I$54-3)*'Upload Detail'!M12*(1-hhdmiss)))/12</f>
        <v>0</v>
      </c>
      <c r="N14" s="1959">
        <f>(52*'5. Financials'!$I$54*'Upload Detail'!N12*(1-hhdmiss)-clawback*(52*('5. Financials'!$I$54-3)*'Upload Detail'!N12*(1-hhdmiss)))/12</f>
        <v>0</v>
      </c>
      <c r="O14" s="1959">
        <f>(52*'5. Financials'!$I$54*'Upload Detail'!O12*(1-hhdmiss)-clawback*(52*('5. Financials'!$I$54-3)*'Upload Detail'!O12*(1-hhdmiss)))/12</f>
        <v>0</v>
      </c>
      <c r="P14" s="1959">
        <f>(52*'5. Financials'!$I$54*'Upload Detail'!P12*(1-hhdmiss)-clawback*(52*('5. Financials'!$I$54-3)*'Upload Detail'!P12*(1-hhdmiss)))/12</f>
        <v>0</v>
      </c>
      <c r="Q14" s="1959">
        <f>(52*'5. Financials'!$I$54*'Upload Detail'!Q12*(1-hhdmiss)-clawback*(52*('5. Financials'!$I$54-3)*'Upload Detail'!Q12*(1-hhdmiss)))/12</f>
        <v>0</v>
      </c>
      <c r="R14" s="1959">
        <f>(52*'5. Financials'!$I$54*'Upload Detail'!R12*(1-hhdmiss)-clawback*(52*('5. Financials'!$I$54-3)*'Upload Detail'!R12*(1-hhdmiss)))/12</f>
        <v>0</v>
      </c>
      <c r="S14" s="1959">
        <f>(52*'5. Financials'!$I$54*'Upload Detail'!S12*(1-hhdmiss)-clawback*(52*('5. Financials'!$I$54-3)*'Upload Detail'!S12*(1-hhdmiss)))/12</f>
        <v>0</v>
      </c>
      <c r="T14" s="1959">
        <f>(52*'5. Financials'!$I$54*'Upload Detail'!T12*(1-hhdmiss)-clawback*(52*('5. Financials'!$I$54-3)*'Upload Detail'!T12*(1-hhdmiss)))/12</f>
        <v>0</v>
      </c>
      <c r="U14" s="1959">
        <f>(52*'5. Financials'!$I$54*'Upload Detail'!U12*(1-hhdmiss)-clawback*(52*('5. Financials'!$I$54-3)*'Upload Detail'!U12*(1-hhdmiss)))/12</f>
        <v>0</v>
      </c>
      <c r="V14" s="1959">
        <f>(52*'5. Financials'!$I$54*'Upload Detail'!V12*(1-hhdmiss)-clawback*(52*('5. Financials'!$I$54-3)*'Upload Detail'!V12*(1-hhdmiss)))/12</f>
        <v>18.633333333333333</v>
      </c>
      <c r="W14" s="1959">
        <f>(52*'5. Financials'!$I$54*'Upload Detail'!W12*(1-hhdmiss)-clawback*(52*('5. Financials'!$I$54-3)*'Upload Detail'!W12*(1-hhdmiss)))/12</f>
        <v>18.633333333333333</v>
      </c>
      <c r="Y14" s="99"/>
    </row>
    <row r="15" spans="1:26" s="98" customFormat="1">
      <c r="A15" s="98" t="s">
        <v>151</v>
      </c>
      <c r="B15" t="str">
        <f>+$B$2</f>
        <v>D10_11032</v>
      </c>
      <c r="C15" s="98" t="str">
        <f>+$C$2</f>
        <v>LE_XXXX</v>
      </c>
      <c r="D15" s="98" t="s">
        <v>2886</v>
      </c>
      <c r="E15" s="98">
        <v>3010</v>
      </c>
      <c r="F15" s="98" t="s">
        <v>2888</v>
      </c>
      <c r="G15" s="98" t="s">
        <v>2889</v>
      </c>
      <c r="H15" s="98" t="s">
        <v>145</v>
      </c>
      <c r="I15" s="98" t="s">
        <v>146</v>
      </c>
      <c r="J15" s="98" t="s">
        <v>147</v>
      </c>
      <c r="K15" s="45" t="str">
        <f>+"FY"&amp;RIGHT(YEAR('Hyperion Panel'!$B$9),2)</f>
        <v>FY10</v>
      </c>
      <c r="L15" s="1697"/>
      <c r="M15" s="1697"/>
      <c r="N15" s="1697"/>
      <c r="O15" s="1697"/>
      <c r="P15" s="1697"/>
      <c r="Q15" s="1697"/>
      <c r="R15" s="1697"/>
      <c r="S15" s="1697"/>
      <c r="T15" s="1697"/>
      <c r="U15" s="1697"/>
      <c r="V15" s="1700"/>
      <c r="W15" s="1697"/>
      <c r="Y15" s="99"/>
      <c r="Z15" s="97"/>
    </row>
    <row r="16" spans="1:26" s="98" customFormat="1">
      <c r="A16" s="100" t="s">
        <v>463</v>
      </c>
      <c r="L16" s="1697">
        <f>L3*'5. Financials'!$I$15</f>
        <v>0</v>
      </c>
      <c r="M16" s="1697">
        <f>M3*'5. Financials'!$I$15</f>
        <v>0</v>
      </c>
      <c r="N16" s="1697">
        <f>N3*'5. Financials'!$I$15</f>
        <v>0</v>
      </c>
      <c r="O16" s="1697">
        <f>O3*'5. Financials'!$I$15</f>
        <v>0</v>
      </c>
      <c r="P16" s="1697">
        <f>P3*'5. Financials'!$I$15</f>
        <v>0</v>
      </c>
      <c r="Q16" s="1697">
        <f>Q3*'5. Financials'!$I$15</f>
        <v>0</v>
      </c>
      <c r="R16" s="1697">
        <f>R3*'5. Financials'!$I$15</f>
        <v>0</v>
      </c>
      <c r="S16" s="1697">
        <f>S3*'5. Financials'!$I$15</f>
        <v>0</v>
      </c>
      <c r="T16" s="1697">
        <f>T3*'5. Financials'!$I$15</f>
        <v>0</v>
      </c>
      <c r="U16" s="1697">
        <f>U3*'5. Financials'!$I$15</f>
        <v>0</v>
      </c>
      <c r="V16" s="1700">
        <f>V3*'5. Financials'!$I$15</f>
        <v>5935.269064127272</v>
      </c>
      <c r="W16" s="1697">
        <f>W3*'5. Financials'!$I$15</f>
        <v>11870.538128254544</v>
      </c>
      <c r="Y16" s="99"/>
      <c r="Z16" s="97"/>
    </row>
    <row r="17" spans="1:26" s="98" customFormat="1">
      <c r="A17" s="100" t="s">
        <v>464</v>
      </c>
      <c r="L17" s="1697">
        <f>L4*'5. Financials'!$I$23</f>
        <v>0</v>
      </c>
      <c r="M17" s="1697">
        <f>M4*'5. Financials'!$I$23</f>
        <v>0</v>
      </c>
      <c r="N17" s="1697">
        <f>N4*'5. Financials'!$I$23</f>
        <v>0</v>
      </c>
      <c r="O17" s="1697">
        <f>O4*'5. Financials'!$I$23</f>
        <v>0</v>
      </c>
      <c r="P17" s="1697">
        <f>P4*'5. Financials'!$I$23</f>
        <v>0</v>
      </c>
      <c r="Q17" s="1697">
        <f>Q4*'5. Financials'!$I$23</f>
        <v>0</v>
      </c>
      <c r="R17" s="1697">
        <f>R4*'5. Financials'!$I$23</f>
        <v>0</v>
      </c>
      <c r="S17" s="1697">
        <f>S4*'5. Financials'!$I$23</f>
        <v>0</v>
      </c>
      <c r="T17" s="1697">
        <f>T4*'5. Financials'!$I$23</f>
        <v>0</v>
      </c>
      <c r="U17" s="1697">
        <f>U4*'5. Financials'!$I$23</f>
        <v>0</v>
      </c>
      <c r="V17" s="1700">
        <f>V4*'5. Financials'!$I$23</f>
        <v>14183.239901575964</v>
      </c>
      <c r="W17" s="1697">
        <f>W4*'5. Financials'!$I$23</f>
        <v>16209.417030372533</v>
      </c>
      <c r="Y17" s="99"/>
      <c r="Z17" s="97"/>
    </row>
    <row r="18" spans="1:26" s="98" customFormat="1">
      <c r="A18" s="98" t="s">
        <v>152</v>
      </c>
      <c r="B18" t="str">
        <f>+$B$2</f>
        <v>D10_11032</v>
      </c>
      <c r="C18" s="98" t="str">
        <f>+$C$2</f>
        <v>LE_XXXX</v>
      </c>
      <c r="D18" s="98" t="s">
        <v>2886</v>
      </c>
      <c r="E18" s="98">
        <v>3030</v>
      </c>
      <c r="F18" s="98" t="s">
        <v>150</v>
      </c>
      <c r="G18" s="98" t="s">
        <v>2889</v>
      </c>
      <c r="H18" s="98" t="s">
        <v>145</v>
      </c>
      <c r="I18" s="98" t="s">
        <v>146</v>
      </c>
      <c r="J18" s="98" t="s">
        <v>147</v>
      </c>
      <c r="K18" s="45" t="str">
        <f>+"FY"&amp;RIGHT(YEAR('Hyperion Panel'!$B$9),2)</f>
        <v>FY10</v>
      </c>
      <c r="L18" s="1697"/>
      <c r="M18" s="1697"/>
      <c r="N18" s="1697"/>
      <c r="O18" s="1697"/>
      <c r="P18" s="1697"/>
      <c r="Q18" s="1697"/>
      <c r="R18" s="1697"/>
      <c r="S18" s="1697"/>
      <c r="T18" s="1697"/>
      <c r="U18" s="1697"/>
      <c r="V18" s="1700"/>
      <c r="W18" s="1697"/>
      <c r="Y18" s="99"/>
    </row>
    <row r="19" spans="1:26" s="98" customFormat="1">
      <c r="A19" s="100" t="s">
        <v>463</v>
      </c>
      <c r="L19" s="1697">
        <f>L6*'5. Financials'!$I$32</f>
        <v>0</v>
      </c>
      <c r="M19" s="1697">
        <f>M6*'5. Financials'!$I$32</f>
        <v>0</v>
      </c>
      <c r="N19" s="1697">
        <f>N6*'5. Financials'!$I$32</f>
        <v>0</v>
      </c>
      <c r="O19" s="1697">
        <f>O6*'5. Financials'!$I$32</f>
        <v>0</v>
      </c>
      <c r="P19" s="1697">
        <f>P6*'5. Financials'!$I$32</f>
        <v>0</v>
      </c>
      <c r="Q19" s="1697">
        <f>Q6*'5. Financials'!$I$32</f>
        <v>0</v>
      </c>
      <c r="R19" s="1697">
        <f>R6*'5. Financials'!$I$32</f>
        <v>0</v>
      </c>
      <c r="S19" s="1697">
        <f>S6*'5. Financials'!$I$32</f>
        <v>0</v>
      </c>
      <c r="T19" s="1697">
        <f>T6*'5. Financials'!$I$32</f>
        <v>0</v>
      </c>
      <c r="U19" s="1697">
        <f>U6*'5. Financials'!$I$32</f>
        <v>0</v>
      </c>
      <c r="V19" s="1700">
        <f>V6*'5. Financials'!$I$32</f>
        <v>1557.0996029742773</v>
      </c>
      <c r="W19" s="1697">
        <f>W6*'5. Financials'!$I$32</f>
        <v>3114.1992059485547</v>
      </c>
      <c r="Y19" s="99"/>
    </row>
    <row r="20" spans="1:26" s="98" customFormat="1">
      <c r="A20" s="100" t="s">
        <v>464</v>
      </c>
      <c r="L20" s="1697">
        <f>L7*'5. Financials'!$I$40</f>
        <v>0</v>
      </c>
      <c r="M20" s="1697">
        <f>M7*'5. Financials'!$I$40</f>
        <v>0</v>
      </c>
      <c r="N20" s="1697">
        <f>N7*'5. Financials'!$I$40</f>
        <v>0</v>
      </c>
      <c r="O20" s="1697">
        <f>O7*'5. Financials'!$I$40</f>
        <v>0</v>
      </c>
      <c r="P20" s="1697">
        <f>P7*'5. Financials'!$I$40</f>
        <v>0</v>
      </c>
      <c r="Q20" s="1697">
        <f>Q7*'5. Financials'!$I$40</f>
        <v>0</v>
      </c>
      <c r="R20" s="1697">
        <f>R7*'5. Financials'!$I$40</f>
        <v>0</v>
      </c>
      <c r="S20" s="1697">
        <f>S7*'5. Financials'!$I$40</f>
        <v>0</v>
      </c>
      <c r="T20" s="1697">
        <f>T7*'5. Financials'!$I$40</f>
        <v>0</v>
      </c>
      <c r="U20" s="1697">
        <f>U7*'5. Financials'!$I$40</f>
        <v>0</v>
      </c>
      <c r="V20" s="1700">
        <f>V7*'5. Financials'!$I$40</f>
        <v>12553.488732761334</v>
      </c>
      <c r="W20" s="1697">
        <f>W7*'5. Financials'!$I$40</f>
        <v>12553.488732761334</v>
      </c>
      <c r="Y20" s="99"/>
    </row>
    <row r="21" spans="1:26">
      <c r="A21" s="4" t="s">
        <v>170</v>
      </c>
      <c r="B21" s="4" t="str">
        <f>+$B$2</f>
        <v>D10_11032</v>
      </c>
      <c r="C21" s="4"/>
      <c r="D21" s="4"/>
      <c r="E21" s="4"/>
      <c r="F21" s="4"/>
      <c r="G21" s="4"/>
      <c r="H21" s="4"/>
      <c r="I21" s="4"/>
      <c r="J21" s="4"/>
      <c r="K21" s="4" t="str">
        <f>+"FY"&amp;RIGHT(YEAR('Hyperion Panel'!$B$9),2)</f>
        <v>FY10</v>
      </c>
      <c r="L21" s="1698"/>
      <c r="M21" s="1698"/>
      <c r="N21" s="1698"/>
      <c r="O21" s="1698"/>
      <c r="P21" s="1698"/>
      <c r="Q21" s="1698"/>
      <c r="R21" s="1698"/>
      <c r="S21" s="1698"/>
      <c r="T21" s="1698"/>
      <c r="U21" s="1698"/>
      <c r="V21" s="1701"/>
      <c r="W21" s="1698"/>
      <c r="Y21" s="99"/>
    </row>
    <row r="22" spans="1:26">
      <c r="A22" s="101" t="s">
        <v>463</v>
      </c>
      <c r="B22" s="4"/>
      <c r="C22" s="4"/>
      <c r="D22" s="4"/>
      <c r="E22" s="4"/>
      <c r="F22" s="4"/>
      <c r="G22" s="4"/>
      <c r="H22" s="4"/>
      <c r="I22" s="4"/>
      <c r="J22" s="4"/>
      <c r="K22" s="4"/>
      <c r="L22" s="1701">
        <f>L13*'5. Financials'!$I$49</f>
        <v>0</v>
      </c>
      <c r="M22" s="1701">
        <f>M13*'5. Financials'!$I$49</f>
        <v>0</v>
      </c>
      <c r="N22" s="1701">
        <f>N13*'5. Financials'!$I$49</f>
        <v>0</v>
      </c>
      <c r="O22" s="1701">
        <f>O13*'5. Financials'!$I$49</f>
        <v>0</v>
      </c>
      <c r="P22" s="1701">
        <f>P13*'5. Financials'!$I$49</f>
        <v>0</v>
      </c>
      <c r="Q22" s="1701">
        <f>Q13*'5. Financials'!$I$49</f>
        <v>0</v>
      </c>
      <c r="R22" s="1701">
        <f>R13*'5. Financials'!$I$49</f>
        <v>0</v>
      </c>
      <c r="S22" s="1701">
        <f>S13*'5. Financials'!$I$49</f>
        <v>0</v>
      </c>
      <c r="T22" s="1701">
        <f>T13*'5. Financials'!$I$49</f>
        <v>0</v>
      </c>
      <c r="U22" s="1701">
        <f>U13*'5. Financials'!$I$49</f>
        <v>0</v>
      </c>
      <c r="V22" s="1701">
        <f>V13*'5. Financials'!$I$49</f>
        <v>564.23571146245047</v>
      </c>
      <c r="W22" s="1701">
        <f>W13*'5. Financials'!$I$49</f>
        <v>1128.4714229249009</v>
      </c>
      <c r="X22" t="s">
        <v>720</v>
      </c>
      <c r="Y22" s="99"/>
    </row>
    <row r="23" spans="1:26">
      <c r="A23" s="101" t="s">
        <v>464</v>
      </c>
      <c r="B23" s="4"/>
      <c r="C23" s="4"/>
      <c r="D23" s="4"/>
      <c r="E23" s="4"/>
      <c r="F23" s="4"/>
      <c r="G23" s="4"/>
      <c r="H23" s="4"/>
      <c r="I23" s="4"/>
      <c r="J23" s="4"/>
      <c r="K23" s="4"/>
      <c r="L23" s="1701">
        <f>L14*'5. Financials'!$I$57</f>
        <v>0</v>
      </c>
      <c r="M23" s="1701">
        <f>M14*'5. Financials'!$I$57</f>
        <v>0</v>
      </c>
      <c r="N23" s="1701">
        <f>N14*'5. Financials'!$I$57</f>
        <v>0</v>
      </c>
      <c r="O23" s="1701">
        <f>O14*'5. Financials'!$I$57</f>
        <v>0</v>
      </c>
      <c r="P23" s="1701">
        <f>P14*'5. Financials'!$I$57</f>
        <v>0</v>
      </c>
      <c r="Q23" s="1701">
        <f>Q14*'5. Financials'!$I$57</f>
        <v>0</v>
      </c>
      <c r="R23" s="1701">
        <f>R14*'5. Financials'!$I$57</f>
        <v>0</v>
      </c>
      <c r="S23" s="1701">
        <f>S14*'5. Financials'!$I$57</f>
        <v>0</v>
      </c>
      <c r="T23" s="1701">
        <f>T14*'5. Financials'!$I$57</f>
        <v>0</v>
      </c>
      <c r="U23" s="1701">
        <f>U14*'5. Financials'!$I$57</f>
        <v>0</v>
      </c>
      <c r="V23" s="1701">
        <f>V14*'5. Financials'!$I$57</f>
        <v>0</v>
      </c>
      <c r="W23" s="1701">
        <f>W14*'5. Financials'!$I$57</f>
        <v>0</v>
      </c>
      <c r="X23" t="s">
        <v>720</v>
      </c>
      <c r="Y23" s="1960"/>
    </row>
    <row r="24" spans="1:26">
      <c r="A24" s="3" t="s">
        <v>2651</v>
      </c>
      <c r="B24" t="str">
        <f t="shared" ref="B24:B40" si="0">+$B$2</f>
        <v>D10_11032</v>
      </c>
      <c r="C24" t="str">
        <f t="shared" ref="C24:C40" si="1">+$C$2</f>
        <v>LE_XXXX</v>
      </c>
      <c r="D24" t="s">
        <v>2886</v>
      </c>
      <c r="E24">
        <v>6010</v>
      </c>
      <c r="F24" t="s">
        <v>2888</v>
      </c>
      <c r="G24" t="s">
        <v>153</v>
      </c>
      <c r="H24" t="s">
        <v>154</v>
      </c>
      <c r="I24" t="s">
        <v>146</v>
      </c>
      <c r="J24" t="s">
        <v>147</v>
      </c>
      <c r="K24" s="45" t="str">
        <f>+"FY"&amp;RIGHT(YEAR('Hyperion Panel'!$B$9),2)</f>
        <v>FY10</v>
      </c>
      <c r="L24" s="1697">
        <f>'5. Financials'!$I$107*SUM(L3:L4,L6:L7,L9:L10)</f>
        <v>0</v>
      </c>
      <c r="M24" s="1697">
        <f>'5. Financials'!$I$107*SUM(M3:M4,M6:M7,M9:M10)</f>
        <v>0</v>
      </c>
      <c r="N24" s="1697">
        <f>'5. Financials'!$I$107*SUM(N3:N4,N6:N7,N9:N10)</f>
        <v>0</v>
      </c>
      <c r="O24" s="1697">
        <f>'5. Financials'!$I$107*SUM(O3:O4,O6:O7,O9:O10)</f>
        <v>0</v>
      </c>
      <c r="P24" s="1697">
        <f>'5. Financials'!$I$107*SUM(P3:P4,P6:P7,P9:P10)</f>
        <v>0</v>
      </c>
      <c r="Q24" s="1697">
        <f>'5. Financials'!$I$107*SUM(Q3:Q4,Q6:Q7,Q9:Q10)</f>
        <v>0</v>
      </c>
      <c r="R24" s="1697">
        <f>'5. Financials'!$I$107*SUM(R3:R4,R6:R7,R9:R10)</f>
        <v>0</v>
      </c>
      <c r="S24" s="1697">
        <f>'5. Financials'!$I$107*SUM(S3:S4,S6:S7,S9:S10)</f>
        <v>0</v>
      </c>
      <c r="T24" s="1697">
        <f>'5. Financials'!$I$107*SUM(T3:T4,T6:T7,T9:T10)</f>
        <v>0</v>
      </c>
      <c r="U24" s="1697">
        <f>'5. Financials'!$I$107*SUM(U3:U4,U6:U7,U9:U10)</f>
        <v>0</v>
      </c>
      <c r="V24" s="1697">
        <f>'5. Financials'!$I$107*SUM(V3:V4,V6:V7,V9:V10)</f>
        <v>5317.8714271778344</v>
      </c>
      <c r="W24" s="1697">
        <f>'5. Financials'!$I$107*SUM(W3:W4,W6:W7,W9:W10)</f>
        <v>7638.8645010242881</v>
      </c>
    </row>
    <row r="25" spans="1:26">
      <c r="A25" t="s">
        <v>2652</v>
      </c>
      <c r="B25" t="str">
        <f t="shared" si="0"/>
        <v>D10_11032</v>
      </c>
      <c r="C25" t="str">
        <f t="shared" si="1"/>
        <v>LE_XXXX</v>
      </c>
      <c r="D25" t="s">
        <v>2886</v>
      </c>
      <c r="E25">
        <v>6010</v>
      </c>
      <c r="F25" t="s">
        <v>2888</v>
      </c>
      <c r="G25" t="s">
        <v>155</v>
      </c>
      <c r="H25" t="s">
        <v>154</v>
      </c>
      <c r="I25" t="s">
        <v>146</v>
      </c>
      <c r="J25" t="s">
        <v>147</v>
      </c>
      <c r="K25" s="45" t="str">
        <f>+"FY"&amp;RIGHT(YEAR('Hyperion Panel'!$B$9),2)</f>
        <v>FY10</v>
      </c>
      <c r="L25" s="1612">
        <f>+IF(COLUMNS($L25:L25)&lt;month,0,'5. Financials'!$I$74/12)</f>
        <v>0</v>
      </c>
      <c r="M25" s="1612">
        <f>+IF(COLUMNS($L25:M25)&lt;month,0,'5. Financials'!$I$74/12)</f>
        <v>0</v>
      </c>
      <c r="N25" s="1612">
        <f>+IF(COLUMNS($L25:N25)&lt;month,0,'5. Financials'!$I$74/12)</f>
        <v>0</v>
      </c>
      <c r="O25" s="1612">
        <f>+IF(COLUMNS($L25:O25)&lt;month,0,'5. Financials'!$I$74/12)</f>
        <v>0</v>
      </c>
      <c r="P25" s="1612">
        <f>+IF(COLUMNS($L25:P25)&lt;month,0,'5. Financials'!$I$74/12)</f>
        <v>0</v>
      </c>
      <c r="Q25" s="1612">
        <f>+IF(COLUMNS($L25:Q25)&lt;month,0,'5. Financials'!$I$74/12)</f>
        <v>0</v>
      </c>
      <c r="R25" s="1612">
        <f>+IF(COLUMNS($L25:R25)&lt;month,0,'5. Financials'!$I$74/12)</f>
        <v>0</v>
      </c>
      <c r="S25" s="1612">
        <f>+IF(COLUMNS($L25:S25)&lt;month,0,'5. Financials'!$I$74/12)</f>
        <v>0</v>
      </c>
      <c r="T25" s="1612">
        <f>+IF(COLUMNS($L25:T25)&lt;month,0,'5. Financials'!$I$74/12)</f>
        <v>0</v>
      </c>
      <c r="U25" s="1612">
        <f>+IF(COLUMNS($L25:U25)&lt;month,0,'5. Financials'!$I$74/12)</f>
        <v>0</v>
      </c>
      <c r="V25" s="1702">
        <f>+IF(COLUMNS($L25:V25)&lt;month,0,'5. Financials'!$I$74/12)</f>
        <v>10333.333333333334</v>
      </c>
      <c r="W25" s="1612">
        <f>+IF(COLUMNS($L25:W25)&lt;month,0,'5. Financials'!$I$74/12)</f>
        <v>10333.333333333334</v>
      </c>
    </row>
    <row r="26" spans="1:26">
      <c r="A26" t="s">
        <v>2653</v>
      </c>
      <c r="B26" t="str">
        <f t="shared" si="0"/>
        <v>D10_11032</v>
      </c>
      <c r="C26" t="str">
        <f t="shared" si="1"/>
        <v>LE_XXXX</v>
      </c>
      <c r="D26" t="s">
        <v>2886</v>
      </c>
      <c r="E26">
        <v>6051</v>
      </c>
      <c r="F26" t="s">
        <v>2888</v>
      </c>
      <c r="G26" t="s">
        <v>153</v>
      </c>
      <c r="H26" t="s">
        <v>154</v>
      </c>
      <c r="I26" t="s">
        <v>146</v>
      </c>
      <c r="J26" t="s">
        <v>147</v>
      </c>
      <c r="K26" s="45" t="str">
        <f>+"FY"&amp;RIGHT(YEAR('Hyperion Panel'!$B$9),2)</f>
        <v>FY10</v>
      </c>
      <c r="L26" s="1612">
        <f>+IF(COLUMNS($L26:L26)&lt;month,0,'5. Financials'!$I$75/12)</f>
        <v>0</v>
      </c>
      <c r="M26" s="1612">
        <f>+IF(COLUMNS($L26:M26)&lt;month,0,'5. Financials'!$I$75/12)</f>
        <v>0</v>
      </c>
      <c r="N26" s="1612">
        <f>+IF(COLUMNS($L26:N26)&lt;month,0,'5. Financials'!$I$75/12)</f>
        <v>0</v>
      </c>
      <c r="O26" s="1612">
        <f>+IF(COLUMNS($L26:O26)&lt;month,0,'5. Financials'!$I$75/12)</f>
        <v>0</v>
      </c>
      <c r="P26" s="1612">
        <f>+IF(COLUMNS($L26:P26)&lt;month,0,'5. Financials'!$I$75/12)</f>
        <v>0</v>
      </c>
      <c r="Q26" s="1612">
        <f>+IF(COLUMNS($L26:Q26)&lt;month,0,'5. Financials'!$I$75/12)</f>
        <v>0</v>
      </c>
      <c r="R26" s="1612">
        <f>+IF(COLUMNS($L26:R26)&lt;month,0,'5. Financials'!$I$75/12)</f>
        <v>0</v>
      </c>
      <c r="S26" s="1612">
        <f>+IF(COLUMNS($L26:S26)&lt;month,0,'5. Financials'!$I$75/12)</f>
        <v>0</v>
      </c>
      <c r="T26" s="1612">
        <f>+IF(COLUMNS($L26:T26)&lt;month,0,'5. Financials'!$I$75/12)</f>
        <v>0</v>
      </c>
      <c r="U26" s="1612">
        <f>+IF(COLUMNS($L26:U26)&lt;month,0,'5. Financials'!$I$75/12)</f>
        <v>0</v>
      </c>
      <c r="V26" s="1612">
        <f>+IF(COLUMNS($L26:V26)&lt;month,0,'5. Financials'!$I$75/12)</f>
        <v>11082.5</v>
      </c>
      <c r="W26" s="1612">
        <f>+IF(COLUMNS($L26:W26)&lt;month,0,'5. Financials'!$I$75/12)</f>
        <v>11082.5</v>
      </c>
    </row>
    <row r="27" spans="1:26">
      <c r="A27" t="s">
        <v>2654</v>
      </c>
      <c r="B27" t="str">
        <f t="shared" si="0"/>
        <v>D10_11032</v>
      </c>
      <c r="C27" t="str">
        <f t="shared" si="1"/>
        <v>LE_XXXX</v>
      </c>
      <c r="D27" t="s">
        <v>2886</v>
      </c>
      <c r="E27">
        <v>6011</v>
      </c>
      <c r="F27" t="s">
        <v>2888</v>
      </c>
      <c r="G27" t="s">
        <v>153</v>
      </c>
      <c r="H27" t="s">
        <v>154</v>
      </c>
      <c r="I27" t="s">
        <v>146</v>
      </c>
      <c r="J27" t="s">
        <v>147</v>
      </c>
      <c r="K27" s="45" t="str">
        <f>+"FY"&amp;RIGHT(YEAR('Hyperion Panel'!$B$9),2)</f>
        <v>FY10</v>
      </c>
      <c r="L27" s="1612">
        <f>+IF(COLUMNS($L27:L27)&lt;month,0,'5. Financials'!$I$76/12)</f>
        <v>0</v>
      </c>
      <c r="M27" s="1612">
        <f>+IF(COLUMNS($L27:M27)&lt;month,0,'5. Financials'!$I$76/12)</f>
        <v>0</v>
      </c>
      <c r="N27" s="1612">
        <f>+IF(COLUMNS($L27:N27)&lt;month,0,'5. Financials'!$I$76/12)</f>
        <v>0</v>
      </c>
      <c r="O27" s="1612">
        <f>+IF(COLUMNS($L27:O27)&lt;month,0,'5. Financials'!$I$76/12)</f>
        <v>0</v>
      </c>
      <c r="P27" s="1612">
        <f>+IF(COLUMNS($L27:P27)&lt;month,0,'5. Financials'!$I$76/12)</f>
        <v>0</v>
      </c>
      <c r="Q27" s="1612">
        <f>+IF(COLUMNS($L27:Q27)&lt;month,0,'5. Financials'!$I$76/12)</f>
        <v>0</v>
      </c>
      <c r="R27" s="1612">
        <f>+IF(COLUMNS($L27:R27)&lt;month,0,'5. Financials'!$I$76/12)</f>
        <v>0</v>
      </c>
      <c r="S27" s="1612">
        <f>+IF(COLUMNS($L27:S27)&lt;month,0,'5. Financials'!$I$76/12)</f>
        <v>0</v>
      </c>
      <c r="T27" s="1612">
        <f>+IF(COLUMNS($L27:T27)&lt;month,0,'5. Financials'!$I$76/12)</f>
        <v>0</v>
      </c>
      <c r="U27" s="1612">
        <f>+IF(COLUMNS($L27:U27)&lt;month,0,'5. Financials'!$I$76/12)</f>
        <v>0</v>
      </c>
      <c r="V27" s="1612">
        <f>+IF(COLUMNS($L27:V27)&lt;month,0,'5. Financials'!$I$76/12)</f>
        <v>0</v>
      </c>
      <c r="W27" s="1612">
        <f>+IF(COLUMNS($L27:W27)&lt;month,0,'5. Financials'!$I$76/12)</f>
        <v>0</v>
      </c>
    </row>
    <row r="28" spans="1:26">
      <c r="A28" s="6" t="s">
        <v>3769</v>
      </c>
      <c r="B28" t="str">
        <f t="shared" si="0"/>
        <v>D10_11032</v>
      </c>
      <c r="C28" t="str">
        <f t="shared" si="1"/>
        <v>LE_XXXX</v>
      </c>
      <c r="D28" t="s">
        <v>2886</v>
      </c>
      <c r="E28">
        <v>6600</v>
      </c>
      <c r="F28" t="s">
        <v>2888</v>
      </c>
      <c r="G28" t="s">
        <v>2889</v>
      </c>
      <c r="H28" t="s">
        <v>154</v>
      </c>
      <c r="I28" t="s">
        <v>146</v>
      </c>
      <c r="J28" t="s">
        <v>147</v>
      </c>
      <c r="K28" s="45" t="str">
        <f>+"FY"&amp;RIGHT(YEAR('Hyperion Panel'!$B$9),2)</f>
        <v>FY10</v>
      </c>
      <c r="L28" s="1696">
        <f>'5. Financials'!$I$114*SUM(L3:L4,L6:L7)</f>
        <v>0</v>
      </c>
      <c r="M28" s="1696">
        <f>'5. Financials'!$I$114*SUM(M3:M4,M6:M7)</f>
        <v>0</v>
      </c>
      <c r="N28" s="1696">
        <f>'5. Financials'!$I$114*SUM(N3:N4,N6:N7)</f>
        <v>0</v>
      </c>
      <c r="O28" s="1696">
        <f>'5. Financials'!$I$114*SUM(O3:O4,O6:O7)</f>
        <v>0</v>
      </c>
      <c r="P28" s="1696">
        <f>'5. Financials'!$I$114*SUM(P3:P4,P6:P7)</f>
        <v>0</v>
      </c>
      <c r="Q28" s="1696">
        <f>'5. Financials'!$I$114*SUM(Q3:Q4,Q6:Q7)</f>
        <v>0</v>
      </c>
      <c r="R28" s="1696">
        <f>'5. Financials'!$I$114*SUM(R3:R4,R6:R7)</f>
        <v>0</v>
      </c>
      <c r="S28" s="1696">
        <f>'5. Financials'!$I$114*SUM(S3:S4,S6:S7)</f>
        <v>0</v>
      </c>
      <c r="T28" s="1696">
        <f>'5. Financials'!$I$114*SUM(T3:T4,T6:T7)</f>
        <v>0</v>
      </c>
      <c r="U28" s="1696">
        <f>'5. Financials'!$I$114*SUM(U3:U4,U6:U7)</f>
        <v>0</v>
      </c>
      <c r="V28" s="1696">
        <f>'5. Financials'!$I$114*SUM(V3:V4,V6:V7)</f>
        <v>3472.201931367636</v>
      </c>
      <c r="W28" s="1696">
        <f>'5. Financials'!$I$114*SUM(W3:W4,W6:W7)</f>
        <v>5420.8174071253825</v>
      </c>
    </row>
    <row r="29" spans="1:26">
      <c r="A29" s="6" t="s">
        <v>3770</v>
      </c>
      <c r="B29" t="str">
        <f t="shared" si="0"/>
        <v>D10_11032</v>
      </c>
      <c r="C29" t="str">
        <f t="shared" si="1"/>
        <v>LE_XXXX</v>
      </c>
      <c r="D29" t="s">
        <v>2886</v>
      </c>
      <c r="E29">
        <v>6800</v>
      </c>
      <c r="F29" t="s">
        <v>156</v>
      </c>
      <c r="G29" t="s">
        <v>2889</v>
      </c>
      <c r="H29" t="s">
        <v>154</v>
      </c>
      <c r="I29" t="s">
        <v>146</v>
      </c>
      <c r="J29" t="s">
        <v>147</v>
      </c>
      <c r="K29" s="45" t="str">
        <f>+"FY"&amp;RIGHT(YEAR('Hyperion Panel'!$B$9),2)</f>
        <v>FY10</v>
      </c>
      <c r="L29" s="1696">
        <f>'5. Financials'!$I$118*SUM(L3:L4,L6:L7)</f>
        <v>0</v>
      </c>
      <c r="M29" s="1696">
        <f>'5. Financials'!$I$118*SUM(M3:M4,M6:M7)</f>
        <v>0</v>
      </c>
      <c r="N29" s="1696">
        <f>'5. Financials'!$I$118*SUM(N3:N4,N6:N7)</f>
        <v>0</v>
      </c>
      <c r="O29" s="1696">
        <f>'5. Financials'!$I$118*SUM(O3:O4,O6:O7)</f>
        <v>0</v>
      </c>
      <c r="P29" s="1696">
        <f>'5. Financials'!$I$118*SUM(P3:P4,P6:P7)</f>
        <v>0</v>
      </c>
      <c r="Q29" s="1696">
        <f>'5. Financials'!$I$118*SUM(Q3:Q4,Q6:Q7)</f>
        <v>0</v>
      </c>
      <c r="R29" s="1696">
        <f>'5. Financials'!$I$118*SUM(R3:R4,R6:R7)</f>
        <v>0</v>
      </c>
      <c r="S29" s="1696">
        <f>'5. Financials'!$I$118*SUM(S3:S4,S6:S7)</f>
        <v>0</v>
      </c>
      <c r="T29" s="1696">
        <f>'5. Financials'!$I$118*SUM(T3:T4,T6:T7)</f>
        <v>0</v>
      </c>
      <c r="U29" s="1696">
        <f>'5. Financials'!$I$118*SUM(U3:U4,U6:U7)</f>
        <v>0</v>
      </c>
      <c r="V29" s="1696">
        <f>'5. Financials'!$I$118*SUM(V3:V4,V6:V7)</f>
        <v>1286.7620362465932</v>
      </c>
      <c r="W29" s="1696">
        <f>'5. Financials'!$I$118*SUM(W3:W4,W6:W7)</f>
        <v>2008.8987284694563</v>
      </c>
    </row>
    <row r="30" spans="1:26">
      <c r="A30" t="s">
        <v>3697</v>
      </c>
      <c r="B30" t="str">
        <f t="shared" si="0"/>
        <v>D10_11032</v>
      </c>
      <c r="C30" t="str">
        <f t="shared" si="1"/>
        <v>LE_XXXX</v>
      </c>
      <c r="D30" t="s">
        <v>2886</v>
      </c>
      <c r="E30">
        <v>8600</v>
      </c>
      <c r="F30" t="s">
        <v>156</v>
      </c>
      <c r="G30" t="s">
        <v>2889</v>
      </c>
      <c r="H30" t="s">
        <v>154</v>
      </c>
      <c r="I30" t="s">
        <v>146</v>
      </c>
      <c r="J30" t="s">
        <v>147</v>
      </c>
      <c r="K30" s="45" t="str">
        <f>+"FY"&amp;RIGHT(YEAR('Hyperion Panel'!$B$9),2)</f>
        <v>FY10</v>
      </c>
      <c r="L30" s="1612">
        <f>+IF(COLUMNS($L30:L30)&lt;month,0,'5. Financials'!$I$78/12)</f>
        <v>0</v>
      </c>
      <c r="M30" s="1612">
        <f>+IF(COLUMNS($L30:M30)&lt;month,0,'5. Financials'!$I$78/12)</f>
        <v>0</v>
      </c>
      <c r="N30" s="1612">
        <f>+IF(COLUMNS($L30:N30)&lt;month,0,'5. Financials'!$I$78/12)</f>
        <v>0</v>
      </c>
      <c r="O30" s="1612">
        <f>+IF(COLUMNS($L30:O30)&lt;month,0,'5. Financials'!$I$78/12)</f>
        <v>0</v>
      </c>
      <c r="P30" s="1612">
        <f>+IF(COLUMNS($L30:P30)&lt;month,0,'5. Financials'!$I$78/12)</f>
        <v>0</v>
      </c>
      <c r="Q30" s="1612">
        <f>+IF(COLUMNS($L30:Q30)&lt;month,0,'5. Financials'!$I$78/12)</f>
        <v>0</v>
      </c>
      <c r="R30" s="1612">
        <f>+IF(COLUMNS($L30:R30)&lt;month,0,'5. Financials'!$I$78/12)</f>
        <v>0</v>
      </c>
      <c r="S30" s="1612">
        <f>+IF(COLUMNS($L30:S30)&lt;month,0,'5. Financials'!$I$78/12)</f>
        <v>0</v>
      </c>
      <c r="T30" s="1612">
        <f>+IF(COLUMNS($L30:T30)&lt;month,0,'5. Financials'!$I$78/12)</f>
        <v>0</v>
      </c>
      <c r="U30" s="1612">
        <f>+IF(COLUMNS($L30:U30)&lt;month,0,'5. Financials'!$I$78/12)</f>
        <v>0</v>
      </c>
      <c r="V30" s="1612">
        <f>+IF(COLUMNS($L30:V30)&lt;month,0,'5. Financials'!$I$78/12)</f>
        <v>20591.856</v>
      </c>
      <c r="W30" s="1612">
        <f>+IF(COLUMNS($L30:W30)&lt;month,0,'5. Financials'!$I$78/12)</f>
        <v>20591.856</v>
      </c>
    </row>
    <row r="31" spans="1:26">
      <c r="A31" t="s">
        <v>157</v>
      </c>
      <c r="B31" t="str">
        <f t="shared" si="0"/>
        <v>D10_11032</v>
      </c>
      <c r="C31" t="str">
        <f t="shared" si="1"/>
        <v>LE_XXXX</v>
      </c>
      <c r="D31" t="s">
        <v>2886</v>
      </c>
      <c r="E31">
        <v>6720</v>
      </c>
      <c r="F31" t="s">
        <v>156</v>
      </c>
      <c r="G31" t="s">
        <v>2889</v>
      </c>
      <c r="H31" t="s">
        <v>154</v>
      </c>
      <c r="I31" t="s">
        <v>146</v>
      </c>
      <c r="J31" t="s">
        <v>147</v>
      </c>
      <c r="K31" s="45" t="str">
        <f>+"FY"&amp;RIGHT(YEAR('Hyperion Panel'!$B$9),2)</f>
        <v>FY10</v>
      </c>
      <c r="L31" s="1612">
        <f>+IF(COLUMNS($L31:L31)&lt;month,0,'5. Financials'!$I$79/12)</f>
        <v>0</v>
      </c>
      <c r="M31" s="1612">
        <f>+IF(COLUMNS($L31:M31)&lt;month,0,'5. Financials'!$I$79/12)</f>
        <v>0</v>
      </c>
      <c r="N31" s="1612">
        <f>+IF(COLUMNS($L31:N31)&lt;month,0,'5. Financials'!$I$79/12)</f>
        <v>0</v>
      </c>
      <c r="O31" s="1612">
        <f>+IF(COLUMNS($L31:O31)&lt;month,0,'5. Financials'!$I$79/12)</f>
        <v>0</v>
      </c>
      <c r="P31" s="1612">
        <f>+IF(COLUMNS($L31:P31)&lt;month,0,'5. Financials'!$I$79/12)</f>
        <v>0</v>
      </c>
      <c r="Q31" s="1612">
        <f>+IF(COLUMNS($L31:Q31)&lt;month,0,'5. Financials'!$I$79/12)</f>
        <v>0</v>
      </c>
      <c r="R31" s="1612">
        <f>+IF(COLUMNS($L31:R31)&lt;month,0,'5. Financials'!$I$79/12)</f>
        <v>0</v>
      </c>
      <c r="S31" s="1612">
        <f>+IF(COLUMNS($L31:S31)&lt;month,0,'5. Financials'!$I$79/12)</f>
        <v>0</v>
      </c>
      <c r="T31" s="1612">
        <f>+IF(COLUMNS($L31:T31)&lt;month,0,'5. Financials'!$I$79/12)</f>
        <v>0</v>
      </c>
      <c r="U31" s="1612">
        <f>+IF(COLUMNS($L31:U31)&lt;month,0,'5. Financials'!$I$79/12)</f>
        <v>0</v>
      </c>
      <c r="V31" s="1612">
        <f>+IF(COLUMNS($L31:V31)&lt;month,0,'5. Financials'!$I$79/12)</f>
        <v>14118.416666666666</v>
      </c>
      <c r="W31" s="1612">
        <f>+IF(COLUMNS($L31:W31)&lt;month,0,'5. Financials'!$I$79/12)</f>
        <v>14118.416666666666</v>
      </c>
    </row>
    <row r="32" spans="1:26">
      <c r="A32" t="s">
        <v>3771</v>
      </c>
      <c r="B32" t="str">
        <f t="shared" si="0"/>
        <v>D10_11032</v>
      </c>
      <c r="C32" t="str">
        <f t="shared" si="1"/>
        <v>LE_XXXX</v>
      </c>
      <c r="D32" t="s">
        <v>2886</v>
      </c>
      <c r="E32">
        <v>8110</v>
      </c>
      <c r="F32" t="s">
        <v>156</v>
      </c>
      <c r="G32" t="s">
        <v>2889</v>
      </c>
      <c r="H32" t="s">
        <v>154</v>
      </c>
      <c r="I32" t="s">
        <v>146</v>
      </c>
      <c r="J32" t="s">
        <v>147</v>
      </c>
      <c r="K32" s="45" t="str">
        <f>+"FY"&amp;RIGHT(YEAR('Hyperion Panel'!$B$9),2)</f>
        <v>FY10</v>
      </c>
      <c r="L32" s="1612">
        <f>+IF(COLUMNS($L32:L32)&lt;month,0,'5. Financials'!$I$82/12)</f>
        <v>0</v>
      </c>
      <c r="M32" s="1612">
        <f>+IF(COLUMNS($L32:M32)&lt;month,0,'5. Financials'!$I$82/12)</f>
        <v>0</v>
      </c>
      <c r="N32" s="1612">
        <f>+IF(COLUMNS($L32:N32)&lt;month,0,'5. Financials'!$I$82/12)</f>
        <v>0</v>
      </c>
      <c r="O32" s="1612">
        <f>+IF(COLUMNS($L32:O32)&lt;month,0,'5. Financials'!$I$82/12)</f>
        <v>0</v>
      </c>
      <c r="P32" s="1612">
        <f>+IF(COLUMNS($L32:P32)&lt;month,0,'5. Financials'!$I$82/12)</f>
        <v>0</v>
      </c>
      <c r="Q32" s="1612">
        <f>+IF(COLUMNS($L32:Q32)&lt;month,0,'5. Financials'!$I$82/12)</f>
        <v>0</v>
      </c>
      <c r="R32" s="1612">
        <f>+IF(COLUMNS($L32:R32)&lt;month,0,'5. Financials'!$I$82/12)</f>
        <v>0</v>
      </c>
      <c r="S32" s="1612">
        <f>+IF(COLUMNS($L32:S32)&lt;month,0,'5. Financials'!$I$82/12)</f>
        <v>0</v>
      </c>
      <c r="T32" s="1612">
        <f>+IF(COLUMNS($L32:T32)&lt;month,0,'5. Financials'!$I$82/12)</f>
        <v>0</v>
      </c>
      <c r="U32" s="1612">
        <f>+IF(COLUMNS($L32:U32)&lt;month,0,'5. Financials'!$I$82/12)</f>
        <v>0</v>
      </c>
      <c r="V32" s="1612">
        <f>+IF(COLUMNS($L32:V32)&lt;month,0,'5. Financials'!$I$82/12)</f>
        <v>1323.2929999999999</v>
      </c>
      <c r="W32" s="1612">
        <f>+IF(COLUMNS($L32:W32)&lt;month,0,'5. Financials'!$I$82/12)</f>
        <v>1323.2929999999999</v>
      </c>
    </row>
    <row r="33" spans="1:26">
      <c r="A33" s="102" t="s">
        <v>171</v>
      </c>
      <c r="B33" t="str">
        <f t="shared" si="0"/>
        <v>D10_11032</v>
      </c>
      <c r="C33" s="98" t="str">
        <f t="shared" si="1"/>
        <v>LE_XXXX</v>
      </c>
      <c r="D33" s="98" t="s">
        <v>2886</v>
      </c>
      <c r="E33" s="98">
        <v>6412</v>
      </c>
      <c r="F33" s="98" t="s">
        <v>156</v>
      </c>
      <c r="G33" s="98" t="s">
        <v>2889</v>
      </c>
      <c r="H33" s="98" t="s">
        <v>154</v>
      </c>
      <c r="I33" s="98" t="s">
        <v>146</v>
      </c>
      <c r="J33" s="98" t="s">
        <v>147</v>
      </c>
      <c r="K33" s="45" t="str">
        <f>+"FY"&amp;RIGHT(YEAR('Hyperion Panel'!$B$9),2)</f>
        <v>FY10</v>
      </c>
      <c r="L33" s="1696">
        <f>'5. Financials'!$I$117*SUM(L3:L4,L6:L7)</f>
        <v>0</v>
      </c>
      <c r="M33" s="1696">
        <f>'5. Financials'!$I$117*SUM(M3:M4,M6:M7)</f>
        <v>0</v>
      </c>
      <c r="N33" s="1696">
        <f>'5. Financials'!$I$117*SUM(N3:N4,N6:N7)</f>
        <v>0</v>
      </c>
      <c r="O33" s="1696">
        <f>'5. Financials'!$I$117*SUM(O3:O4,O6:O7)</f>
        <v>0</v>
      </c>
      <c r="P33" s="1696">
        <f>'5. Financials'!$I$117*SUM(P3:P4,P6:P7)</f>
        <v>0</v>
      </c>
      <c r="Q33" s="1696">
        <f>'5. Financials'!$I$117*SUM(Q3:Q4,Q6:Q7)</f>
        <v>0</v>
      </c>
      <c r="R33" s="1696">
        <f>'5. Financials'!$I$117*SUM(R3:R4,R6:R7)</f>
        <v>0</v>
      </c>
      <c r="S33" s="1696">
        <f>'5. Financials'!$I$117*SUM(S3:S4,S6:S7)</f>
        <v>0</v>
      </c>
      <c r="T33" s="1696">
        <f>'5. Financials'!$I$117*SUM(T3:T4,T6:T7)</f>
        <v>0</v>
      </c>
      <c r="U33" s="1696">
        <f>'5. Financials'!$I$117*SUM(U3:U4,U6:U7)</f>
        <v>0</v>
      </c>
      <c r="V33" s="1696">
        <f>'5. Financials'!$I$117*SUM(V3:V4,V6:V7)</f>
        <v>1217.1958991125173</v>
      </c>
      <c r="W33" s="1696">
        <f>'5. Financials'!$I$117*SUM(W3:W4,W6:W7)</f>
        <v>1900.2917595843444</v>
      </c>
    </row>
    <row r="34" spans="1:26" s="3" customFormat="1">
      <c r="A34" s="1687" t="s">
        <v>730</v>
      </c>
      <c r="B34" t="str">
        <f t="shared" si="0"/>
        <v>D10_11032</v>
      </c>
      <c r="C34" s="1687" t="str">
        <f t="shared" si="1"/>
        <v>LE_XXXX</v>
      </c>
      <c r="D34" s="1687" t="s">
        <v>2886</v>
      </c>
      <c r="E34" s="1687">
        <v>8110</v>
      </c>
      <c r="F34" s="1687" t="s">
        <v>731</v>
      </c>
      <c r="G34" s="1687" t="s">
        <v>2889</v>
      </c>
      <c r="H34" s="1687" t="s">
        <v>154</v>
      </c>
      <c r="I34" s="1687" t="s">
        <v>146</v>
      </c>
      <c r="J34" s="1687" t="s">
        <v>147</v>
      </c>
      <c r="K34" s="45" t="str">
        <f>+"FY"&amp;RIGHT(YEAR('Hyperion Panel'!$B$9),2)</f>
        <v>FY10</v>
      </c>
      <c r="L34" s="1704">
        <f>+IF(COLUMNS($L34:L34)&lt;month,0,'5. Financials'!$I$88/12)</f>
        <v>0</v>
      </c>
      <c r="M34" s="1704">
        <f>+IF(COLUMNS($L34:M34)&lt;month,0,'5. Financials'!$I$88/12)</f>
        <v>0</v>
      </c>
      <c r="N34" s="1704">
        <f>+IF(COLUMNS($L34:N34)&lt;month,0,'5. Financials'!$I$88/12)</f>
        <v>0</v>
      </c>
      <c r="O34" s="1704">
        <f>+IF(COLUMNS($L34:O34)&lt;month,0,'5. Financials'!$I$88/12)</f>
        <v>0</v>
      </c>
      <c r="P34" s="1704">
        <f>+IF(COLUMNS($L34:P34)&lt;month,0,'5. Financials'!$I$88/12)</f>
        <v>0</v>
      </c>
      <c r="Q34" s="1704">
        <f>+IF(COLUMNS($L34:Q34)&lt;month,0,'5. Financials'!$I$88/12)</f>
        <v>0</v>
      </c>
      <c r="R34" s="1704">
        <f>+IF(COLUMNS($L34:R34)&lt;month,0,'5. Financials'!$I$88/12)</f>
        <v>0</v>
      </c>
      <c r="S34" s="1704">
        <f>+IF(COLUMNS($L34:S34)&lt;month,0,'5. Financials'!$I$88/12)</f>
        <v>0</v>
      </c>
      <c r="T34" s="1704">
        <f>+IF(COLUMNS($L34:T34)&lt;month,0,'5. Financials'!$I$88/12)</f>
        <v>0</v>
      </c>
      <c r="U34" s="1704">
        <f>+IF(COLUMNS($L34:U34)&lt;month,0,'5. Financials'!$I$88/12)</f>
        <v>0</v>
      </c>
      <c r="V34" s="1704">
        <f>+IF(COLUMNS($L34:V34)&lt;month,0,'5. Financials'!$I$88/12)</f>
        <v>833.33333333333337</v>
      </c>
      <c r="W34" s="1704">
        <f>+IF(COLUMNS($L34:W34)&lt;month,0,'5. Financials'!$I$88/12)</f>
        <v>833.33333333333337</v>
      </c>
      <c r="Y34" s="1688"/>
    </row>
    <row r="35" spans="1:26" s="3" customFormat="1">
      <c r="A35" s="1687" t="s">
        <v>732</v>
      </c>
      <c r="B35" t="str">
        <f t="shared" si="0"/>
        <v>D10_11032</v>
      </c>
      <c r="C35" s="1687" t="str">
        <f t="shared" si="1"/>
        <v>LE_XXXX</v>
      </c>
      <c r="D35" s="1687" t="s">
        <v>2886</v>
      </c>
      <c r="E35" s="1687"/>
      <c r="F35" s="1687" t="s">
        <v>731</v>
      </c>
      <c r="G35" s="1687" t="s">
        <v>2889</v>
      </c>
      <c r="H35" s="1687" t="s">
        <v>154</v>
      </c>
      <c r="I35" s="1687" t="s">
        <v>146</v>
      </c>
      <c r="J35" s="1687" t="s">
        <v>147</v>
      </c>
      <c r="K35" s="45" t="str">
        <f>+"FY"&amp;RIGHT(YEAR('Hyperion Panel'!$B$9),2)</f>
        <v>FY10</v>
      </c>
      <c r="L35" s="1704">
        <f>+IF(COLUMNS($L35:L35)&lt;month,0,'5. Financials'!$I$89/12)</f>
        <v>0</v>
      </c>
      <c r="M35" s="1704">
        <f>+IF(COLUMNS($L35:M35)&lt;month,0,'5. Financials'!$I$89/12)</f>
        <v>0</v>
      </c>
      <c r="N35" s="1704">
        <f>+IF(COLUMNS($L35:N35)&lt;month,0,'5. Financials'!$I$89/12)</f>
        <v>0</v>
      </c>
      <c r="O35" s="1704">
        <f>+IF(COLUMNS($L35:O35)&lt;month,0,'5. Financials'!$I$89/12)</f>
        <v>0</v>
      </c>
      <c r="P35" s="1704">
        <f>+IF(COLUMNS($L35:P35)&lt;month,0,'5. Financials'!$I$89/12)</f>
        <v>0</v>
      </c>
      <c r="Q35" s="1704">
        <f>+IF(COLUMNS($L35:Q35)&lt;month,0,'5. Financials'!$I$89/12)</f>
        <v>0</v>
      </c>
      <c r="R35" s="1704">
        <f>+IF(COLUMNS($L35:R35)&lt;month,0,'5. Financials'!$I$89/12)</f>
        <v>0</v>
      </c>
      <c r="S35" s="1704">
        <f>+IF(COLUMNS($L35:S35)&lt;month,0,'5. Financials'!$I$89/12)</f>
        <v>0</v>
      </c>
      <c r="T35" s="1704">
        <f>+IF(COLUMNS($L35:T35)&lt;month,0,'5. Financials'!$I$89/12)</f>
        <v>0</v>
      </c>
      <c r="U35" s="1704">
        <f>+IF(COLUMNS($L35:U35)&lt;month,0,'5. Financials'!$I$89/12)</f>
        <v>0</v>
      </c>
      <c r="V35" s="1704">
        <f>+IF(COLUMNS($L35:V35)&lt;month,0,'5. Financials'!$I$89/12)</f>
        <v>49.30555555555555</v>
      </c>
      <c r="W35" s="1704">
        <f>+IF(COLUMNS($L35:W35)&lt;month,0,'5. Financials'!$I$89/12)</f>
        <v>49.30555555555555</v>
      </c>
      <c r="Y35" s="1688"/>
    </row>
    <row r="36" spans="1:26" s="3" customFormat="1">
      <c r="A36" s="1687" t="s">
        <v>733</v>
      </c>
      <c r="B36" t="str">
        <f t="shared" si="0"/>
        <v>D10_11032</v>
      </c>
      <c r="C36" s="1687" t="str">
        <f t="shared" si="1"/>
        <v>LE_XXXX</v>
      </c>
      <c r="D36" s="1687" t="s">
        <v>2886</v>
      </c>
      <c r="E36" s="1687"/>
      <c r="F36" s="1687" t="s">
        <v>731</v>
      </c>
      <c r="G36" s="1687" t="s">
        <v>2889</v>
      </c>
      <c r="H36" s="1687" t="s">
        <v>154</v>
      </c>
      <c r="I36" s="1687" t="s">
        <v>146</v>
      </c>
      <c r="J36" s="1687" t="s">
        <v>147</v>
      </c>
      <c r="K36" s="45" t="str">
        <f>+"FY"&amp;RIGHT(YEAR('Hyperion Panel'!$B$9),2)</f>
        <v>FY10</v>
      </c>
      <c r="L36" s="1704">
        <f>+IF(COLUMNS($L36:L36)&lt;month,0,'5. Financials'!$I$90/12)</f>
        <v>0</v>
      </c>
      <c r="M36" s="1704">
        <f>+IF(COLUMNS($L36:M36)&lt;month,0,'5. Financials'!$I$90/12)</f>
        <v>0</v>
      </c>
      <c r="N36" s="1704">
        <f>+IF(COLUMNS($L36:N36)&lt;month,0,'5. Financials'!$I$90/12)</f>
        <v>0</v>
      </c>
      <c r="O36" s="1704">
        <f>+IF(COLUMNS($L36:O36)&lt;month,0,'5. Financials'!$I$90/12)</f>
        <v>0</v>
      </c>
      <c r="P36" s="1704">
        <f>+IF(COLUMNS($L36:P36)&lt;month,0,'5. Financials'!$I$90/12)</f>
        <v>0</v>
      </c>
      <c r="Q36" s="1704">
        <f>+IF(COLUMNS($L36:Q36)&lt;month,0,'5. Financials'!$I$90/12)</f>
        <v>0</v>
      </c>
      <c r="R36" s="1704">
        <f>+IF(COLUMNS($L36:R36)&lt;month,0,'5. Financials'!$I$90/12)</f>
        <v>0</v>
      </c>
      <c r="S36" s="1704">
        <f>+IF(COLUMNS($L36:S36)&lt;month,0,'5. Financials'!$I$90/12)</f>
        <v>0</v>
      </c>
      <c r="T36" s="1704">
        <f>+IF(COLUMNS($L36:T36)&lt;month,0,'5. Financials'!$I$90/12)</f>
        <v>0</v>
      </c>
      <c r="U36" s="1704">
        <f>+IF(COLUMNS($L36:U36)&lt;month,0,'5. Financials'!$I$90/12)</f>
        <v>0</v>
      </c>
      <c r="V36" s="1704">
        <f>+IF(COLUMNS($L36:V36)&lt;month,0,'5. Financials'!$I$90/12)</f>
        <v>4016.6666666666665</v>
      </c>
      <c r="W36" s="1704">
        <f>+IF(COLUMNS($L36:W36)&lt;month,0,'5. Financials'!$I$90/12)</f>
        <v>4016.6666666666665</v>
      </c>
      <c r="Y36" s="1688"/>
    </row>
    <row r="37" spans="1:26" s="3" customFormat="1">
      <c r="A37" s="1687" t="s">
        <v>734</v>
      </c>
      <c r="B37" t="str">
        <f t="shared" si="0"/>
        <v>D10_11032</v>
      </c>
      <c r="C37" s="1687" t="str">
        <f t="shared" si="1"/>
        <v>LE_XXXX</v>
      </c>
      <c r="D37" s="1687" t="s">
        <v>2886</v>
      </c>
      <c r="E37" s="1687">
        <v>6800</v>
      </c>
      <c r="F37" s="1687" t="s">
        <v>731</v>
      </c>
      <c r="G37" s="1687" t="s">
        <v>2889</v>
      </c>
      <c r="H37" s="1687" t="s">
        <v>154</v>
      </c>
      <c r="I37" s="1687" t="s">
        <v>146</v>
      </c>
      <c r="J37" s="1687" t="s">
        <v>147</v>
      </c>
      <c r="K37" s="45" t="str">
        <f>+"FY"&amp;RIGHT(YEAR('Hyperion Panel'!$B$9),2)</f>
        <v>FY10</v>
      </c>
      <c r="L37" s="1704">
        <f>+IF(COLUMNS($L37:L37)&lt;month,0,'5. Financials'!$I$91/12)</f>
        <v>0</v>
      </c>
      <c r="M37" s="1704">
        <f>+IF(COLUMNS($L37:M37)&lt;month,0,'5. Financials'!$I$91/12)</f>
        <v>0</v>
      </c>
      <c r="N37" s="1704">
        <f>+IF(COLUMNS($L37:N37)&lt;month,0,'5. Financials'!$I$91/12)</f>
        <v>0</v>
      </c>
      <c r="O37" s="1704">
        <f>+IF(COLUMNS($L37:O37)&lt;month,0,'5. Financials'!$I$91/12)</f>
        <v>0</v>
      </c>
      <c r="P37" s="1704">
        <f>+IF(COLUMNS($L37:P37)&lt;month,0,'5. Financials'!$I$91/12)</f>
        <v>0</v>
      </c>
      <c r="Q37" s="1704">
        <f>+IF(COLUMNS($L37:Q37)&lt;month,0,'5. Financials'!$I$91/12)</f>
        <v>0</v>
      </c>
      <c r="R37" s="1704">
        <f>+IF(COLUMNS($L37:R37)&lt;month,0,'5. Financials'!$I$91/12)</f>
        <v>0</v>
      </c>
      <c r="S37" s="1704">
        <f>+IF(COLUMNS($L37:S37)&lt;month,0,'5. Financials'!$I$91/12)</f>
        <v>0</v>
      </c>
      <c r="T37" s="1704">
        <f>+IF(COLUMNS($L37:T37)&lt;month,0,'5. Financials'!$I$91/12)</f>
        <v>0</v>
      </c>
      <c r="U37" s="1704">
        <f>+IF(COLUMNS($L37:U37)&lt;month,0,'5. Financials'!$I$91/12)</f>
        <v>0</v>
      </c>
      <c r="V37" s="1704">
        <f>+IF(COLUMNS($L37:V37)&lt;month,0,'5. Financials'!$I$91/12)</f>
        <v>729.16666666666652</v>
      </c>
      <c r="W37" s="1704">
        <f>+IF(COLUMNS($L37:W37)&lt;month,0,'5. Financials'!$I$91/12)</f>
        <v>729.16666666666652</v>
      </c>
      <c r="Y37" s="1688"/>
    </row>
    <row r="38" spans="1:26">
      <c r="A38" t="s">
        <v>158</v>
      </c>
      <c r="B38" t="str">
        <f t="shared" si="0"/>
        <v>D10_11032</v>
      </c>
      <c r="C38" t="str">
        <f t="shared" si="1"/>
        <v>LE_XXXX</v>
      </c>
      <c r="D38" t="s">
        <v>2886</v>
      </c>
      <c r="E38" t="s">
        <v>159</v>
      </c>
      <c r="F38" t="s">
        <v>156</v>
      </c>
      <c r="G38" t="s">
        <v>2889</v>
      </c>
      <c r="H38" t="s">
        <v>154</v>
      </c>
      <c r="I38" t="s">
        <v>146</v>
      </c>
      <c r="J38" t="s">
        <v>147</v>
      </c>
      <c r="K38" s="45" t="str">
        <f>+"FY"&amp;RIGHT(YEAR('Hyperion Panel'!$B$9),2)</f>
        <v>FY10</v>
      </c>
      <c r="L38" s="103">
        <f>'Hyperion Panel'!$B$7</f>
        <v>0.6</v>
      </c>
      <c r="M38" s="103">
        <f>'Hyperion Panel'!$B$7</f>
        <v>0.6</v>
      </c>
      <c r="N38" s="103">
        <f>'Hyperion Panel'!$B$7</f>
        <v>0.6</v>
      </c>
      <c r="O38" s="103">
        <f>'Hyperion Panel'!$B$7</f>
        <v>0.6</v>
      </c>
      <c r="P38" s="103">
        <f>'Hyperion Panel'!$B$7</f>
        <v>0.6</v>
      </c>
      <c r="Q38" s="103">
        <f>'Hyperion Panel'!$B$7</f>
        <v>0.6</v>
      </c>
      <c r="R38" s="103">
        <f>'Hyperion Panel'!$B$7</f>
        <v>0.6</v>
      </c>
      <c r="S38" s="103">
        <f>'Hyperion Panel'!$B$7</f>
        <v>0.6</v>
      </c>
      <c r="T38" s="103">
        <f>'Hyperion Panel'!$B$7</f>
        <v>0.6</v>
      </c>
      <c r="U38" s="103">
        <f>'Hyperion Panel'!$B$7</f>
        <v>0.6</v>
      </c>
      <c r="V38" s="1694">
        <f>'Hyperion Panel'!$B$7</f>
        <v>0.6</v>
      </c>
      <c r="W38" s="103">
        <f>'Hyperion Panel'!$B$7</f>
        <v>0.6</v>
      </c>
    </row>
    <row r="39" spans="1:26">
      <c r="A39" t="s">
        <v>160</v>
      </c>
      <c r="B39" t="str">
        <f t="shared" si="0"/>
        <v>D10_11032</v>
      </c>
      <c r="C39" t="str">
        <f t="shared" si="1"/>
        <v>LE_XXXX</v>
      </c>
      <c r="D39" t="s">
        <v>2886</v>
      </c>
      <c r="E39" t="s">
        <v>161</v>
      </c>
      <c r="F39" t="s">
        <v>156</v>
      </c>
      <c r="G39" t="s">
        <v>2889</v>
      </c>
      <c r="H39" t="s">
        <v>154</v>
      </c>
      <c r="I39" t="s">
        <v>146</v>
      </c>
      <c r="J39" t="s">
        <v>147</v>
      </c>
      <c r="K39" s="45" t="str">
        <f>+"FY"&amp;RIGHT(YEAR('Hyperion Panel'!$B$9),2)</f>
        <v>FY10</v>
      </c>
      <c r="L39" s="1697">
        <f>+IF(COLUMNS($L39:M39)&lt;&gt;(month),0,'5. Financials'!$H$77+'5. Financials'!$H$78+'5. Financials'!$H$84)</f>
        <v>0</v>
      </c>
      <c r="M39" s="1697">
        <f>+IF(COLUMNS($L39:N39)&lt;&gt;(month),0,'5. Financials'!$H$77+'5. Financials'!$H$78+'5. Financials'!$H$84)</f>
        <v>0</v>
      </c>
      <c r="N39" s="1697">
        <f>+IF(COLUMNS($L39:O39)&lt;&gt;(month),0,'5. Financials'!$H$77+'5. Financials'!$H$78+'5. Financials'!$H$84)</f>
        <v>0</v>
      </c>
      <c r="O39" s="1697">
        <f>+IF(COLUMNS($L39:P39)&lt;&gt;(month),0,'5. Financials'!$H$77+'5. Financials'!$H$78+'5. Financials'!$H$84)</f>
        <v>0</v>
      </c>
      <c r="P39" s="1697">
        <f>+IF(COLUMNS($L39:Q39)&lt;&gt;(month),0,'5. Financials'!$H$77+'5. Financials'!$H$78+'5. Financials'!$H$84)</f>
        <v>0</v>
      </c>
      <c r="Q39" s="1697">
        <f>+IF(COLUMNS($L39:R39)&lt;&gt;(month),0,'5. Financials'!$H$77+'5. Financials'!$H$78+'5. Financials'!$H$84)</f>
        <v>0</v>
      </c>
      <c r="R39" s="1697">
        <f>+IF(COLUMNS($L39:S39)&lt;&gt;(month),0,'5. Financials'!$H$77+'5. Financials'!$H$78+'5. Financials'!$H$84)</f>
        <v>0</v>
      </c>
      <c r="S39" s="1697">
        <f>+IF(COLUMNS($L39:T39)&lt;&gt;(month),0,'5. Financials'!$H$77+'5. Financials'!$H$78+'5. Financials'!$H$84)</f>
        <v>0</v>
      </c>
      <c r="T39" s="1697">
        <f>+IF(COLUMNS($L39:U39)&lt;&gt;(month),0,'5. Financials'!$H$77+'5. Financials'!$H$78+'5. Financials'!$H$84)</f>
        <v>0</v>
      </c>
      <c r="U39" s="1697">
        <f>+IF(COLUMNS($L39:V39)&lt;&gt;(month),0,'5. Financials'!$H$77+'5. Financials'!$H$78+'5. Financials'!$H$84)</f>
        <v>261731.47937388933</v>
      </c>
      <c r="V39" s="1697">
        <f>+IF(COLUMNS($L39:W39)&lt;&gt;(month),0,'5. Financials'!$H$77+'5. Financials'!$H$78+'5. Financials'!$H$84)</f>
        <v>0</v>
      </c>
      <c r="W39" s="1697">
        <f>+IF(COLUMNS($L39:X39)&lt;&gt;(month),0,'5. Financials'!$H$77+'5. Financials'!$H$78+'5. Financials'!$H$84)</f>
        <v>0</v>
      </c>
    </row>
    <row r="40" spans="1:26" s="3" customFormat="1">
      <c r="A40" s="1687" t="s">
        <v>735</v>
      </c>
      <c r="B40" t="str">
        <f t="shared" si="0"/>
        <v>D10_11032</v>
      </c>
      <c r="C40" s="1687" t="str">
        <f t="shared" si="1"/>
        <v>LE_XXXX</v>
      </c>
      <c r="D40" s="1687" t="s">
        <v>2886</v>
      </c>
      <c r="E40" s="1687"/>
      <c r="F40" s="1687" t="s">
        <v>731</v>
      </c>
      <c r="G40" s="1687" t="s">
        <v>2889</v>
      </c>
      <c r="H40" s="1687" t="s">
        <v>154</v>
      </c>
      <c r="I40" s="1687" t="s">
        <v>146</v>
      </c>
      <c r="J40" s="1687" t="s">
        <v>147</v>
      </c>
      <c r="K40" s="45" t="str">
        <f>+"FY"&amp;RIGHT(YEAR('Hyperion Panel'!$B$9),2)</f>
        <v>FY10</v>
      </c>
      <c r="L40" s="1704">
        <f>+IF(COLUMNS($L40:M40)&lt;&gt;(month),0,'5. Financials'!$H$91)</f>
        <v>0</v>
      </c>
      <c r="M40" s="1704">
        <f>+IF(COLUMNS($L40:N40)&lt;&gt;(month),0,'5. Financials'!$H$91)</f>
        <v>0</v>
      </c>
      <c r="N40" s="1704">
        <f>+IF(COLUMNS($L40:O40)&lt;&gt;(month),0,'5. Financials'!$H$91)</f>
        <v>0</v>
      </c>
      <c r="O40" s="1704">
        <f>+IF(COLUMNS($L40:P40)&lt;&gt;(month),0,'5. Financials'!$H$91)</f>
        <v>0</v>
      </c>
      <c r="P40" s="1704">
        <f>+IF(COLUMNS($L40:Q40)&lt;&gt;(month),0,'5. Financials'!$H$91)</f>
        <v>0</v>
      </c>
      <c r="Q40" s="1704">
        <f>+IF(COLUMNS($L40:R40)&lt;&gt;(month),0,'5. Financials'!$H$91)</f>
        <v>0</v>
      </c>
      <c r="R40" s="1704">
        <f>+IF(COLUMNS($L40:S40)&lt;&gt;(month),0,'5. Financials'!$H$91)</f>
        <v>0</v>
      </c>
      <c r="S40" s="1704">
        <f>+IF(COLUMNS($L40:T40)&lt;&gt;(month),0,'5. Financials'!$H$91)</f>
        <v>0</v>
      </c>
      <c r="T40" s="1704">
        <f>+IF(COLUMNS($L40:U40)&lt;&gt;(month),0,'5. Financials'!$H$91)</f>
        <v>0</v>
      </c>
      <c r="U40" s="1704">
        <f>+IF(COLUMNS($L40:V40)&lt;&gt;(month),0,'5. Financials'!$H$91)</f>
        <v>2916.6666666666661</v>
      </c>
      <c r="V40" s="1704">
        <f>+IF(COLUMNS($L40:W40)&lt;&gt;(month),0,'5. Financials'!$H$91)</f>
        <v>0</v>
      </c>
      <c r="W40" s="1704">
        <f>+IF(COLUMNS($L40:X40)&lt;&gt;(month),0,'5. Financials'!$H$91)</f>
        <v>0</v>
      </c>
      <c r="Y40" s="1688"/>
    </row>
    <row r="42" spans="1:26" s="98" customFormat="1" ht="12.75" customHeight="1">
      <c r="A42" s="98" t="s">
        <v>2885</v>
      </c>
      <c r="B42" t="str">
        <f>+$B$2</f>
        <v>D10_11032</v>
      </c>
      <c r="C42" s="98" t="str">
        <f>+$C$2</f>
        <v>LE_XXXX</v>
      </c>
      <c r="D42" s="98" t="s">
        <v>2886</v>
      </c>
      <c r="E42" s="98" t="s">
        <v>2887</v>
      </c>
      <c r="F42" s="98" t="s">
        <v>2888</v>
      </c>
      <c r="G42" s="98" t="s">
        <v>2889</v>
      </c>
      <c r="H42" s="98" t="s">
        <v>145</v>
      </c>
      <c r="I42" s="98" t="s">
        <v>146</v>
      </c>
      <c r="J42" s="98" t="s">
        <v>147</v>
      </c>
      <c r="K42" s="45" t="str">
        <f>+"FY"&amp;RIGHT(YEAR('Hyperion Panel'!$B$9)+1,2)</f>
        <v>FY11</v>
      </c>
      <c r="Y42" s="99"/>
      <c r="Z42" s="97"/>
    </row>
    <row r="43" spans="1:26" s="98" customFormat="1" ht="12.75" customHeight="1">
      <c r="A43" s="100" t="s">
        <v>463</v>
      </c>
      <c r="L43" s="1697">
        <f>+IF(COLUMNS($L43:L43)&lt;month,VLOOKUP("Month "&amp;(COLUMNS($L43:L43)-month+13),DeNovo_Tx,3,FALSE)*52*3/12*(1-hemomiss),VLOOKUP("Month "&amp;(COLUMNS($L43:L43)-month+1),DeNovo_Tx,5,FALSE)*52*3/12*(1-hemomiss))</f>
        <v>68.77</v>
      </c>
      <c r="M43" s="1697">
        <f>+IF(COLUMNS($L43:M43)&lt;month,VLOOKUP("Month "&amp;(COLUMNS($L43:M43)-month+13),DeNovo_Tx,3,FALSE)*52*3/12*(1-hemomiss),VLOOKUP("Month "&amp;(COLUMNS($L43:M43)-month+1),DeNovo_Tx,5,FALSE)*52*3/12*(1-hemomiss))</f>
        <v>91.693333333333342</v>
      </c>
      <c r="N43" s="1697">
        <f>+IF(COLUMNS($L43:N43)&lt;month,VLOOKUP("Month "&amp;(COLUMNS($L43:N43)-month+13),DeNovo_Tx,3,FALSE)*52*3/12*(1-hemomiss),VLOOKUP("Month "&amp;(COLUMNS($L43:N43)-month+1),DeNovo_Tx,5,FALSE)*52*3/12*(1-hemomiss))</f>
        <v>114.61666666666667</v>
      </c>
      <c r="O43" s="1697">
        <f>+IF(COLUMNS($L43:O43)&lt;month,VLOOKUP("Month "&amp;(COLUMNS($L43:O43)-month+13),DeNovo_Tx,3,FALSE)*52*3/12*(1-hemomiss),VLOOKUP("Month "&amp;(COLUMNS($L43:O43)-month+1),DeNovo_Tx,5,FALSE)*52*3/12*(1-hemomiss))</f>
        <v>137.54</v>
      </c>
      <c r="P43" s="1697">
        <f>+IF(COLUMNS($L43:P43)&lt;month,VLOOKUP("Month "&amp;(COLUMNS($L43:P43)-month+13),DeNovo_Tx,3,FALSE)*52*3/12*(1-hemomiss),VLOOKUP("Month "&amp;(COLUMNS($L43:P43)-month+1),DeNovo_Tx,5,FALSE)*52*3/12*(1-hemomiss))</f>
        <v>160.46333333333334</v>
      </c>
      <c r="Q43" s="1697">
        <f>+IF(COLUMNS($L43:Q43)&lt;month,VLOOKUP("Month "&amp;(COLUMNS($L43:Q43)-month+13),DeNovo_Tx,3,FALSE)*52*3/12*(1-hemomiss),VLOOKUP("Month "&amp;(COLUMNS($L43:Q43)-month+1),DeNovo_Tx,5,FALSE)*52*3/12*(1-hemomiss))</f>
        <v>183.38666666666668</v>
      </c>
      <c r="R43" s="1697">
        <f>+IF(COLUMNS($L43:R43)&lt;month,VLOOKUP("Month "&amp;(COLUMNS($L43:R43)-month+13),DeNovo_Tx,3,FALSE)*52*3/12*(1-hemomiss),VLOOKUP("Month "&amp;(COLUMNS($L43:R43)-month+1),DeNovo_Tx,5,FALSE)*52*3/12*(1-hemomiss))</f>
        <v>206.31</v>
      </c>
      <c r="S43" s="1697">
        <f>+IF(COLUMNS($L43:S43)&lt;month,VLOOKUP("Month "&amp;(COLUMNS($L43:S43)-month+13),DeNovo_Tx,3,FALSE)*52*3/12*(1-hemomiss),VLOOKUP("Month "&amp;(COLUMNS($L43:S43)-month+1),DeNovo_Tx,5,FALSE)*52*3/12*(1-hemomiss))</f>
        <v>229.23333333333335</v>
      </c>
      <c r="T43" s="1697">
        <f>+IF(COLUMNS($L43:T43)&lt;month,VLOOKUP("Month "&amp;(COLUMNS($L43:T43)-month+13),DeNovo_Tx,3,FALSE)*52*3/12*(1-hemomiss),VLOOKUP("Month "&amp;(COLUMNS($L43:T43)-month+1),DeNovo_Tx,5,FALSE)*52*3/12*(1-hemomiss))</f>
        <v>252.15666666666672</v>
      </c>
      <c r="U43" s="1697">
        <f>+IF(COLUMNS($L43:U43)&lt;month,VLOOKUP("Month "&amp;(COLUMNS($L43:U43)-month+13),DeNovo_Tx,3,FALSE)*52*3/12*(1-hemomiss),VLOOKUP("Month "&amp;(COLUMNS($L43:U43)-month+1),DeNovo_Tx,5,FALSE)*52*3/12*(1-hemomiss))</f>
        <v>275.08000000000004</v>
      </c>
      <c r="V43" s="1697">
        <f>+IF(COLUMNS($L43:V43)&lt;month,VLOOKUP("Month "&amp;(COLUMNS($L43:V43)-month+13),DeNovo_Tx,3,FALSE)*52*3/12*(1-hemomiss),VLOOKUP("Month "&amp;(COLUMNS($L43:V43)-month+1),DeNovo_Tx,5,FALSE)*52*3/12*(1-hemomiss))</f>
        <v>293.02000000000004</v>
      </c>
      <c r="W43" s="1697">
        <f>+IF(COLUMNS($L43:W43)&lt;month,VLOOKUP("Month "&amp;(COLUMNS($L43:W43)-month+13),DeNovo_Tx,3,FALSE)*52*3/12*(1-hemomiss),VLOOKUP("Month "&amp;(COLUMNS($L43:W43)-month+1),DeNovo_Tx,5,FALSE)*52*3/12*(1-hemomiss))</f>
        <v>310.96000000000009</v>
      </c>
      <c r="Y43" s="99"/>
      <c r="Z43" s="97"/>
    </row>
    <row r="44" spans="1:26" s="98" customFormat="1" ht="12.75" customHeight="1">
      <c r="A44" s="100" t="s">
        <v>464</v>
      </c>
      <c r="L44" s="1697">
        <f>+IF(COLUMNS($L44:L44)&lt;month,VLOOKUP("Month "&amp;(COLUMNS($L44:L44)-month+13),DeNovo_Tx,4,FALSE)*52*3/12*(1-hemomiss),VLOOKUP("Month "&amp;(COLUMNS($L44:L44)-month+1),DeNovo_Tx,6,FALSE)*52*3/12*(1-hemomiss))</f>
        <v>17.940000000000005</v>
      </c>
      <c r="M44" s="1697">
        <f>+IF(COLUMNS($L44:M44)&lt;month,VLOOKUP("Month "&amp;(COLUMNS($L44:M44)-month+13),DeNovo_Tx,4,FALSE)*52*3/12*(1-hemomiss),VLOOKUP("Month "&amp;(COLUMNS($L44:M44)-month+1),DeNovo_Tx,6,FALSE)*52*3/12*(1-hemomiss))</f>
        <v>19.933333333333337</v>
      </c>
      <c r="N44" s="1697">
        <f>+IF(COLUMNS($L44:N44)&lt;month,VLOOKUP("Month "&amp;(COLUMNS($L44:N44)-month+13),DeNovo_Tx,4,FALSE)*52*3/12*(1-hemomiss),VLOOKUP("Month "&amp;(COLUMNS($L44:N44)-month+1),DeNovo_Tx,6,FALSE)*52*3/12*(1-hemomiss))</f>
        <v>21.926666666666673</v>
      </c>
      <c r="O44" s="1697">
        <f>+IF(COLUMNS($L44:O44)&lt;month,VLOOKUP("Month "&amp;(COLUMNS($L44:O44)-month+13),DeNovo_Tx,4,FALSE)*52*3/12*(1-hemomiss),VLOOKUP("Month "&amp;(COLUMNS($L44:O44)-month+1),DeNovo_Tx,6,FALSE)*52*3/12*(1-hemomiss))</f>
        <v>23.920000000000012</v>
      </c>
      <c r="P44" s="1697">
        <f>+IF(COLUMNS($L44:P44)&lt;month,VLOOKUP("Month "&amp;(COLUMNS($L44:P44)-month+13),DeNovo_Tx,4,FALSE)*52*3/12*(1-hemomiss),VLOOKUP("Month "&amp;(COLUMNS($L44:P44)-month+1),DeNovo_Tx,6,FALSE)*52*3/12*(1-hemomiss))</f>
        <v>25.913333333333338</v>
      </c>
      <c r="Q44" s="1697">
        <f>+IF(COLUMNS($L44:Q44)&lt;month,VLOOKUP("Month "&amp;(COLUMNS($L44:Q44)-month+13),DeNovo_Tx,4,FALSE)*52*3/12*(1-hemomiss),VLOOKUP("Month "&amp;(COLUMNS($L44:Q44)-month+1),DeNovo_Tx,6,FALSE)*52*3/12*(1-hemomiss))</f>
        <v>27.906666666666666</v>
      </c>
      <c r="R44" s="1697">
        <f>+IF(COLUMNS($L44:R44)&lt;month,VLOOKUP("Month "&amp;(COLUMNS($L44:R44)-month+13),DeNovo_Tx,4,FALSE)*52*3/12*(1-hemomiss),VLOOKUP("Month "&amp;(COLUMNS($L44:R44)-month+1),DeNovo_Tx,6,FALSE)*52*3/12*(1-hemomiss))</f>
        <v>29.900000000000002</v>
      </c>
      <c r="S44" s="1697">
        <f>+IF(COLUMNS($L44:S44)&lt;month,VLOOKUP("Month "&amp;(COLUMNS($L44:S44)-month+13),DeNovo_Tx,4,FALSE)*52*3/12*(1-hemomiss),VLOOKUP("Month "&amp;(COLUMNS($L44:S44)-month+1),DeNovo_Tx,6,FALSE)*52*3/12*(1-hemomiss))</f>
        <v>31.893333333333331</v>
      </c>
      <c r="T44" s="1697">
        <f>+IF(COLUMNS($L44:T44)&lt;month,VLOOKUP("Month "&amp;(COLUMNS($L44:T44)-month+13),DeNovo_Tx,4,FALSE)*52*3/12*(1-hemomiss),VLOOKUP("Month "&amp;(COLUMNS($L44:T44)-month+1),DeNovo_Tx,6,FALSE)*52*3/12*(1-hemomiss))</f>
        <v>33.886666666666663</v>
      </c>
      <c r="U44" s="1697">
        <f>+IF(COLUMNS($L44:U44)&lt;month,VLOOKUP("Month "&amp;(COLUMNS($L44:U44)-month+13),DeNovo_Tx,4,FALSE)*52*3/12*(1-hemomiss),VLOOKUP("Month "&amp;(COLUMNS($L44:U44)-month+1),DeNovo_Tx,6,FALSE)*52*3/12*(1-hemomiss))</f>
        <v>35.879999999999995</v>
      </c>
      <c r="V44" s="1697">
        <f>+IF(COLUMNS($L44:V44)&lt;month,VLOOKUP("Month "&amp;(COLUMNS($L44:V44)-month+13),DeNovo_Tx,4,FALSE)*52*3/12*(1-hemomiss),VLOOKUP("Month "&amp;(COLUMNS($L44:V44)-month+1),DeNovo_Tx,6,FALSE)*52*3/12*(1-hemomiss))</f>
        <v>37.873333333333328</v>
      </c>
      <c r="W44" s="1697">
        <f>+IF(COLUMNS($L44:W44)&lt;month,VLOOKUP("Month "&amp;(COLUMNS($L44:W44)-month+13),DeNovo_Tx,4,FALSE)*52*3/12*(1-hemomiss),VLOOKUP("Month "&amp;(COLUMNS($L44:W44)-month+1),DeNovo_Tx,6,FALSE)*52*3/12*(1-hemomiss))</f>
        <v>39.86666666666666</v>
      </c>
      <c r="Y44" s="99"/>
      <c r="Z44" s="97"/>
    </row>
    <row r="45" spans="1:26" s="98" customFormat="1">
      <c r="A45" s="98" t="s">
        <v>148</v>
      </c>
      <c r="B45" t="str">
        <f>+$B$2</f>
        <v>D10_11032</v>
      </c>
      <c r="C45" s="98" t="str">
        <f>+$C$2</f>
        <v>LE_XXXX</v>
      </c>
      <c r="D45" s="98" t="s">
        <v>2886</v>
      </c>
      <c r="E45" s="98" t="s">
        <v>149</v>
      </c>
      <c r="F45" s="98" t="s">
        <v>150</v>
      </c>
      <c r="G45" s="98" t="s">
        <v>2889</v>
      </c>
      <c r="H45" s="98" t="s">
        <v>145</v>
      </c>
      <c r="I45" s="98" t="s">
        <v>146</v>
      </c>
      <c r="J45" s="98" t="s">
        <v>147</v>
      </c>
      <c r="K45" s="45" t="str">
        <f>+"FY"&amp;RIGHT(YEAR('Hyperion Panel'!$B$9)+1,2)</f>
        <v>FY11</v>
      </c>
      <c r="L45" s="1697"/>
      <c r="M45" s="1697"/>
      <c r="N45" s="1697"/>
      <c r="O45" s="1697"/>
      <c r="P45" s="1697"/>
      <c r="Q45" s="1697"/>
      <c r="R45" s="1697"/>
      <c r="S45" s="1697"/>
      <c r="T45" s="1697"/>
      <c r="U45" s="1697"/>
      <c r="V45" s="1697"/>
      <c r="W45" s="1697"/>
      <c r="Y45" s="99"/>
    </row>
    <row r="46" spans="1:26" s="98" customFormat="1">
      <c r="A46" s="100" t="s">
        <v>463</v>
      </c>
      <c r="L46" s="1697">
        <f>+IF(COLUMNS($L46:L46)&lt;month,VLOOKUP("Month "&amp;(COLUMNS($L46:L46)-month+13),DeNovo_Tx,14,FALSE)*52*3/12*(1-homemiss),VLOOKUP("Month "&amp;(COLUMNS($L46:L46)-month+1),DeNovo_Tx,16,FALSE)*52*3/12*(1-homemiss))</f>
        <v>18.524999999999999</v>
      </c>
      <c r="M46" s="1697">
        <f>+IF(COLUMNS($L46:M46)&lt;month,VLOOKUP("Month "&amp;(COLUMNS($L46:M46)-month+13),DeNovo_Tx,14,FALSE)*52*3/12*(1-homemiss),VLOOKUP("Month "&amp;(COLUMNS($L46:M46)-month+1),DeNovo_Tx,16,FALSE)*52*3/12*(1-homemiss))</f>
        <v>24.7</v>
      </c>
      <c r="N46" s="1697">
        <f>+IF(COLUMNS($L46:N46)&lt;month,VLOOKUP("Month "&amp;(COLUMNS($L46:N46)-month+13),DeNovo_Tx,14,FALSE)*52*3/12*(1-homemiss),VLOOKUP("Month "&amp;(COLUMNS($L46:N46)-month+1),DeNovo_Tx,16,FALSE)*52*3/12*(1-homemiss))</f>
        <v>30.875</v>
      </c>
      <c r="O46" s="1697">
        <f>+IF(COLUMNS($L46:O46)&lt;month,VLOOKUP("Month "&amp;(COLUMNS($L46:O46)-month+13),DeNovo_Tx,14,FALSE)*52*3/12*(1-homemiss),VLOOKUP("Month "&amp;(COLUMNS($L46:O46)-month+1),DeNovo_Tx,16,FALSE)*52*3/12*(1-homemiss))</f>
        <v>37.049999999999997</v>
      </c>
      <c r="P46" s="1697">
        <f>+IF(COLUMNS($L46:P46)&lt;month,VLOOKUP("Month "&amp;(COLUMNS($L46:P46)-month+13),DeNovo_Tx,14,FALSE)*52*3/12*(1-homemiss),VLOOKUP("Month "&amp;(COLUMNS($L46:P46)-month+1),DeNovo_Tx,16,FALSE)*52*3/12*(1-homemiss))</f>
        <v>43.225000000000001</v>
      </c>
      <c r="Q46" s="1697">
        <f>+IF(COLUMNS($L46:Q46)&lt;month,VLOOKUP("Month "&amp;(COLUMNS($L46:Q46)-month+13),DeNovo_Tx,14,FALSE)*52*3/12*(1-homemiss),VLOOKUP("Month "&amp;(COLUMNS($L46:Q46)-month+1),DeNovo_Tx,16,FALSE)*52*3/12*(1-homemiss))</f>
        <v>49.4</v>
      </c>
      <c r="R46" s="1697">
        <f>+IF(COLUMNS($L46:R46)&lt;month,VLOOKUP("Month "&amp;(COLUMNS($L46:R46)-month+13),DeNovo_Tx,14,FALSE)*52*3/12*(1-homemiss),VLOOKUP("Month "&amp;(COLUMNS($L46:R46)-month+1),DeNovo_Tx,16,FALSE)*52*3/12*(1-homemiss))</f>
        <v>55.574999999999996</v>
      </c>
      <c r="S46" s="1697">
        <f>+IF(COLUMNS($L46:S46)&lt;month,VLOOKUP("Month "&amp;(COLUMNS($L46:S46)-month+13),DeNovo_Tx,14,FALSE)*52*3/12*(1-homemiss),VLOOKUP("Month "&amp;(COLUMNS($L46:S46)-month+1),DeNovo_Tx,16,FALSE)*52*3/12*(1-homemiss))</f>
        <v>61.75</v>
      </c>
      <c r="T46" s="1697">
        <f>+IF(COLUMNS($L46:T46)&lt;month,VLOOKUP("Month "&amp;(COLUMNS($L46:T46)-month+13),DeNovo_Tx,14,FALSE)*52*3/12*(1-homemiss),VLOOKUP("Month "&amp;(COLUMNS($L46:T46)-month+1),DeNovo_Tx,16,FALSE)*52*3/12*(1-homemiss))</f>
        <v>67.924999999999997</v>
      </c>
      <c r="U46" s="1697">
        <f>+IF(COLUMNS($L46:U46)&lt;month,VLOOKUP("Month "&amp;(COLUMNS($L46:U46)-month+13),DeNovo_Tx,14,FALSE)*52*3/12*(1-homemiss),VLOOKUP("Month "&amp;(COLUMNS($L46:U46)-month+1),DeNovo_Tx,16,FALSE)*52*3/12*(1-homemiss))</f>
        <v>74.099999999999994</v>
      </c>
      <c r="V46" s="1697">
        <f>+IF(COLUMNS($L46:V46)&lt;month,VLOOKUP("Month "&amp;(COLUMNS($L46:V46)-month+13),DeNovo_Tx,14,FALSE)*52*3/12*(1-homemiss),VLOOKUP("Month "&amp;(COLUMNS($L46:V46)-month+1),DeNovo_Tx,16,FALSE)*52*3/12*(1-homemiss))</f>
        <v>79.245833333333337</v>
      </c>
      <c r="W46" s="1697">
        <f>+IF(COLUMNS($L46:W46)&lt;month,VLOOKUP("Month "&amp;(COLUMNS($L46:W46)-month+13),DeNovo_Tx,14,FALSE)*52*3/12*(1-homemiss),VLOOKUP("Month "&amp;(COLUMNS($L46:W46)-month+1),DeNovo_Tx,16,FALSE)*52*3/12*(1-homemiss))</f>
        <v>84.391666666666652</v>
      </c>
      <c r="Y46" s="99"/>
    </row>
    <row r="47" spans="1:26" s="98" customFormat="1">
      <c r="A47" s="100" t="s">
        <v>464</v>
      </c>
      <c r="L47" s="1697">
        <f>+IF(COLUMNS($L47:L47)&lt;month,VLOOKUP("Month "&amp;(COLUMNS($L47:L47)-month+13),DeNovo_Tx,15,FALSE)*52*3/12*(1-homemiss),VLOOKUP("Month "&amp;(COLUMNS($L47:L47)-month+1),DeNovo_Tx,17,FALSE)*52*3/12*(1-homemiss))</f>
        <v>12.35</v>
      </c>
      <c r="M47" s="1697">
        <f>+IF(COLUMNS($L47:M47)&lt;month,VLOOKUP("Month "&amp;(COLUMNS($L47:M47)-month+13),DeNovo_Tx,15,FALSE)*52*3/12*(1-homemiss),VLOOKUP("Month "&amp;(COLUMNS($L47:M47)-month+1),DeNovo_Tx,17,FALSE)*52*3/12*(1-homemiss))</f>
        <v>12.35</v>
      </c>
      <c r="N47" s="1697">
        <f>+IF(COLUMNS($L47:N47)&lt;month,VLOOKUP("Month "&amp;(COLUMNS($L47:N47)-month+13),DeNovo_Tx,15,FALSE)*52*3/12*(1-homemiss),VLOOKUP("Month "&amp;(COLUMNS($L47:N47)-month+1),DeNovo_Tx,17,FALSE)*52*3/12*(1-homemiss))</f>
        <v>12.35</v>
      </c>
      <c r="O47" s="1697">
        <f>+IF(COLUMNS($L47:O47)&lt;month,VLOOKUP("Month "&amp;(COLUMNS($L47:O47)-month+13),DeNovo_Tx,15,FALSE)*52*3/12*(1-homemiss),VLOOKUP("Month "&amp;(COLUMNS($L47:O47)-month+1),DeNovo_Tx,17,FALSE)*52*3/12*(1-homemiss))</f>
        <v>12.35</v>
      </c>
      <c r="P47" s="1697">
        <f>+IF(COLUMNS($L47:P47)&lt;month,VLOOKUP("Month "&amp;(COLUMNS($L47:P47)-month+13),DeNovo_Tx,15,FALSE)*52*3/12*(1-homemiss),VLOOKUP("Month "&amp;(COLUMNS($L47:P47)-month+1),DeNovo_Tx,17,FALSE)*52*3/12*(1-homemiss))</f>
        <v>12.35</v>
      </c>
      <c r="Q47" s="1697">
        <f>+IF(COLUMNS($L47:Q47)&lt;month,VLOOKUP("Month "&amp;(COLUMNS($L47:Q47)-month+13),DeNovo_Tx,15,FALSE)*52*3/12*(1-homemiss),VLOOKUP("Month "&amp;(COLUMNS($L47:Q47)-month+1),DeNovo_Tx,17,FALSE)*52*3/12*(1-homemiss))</f>
        <v>12.35</v>
      </c>
      <c r="R47" s="1697">
        <f>+IF(COLUMNS($L47:R47)&lt;month,VLOOKUP("Month "&amp;(COLUMNS($L47:R47)-month+13),DeNovo_Tx,15,FALSE)*52*3/12*(1-homemiss),VLOOKUP("Month "&amp;(COLUMNS($L47:R47)-month+1),DeNovo_Tx,17,FALSE)*52*3/12*(1-homemiss))</f>
        <v>12.35</v>
      </c>
      <c r="S47" s="1697">
        <f>+IF(COLUMNS($L47:S47)&lt;month,VLOOKUP("Month "&amp;(COLUMNS($L47:S47)-month+13),DeNovo_Tx,15,FALSE)*52*3/12*(1-homemiss),VLOOKUP("Month "&amp;(COLUMNS($L47:S47)-month+1),DeNovo_Tx,17,FALSE)*52*3/12*(1-homemiss))</f>
        <v>12.35</v>
      </c>
      <c r="T47" s="1697">
        <f>+IF(COLUMNS($L47:T47)&lt;month,VLOOKUP("Month "&amp;(COLUMNS($L47:T47)-month+13),DeNovo_Tx,15,FALSE)*52*3/12*(1-homemiss),VLOOKUP("Month "&amp;(COLUMNS($L47:T47)-month+1),DeNovo_Tx,17,FALSE)*52*3/12*(1-homemiss))</f>
        <v>12.35</v>
      </c>
      <c r="U47" s="1697">
        <f>+IF(COLUMNS($L47:U47)&lt;month,VLOOKUP("Month "&amp;(COLUMNS($L47:U47)-month+13),DeNovo_Tx,15,FALSE)*52*3/12*(1-homemiss),VLOOKUP("Month "&amp;(COLUMNS($L47:U47)-month+1),DeNovo_Tx,17,FALSE)*52*3/12*(1-homemiss))</f>
        <v>12.35</v>
      </c>
      <c r="V47" s="1697">
        <f>+IF(COLUMNS($L47:V47)&lt;month,VLOOKUP("Month "&amp;(COLUMNS($L47:V47)-month+13),DeNovo_Tx,15,FALSE)*52*3/12*(1-homemiss),VLOOKUP("Month "&amp;(COLUMNS($L47:V47)-month+1),DeNovo_Tx,17,FALSE)*52*3/12*(1-homemiss))</f>
        <v>13.379166666666666</v>
      </c>
      <c r="W47" s="1697">
        <f>+IF(COLUMNS($L47:W47)&lt;month,VLOOKUP("Month "&amp;(COLUMNS($L47:W47)-month+13),DeNovo_Tx,15,FALSE)*52*3/12*(1-homemiss),VLOOKUP("Month "&amp;(COLUMNS($L47:W47)-month+1),DeNovo_Tx,17,FALSE)*52*3/12*(1-homemiss))</f>
        <v>14.40833333333333</v>
      </c>
      <c r="Y47" s="99"/>
    </row>
    <row r="48" spans="1:26">
      <c r="A48" s="4" t="s">
        <v>169</v>
      </c>
      <c r="B48" s="4" t="str">
        <f>+$B$2</f>
        <v>D10_11032</v>
      </c>
      <c r="C48" s="4"/>
      <c r="D48" s="4"/>
      <c r="E48" s="4"/>
      <c r="F48" s="4"/>
      <c r="G48" s="4"/>
      <c r="H48" s="4"/>
      <c r="I48" s="4"/>
      <c r="J48" s="4"/>
      <c r="K48" s="4" t="str">
        <f>+"FY"&amp;RIGHT(YEAR('Hyperion Panel'!$B$9)+1,2)</f>
        <v>FY11</v>
      </c>
      <c r="L48" s="1698"/>
      <c r="M48" s="1698"/>
      <c r="N48" s="1698"/>
      <c r="O48" s="1698"/>
      <c r="P48" s="1698"/>
      <c r="Q48" s="1698"/>
      <c r="R48" s="1698"/>
      <c r="S48" s="1698"/>
      <c r="T48" s="1698"/>
      <c r="U48" s="1698"/>
      <c r="V48" s="1699"/>
      <c r="W48" s="1698"/>
      <c r="Y48" s="99"/>
    </row>
    <row r="49" spans="1:26">
      <c r="A49" s="101" t="s">
        <v>463</v>
      </c>
      <c r="B49" s="4"/>
      <c r="C49" s="4"/>
      <c r="D49" s="4"/>
      <c r="E49" s="4"/>
      <c r="F49" s="4"/>
      <c r="G49" s="4"/>
      <c r="H49" s="4"/>
      <c r="I49" s="4"/>
      <c r="J49" s="4"/>
      <c r="K49" s="4"/>
      <c r="L49" s="1698">
        <f>+IF(COLUMNS($L49:L49)&lt;month,VLOOKUP("Month "&amp;(COLUMNS($L49:L49)-month+13),DeNovo_Tx,25,FALSE)*52*3/12*(1-hhdmiss),VLOOKUP("Month "&amp;(COLUMNS($L49:L49)-month+1),DeNovo_Tx,27,FALSE)*52*3/12*(1-hhdmiss))</f>
        <v>6.5</v>
      </c>
      <c r="M49" s="1698">
        <f>+IF(COLUMNS($L49:M49)&lt;month,VLOOKUP("Month "&amp;(COLUMNS($L49:M49)-month+13),DeNovo_Tx,25,FALSE)*52*3/12*(1-hhdmiss),VLOOKUP("Month "&amp;(COLUMNS($L49:M49)-month+1),DeNovo_Tx,27,FALSE)*52*3/12*(1-hhdmiss))</f>
        <v>8.6666666666666661</v>
      </c>
      <c r="N49" s="1698">
        <f>+IF(COLUMNS($L49:N49)&lt;month,VLOOKUP("Month "&amp;(COLUMNS($L49:N49)-month+13),DeNovo_Tx,25,FALSE)*52*3/12*(1-hhdmiss),VLOOKUP("Month "&amp;(COLUMNS($L49:N49)-month+1),DeNovo_Tx,27,FALSE)*52*3/12*(1-hhdmiss))</f>
        <v>10.833333333333334</v>
      </c>
      <c r="O49" s="1698">
        <f>+IF(COLUMNS($L49:O49)&lt;month,VLOOKUP("Month "&amp;(COLUMNS($L49:O49)-month+13),DeNovo_Tx,25,FALSE)*52*3/12*(1-hhdmiss),VLOOKUP("Month "&amp;(COLUMNS($L49:O49)-month+1),DeNovo_Tx,27,FALSE)*52*3/12*(1-hhdmiss))</f>
        <v>12.999999999999998</v>
      </c>
      <c r="P49" s="1698">
        <f>+IF(COLUMNS($L49:P49)&lt;month,VLOOKUP("Month "&amp;(COLUMNS($L49:P49)-month+13),DeNovo_Tx,25,FALSE)*52*3/12*(1-hhdmiss),VLOOKUP("Month "&amp;(COLUMNS($L49:P49)-month+1),DeNovo_Tx,27,FALSE)*52*3/12*(1-hhdmiss))</f>
        <v>15.166666666666664</v>
      </c>
      <c r="Q49" s="1698">
        <f>+IF(COLUMNS($L49:Q49)&lt;month,VLOOKUP("Month "&amp;(COLUMNS($L49:Q49)-month+13),DeNovo_Tx,25,FALSE)*52*3/12*(1-hhdmiss),VLOOKUP("Month "&amp;(COLUMNS($L49:Q49)-month+1),DeNovo_Tx,27,FALSE)*52*3/12*(1-hhdmiss))</f>
        <v>17.333333333333332</v>
      </c>
      <c r="R49" s="1698">
        <f>+IF(COLUMNS($L49:R49)&lt;month,VLOOKUP("Month "&amp;(COLUMNS($L49:R49)-month+13),DeNovo_Tx,25,FALSE)*52*3/12*(1-hhdmiss),VLOOKUP("Month "&amp;(COLUMNS($L49:R49)-month+1),DeNovo_Tx,27,FALSE)*52*3/12*(1-hhdmiss))</f>
        <v>19.5</v>
      </c>
      <c r="S49" s="1698">
        <f>+IF(COLUMNS($L49:S49)&lt;month,VLOOKUP("Month "&amp;(COLUMNS($L49:S49)-month+13),DeNovo_Tx,25,FALSE)*52*3/12*(1-hhdmiss),VLOOKUP("Month "&amp;(COLUMNS($L49:S49)-month+1),DeNovo_Tx,27,FALSE)*52*3/12*(1-hhdmiss))</f>
        <v>21.666666666666668</v>
      </c>
      <c r="T49" s="1698">
        <f>+IF(COLUMNS($L49:T49)&lt;month,VLOOKUP("Month "&amp;(COLUMNS($L49:T49)-month+13),DeNovo_Tx,25,FALSE)*52*3/12*(1-hhdmiss),VLOOKUP("Month "&amp;(COLUMNS($L49:T49)-month+1),DeNovo_Tx,27,FALSE)*52*3/12*(1-hhdmiss))</f>
        <v>23.833333333333332</v>
      </c>
      <c r="U49" s="1698">
        <f>+IF(COLUMNS($L49:U49)&lt;month,VLOOKUP("Month "&amp;(COLUMNS($L49:U49)-month+13),DeNovo_Tx,25,FALSE)*52*3/12*(1-hhdmiss),VLOOKUP("Month "&amp;(COLUMNS($L49:U49)-month+1),DeNovo_Tx,27,FALSE)*52*3/12*(1-hhdmiss))</f>
        <v>26</v>
      </c>
      <c r="V49" s="1699">
        <f>+IF(COLUMNS($L49:V49)&lt;month,VLOOKUP("Month "&amp;(COLUMNS($L49:V49)-month+13),DeNovo_Tx,25,FALSE)*52*3/12*(1-hhdmiss),VLOOKUP("Month "&amp;(COLUMNS($L49:V49)-month+1),DeNovo_Tx,27,FALSE)*52*3/12*(1-hhdmiss))</f>
        <v>29.25</v>
      </c>
      <c r="W49" s="1698">
        <f>+IF(COLUMNS($L49:W49)&lt;month,VLOOKUP("Month "&amp;(COLUMNS($L49:W49)-month+13),DeNovo_Tx,25,FALSE)*52*3/12*(1-hhdmiss),VLOOKUP("Month "&amp;(COLUMNS($L49:W49)-month+1),DeNovo_Tx,27,FALSE)*52*3/12*(1-hhdmiss))</f>
        <v>32.5</v>
      </c>
      <c r="Y49" s="99"/>
    </row>
    <row r="50" spans="1:26">
      <c r="A50" s="101" t="s">
        <v>464</v>
      </c>
      <c r="B50" s="4"/>
      <c r="C50" s="4"/>
      <c r="D50" s="4"/>
      <c r="E50" s="4"/>
      <c r="F50" s="4"/>
      <c r="G50" s="4"/>
      <c r="H50" s="4"/>
      <c r="I50" s="4"/>
      <c r="J50" s="4"/>
      <c r="K50" s="4"/>
      <c r="L50" s="1698">
        <f>+IF(COLUMNS($L50:L50)&lt;month,VLOOKUP("Month "&amp;(COLUMNS($L50:L50)-month+13),DeNovo_Tx,26,FALSE)*52*4.3/12*(1-hhdmiss),VLOOKUP("Month "&amp;(COLUMNS($L50:L50)-month+1),DeNovo_Tx,28,FALSE)*52*4.3/12*(1-hhdmiss))</f>
        <v>18.633333333333333</v>
      </c>
      <c r="M50" s="1698">
        <f>+IF(COLUMNS($L50:M50)&lt;month,VLOOKUP("Month "&amp;(COLUMNS($L50:M50)-month+13),DeNovo_Tx,26,FALSE)*52*4.3/12*(1-hhdmiss),VLOOKUP("Month "&amp;(COLUMNS($L50:M50)-month+1),DeNovo_Tx,28,FALSE)*52*4.3/12*(1-hhdmiss))</f>
        <v>18.633333333333333</v>
      </c>
      <c r="N50" s="1698">
        <f>+IF(COLUMNS($L50:N50)&lt;month,VLOOKUP("Month "&amp;(COLUMNS($L50:N50)-month+13),DeNovo_Tx,26,FALSE)*52*4.3/12*(1-hhdmiss),VLOOKUP("Month "&amp;(COLUMNS($L50:N50)-month+1),DeNovo_Tx,28,FALSE)*52*4.3/12*(1-hhdmiss))</f>
        <v>18.633333333333333</v>
      </c>
      <c r="O50" s="1698">
        <f>+IF(COLUMNS($L50:O50)&lt;month,VLOOKUP("Month "&amp;(COLUMNS($L50:O50)-month+13),DeNovo_Tx,26,FALSE)*52*4.3/12*(1-hhdmiss),VLOOKUP("Month "&amp;(COLUMNS($L50:O50)-month+1),DeNovo_Tx,28,FALSE)*52*4.3/12*(1-hhdmiss))</f>
        <v>18.633333333333333</v>
      </c>
      <c r="P50" s="1698">
        <f>+IF(COLUMNS($L50:P50)&lt;month,VLOOKUP("Month "&amp;(COLUMNS($L50:P50)-month+13),DeNovo_Tx,26,FALSE)*52*4.3/12*(1-hhdmiss),VLOOKUP("Month "&amp;(COLUMNS($L50:P50)-month+1),DeNovo_Tx,28,FALSE)*52*4.3/12*(1-hhdmiss))</f>
        <v>18.633333333333333</v>
      </c>
      <c r="Q50" s="1698">
        <f>+IF(COLUMNS($L50:Q50)&lt;month,VLOOKUP("Month "&amp;(COLUMNS($L50:Q50)-month+13),DeNovo_Tx,26,FALSE)*52*4.3/12*(1-hhdmiss),VLOOKUP("Month "&amp;(COLUMNS($L50:Q50)-month+1),DeNovo_Tx,28,FALSE)*52*4.3/12*(1-hhdmiss))</f>
        <v>18.633333333333333</v>
      </c>
      <c r="R50" s="1698">
        <f>+IF(COLUMNS($L50:R50)&lt;month,VLOOKUP("Month "&amp;(COLUMNS($L50:R50)-month+13),DeNovo_Tx,26,FALSE)*52*4.3/12*(1-hhdmiss),VLOOKUP("Month "&amp;(COLUMNS($L50:R50)-month+1),DeNovo_Tx,28,FALSE)*52*4.3/12*(1-hhdmiss))</f>
        <v>18.633333333333333</v>
      </c>
      <c r="S50" s="1698">
        <f>+IF(COLUMNS($L50:S50)&lt;month,VLOOKUP("Month "&amp;(COLUMNS($L50:S50)-month+13),DeNovo_Tx,26,FALSE)*52*4.3/12*(1-hhdmiss),VLOOKUP("Month "&amp;(COLUMNS($L50:S50)-month+1),DeNovo_Tx,28,FALSE)*52*4.3/12*(1-hhdmiss))</f>
        <v>18.633333333333333</v>
      </c>
      <c r="T50" s="1698">
        <f>+IF(COLUMNS($L50:T50)&lt;month,VLOOKUP("Month "&amp;(COLUMNS($L50:T50)-month+13),DeNovo_Tx,26,FALSE)*52*4.3/12*(1-hhdmiss),VLOOKUP("Month "&amp;(COLUMNS($L50:T50)-month+1),DeNovo_Tx,28,FALSE)*52*4.3/12*(1-hhdmiss))</f>
        <v>18.633333333333333</v>
      </c>
      <c r="U50" s="1698">
        <f>+IF(COLUMNS($L50:U50)&lt;month,VLOOKUP("Month "&amp;(COLUMNS($L50:U50)-month+13),DeNovo_Tx,26,FALSE)*52*4.3/12*(1-hhdmiss),VLOOKUP("Month "&amp;(COLUMNS($L50:U50)-month+1),DeNovo_Tx,28,FALSE)*52*4.3/12*(1-hhdmiss))</f>
        <v>18.633333333333333</v>
      </c>
      <c r="V50" s="1698">
        <f>+IF(COLUMNS($L50:V50)&lt;month,VLOOKUP("Month "&amp;(COLUMNS($L50:V50)-month+13),DeNovo_Tx,26,FALSE)*52*4.3/12*(1-hhdmiss),VLOOKUP("Month "&amp;(COLUMNS($L50:V50)-month+1),DeNovo_Tx,28,FALSE)*52*4.3/12*(1-hhdmiss))</f>
        <v>18.633333333333333</v>
      </c>
      <c r="W50" s="1698">
        <f>+IF(COLUMNS($L50:W50)&lt;month,VLOOKUP("Month "&amp;(COLUMNS($L50:W50)-month+13),DeNovo_Tx,26,FALSE)*52*4.3/12*(1-hhdmiss),VLOOKUP("Month "&amp;(COLUMNS($L50:W50)-month+1),DeNovo_Tx,28,FALSE)*52*4.3/12*(1-hhdmiss))</f>
        <v>18.633333333333333</v>
      </c>
      <c r="Y50" s="99"/>
    </row>
    <row r="51" spans="1:26">
      <c r="A51" s="1958" t="s">
        <v>1556</v>
      </c>
      <c r="B51" s="35"/>
      <c r="C51" s="35"/>
      <c r="D51" s="35"/>
      <c r="E51" s="35"/>
      <c r="F51" s="35"/>
      <c r="G51" s="35"/>
      <c r="H51" s="35"/>
      <c r="I51" s="35"/>
      <c r="J51" s="35"/>
      <c r="K51" s="35"/>
      <c r="L51" s="1959">
        <f>((12*L49)/(1-hhdmiss))/52/'5. Financials'!$J$46</f>
        <v>0.5</v>
      </c>
      <c r="M51" s="1959">
        <f>((12*M49)/(1-hhdmiss))/52/'5. Financials'!$J$46</f>
        <v>0.66666666666666663</v>
      </c>
      <c r="N51" s="1959">
        <f>((12*N49)/(1-hhdmiss))/52/'5. Financials'!$J$46</f>
        <v>0.83333333333333337</v>
      </c>
      <c r="O51" s="1959">
        <f>((12*O49)/(1-hhdmiss))/52/'5. Financials'!$J$46</f>
        <v>0.99999999999999989</v>
      </c>
      <c r="P51" s="1959">
        <f>((12*P49)/(1-hhdmiss))/52/'5. Financials'!$J$46</f>
        <v>1.1666666666666665</v>
      </c>
      <c r="Q51" s="1959">
        <f>((12*Q49)/(1-hhdmiss))/52/'5. Financials'!$J$46</f>
        <v>1.3333333333333333</v>
      </c>
      <c r="R51" s="1959">
        <f>((12*R49)/(1-hhdmiss))/52/'5. Financials'!$J$46</f>
        <v>1.5</v>
      </c>
      <c r="S51" s="1959">
        <f>((12*S49)/(1-hhdmiss))/52/'5. Financials'!$J$46</f>
        <v>1.6666666666666667</v>
      </c>
      <c r="T51" s="1959">
        <f>((12*T49)/(1-hhdmiss))/52/'5. Financials'!$J$46</f>
        <v>1.8333333333333333</v>
      </c>
      <c r="U51" s="1959">
        <f>((12*U49)/(1-hhdmiss))/52/'5. Financials'!$J$46</f>
        <v>2</v>
      </c>
      <c r="V51" s="1959">
        <f>((12*V49)/(1-hhdmiss))/52/'5. Financials'!$J$46</f>
        <v>2.25</v>
      </c>
      <c r="W51" s="1959">
        <f>((12*W49)/(1-hhdmiss))/52/'5. Financials'!$J$46</f>
        <v>2.5</v>
      </c>
      <c r="Y51" s="99"/>
    </row>
    <row r="52" spans="1:26">
      <c r="A52" s="1958" t="s">
        <v>1557</v>
      </c>
      <c r="B52" s="35"/>
      <c r="C52" s="35"/>
      <c r="D52" s="35"/>
      <c r="E52" s="35"/>
      <c r="F52" s="35"/>
      <c r="G52" s="35"/>
      <c r="H52" s="35"/>
      <c r="I52" s="35"/>
      <c r="J52" s="35"/>
      <c r="K52" s="35"/>
      <c r="L52" s="1959">
        <f>((12*L50)/(1-hhdmiss))/52/'5. Financials'!$J$54</f>
        <v>1</v>
      </c>
      <c r="M52" s="1959">
        <f>((12*M50)/(1-hhdmiss))/52/'5. Financials'!$J$54</f>
        <v>1</v>
      </c>
      <c r="N52" s="1959">
        <f>((12*N50)/(1-hhdmiss))/52/'5. Financials'!$J$54</f>
        <v>1</v>
      </c>
      <c r="O52" s="1959">
        <f>((12*O50)/(1-hhdmiss))/52/'5. Financials'!$J$54</f>
        <v>1</v>
      </c>
      <c r="P52" s="1959">
        <f>((12*P50)/(1-hhdmiss))/52/'5. Financials'!$J$54</f>
        <v>1</v>
      </c>
      <c r="Q52" s="1959">
        <f>((12*Q50)/(1-hhdmiss))/52/'5. Financials'!$J$54</f>
        <v>1</v>
      </c>
      <c r="R52" s="1959">
        <f>((12*R50)/(1-hhdmiss))/52/'5. Financials'!$J$54</f>
        <v>1</v>
      </c>
      <c r="S52" s="1959">
        <f>((12*S50)/(1-hhdmiss))/52/'5. Financials'!$J$54</f>
        <v>1</v>
      </c>
      <c r="T52" s="1959">
        <f>((12*T50)/(1-hhdmiss))/52/'5. Financials'!$J$54</f>
        <v>1</v>
      </c>
      <c r="U52" s="1959">
        <f>((12*U50)/(1-hhdmiss))/52/'5. Financials'!$J$54</f>
        <v>1</v>
      </c>
      <c r="V52" s="1959">
        <f>((12*V50)/(1-hhdmiss))/52/'5. Financials'!$J$54</f>
        <v>1</v>
      </c>
      <c r="W52" s="1959">
        <f>((12*W50)/(1-hhdmiss))/52/'5. Financials'!$J$54</f>
        <v>1</v>
      </c>
      <c r="Y52" s="99"/>
    </row>
    <row r="53" spans="1:26">
      <c r="A53" s="1958" t="s">
        <v>1558</v>
      </c>
      <c r="B53" s="35"/>
      <c r="C53" s="35"/>
      <c r="D53" s="35"/>
      <c r="E53" s="35"/>
      <c r="F53" s="35"/>
      <c r="G53" s="35"/>
      <c r="H53" s="35"/>
      <c r="I53" s="35"/>
      <c r="J53" s="35"/>
      <c r="K53" s="35"/>
      <c r="L53" s="1959">
        <f>(52*'5. Financials'!$J$46*'Upload Detail'!L51*(1-hhdmiss)-clawback*(52*('5. Financials'!$J$46-3)*'Upload Detail'!L51*(1-hhdmiss)))/12</f>
        <v>6.5</v>
      </c>
      <c r="M53" s="1959">
        <f>(52*'5. Financials'!$J$46*'Upload Detail'!M51*(1-hhdmiss)-clawback*(52*('5. Financials'!$J$46-3)*'Upload Detail'!M51*(1-hhdmiss)))/12</f>
        <v>8.6666666666666661</v>
      </c>
      <c r="N53" s="1959">
        <f>(52*'5. Financials'!$J$46*'Upload Detail'!N51*(1-hhdmiss)-clawback*(52*('5. Financials'!$J$46-3)*'Upload Detail'!N51*(1-hhdmiss)))/12</f>
        <v>10.833333333333334</v>
      </c>
      <c r="O53" s="1959">
        <f>(52*'5. Financials'!$J$46*'Upload Detail'!O51*(1-hhdmiss)-clawback*(52*('5. Financials'!$J$46-3)*'Upload Detail'!O51*(1-hhdmiss)))/12</f>
        <v>12.999999999999998</v>
      </c>
      <c r="P53" s="1959">
        <f>(52*'5. Financials'!$J$46*'Upload Detail'!P51*(1-hhdmiss)-clawback*(52*('5. Financials'!$J$46-3)*'Upload Detail'!P51*(1-hhdmiss)))/12</f>
        <v>15.166666666666664</v>
      </c>
      <c r="Q53" s="1959">
        <f>(52*'5. Financials'!$J$46*'Upload Detail'!Q51*(1-hhdmiss)-clawback*(52*('5. Financials'!$J$46-3)*'Upload Detail'!Q51*(1-hhdmiss)))/12</f>
        <v>17.333333333333332</v>
      </c>
      <c r="R53" s="1959">
        <f>(52*'5. Financials'!$J$46*'Upload Detail'!R51*(1-hhdmiss)-clawback*(52*('5. Financials'!$J$46-3)*'Upload Detail'!R51*(1-hhdmiss)))/12</f>
        <v>19.5</v>
      </c>
      <c r="S53" s="1959">
        <f>(52*'5. Financials'!$J$46*'Upload Detail'!S51*(1-hhdmiss)-clawback*(52*('5. Financials'!$J$46-3)*'Upload Detail'!S51*(1-hhdmiss)))/12</f>
        <v>21.666666666666668</v>
      </c>
      <c r="T53" s="1959">
        <f>(52*'5. Financials'!$J$46*'Upload Detail'!T51*(1-hhdmiss)-clawback*(52*('5. Financials'!$J$46-3)*'Upload Detail'!T51*(1-hhdmiss)))/12</f>
        <v>23.833333333333332</v>
      </c>
      <c r="U53" s="1959">
        <f>(52*'5. Financials'!$J$46*'Upload Detail'!U51*(1-hhdmiss)-clawback*(52*('5. Financials'!$J$46-3)*'Upload Detail'!U51*(1-hhdmiss)))/12</f>
        <v>26</v>
      </c>
      <c r="V53" s="1959">
        <f>(52*'5. Financials'!$J$46*'Upload Detail'!V51*(1-hhdmiss)-clawback*(52*('5. Financials'!$J$46-3)*'Upload Detail'!V51*(1-hhdmiss)))/12</f>
        <v>29.25</v>
      </c>
      <c r="W53" s="1959">
        <f>(52*'5. Financials'!$J$46*'Upload Detail'!W51*(1-hhdmiss)-clawback*(52*('5. Financials'!$J$46-3)*'Upload Detail'!W51*(1-hhdmiss)))/12</f>
        <v>32.5</v>
      </c>
      <c r="Y53" s="99"/>
    </row>
    <row r="54" spans="1:26">
      <c r="A54" s="1958" t="s">
        <v>1559</v>
      </c>
      <c r="B54" s="35"/>
      <c r="C54" s="35"/>
      <c r="D54" s="35"/>
      <c r="E54" s="35"/>
      <c r="F54" s="35"/>
      <c r="G54" s="35"/>
      <c r="H54" s="35"/>
      <c r="I54" s="35"/>
      <c r="J54" s="35"/>
      <c r="K54" s="35"/>
      <c r="L54" s="1959">
        <f>(52*'5. Financials'!$J$54*'Upload Detail'!L52*(1-hhdmiss)-clawback*(52*('5. Financials'!$J$54-3)*'Upload Detail'!L52*(1-hhdmiss)))/12</f>
        <v>18.633333333333333</v>
      </c>
      <c r="M54" s="1959">
        <f>(52*'5. Financials'!$J$54*'Upload Detail'!M52*(1-hhdmiss)-clawback*(52*('5. Financials'!$J$54-3)*'Upload Detail'!M52*(1-hhdmiss)))/12</f>
        <v>18.633333333333333</v>
      </c>
      <c r="N54" s="1959">
        <f>(52*'5. Financials'!$J$54*'Upload Detail'!N52*(1-hhdmiss)-clawback*(52*('5. Financials'!$J$54-3)*'Upload Detail'!N52*(1-hhdmiss)))/12</f>
        <v>18.633333333333333</v>
      </c>
      <c r="O54" s="1959">
        <f>(52*'5. Financials'!$J$54*'Upload Detail'!O52*(1-hhdmiss)-clawback*(52*('5. Financials'!$J$54-3)*'Upload Detail'!O52*(1-hhdmiss)))/12</f>
        <v>18.633333333333333</v>
      </c>
      <c r="P54" s="1959">
        <f>(52*'5. Financials'!$J$54*'Upload Detail'!P52*(1-hhdmiss)-clawback*(52*('5. Financials'!$J$54-3)*'Upload Detail'!P52*(1-hhdmiss)))/12</f>
        <v>18.633333333333333</v>
      </c>
      <c r="Q54" s="1959">
        <f>(52*'5. Financials'!$J$54*'Upload Detail'!Q52*(1-hhdmiss)-clawback*(52*('5. Financials'!$J$54-3)*'Upload Detail'!Q52*(1-hhdmiss)))/12</f>
        <v>18.633333333333333</v>
      </c>
      <c r="R54" s="1959">
        <f>(52*'5. Financials'!$J$54*'Upload Detail'!R52*(1-hhdmiss)-clawback*(52*('5. Financials'!$J$54-3)*'Upload Detail'!R52*(1-hhdmiss)))/12</f>
        <v>18.633333333333333</v>
      </c>
      <c r="S54" s="1959">
        <f>(52*'5. Financials'!$J$54*'Upload Detail'!S52*(1-hhdmiss)-clawback*(52*('5. Financials'!$J$54-3)*'Upload Detail'!S52*(1-hhdmiss)))/12</f>
        <v>18.633333333333333</v>
      </c>
      <c r="T54" s="1959">
        <f>(52*'5. Financials'!$J$54*'Upload Detail'!T52*(1-hhdmiss)-clawback*(52*('5. Financials'!$J$54-3)*'Upload Detail'!T52*(1-hhdmiss)))/12</f>
        <v>18.633333333333333</v>
      </c>
      <c r="U54" s="1959">
        <f>(52*'5. Financials'!$J$54*'Upload Detail'!U52*(1-hhdmiss)-clawback*(52*('5. Financials'!$J$54-3)*'Upload Detail'!U52*(1-hhdmiss)))/12</f>
        <v>18.633333333333333</v>
      </c>
      <c r="V54" s="1959">
        <f>(52*'5. Financials'!$J$54*'Upload Detail'!V52*(1-hhdmiss)-clawback*(52*('5. Financials'!$J$54-3)*'Upload Detail'!V52*(1-hhdmiss)))/12</f>
        <v>18.633333333333333</v>
      </c>
      <c r="W54" s="1959">
        <f>(52*'5. Financials'!$J$54*'Upload Detail'!W52*(1-hhdmiss)-clawback*(52*('5. Financials'!$J$54-3)*'Upload Detail'!W52*(1-hhdmiss)))/12</f>
        <v>18.633333333333333</v>
      </c>
      <c r="Y54" s="99"/>
    </row>
    <row r="55" spans="1:26" s="98" customFormat="1">
      <c r="A55" s="98" t="s">
        <v>151</v>
      </c>
      <c r="B55" t="str">
        <f>+$B$2</f>
        <v>D10_11032</v>
      </c>
      <c r="C55" s="98" t="str">
        <f>+$C$2</f>
        <v>LE_XXXX</v>
      </c>
      <c r="D55" s="98" t="s">
        <v>2886</v>
      </c>
      <c r="E55" s="98">
        <v>3010</v>
      </c>
      <c r="F55" s="98" t="s">
        <v>2888</v>
      </c>
      <c r="G55" s="98" t="s">
        <v>2889</v>
      </c>
      <c r="H55" s="98" t="s">
        <v>145</v>
      </c>
      <c r="I55" s="98" t="s">
        <v>146</v>
      </c>
      <c r="J55" s="98" t="s">
        <v>147</v>
      </c>
      <c r="K55" s="45" t="str">
        <f>+"FY"&amp;RIGHT(YEAR('Hyperion Panel'!$B$9)+1,2)</f>
        <v>FY11</v>
      </c>
      <c r="L55" s="1697"/>
      <c r="M55" s="1697"/>
      <c r="N55" s="1697"/>
      <c r="O55" s="1697"/>
      <c r="P55" s="1697"/>
      <c r="Q55" s="1697"/>
      <c r="R55" s="1697"/>
      <c r="S55" s="1697"/>
      <c r="T55" s="1697"/>
      <c r="U55" s="1697"/>
      <c r="V55" s="1700"/>
      <c r="W55" s="1697"/>
      <c r="Y55" s="45"/>
      <c r="Z55" s="97"/>
    </row>
    <row r="56" spans="1:26" s="98" customFormat="1">
      <c r="A56" s="100" t="s">
        <v>463</v>
      </c>
      <c r="L56" s="1697">
        <f>+IF(COLUMNS($L56:L56)&lt;month,'5. Financials'!$I$15*L43,'5. Financials'!$J$15*L43)</f>
        <v>17805.807192381813</v>
      </c>
      <c r="M56" s="1697">
        <f>+IF(COLUMNS($L56:M56)&lt;month,'5. Financials'!$I$15*M43,'5. Financials'!$J$15*M43)</f>
        <v>23741.076256509088</v>
      </c>
      <c r="N56" s="1697">
        <f>+IF(COLUMNS($L56:N56)&lt;month,'5. Financials'!$I$15*N43,'5. Financials'!$J$15*N43)</f>
        <v>29676.345320636363</v>
      </c>
      <c r="O56" s="1697">
        <f>+IF(COLUMNS($L56:O56)&lt;month,'5. Financials'!$I$15*O43,'5. Financials'!$J$15*O43)</f>
        <v>35611.614384763627</v>
      </c>
      <c r="P56" s="1697">
        <f>+IF(COLUMNS($L56:P56)&lt;month,'5. Financials'!$I$15*P43,'5. Financials'!$J$15*P43)</f>
        <v>41546.883448890905</v>
      </c>
      <c r="Q56" s="1697">
        <f>+IF(COLUMNS($L56:Q56)&lt;month,'5. Financials'!$I$15*Q43,'5. Financials'!$J$15*Q43)</f>
        <v>47482.152513018176</v>
      </c>
      <c r="R56" s="1697">
        <f>+IF(COLUMNS($L56:R56)&lt;month,'5. Financials'!$I$15*R43,'5. Financials'!$J$15*R43)</f>
        <v>53417.421577145447</v>
      </c>
      <c r="S56" s="1697">
        <f>+IF(COLUMNS($L56:S56)&lt;month,'5. Financials'!$I$15*S43,'5. Financials'!$J$15*S43)</f>
        <v>59352.690641272726</v>
      </c>
      <c r="T56" s="1697">
        <f>+IF(COLUMNS($L56:T56)&lt;month,'5. Financials'!$I$15*T43,'5. Financials'!$J$15*T43)</f>
        <v>65287.959705400004</v>
      </c>
      <c r="U56" s="1697">
        <f>+IF(COLUMNS($L56:U56)&lt;month,'5. Financials'!$I$15*U43,'5. Financials'!$J$15*U43)</f>
        <v>71223.228769527268</v>
      </c>
      <c r="V56" s="1700">
        <f>+IF(COLUMNS($L56:V56)&lt;month,'5. Financials'!$I$15*V43,'5. Financials'!$J$15*V43)</f>
        <v>75678.551395273244</v>
      </c>
      <c r="W56" s="1697">
        <f>+IF(COLUMNS($L56:W56)&lt;month,'5. Financials'!$I$15*W43,'5. Financials'!$J$15*W43)</f>
        <v>80311.932092943054</v>
      </c>
      <c r="Y56" s="99"/>
      <c r="Z56" s="97"/>
    </row>
    <row r="57" spans="1:26" s="98" customFormat="1">
      <c r="A57" s="100" t="s">
        <v>464</v>
      </c>
      <c r="L57" s="1697">
        <f>+IF(COLUMNS($L57:L57)&lt;month,'5. Financials'!$I$23*L44,'5. Financials'!$J$23*L44)</f>
        <v>18235.594159169101</v>
      </c>
      <c r="M57" s="1697">
        <f>+IF(COLUMNS($L57:M57)&lt;month,'5. Financials'!$I$23*M44,'5. Financials'!$J$23*M44)</f>
        <v>20261.771287965668</v>
      </c>
      <c r="N57" s="1697">
        <f>+IF(COLUMNS($L57:N57)&lt;month,'5. Financials'!$I$23*N44,'5. Financials'!$J$23*N44)</f>
        <v>22287.948416762236</v>
      </c>
      <c r="O57" s="1697">
        <f>+IF(COLUMNS($L57:O57)&lt;month,'5. Financials'!$I$23*O44,'5. Financials'!$J$23*O44)</f>
        <v>24314.125545558807</v>
      </c>
      <c r="P57" s="1697">
        <f>+IF(COLUMNS($L57:P57)&lt;month,'5. Financials'!$I$23*P44,'5. Financials'!$J$23*P44)</f>
        <v>26340.302674355367</v>
      </c>
      <c r="Q57" s="1697">
        <f>+IF(COLUMNS($L57:Q57)&lt;month,'5. Financials'!$I$23*Q44,'5. Financials'!$J$23*Q44)</f>
        <v>28366.479803151928</v>
      </c>
      <c r="R57" s="1697">
        <f>+IF(COLUMNS($L57:R57)&lt;month,'5. Financials'!$I$23*R44,'5. Financials'!$J$23*R44)</f>
        <v>30392.656931948495</v>
      </c>
      <c r="S57" s="1697">
        <f>+IF(COLUMNS($L57:S57)&lt;month,'5. Financials'!$I$23*S44,'5. Financials'!$J$23*S44)</f>
        <v>32418.834060745059</v>
      </c>
      <c r="T57" s="1697">
        <f>+IF(COLUMNS($L57:T57)&lt;month,'5. Financials'!$I$23*T44,'5. Financials'!$J$23*T44)</f>
        <v>34445.011189541627</v>
      </c>
      <c r="U57" s="1697">
        <f>+IF(COLUMNS($L57:U57)&lt;month,'5. Financials'!$I$23*U44,'5. Financials'!$J$23*U44)</f>
        <v>36471.188318338187</v>
      </c>
      <c r="V57" s="1700">
        <f>+IF(COLUMNS($L57:V57)&lt;month,'5. Financials'!$I$23*V44,'5. Financials'!$J$23*V44)</f>
        <v>39382.804852418849</v>
      </c>
      <c r="W57" s="1697">
        <f>+IF(COLUMNS($L57:W57)&lt;month,'5. Financials'!$I$23*W44,'5. Financials'!$J$23*W44)</f>
        <v>41455.584055177729</v>
      </c>
      <c r="Y57" s="99"/>
      <c r="Z57" s="97"/>
    </row>
    <row r="58" spans="1:26" s="98" customFormat="1">
      <c r="A58" s="98" t="s">
        <v>152</v>
      </c>
      <c r="B58" t="str">
        <f>+$B$2</f>
        <v>D10_11032</v>
      </c>
      <c r="C58" s="98" t="str">
        <f>+$C$2</f>
        <v>LE_XXXX</v>
      </c>
      <c r="D58" s="98" t="s">
        <v>2886</v>
      </c>
      <c r="E58" s="98">
        <v>3030</v>
      </c>
      <c r="F58" s="98" t="s">
        <v>150</v>
      </c>
      <c r="G58" s="98" t="s">
        <v>2889</v>
      </c>
      <c r="H58" s="98" t="s">
        <v>145</v>
      </c>
      <c r="I58" s="98" t="s">
        <v>146</v>
      </c>
      <c r="J58" s="98" t="s">
        <v>147</v>
      </c>
      <c r="K58" s="45" t="str">
        <f>+"FY"&amp;RIGHT(YEAR('Hyperion Panel'!$B$9)+1,2)</f>
        <v>FY11</v>
      </c>
      <c r="L58" s="1697"/>
      <c r="M58" s="1697"/>
      <c r="N58" s="1697"/>
      <c r="O58" s="1697"/>
      <c r="P58" s="1697"/>
      <c r="Q58" s="1697"/>
      <c r="R58" s="1697"/>
      <c r="S58" s="1697"/>
      <c r="T58" s="1697"/>
      <c r="U58" s="1697"/>
      <c r="V58" s="1700"/>
      <c r="W58" s="1697"/>
      <c r="Y58" s="45"/>
    </row>
    <row r="59" spans="1:26" s="98" customFormat="1">
      <c r="A59" s="100" t="s">
        <v>463</v>
      </c>
      <c r="L59" s="1697">
        <f>+IF(COLUMNS($L59:L59)&lt;month,'5. Financials'!$I$32*L46,'5. Financials'!$J$32*L46)</f>
        <v>4671.298808922832</v>
      </c>
      <c r="M59" s="1697">
        <f>+IF(COLUMNS($L59:M59)&lt;month,'5. Financials'!$I$32*M46,'5. Financials'!$J$32*M46)</f>
        <v>6228.3984118971093</v>
      </c>
      <c r="N59" s="1697">
        <f>+IF(COLUMNS($L59:N59)&lt;month,'5. Financials'!$I$32*N46,'5. Financials'!$J$32*N46)</f>
        <v>7785.4980148713876</v>
      </c>
      <c r="O59" s="1697">
        <f>+IF(COLUMNS($L59:O59)&lt;month,'5. Financials'!$I$32*O46,'5. Financials'!$J$32*O46)</f>
        <v>9342.597617845664</v>
      </c>
      <c r="P59" s="1697">
        <f>+IF(COLUMNS($L59:P59)&lt;month,'5. Financials'!$I$32*P46,'5. Financials'!$J$32*P46)</f>
        <v>10899.697220819942</v>
      </c>
      <c r="Q59" s="1697">
        <f>+IF(COLUMNS($L59:Q59)&lt;month,'5. Financials'!$I$32*Q46,'5. Financials'!$J$32*Q46)</f>
        <v>12456.796823794219</v>
      </c>
      <c r="R59" s="1697">
        <f>+IF(COLUMNS($L59:R59)&lt;month,'5. Financials'!$I$32*R46,'5. Financials'!$J$32*R46)</f>
        <v>14013.896426768495</v>
      </c>
      <c r="S59" s="1697">
        <f>+IF(COLUMNS($L59:S59)&lt;month,'5. Financials'!$I$32*S46,'5. Financials'!$J$32*S46)</f>
        <v>15570.996029742775</v>
      </c>
      <c r="T59" s="1697">
        <f>+IF(COLUMNS($L59:T59)&lt;month,'5. Financials'!$I$32*T46,'5. Financials'!$J$32*T46)</f>
        <v>17128.09563271705</v>
      </c>
      <c r="U59" s="1697">
        <f>+IF(COLUMNS($L59:U59)&lt;month,'5. Financials'!$I$32*U46,'5. Financials'!$J$32*U46)</f>
        <v>18685.195235691328</v>
      </c>
      <c r="V59" s="1700">
        <f>+IF(COLUMNS($L59:V59)&lt;month,'5. Financials'!$I$32*V46,'5. Financials'!$J$32*V46)</f>
        <v>19932.821292574477</v>
      </c>
      <c r="W59" s="1697">
        <f>+IF(COLUMNS($L59:W59)&lt;month,'5. Financials'!$I$32*W46,'5. Financials'!$J$32*W46)</f>
        <v>21227.16033754684</v>
      </c>
      <c r="Y59" s="99"/>
    </row>
    <row r="60" spans="1:26" s="98" customFormat="1">
      <c r="A60" s="100" t="s">
        <v>464</v>
      </c>
      <c r="L60" s="1697">
        <f>+IF(COLUMNS($L60:L60)&lt;month,'5. Financials'!$I$40*L47,'5. Financials'!$J$40*L47)</f>
        <v>12553.488732761334</v>
      </c>
      <c r="M60" s="1697">
        <f>+IF(COLUMNS($L60:M60)&lt;month,'5. Financials'!$I$40*M47,'5. Financials'!$J$40*M47)</f>
        <v>12553.488732761334</v>
      </c>
      <c r="N60" s="1697">
        <f>+IF(COLUMNS($L60:N60)&lt;month,'5. Financials'!$I$40*N47,'5. Financials'!$J$40*N47)</f>
        <v>12553.488732761334</v>
      </c>
      <c r="O60" s="1697">
        <f>+IF(COLUMNS($L60:O60)&lt;month,'5. Financials'!$I$40*O47,'5. Financials'!$J$40*O47)</f>
        <v>12553.488732761334</v>
      </c>
      <c r="P60" s="1697">
        <f>+IF(COLUMNS($L60:P60)&lt;month,'5. Financials'!$I$40*P47,'5. Financials'!$J$40*P47)</f>
        <v>12553.488732761334</v>
      </c>
      <c r="Q60" s="1697">
        <f>+IF(COLUMNS($L60:Q60)&lt;month,'5. Financials'!$I$40*Q47,'5. Financials'!$J$40*Q47)</f>
        <v>12553.488732761334</v>
      </c>
      <c r="R60" s="1697">
        <f>+IF(COLUMNS($L60:R60)&lt;month,'5. Financials'!$I$40*R47,'5. Financials'!$J$40*R47)</f>
        <v>12553.488732761334</v>
      </c>
      <c r="S60" s="1697">
        <f>+IF(COLUMNS($L60:S60)&lt;month,'5. Financials'!$I$40*S47,'5. Financials'!$J$40*S47)</f>
        <v>12553.488732761334</v>
      </c>
      <c r="T60" s="1697">
        <f>+IF(COLUMNS($L60:T60)&lt;month,'5. Financials'!$I$40*T47,'5. Financials'!$J$40*T47)</f>
        <v>12553.488732761334</v>
      </c>
      <c r="U60" s="1697">
        <f>+IF(COLUMNS($L60:U60)&lt;month,'5. Financials'!$I$40*U47,'5. Financials'!$J$40*U47)</f>
        <v>12553.488732761334</v>
      </c>
      <c r="V60" s="1700">
        <f>+IF(COLUMNS($L60:V60)&lt;month,'5. Financials'!$I$40*V47,'5. Financials'!$J$40*V47)</f>
        <v>13912.403888082747</v>
      </c>
      <c r="W60" s="1697">
        <f>+IF(COLUMNS($L60:W60)&lt;month,'5. Financials'!$I$40*W47,'5. Financials'!$J$40*W47)</f>
        <v>14982.588802550647</v>
      </c>
      <c r="Y60" s="99"/>
    </row>
    <row r="61" spans="1:26">
      <c r="A61" s="4" t="s">
        <v>170</v>
      </c>
      <c r="B61" s="4" t="str">
        <f>+$B$2</f>
        <v>D10_11032</v>
      </c>
      <c r="C61" s="4"/>
      <c r="D61" s="4"/>
      <c r="E61" s="4"/>
      <c r="F61" s="4"/>
      <c r="G61" s="4"/>
      <c r="H61" s="4"/>
      <c r="I61" s="4"/>
      <c r="J61" s="4"/>
      <c r="K61" s="4" t="str">
        <f>+"FY"&amp;RIGHT(YEAR('Hyperion Panel'!$B$9)+1,2)</f>
        <v>FY11</v>
      </c>
      <c r="L61" s="1698"/>
      <c r="M61" s="1698"/>
      <c r="N61" s="1698"/>
      <c r="O61" s="1698"/>
      <c r="P61" s="1698"/>
      <c r="Q61" s="1698"/>
      <c r="R61" s="1698"/>
      <c r="S61" s="1698"/>
      <c r="T61" s="1698"/>
      <c r="U61" s="1698"/>
      <c r="V61" s="1701"/>
      <c r="W61" s="1698"/>
    </row>
    <row r="62" spans="1:26">
      <c r="A62" s="101" t="s">
        <v>463</v>
      </c>
      <c r="B62" s="4"/>
      <c r="C62" s="4"/>
      <c r="D62" s="4"/>
      <c r="E62" s="4"/>
      <c r="F62" s="4"/>
      <c r="G62" s="4"/>
      <c r="H62" s="4"/>
      <c r="I62" s="4"/>
      <c r="J62" s="4"/>
      <c r="K62" s="4"/>
      <c r="L62" s="1698">
        <f>+IF(COLUMNS($L62:L62)&lt;month,'5. Financials'!$I$49*L53,'5. Financials'!$J$49*L53)</f>
        <v>1692.7071343873517</v>
      </c>
      <c r="M62" s="1698">
        <f>+IF(COLUMNS($L62:M62)&lt;month,'5. Financials'!$I$49*M53,'5. Financials'!$J$49*M53)</f>
        <v>2256.9428458498019</v>
      </c>
      <c r="N62" s="1698">
        <f>+IF(COLUMNS($L62:N62)&lt;month,'5. Financials'!$I$49*N53,'5. Financials'!$J$49*N53)</f>
        <v>2821.1785573122529</v>
      </c>
      <c r="O62" s="1698">
        <f>+IF(COLUMNS($L62:O62)&lt;month,'5. Financials'!$I$49*O53,'5. Financials'!$J$49*O53)</f>
        <v>3385.4142687747026</v>
      </c>
      <c r="P62" s="1698">
        <f>+IF(COLUMNS($L62:P62)&lt;month,'5. Financials'!$I$49*P53,'5. Financials'!$J$49*P53)</f>
        <v>3949.6499802371532</v>
      </c>
      <c r="Q62" s="1698">
        <f>+IF(COLUMNS($L62:Q62)&lt;month,'5. Financials'!$I$49*Q53,'5. Financials'!$J$49*Q53)</f>
        <v>4513.8856916996037</v>
      </c>
      <c r="R62" s="1698">
        <f>+IF(COLUMNS($L62:R62)&lt;month,'5. Financials'!$I$49*R53,'5. Financials'!$J$49*R53)</f>
        <v>5078.1214031620548</v>
      </c>
      <c r="S62" s="1698">
        <f>+IF(COLUMNS($L62:S62)&lt;month,'5. Financials'!$I$49*S53,'5. Financials'!$J$49*S53)</f>
        <v>5642.3571146245058</v>
      </c>
      <c r="T62" s="1698">
        <f>+IF(COLUMNS($L62:T62)&lt;month,'5. Financials'!$I$49*T53,'5. Financials'!$J$49*T53)</f>
        <v>6206.5928260869559</v>
      </c>
      <c r="U62" s="1698">
        <f>+IF(COLUMNS($L62:U62)&lt;month,'5. Financials'!$I$49*U53,'5. Financials'!$J$49*U53)</f>
        <v>6770.828537549407</v>
      </c>
      <c r="V62" s="1698">
        <f>+IF(COLUMNS($L62:V62)&lt;month,'5. Financials'!$I$49*V53,'5. Financials'!$J$49*V53)</f>
        <v>7598.1391494812242</v>
      </c>
      <c r="W62" s="1698">
        <f>+IF(COLUMNS($L62:W62)&lt;month,'5. Financials'!$I$49*W53,'5. Financials'!$J$49*W53)</f>
        <v>8442.376832756916</v>
      </c>
      <c r="X62" t="s">
        <v>720</v>
      </c>
      <c r="Y62" s="99"/>
    </row>
    <row r="63" spans="1:26">
      <c r="A63" s="101" t="s">
        <v>464</v>
      </c>
      <c r="B63" s="4"/>
      <c r="C63" s="4"/>
      <c r="D63" s="4"/>
      <c r="E63" s="4"/>
      <c r="F63" s="4"/>
      <c r="G63" s="4"/>
      <c r="H63" s="4"/>
      <c r="I63" s="4"/>
      <c r="J63" s="4"/>
      <c r="K63" s="4"/>
      <c r="L63" s="1698">
        <f>+IF(COLUMNS($L63:L63)&lt;month,'5. Financials'!$I$57*L54,'5. Financials'!$J$57*L54)</f>
        <v>0</v>
      </c>
      <c r="M63" s="1698">
        <f>+IF(COLUMNS($L63:M63)&lt;month,'5. Financials'!$I$57*M54,'5. Financials'!$J$57*M54)</f>
        <v>0</v>
      </c>
      <c r="N63" s="1698">
        <f>+IF(COLUMNS($L63:N63)&lt;month,'5. Financials'!$I$57*N54,'5. Financials'!$J$57*N54)</f>
        <v>0</v>
      </c>
      <c r="O63" s="1698">
        <f>+IF(COLUMNS($L63:O63)&lt;month,'5. Financials'!$I$57*O54,'5. Financials'!$J$57*O54)</f>
        <v>0</v>
      </c>
      <c r="P63" s="1698">
        <f>+IF(COLUMNS($L63:P63)&lt;month,'5. Financials'!$I$57*P54,'5. Financials'!$J$57*P54)</f>
        <v>0</v>
      </c>
      <c r="Q63" s="1698">
        <f>+IF(COLUMNS($L63:Q63)&lt;month,'5. Financials'!$I$57*Q54,'5. Financials'!$J$57*Q54)</f>
        <v>0</v>
      </c>
      <c r="R63" s="1698">
        <f>+IF(COLUMNS($L63:R63)&lt;month,'5. Financials'!$I$57*R54,'5. Financials'!$J$57*R54)</f>
        <v>0</v>
      </c>
      <c r="S63" s="1698">
        <f>+IF(COLUMNS($L63:S63)&lt;month,'5. Financials'!$I$57*S54,'5. Financials'!$J$57*S54)</f>
        <v>0</v>
      </c>
      <c r="T63" s="1698">
        <f>+IF(COLUMNS($L63:T63)&lt;month,'5. Financials'!$I$57*T54,'5. Financials'!$J$57*T54)</f>
        <v>0</v>
      </c>
      <c r="U63" s="1698">
        <f>+IF(COLUMNS($L63:U63)&lt;month,'5. Financials'!$I$57*U54,'5. Financials'!$J$57*U54)</f>
        <v>0</v>
      </c>
      <c r="V63" s="1698">
        <f>+IF(COLUMNS($L63:V63)&lt;month,'5. Financials'!$I$57*V54,'5. Financials'!$J$57*V54)</f>
        <v>0</v>
      </c>
      <c r="W63" s="1698">
        <f>+IF(COLUMNS($L63:W63)&lt;month,'5. Financials'!$I$57*W54,'5. Financials'!$J$57*W54)</f>
        <v>0</v>
      </c>
      <c r="X63" t="s">
        <v>720</v>
      </c>
      <c r="Y63" s="99"/>
    </row>
    <row r="64" spans="1:26">
      <c r="A64" s="3" t="s">
        <v>2651</v>
      </c>
      <c r="B64" t="str">
        <f t="shared" ref="B64:B80" si="2">+$B$2</f>
        <v>D10_11032</v>
      </c>
      <c r="C64" t="str">
        <f t="shared" ref="C64:C80" si="3">+$C$2</f>
        <v>LE_XXXX</v>
      </c>
      <c r="D64" t="s">
        <v>2886</v>
      </c>
      <c r="E64">
        <v>6010</v>
      </c>
      <c r="F64" t="s">
        <v>2888</v>
      </c>
      <c r="G64" t="s">
        <v>153</v>
      </c>
      <c r="H64" t="s">
        <v>154</v>
      </c>
      <c r="I64" t="s">
        <v>146</v>
      </c>
      <c r="J64" t="s">
        <v>147</v>
      </c>
      <c r="K64" s="45" t="str">
        <f>+"FY"&amp;RIGHT(YEAR('Hyperion Panel'!$B$9)+1,2)</f>
        <v>FY11</v>
      </c>
      <c r="L64" s="1708">
        <f>+IF(COLUMNS($L64:L64)&lt;month,'5. Financials'!$I$107*SUM(L43:L44,L46:L47,L49:L50),'5. Financials'!$J$107*SUM(L43:L44,L46:L47,L49:L50))</f>
        <v>9959.8575748707426</v>
      </c>
      <c r="M64" s="1708">
        <f>+IF(COLUMNS($L64:M64)&lt;month,'5. Financials'!$I$107*SUM(M43:M44,M46:M47,M49:M50),'5. Financials'!$J$107*SUM(M43:M44,M46:M47,M49:M50))</f>
        <v>12280.850648717196</v>
      </c>
      <c r="N64" s="1708">
        <f>+IF(COLUMNS($L64:N64)&lt;month,'5. Financials'!$I$107*SUM(N43:N44,N46:N47,N49:N50),'5. Financials'!$J$107*SUM(N43:N44,N46:N47,N49:N50))</f>
        <v>14601.843722563652</v>
      </c>
      <c r="O64" s="1708">
        <f>+IF(COLUMNS($L64:O64)&lt;month,'5. Financials'!$I$107*SUM(O43:O44,O46:O47,O49:O50),'5. Financials'!$J$107*SUM(O43:O44,O46:O47,O49:O50))</f>
        <v>16922.836796410102</v>
      </c>
      <c r="P64" s="1708">
        <f>+IF(COLUMNS($L64:P64)&lt;month,'5. Financials'!$I$107*SUM(P43:P44,P46:P47,P49:P50),'5. Financials'!$J$107*SUM(P43:P44,P46:P47,P49:P50))</f>
        <v>19243.829870256559</v>
      </c>
      <c r="Q64" s="1708">
        <f>+IF(COLUMNS($L64:Q64)&lt;month,'5. Financials'!$I$107*SUM(Q43:Q44,Q46:Q47,Q49:Q50),'5. Financials'!$J$107*SUM(Q43:Q44,Q46:Q47,Q49:Q50))</f>
        <v>21564.822944103009</v>
      </c>
      <c r="R64" s="1708">
        <f>+IF(COLUMNS($L64:R64)&lt;month,'5. Financials'!$I$107*SUM(R43:R44,R46:R47,R49:R50),'5. Financials'!$J$107*SUM(R43:R44,R46:R47,R49:R50))</f>
        <v>23885.816017949466</v>
      </c>
      <c r="S64" s="1708">
        <f>+IF(COLUMNS($L64:S64)&lt;month,'5. Financials'!$I$107*SUM(S43:S44,S46:S47,S49:S50),'5. Financials'!$J$107*SUM(S43:S44,S46:S47,S49:S50))</f>
        <v>26206.80909179592</v>
      </c>
      <c r="T64" s="1708">
        <f>+IF(COLUMNS($L64:T64)&lt;month,'5. Financials'!$I$107*SUM(T43:T44,T46:T47,T49:T50),'5. Financials'!$J$107*SUM(T43:T44,T46:T47,T49:T50))</f>
        <v>28527.802165642377</v>
      </c>
      <c r="U64" s="1708">
        <f>+IF(COLUMNS($L64:U64)&lt;month,'5. Financials'!$I$107*SUM(U43:U44,U46:U47,U49:U50),'5. Financials'!$J$107*SUM(U43:U44,U46:U47,U49:U50))</f>
        <v>30848.795239488831</v>
      </c>
      <c r="V64" s="1708">
        <f>+IF(COLUMNS($L64:V64)&lt;month,'5. Financials'!$I$107*SUM(V43:V44,V46:V47,V49:V50),'5. Financials'!$J$107*SUM(V43:V44,V46:V47,V49:V50))</f>
        <v>21130.137897487693</v>
      </c>
      <c r="W64" s="1708">
        <f>+IF(COLUMNS($L64:W64)&lt;month,'5. Financials'!$I$107*SUM(W43:W44,W46:W47,W49:W50),'5. Financials'!$J$107*SUM(W43:W44,W46:W47,W49:W50))</f>
        <v>22446.097673702054</v>
      </c>
      <c r="Y64" s="1709"/>
    </row>
    <row r="65" spans="1:25">
      <c r="A65" t="s">
        <v>2652</v>
      </c>
      <c r="B65" t="str">
        <f t="shared" si="2"/>
        <v>D10_11032</v>
      </c>
      <c r="C65" t="str">
        <f t="shared" si="3"/>
        <v>LE_XXXX</v>
      </c>
      <c r="D65" t="s">
        <v>2886</v>
      </c>
      <c r="E65">
        <v>6010</v>
      </c>
      <c r="F65" t="s">
        <v>2888</v>
      </c>
      <c r="G65" t="s">
        <v>155</v>
      </c>
      <c r="H65" t="s">
        <v>154</v>
      </c>
      <c r="I65" t="s">
        <v>146</v>
      </c>
      <c r="J65" t="s">
        <v>147</v>
      </c>
      <c r="K65" s="45" t="str">
        <f>+"FY"&amp;RIGHT(YEAR('Hyperion Panel'!$B$9)+1,2)</f>
        <v>FY11</v>
      </c>
      <c r="L65" s="1612">
        <f>+IF(COLUMNS($L65:L65)&lt;month,'5. Financials'!$I$74/12,'5. Financials'!$J$74/12)</f>
        <v>10333.333333333334</v>
      </c>
      <c r="M65" s="1612">
        <f>+IF(COLUMNS($L65:M65)&lt;month,'5. Financials'!$I$74/12,'5. Financials'!$J$74/12)</f>
        <v>10333.333333333334</v>
      </c>
      <c r="N65" s="1612">
        <f>+IF(COLUMNS($L65:N65)&lt;month,'5. Financials'!$I$74/12,'5. Financials'!$J$74/12)</f>
        <v>10333.333333333334</v>
      </c>
      <c r="O65" s="1612">
        <f>+IF(COLUMNS($L65:O65)&lt;month,'5. Financials'!$I$74/12,'5. Financials'!$J$74/12)</f>
        <v>10333.333333333334</v>
      </c>
      <c r="P65" s="1612">
        <f>+IF(COLUMNS($L65:P65)&lt;month,'5. Financials'!$I$74/12,'5. Financials'!$J$74/12)</f>
        <v>10333.333333333334</v>
      </c>
      <c r="Q65" s="1612">
        <f>+IF(COLUMNS($L65:Q65)&lt;month,'5. Financials'!$I$74/12,'5. Financials'!$J$74/12)</f>
        <v>10333.333333333334</v>
      </c>
      <c r="R65" s="1612">
        <f>+IF(COLUMNS($L65:R65)&lt;month,'5. Financials'!$I$74/12,'5. Financials'!$J$74/12)</f>
        <v>10333.333333333334</v>
      </c>
      <c r="S65" s="1612">
        <f>+IF(COLUMNS($L65:S65)&lt;month,'5. Financials'!$I$74/12,'5. Financials'!$J$74/12)</f>
        <v>10333.333333333334</v>
      </c>
      <c r="T65" s="1612">
        <f>+IF(COLUMNS($L65:T65)&lt;month,'5. Financials'!$I$74/12,'5. Financials'!$J$74/12)</f>
        <v>10333.333333333334</v>
      </c>
      <c r="U65" s="1612">
        <f>+IF(COLUMNS($L65:U65)&lt;month,'5. Financials'!$I$74/12,'5. Financials'!$J$74/12)</f>
        <v>10333.333333333334</v>
      </c>
      <c r="V65" s="1612">
        <f>+IF(COLUMNS($L65:V65)&lt;month,'5. Financials'!$I$74/12,'5. Financials'!$J$74/12)</f>
        <v>14377.083333333334</v>
      </c>
      <c r="W65" s="1612">
        <f>+IF(COLUMNS($L65:W65)&lt;month,'5. Financials'!$I$74/12,'5. Financials'!$J$74/12)</f>
        <v>14377.083333333334</v>
      </c>
      <c r="X65" s="1660"/>
    </row>
    <row r="66" spans="1:25">
      <c r="A66" t="s">
        <v>2653</v>
      </c>
      <c r="B66" t="str">
        <f t="shared" si="2"/>
        <v>D10_11032</v>
      </c>
      <c r="C66" t="str">
        <f t="shared" si="3"/>
        <v>LE_XXXX</v>
      </c>
      <c r="D66" t="s">
        <v>2886</v>
      </c>
      <c r="E66">
        <v>6051</v>
      </c>
      <c r="F66" t="s">
        <v>2888</v>
      </c>
      <c r="G66" t="s">
        <v>153</v>
      </c>
      <c r="H66" t="s">
        <v>154</v>
      </c>
      <c r="I66" t="s">
        <v>146</v>
      </c>
      <c r="J66" t="s">
        <v>147</v>
      </c>
      <c r="K66" s="45" t="str">
        <f>+"FY"&amp;RIGHT(YEAR('Hyperion Panel'!$B$9)+1,2)</f>
        <v>FY11</v>
      </c>
      <c r="L66" s="1612">
        <f>+IF(COLUMNS($L66:L66)&lt;month,'5. Financials'!$I$75/12,'5. Financials'!$J$75/12)</f>
        <v>11082.5</v>
      </c>
      <c r="M66" s="1612">
        <f>+IF(COLUMNS($L66:M66)&lt;month,'5. Financials'!$I$75/12,'5. Financials'!$J$75/12)</f>
        <v>11082.5</v>
      </c>
      <c r="N66" s="1612">
        <f>+IF(COLUMNS($L66:N66)&lt;month,'5. Financials'!$I$75/12,'5. Financials'!$J$75/12)</f>
        <v>11082.5</v>
      </c>
      <c r="O66" s="1612">
        <f>+IF(COLUMNS($L66:O66)&lt;month,'5. Financials'!$I$75/12,'5. Financials'!$J$75/12)</f>
        <v>11082.5</v>
      </c>
      <c r="P66" s="1612">
        <f>+IF(COLUMNS($L66:P66)&lt;month,'5. Financials'!$I$75/12,'5. Financials'!$J$75/12)</f>
        <v>11082.5</v>
      </c>
      <c r="Q66" s="1612">
        <f>+IF(COLUMNS($L66:Q66)&lt;month,'5. Financials'!$I$75/12,'5. Financials'!$J$75/12)</f>
        <v>11082.5</v>
      </c>
      <c r="R66" s="1612">
        <f>+IF(COLUMNS($L66:R66)&lt;month,'5. Financials'!$I$75/12,'5. Financials'!$J$75/12)</f>
        <v>11082.5</v>
      </c>
      <c r="S66" s="1612">
        <f>+IF(COLUMNS($L66:S66)&lt;month,'5. Financials'!$I$75/12,'5. Financials'!$J$75/12)</f>
        <v>11082.5</v>
      </c>
      <c r="T66" s="1612">
        <f>+IF(COLUMNS($L66:T66)&lt;month,'5. Financials'!$I$75/12,'5. Financials'!$J$75/12)</f>
        <v>11082.5</v>
      </c>
      <c r="U66" s="1612">
        <f>+IF(COLUMNS($L66:U66)&lt;month,'5. Financials'!$I$75/12,'5. Financials'!$J$75/12)</f>
        <v>11082.5</v>
      </c>
      <c r="V66" s="1612">
        <f>+IF(COLUMNS($L66:V66)&lt;month,'5. Financials'!$I$75/12,'5. Financials'!$J$75/12)</f>
        <v>16670.55000000001</v>
      </c>
      <c r="W66" s="1612">
        <f>+IF(COLUMNS($L66:W66)&lt;month,'5. Financials'!$I$75/12,'5. Financials'!$J$75/12)</f>
        <v>16670.55000000001</v>
      </c>
      <c r="Y66" s="1660"/>
    </row>
    <row r="67" spans="1:25">
      <c r="A67" t="s">
        <v>2654</v>
      </c>
      <c r="B67" t="str">
        <f t="shared" si="2"/>
        <v>D10_11032</v>
      </c>
      <c r="C67" t="str">
        <f t="shared" si="3"/>
        <v>LE_XXXX</v>
      </c>
      <c r="D67" t="s">
        <v>2886</v>
      </c>
      <c r="E67">
        <v>6011</v>
      </c>
      <c r="F67" t="s">
        <v>2888</v>
      </c>
      <c r="G67" t="s">
        <v>153</v>
      </c>
      <c r="H67" t="s">
        <v>154</v>
      </c>
      <c r="I67" t="s">
        <v>146</v>
      </c>
      <c r="J67" t="s">
        <v>147</v>
      </c>
      <c r="K67" s="45" t="str">
        <f>+"FY"&amp;RIGHT(YEAR('Hyperion Panel'!$B$9)+1,2)</f>
        <v>FY11</v>
      </c>
      <c r="L67" s="1612">
        <f>+IF(COLUMNS($L67:L67)&lt;month,'5. Financials'!$I$76/12,'5. Financials'!$J$76/12)</f>
        <v>0</v>
      </c>
      <c r="M67" s="1612">
        <f>+IF(COLUMNS($L67:M67)&lt;month,'5. Financials'!$I$76/12,'5. Financials'!$J$76/12)</f>
        <v>0</v>
      </c>
      <c r="N67" s="1612">
        <f>+IF(COLUMNS($L67:N67)&lt;month,'5. Financials'!$I$76/12,'5. Financials'!$J$76/12)</f>
        <v>0</v>
      </c>
      <c r="O67" s="1612">
        <f>+IF(COLUMNS($L67:O67)&lt;month,'5. Financials'!$I$76/12,'5. Financials'!$J$76/12)</f>
        <v>0</v>
      </c>
      <c r="P67" s="1612">
        <f>+IF(COLUMNS($L67:P67)&lt;month,'5. Financials'!$I$76/12,'5. Financials'!$J$76/12)</f>
        <v>0</v>
      </c>
      <c r="Q67" s="1612">
        <f>+IF(COLUMNS($L67:Q67)&lt;month,'5. Financials'!$I$76/12,'5. Financials'!$J$76/12)</f>
        <v>0</v>
      </c>
      <c r="R67" s="1612">
        <f>+IF(COLUMNS($L67:R67)&lt;month,'5. Financials'!$I$76/12,'5. Financials'!$J$76/12)</f>
        <v>0</v>
      </c>
      <c r="S67" s="1612">
        <f>+IF(COLUMNS($L67:S67)&lt;month,'5. Financials'!$I$76/12,'5. Financials'!$J$76/12)</f>
        <v>0</v>
      </c>
      <c r="T67" s="1612">
        <f>+IF(COLUMNS($L67:T67)&lt;month,'5. Financials'!$I$76/12,'5. Financials'!$J$76/12)</f>
        <v>0</v>
      </c>
      <c r="U67" s="1612">
        <f>+IF(COLUMNS($L67:U67)&lt;month,'5. Financials'!$I$76/12,'5. Financials'!$J$76/12)</f>
        <v>0</v>
      </c>
      <c r="V67" s="1612">
        <f>+IF(COLUMNS($L67:V67)&lt;month,'5. Financials'!$I$76/12,'5. Financials'!$J$76/12)</f>
        <v>0</v>
      </c>
      <c r="W67" s="1612">
        <f>+IF(COLUMNS($L67:W67)&lt;month,'5. Financials'!$I$76/12,'5. Financials'!$J$76/12)</f>
        <v>0</v>
      </c>
      <c r="Y67" s="1709"/>
    </row>
    <row r="68" spans="1:25">
      <c r="A68" s="6" t="s">
        <v>3769</v>
      </c>
      <c r="B68" t="str">
        <f t="shared" si="2"/>
        <v>D10_11032</v>
      </c>
      <c r="C68" t="str">
        <f t="shared" si="3"/>
        <v>LE_XXXX</v>
      </c>
      <c r="D68" t="s">
        <v>2886</v>
      </c>
      <c r="E68">
        <v>6600</v>
      </c>
      <c r="F68" t="s">
        <v>2888</v>
      </c>
      <c r="G68" t="s">
        <v>2889</v>
      </c>
      <c r="H68" t="s">
        <v>154</v>
      </c>
      <c r="I68" t="s">
        <v>146</v>
      </c>
      <c r="J68" t="s">
        <v>147</v>
      </c>
      <c r="K68" s="45" t="str">
        <f>+"FY"&amp;RIGHT(YEAR('Hyperion Panel'!$B$9)+1,2)</f>
        <v>FY11</v>
      </c>
      <c r="L68" s="1697">
        <f>+IF(COLUMNS($L68:L68)&lt;month,'5. Financials'!$I$114*SUM(L43:L44,L46:L47),'5. Financials'!$J$114*SUM(L43:L44,L46:L47))</f>
        <v>7369.4328828831303</v>
      </c>
      <c r="M68" s="1697">
        <f>+IF(COLUMNS($L68:M68)&lt;month,'5. Financials'!$I$114*SUM(M43:M44,M46:M47),'5. Financials'!$J$114*SUM(M43:M44,M46:M47))</f>
        <v>9318.0483586408773</v>
      </c>
      <c r="N68" s="1697">
        <f>+IF(COLUMNS($L68:N68)&lt;month,'5. Financials'!$I$114*SUM(N43:N44,N46:N47),'5. Financials'!$J$114*SUM(N43:N44,N46:N47))</f>
        <v>11266.663834398623</v>
      </c>
      <c r="O68" s="1697">
        <f>+IF(COLUMNS($L68:O68)&lt;month,'5. Financials'!$I$114*SUM(O43:O44,O46:O47),'5. Financials'!$J$114*SUM(O43:O44,O46:O47))</f>
        <v>13215.279310156368</v>
      </c>
      <c r="P68" s="1697">
        <f>+IF(COLUMNS($L68:P68)&lt;month,'5. Financials'!$I$114*SUM(P43:P44,P46:P47),'5. Financials'!$J$114*SUM(P43:P44,P46:P47))</f>
        <v>15163.894785914115</v>
      </c>
      <c r="Q68" s="1697">
        <f>+IF(COLUMNS($L68:Q68)&lt;month,'5. Financials'!$I$114*SUM(Q43:Q44,Q46:Q47),'5. Financials'!$J$114*SUM(Q43:Q44,Q46:Q47))</f>
        <v>17112.510261671865</v>
      </c>
      <c r="R68" s="1697">
        <f>+IF(COLUMNS($L68:R68)&lt;month,'5. Financials'!$I$114*SUM(R43:R44,R46:R47),'5. Financials'!$J$114*SUM(R43:R44,R46:R47))</f>
        <v>19061.125737429611</v>
      </c>
      <c r="S68" s="1697">
        <f>+IF(COLUMNS($L68:S68)&lt;month,'5. Financials'!$I$114*SUM(S43:S44,S46:S47),'5. Financials'!$J$114*SUM(S43:S44,S46:S47))</f>
        <v>21009.741213187357</v>
      </c>
      <c r="T68" s="1697">
        <f>+IF(COLUMNS($L68:T68)&lt;month,'5. Financials'!$I$114*SUM(T43:T44,T46:T47),'5. Financials'!$J$114*SUM(T43:T44,T46:T47))</f>
        <v>22958.35668894511</v>
      </c>
      <c r="U68" s="1697">
        <f>+IF(COLUMNS($L68:U68)&lt;month,'5. Financials'!$I$114*SUM(U43:U44,U46:U47),'5. Financials'!$J$114*SUM(U43:U44,U46:U47))</f>
        <v>24906.972164702853</v>
      </c>
      <c r="V68" s="1697">
        <f>+IF(COLUMNS($L68:V68)&lt;month,'5. Financials'!$I$114*SUM(V43:V44,V46:V47),'5. Financials'!$J$114*SUM(V43:V44,V46:V47))</f>
        <v>27074.131316187744</v>
      </c>
      <c r="W68" s="1697">
        <f>+IF(COLUMNS($L68:W68)&lt;month,'5. Financials'!$I$114*SUM(W43:W44,W46:W47),'5. Financials'!$J$114*SUM(W43:W44,W46:W47))</f>
        <v>28743.151024378578</v>
      </c>
      <c r="Y68" s="1709"/>
    </row>
    <row r="69" spans="1:25">
      <c r="A69" s="6" t="s">
        <v>3770</v>
      </c>
      <c r="B69" t="str">
        <f t="shared" si="2"/>
        <v>D10_11032</v>
      </c>
      <c r="C69" t="str">
        <f t="shared" si="3"/>
        <v>LE_XXXX</v>
      </c>
      <c r="D69" t="s">
        <v>2886</v>
      </c>
      <c r="E69">
        <v>6800</v>
      </c>
      <c r="F69" t="s">
        <v>156</v>
      </c>
      <c r="G69" t="s">
        <v>2889</v>
      </c>
      <c r="H69" t="s">
        <v>154</v>
      </c>
      <c r="I69" t="s">
        <v>146</v>
      </c>
      <c r="J69" t="s">
        <v>147</v>
      </c>
      <c r="K69" s="45" t="str">
        <f>+"FY"&amp;RIGHT(YEAR('Hyperion Panel'!$B$9)+1,2)</f>
        <v>FY11</v>
      </c>
      <c r="L69" s="1697">
        <f>+IF(COLUMNS($L69:L69)&lt;month,'5. Financials'!$I$118*SUM(L43:L44,L46:L47),'5. Financials'!$J$118*SUM(L43:L44,L46:L47))</f>
        <v>2731.0354206923198</v>
      </c>
      <c r="M69" s="1697">
        <f>+IF(COLUMNS($L69:M69)&lt;month,'5. Financials'!$I$118*SUM(M43:M44,M46:M47),'5. Financials'!$J$118*SUM(M43:M44,M46:M47))</f>
        <v>3453.1721129151829</v>
      </c>
      <c r="N69" s="1697">
        <f>+IF(COLUMNS($L69:N69)&lt;month,'5. Financials'!$I$118*SUM(N43:N44,N46:N47),'5. Financials'!$J$118*SUM(N43:N44,N46:N47))</f>
        <v>4175.3088051380464</v>
      </c>
      <c r="O69" s="1697">
        <f>+IF(COLUMNS($L69:O69)&lt;month,'5. Financials'!$I$118*SUM(O43:O44,O46:O47),'5. Financials'!$J$118*SUM(O43:O44,O46:O47))</f>
        <v>4897.445497360909</v>
      </c>
      <c r="P69" s="1697">
        <f>+IF(COLUMNS($L69:P69)&lt;month,'5. Financials'!$I$118*SUM(P43:P44,P46:P47),'5. Financials'!$J$118*SUM(P43:P44,P46:P47))</f>
        <v>5619.5821895837726</v>
      </c>
      <c r="Q69" s="1697">
        <f>+IF(COLUMNS($L69:Q69)&lt;month,'5. Financials'!$I$118*SUM(Q43:Q44,Q46:Q47),'5. Financials'!$J$118*SUM(Q43:Q44,Q46:Q47))</f>
        <v>6341.7188818066361</v>
      </c>
      <c r="R69" s="1697">
        <f>+IF(COLUMNS($L69:R69)&lt;month,'5. Financials'!$I$118*SUM(R43:R44,R46:R47),'5. Financials'!$J$118*SUM(R43:R44,R46:R47))</f>
        <v>7063.8555740294996</v>
      </c>
      <c r="S69" s="1697">
        <f>+IF(COLUMNS($L69:S69)&lt;month,'5. Financials'!$I$118*SUM(S43:S44,S46:S47),'5. Financials'!$J$118*SUM(S43:S44,S46:S47))</f>
        <v>7785.9922662523622</v>
      </c>
      <c r="T69" s="1697">
        <f>+IF(COLUMNS($L69:T69)&lt;month,'5. Financials'!$I$118*SUM(T43:T44,T46:T47),'5. Financials'!$J$118*SUM(T43:T44,T46:T47))</f>
        <v>8508.1289584752285</v>
      </c>
      <c r="U69" s="1697">
        <f>+IF(COLUMNS($L69:U69)&lt;month,'5. Financials'!$I$118*SUM(U43:U44,U46:U47),'5. Financials'!$J$118*SUM(U43:U44,U46:U47))</f>
        <v>9230.2656506980911</v>
      </c>
      <c r="V69" s="1697">
        <f>+IF(COLUMNS($L69:V69)&lt;month,'5. Financials'!$I$118*SUM(V43:V44,V46:V47),'5. Financials'!$J$118*SUM(V43:V44,V46:V47))</f>
        <v>10131.758955098758</v>
      </c>
      <c r="W69" s="1697">
        <f>+IF(COLUMNS($L69:W69)&lt;month,'5. Financials'!$I$118*SUM(W43:W44,W46:W47),'5. Financials'!$J$118*SUM(W43:W44,W46:W47))</f>
        <v>10756.344289978484</v>
      </c>
      <c r="Y69" s="1709"/>
    </row>
    <row r="70" spans="1:25">
      <c r="A70" t="s">
        <v>3697</v>
      </c>
      <c r="B70" t="str">
        <f t="shared" si="2"/>
        <v>D10_11032</v>
      </c>
      <c r="C70" t="str">
        <f t="shared" si="3"/>
        <v>LE_XXXX</v>
      </c>
      <c r="D70" t="s">
        <v>2886</v>
      </c>
      <c r="E70">
        <v>8600</v>
      </c>
      <c r="F70" t="s">
        <v>156</v>
      </c>
      <c r="G70" t="s">
        <v>2889</v>
      </c>
      <c r="H70" t="s">
        <v>154</v>
      </c>
      <c r="I70" t="s">
        <v>146</v>
      </c>
      <c r="J70" t="s">
        <v>147</v>
      </c>
      <c r="K70" s="45" t="str">
        <f>+"FY"&amp;RIGHT(YEAR('Hyperion Panel'!$B$9)+1,2)</f>
        <v>FY11</v>
      </c>
      <c r="L70" s="1612">
        <f>+IF(COLUMNS($L70:L70)&lt;month,'5. Financials'!$I$78/12,'5. Financials'!$J$78/12)</f>
        <v>20591.856</v>
      </c>
      <c r="M70" s="1612">
        <f>+IF(COLUMNS($L70:M70)&lt;month,'5. Financials'!$I$78/12,'5. Financials'!$J$78/12)</f>
        <v>20591.856</v>
      </c>
      <c r="N70" s="1612">
        <f>+IF(COLUMNS($L70:N70)&lt;month,'5. Financials'!$I$78/12,'5. Financials'!$J$78/12)</f>
        <v>20591.856</v>
      </c>
      <c r="O70" s="1612">
        <f>+IF(COLUMNS($L70:O70)&lt;month,'5. Financials'!$I$78/12,'5. Financials'!$J$78/12)</f>
        <v>20591.856</v>
      </c>
      <c r="P70" s="1612">
        <f>+IF(COLUMNS($L70:P70)&lt;month,'5. Financials'!$I$78/12,'5. Financials'!$J$78/12)</f>
        <v>20591.856</v>
      </c>
      <c r="Q70" s="1612">
        <f>+IF(COLUMNS($L70:Q70)&lt;month,'5. Financials'!$I$78/12,'5. Financials'!$J$78/12)</f>
        <v>20591.856</v>
      </c>
      <c r="R70" s="1612">
        <f>+IF(COLUMNS($L70:R70)&lt;month,'5. Financials'!$I$78/12,'5. Financials'!$J$78/12)</f>
        <v>20591.856</v>
      </c>
      <c r="S70" s="1612">
        <f>+IF(COLUMNS($L70:S70)&lt;month,'5. Financials'!$I$78/12,'5. Financials'!$J$78/12)</f>
        <v>20591.856</v>
      </c>
      <c r="T70" s="1612">
        <f>+IF(COLUMNS($L70:T70)&lt;month,'5. Financials'!$I$78/12,'5. Financials'!$J$78/12)</f>
        <v>20591.856</v>
      </c>
      <c r="U70" s="1612">
        <f>+IF(COLUMNS($L70:U70)&lt;month,'5. Financials'!$I$78/12,'5. Financials'!$J$78/12)</f>
        <v>20591.856</v>
      </c>
      <c r="V70" s="1612">
        <f>+IF(COLUMNS($L70:V70)&lt;month,'5. Financials'!$I$78/12,'5. Financials'!$J$78/12)</f>
        <v>21209.611679999998</v>
      </c>
      <c r="W70" s="1612">
        <f>+IF(COLUMNS($L70:W70)&lt;month,'5. Financials'!$I$78/12,'5. Financials'!$J$78/12)</f>
        <v>21209.611679999998</v>
      </c>
      <c r="Y70" s="1709"/>
    </row>
    <row r="71" spans="1:25">
      <c r="A71" t="s">
        <v>157</v>
      </c>
      <c r="B71" t="str">
        <f t="shared" si="2"/>
        <v>D10_11032</v>
      </c>
      <c r="C71" t="str">
        <f t="shared" si="3"/>
        <v>LE_XXXX</v>
      </c>
      <c r="D71" t="s">
        <v>2886</v>
      </c>
      <c r="E71">
        <v>6720</v>
      </c>
      <c r="F71" t="s">
        <v>156</v>
      </c>
      <c r="G71" t="s">
        <v>2889</v>
      </c>
      <c r="H71" t="s">
        <v>154</v>
      </c>
      <c r="I71" t="s">
        <v>146</v>
      </c>
      <c r="J71" t="s">
        <v>147</v>
      </c>
      <c r="K71" s="45" t="str">
        <f>+"FY"&amp;RIGHT(YEAR('Hyperion Panel'!$B$9)+1,2)</f>
        <v>FY11</v>
      </c>
      <c r="L71" s="1612">
        <f>+IF(COLUMNS($L71:L71)&lt;month,'5. Financials'!$I$79/12,'5. Financials'!$J$79/12)</f>
        <v>14118.416666666666</v>
      </c>
      <c r="M71" s="1612">
        <f>+IF(COLUMNS($L71:M71)&lt;month,'5. Financials'!$I$79/12,'5. Financials'!$J$79/12)</f>
        <v>14118.416666666666</v>
      </c>
      <c r="N71" s="1612">
        <f>+IF(COLUMNS($L71:N71)&lt;month,'5. Financials'!$I$79/12,'5. Financials'!$J$79/12)</f>
        <v>14118.416666666666</v>
      </c>
      <c r="O71" s="1612">
        <f>+IF(COLUMNS($L71:O71)&lt;month,'5. Financials'!$I$79/12,'5. Financials'!$J$79/12)</f>
        <v>14118.416666666666</v>
      </c>
      <c r="P71" s="1612">
        <f>+IF(COLUMNS($L71:P71)&lt;month,'5. Financials'!$I$79/12,'5. Financials'!$J$79/12)</f>
        <v>14118.416666666666</v>
      </c>
      <c r="Q71" s="1612">
        <f>+IF(COLUMNS($L71:Q71)&lt;month,'5. Financials'!$I$79/12,'5. Financials'!$J$79/12)</f>
        <v>14118.416666666666</v>
      </c>
      <c r="R71" s="1612">
        <f>+IF(COLUMNS($L71:R71)&lt;month,'5. Financials'!$I$79/12,'5. Financials'!$J$79/12)</f>
        <v>14118.416666666666</v>
      </c>
      <c r="S71" s="1612">
        <f>+IF(COLUMNS($L71:S71)&lt;month,'5. Financials'!$I$79/12,'5. Financials'!$J$79/12)</f>
        <v>14118.416666666666</v>
      </c>
      <c r="T71" s="1612">
        <f>+IF(COLUMNS($L71:T71)&lt;month,'5. Financials'!$I$79/12,'5. Financials'!$J$79/12)</f>
        <v>14118.416666666666</v>
      </c>
      <c r="U71" s="1612">
        <f>+IF(COLUMNS($L71:U71)&lt;month,'5. Financials'!$I$79/12,'5. Financials'!$J$79/12)</f>
        <v>14118.416666666666</v>
      </c>
      <c r="V71" s="1612">
        <f>+IF(COLUMNS($L71:V71)&lt;month,'5. Financials'!$I$79/12,'5. Financials'!$J$79/12)</f>
        <v>14118.416666666666</v>
      </c>
      <c r="W71" s="1612">
        <f>+IF(COLUMNS($L71:W71)&lt;month,'5. Financials'!$I$79/12,'5. Financials'!$J$79/12)</f>
        <v>14118.416666666666</v>
      </c>
      <c r="X71" s="1660"/>
    </row>
    <row r="72" spans="1:25">
      <c r="A72" t="s">
        <v>3766</v>
      </c>
      <c r="B72" t="str">
        <f t="shared" si="2"/>
        <v>D10_11032</v>
      </c>
      <c r="C72" t="str">
        <f t="shared" si="3"/>
        <v>LE_XXXX</v>
      </c>
      <c r="D72" t="s">
        <v>2886</v>
      </c>
      <c r="E72">
        <v>8110</v>
      </c>
      <c r="F72" t="s">
        <v>156</v>
      </c>
      <c r="G72" t="s">
        <v>2889</v>
      </c>
      <c r="H72" t="s">
        <v>154</v>
      </c>
      <c r="I72" t="s">
        <v>146</v>
      </c>
      <c r="J72" t="s">
        <v>147</v>
      </c>
      <c r="K72" s="45" t="str">
        <f>+"FY"&amp;RIGHT(YEAR('Hyperion Panel'!$B$9)+1,2)</f>
        <v>FY11</v>
      </c>
      <c r="L72" s="1612">
        <f>+IF(COLUMNS($L72:L72)&lt;month,'5. Financials'!$I$82/12,'5. Financials'!$J$82/12)</f>
        <v>1323.2929999999999</v>
      </c>
      <c r="M72" s="1612">
        <f>+IF(COLUMNS($L72:M72)&lt;month,'5. Financials'!$I$82/12,'5. Financials'!$J$82/12)</f>
        <v>1323.2929999999999</v>
      </c>
      <c r="N72" s="1612">
        <f>+IF(COLUMNS($L72:N72)&lt;month,'5. Financials'!$I$82/12,'5. Financials'!$J$82/12)</f>
        <v>1323.2929999999999</v>
      </c>
      <c r="O72" s="1612">
        <f>+IF(COLUMNS($L72:O72)&lt;month,'5. Financials'!$I$82/12,'5. Financials'!$J$82/12)</f>
        <v>1323.2929999999999</v>
      </c>
      <c r="P72" s="1612">
        <f>+IF(COLUMNS($L72:P72)&lt;month,'5. Financials'!$I$82/12,'5. Financials'!$J$82/12)</f>
        <v>1323.2929999999999</v>
      </c>
      <c r="Q72" s="1612">
        <f>+IF(COLUMNS($L72:Q72)&lt;month,'5. Financials'!$I$82/12,'5. Financials'!$J$82/12)</f>
        <v>1323.2929999999999</v>
      </c>
      <c r="R72" s="1612">
        <f>+IF(COLUMNS($L72:R72)&lt;month,'5. Financials'!$I$82/12,'5. Financials'!$J$82/12)</f>
        <v>1323.2929999999999</v>
      </c>
      <c r="S72" s="1612">
        <f>+IF(COLUMNS($L72:S72)&lt;month,'5. Financials'!$I$82/12,'5. Financials'!$J$82/12)</f>
        <v>1323.2929999999999</v>
      </c>
      <c r="T72" s="1612">
        <f>+IF(COLUMNS($L72:T72)&lt;month,'5. Financials'!$I$82/12,'5. Financials'!$J$82/12)</f>
        <v>1323.2929999999999</v>
      </c>
      <c r="U72" s="1612">
        <f>+IF(COLUMNS($L72:U72)&lt;month,'5. Financials'!$I$82/12,'5. Financials'!$J$82/12)</f>
        <v>1323.2929999999999</v>
      </c>
      <c r="V72" s="1612">
        <f>+IF(COLUMNS($L72:V72)&lt;month,'5. Financials'!$I$82/12,'5. Financials'!$J$82/12)</f>
        <v>1362.9917899999998</v>
      </c>
      <c r="W72" s="1612">
        <f>+IF(COLUMNS($L72:W72)&lt;month,'5. Financials'!$I$82/12,'5. Financials'!$J$82/12)</f>
        <v>1362.9917899999998</v>
      </c>
      <c r="X72" s="1660"/>
    </row>
    <row r="73" spans="1:25">
      <c r="A73" s="102" t="s">
        <v>171</v>
      </c>
      <c r="B73" t="str">
        <f t="shared" si="2"/>
        <v>D10_11032</v>
      </c>
      <c r="C73" s="98" t="str">
        <f t="shared" si="3"/>
        <v>LE_XXXX</v>
      </c>
      <c r="D73" s="98" t="s">
        <v>2886</v>
      </c>
      <c r="E73" s="98">
        <v>6412</v>
      </c>
      <c r="F73" s="98" t="s">
        <v>156</v>
      </c>
      <c r="G73" s="98" t="s">
        <v>2889</v>
      </c>
      <c r="H73" s="98" t="s">
        <v>154</v>
      </c>
      <c r="I73" s="98" t="s">
        <v>146</v>
      </c>
      <c r="J73" s="98" t="s">
        <v>147</v>
      </c>
      <c r="K73" s="45" t="str">
        <f>+"FY"&amp;RIGHT(YEAR('Hyperion Panel'!$B$9)+1,2)</f>
        <v>FY11</v>
      </c>
      <c r="L73" s="1697">
        <f>+IF(COLUMNS($L73:L73)&lt;month,'5. Financials'!$I$117*SUM(L43:L44,L46:L47),'5. Financials'!$J$117*SUM(L43:L44,L46:L47))</f>
        <v>2583.3876200561722</v>
      </c>
      <c r="M73" s="1697">
        <f>+IF(COLUMNS($L73:M73)&lt;month,'5. Financials'!$I$117*SUM(M43:M44,M46:M47),'5. Financials'!$J$117*SUM(M43:M44,M46:M47))</f>
        <v>3266.4834805279993</v>
      </c>
      <c r="N73" s="1697">
        <f>+IF(COLUMNS($L73:N73)&lt;month,'5. Financials'!$I$117*SUM(N43:N44,N46:N47),'5. Financials'!$J$117*SUM(N43:N44,N46:N47))</f>
        <v>3949.5793409998269</v>
      </c>
      <c r="O73" s="1697">
        <f>+IF(COLUMNS($L73:O73)&lt;month,'5. Financials'!$I$117*SUM(O43:O44,O46:O47),'5. Financials'!$J$117*SUM(O43:O44,O46:O47))</f>
        <v>4632.6752014716531</v>
      </c>
      <c r="P73" s="1697">
        <f>+IF(COLUMNS($L73:P73)&lt;month,'5. Financials'!$I$117*SUM(P43:P44,P46:P47),'5. Financials'!$J$117*SUM(P43:P44,P46:P47))</f>
        <v>5315.7710619434811</v>
      </c>
      <c r="Q73" s="1697">
        <f>+IF(COLUMNS($L73:Q73)&lt;month,'5. Financials'!$I$117*SUM(Q43:Q44,Q46:Q47),'5. Financials'!$J$117*SUM(Q43:Q44,Q46:Q47))</f>
        <v>5998.8669224153091</v>
      </c>
      <c r="R73" s="1697">
        <f>+IF(COLUMNS($L73:R73)&lt;month,'5. Financials'!$I$117*SUM(R43:R44,R46:R47),'5. Financials'!$J$117*SUM(R43:R44,R46:R47))</f>
        <v>6681.9627828871362</v>
      </c>
      <c r="S73" s="1697">
        <f>+IF(COLUMNS($L73:S73)&lt;month,'5. Financials'!$I$117*SUM(S43:S44,S46:S47),'5. Financials'!$J$117*SUM(S43:S44,S46:S47))</f>
        <v>7365.0586433589633</v>
      </c>
      <c r="T73" s="1697">
        <f>+IF(COLUMNS($L73:T73)&lt;month,'5. Financials'!$I$117*SUM(T43:T44,T46:T47),'5. Financials'!$J$117*SUM(T43:T44,T46:T47))</f>
        <v>8048.1545038307922</v>
      </c>
      <c r="U73" s="1697">
        <f>+IF(COLUMNS($L73:U73)&lt;month,'5. Financials'!$I$117*SUM(U43:U44,U46:U47),'5. Financials'!$J$117*SUM(U43:U44,U46:U47))</f>
        <v>8731.2503643026193</v>
      </c>
      <c r="V73" s="1697">
        <f>+IF(COLUMNS($L73:V73)&lt;month,'5. Financials'!$I$117*SUM(V43:V44,V46:V47),'5. Financials'!$J$117*SUM(V43:V44,V46:V47))</f>
        <v>9584.0062914160935</v>
      </c>
      <c r="W73" s="1697">
        <f>+IF(COLUMNS($L73:W73)&lt;month,'5. Financials'!$I$117*SUM(W43:W44,W46:W47),'5. Financials'!$J$117*SUM(W43:W44,W46:W47))</f>
        <v>10174.82470760049</v>
      </c>
      <c r="X73" s="1660"/>
    </row>
    <row r="74" spans="1:25" s="3" customFormat="1">
      <c r="A74" s="1687" t="s">
        <v>730</v>
      </c>
      <c r="B74" t="str">
        <f t="shared" si="2"/>
        <v>D10_11032</v>
      </c>
      <c r="C74" s="1687" t="str">
        <f t="shared" si="3"/>
        <v>LE_XXXX</v>
      </c>
      <c r="D74" s="1687" t="s">
        <v>2886</v>
      </c>
      <c r="E74" s="1687">
        <v>8110</v>
      </c>
      <c r="F74" s="1687" t="s">
        <v>731</v>
      </c>
      <c r="G74" s="1687" t="s">
        <v>2889</v>
      </c>
      <c r="H74" s="1687" t="s">
        <v>154</v>
      </c>
      <c r="I74" s="1687" t="s">
        <v>146</v>
      </c>
      <c r="J74" s="1687" t="s">
        <v>147</v>
      </c>
      <c r="K74" s="45" t="str">
        <f>+"FY"&amp;RIGHT(YEAR('Hyperion Panel'!$B$9)+1,2)</f>
        <v>FY11</v>
      </c>
      <c r="L74" s="1704">
        <f>+IF(COLUMNS($L74:L74)&lt;month,'5. Financials'!$I$88/12,'5. Financials'!$J$88/12)</f>
        <v>833.33333333333337</v>
      </c>
      <c r="M74" s="1704">
        <f>+IF(COLUMNS($L74:M74)&lt;month,'5. Financials'!$I$88/12,'5. Financials'!$J$88/12)</f>
        <v>833.33333333333337</v>
      </c>
      <c r="N74" s="1704">
        <f>+IF(COLUMNS($L74:N74)&lt;month,'5. Financials'!$I$88/12,'5. Financials'!$J$88/12)</f>
        <v>833.33333333333337</v>
      </c>
      <c r="O74" s="1704">
        <f>+IF(COLUMNS($L74:O74)&lt;month,'5. Financials'!$I$88/12,'5. Financials'!$J$88/12)</f>
        <v>833.33333333333337</v>
      </c>
      <c r="P74" s="1704">
        <f>+IF(COLUMNS($L74:P74)&lt;month,'5. Financials'!$I$88/12,'5. Financials'!$J$88/12)</f>
        <v>833.33333333333337</v>
      </c>
      <c r="Q74" s="1704">
        <f>+IF(COLUMNS($L74:Q74)&lt;month,'5. Financials'!$I$88/12,'5. Financials'!$J$88/12)</f>
        <v>833.33333333333337</v>
      </c>
      <c r="R74" s="1704">
        <f>+IF(COLUMNS($L74:R74)&lt;month,'5. Financials'!$I$88/12,'5. Financials'!$J$88/12)</f>
        <v>833.33333333333337</v>
      </c>
      <c r="S74" s="1704">
        <f>+IF(COLUMNS($L74:S74)&lt;month,'5. Financials'!$I$88/12,'5. Financials'!$J$88/12)</f>
        <v>833.33333333333337</v>
      </c>
      <c r="T74" s="1704">
        <f>+IF(COLUMNS($L74:T74)&lt;month,'5. Financials'!$I$88/12,'5. Financials'!$J$88/12)</f>
        <v>833.33333333333337</v>
      </c>
      <c r="U74" s="1704">
        <f>+IF(COLUMNS($L74:U74)&lt;month,'5. Financials'!$I$88/12,'5. Financials'!$J$88/12)</f>
        <v>833.33333333333337</v>
      </c>
      <c r="V74" s="1704">
        <f>+IF(COLUMNS($L74:V74)&lt;month,'5. Financials'!$I$88/12,'5. Financials'!$J$88/12)</f>
        <v>858.33333333333337</v>
      </c>
      <c r="W74" s="1704">
        <f>+IF(COLUMNS($L74:W74)&lt;month,'5. Financials'!$I$88/12,'5. Financials'!$J$88/12)</f>
        <v>858.33333333333337</v>
      </c>
      <c r="X74" s="1710"/>
      <c r="Y74" s="1688"/>
    </row>
    <row r="75" spans="1:25" s="3" customFormat="1">
      <c r="A75" s="1687" t="s">
        <v>732</v>
      </c>
      <c r="B75" t="str">
        <f t="shared" si="2"/>
        <v>D10_11032</v>
      </c>
      <c r="C75" s="1687" t="str">
        <f t="shared" si="3"/>
        <v>LE_XXXX</v>
      </c>
      <c r="D75" s="1687" t="s">
        <v>2886</v>
      </c>
      <c r="E75" s="1687"/>
      <c r="F75" s="1687" t="s">
        <v>731</v>
      </c>
      <c r="G75" s="1687" t="s">
        <v>2889</v>
      </c>
      <c r="H75" s="1687" t="s">
        <v>154</v>
      </c>
      <c r="I75" s="1687" t="s">
        <v>146</v>
      </c>
      <c r="J75" s="1687" t="s">
        <v>147</v>
      </c>
      <c r="K75" s="45" t="str">
        <f>+"FY"&amp;RIGHT(YEAR('Hyperion Panel'!$B$9)+1,2)</f>
        <v>FY11</v>
      </c>
      <c r="L75" s="1704">
        <f>+IF(COLUMNS($L75:L75)&lt;month,'5. Financials'!$I$89/12,'5. Financials'!$J$89/12)</f>
        <v>49.30555555555555</v>
      </c>
      <c r="M75" s="1704">
        <f>+IF(COLUMNS($L75:M75)&lt;month,'5. Financials'!$I$89/12,'5. Financials'!$J$89/12)</f>
        <v>49.30555555555555</v>
      </c>
      <c r="N75" s="1704">
        <f>+IF(COLUMNS($L75:N75)&lt;month,'5. Financials'!$I$89/12,'5. Financials'!$J$89/12)</f>
        <v>49.30555555555555</v>
      </c>
      <c r="O75" s="1704">
        <f>+IF(COLUMNS($L75:O75)&lt;month,'5. Financials'!$I$89/12,'5. Financials'!$J$89/12)</f>
        <v>49.30555555555555</v>
      </c>
      <c r="P75" s="1704">
        <f>+IF(COLUMNS($L75:P75)&lt;month,'5. Financials'!$I$89/12,'5. Financials'!$J$89/12)</f>
        <v>49.30555555555555</v>
      </c>
      <c r="Q75" s="1704">
        <f>+IF(COLUMNS($L75:Q75)&lt;month,'5. Financials'!$I$89/12,'5. Financials'!$J$89/12)</f>
        <v>49.30555555555555</v>
      </c>
      <c r="R75" s="1704">
        <f>+IF(COLUMNS($L75:R75)&lt;month,'5. Financials'!$I$89/12,'5. Financials'!$J$89/12)</f>
        <v>49.30555555555555</v>
      </c>
      <c r="S75" s="1704">
        <f>+IF(COLUMNS($L75:S75)&lt;month,'5. Financials'!$I$89/12,'5. Financials'!$J$89/12)</f>
        <v>49.30555555555555</v>
      </c>
      <c r="T75" s="1704">
        <f>+IF(COLUMNS($L75:T75)&lt;month,'5. Financials'!$I$89/12,'5. Financials'!$J$89/12)</f>
        <v>49.30555555555555</v>
      </c>
      <c r="U75" s="1704">
        <f>+IF(COLUMNS($L75:U75)&lt;month,'5. Financials'!$I$89/12,'5. Financials'!$J$89/12)</f>
        <v>49.30555555555555</v>
      </c>
      <c r="V75" s="1704">
        <f>+IF(COLUMNS($L75:V75)&lt;month,'5. Financials'!$I$89/12,'5. Financials'!$J$89/12)</f>
        <v>61.355833333333344</v>
      </c>
      <c r="W75" s="1704">
        <f>+IF(COLUMNS($L75:W75)&lt;month,'5. Financials'!$I$89/12,'5. Financials'!$J$89/12)</f>
        <v>61.355833333333344</v>
      </c>
      <c r="Y75" s="1711"/>
    </row>
    <row r="76" spans="1:25" s="3" customFormat="1">
      <c r="A76" s="1687" t="s">
        <v>733</v>
      </c>
      <c r="B76" t="str">
        <f t="shared" si="2"/>
        <v>D10_11032</v>
      </c>
      <c r="C76" s="1687" t="str">
        <f t="shared" si="3"/>
        <v>LE_XXXX</v>
      </c>
      <c r="D76" s="1687" t="s">
        <v>2886</v>
      </c>
      <c r="E76" s="1687"/>
      <c r="F76" s="1687" t="s">
        <v>731</v>
      </c>
      <c r="G76" s="1687" t="s">
        <v>2889</v>
      </c>
      <c r="H76" s="1687" t="s">
        <v>154</v>
      </c>
      <c r="I76" s="1687" t="s">
        <v>146</v>
      </c>
      <c r="J76" s="1687" t="s">
        <v>147</v>
      </c>
      <c r="K76" s="45" t="str">
        <f>+"FY"&amp;RIGHT(YEAR('Hyperion Panel'!$B$9)+1,2)</f>
        <v>FY11</v>
      </c>
      <c r="L76" s="1704">
        <f>+IF(COLUMNS($L76:L76)&lt;month,'5. Financials'!$I$90/12,'5. Financials'!$J$90/12)</f>
        <v>4016.6666666666665</v>
      </c>
      <c r="M76" s="1704">
        <f>+IF(COLUMNS($L76:M76)&lt;month,'5. Financials'!$I$90/12,'5. Financials'!$J$90/12)</f>
        <v>4016.6666666666665</v>
      </c>
      <c r="N76" s="1704">
        <f>+IF(COLUMNS($L76:N76)&lt;month,'5. Financials'!$I$90/12,'5. Financials'!$J$90/12)</f>
        <v>4016.6666666666665</v>
      </c>
      <c r="O76" s="1704">
        <f>+IF(COLUMNS($L76:O76)&lt;month,'5. Financials'!$I$90/12,'5. Financials'!$J$90/12)</f>
        <v>4016.6666666666665</v>
      </c>
      <c r="P76" s="1704">
        <f>+IF(COLUMNS($L76:P76)&lt;month,'5. Financials'!$I$90/12,'5. Financials'!$J$90/12)</f>
        <v>4016.6666666666665</v>
      </c>
      <c r="Q76" s="1704">
        <f>+IF(COLUMNS($L76:Q76)&lt;month,'5. Financials'!$I$90/12,'5. Financials'!$J$90/12)</f>
        <v>4016.6666666666665</v>
      </c>
      <c r="R76" s="1704">
        <f>+IF(COLUMNS($L76:R76)&lt;month,'5. Financials'!$I$90/12,'5. Financials'!$J$90/12)</f>
        <v>4016.6666666666665</v>
      </c>
      <c r="S76" s="1704">
        <f>+IF(COLUMNS($L76:S76)&lt;month,'5. Financials'!$I$90/12,'5. Financials'!$J$90/12)</f>
        <v>4016.6666666666665</v>
      </c>
      <c r="T76" s="1704">
        <f>+IF(COLUMNS($L76:T76)&lt;month,'5. Financials'!$I$90/12,'5. Financials'!$J$90/12)</f>
        <v>4016.6666666666665</v>
      </c>
      <c r="U76" s="1704">
        <f>+IF(COLUMNS($L76:U76)&lt;month,'5. Financials'!$I$90/12,'5. Financials'!$J$90/12)</f>
        <v>4016.6666666666665</v>
      </c>
      <c r="V76" s="1704">
        <f>+IF(COLUMNS($L76:V76)&lt;month,'5. Financials'!$I$90/12,'5. Financials'!$J$90/12)</f>
        <v>9095.34</v>
      </c>
      <c r="W76" s="1704">
        <f>+IF(COLUMNS($L76:W76)&lt;month,'5. Financials'!$I$90/12,'5. Financials'!$J$90/12)</f>
        <v>9095.34</v>
      </c>
      <c r="Y76" s="1711"/>
    </row>
    <row r="77" spans="1:25" s="3" customFormat="1">
      <c r="A77" s="1687" t="s">
        <v>734</v>
      </c>
      <c r="B77" t="str">
        <f t="shared" si="2"/>
        <v>D10_11032</v>
      </c>
      <c r="C77" s="1687" t="str">
        <f t="shared" si="3"/>
        <v>LE_XXXX</v>
      </c>
      <c r="D77" s="1687" t="s">
        <v>2886</v>
      </c>
      <c r="E77" s="1687">
        <v>6800</v>
      </c>
      <c r="F77" s="1687" t="s">
        <v>731</v>
      </c>
      <c r="G77" s="1687" t="s">
        <v>2889</v>
      </c>
      <c r="H77" s="1687" t="s">
        <v>154</v>
      </c>
      <c r="I77" s="1687" t="s">
        <v>146</v>
      </c>
      <c r="J77" s="1687" t="s">
        <v>147</v>
      </c>
      <c r="K77" s="45" t="str">
        <f>+"FY"&amp;RIGHT(YEAR('Hyperion Panel'!$B$9)+1,2)</f>
        <v>FY11</v>
      </c>
      <c r="L77" s="1704">
        <f>+IF(COLUMNS($L77:L77)&lt;month,'5. Financials'!$I$91/12,'5. Financials'!$J$91/12)</f>
        <v>729.16666666666652</v>
      </c>
      <c r="M77" s="1704">
        <f>+IF(COLUMNS($L77:M77)&lt;month,'5. Financials'!$I$91/12,'5. Financials'!$J$91/12)</f>
        <v>729.16666666666652</v>
      </c>
      <c r="N77" s="1704">
        <f>+IF(COLUMNS($L77:N77)&lt;month,'5. Financials'!$I$91/12,'5. Financials'!$J$91/12)</f>
        <v>729.16666666666652</v>
      </c>
      <c r="O77" s="1704">
        <f>+IF(COLUMNS($L77:O77)&lt;month,'5. Financials'!$I$91/12,'5. Financials'!$J$91/12)</f>
        <v>729.16666666666652</v>
      </c>
      <c r="P77" s="1704">
        <f>+IF(COLUMNS($L77:P77)&lt;month,'5. Financials'!$I$91/12,'5. Financials'!$J$91/12)</f>
        <v>729.16666666666652</v>
      </c>
      <c r="Q77" s="1704">
        <f>+IF(COLUMNS($L77:Q77)&lt;month,'5. Financials'!$I$91/12,'5. Financials'!$J$91/12)</f>
        <v>729.16666666666652</v>
      </c>
      <c r="R77" s="1704">
        <f>+IF(COLUMNS($L77:R77)&lt;month,'5. Financials'!$I$91/12,'5. Financials'!$J$91/12)</f>
        <v>729.16666666666652</v>
      </c>
      <c r="S77" s="1704">
        <f>+IF(COLUMNS($L77:S77)&lt;month,'5. Financials'!$I$91/12,'5. Financials'!$J$91/12)</f>
        <v>729.16666666666652</v>
      </c>
      <c r="T77" s="1704">
        <f>+IF(COLUMNS($L77:T77)&lt;month,'5. Financials'!$I$91/12,'5. Financials'!$J$91/12)</f>
        <v>729.16666666666652</v>
      </c>
      <c r="U77" s="1704">
        <f>+IF(COLUMNS($L77:U77)&lt;month,'5. Financials'!$I$91/12,'5. Financials'!$J$91/12)</f>
        <v>729.16666666666652</v>
      </c>
      <c r="V77" s="1704">
        <f>+IF(COLUMNS($L77:V77)&lt;month,'5. Financials'!$I$91/12,'5. Financials'!$J$91/12)</f>
        <v>1667.3125</v>
      </c>
      <c r="W77" s="1704">
        <f>+IF(COLUMNS($L77:W77)&lt;month,'5. Financials'!$I$91/12,'5. Financials'!$J$91/12)</f>
        <v>1667.3125</v>
      </c>
      <c r="Y77" s="1711"/>
    </row>
    <row r="78" spans="1:25">
      <c r="A78" t="s">
        <v>158</v>
      </c>
      <c r="B78" t="str">
        <f t="shared" si="2"/>
        <v>D10_11032</v>
      </c>
      <c r="C78" t="str">
        <f t="shared" si="3"/>
        <v>LE_XXXX</v>
      </c>
      <c r="D78" t="s">
        <v>2886</v>
      </c>
      <c r="E78" t="s">
        <v>159</v>
      </c>
      <c r="F78" t="s">
        <v>156</v>
      </c>
      <c r="G78" t="s">
        <v>2889</v>
      </c>
      <c r="H78" t="s">
        <v>154</v>
      </c>
      <c r="I78" t="s">
        <v>146</v>
      </c>
      <c r="J78" t="s">
        <v>147</v>
      </c>
      <c r="K78" s="45" t="str">
        <f>+"FY"&amp;RIGHT(YEAR('Hyperion Panel'!$B$9)+1,2)</f>
        <v>FY11</v>
      </c>
      <c r="L78" s="103">
        <f>'Hyperion Panel'!$B$7</f>
        <v>0.6</v>
      </c>
      <c r="M78" s="103">
        <f>'Hyperion Panel'!$B$7</f>
        <v>0.6</v>
      </c>
      <c r="N78" s="103">
        <f>'Hyperion Panel'!$B$7</f>
        <v>0.6</v>
      </c>
      <c r="O78" s="103">
        <f>'Hyperion Panel'!$B$7</f>
        <v>0.6</v>
      </c>
      <c r="P78" s="103">
        <f>'Hyperion Panel'!$B$7</f>
        <v>0.6</v>
      </c>
      <c r="Q78" s="103">
        <f>'Hyperion Panel'!$B$7</f>
        <v>0.6</v>
      </c>
      <c r="R78" s="103">
        <f>'Hyperion Panel'!$B$7</f>
        <v>0.6</v>
      </c>
      <c r="S78" s="103">
        <f>'Hyperion Panel'!$B$7</f>
        <v>0.6</v>
      </c>
      <c r="T78" s="103">
        <f>'Hyperion Panel'!$B$7</f>
        <v>0.6</v>
      </c>
      <c r="U78" s="103">
        <f>'Hyperion Panel'!$B$7</f>
        <v>0.6</v>
      </c>
      <c r="V78" s="1694">
        <f>'Hyperion Panel'!$B$7</f>
        <v>0.6</v>
      </c>
      <c r="W78" s="103">
        <f>'Hyperion Panel'!$B$7</f>
        <v>0.6</v>
      </c>
    </row>
    <row r="79" spans="1:25">
      <c r="A79" t="s">
        <v>160</v>
      </c>
      <c r="B79" t="str">
        <f t="shared" si="2"/>
        <v>D10_11032</v>
      </c>
      <c r="C79" t="str">
        <f t="shared" si="3"/>
        <v>LE_XXXX</v>
      </c>
      <c r="D79" t="s">
        <v>2886</v>
      </c>
      <c r="E79" t="s">
        <v>161</v>
      </c>
      <c r="F79" t="s">
        <v>156</v>
      </c>
      <c r="G79" t="s">
        <v>2889</v>
      </c>
      <c r="H79" t="s">
        <v>154</v>
      </c>
      <c r="I79" t="s">
        <v>146</v>
      </c>
      <c r="J79" t="s">
        <v>147</v>
      </c>
      <c r="K79" s="45" t="str">
        <f>+"FY"&amp;RIGHT(YEAR('Hyperion Panel'!$B$9)+1,2)</f>
        <v>FY11</v>
      </c>
      <c r="L79" s="1705">
        <v>0</v>
      </c>
      <c r="M79" s="1705">
        <v>0</v>
      </c>
      <c r="N79" s="1705">
        <v>0</v>
      </c>
      <c r="O79" s="1705">
        <v>0</v>
      </c>
      <c r="P79" s="1705">
        <v>0</v>
      </c>
      <c r="Q79" s="1705">
        <v>0</v>
      </c>
      <c r="R79" s="1705">
        <v>0</v>
      </c>
      <c r="S79" s="1705">
        <v>0</v>
      </c>
      <c r="T79" s="1705">
        <v>0</v>
      </c>
      <c r="U79" s="1705">
        <v>0</v>
      </c>
      <c r="V79" s="1705">
        <v>0</v>
      </c>
      <c r="W79" s="1705">
        <v>0</v>
      </c>
    </row>
    <row r="80" spans="1:25" s="3" customFormat="1">
      <c r="A80" s="1687" t="s">
        <v>735</v>
      </c>
      <c r="B80" t="str">
        <f t="shared" si="2"/>
        <v>D10_11032</v>
      </c>
      <c r="C80" s="1687" t="str">
        <f t="shared" si="3"/>
        <v>LE_XXXX</v>
      </c>
      <c r="D80" s="1687" t="s">
        <v>2886</v>
      </c>
      <c r="E80" s="1687"/>
      <c r="F80" s="1687" t="s">
        <v>731</v>
      </c>
      <c r="G80" s="1687" t="s">
        <v>2889</v>
      </c>
      <c r="H80" s="1687" t="s">
        <v>154</v>
      </c>
      <c r="I80" s="1687" t="s">
        <v>146</v>
      </c>
      <c r="J80" s="1687" t="s">
        <v>147</v>
      </c>
      <c r="K80" s="45" t="str">
        <f>+"FY"&amp;RIGHT(YEAR('Hyperion Panel'!$B$9)+1,2)</f>
        <v>FY11</v>
      </c>
      <c r="L80" s="1705">
        <v>0</v>
      </c>
      <c r="M80" s="1705">
        <v>0</v>
      </c>
      <c r="N80" s="1705">
        <v>0</v>
      </c>
      <c r="O80" s="1705">
        <v>0</v>
      </c>
      <c r="P80" s="1705">
        <v>0</v>
      </c>
      <c r="Q80" s="1705">
        <v>0</v>
      </c>
      <c r="R80" s="1705">
        <v>0</v>
      </c>
      <c r="S80" s="1705">
        <v>0</v>
      </c>
      <c r="T80" s="1705">
        <v>0</v>
      </c>
      <c r="U80" s="1705">
        <v>0</v>
      </c>
      <c r="V80" s="1705">
        <v>0</v>
      </c>
      <c r="W80" s="1705">
        <v>0</v>
      </c>
      <c r="Y80" s="1688"/>
    </row>
    <row r="82" spans="1:26">
      <c r="A82" s="98" t="s">
        <v>2885</v>
      </c>
      <c r="B82" t="str">
        <f>+$B$2</f>
        <v>D10_11032</v>
      </c>
      <c r="C82" t="str">
        <f>+$C$2</f>
        <v>LE_XXXX</v>
      </c>
      <c r="D82" t="s">
        <v>2886</v>
      </c>
      <c r="E82" t="s">
        <v>2887</v>
      </c>
      <c r="F82" t="s">
        <v>2888</v>
      </c>
      <c r="G82" t="s">
        <v>2889</v>
      </c>
      <c r="H82" t="s">
        <v>145</v>
      </c>
      <c r="I82" t="s">
        <v>146</v>
      </c>
      <c r="J82" t="s">
        <v>147</v>
      </c>
      <c r="K82" t="str">
        <f>+"FY"&amp;RIGHT(YEAR('Hyperion Panel'!$B$9)+2,2)</f>
        <v>FY12</v>
      </c>
    </row>
    <row r="83" spans="1:26" s="98" customFormat="1" ht="12.75" customHeight="1">
      <c r="A83" s="100" t="s">
        <v>463</v>
      </c>
      <c r="L83" s="1697">
        <f>+IF(COLUMNS($L83:L83)&lt;month,VLOOKUP("Month "&amp;(COLUMNS($L83:L83)-month+13),DeNovo_Tx,5,FALSE)*52*3/12*(1-hemomiss),VLOOKUP("Month "&amp;(COLUMNS($L83:L83)-month+1),DeNovo_Tx,7,FALSE)*52*3/12*(1-hemomiss))</f>
        <v>328.90000000000009</v>
      </c>
      <c r="M83" s="1697">
        <f>+IF(COLUMNS($L83:M83)&lt;month,VLOOKUP("Month "&amp;(COLUMNS($L83:M83)-month+13),DeNovo_Tx,5,FALSE)*52*3/12*(1-hemomiss),VLOOKUP("Month "&amp;(COLUMNS($L83:M83)-month+1),DeNovo_Tx,7,FALSE)*52*3/12*(1-hemomiss))</f>
        <v>346.84000000000009</v>
      </c>
      <c r="N83" s="1697">
        <f>+IF(COLUMNS($L83:N83)&lt;month,VLOOKUP("Month "&amp;(COLUMNS($L83:N83)-month+13),DeNovo_Tx,5,FALSE)*52*3/12*(1-hemomiss),VLOOKUP("Month "&amp;(COLUMNS($L83:N83)-month+1),DeNovo_Tx,7,FALSE)*52*3/12*(1-hemomiss))</f>
        <v>364.78000000000009</v>
      </c>
      <c r="O83" s="1697">
        <f>+IF(COLUMNS($L83:O83)&lt;month,VLOOKUP("Month "&amp;(COLUMNS($L83:O83)-month+13),DeNovo_Tx,5,FALSE)*52*3/12*(1-hemomiss),VLOOKUP("Month "&amp;(COLUMNS($L83:O83)-month+1),DeNovo_Tx,7,FALSE)*52*3/12*(1-hemomiss))</f>
        <v>382.72</v>
      </c>
      <c r="P83" s="1697">
        <f>+IF(COLUMNS($L83:P83)&lt;month,VLOOKUP("Month "&amp;(COLUMNS($L83:P83)-month+13),DeNovo_Tx,5,FALSE)*52*3/12*(1-hemomiss),VLOOKUP("Month "&amp;(COLUMNS($L83:P83)-month+1),DeNovo_Tx,7,FALSE)*52*3/12*(1-hemomiss))</f>
        <v>400.66</v>
      </c>
      <c r="Q83" s="1697">
        <f>+IF(COLUMNS($L83:Q83)&lt;month,VLOOKUP("Month "&amp;(COLUMNS($L83:Q83)-month+13),DeNovo_Tx,5,FALSE)*52*3/12*(1-hemomiss),VLOOKUP("Month "&amp;(COLUMNS($L83:Q83)-month+1),DeNovo_Tx,7,FALSE)*52*3/12*(1-hemomiss))</f>
        <v>418.6</v>
      </c>
      <c r="R83" s="1697">
        <f>+IF(COLUMNS($L83:R83)&lt;month,VLOOKUP("Month "&amp;(COLUMNS($L83:R83)-month+13),DeNovo_Tx,5,FALSE)*52*3/12*(1-hemomiss),VLOOKUP("Month "&amp;(COLUMNS($L83:R83)-month+1),DeNovo_Tx,7,FALSE)*52*3/12*(1-hemomiss))</f>
        <v>436.54</v>
      </c>
      <c r="S83" s="1697">
        <f>+IF(COLUMNS($L83:S83)&lt;month,VLOOKUP("Month "&amp;(COLUMNS($L83:S83)-month+13),DeNovo_Tx,5,FALSE)*52*3/12*(1-hemomiss),VLOOKUP("Month "&amp;(COLUMNS($L83:S83)-month+1),DeNovo_Tx,7,FALSE)*52*3/12*(1-hemomiss))</f>
        <v>454.48</v>
      </c>
      <c r="T83" s="1697">
        <f>+IF(COLUMNS($L83:T83)&lt;month,VLOOKUP("Month "&amp;(COLUMNS($L83:T83)-month+13),DeNovo_Tx,5,FALSE)*52*3/12*(1-hemomiss),VLOOKUP("Month "&amp;(COLUMNS($L83:T83)-month+1),DeNovo_Tx,7,FALSE)*52*3/12*(1-hemomiss))</f>
        <v>472.42</v>
      </c>
      <c r="U83" s="1697">
        <f>+IF(COLUMNS($L83:U83)&lt;month,VLOOKUP("Month "&amp;(COLUMNS($L83:U83)-month+13),DeNovo_Tx,5,FALSE)*52*3/12*(1-hemomiss),VLOOKUP("Month "&amp;(COLUMNS($L83:U83)-month+1),DeNovo_Tx,7,FALSE)*52*3/12*(1-hemomiss))</f>
        <v>490.36</v>
      </c>
      <c r="V83" s="1700">
        <f>+IF(COLUMNS($L83:V83)&lt;month,VLOOKUP("Month "&amp;(COLUMNS($L83:V83)-month+13),DeNovo_Tx,5,FALSE)*52*3/12*(1-hemomiss),VLOOKUP("Month "&amp;(COLUMNS($L83:V83)-month+1),DeNovo_Tx,7,FALSE)*52*3/12*(1-hemomiss))</f>
        <v>502.32000000000005</v>
      </c>
      <c r="W83" s="1697">
        <f>+IF(COLUMNS($L83:W83)&lt;month,VLOOKUP("Month "&amp;(COLUMNS($L83:W83)-month+13),DeNovo_Tx,5,FALSE)*52*3/12*(1-hemomiss),VLOOKUP("Month "&amp;(COLUMNS($L83:W83)-month+1),DeNovo_Tx,7,FALSE)*52*3/12*(1-hemomiss))</f>
        <v>514.28</v>
      </c>
      <c r="Y83" s="99"/>
      <c r="Z83" s="97"/>
    </row>
    <row r="84" spans="1:26" s="98" customFormat="1" ht="12.75" customHeight="1">
      <c r="A84" s="100" t="s">
        <v>464</v>
      </c>
      <c r="L84" s="1697">
        <f>+IF(COLUMNS($L84:L84)&lt;month,VLOOKUP("Month "&amp;(COLUMNS($L84:L84)-month+13),DeNovo_Tx,6,FALSE)*52*3/12*(1-hemomiss),VLOOKUP("Month "&amp;(COLUMNS($L84:L84)-month+1),DeNovo_Tx,8,FALSE)*52*3/12*(1-hemomiss))</f>
        <v>41.859999999999985</v>
      </c>
      <c r="M84" s="1697">
        <f>+IF(COLUMNS($L84:M84)&lt;month,VLOOKUP("Month "&amp;(COLUMNS($L84:M84)-month+13),DeNovo_Tx,6,FALSE)*52*3/12*(1-hemomiss),VLOOKUP("Month "&amp;(COLUMNS($L84:M84)-month+1),DeNovo_Tx,8,FALSE)*52*3/12*(1-hemomiss))</f>
        <v>43.853333333333318</v>
      </c>
      <c r="N84" s="1697">
        <f>+IF(COLUMNS($L84:N84)&lt;month,VLOOKUP("Month "&amp;(COLUMNS($L84:N84)-month+13),DeNovo_Tx,6,FALSE)*52*3/12*(1-hemomiss),VLOOKUP("Month "&amp;(COLUMNS($L84:N84)-month+1),DeNovo_Tx,8,FALSE)*52*3/12*(1-hemomiss))</f>
        <v>45.84666666666665</v>
      </c>
      <c r="O84" s="1697">
        <f>+IF(COLUMNS($L84:O84)&lt;month,VLOOKUP("Month "&amp;(COLUMNS($L84:O84)-month+13),DeNovo_Tx,6,FALSE)*52*3/12*(1-hemomiss),VLOOKUP("Month "&amp;(COLUMNS($L84:O84)-month+1),DeNovo_Tx,8,FALSE)*52*3/12*(1-hemomiss))</f>
        <v>47.839999999999982</v>
      </c>
      <c r="P84" s="1697">
        <f>+IF(COLUMNS($L84:P84)&lt;month,VLOOKUP("Month "&amp;(COLUMNS($L84:P84)-month+13),DeNovo_Tx,6,FALSE)*52*3/12*(1-hemomiss),VLOOKUP("Month "&amp;(COLUMNS($L84:P84)-month+1),DeNovo_Tx,8,FALSE)*52*3/12*(1-hemomiss))</f>
        <v>49.833333333333321</v>
      </c>
      <c r="Q84" s="1697">
        <f>+IF(COLUMNS($L84:Q84)&lt;month,VLOOKUP("Month "&amp;(COLUMNS($L84:Q84)-month+13),DeNovo_Tx,6,FALSE)*52*3/12*(1-hemomiss),VLOOKUP("Month "&amp;(COLUMNS($L84:Q84)-month+1),DeNovo_Tx,8,FALSE)*52*3/12*(1-hemomiss))</f>
        <v>51.826666666666654</v>
      </c>
      <c r="R84" s="1697">
        <f>+IF(COLUMNS($L84:R84)&lt;month,VLOOKUP("Month "&amp;(COLUMNS($L84:R84)-month+13),DeNovo_Tx,6,FALSE)*52*3/12*(1-hemomiss),VLOOKUP("Month "&amp;(COLUMNS($L84:R84)-month+1),DeNovo_Tx,8,FALSE)*52*3/12*(1-hemomiss))</f>
        <v>53.819999999999986</v>
      </c>
      <c r="S84" s="1697">
        <f>+IF(COLUMNS($L84:S84)&lt;month,VLOOKUP("Month "&amp;(COLUMNS($L84:S84)-month+13),DeNovo_Tx,6,FALSE)*52*3/12*(1-hemomiss),VLOOKUP("Month "&amp;(COLUMNS($L84:S84)-month+1),DeNovo_Tx,8,FALSE)*52*3/12*(1-hemomiss))</f>
        <v>55.813333333333325</v>
      </c>
      <c r="T84" s="1697">
        <f>+IF(COLUMNS($L84:T84)&lt;month,VLOOKUP("Month "&amp;(COLUMNS($L84:T84)-month+13),DeNovo_Tx,6,FALSE)*52*3/12*(1-hemomiss),VLOOKUP("Month "&amp;(COLUMNS($L84:T84)-month+1),DeNovo_Tx,8,FALSE)*52*3/12*(1-hemomiss))</f>
        <v>57.806666666666672</v>
      </c>
      <c r="U84" s="1697">
        <f>+IF(COLUMNS($L84:U84)&lt;month,VLOOKUP("Month "&amp;(COLUMNS($L84:U84)-month+13),DeNovo_Tx,6,FALSE)*52*3/12*(1-hemomiss),VLOOKUP("Month "&amp;(COLUMNS($L84:U84)-month+1),DeNovo_Tx,8,FALSE)*52*3/12*(1-hemomiss))</f>
        <v>59.800000000000004</v>
      </c>
      <c r="V84" s="1700">
        <f>+IF(COLUMNS($L84:V84)&lt;month,VLOOKUP("Month "&amp;(COLUMNS($L84:V84)-month+13),DeNovo_Tx,6,FALSE)*52*3/12*(1-hemomiss),VLOOKUP("Month "&amp;(COLUMNS($L84:V84)-month+1),DeNovo_Tx,8,FALSE)*52*3/12*(1-hemomiss))</f>
        <v>60.796666666666667</v>
      </c>
      <c r="W84" s="1697">
        <f>+IF(COLUMNS($L84:W84)&lt;month,VLOOKUP("Month "&amp;(COLUMNS($L84:W84)-month+13),DeNovo_Tx,6,FALSE)*52*3/12*(1-hemomiss),VLOOKUP("Month "&amp;(COLUMNS($L84:W84)-month+1),DeNovo_Tx,8,FALSE)*52*3/12*(1-hemomiss))</f>
        <v>61.793333333333329</v>
      </c>
      <c r="Y84" s="99"/>
      <c r="Z84" s="97"/>
    </row>
    <row r="85" spans="1:26">
      <c r="A85" s="98" t="s">
        <v>148</v>
      </c>
      <c r="B85" t="str">
        <f>+$B$2</f>
        <v>D10_11032</v>
      </c>
      <c r="C85" t="str">
        <f>+$C$2</f>
        <v>LE_XXXX</v>
      </c>
      <c r="D85" t="s">
        <v>2886</v>
      </c>
      <c r="E85" t="s">
        <v>149</v>
      </c>
      <c r="F85" t="s">
        <v>150</v>
      </c>
      <c r="G85" t="s">
        <v>2889</v>
      </c>
      <c r="H85" t="s">
        <v>145</v>
      </c>
      <c r="I85" t="s">
        <v>146</v>
      </c>
      <c r="J85" t="s">
        <v>147</v>
      </c>
      <c r="K85" t="str">
        <f>+"FY"&amp;RIGHT(YEAR('Hyperion Panel'!$B$9)+2,2)</f>
        <v>FY12</v>
      </c>
      <c r="L85" s="1612"/>
      <c r="M85" s="1612"/>
      <c r="N85" s="1612"/>
      <c r="O85" s="1612"/>
      <c r="P85" s="1612"/>
      <c r="Q85" s="1612"/>
      <c r="R85" s="1612"/>
      <c r="S85" s="1612"/>
      <c r="T85" s="1612"/>
      <c r="U85" s="1612"/>
      <c r="V85" s="1703"/>
      <c r="W85" s="1612"/>
    </row>
    <row r="86" spans="1:26" s="98" customFormat="1">
      <c r="A86" s="100" t="s">
        <v>463</v>
      </c>
      <c r="L86" s="1697">
        <f>+IF(COLUMNS($L86:L86)&lt;month,VLOOKUP("Month "&amp;(COLUMNS($L86:L86)-month+13),DeNovo_Tx,16,FALSE)*52*3/12*(1-homemiss),VLOOKUP("Month "&amp;(COLUMNS($L86:L86)-month+1),DeNovo_Tx,18,FALSE)*52*3/12*(1-homemiss))</f>
        <v>89.537500000000009</v>
      </c>
      <c r="M86" s="1697">
        <f>+IF(COLUMNS($L86:M86)&lt;month,VLOOKUP("Month "&amp;(COLUMNS($L86:M86)-month+13),DeNovo_Tx,16,FALSE)*52*3/12*(1-homemiss),VLOOKUP("Month "&amp;(COLUMNS($L86:M86)-month+1),DeNovo_Tx,18,FALSE)*52*3/12*(1-homemiss))</f>
        <v>94.683333333333351</v>
      </c>
      <c r="N86" s="1697">
        <f>+IF(COLUMNS($L86:N86)&lt;month,VLOOKUP("Month "&amp;(COLUMNS($L86:N86)-month+13),DeNovo_Tx,16,FALSE)*52*3/12*(1-homemiss),VLOOKUP("Month "&amp;(COLUMNS($L86:N86)-month+1),DeNovo_Tx,18,FALSE)*52*3/12*(1-homemiss))</f>
        <v>99.829166666666652</v>
      </c>
      <c r="O86" s="1697">
        <f>+IF(COLUMNS($L86:O86)&lt;month,VLOOKUP("Month "&amp;(COLUMNS($L86:O86)-month+13),DeNovo_Tx,16,FALSE)*52*3/12*(1-homemiss),VLOOKUP("Month "&amp;(COLUMNS($L86:O86)-month+1),DeNovo_Tx,18,FALSE)*52*3/12*(1-homemiss))</f>
        <v>104.97499999999999</v>
      </c>
      <c r="P86" s="1697">
        <f>+IF(COLUMNS($L86:P86)&lt;month,VLOOKUP("Month "&amp;(COLUMNS($L86:P86)-month+13),DeNovo_Tx,16,FALSE)*52*3/12*(1-homemiss),VLOOKUP("Month "&amp;(COLUMNS($L86:P86)-month+1),DeNovo_Tx,18,FALSE)*52*3/12*(1-homemiss))</f>
        <v>110.12083333333334</v>
      </c>
      <c r="Q86" s="1697">
        <f>+IF(COLUMNS($L86:Q86)&lt;month,VLOOKUP("Month "&amp;(COLUMNS($L86:Q86)-month+13),DeNovo_Tx,16,FALSE)*52*3/12*(1-homemiss),VLOOKUP("Month "&amp;(COLUMNS($L86:Q86)-month+1),DeNovo_Tx,18,FALSE)*52*3/12*(1-homemiss))</f>
        <v>115.26666666666664</v>
      </c>
      <c r="R86" s="1697">
        <f>+IF(COLUMNS($L86:R86)&lt;month,VLOOKUP("Month "&amp;(COLUMNS($L86:R86)-month+13),DeNovo_Tx,16,FALSE)*52*3/12*(1-homemiss),VLOOKUP("Month "&amp;(COLUMNS($L86:R86)-month+1),DeNovo_Tx,18,FALSE)*52*3/12*(1-homemiss))</f>
        <v>120.41249999999995</v>
      </c>
      <c r="S86" s="1697">
        <f>+IF(COLUMNS($L86:S86)&lt;month,VLOOKUP("Month "&amp;(COLUMNS($L86:S86)-month+13),DeNovo_Tx,16,FALSE)*52*3/12*(1-homemiss),VLOOKUP("Month "&amp;(COLUMNS($L86:S86)-month+1),DeNovo_Tx,18,FALSE)*52*3/12*(1-homemiss))</f>
        <v>125.55833333333329</v>
      </c>
      <c r="T86" s="1697">
        <f>+IF(COLUMNS($L86:T86)&lt;month,VLOOKUP("Month "&amp;(COLUMNS($L86:T86)-month+13),DeNovo_Tx,16,FALSE)*52*3/12*(1-homemiss),VLOOKUP("Month "&amp;(COLUMNS($L86:T86)-month+1),DeNovo_Tx,18,FALSE)*52*3/12*(1-homemiss))</f>
        <v>130.70416666666662</v>
      </c>
      <c r="U86" s="1697">
        <f>+IF(COLUMNS($L86:U86)&lt;month,VLOOKUP("Month "&amp;(COLUMNS($L86:U86)-month+13),DeNovo_Tx,16,FALSE)*52*3/12*(1-homemiss),VLOOKUP("Month "&amp;(COLUMNS($L86:U86)-month+1),DeNovo_Tx,18,FALSE)*52*3/12*(1-homemiss))</f>
        <v>135.84999999999994</v>
      </c>
      <c r="V86" s="1697">
        <f>+IF(COLUMNS($L86:V86)&lt;month,VLOOKUP("Month "&amp;(COLUMNS($L86:V86)-month+13),DeNovo_Tx,16,FALSE)*52*3/12*(1-homemiss),VLOOKUP("Month "&amp;(COLUMNS($L86:V86)-month+1),DeNovo_Tx,18,FALSE)*52*3/12*(1-homemiss))</f>
        <v>139.96666666666661</v>
      </c>
      <c r="W86" s="1697">
        <f>+IF(COLUMNS($L86:W86)&lt;month,VLOOKUP("Month "&amp;(COLUMNS($L86:W86)-month+13),DeNovo_Tx,16,FALSE)*52*3/12*(1-homemiss),VLOOKUP("Month "&amp;(COLUMNS($L86:W86)-month+1),DeNovo_Tx,18,FALSE)*52*3/12*(1-homemiss))</f>
        <v>144.08333333333329</v>
      </c>
      <c r="Y86" s="99"/>
    </row>
    <row r="87" spans="1:26" s="98" customFormat="1">
      <c r="A87" s="100" t="s">
        <v>464</v>
      </c>
      <c r="L87" s="1697">
        <f>+IF(COLUMNS($L87:L87)&lt;month,VLOOKUP("Month "&amp;(COLUMNS($L87:L87)-month+13),DeNovo_Tx,17,FALSE)*52*3/12*(1-homemiss),VLOOKUP("Month "&amp;(COLUMNS($L87:L87)-month+1),DeNovo_Tx,19,FALSE)*52*3/12*(1-homemiss))</f>
        <v>15.437499999999996</v>
      </c>
      <c r="M87" s="1697">
        <f>+IF(COLUMNS($L87:M87)&lt;month,VLOOKUP("Month "&amp;(COLUMNS($L87:M87)-month+13),DeNovo_Tx,17,FALSE)*52*3/12*(1-homemiss),VLOOKUP("Month "&amp;(COLUMNS($L87:M87)-month+1),DeNovo_Tx,19,FALSE)*52*3/12*(1-homemiss))</f>
        <v>16.466666666666661</v>
      </c>
      <c r="N87" s="1697">
        <f>+IF(COLUMNS($L87:N87)&lt;month,VLOOKUP("Month "&amp;(COLUMNS($L87:N87)-month+13),DeNovo_Tx,17,FALSE)*52*3/12*(1-homemiss),VLOOKUP("Month "&amp;(COLUMNS($L87:N87)-month+1),DeNovo_Tx,19,FALSE)*52*3/12*(1-homemiss))</f>
        <v>17.495833333333326</v>
      </c>
      <c r="O87" s="1697">
        <f>+IF(COLUMNS($L87:O87)&lt;month,VLOOKUP("Month "&amp;(COLUMNS($L87:O87)-month+13),DeNovo_Tx,17,FALSE)*52*3/12*(1-homemiss),VLOOKUP("Month "&amp;(COLUMNS($L87:O87)-month+1),DeNovo_Tx,19,FALSE)*52*3/12*(1-homemiss))</f>
        <v>18.524999999999991</v>
      </c>
      <c r="P87" s="1697">
        <f>+IF(COLUMNS($L87:P87)&lt;month,VLOOKUP("Month "&amp;(COLUMNS($L87:P87)-month+13),DeNovo_Tx,17,FALSE)*52*3/12*(1-homemiss),VLOOKUP("Month "&amp;(COLUMNS($L87:P87)-month+1),DeNovo_Tx,19,FALSE)*52*3/12*(1-homemiss))</f>
        <v>19.554166666666656</v>
      </c>
      <c r="Q87" s="1697">
        <f>+IF(COLUMNS($L87:Q87)&lt;month,VLOOKUP("Month "&amp;(COLUMNS($L87:Q87)-month+13),DeNovo_Tx,17,FALSE)*52*3/12*(1-homemiss),VLOOKUP("Month "&amp;(COLUMNS($L87:Q87)-month+1),DeNovo_Tx,19,FALSE)*52*3/12*(1-homemiss))</f>
        <v>20.583333333333325</v>
      </c>
      <c r="R87" s="1697">
        <f>+IF(COLUMNS($L87:R87)&lt;month,VLOOKUP("Month "&amp;(COLUMNS($L87:R87)-month+13),DeNovo_Tx,17,FALSE)*52*3/12*(1-homemiss),VLOOKUP("Month "&amp;(COLUMNS($L87:R87)-month+1),DeNovo_Tx,19,FALSE)*52*3/12*(1-homemiss))</f>
        <v>21.61249999999999</v>
      </c>
      <c r="S87" s="1697">
        <f>+IF(COLUMNS($L87:S87)&lt;month,VLOOKUP("Month "&amp;(COLUMNS($L87:S87)-month+13),DeNovo_Tx,17,FALSE)*52*3/12*(1-homemiss),VLOOKUP("Month "&amp;(COLUMNS($L87:S87)-month+1),DeNovo_Tx,19,FALSE)*52*3/12*(1-homemiss))</f>
        <v>22.641666666666659</v>
      </c>
      <c r="T87" s="1697">
        <f>+IF(COLUMNS($L87:T87)&lt;month,VLOOKUP("Month "&amp;(COLUMNS($L87:T87)-month+13),DeNovo_Tx,17,FALSE)*52*3/12*(1-homemiss),VLOOKUP("Month "&amp;(COLUMNS($L87:T87)-month+1),DeNovo_Tx,19,FALSE)*52*3/12*(1-homemiss))</f>
        <v>23.670833333333324</v>
      </c>
      <c r="U87" s="1697">
        <f>+IF(COLUMNS($L87:U87)&lt;month,VLOOKUP("Month "&amp;(COLUMNS($L87:U87)-month+13),DeNovo_Tx,17,FALSE)*52*3/12*(1-homemiss),VLOOKUP("Month "&amp;(COLUMNS($L87:U87)-month+1),DeNovo_Tx,19,FALSE)*52*3/12*(1-homemiss))</f>
        <v>24.699999999999989</v>
      </c>
      <c r="V87" s="1697">
        <f>+IF(COLUMNS($L87:V87)&lt;month,VLOOKUP("Month "&amp;(COLUMNS($L87:V87)-month+13),DeNovo_Tx,17,FALSE)*52*3/12*(1-homemiss),VLOOKUP("Month "&amp;(COLUMNS($L87:V87)-month+1),DeNovo_Tx,19,FALSE)*52*3/12*(1-homemiss))</f>
        <v>24.699999999999989</v>
      </c>
      <c r="W87" s="1697">
        <f>+IF(COLUMNS($L87:W87)&lt;month,VLOOKUP("Month "&amp;(COLUMNS($L87:W87)-month+13),DeNovo_Tx,17,FALSE)*52*3/12*(1-homemiss),VLOOKUP("Month "&amp;(COLUMNS($L87:W87)-month+1),DeNovo_Tx,19,FALSE)*52*3/12*(1-homemiss))</f>
        <v>24.699999999999989</v>
      </c>
      <c r="Y87" s="99"/>
    </row>
    <row r="88" spans="1:26">
      <c r="A88" s="4" t="s">
        <v>169</v>
      </c>
      <c r="B88" s="4" t="str">
        <f>+$B$2</f>
        <v>D10_11032</v>
      </c>
      <c r="C88" s="4"/>
      <c r="D88" s="4"/>
      <c r="E88" s="4"/>
      <c r="F88" s="4"/>
      <c r="G88" s="4"/>
      <c r="H88" s="4"/>
      <c r="I88" s="4"/>
      <c r="J88" s="4"/>
      <c r="K88" s="4" t="str">
        <f>+"FY"&amp;RIGHT(YEAR('Hyperion Panel'!$B$9)+2,2)</f>
        <v>FY12</v>
      </c>
      <c r="L88" s="1698"/>
      <c r="M88" s="1698"/>
      <c r="N88" s="1698"/>
      <c r="O88" s="1698"/>
      <c r="P88" s="1698"/>
      <c r="Q88" s="1698"/>
      <c r="R88" s="1698"/>
      <c r="S88" s="1698"/>
      <c r="T88" s="1698"/>
      <c r="U88" s="1698"/>
      <c r="V88" s="1699"/>
      <c r="W88" s="1698"/>
      <c r="Y88" s="99"/>
    </row>
    <row r="89" spans="1:26">
      <c r="A89" s="101" t="s">
        <v>463</v>
      </c>
      <c r="B89" s="4"/>
      <c r="C89" s="4"/>
      <c r="D89" s="4"/>
      <c r="E89" s="4"/>
      <c r="F89" s="4"/>
      <c r="G89" s="4"/>
      <c r="H89" s="4"/>
      <c r="I89" s="4"/>
      <c r="J89" s="4"/>
      <c r="K89" s="4"/>
      <c r="L89" s="1698">
        <f>+IF(COLUMNS($L89:L89)&lt;month,VLOOKUP("Month "&amp;(COLUMNS($L89:L89)-month+13),DeNovo_Tx,27,FALSE)*52*3/12*(1-hhdmiss),VLOOKUP("Month "&amp;(COLUMNS($L89:L89)-month+1),DeNovo_Tx,29,FALSE)*52*3/12*(1-hhdmiss))</f>
        <v>35.75</v>
      </c>
      <c r="M89" s="1698">
        <f>+IF(COLUMNS($L89:M89)&lt;month,VLOOKUP("Month "&amp;(COLUMNS($L89:M89)-month+13),DeNovo_Tx,27,FALSE)*52*3/12*(1-hhdmiss),VLOOKUP("Month "&amp;(COLUMNS($L89:M89)-month+1),DeNovo_Tx,29,FALSE)*52*3/12*(1-hhdmiss))</f>
        <v>39</v>
      </c>
      <c r="N89" s="1698">
        <f>+IF(COLUMNS($L89:N89)&lt;month,VLOOKUP("Month "&amp;(COLUMNS($L89:N89)-month+13),DeNovo_Tx,27,FALSE)*52*3/12*(1-hhdmiss),VLOOKUP("Month "&amp;(COLUMNS($L89:N89)-month+1),DeNovo_Tx,29,FALSE)*52*3/12*(1-hhdmiss))</f>
        <v>42.25</v>
      </c>
      <c r="O89" s="1698">
        <f>+IF(COLUMNS($L89:O89)&lt;month,VLOOKUP("Month "&amp;(COLUMNS($L89:O89)-month+13),DeNovo_Tx,27,FALSE)*52*3/12*(1-hhdmiss),VLOOKUP("Month "&amp;(COLUMNS($L89:O89)-month+1),DeNovo_Tx,29,FALSE)*52*3/12*(1-hhdmiss))</f>
        <v>45.5</v>
      </c>
      <c r="P89" s="1698">
        <f>+IF(COLUMNS($L89:P89)&lt;month,VLOOKUP("Month "&amp;(COLUMNS($L89:P89)-month+13),DeNovo_Tx,27,FALSE)*52*3/12*(1-hhdmiss),VLOOKUP("Month "&amp;(COLUMNS($L89:P89)-month+1),DeNovo_Tx,29,FALSE)*52*3/12*(1-hhdmiss))</f>
        <v>48.75</v>
      </c>
      <c r="Q89" s="1698">
        <f>+IF(COLUMNS($L89:Q89)&lt;month,VLOOKUP("Month "&amp;(COLUMNS($L89:Q89)-month+13),DeNovo_Tx,27,FALSE)*52*3/12*(1-hhdmiss),VLOOKUP("Month "&amp;(COLUMNS($L89:Q89)-month+1),DeNovo_Tx,29,FALSE)*52*3/12*(1-hhdmiss))</f>
        <v>52</v>
      </c>
      <c r="R89" s="1698">
        <f>+IF(COLUMNS($L89:R89)&lt;month,VLOOKUP("Month "&amp;(COLUMNS($L89:R89)-month+13),DeNovo_Tx,27,FALSE)*52*3/12*(1-hhdmiss),VLOOKUP("Month "&amp;(COLUMNS($L89:R89)-month+1),DeNovo_Tx,29,FALSE)*52*3/12*(1-hhdmiss))</f>
        <v>55.25</v>
      </c>
      <c r="S89" s="1698">
        <f>+IF(COLUMNS($L89:S89)&lt;month,VLOOKUP("Month "&amp;(COLUMNS($L89:S89)-month+13),DeNovo_Tx,27,FALSE)*52*3/12*(1-hhdmiss),VLOOKUP("Month "&amp;(COLUMNS($L89:S89)-month+1),DeNovo_Tx,29,FALSE)*52*3/12*(1-hhdmiss))</f>
        <v>58.5</v>
      </c>
      <c r="T89" s="1698">
        <f>+IF(COLUMNS($L89:T89)&lt;month,VLOOKUP("Month "&amp;(COLUMNS($L89:T89)-month+13),DeNovo_Tx,27,FALSE)*52*3/12*(1-hhdmiss),VLOOKUP("Month "&amp;(COLUMNS($L89:T89)-month+1),DeNovo_Tx,29,FALSE)*52*3/12*(1-hhdmiss))</f>
        <v>61.75</v>
      </c>
      <c r="U89" s="1698">
        <f>+IF(COLUMNS($L89:U89)&lt;month,VLOOKUP("Month "&amp;(COLUMNS($L89:U89)-month+13),DeNovo_Tx,27,FALSE)*52*3/12*(1-hhdmiss),VLOOKUP("Month "&amp;(COLUMNS($L89:U89)-month+1),DeNovo_Tx,29,FALSE)*52*3/12*(1-hhdmiss))</f>
        <v>65</v>
      </c>
      <c r="V89" s="1699">
        <f>+IF(COLUMNS($L89:V89)&lt;month,VLOOKUP("Month "&amp;(COLUMNS($L89:V89)-month+13),DeNovo_Tx,27,FALSE)*52*3/12*(1-hhdmiss),VLOOKUP("Month "&amp;(COLUMNS($L89:V89)-month+1),DeNovo_Tx,29,FALSE)*52*3/12*(1-hhdmiss))</f>
        <v>66.083333333333329</v>
      </c>
      <c r="W89" s="1698">
        <f>+IF(COLUMNS($L89:W89)&lt;month,VLOOKUP("Month "&amp;(COLUMNS($L89:W89)-month+13),DeNovo_Tx,27,FALSE)*52*3/12*(1-hhdmiss),VLOOKUP("Month "&amp;(COLUMNS($L89:W89)-month+1),DeNovo_Tx,29,FALSE)*52*3/12*(1-hhdmiss))</f>
        <v>67.166666666666657</v>
      </c>
      <c r="Y89" s="99"/>
    </row>
    <row r="90" spans="1:26">
      <c r="A90" s="101" t="s">
        <v>464</v>
      </c>
      <c r="B90" s="4"/>
      <c r="C90" s="4"/>
      <c r="D90" s="4"/>
      <c r="E90" s="4"/>
      <c r="F90" s="4"/>
      <c r="G90" s="4"/>
      <c r="H90" s="4"/>
      <c r="I90" s="4"/>
      <c r="J90" s="4"/>
      <c r="K90" s="4"/>
      <c r="L90" s="1698">
        <f>+IF(COLUMNS($L88:L88)&lt;month,VLOOKUP("Month "&amp;(COLUMNS($L88:L88)-month+13),DeNovo_Tx,28,FALSE)*52*4.3/12*(1-hhdmiss),VLOOKUP("Month "&amp;(COLUMNS($L88:L88)-month+1),DeNovo_Tx,30,FALSE)*52*4.3/12*(1-hhdmiss))</f>
        <v>18.633333333333333</v>
      </c>
      <c r="M90" s="1698">
        <f>+IF(COLUMNS($L88:M88)&lt;month,VLOOKUP("Month "&amp;(COLUMNS($L88:M88)-month+13),DeNovo_Tx,28,FALSE)*52*4.3/12*(1-hhdmiss),VLOOKUP("Month "&amp;(COLUMNS($L88:M88)-month+1),DeNovo_Tx,30,FALSE)*52*4.3/12*(1-hhdmiss))</f>
        <v>18.633333333333333</v>
      </c>
      <c r="N90" s="1698">
        <f>+IF(COLUMNS($L88:N88)&lt;month,VLOOKUP("Month "&amp;(COLUMNS($L88:N88)-month+13),DeNovo_Tx,28,FALSE)*52*4.3/12*(1-hhdmiss),VLOOKUP("Month "&amp;(COLUMNS($L88:N88)-month+1),DeNovo_Tx,30,FALSE)*52*4.3/12*(1-hhdmiss))</f>
        <v>18.633333333333333</v>
      </c>
      <c r="O90" s="1698">
        <f>+IF(COLUMNS($L88:O88)&lt;month,VLOOKUP("Month "&amp;(COLUMNS($L88:O88)-month+13),DeNovo_Tx,28,FALSE)*52*4.3/12*(1-hhdmiss),VLOOKUP("Month "&amp;(COLUMNS($L88:O88)-month+1),DeNovo_Tx,30,FALSE)*52*4.3/12*(1-hhdmiss))</f>
        <v>18.633333333333333</v>
      </c>
      <c r="P90" s="1698">
        <f>+IF(COLUMNS($L88:P88)&lt;month,VLOOKUP("Month "&amp;(COLUMNS($L88:P88)-month+13),DeNovo_Tx,28,FALSE)*52*4.3/12*(1-hhdmiss),VLOOKUP("Month "&amp;(COLUMNS($L88:P88)-month+1),DeNovo_Tx,30,FALSE)*52*4.3/12*(1-hhdmiss))</f>
        <v>18.633333333333333</v>
      </c>
      <c r="Q90" s="1698">
        <f>+IF(COLUMNS($L88:Q88)&lt;month,VLOOKUP("Month "&amp;(COLUMNS($L88:Q88)-month+13),DeNovo_Tx,28,FALSE)*52*4.3/12*(1-hhdmiss),VLOOKUP("Month "&amp;(COLUMNS($L88:Q88)-month+1),DeNovo_Tx,30,FALSE)*52*4.3/12*(1-hhdmiss))</f>
        <v>18.633333333333333</v>
      </c>
      <c r="R90" s="1698">
        <f>+IF(COLUMNS($L88:R88)&lt;month,VLOOKUP("Month "&amp;(COLUMNS($L88:R88)-month+13),DeNovo_Tx,28,FALSE)*52*4.3/12*(1-hhdmiss),VLOOKUP("Month "&amp;(COLUMNS($L88:R88)-month+1),DeNovo_Tx,30,FALSE)*52*4.3/12*(1-hhdmiss))</f>
        <v>18.633333333333333</v>
      </c>
      <c r="S90" s="1698">
        <f>+IF(COLUMNS($L88:S88)&lt;month,VLOOKUP("Month "&amp;(COLUMNS($L88:S88)-month+13),DeNovo_Tx,28,FALSE)*52*4.3/12*(1-hhdmiss),VLOOKUP("Month "&amp;(COLUMNS($L88:S88)-month+1),DeNovo_Tx,30,FALSE)*52*4.3/12*(1-hhdmiss))</f>
        <v>18.633333333333333</v>
      </c>
      <c r="T90" s="1698">
        <f>+IF(COLUMNS($L88:T88)&lt;month,VLOOKUP("Month "&amp;(COLUMNS($L88:T88)-month+13),DeNovo_Tx,28,FALSE)*52*4.3/12*(1-hhdmiss),VLOOKUP("Month "&amp;(COLUMNS($L88:T88)-month+1),DeNovo_Tx,30,FALSE)*52*4.3/12*(1-hhdmiss))</f>
        <v>18.633333333333333</v>
      </c>
      <c r="U90" s="1698">
        <f>+IF(COLUMNS($L88:U88)&lt;month,VLOOKUP("Month "&amp;(COLUMNS($L88:U88)-month+13),DeNovo_Tx,28,FALSE)*52*4.3/12*(1-hhdmiss),VLOOKUP("Month "&amp;(COLUMNS($L88:U88)-month+1),DeNovo_Tx,30,FALSE)*52*4.3/12*(1-hhdmiss))</f>
        <v>18.633333333333333</v>
      </c>
      <c r="V90" s="1698">
        <f>+IF(COLUMNS($L88:V88)&lt;month,VLOOKUP("Month "&amp;(COLUMNS($L88:V88)-month+13),DeNovo_Tx,28,FALSE)*52*4.3/12*(1-hhdmiss),VLOOKUP("Month "&amp;(COLUMNS($L88:V88)-month+1),DeNovo_Tx,30,FALSE)*52*4.3/12*(1-hhdmiss))</f>
        <v>20.186111111111106</v>
      </c>
      <c r="W90" s="1698">
        <f>+IF(COLUMNS($L88:W88)&lt;month,VLOOKUP("Month "&amp;(COLUMNS($L88:W88)-month+13),DeNovo_Tx,28,FALSE)*52*4.3/12*(1-hhdmiss),VLOOKUP("Month "&amp;(COLUMNS($L88:W88)-month+1),DeNovo_Tx,30,FALSE)*52*4.3/12*(1-hhdmiss))</f>
        <v>21.738888888888884</v>
      </c>
      <c r="Y90" s="99"/>
    </row>
    <row r="91" spans="1:26">
      <c r="A91" s="1958" t="s">
        <v>1556</v>
      </c>
      <c r="B91" s="35"/>
      <c r="C91" s="35"/>
      <c r="D91" s="35"/>
      <c r="E91" s="35"/>
      <c r="F91" s="35"/>
      <c r="G91" s="35"/>
      <c r="H91" s="35"/>
      <c r="I91" s="35"/>
      <c r="J91" s="35"/>
      <c r="K91" s="35"/>
      <c r="L91" s="1959">
        <f>((12*L89)/(1-hhdmiss))/52/'5. Financials'!$K$46</f>
        <v>2.75</v>
      </c>
      <c r="M91" s="1959">
        <f>((12*M89)/(1-hhdmiss))/52/'5. Financials'!$K$46</f>
        <v>3</v>
      </c>
      <c r="N91" s="1959">
        <f>((12*N89)/(1-hhdmiss))/52/'5. Financials'!$K$46</f>
        <v>3.25</v>
      </c>
      <c r="O91" s="1959">
        <f>((12*O89)/(1-hhdmiss))/52/'5. Financials'!$K$46</f>
        <v>3.5</v>
      </c>
      <c r="P91" s="1959">
        <f>((12*P89)/(1-hhdmiss))/52/'5. Financials'!$K$46</f>
        <v>3.75</v>
      </c>
      <c r="Q91" s="1959">
        <f>((12*Q89)/(1-hhdmiss))/52/'5. Financials'!$K$46</f>
        <v>4</v>
      </c>
      <c r="R91" s="1959">
        <f>((12*R89)/(1-hhdmiss))/52/'5. Financials'!$K$46</f>
        <v>4.25</v>
      </c>
      <c r="S91" s="1959">
        <f>((12*S89)/(1-hhdmiss))/52/'5. Financials'!$K$46</f>
        <v>4.5</v>
      </c>
      <c r="T91" s="1959">
        <f>((12*T89)/(1-hhdmiss))/52/'5. Financials'!$K$46</f>
        <v>4.75</v>
      </c>
      <c r="U91" s="1959">
        <f>((12*U89)/(1-hhdmiss))/52/'5. Financials'!$K$46</f>
        <v>5</v>
      </c>
      <c r="V91" s="1959">
        <f>((12*V89)/(1-hhdmiss))/52/'5. Financials'!$K$46</f>
        <v>5.083333333333333</v>
      </c>
      <c r="W91" s="1959">
        <f>((12*W89)/(1-hhdmiss))/52/'5. Financials'!$K$46</f>
        <v>5.1666666666666661</v>
      </c>
      <c r="Y91" s="99"/>
    </row>
    <row r="92" spans="1:26">
      <c r="A92" s="1958" t="s">
        <v>1557</v>
      </c>
      <c r="B92" s="35"/>
      <c r="C92" s="35"/>
      <c r="D92" s="35"/>
      <c r="E92" s="35"/>
      <c r="F92" s="35"/>
      <c r="G92" s="35"/>
      <c r="H92" s="35"/>
      <c r="I92" s="35"/>
      <c r="J92" s="35"/>
      <c r="K92" s="35"/>
      <c r="L92" s="1959">
        <f>((12*L90)/(1-hhdmiss))/52/'5. Financials'!$K$54</f>
        <v>1</v>
      </c>
      <c r="M92" s="1959">
        <f>((12*M90)/(1-hhdmiss))/52/'5. Financials'!$K$54</f>
        <v>1</v>
      </c>
      <c r="N92" s="1959">
        <f>((12*N90)/(1-hhdmiss))/52/'5. Financials'!$K$54</f>
        <v>1</v>
      </c>
      <c r="O92" s="1959">
        <f>((12*O90)/(1-hhdmiss))/52/'5. Financials'!$K$54</f>
        <v>1</v>
      </c>
      <c r="P92" s="1959">
        <f>((12*P90)/(1-hhdmiss))/52/'5. Financials'!$K$54</f>
        <v>1</v>
      </c>
      <c r="Q92" s="1959">
        <f>((12*Q90)/(1-hhdmiss))/52/'5. Financials'!$K$54</f>
        <v>1</v>
      </c>
      <c r="R92" s="1959">
        <f>((12*R90)/(1-hhdmiss))/52/'5. Financials'!$K$54</f>
        <v>1</v>
      </c>
      <c r="S92" s="1959">
        <f>((12*S90)/(1-hhdmiss))/52/'5. Financials'!$K$54</f>
        <v>1</v>
      </c>
      <c r="T92" s="1959">
        <f>((12*T90)/(1-hhdmiss))/52/'5. Financials'!$K$54</f>
        <v>1</v>
      </c>
      <c r="U92" s="1959">
        <f>((12*U90)/(1-hhdmiss))/52/'5. Financials'!$K$54</f>
        <v>1</v>
      </c>
      <c r="V92" s="1959">
        <f>((12*V90)/(1-hhdmiss))/52/'5. Financials'!$K$54</f>
        <v>1.083333333333333</v>
      </c>
      <c r="W92" s="1959">
        <f>((12*W90)/(1-hhdmiss))/52/'5. Financials'!$K$54</f>
        <v>1.1666666666666665</v>
      </c>
      <c r="Y92" s="99"/>
    </row>
    <row r="93" spans="1:26">
      <c r="A93" s="1958" t="s">
        <v>1558</v>
      </c>
      <c r="B93" s="35"/>
      <c r="C93" s="35"/>
      <c r="D93" s="35"/>
      <c r="E93" s="35"/>
      <c r="F93" s="35"/>
      <c r="G93" s="35"/>
      <c r="H93" s="35"/>
      <c r="I93" s="35"/>
      <c r="J93" s="35"/>
      <c r="K93" s="35"/>
      <c r="L93" s="1959">
        <f>(52*'5. Financials'!$K$46*'Upload Detail'!L91*(1-hhdmiss)-clawback*(52*('5. Financials'!$K$46-3)*'Upload Detail'!L91*(1-hhdmiss)))/12</f>
        <v>35.75</v>
      </c>
      <c r="M93" s="1959">
        <f>(52*'5. Financials'!$K$46*'Upload Detail'!M91*(1-hhdmiss)-clawback*(52*('5. Financials'!$K$46-3)*'Upload Detail'!M91*(1-hhdmiss)))/12</f>
        <v>39</v>
      </c>
      <c r="N93" s="1959">
        <f>(52*'5. Financials'!$K$46*'Upload Detail'!N91*(1-hhdmiss)-clawback*(52*('5. Financials'!$K$46-3)*'Upload Detail'!N91*(1-hhdmiss)))/12</f>
        <v>42.25</v>
      </c>
      <c r="O93" s="1959">
        <f>(52*'5. Financials'!$K$46*'Upload Detail'!O91*(1-hhdmiss)-clawback*(52*('5. Financials'!$K$46-3)*'Upload Detail'!O91*(1-hhdmiss)))/12</f>
        <v>45.5</v>
      </c>
      <c r="P93" s="1959">
        <f>(52*'5. Financials'!$K$46*'Upload Detail'!P91*(1-hhdmiss)-clawback*(52*('5. Financials'!$K$46-3)*'Upload Detail'!P91*(1-hhdmiss)))/12</f>
        <v>48.75</v>
      </c>
      <c r="Q93" s="1959">
        <f>(52*'5. Financials'!$K$46*'Upload Detail'!Q91*(1-hhdmiss)-clawback*(52*('5. Financials'!$K$46-3)*'Upload Detail'!Q91*(1-hhdmiss)))/12</f>
        <v>52</v>
      </c>
      <c r="R93" s="1959">
        <f>(52*'5. Financials'!$K$46*'Upload Detail'!R91*(1-hhdmiss)-clawback*(52*('5. Financials'!$K$46-3)*'Upload Detail'!R91*(1-hhdmiss)))/12</f>
        <v>55.25</v>
      </c>
      <c r="S93" s="1959">
        <f>(52*'5. Financials'!$K$46*'Upload Detail'!S91*(1-hhdmiss)-clawback*(52*('5. Financials'!$K$46-3)*'Upload Detail'!S91*(1-hhdmiss)))/12</f>
        <v>58.5</v>
      </c>
      <c r="T93" s="1959">
        <f>(52*'5. Financials'!$K$46*'Upload Detail'!T91*(1-hhdmiss)-clawback*(52*('5. Financials'!$K$46-3)*'Upload Detail'!T91*(1-hhdmiss)))/12</f>
        <v>61.75</v>
      </c>
      <c r="U93" s="1959">
        <f>(52*'5. Financials'!$K$46*'Upload Detail'!U91*(1-hhdmiss)-clawback*(52*('5. Financials'!$K$46-3)*'Upload Detail'!U91*(1-hhdmiss)))/12</f>
        <v>65</v>
      </c>
      <c r="V93" s="1959">
        <f>(52*'5. Financials'!$K$46*'Upload Detail'!V91*(1-hhdmiss)-clawback*(52*('5. Financials'!$K$46-3)*'Upload Detail'!V91*(1-hhdmiss)))/12</f>
        <v>66.083333333333329</v>
      </c>
      <c r="W93" s="1959">
        <f>(52*'5. Financials'!$K$46*'Upload Detail'!W91*(1-hhdmiss)-clawback*(52*('5. Financials'!$K$46-3)*'Upload Detail'!W91*(1-hhdmiss)))/12</f>
        <v>67.166666666666657</v>
      </c>
      <c r="Y93" s="99"/>
    </row>
    <row r="94" spans="1:26">
      <c r="A94" s="1958" t="s">
        <v>1559</v>
      </c>
      <c r="B94" s="35"/>
      <c r="C94" s="35"/>
      <c r="D94" s="35"/>
      <c r="E94" s="35"/>
      <c r="F94" s="35"/>
      <c r="G94" s="35"/>
      <c r="H94" s="35"/>
      <c r="I94" s="35"/>
      <c r="J94" s="35"/>
      <c r="K94" s="35"/>
      <c r="L94" s="1959">
        <f>(52*'5. Financials'!$K$54*'Upload Detail'!L92*(1-hhdmiss)-clawback*(52*('5. Financials'!$K$54-3)*'Upload Detail'!L92*(1-hhdmiss)))/12</f>
        <v>18.633333333333333</v>
      </c>
      <c r="M94" s="1959">
        <f>(52*'5. Financials'!$K$54*'Upload Detail'!M92*(1-hhdmiss)-clawback*(52*('5. Financials'!$K$54-3)*'Upload Detail'!M92*(1-hhdmiss)))/12</f>
        <v>18.633333333333333</v>
      </c>
      <c r="N94" s="1959">
        <f>(52*'5. Financials'!$K$54*'Upload Detail'!N92*(1-hhdmiss)-clawback*(52*('5. Financials'!$K$54-3)*'Upload Detail'!N92*(1-hhdmiss)))/12</f>
        <v>18.633333333333333</v>
      </c>
      <c r="O94" s="1959">
        <f>(52*'5. Financials'!$K$54*'Upload Detail'!O92*(1-hhdmiss)-clawback*(52*('5. Financials'!$K$54-3)*'Upload Detail'!O92*(1-hhdmiss)))/12</f>
        <v>18.633333333333333</v>
      </c>
      <c r="P94" s="1959">
        <f>(52*'5. Financials'!$K$54*'Upload Detail'!P92*(1-hhdmiss)-clawback*(52*('5. Financials'!$K$54-3)*'Upload Detail'!P92*(1-hhdmiss)))/12</f>
        <v>18.633333333333333</v>
      </c>
      <c r="Q94" s="1959">
        <f>(52*'5. Financials'!$K$54*'Upload Detail'!Q92*(1-hhdmiss)-clawback*(52*('5. Financials'!$K$54-3)*'Upload Detail'!Q92*(1-hhdmiss)))/12</f>
        <v>18.633333333333333</v>
      </c>
      <c r="R94" s="1959">
        <f>(52*'5. Financials'!$K$54*'Upload Detail'!R92*(1-hhdmiss)-clawback*(52*('5. Financials'!$K$54-3)*'Upload Detail'!R92*(1-hhdmiss)))/12</f>
        <v>18.633333333333333</v>
      </c>
      <c r="S94" s="1959">
        <f>(52*'5. Financials'!$K$54*'Upload Detail'!S92*(1-hhdmiss)-clawback*(52*('5. Financials'!$K$54-3)*'Upload Detail'!S92*(1-hhdmiss)))/12</f>
        <v>18.633333333333333</v>
      </c>
      <c r="T94" s="1959">
        <f>(52*'5. Financials'!$K$54*'Upload Detail'!T92*(1-hhdmiss)-clawback*(52*('5. Financials'!$K$54-3)*'Upload Detail'!T92*(1-hhdmiss)))/12</f>
        <v>18.633333333333333</v>
      </c>
      <c r="U94" s="1959">
        <f>(52*'5. Financials'!$K$54*'Upload Detail'!U92*(1-hhdmiss)-clawback*(52*('5. Financials'!$K$54-3)*'Upload Detail'!U92*(1-hhdmiss)))/12</f>
        <v>18.633333333333333</v>
      </c>
      <c r="V94" s="1959">
        <f>(52*'5. Financials'!$K$54*'Upload Detail'!V92*(1-hhdmiss)-clawback*(52*('5. Financials'!$K$54-3)*'Upload Detail'!V92*(1-hhdmiss)))/12</f>
        <v>20.186111111111106</v>
      </c>
      <c r="W94" s="1959">
        <f>(52*'5. Financials'!$K$54*'Upload Detail'!W92*(1-hhdmiss)-clawback*(52*('5. Financials'!$K$54-3)*'Upload Detail'!W92*(1-hhdmiss)))/12</f>
        <v>21.738888888888884</v>
      </c>
      <c r="Y94" s="99"/>
    </row>
    <row r="95" spans="1:26">
      <c r="A95" s="98" t="s">
        <v>151</v>
      </c>
      <c r="B95" t="str">
        <f>+$B$2</f>
        <v>D10_11032</v>
      </c>
      <c r="C95" t="str">
        <f>+$C$2</f>
        <v>LE_XXXX</v>
      </c>
      <c r="D95" t="s">
        <v>2886</v>
      </c>
      <c r="E95">
        <v>3010</v>
      </c>
      <c r="F95" t="s">
        <v>2888</v>
      </c>
      <c r="G95" t="s">
        <v>2889</v>
      </c>
      <c r="H95" t="s">
        <v>145</v>
      </c>
      <c r="I95" t="s">
        <v>146</v>
      </c>
      <c r="J95" t="s">
        <v>147</v>
      </c>
      <c r="K95" t="str">
        <f>+"FY"&amp;RIGHT(YEAR('Hyperion Panel'!$B$9)+2,2)</f>
        <v>FY12</v>
      </c>
      <c r="L95" s="1612"/>
      <c r="M95" s="1612"/>
      <c r="N95" s="1612"/>
      <c r="O95" s="1612"/>
      <c r="P95" s="1612"/>
      <c r="Q95" s="1612"/>
      <c r="R95" s="1612"/>
      <c r="S95" s="1612"/>
      <c r="T95" s="1612"/>
      <c r="U95" s="1612"/>
      <c r="V95" s="1702"/>
      <c r="W95" s="1612"/>
    </row>
    <row r="96" spans="1:26" s="98" customFormat="1">
      <c r="A96" s="100" t="s">
        <v>463</v>
      </c>
      <c r="L96" s="1697">
        <f>+IF(COLUMNS($L96:L96)&lt;month,'5. Financials'!$J$15*L83,'5. Financials'!$K$15*L83)</f>
        <v>84945.31279061285</v>
      </c>
      <c r="M96" s="1697">
        <f>+IF(COLUMNS($L96:M96)&lt;month,'5. Financials'!$J$15*M83,'5. Financials'!$K$15*M83)</f>
        <v>89578.693488282632</v>
      </c>
      <c r="N96" s="1697">
        <f>+IF(COLUMNS($L96:N96)&lt;month,'5. Financials'!$J$15*N83,'5. Financials'!$K$15*N83)</f>
        <v>94212.074185952428</v>
      </c>
      <c r="O96" s="1697">
        <f>+IF(COLUMNS($L96:O96)&lt;month,'5. Financials'!$J$15*O83,'5. Financials'!$K$15*O83)</f>
        <v>98845.454883622195</v>
      </c>
      <c r="P96" s="1697">
        <f>+IF(COLUMNS($L96:P96)&lt;month,'5. Financials'!$J$15*P83,'5. Financials'!$K$15*P83)</f>
        <v>103478.83558129199</v>
      </c>
      <c r="Q96" s="1697">
        <f>+IF(COLUMNS($L96:Q96)&lt;month,'5. Financials'!$J$15*Q83,'5. Financials'!$K$15*Q83)</f>
        <v>108112.21627896177</v>
      </c>
      <c r="R96" s="1697">
        <f>+IF(COLUMNS($L96:R96)&lt;month,'5. Financials'!$J$15*R83,'5. Financials'!$K$15*R83)</f>
        <v>112745.59697663157</v>
      </c>
      <c r="S96" s="1697">
        <f>+IF(COLUMNS($L96:S96)&lt;month,'5. Financials'!$J$15*S83,'5. Financials'!$K$15*S83)</f>
        <v>117378.97767430135</v>
      </c>
      <c r="T96" s="1697">
        <f>+IF(COLUMNS($L96:T96)&lt;month,'5. Financials'!$J$15*T83,'5. Financials'!$K$15*T83)</f>
        <v>122012.35837197115</v>
      </c>
      <c r="U96" s="1697">
        <f>+IF(COLUMNS($L96:U96)&lt;month,'5. Financials'!$J$15*U83,'5. Financials'!$K$15*U83)</f>
        <v>126645.73906964094</v>
      </c>
      <c r="V96" s="1700">
        <f>+IF(COLUMNS($L96:V96)&lt;month,'5. Financials'!$J$15*V83,'5. Financials'!$K$15*V83)</f>
        <v>129734.65953475414</v>
      </c>
      <c r="W96" s="1697">
        <f>+IF(COLUMNS($L96:W96)&lt;month,'5. Financials'!$J$15*W83,'5. Financials'!$K$15*W83)</f>
        <v>132823.5799998673</v>
      </c>
      <c r="Y96" s="99"/>
      <c r="Z96" s="97"/>
    </row>
    <row r="97" spans="1:26" s="98" customFormat="1">
      <c r="A97" s="100" t="s">
        <v>464</v>
      </c>
      <c r="L97" s="1697">
        <f>+IF(COLUMNS($L97:L97)&lt;month,'5. Financials'!$J$23*L84,'5. Financials'!$K$23*L84)</f>
        <v>43528.363257936609</v>
      </c>
      <c r="M97" s="1697">
        <f>+IF(COLUMNS($L97:M97)&lt;month,'5. Financials'!$J$23*M84,'5. Financials'!$K$23*M84)</f>
        <v>45601.142460695497</v>
      </c>
      <c r="N97" s="1697">
        <f>+IF(COLUMNS($L97:N97)&lt;month,'5. Financials'!$J$23*N84,'5. Financials'!$K$23*N84)</f>
        <v>47673.921663454385</v>
      </c>
      <c r="O97" s="1697">
        <f>+IF(COLUMNS($L97:O97)&lt;month,'5. Financials'!$J$23*O84,'5. Financials'!$K$23*O84)</f>
        <v>49746.700866213265</v>
      </c>
      <c r="P97" s="1697">
        <f>+IF(COLUMNS($L97:P97)&lt;month,'5. Financials'!$J$23*P84,'5. Financials'!$K$23*P84)</f>
        <v>51819.48006897216</v>
      </c>
      <c r="Q97" s="1697">
        <f>+IF(COLUMNS($L97:Q97)&lt;month,'5. Financials'!$J$23*Q84,'5. Financials'!$K$23*Q84)</f>
        <v>53892.259271731047</v>
      </c>
      <c r="R97" s="1697">
        <f>+IF(COLUMNS($L97:R97)&lt;month,'5. Financials'!$J$23*R84,'5. Financials'!$K$23*R84)</f>
        <v>55965.038474489935</v>
      </c>
      <c r="S97" s="1697">
        <f>+IF(COLUMNS($L97:S97)&lt;month,'5. Financials'!$J$23*S84,'5. Financials'!$K$23*S84)</f>
        <v>58037.817677248822</v>
      </c>
      <c r="T97" s="1697">
        <f>+IF(COLUMNS($L97:T97)&lt;month,'5. Financials'!$J$23*T84,'5. Financials'!$K$23*T84)</f>
        <v>60110.596880007724</v>
      </c>
      <c r="U97" s="1697">
        <f>+IF(COLUMNS($L97:U97)&lt;month,'5. Financials'!$J$23*U84,'5. Financials'!$K$23*U84)</f>
        <v>62183.376082766612</v>
      </c>
      <c r="V97" s="1700">
        <f>+IF(COLUMNS($L97:V97)&lt;month,'5. Financials'!$J$23*V84,'5. Financials'!$K$23*V84)</f>
        <v>64673.820294881407</v>
      </c>
      <c r="W97" s="1697">
        <f>+IF(COLUMNS($L97:W97)&lt;month,'5. Financials'!$J$23*W84,'5. Financials'!$K$23*W84)</f>
        <v>65734.046857092573</v>
      </c>
      <c r="Y97" s="99"/>
      <c r="Z97" s="97"/>
    </row>
    <row r="98" spans="1:26">
      <c r="A98" s="98" t="s">
        <v>152</v>
      </c>
      <c r="B98" t="str">
        <f>+$B$2</f>
        <v>D10_11032</v>
      </c>
      <c r="C98" t="str">
        <f>+$C$2</f>
        <v>LE_XXXX</v>
      </c>
      <c r="D98" t="s">
        <v>2886</v>
      </c>
      <c r="E98">
        <v>3030</v>
      </c>
      <c r="F98" t="s">
        <v>150</v>
      </c>
      <c r="G98" t="s">
        <v>2889</v>
      </c>
      <c r="H98" t="s">
        <v>145</v>
      </c>
      <c r="I98" t="s">
        <v>146</v>
      </c>
      <c r="J98" t="s">
        <v>147</v>
      </c>
      <c r="K98" t="str">
        <f>+"FY"&amp;RIGHT(YEAR('Hyperion Panel'!$B$9)+2,2)</f>
        <v>FY12</v>
      </c>
      <c r="L98" s="1612"/>
      <c r="M98" s="1612"/>
      <c r="N98" s="1612"/>
      <c r="O98" s="1612"/>
      <c r="P98" s="1612"/>
      <c r="Q98" s="1612"/>
      <c r="R98" s="1612"/>
      <c r="S98" s="1612"/>
      <c r="T98" s="1612"/>
      <c r="U98" s="1612"/>
      <c r="V98" s="1703"/>
      <c r="W98" s="1612"/>
    </row>
    <row r="99" spans="1:26" s="98" customFormat="1">
      <c r="A99" s="100" t="s">
        <v>463</v>
      </c>
      <c r="L99" s="1697">
        <f>+IF(COLUMNS($L99:L99)&lt;month,'5. Financials'!$J$32*L86,'5. Financials'!$K$32*L86)</f>
        <v>22521.499382519214</v>
      </c>
      <c r="M99" s="1697">
        <f>+IF(COLUMNS($L99:M99)&lt;month,'5. Financials'!$J$32*M86,'5. Financials'!$K$32*M86)</f>
        <v>23815.838427491584</v>
      </c>
      <c r="N99" s="1697">
        <f>+IF(COLUMNS($L99:N99)&lt;month,'5. Financials'!$J$32*N86,'5. Financials'!$K$32*N86)</f>
        <v>25110.177472463947</v>
      </c>
      <c r="O99" s="1697">
        <f>+IF(COLUMNS($L99:O99)&lt;month,'5. Financials'!$J$32*O86,'5. Financials'!$K$32*O86)</f>
        <v>26404.516517436317</v>
      </c>
      <c r="P99" s="1697">
        <f>+IF(COLUMNS($L99:P99)&lt;month,'5. Financials'!$J$32*P86,'5. Financials'!$K$32*P86)</f>
        <v>27698.855562408688</v>
      </c>
      <c r="Q99" s="1697">
        <f>+IF(COLUMNS($L99:Q99)&lt;month,'5. Financials'!$J$32*Q86,'5. Financials'!$K$32*Q86)</f>
        <v>28993.194607381047</v>
      </c>
      <c r="R99" s="1697">
        <f>+IF(COLUMNS($L99:R99)&lt;month,'5. Financials'!$J$32*R86,'5. Financials'!$K$32*R86)</f>
        <v>30287.533652353413</v>
      </c>
      <c r="S99" s="1697">
        <f>+IF(COLUMNS($L99:S99)&lt;month,'5. Financials'!$J$32*S86,'5. Financials'!$K$32*S86)</f>
        <v>31581.872697325784</v>
      </c>
      <c r="T99" s="1697">
        <f>+IF(COLUMNS($L99:T99)&lt;month,'5. Financials'!$J$32*T86,'5. Financials'!$K$32*T86)</f>
        <v>32876.211742298154</v>
      </c>
      <c r="U99" s="1697">
        <f>+IF(COLUMNS($L99:U99)&lt;month,'5. Financials'!$J$32*U86,'5. Financials'!$K$32*U86)</f>
        <v>34170.550787270513</v>
      </c>
      <c r="V99" s="1697">
        <f>+IF(COLUMNS($L99:V99)&lt;month,'5. Financials'!$J$32*V86,'5. Financials'!$K$32*V86)</f>
        <v>35206.022023248413</v>
      </c>
      <c r="W99" s="1697">
        <f>+IF(COLUMNS($L99:W99)&lt;month,'5. Financials'!$J$32*W86,'5. Financials'!$K$32*W86)</f>
        <v>36241.493259226307</v>
      </c>
      <c r="Y99" s="99"/>
    </row>
    <row r="100" spans="1:26" s="98" customFormat="1">
      <c r="A100" s="100" t="s">
        <v>464</v>
      </c>
      <c r="L100" s="1697">
        <f>+IF(COLUMNS($L100:L100)&lt;month,'5. Financials'!$J$40*L87,'5. Financials'!$K$40*L87)</f>
        <v>16052.77371701855</v>
      </c>
      <c r="M100" s="1697">
        <f>+IF(COLUMNS($L100:M100)&lt;month,'5. Financials'!$J$40*M87,'5. Financials'!$K$40*M87)</f>
        <v>17122.95863148645</v>
      </c>
      <c r="N100" s="1697">
        <f>+IF(COLUMNS($L100:N100)&lt;month,'5. Financials'!$J$40*N87,'5. Financials'!$K$40*N87)</f>
        <v>18193.143545954354</v>
      </c>
      <c r="O100" s="1697">
        <f>+IF(COLUMNS($L100:O100)&lt;month,'5. Financials'!$J$40*O87,'5. Financials'!$K$40*O87)</f>
        <v>19263.328460422254</v>
      </c>
      <c r="P100" s="1697">
        <f>+IF(COLUMNS($L100:P100)&lt;month,'5. Financials'!$J$40*P87,'5. Financials'!$K$40*P87)</f>
        <v>20333.513374890157</v>
      </c>
      <c r="Q100" s="1697">
        <f>+IF(COLUMNS($L100:Q100)&lt;month,'5. Financials'!$J$40*Q87,'5. Financials'!$K$40*Q87)</f>
        <v>21403.698289358064</v>
      </c>
      <c r="R100" s="1697">
        <f>+IF(COLUMNS($L100:R100)&lt;month,'5. Financials'!$J$40*R87,'5. Financials'!$K$40*R87)</f>
        <v>22473.883203825964</v>
      </c>
      <c r="S100" s="1697">
        <f>+IF(COLUMNS($L100:S100)&lt;month,'5. Financials'!$J$40*S87,'5. Financials'!$K$40*S87)</f>
        <v>23544.068118293872</v>
      </c>
      <c r="T100" s="1697">
        <f>+IF(COLUMNS($L100:T100)&lt;month,'5. Financials'!$J$40*T87,'5. Financials'!$K$40*T87)</f>
        <v>24614.253032761771</v>
      </c>
      <c r="U100" s="1697">
        <f>+IF(COLUMNS($L100:U100)&lt;month,'5. Financials'!$J$40*U87,'5. Financials'!$K$40*U87)</f>
        <v>25684.437947229675</v>
      </c>
      <c r="V100" s="1697">
        <f>+IF(COLUMNS($L100:V100)&lt;month,'5. Financials'!$J$40*V87,'5. Financials'!$K$40*V87)</f>
        <v>26275.180020015956</v>
      </c>
      <c r="W100" s="1697">
        <f>+IF(COLUMNS($L100:W100)&lt;month,'5. Financials'!$J$40*W87,'5. Financials'!$K$40*W87)</f>
        <v>26275.180020015956</v>
      </c>
      <c r="Y100" s="99"/>
    </row>
    <row r="101" spans="1:26">
      <c r="A101" s="4" t="s">
        <v>170</v>
      </c>
      <c r="B101" s="4" t="str">
        <f>+$B$2</f>
        <v>D10_11032</v>
      </c>
      <c r="C101" s="4"/>
      <c r="D101" s="4"/>
      <c r="E101" s="4"/>
      <c r="F101" s="4"/>
      <c r="G101" s="4"/>
      <c r="H101" s="4"/>
      <c r="I101" s="4"/>
      <c r="J101" s="4"/>
      <c r="K101" s="4" t="str">
        <f>+"FY"&amp;RIGHT(YEAR('Hyperion Panel'!$B$9)+2,2)</f>
        <v>FY12</v>
      </c>
      <c r="L101" s="1698"/>
      <c r="M101" s="1698"/>
      <c r="N101" s="1698"/>
      <c r="O101" s="1698"/>
      <c r="P101" s="1698"/>
      <c r="Q101" s="1698"/>
      <c r="R101" s="1698"/>
      <c r="S101" s="1698"/>
      <c r="T101" s="1698"/>
      <c r="U101" s="1698"/>
      <c r="V101" s="1699"/>
      <c r="W101" s="1698"/>
    </row>
    <row r="102" spans="1:26">
      <c r="A102" s="101" t="s">
        <v>463</v>
      </c>
      <c r="B102" s="4"/>
      <c r="C102" s="4"/>
      <c r="D102" s="4"/>
      <c r="E102" s="4"/>
      <c r="F102" s="4"/>
      <c r="G102" s="4"/>
      <c r="H102" s="4"/>
      <c r="I102" s="4"/>
      <c r="J102" s="4"/>
      <c r="K102" s="4"/>
      <c r="L102" s="1698">
        <f>+IF(COLUMNS($L102:L102)&lt;month,'5. Financials'!$J$49*L93,'5. Financials'!$K$49*L93)</f>
        <v>9286.6145160326068</v>
      </c>
      <c r="M102" s="1698">
        <f>+IF(COLUMNS($L102:M102)&lt;month,'5. Financials'!$J$49*M93,'5. Financials'!$K$49*M93)</f>
        <v>10130.8521993083</v>
      </c>
      <c r="N102" s="1698">
        <f>+IF(COLUMNS($L102:N102)&lt;month,'5. Financials'!$J$49*N93,'5. Financials'!$K$49*N93)</f>
        <v>10975.08988258399</v>
      </c>
      <c r="O102" s="1698">
        <f>+IF(COLUMNS($L102:O102)&lt;month,'5. Financials'!$J$49*O93,'5. Financials'!$K$49*O93)</f>
        <v>11819.327565859683</v>
      </c>
      <c r="P102" s="1698">
        <f>+IF(COLUMNS($L102:P102)&lt;month,'5. Financials'!$J$49*P93,'5. Financials'!$K$49*P93)</f>
        <v>12663.565249135374</v>
      </c>
      <c r="Q102" s="1698">
        <f>+IF(COLUMNS($L102:Q102)&lt;month,'5. Financials'!$J$49*Q93,'5. Financials'!$K$49*Q93)</f>
        <v>13507.802932411065</v>
      </c>
      <c r="R102" s="1698">
        <f>+IF(COLUMNS($L102:R102)&lt;month,'5. Financials'!$J$49*R93,'5. Financials'!$K$49*R93)</f>
        <v>14352.040615686758</v>
      </c>
      <c r="S102" s="1698">
        <f>+IF(COLUMNS($L102:S102)&lt;month,'5. Financials'!$J$49*S93,'5. Financials'!$K$49*S93)</f>
        <v>15196.278298962448</v>
      </c>
      <c r="T102" s="1698">
        <f>+IF(COLUMNS($L102:T102)&lt;month,'5. Financials'!$J$49*T93,'5. Financials'!$K$49*T93)</f>
        <v>16040.515982238141</v>
      </c>
      <c r="U102" s="1698">
        <f>+IF(COLUMNS($L102:U102)&lt;month,'5. Financials'!$J$49*U93,'5. Financials'!$K$49*U93)</f>
        <v>16884.753665513832</v>
      </c>
      <c r="V102" s="1698">
        <f>+IF(COLUMNS($L102:V102)&lt;month,'5. Financials'!$J$49*V93,'5. Financials'!$K$49*V93)</f>
        <v>17166.166226605728</v>
      </c>
      <c r="W102" s="1698">
        <f>+IF(COLUMNS($L102:W102)&lt;month,'5. Financials'!$J$49*W93,'5. Financials'!$K$49*W93)</f>
        <v>17447.578787697625</v>
      </c>
      <c r="X102" t="s">
        <v>720</v>
      </c>
      <c r="Y102" s="99"/>
    </row>
    <row r="103" spans="1:26">
      <c r="A103" s="101" t="s">
        <v>464</v>
      </c>
      <c r="B103" s="4"/>
      <c r="C103" s="4"/>
      <c r="D103" s="4"/>
      <c r="E103" s="4"/>
      <c r="F103" s="4"/>
      <c r="G103" s="4"/>
      <c r="H103" s="4"/>
      <c r="I103" s="4"/>
      <c r="J103" s="4"/>
      <c r="K103" s="4"/>
      <c r="L103" s="1698">
        <f>+IF(COLUMNS($L103:L103)&lt;month,'5. Financials'!$J$57*L94,'5. Financials'!$K$57*L94)</f>
        <v>0</v>
      </c>
      <c r="M103" s="1698">
        <f>+IF(COLUMNS($L103:M103)&lt;month,'5. Financials'!$J$57*M94,'5. Financials'!$K$57*M94)</f>
        <v>0</v>
      </c>
      <c r="N103" s="1698">
        <f>+IF(COLUMNS($L103:N103)&lt;month,'5. Financials'!$J$57*N94,'5. Financials'!$K$57*N94)</f>
        <v>0</v>
      </c>
      <c r="O103" s="1698">
        <f>+IF(COLUMNS($L103:O103)&lt;month,'5. Financials'!$J$57*O94,'5. Financials'!$K$57*O94)</f>
        <v>0</v>
      </c>
      <c r="P103" s="1698">
        <f>+IF(COLUMNS($L103:P103)&lt;month,'5. Financials'!$J$57*P94,'5. Financials'!$K$57*P94)</f>
        <v>0</v>
      </c>
      <c r="Q103" s="1698">
        <f>+IF(COLUMNS($L103:Q103)&lt;month,'5. Financials'!$J$57*Q94,'5. Financials'!$K$57*Q94)</f>
        <v>0</v>
      </c>
      <c r="R103" s="1698">
        <f>+IF(COLUMNS($L103:R103)&lt;month,'5. Financials'!$J$57*R94,'5. Financials'!$K$57*R94)</f>
        <v>0</v>
      </c>
      <c r="S103" s="1698">
        <f>+IF(COLUMNS($L103:S103)&lt;month,'5. Financials'!$J$57*S94,'5. Financials'!$K$57*S94)</f>
        <v>0</v>
      </c>
      <c r="T103" s="1698">
        <f>+IF(COLUMNS($L103:T103)&lt;month,'5. Financials'!$J$57*T94,'5. Financials'!$K$57*T94)</f>
        <v>0</v>
      </c>
      <c r="U103" s="1698">
        <f>+IF(COLUMNS($L103:U103)&lt;month,'5. Financials'!$J$57*U94,'5. Financials'!$K$57*U94)</f>
        <v>0</v>
      </c>
      <c r="V103" s="1698">
        <f>+IF(COLUMNS($L103:V103)&lt;month,'5. Financials'!$J$57*V94,'5. Financials'!$K$57*V94)</f>
        <v>0</v>
      </c>
      <c r="W103" s="1698">
        <f>+IF(COLUMNS($L103:W103)&lt;month,'5. Financials'!$J$57*W94,'5. Financials'!$K$57*W94)</f>
        <v>0</v>
      </c>
      <c r="X103" t="s">
        <v>720</v>
      </c>
      <c r="Y103" s="99"/>
    </row>
    <row r="104" spans="1:26">
      <c r="A104" s="3" t="s">
        <v>2651</v>
      </c>
      <c r="B104" t="str">
        <f t="shared" ref="B104:B120" si="4">+$B$2</f>
        <v>D10_11032</v>
      </c>
      <c r="C104" t="str">
        <f t="shared" ref="C104:C113" si="5">+$C$2</f>
        <v>LE_XXXX</v>
      </c>
      <c r="D104" t="s">
        <v>2886</v>
      </c>
      <c r="E104">
        <v>6010</v>
      </c>
      <c r="F104" t="s">
        <v>2888</v>
      </c>
      <c r="G104" t="s">
        <v>153</v>
      </c>
      <c r="H104" t="s">
        <v>154</v>
      </c>
      <c r="I104" t="s">
        <v>146</v>
      </c>
      <c r="J104" t="s">
        <v>147</v>
      </c>
      <c r="K104" t="str">
        <f>+"FY"&amp;RIGHT(YEAR('Hyperion Panel'!$B$9)+2,2)</f>
        <v>FY12</v>
      </c>
      <c r="L104" s="1697">
        <f>+IF(COLUMNS($L104:L104)&lt;month,'5. Financials'!$J$107*SUM(L83:L84,L86:L87,L89:L90),'5. Financials'!$K$107*SUM(L83:L84,L86:L87,L89:L90))</f>
        <v>23762.057449916414</v>
      </c>
      <c r="M104" s="1697">
        <f>+IF(COLUMNS($L104:M104)&lt;month,'5. Financials'!$J$107*SUM(M83:M84,M86:M87,M89:M90),'5. Financials'!$K$107*SUM(M83:M84,M86:M87,M89:M90))</f>
        <v>25078.017226130771</v>
      </c>
      <c r="N104" s="1697">
        <f>+IF(COLUMNS($L104:N104)&lt;month,'5. Financials'!$J$107*SUM(N83:N84,N86:N87,N89:N90),'5. Financials'!$K$107*SUM(N83:N84,N86:N87,N89:N90))</f>
        <v>26393.977002345131</v>
      </c>
      <c r="O104" s="1697">
        <f>+IF(COLUMNS($L104:O104)&lt;month,'5. Financials'!$J$107*SUM(O83:O84,O86:O87,O89:O90),'5. Financials'!$K$107*SUM(O83:O84,O86:O87,O89:O90))</f>
        <v>27709.936778559488</v>
      </c>
      <c r="P104" s="1697">
        <f>+IF(COLUMNS($L104:P104)&lt;month,'5. Financials'!$J$107*SUM(P83:P84,P86:P87,P89:P90),'5. Financials'!$K$107*SUM(P83:P84,P86:P87,P89:P90))</f>
        <v>29025.896554773852</v>
      </c>
      <c r="Q104" s="1697">
        <f>+IF(COLUMNS($L104:Q104)&lt;month,'5. Financials'!$J$107*SUM(Q83:Q84,Q86:Q87,Q89:Q90),'5. Financials'!$K$107*SUM(Q83:Q84,Q86:Q87,Q89:Q90))</f>
        <v>30341.856330988208</v>
      </c>
      <c r="R104" s="1697">
        <f>+IF(COLUMNS($L104:R104)&lt;month,'5. Financials'!$J$107*SUM(R83:R84,R86:R87,R89:R90),'5. Financials'!$K$107*SUM(R83:R84,R86:R87,R89:R90))</f>
        <v>31657.816107202561</v>
      </c>
      <c r="S104" s="1697">
        <f>+IF(COLUMNS($L104:S104)&lt;month,'5. Financials'!$J$107*SUM(S83:S84,S86:S87,S89:S90),'5. Financials'!$K$107*SUM(S83:S84,S86:S87,S89:S90))</f>
        <v>32973.775883416929</v>
      </c>
      <c r="T104" s="1697">
        <f>+IF(COLUMNS($L104:T104)&lt;month,'5. Financials'!$J$107*SUM(T83:T84,T86:T87,T89:T90),'5. Financials'!$K$107*SUM(T83:T84,T86:T87,T89:T90))</f>
        <v>34289.735659631289</v>
      </c>
      <c r="U104" s="1697">
        <f>+IF(COLUMNS($L104:U104)&lt;month,'5. Financials'!$J$107*SUM(U83:U84,U86:U87,U89:U90),'5. Financials'!$K$107*SUM(U83:U84,U86:U87,U89:U90))</f>
        <v>35605.695435845635</v>
      </c>
      <c r="V104" s="1697">
        <f>+IF(COLUMNS($L104:V104)&lt;month,'5. Financials'!$J$107*SUM(V83:V84,V86:V87,V89:V90),'5. Financials'!$K$107*SUM(V83:V84,V86:V87,V89:V90))</f>
        <v>33587.20486721419</v>
      </c>
      <c r="W104" s="1697">
        <f>+IF(COLUMNS($L104:W104)&lt;month,'5. Financials'!$J$107*SUM(W83:W84,W86:W87,W89:W90),'5. Financials'!$K$107*SUM(W83:W84,W86:W87,W89:W90))</f>
        <v>34400.401709538877</v>
      </c>
      <c r="Y104" s="1709"/>
    </row>
    <row r="105" spans="1:26">
      <c r="A105" t="s">
        <v>2652</v>
      </c>
      <c r="B105" t="str">
        <f t="shared" si="4"/>
        <v>D10_11032</v>
      </c>
      <c r="C105" t="str">
        <f t="shared" si="5"/>
        <v>LE_XXXX</v>
      </c>
      <c r="D105" t="s">
        <v>2886</v>
      </c>
      <c r="E105">
        <v>6010</v>
      </c>
      <c r="F105" t="s">
        <v>2888</v>
      </c>
      <c r="G105" t="s">
        <v>155</v>
      </c>
      <c r="H105" t="s">
        <v>154</v>
      </c>
      <c r="I105" t="s">
        <v>146</v>
      </c>
      <c r="J105" t="s">
        <v>147</v>
      </c>
      <c r="K105" t="str">
        <f>+"FY"&amp;RIGHT(YEAR('Hyperion Panel'!$B$9)+2,2)</f>
        <v>FY12</v>
      </c>
      <c r="L105" s="1612">
        <f>+IF(COLUMNS($L105:L105)&lt;month,'5. Financials'!$J$74/12,'5. Financials'!$K$74/12)</f>
        <v>14377.083333333334</v>
      </c>
      <c r="M105" s="1612">
        <f>+IF(COLUMNS($L105:M105)&lt;month,'5. Financials'!$J$74/12,'5. Financials'!$K$74/12)</f>
        <v>14377.083333333334</v>
      </c>
      <c r="N105" s="1612">
        <f>+IF(COLUMNS($L105:N105)&lt;month,'5. Financials'!$J$74/12,'5. Financials'!$K$74/12)</f>
        <v>14377.083333333334</v>
      </c>
      <c r="O105" s="1612">
        <f>+IF(COLUMNS($L105:O105)&lt;month,'5. Financials'!$J$74/12,'5. Financials'!$K$74/12)</f>
        <v>14377.083333333334</v>
      </c>
      <c r="P105" s="1612">
        <f>+IF(COLUMNS($L105:P105)&lt;month,'5. Financials'!$J$74/12,'5. Financials'!$K$74/12)</f>
        <v>14377.083333333334</v>
      </c>
      <c r="Q105" s="1612">
        <f>+IF(COLUMNS($L105:Q105)&lt;month,'5. Financials'!$J$74/12,'5. Financials'!$K$74/12)</f>
        <v>14377.083333333334</v>
      </c>
      <c r="R105" s="1612">
        <f>+IF(COLUMNS($L105:R105)&lt;month,'5. Financials'!$J$74/12,'5. Financials'!$K$74/12)</f>
        <v>14377.083333333334</v>
      </c>
      <c r="S105" s="1612">
        <f>+IF(COLUMNS($L105:S105)&lt;month,'5. Financials'!$J$74/12,'5. Financials'!$K$74/12)</f>
        <v>14377.083333333334</v>
      </c>
      <c r="T105" s="1612">
        <f>+IF(COLUMNS($L105:T105)&lt;month,'5. Financials'!$J$74/12,'5. Financials'!$K$74/12)</f>
        <v>14377.083333333334</v>
      </c>
      <c r="U105" s="1612">
        <f>+IF(COLUMNS($L105:U105)&lt;month,'5. Financials'!$J$74/12,'5. Financials'!$K$74/12)</f>
        <v>14377.083333333334</v>
      </c>
      <c r="V105" s="1612">
        <f>+IF(COLUMNS($L105:V105)&lt;month,'5. Financials'!$J$74/12,'5. Financials'!$K$74/12)</f>
        <v>20360.439166666671</v>
      </c>
      <c r="W105" s="1612">
        <f>+IF(COLUMNS($L105:W105)&lt;month,'5. Financials'!$J$74/12,'5. Financials'!$K$74/12)</f>
        <v>20360.439166666671</v>
      </c>
      <c r="Y105" s="1709"/>
    </row>
    <row r="106" spans="1:26">
      <c r="A106" t="s">
        <v>2653</v>
      </c>
      <c r="B106" t="str">
        <f t="shared" si="4"/>
        <v>D10_11032</v>
      </c>
      <c r="C106" t="str">
        <f t="shared" si="5"/>
        <v>LE_XXXX</v>
      </c>
      <c r="D106" t="s">
        <v>2886</v>
      </c>
      <c r="E106">
        <v>6051</v>
      </c>
      <c r="F106" t="s">
        <v>2888</v>
      </c>
      <c r="G106" t="s">
        <v>153</v>
      </c>
      <c r="H106" t="s">
        <v>154</v>
      </c>
      <c r="I106" t="s">
        <v>146</v>
      </c>
      <c r="J106" t="s">
        <v>147</v>
      </c>
      <c r="K106" t="str">
        <f>+"FY"&amp;RIGHT(YEAR('Hyperion Panel'!$B$9)+2,2)</f>
        <v>FY12</v>
      </c>
      <c r="L106" s="1612">
        <f>+IF(COLUMNS($L106:L106)&lt;month,'5. Financials'!$J$75/12,'5. Financials'!$K$75/12)</f>
        <v>16670.55000000001</v>
      </c>
      <c r="M106" s="1612">
        <f>+IF(COLUMNS($L106:M106)&lt;month,'5. Financials'!$J$75/12,'5. Financials'!$K$75/12)</f>
        <v>16670.55000000001</v>
      </c>
      <c r="N106" s="1612">
        <f>+IF(COLUMNS($L106:N106)&lt;month,'5. Financials'!$J$75/12,'5. Financials'!$K$75/12)</f>
        <v>16670.55000000001</v>
      </c>
      <c r="O106" s="1612">
        <f>+IF(COLUMNS($L106:O106)&lt;month,'5. Financials'!$J$75/12,'5. Financials'!$K$75/12)</f>
        <v>16670.55000000001</v>
      </c>
      <c r="P106" s="1612">
        <f>+IF(COLUMNS($L106:P106)&lt;month,'5. Financials'!$J$75/12,'5. Financials'!$K$75/12)</f>
        <v>16670.55000000001</v>
      </c>
      <c r="Q106" s="1612">
        <f>+IF(COLUMNS($L106:Q106)&lt;month,'5. Financials'!$J$75/12,'5. Financials'!$K$75/12)</f>
        <v>16670.55000000001</v>
      </c>
      <c r="R106" s="1612">
        <f>+IF(COLUMNS($L106:R106)&lt;month,'5. Financials'!$J$75/12,'5. Financials'!$K$75/12)</f>
        <v>16670.55000000001</v>
      </c>
      <c r="S106" s="1612">
        <f>+IF(COLUMNS($L106:S106)&lt;month,'5. Financials'!$J$75/12,'5. Financials'!$K$75/12)</f>
        <v>16670.55000000001</v>
      </c>
      <c r="T106" s="1612">
        <f>+IF(COLUMNS($L106:T106)&lt;month,'5. Financials'!$J$75/12,'5. Financials'!$K$75/12)</f>
        <v>16670.55000000001</v>
      </c>
      <c r="U106" s="1612">
        <f>+IF(COLUMNS($L106:U106)&lt;month,'5. Financials'!$J$75/12,'5. Financials'!$K$75/12)</f>
        <v>16670.55000000001</v>
      </c>
      <c r="V106" s="1612">
        <f>+IF(COLUMNS($L106:V106)&lt;month,'5. Financials'!$J$75/12,'5. Financials'!$K$75/12)</f>
        <v>22783.888399999996</v>
      </c>
      <c r="W106" s="1612">
        <f>+IF(COLUMNS($L106:W106)&lt;month,'5. Financials'!$J$75/12,'5. Financials'!$K$75/12)</f>
        <v>22783.888399999996</v>
      </c>
      <c r="Y106" s="1709"/>
    </row>
    <row r="107" spans="1:26">
      <c r="A107" t="s">
        <v>2654</v>
      </c>
      <c r="B107" t="str">
        <f t="shared" si="4"/>
        <v>D10_11032</v>
      </c>
      <c r="C107" t="str">
        <f t="shared" si="5"/>
        <v>LE_XXXX</v>
      </c>
      <c r="D107" t="s">
        <v>2886</v>
      </c>
      <c r="E107">
        <v>6011</v>
      </c>
      <c r="F107" t="s">
        <v>2888</v>
      </c>
      <c r="G107" t="s">
        <v>153</v>
      </c>
      <c r="H107" t="s">
        <v>154</v>
      </c>
      <c r="I107" t="s">
        <v>146</v>
      </c>
      <c r="J107" t="s">
        <v>147</v>
      </c>
      <c r="K107" t="str">
        <f>+"FY"&amp;RIGHT(YEAR('Hyperion Panel'!$B$9)+2,2)</f>
        <v>FY12</v>
      </c>
      <c r="L107" s="1612">
        <f>+IF(COLUMNS($L107:L107)&lt;month,'5. Financials'!$J$76/12,'5. Financials'!$K$76/12)</f>
        <v>0</v>
      </c>
      <c r="M107" s="1612">
        <f>+IF(COLUMNS($L107:M107)&lt;month,'5. Financials'!$J$76/12,'5. Financials'!$K$76/12)</f>
        <v>0</v>
      </c>
      <c r="N107" s="1612">
        <f>+IF(COLUMNS($L107:N107)&lt;month,'5. Financials'!$J$76/12,'5. Financials'!$K$76/12)</f>
        <v>0</v>
      </c>
      <c r="O107" s="1612">
        <f>+IF(COLUMNS($L107:O107)&lt;month,'5. Financials'!$J$76/12,'5. Financials'!$K$76/12)</f>
        <v>0</v>
      </c>
      <c r="P107" s="1612">
        <f>+IF(COLUMNS($L107:P107)&lt;month,'5. Financials'!$J$76/12,'5. Financials'!$K$76/12)</f>
        <v>0</v>
      </c>
      <c r="Q107" s="1612">
        <f>+IF(COLUMNS($L107:Q107)&lt;month,'5. Financials'!$J$76/12,'5. Financials'!$K$76/12)</f>
        <v>0</v>
      </c>
      <c r="R107" s="1612">
        <f>+IF(COLUMNS($L107:R107)&lt;month,'5. Financials'!$J$76/12,'5. Financials'!$K$76/12)</f>
        <v>0</v>
      </c>
      <c r="S107" s="1612">
        <f>+IF(COLUMNS($L107:S107)&lt;month,'5. Financials'!$J$76/12,'5. Financials'!$K$76/12)</f>
        <v>0</v>
      </c>
      <c r="T107" s="1612">
        <f>+IF(COLUMNS($L107:T107)&lt;month,'5. Financials'!$J$76/12,'5. Financials'!$K$76/12)</f>
        <v>0</v>
      </c>
      <c r="U107" s="1612">
        <f>+IF(COLUMNS($L107:U107)&lt;month,'5. Financials'!$J$76/12,'5. Financials'!$K$76/12)</f>
        <v>0</v>
      </c>
      <c r="V107" s="1612">
        <f>+IF(COLUMNS($L107:V107)&lt;month,'5. Financials'!$J$76/12,'5. Financials'!$K$76/12)</f>
        <v>0</v>
      </c>
      <c r="W107" s="1612">
        <f>+IF(COLUMNS($L107:W107)&lt;month,'5. Financials'!$J$76/12,'5. Financials'!$K$76/12)</f>
        <v>0</v>
      </c>
      <c r="Y107" s="1709"/>
    </row>
    <row r="108" spans="1:26">
      <c r="A108" s="6" t="s">
        <v>3769</v>
      </c>
      <c r="B108" t="str">
        <f t="shared" si="4"/>
        <v>D10_11032</v>
      </c>
      <c r="C108" t="str">
        <f t="shared" si="5"/>
        <v>LE_XXXX</v>
      </c>
      <c r="D108" t="s">
        <v>2886</v>
      </c>
      <c r="E108">
        <v>6600</v>
      </c>
      <c r="F108" t="s">
        <v>2888</v>
      </c>
      <c r="G108" t="s">
        <v>2889</v>
      </c>
      <c r="H108" t="s">
        <v>154</v>
      </c>
      <c r="I108" t="s">
        <v>146</v>
      </c>
      <c r="J108" t="s">
        <v>147</v>
      </c>
      <c r="K108" t="str">
        <f>+"FY"&amp;RIGHT(YEAR('Hyperion Panel'!$B$9)+2,2)</f>
        <v>FY12</v>
      </c>
      <c r="L108" s="1697">
        <f>+IF(COLUMNS($L108:L108)&lt;month,'5. Financials'!$J$114*SUM(L83:L84,L86:L87),'5. Financials'!$K$114*SUM(L83:L84,L86:L87))</f>
        <v>30412.170732569415</v>
      </c>
      <c r="M108" s="1697">
        <f>+IF(COLUMNS($L108:M108)&lt;month,'5. Financials'!$J$114*SUM(M83:M84,M86:M87),'5. Financials'!$K$114*SUM(M83:M84,M86:M87))</f>
        <v>32081.190440760245</v>
      </c>
      <c r="N108" s="1697">
        <f>+IF(COLUMNS($L108:N108)&lt;month,'5. Financials'!$J$114*SUM(N83:N84,N86:N87),'5. Financials'!$K$114*SUM(N83:N84,N86:N87))</f>
        <v>33750.210148951075</v>
      </c>
      <c r="O108" s="1697">
        <f>+IF(COLUMNS($L108:O108)&lt;month,'5. Financials'!$J$114*SUM(O83:O84,O86:O87),'5. Financials'!$K$114*SUM(O83:O84,O86:O87))</f>
        <v>35419.229857141909</v>
      </c>
      <c r="P108" s="1697">
        <f>+IF(COLUMNS($L108:P108)&lt;month,'5. Financials'!$J$114*SUM(P83:P84,P86:P87),'5. Financials'!$K$114*SUM(P83:P84,P86:P87))</f>
        <v>37088.24956533275</v>
      </c>
      <c r="Q108" s="1697">
        <f>+IF(COLUMNS($L108:Q108)&lt;month,'5. Financials'!$J$114*SUM(Q83:Q84,Q86:Q87),'5. Financials'!$K$114*SUM(Q83:Q84,Q86:Q87))</f>
        <v>38757.269273523576</v>
      </c>
      <c r="R108" s="1697">
        <f>+IF(COLUMNS($L108:R108)&lt;month,'5. Financials'!$J$114*SUM(R83:R84,R86:R87),'5. Financials'!$K$114*SUM(R83:R84,R86:R87))</f>
        <v>40426.288981714402</v>
      </c>
      <c r="S108" s="1697">
        <f>+IF(COLUMNS($L108:S108)&lt;month,'5. Financials'!$J$114*SUM(S83:S84,S86:S87),'5. Financials'!$K$114*SUM(S83:S84,S86:S87))</f>
        <v>42095.308689905243</v>
      </c>
      <c r="T108" s="1697">
        <f>+IF(COLUMNS($L108:T108)&lt;month,'5. Financials'!$J$114*SUM(T83:T84,T86:T87),'5. Financials'!$K$114*SUM(T83:T84,T86:T87))</f>
        <v>43764.328398096077</v>
      </c>
      <c r="U108" s="1697">
        <f>+IF(COLUMNS($L108:U108)&lt;month,'5. Financials'!$J$114*SUM(U83:U84,U86:U87),'5. Financials'!$K$114*SUM(U83:U84,U86:U87))</f>
        <v>45433.348106286896</v>
      </c>
      <c r="V108" s="1697">
        <f>+IF(COLUMNS($L108:V108)&lt;month,'5. Financials'!$J$114*SUM(V83:V84,V86:V87),'5. Financials'!$K$114*SUM(V83:V84,V86:V87))</f>
        <v>47455.285840740835</v>
      </c>
      <c r="W108" s="1697">
        <f>+IF(COLUMNS($L108:W108)&lt;month,'5. Financials'!$J$114*SUM(W83:W84,W86:W87),'5. Financials'!$K$114*SUM(W83:W84,W86:W87))</f>
        <v>48568.556613069013</v>
      </c>
      <c r="Y108" s="1709"/>
    </row>
    <row r="109" spans="1:26">
      <c r="A109" s="6" t="s">
        <v>3770</v>
      </c>
      <c r="B109" t="str">
        <f t="shared" si="4"/>
        <v>D10_11032</v>
      </c>
      <c r="C109" t="str">
        <f t="shared" si="5"/>
        <v>LE_XXXX</v>
      </c>
      <c r="D109" t="s">
        <v>2886</v>
      </c>
      <c r="E109">
        <v>6800</v>
      </c>
      <c r="F109" t="s">
        <v>156</v>
      </c>
      <c r="G109" t="s">
        <v>2889</v>
      </c>
      <c r="H109" t="s">
        <v>154</v>
      </c>
      <c r="I109" t="s">
        <v>146</v>
      </c>
      <c r="J109" t="s">
        <v>147</v>
      </c>
      <c r="K109" t="str">
        <f>+"FY"&amp;RIGHT(YEAR('Hyperion Panel'!$B$9)+2,2)</f>
        <v>FY12</v>
      </c>
      <c r="L109" s="1697">
        <f>+IF(COLUMNS($L109:L109)&lt;month,'5. Financials'!$J$118*SUM(L83:L84,L86:L87),'5. Financials'!$K$118*SUM(L83:L84,L86:L87))</f>
        <v>11380.929624858212</v>
      </c>
      <c r="M109" s="1697">
        <f>+IF(COLUMNS($L109:M109)&lt;month,'5. Financials'!$J$118*SUM(M83:M84,M86:M87),'5. Financials'!$K$118*SUM(M83:M84,M86:M87))</f>
        <v>12005.514959737935</v>
      </c>
      <c r="N109" s="1697">
        <f>+IF(COLUMNS($L109:N109)&lt;month,'5. Financials'!$J$118*SUM(N83:N84,N86:N87),'5. Financials'!$K$118*SUM(N83:N84,N86:N87))</f>
        <v>12630.100294617661</v>
      </c>
      <c r="O109" s="1697">
        <f>+IF(COLUMNS($L109:O109)&lt;month,'5. Financials'!$J$118*SUM(O83:O84,O86:O87),'5. Financials'!$K$118*SUM(O83:O84,O86:O87))</f>
        <v>13254.685629497386</v>
      </c>
      <c r="P109" s="1697">
        <f>+IF(COLUMNS($L109:P109)&lt;month,'5. Financials'!$J$118*SUM(P83:P84,P86:P87),'5. Financials'!$K$118*SUM(P83:P84,P86:P87))</f>
        <v>13879.270964377114</v>
      </c>
      <c r="Q109" s="1697">
        <f>+IF(COLUMNS($L109:Q109)&lt;month,'5. Financials'!$J$118*SUM(Q83:Q84,Q86:Q87),'5. Financials'!$K$118*SUM(Q83:Q84,Q86:Q87))</f>
        <v>14503.856299256839</v>
      </c>
      <c r="R109" s="1697">
        <f>+IF(COLUMNS($L109:R109)&lt;month,'5. Financials'!$J$118*SUM(R83:R84,R86:R87),'5. Financials'!$K$118*SUM(R83:R84,R86:R87))</f>
        <v>15128.441634136561</v>
      </c>
      <c r="S109" s="1697">
        <f>+IF(COLUMNS($L109:S109)&lt;month,'5. Financials'!$J$118*SUM(S83:S84,S86:S87),'5. Financials'!$K$118*SUM(S83:S84,S86:S87))</f>
        <v>15753.026969016291</v>
      </c>
      <c r="T109" s="1697">
        <f>+IF(COLUMNS($L109:T109)&lt;month,'5. Financials'!$J$118*SUM(T83:T84,T86:T87),'5. Financials'!$K$118*SUM(T83:T84,T86:T87))</f>
        <v>16377.612303896016</v>
      </c>
      <c r="U109" s="1697">
        <f>+IF(COLUMNS($L109:U109)&lt;month,'5. Financials'!$J$118*SUM(U83:U84,U86:U87),'5. Financials'!$K$118*SUM(U83:U84,U86:U87))</f>
        <v>17002.197638775739</v>
      </c>
      <c r="V109" s="1697">
        <f>+IF(COLUMNS($L109:V109)&lt;month,'5. Financials'!$J$118*SUM(V83:V84,V86:V87),'5. Financials'!$K$118*SUM(V83:V84,V86:V87))</f>
        <v>17932.95936976622</v>
      </c>
      <c r="W109" s="1697">
        <f>+IF(COLUMNS($L109:W109)&lt;month,'5. Financials'!$J$118*SUM(W83:W84,W86:W87),'5. Financials'!$K$118*SUM(W83:W84,W86:W87))</f>
        <v>18353.655171593422</v>
      </c>
      <c r="Y109" s="1709"/>
    </row>
    <row r="110" spans="1:26">
      <c r="A110" t="s">
        <v>3697</v>
      </c>
      <c r="B110" t="str">
        <f t="shared" si="4"/>
        <v>D10_11032</v>
      </c>
      <c r="C110" t="str">
        <f t="shared" si="5"/>
        <v>LE_XXXX</v>
      </c>
      <c r="D110" t="s">
        <v>2886</v>
      </c>
      <c r="E110">
        <v>8600</v>
      </c>
      <c r="F110" t="s">
        <v>156</v>
      </c>
      <c r="G110" t="s">
        <v>2889</v>
      </c>
      <c r="H110" t="s">
        <v>154</v>
      </c>
      <c r="I110" t="s">
        <v>146</v>
      </c>
      <c r="J110" t="s">
        <v>147</v>
      </c>
      <c r="K110" t="str">
        <f>+"FY"&amp;RIGHT(YEAR('Hyperion Panel'!$B$9)+2,2)</f>
        <v>FY12</v>
      </c>
      <c r="L110" s="1612">
        <f>+IF(COLUMNS($L110:L110)&lt;month,'5. Financials'!$J$78/12,'5. Financials'!$K$78/12)</f>
        <v>21209.611679999998</v>
      </c>
      <c r="M110" s="1612">
        <f>+IF(COLUMNS($L110:M110)&lt;month,'5. Financials'!$J$78/12,'5. Financials'!$K$78/12)</f>
        <v>21209.611679999998</v>
      </c>
      <c r="N110" s="1612">
        <f>+IF(COLUMNS($L110:N110)&lt;month,'5. Financials'!$J$78/12,'5. Financials'!$K$78/12)</f>
        <v>21209.611679999998</v>
      </c>
      <c r="O110" s="1612">
        <f>+IF(COLUMNS($L110:O110)&lt;month,'5. Financials'!$J$78/12,'5. Financials'!$K$78/12)</f>
        <v>21209.611679999998</v>
      </c>
      <c r="P110" s="1612">
        <f>+IF(COLUMNS($L110:P110)&lt;month,'5. Financials'!$J$78/12,'5. Financials'!$K$78/12)</f>
        <v>21209.611679999998</v>
      </c>
      <c r="Q110" s="1612">
        <f>+IF(COLUMNS($L110:Q110)&lt;month,'5. Financials'!$J$78/12,'5. Financials'!$K$78/12)</f>
        <v>21209.611679999998</v>
      </c>
      <c r="R110" s="1612">
        <f>+IF(COLUMNS($L110:R110)&lt;month,'5. Financials'!$J$78/12,'5. Financials'!$K$78/12)</f>
        <v>21209.611679999998</v>
      </c>
      <c r="S110" s="1612">
        <f>+IF(COLUMNS($L110:S110)&lt;month,'5. Financials'!$J$78/12,'5. Financials'!$K$78/12)</f>
        <v>21209.611679999998</v>
      </c>
      <c r="T110" s="1612">
        <f>+IF(COLUMNS($L110:T110)&lt;month,'5. Financials'!$J$78/12,'5. Financials'!$K$78/12)</f>
        <v>21209.611679999998</v>
      </c>
      <c r="U110" s="1612">
        <f>+IF(COLUMNS($L110:U110)&lt;month,'5. Financials'!$J$78/12,'5. Financials'!$K$78/12)</f>
        <v>21209.611679999998</v>
      </c>
      <c r="V110" s="1612">
        <f>+IF(COLUMNS($L110:V110)&lt;month,'5. Financials'!$J$78/12,'5. Financials'!$K$78/12)</f>
        <v>21845.900030399996</v>
      </c>
      <c r="W110" s="1612">
        <f>+IF(COLUMNS($L110:W110)&lt;month,'5. Financials'!$J$78/12,'5. Financials'!$K$78/12)</f>
        <v>21845.900030399996</v>
      </c>
      <c r="Y110" s="1709"/>
    </row>
    <row r="111" spans="1:26">
      <c r="A111" t="s">
        <v>157</v>
      </c>
      <c r="B111" t="str">
        <f t="shared" si="4"/>
        <v>D10_11032</v>
      </c>
      <c r="C111" t="str">
        <f t="shared" si="5"/>
        <v>LE_XXXX</v>
      </c>
      <c r="D111" t="s">
        <v>2886</v>
      </c>
      <c r="E111">
        <v>6720</v>
      </c>
      <c r="F111" t="s">
        <v>156</v>
      </c>
      <c r="G111" t="s">
        <v>2889</v>
      </c>
      <c r="H111" t="s">
        <v>154</v>
      </c>
      <c r="I111" t="s">
        <v>146</v>
      </c>
      <c r="J111" t="s">
        <v>147</v>
      </c>
      <c r="K111" t="str">
        <f>+"FY"&amp;RIGHT(YEAR('Hyperion Panel'!$B$9)+2,2)</f>
        <v>FY12</v>
      </c>
      <c r="L111" s="1612">
        <f>+IF(COLUMNS($L111:L111)&lt;month,'5. Financials'!$J$79/12,'5. Financials'!$K$79/12)</f>
        <v>14118.416666666666</v>
      </c>
      <c r="M111" s="1612">
        <f>+IF(COLUMNS($L111:M111)&lt;month,'5. Financials'!$J$79/12,'5. Financials'!$K$79/12)</f>
        <v>14118.416666666666</v>
      </c>
      <c r="N111" s="1612">
        <f>+IF(COLUMNS($L111:N111)&lt;month,'5. Financials'!$J$79/12,'5. Financials'!$K$79/12)</f>
        <v>14118.416666666666</v>
      </c>
      <c r="O111" s="1612">
        <f>+IF(COLUMNS($L111:O111)&lt;month,'5. Financials'!$J$79/12,'5. Financials'!$K$79/12)</f>
        <v>14118.416666666666</v>
      </c>
      <c r="P111" s="1612">
        <f>+IF(COLUMNS($L111:P111)&lt;month,'5. Financials'!$J$79/12,'5. Financials'!$K$79/12)</f>
        <v>14118.416666666666</v>
      </c>
      <c r="Q111" s="1612">
        <f>+IF(COLUMNS($L111:Q111)&lt;month,'5. Financials'!$J$79/12,'5. Financials'!$K$79/12)</f>
        <v>14118.416666666666</v>
      </c>
      <c r="R111" s="1612">
        <f>+IF(COLUMNS($L111:R111)&lt;month,'5. Financials'!$J$79/12,'5. Financials'!$K$79/12)</f>
        <v>14118.416666666666</v>
      </c>
      <c r="S111" s="1612">
        <f>+IF(COLUMNS($L111:S111)&lt;month,'5. Financials'!$J$79/12,'5. Financials'!$K$79/12)</f>
        <v>14118.416666666666</v>
      </c>
      <c r="T111" s="1612">
        <f>+IF(COLUMNS($L111:T111)&lt;month,'5. Financials'!$J$79/12,'5. Financials'!$K$79/12)</f>
        <v>14118.416666666666</v>
      </c>
      <c r="U111" s="1612">
        <f>+IF(COLUMNS($L111:U111)&lt;month,'5. Financials'!$J$79/12,'5. Financials'!$K$79/12)</f>
        <v>14118.416666666666</v>
      </c>
      <c r="V111" s="1612">
        <f>+IF(COLUMNS($L111:V111)&lt;month,'5. Financials'!$J$79/12,'5. Financials'!$K$79/12)</f>
        <v>14118.416666666666</v>
      </c>
      <c r="W111" s="1612">
        <f>+IF(COLUMNS($L111:W111)&lt;month,'5. Financials'!$J$79/12,'5. Financials'!$K$79/12)</f>
        <v>14118.416666666666</v>
      </c>
      <c r="Y111" s="1709"/>
    </row>
    <row r="112" spans="1:26">
      <c r="A112" t="s">
        <v>3766</v>
      </c>
      <c r="B112" t="str">
        <f t="shared" si="4"/>
        <v>D10_11032</v>
      </c>
      <c r="C112" t="str">
        <f t="shared" si="5"/>
        <v>LE_XXXX</v>
      </c>
      <c r="D112" t="s">
        <v>2886</v>
      </c>
      <c r="E112">
        <v>8110</v>
      </c>
      <c r="F112" t="s">
        <v>156</v>
      </c>
      <c r="G112" t="s">
        <v>2889</v>
      </c>
      <c r="H112" t="s">
        <v>154</v>
      </c>
      <c r="I112" t="s">
        <v>146</v>
      </c>
      <c r="J112" t="s">
        <v>147</v>
      </c>
      <c r="K112" t="str">
        <f>+"FY"&amp;RIGHT(YEAR('Hyperion Panel'!$B$9)+2,2)</f>
        <v>FY12</v>
      </c>
      <c r="L112" s="1612">
        <f>+IF(COLUMNS($L112:L112)&lt;month,'5. Financials'!$J$82/12,'5. Financials'!$K$82/12)</f>
        <v>1362.9917899999998</v>
      </c>
      <c r="M112" s="1612">
        <f>+IF(COLUMNS($L112:M112)&lt;month,'5. Financials'!$J$82/12,'5. Financials'!$K$82/12)</f>
        <v>1362.9917899999998</v>
      </c>
      <c r="N112" s="1612">
        <f>+IF(COLUMNS($L112:N112)&lt;month,'5. Financials'!$J$82/12,'5. Financials'!$K$82/12)</f>
        <v>1362.9917899999998</v>
      </c>
      <c r="O112" s="1612">
        <f>+IF(COLUMNS($L112:O112)&lt;month,'5. Financials'!$J$82/12,'5. Financials'!$K$82/12)</f>
        <v>1362.9917899999998</v>
      </c>
      <c r="P112" s="1612">
        <f>+IF(COLUMNS($L112:P112)&lt;month,'5. Financials'!$J$82/12,'5. Financials'!$K$82/12)</f>
        <v>1362.9917899999998</v>
      </c>
      <c r="Q112" s="1612">
        <f>+IF(COLUMNS($L112:Q112)&lt;month,'5. Financials'!$J$82/12,'5. Financials'!$K$82/12)</f>
        <v>1362.9917899999998</v>
      </c>
      <c r="R112" s="1612">
        <f>+IF(COLUMNS($L112:R112)&lt;month,'5. Financials'!$J$82/12,'5. Financials'!$K$82/12)</f>
        <v>1362.9917899999998</v>
      </c>
      <c r="S112" s="1612">
        <f>+IF(COLUMNS($L112:S112)&lt;month,'5. Financials'!$J$82/12,'5. Financials'!$K$82/12)</f>
        <v>1362.9917899999998</v>
      </c>
      <c r="T112" s="1612">
        <f>+IF(COLUMNS($L112:T112)&lt;month,'5. Financials'!$J$82/12,'5. Financials'!$K$82/12)</f>
        <v>1362.9917899999998</v>
      </c>
      <c r="U112" s="1612">
        <f>+IF(COLUMNS($L112:U112)&lt;month,'5. Financials'!$J$82/12,'5. Financials'!$K$82/12)</f>
        <v>1362.9917899999998</v>
      </c>
      <c r="V112" s="1612">
        <f>+IF(COLUMNS($L112:V112)&lt;month,'5. Financials'!$J$82/12,'5. Financials'!$K$82/12)</f>
        <v>1403.8815437000001</v>
      </c>
      <c r="W112" s="1612">
        <f>+IF(COLUMNS($L112:W112)&lt;month,'5. Financials'!$J$82/12,'5. Financials'!$K$82/12)</f>
        <v>1403.8815437000001</v>
      </c>
      <c r="Y112" s="1709"/>
    </row>
    <row r="113" spans="1:26">
      <c r="A113" s="102" t="s">
        <v>171</v>
      </c>
      <c r="B113" t="str">
        <f t="shared" si="4"/>
        <v>D10_11032</v>
      </c>
      <c r="C113" s="98" t="str">
        <f t="shared" si="5"/>
        <v>LE_XXXX</v>
      </c>
      <c r="D113" s="98" t="s">
        <v>2886</v>
      </c>
      <c r="E113" s="98">
        <v>6412</v>
      </c>
      <c r="F113" s="98" t="s">
        <v>156</v>
      </c>
      <c r="G113" s="98" t="s">
        <v>2889</v>
      </c>
      <c r="H113" s="98" t="s">
        <v>154</v>
      </c>
      <c r="I113" s="98" t="s">
        <v>146</v>
      </c>
      <c r="J113" s="98" t="s">
        <v>147</v>
      </c>
      <c r="K113" t="str">
        <f>+"FY"&amp;RIGHT(YEAR('Hyperion Panel'!$B$9)+2,2)</f>
        <v>FY12</v>
      </c>
      <c r="L113" s="1697">
        <f>+IF(COLUMNS($L113:L113)&lt;month,'5. Financials'!$J$117*SUM(L83:L84,L86:L87),'5. Financials'!$K$117*SUM(L83:L84,L86:L87))</f>
        <v>10765.643123784886</v>
      </c>
      <c r="M113" s="1697">
        <f>+IF(COLUMNS($L113:M113)&lt;month,'5. Financials'!$J$117*SUM(M83:M84,M86:M87),'5. Financials'!$K$117*SUM(M83:M84,M86:M87))</f>
        <v>11356.461539969281</v>
      </c>
      <c r="N113" s="1697">
        <f>+IF(COLUMNS($L113:N113)&lt;month,'5. Financials'!$J$117*SUM(N83:N84,N86:N87),'5. Financials'!$K$117*SUM(N83:N84,N86:N87))</f>
        <v>11947.279956153678</v>
      </c>
      <c r="O113" s="1697">
        <f>+IF(COLUMNS($L113:O113)&lt;month,'5. Financials'!$J$117*SUM(O83:O84,O86:O87),'5. Financials'!$K$117*SUM(O83:O84,O86:O87))</f>
        <v>12538.09837233807</v>
      </c>
      <c r="P113" s="1697">
        <f>+IF(COLUMNS($L113:P113)&lt;month,'5. Financials'!$J$117*SUM(P83:P84,P86:P87),'5. Financials'!$K$117*SUM(P83:P84,P86:P87))</f>
        <v>13128.916788522471</v>
      </c>
      <c r="Q113" s="1697">
        <f>+IF(COLUMNS($L113:Q113)&lt;month,'5. Financials'!$J$117*SUM(Q83:Q84,Q86:Q87),'5. Financials'!$K$117*SUM(Q83:Q84,Q86:Q87))</f>
        <v>13719.735204706863</v>
      </c>
      <c r="R113" s="1697">
        <f>+IF(COLUMNS($L113:R113)&lt;month,'5. Financials'!$J$117*SUM(R83:R84,R86:R87),'5. Financials'!$K$117*SUM(R83:R84,R86:R87))</f>
        <v>14310.553620891258</v>
      </c>
      <c r="S113" s="1697">
        <f>+IF(COLUMNS($L113:S113)&lt;month,'5. Financials'!$J$117*SUM(S83:S84,S86:S87),'5. Financials'!$K$117*SUM(S83:S84,S86:S87))</f>
        <v>14901.372037075656</v>
      </c>
      <c r="T113" s="1697">
        <f>+IF(COLUMNS($L113:T113)&lt;month,'5. Financials'!$J$117*SUM(T83:T84,T86:T87),'5. Financials'!$K$117*SUM(T83:T84,T86:T87))</f>
        <v>15492.190453260053</v>
      </c>
      <c r="U113" s="1697">
        <f>+IF(COLUMNS($L113:U113)&lt;month,'5. Financials'!$J$117*SUM(U83:U84,U86:U87),'5. Financials'!$K$117*SUM(U83:U84,U86:U87))</f>
        <v>16083.008869444446</v>
      </c>
      <c r="V113" s="1697">
        <f>+IF(COLUMNS($L113:V113)&lt;month,'5. Financials'!$J$117*SUM(V83:V84,V86:V87),'5. Financials'!$K$117*SUM(V83:V84,V86:V87))</f>
        <v>16963.450885994094</v>
      </c>
      <c r="W113" s="1697">
        <f>+IF(COLUMNS($L113:W113)&lt;month,'5. Financials'!$J$117*SUM(W83:W84,W86:W87),'5. Financials'!$K$117*SUM(W83:W84,W86:W87))</f>
        <v>17361.4026364604</v>
      </c>
      <c r="Y113" s="1709"/>
    </row>
    <row r="114" spans="1:26" s="3" customFormat="1">
      <c r="A114" s="1687" t="s">
        <v>730</v>
      </c>
      <c r="B114" t="str">
        <f t="shared" si="4"/>
        <v>D10_11032</v>
      </c>
      <c r="C114" s="1687"/>
      <c r="D114" s="1687"/>
      <c r="E114" s="1687"/>
      <c r="F114" s="1687"/>
      <c r="G114" s="1687"/>
      <c r="H114" s="1687"/>
      <c r="I114" s="1687"/>
      <c r="J114" s="1687"/>
      <c r="K114" t="str">
        <f>+"FY"&amp;RIGHT(YEAR('Hyperion Panel'!$B$9)+2,2)</f>
        <v>FY12</v>
      </c>
      <c r="L114" s="1704">
        <f>+IF(COLUMNS($L114:L114)&lt;month,'5. Financials'!$J$88/12,'5. Financials'!$K$88/12)</f>
        <v>858.33333333333337</v>
      </c>
      <c r="M114" s="1704">
        <f>+IF(COLUMNS($L114:M114)&lt;month,'5. Financials'!$J$88/12,'5. Financials'!$K$88/12)</f>
        <v>858.33333333333337</v>
      </c>
      <c r="N114" s="1704">
        <f>+IF(COLUMNS($L114:N114)&lt;month,'5. Financials'!$J$88/12,'5. Financials'!$K$88/12)</f>
        <v>858.33333333333337</v>
      </c>
      <c r="O114" s="1704">
        <f>+IF(COLUMNS($L114:O114)&lt;month,'5. Financials'!$J$88/12,'5. Financials'!$K$88/12)</f>
        <v>858.33333333333337</v>
      </c>
      <c r="P114" s="1704">
        <f>+IF(COLUMNS($L114:P114)&lt;month,'5. Financials'!$J$88/12,'5. Financials'!$K$88/12)</f>
        <v>858.33333333333337</v>
      </c>
      <c r="Q114" s="1704">
        <f>+IF(COLUMNS($L114:Q114)&lt;month,'5. Financials'!$J$88/12,'5. Financials'!$K$88/12)</f>
        <v>858.33333333333337</v>
      </c>
      <c r="R114" s="1704">
        <f>+IF(COLUMNS($L114:R114)&lt;month,'5. Financials'!$J$88/12,'5. Financials'!$K$88/12)</f>
        <v>858.33333333333337</v>
      </c>
      <c r="S114" s="1704">
        <f>+IF(COLUMNS($L114:S114)&lt;month,'5. Financials'!$J$88/12,'5. Financials'!$K$88/12)</f>
        <v>858.33333333333337</v>
      </c>
      <c r="T114" s="1704">
        <f>+IF(COLUMNS($L114:T114)&lt;month,'5. Financials'!$J$88/12,'5. Financials'!$K$88/12)</f>
        <v>858.33333333333337</v>
      </c>
      <c r="U114" s="1704">
        <f>+IF(COLUMNS($L114:U114)&lt;month,'5. Financials'!$J$88/12,'5. Financials'!$K$88/12)</f>
        <v>858.33333333333337</v>
      </c>
      <c r="V114" s="1704">
        <f>+IF(COLUMNS($L114:V114)&lt;month,'5. Financials'!$J$88/12,'5. Financials'!$K$88/12)</f>
        <v>884.08333333333337</v>
      </c>
      <c r="W114" s="1704">
        <f>+IF(COLUMNS($L114:W114)&lt;month,'5. Financials'!$J$88/12,'5. Financials'!$K$88/12)</f>
        <v>884.08333333333337</v>
      </c>
      <c r="Y114" s="1688"/>
    </row>
    <row r="115" spans="1:26" s="3" customFormat="1">
      <c r="A115" s="1687" t="s">
        <v>732</v>
      </c>
      <c r="B115" t="str">
        <f t="shared" si="4"/>
        <v>D10_11032</v>
      </c>
      <c r="C115" s="1687"/>
      <c r="D115" s="1687"/>
      <c r="E115" s="1687"/>
      <c r="F115" s="1687"/>
      <c r="G115" s="1687"/>
      <c r="H115" s="1687"/>
      <c r="I115" s="1687"/>
      <c r="J115" s="1687"/>
      <c r="K115" t="str">
        <f>+"FY"&amp;RIGHT(YEAR('Hyperion Panel'!$B$9)+2,2)</f>
        <v>FY12</v>
      </c>
      <c r="L115" s="1704">
        <f>+IF(COLUMNS($L115:L115)&lt;month,'5. Financials'!$J$89/12,'5. Financials'!$K$89/12)</f>
        <v>61.355833333333344</v>
      </c>
      <c r="M115" s="1704">
        <f>+IF(COLUMNS($L115:M115)&lt;month,'5. Financials'!$J$89/12,'5. Financials'!$K$89/12)</f>
        <v>61.355833333333344</v>
      </c>
      <c r="N115" s="1704">
        <f>+IF(COLUMNS($L115:N115)&lt;month,'5. Financials'!$J$89/12,'5. Financials'!$K$89/12)</f>
        <v>61.355833333333344</v>
      </c>
      <c r="O115" s="1704">
        <f>+IF(COLUMNS($L115:O115)&lt;month,'5. Financials'!$J$89/12,'5. Financials'!$K$89/12)</f>
        <v>61.355833333333344</v>
      </c>
      <c r="P115" s="1704">
        <f>+IF(COLUMNS($L115:P115)&lt;month,'5. Financials'!$J$89/12,'5. Financials'!$K$89/12)</f>
        <v>61.355833333333344</v>
      </c>
      <c r="Q115" s="1704">
        <f>+IF(COLUMNS($L115:Q115)&lt;month,'5. Financials'!$J$89/12,'5. Financials'!$K$89/12)</f>
        <v>61.355833333333344</v>
      </c>
      <c r="R115" s="1704">
        <f>+IF(COLUMNS($L115:R115)&lt;month,'5. Financials'!$J$89/12,'5. Financials'!$K$89/12)</f>
        <v>61.355833333333344</v>
      </c>
      <c r="S115" s="1704">
        <f>+IF(COLUMNS($L115:S115)&lt;month,'5. Financials'!$J$89/12,'5. Financials'!$K$89/12)</f>
        <v>61.355833333333344</v>
      </c>
      <c r="T115" s="1704">
        <f>+IF(COLUMNS($L115:T115)&lt;month,'5. Financials'!$J$89/12,'5. Financials'!$K$89/12)</f>
        <v>61.355833333333344</v>
      </c>
      <c r="U115" s="1704">
        <f>+IF(COLUMNS($L115:U115)&lt;month,'5. Financials'!$J$89/12,'5. Financials'!$K$89/12)</f>
        <v>61.355833333333344</v>
      </c>
      <c r="V115" s="1704">
        <f>+IF(COLUMNS($L115:V115)&lt;month,'5. Financials'!$J$89/12,'5. Financials'!$K$89/12)</f>
        <v>60.531049999999937</v>
      </c>
      <c r="W115" s="1704">
        <f>+IF(COLUMNS($L115:W115)&lt;month,'5. Financials'!$J$89/12,'5. Financials'!$K$89/12)</f>
        <v>60.531049999999937</v>
      </c>
      <c r="Y115" s="1711"/>
    </row>
    <row r="116" spans="1:26" s="3" customFormat="1">
      <c r="A116" s="1687" t="s">
        <v>733</v>
      </c>
      <c r="B116" t="str">
        <f t="shared" si="4"/>
        <v>D10_11032</v>
      </c>
      <c r="C116" s="1687"/>
      <c r="D116" s="1687"/>
      <c r="E116" s="1687"/>
      <c r="F116" s="1687"/>
      <c r="G116" s="1687"/>
      <c r="H116" s="1687"/>
      <c r="I116" s="1687"/>
      <c r="J116" s="1687"/>
      <c r="K116" t="str">
        <f>+"FY"&amp;RIGHT(YEAR('Hyperion Panel'!$B$9)+2,2)</f>
        <v>FY12</v>
      </c>
      <c r="L116" s="1704">
        <f>+IF(COLUMNS($L116:L116)&lt;month,'5. Financials'!$J$90/12,'5. Financials'!$K$90/12)</f>
        <v>9095.34</v>
      </c>
      <c r="M116" s="1704">
        <f>+IF(COLUMNS($L116:M116)&lt;month,'5. Financials'!$J$90/12,'5. Financials'!$K$90/12)</f>
        <v>9095.34</v>
      </c>
      <c r="N116" s="1704">
        <f>+IF(COLUMNS($L116:N116)&lt;month,'5. Financials'!$J$90/12,'5. Financials'!$K$90/12)</f>
        <v>9095.34</v>
      </c>
      <c r="O116" s="1704">
        <f>+IF(COLUMNS($L116:O116)&lt;month,'5. Financials'!$J$90/12,'5. Financials'!$K$90/12)</f>
        <v>9095.34</v>
      </c>
      <c r="P116" s="1704">
        <f>+IF(COLUMNS($L116:P116)&lt;month,'5. Financials'!$J$90/12,'5. Financials'!$K$90/12)</f>
        <v>9095.34</v>
      </c>
      <c r="Q116" s="1704">
        <f>+IF(COLUMNS($L116:Q116)&lt;month,'5. Financials'!$J$90/12,'5. Financials'!$K$90/12)</f>
        <v>9095.34</v>
      </c>
      <c r="R116" s="1704">
        <f>+IF(COLUMNS($L116:R116)&lt;month,'5. Financials'!$J$90/12,'5. Financials'!$K$90/12)</f>
        <v>9095.34</v>
      </c>
      <c r="S116" s="1704">
        <f>+IF(COLUMNS($L116:S116)&lt;month,'5. Financials'!$J$90/12,'5. Financials'!$K$90/12)</f>
        <v>9095.34</v>
      </c>
      <c r="T116" s="1704">
        <f>+IF(COLUMNS($L116:T116)&lt;month,'5. Financials'!$J$90/12,'5. Financials'!$K$90/12)</f>
        <v>9095.34</v>
      </c>
      <c r="U116" s="1704">
        <f>+IF(COLUMNS($L116:U116)&lt;month,'5. Financials'!$J$90/12,'5. Financials'!$K$90/12)</f>
        <v>9095.34</v>
      </c>
      <c r="V116" s="1704">
        <f>+IF(COLUMNS($L116:V116)&lt;month,'5. Financials'!$J$90/12,'5. Financials'!$K$90/12)</f>
        <v>14208.395999999995</v>
      </c>
      <c r="W116" s="1704">
        <f>+IF(COLUMNS($L116:W116)&lt;month,'5. Financials'!$J$90/12,'5. Financials'!$K$90/12)</f>
        <v>14208.395999999995</v>
      </c>
      <c r="Y116" s="1688"/>
    </row>
    <row r="117" spans="1:26" s="3" customFormat="1">
      <c r="A117" s="1687" t="s">
        <v>734</v>
      </c>
      <c r="B117" t="str">
        <f t="shared" si="4"/>
        <v>D10_11032</v>
      </c>
      <c r="C117" s="1687"/>
      <c r="D117" s="1687"/>
      <c r="E117" s="1687"/>
      <c r="F117" s="1687"/>
      <c r="G117" s="1687"/>
      <c r="H117" s="1687"/>
      <c r="I117" s="1687"/>
      <c r="J117" s="1687"/>
      <c r="K117" t="str">
        <f>+"FY"&amp;RIGHT(YEAR('Hyperion Panel'!$B$9)+2,2)</f>
        <v>FY12</v>
      </c>
      <c r="L117" s="1704">
        <f>+IF(COLUMNS($L117:L117)&lt;month,'5. Financials'!$J$91/12,'5. Financials'!$K$91/12)</f>
        <v>1667.3125</v>
      </c>
      <c r="M117" s="1704">
        <f>+IF(COLUMNS($L117:M117)&lt;month,'5. Financials'!$J$91/12,'5. Financials'!$K$91/12)</f>
        <v>1667.3125</v>
      </c>
      <c r="N117" s="1704">
        <f>+IF(COLUMNS($L117:N117)&lt;month,'5. Financials'!$J$91/12,'5. Financials'!$K$91/12)</f>
        <v>1667.3125</v>
      </c>
      <c r="O117" s="1704">
        <f>+IF(COLUMNS($L117:O117)&lt;month,'5. Financials'!$J$91/12,'5. Financials'!$K$91/12)</f>
        <v>1667.3125</v>
      </c>
      <c r="P117" s="1704">
        <f>+IF(COLUMNS($L117:P117)&lt;month,'5. Financials'!$J$91/12,'5. Financials'!$K$91/12)</f>
        <v>1667.3125</v>
      </c>
      <c r="Q117" s="1704">
        <f>+IF(COLUMNS($L117:Q117)&lt;month,'5. Financials'!$J$91/12,'5. Financials'!$K$91/12)</f>
        <v>1667.3125</v>
      </c>
      <c r="R117" s="1704">
        <f>+IF(COLUMNS($L117:R117)&lt;month,'5. Financials'!$J$91/12,'5. Financials'!$K$91/12)</f>
        <v>1667.3125</v>
      </c>
      <c r="S117" s="1704">
        <f>+IF(COLUMNS($L117:S117)&lt;month,'5. Financials'!$J$91/12,'5. Financials'!$K$91/12)</f>
        <v>1667.3125</v>
      </c>
      <c r="T117" s="1704">
        <f>+IF(COLUMNS($L117:T117)&lt;month,'5. Financials'!$J$91/12,'5. Financials'!$K$91/12)</f>
        <v>1667.3125</v>
      </c>
      <c r="U117" s="1704">
        <f>+IF(COLUMNS($L117:U117)&lt;month,'5. Financials'!$J$91/12,'5. Financials'!$K$91/12)</f>
        <v>1667.3125</v>
      </c>
      <c r="V117" s="1704">
        <f>+IF(COLUMNS($L117:V117)&lt;month,'5. Financials'!$J$91/12,'5. Financials'!$K$91/12)</f>
        <v>2630.1479166666654</v>
      </c>
      <c r="W117" s="1704">
        <f>+IF(COLUMNS($L117:W117)&lt;month,'5. Financials'!$J$91/12,'5. Financials'!$K$91/12)</f>
        <v>2630.1479166666654</v>
      </c>
      <c r="Y117" s="1688"/>
    </row>
    <row r="118" spans="1:26">
      <c r="A118" t="s">
        <v>158</v>
      </c>
      <c r="B118" t="str">
        <f t="shared" si="4"/>
        <v>D10_11032</v>
      </c>
      <c r="C118" t="str">
        <f>+$C$2</f>
        <v>LE_XXXX</v>
      </c>
      <c r="D118" t="s">
        <v>2886</v>
      </c>
      <c r="E118" t="s">
        <v>159</v>
      </c>
      <c r="F118" t="s">
        <v>156</v>
      </c>
      <c r="G118" t="s">
        <v>2889</v>
      </c>
      <c r="H118" t="s">
        <v>154</v>
      </c>
      <c r="I118" t="s">
        <v>146</v>
      </c>
      <c r="J118" t="s">
        <v>147</v>
      </c>
      <c r="K118" t="str">
        <f>+"FY"&amp;RIGHT(YEAR('Hyperion Panel'!$B$9)+2,2)</f>
        <v>FY12</v>
      </c>
      <c r="L118" s="103">
        <f>'Hyperion Panel'!$B$7</f>
        <v>0.6</v>
      </c>
      <c r="M118" s="103">
        <f>'Hyperion Panel'!$B$7</f>
        <v>0.6</v>
      </c>
      <c r="N118" s="103">
        <f>'Hyperion Panel'!$B$7</f>
        <v>0.6</v>
      </c>
      <c r="O118" s="103">
        <f>'Hyperion Panel'!$B$7</f>
        <v>0.6</v>
      </c>
      <c r="P118" s="103">
        <f>'Hyperion Panel'!$B$7</f>
        <v>0.6</v>
      </c>
      <c r="Q118" s="103">
        <f>'Hyperion Panel'!$B$7</f>
        <v>0.6</v>
      </c>
      <c r="R118" s="103">
        <f>'Hyperion Panel'!$B$7</f>
        <v>0.6</v>
      </c>
      <c r="S118" s="103">
        <f>'Hyperion Panel'!$B$7</f>
        <v>0.6</v>
      </c>
      <c r="T118" s="103">
        <f>'Hyperion Panel'!$B$7</f>
        <v>0.6</v>
      </c>
      <c r="U118" s="103">
        <f>'Hyperion Panel'!$B$7</f>
        <v>0.6</v>
      </c>
      <c r="V118" s="1694">
        <f>'Hyperion Panel'!$B$7</f>
        <v>0.6</v>
      </c>
      <c r="W118" s="103">
        <f>'Hyperion Panel'!$B$7</f>
        <v>0.6</v>
      </c>
    </row>
    <row r="119" spans="1:26">
      <c r="A119" t="s">
        <v>160</v>
      </c>
      <c r="B119" t="str">
        <f t="shared" si="4"/>
        <v>D10_11032</v>
      </c>
      <c r="C119" t="str">
        <f>+$C$2</f>
        <v>LE_XXXX</v>
      </c>
      <c r="D119" t="s">
        <v>2886</v>
      </c>
      <c r="E119" t="s">
        <v>161</v>
      </c>
      <c r="F119" t="s">
        <v>156</v>
      </c>
      <c r="G119" t="s">
        <v>2889</v>
      </c>
      <c r="H119" t="s">
        <v>154</v>
      </c>
      <c r="I119" t="s">
        <v>146</v>
      </c>
      <c r="J119" t="s">
        <v>147</v>
      </c>
      <c r="K119" t="str">
        <f>+"FY"&amp;RIGHT(YEAR('Hyperion Panel'!$B$9)+2,2)</f>
        <v>FY12</v>
      </c>
      <c r="L119" s="1705">
        <v>0</v>
      </c>
      <c r="M119" s="1705">
        <v>0</v>
      </c>
      <c r="N119" s="1705">
        <v>0</v>
      </c>
      <c r="O119" s="1705">
        <v>0</v>
      </c>
      <c r="P119" s="1705">
        <v>0</v>
      </c>
      <c r="Q119" s="1705">
        <v>0</v>
      </c>
      <c r="R119" s="1705">
        <v>0</v>
      </c>
      <c r="S119" s="1705">
        <v>0</v>
      </c>
      <c r="T119" s="1705">
        <v>0</v>
      </c>
      <c r="U119" s="1705">
        <v>0</v>
      </c>
      <c r="V119" s="1705">
        <v>0</v>
      </c>
      <c r="W119" s="1705">
        <v>0</v>
      </c>
    </row>
    <row r="120" spans="1:26" s="3" customFormat="1">
      <c r="A120" s="1687" t="s">
        <v>735</v>
      </c>
      <c r="B120" t="str">
        <f t="shared" si="4"/>
        <v>D10_11032</v>
      </c>
      <c r="C120" s="1687"/>
      <c r="D120" s="1687"/>
      <c r="E120" s="1687"/>
      <c r="F120" s="1687"/>
      <c r="G120" s="1687"/>
      <c r="H120" s="1687"/>
      <c r="I120" s="1687"/>
      <c r="J120" s="1687"/>
      <c r="K120" t="str">
        <f>+"FY"&amp;RIGHT(YEAR('Hyperion Panel'!$B$9)+2,2)</f>
        <v>FY12</v>
      </c>
      <c r="L120" s="1705">
        <v>0</v>
      </c>
      <c r="M120" s="1705">
        <v>0</v>
      </c>
      <c r="N120" s="1705">
        <v>0</v>
      </c>
      <c r="O120" s="1705">
        <v>0</v>
      </c>
      <c r="P120" s="1705">
        <v>0</v>
      </c>
      <c r="Q120" s="1705">
        <v>0</v>
      </c>
      <c r="R120" s="1705">
        <v>0</v>
      </c>
      <c r="S120" s="1705">
        <v>0</v>
      </c>
      <c r="T120" s="1705">
        <v>0</v>
      </c>
      <c r="U120" s="1705">
        <v>0</v>
      </c>
      <c r="V120" s="1705">
        <v>0</v>
      </c>
      <c r="W120" s="1705">
        <v>0</v>
      </c>
      <c r="Y120" s="1688"/>
    </row>
    <row r="121" spans="1:26">
      <c r="L121" s="1612"/>
      <c r="M121" s="1612"/>
      <c r="N121" s="1612"/>
      <c r="O121" s="1612"/>
      <c r="P121" s="1612"/>
      <c r="Q121" s="1612"/>
      <c r="R121" s="1612"/>
      <c r="S121" s="1612"/>
      <c r="T121" s="1612"/>
      <c r="U121" s="1612"/>
      <c r="V121" s="1702"/>
      <c r="W121" s="1612"/>
    </row>
    <row r="122" spans="1:26">
      <c r="A122" s="98" t="s">
        <v>2885</v>
      </c>
      <c r="B122" t="str">
        <f>+$B$2</f>
        <v>D10_11032</v>
      </c>
      <c r="C122" t="str">
        <f>+$C$2</f>
        <v>LE_XXXX</v>
      </c>
      <c r="D122" t="s">
        <v>2886</v>
      </c>
      <c r="E122" t="s">
        <v>2887</v>
      </c>
      <c r="F122" t="s">
        <v>2888</v>
      </c>
      <c r="G122" t="s">
        <v>2889</v>
      </c>
      <c r="H122" t="s">
        <v>145</v>
      </c>
      <c r="I122" t="s">
        <v>146</v>
      </c>
      <c r="J122" t="s">
        <v>147</v>
      </c>
      <c r="K122" t="str">
        <f>+"FY"&amp;RIGHT(YEAR('Hyperion Panel'!$B$9)+3,2)</f>
        <v>FY13</v>
      </c>
      <c r="L122" s="1612"/>
      <c r="M122" s="1612"/>
      <c r="N122" s="1612"/>
      <c r="O122" s="1612"/>
      <c r="P122" s="1612"/>
      <c r="Q122" s="1612"/>
      <c r="R122" s="1612"/>
      <c r="S122" s="1612"/>
      <c r="T122" s="1612"/>
      <c r="U122" s="1612"/>
      <c r="V122" s="1702"/>
      <c r="W122" s="1612"/>
    </row>
    <row r="123" spans="1:26" s="98" customFormat="1" ht="12.75" customHeight="1">
      <c r="A123" s="100" t="s">
        <v>463</v>
      </c>
      <c r="L123" s="1697">
        <f>+IF(COLUMNS($L123:L123)&lt;month,VLOOKUP("Month "&amp;(COLUMNS($L123:L123)-month+13),DeNovo_Tx,7,FALSE)*52*3/12*(1-hemomiss),VLOOKUP("Month "&amp;(COLUMNS($L123:L123)-month+1),DeNovo_Tx,9,FALSE)*52*3/12*(1-hemomiss))</f>
        <v>526.24</v>
      </c>
      <c r="M123" s="1697">
        <f>+IF(COLUMNS($L123:M123)&lt;month,VLOOKUP("Month "&amp;(COLUMNS($L123:M123)-month+13),DeNovo_Tx,7,FALSE)*52*3/12*(1-hemomiss),VLOOKUP("Month "&amp;(COLUMNS($L123:M123)-month+1),DeNovo_Tx,9,FALSE)*52*3/12*(1-hemomiss))</f>
        <v>538.20000000000005</v>
      </c>
      <c r="N123" s="1697">
        <f>+IF(COLUMNS($L123:N123)&lt;month,VLOOKUP("Month "&amp;(COLUMNS($L123:N123)-month+13),DeNovo_Tx,7,FALSE)*52*3/12*(1-hemomiss),VLOOKUP("Month "&amp;(COLUMNS($L123:N123)-month+1),DeNovo_Tx,9,FALSE)*52*3/12*(1-hemomiss))</f>
        <v>550.16</v>
      </c>
      <c r="O123" s="1697">
        <f>+IF(COLUMNS($L123:O123)&lt;month,VLOOKUP("Month "&amp;(COLUMNS($L123:O123)-month+13),DeNovo_Tx,7,FALSE)*52*3/12*(1-hemomiss),VLOOKUP("Month "&amp;(COLUMNS($L123:O123)-month+1),DeNovo_Tx,9,FALSE)*52*3/12*(1-hemomiss))</f>
        <v>562.12</v>
      </c>
      <c r="P123" s="1697">
        <f>+IF(COLUMNS($L123:P123)&lt;month,VLOOKUP("Month "&amp;(COLUMNS($L123:P123)-month+13),DeNovo_Tx,7,FALSE)*52*3/12*(1-hemomiss),VLOOKUP("Month "&amp;(COLUMNS($L123:P123)-month+1),DeNovo_Tx,9,FALSE)*52*3/12*(1-hemomiss))</f>
        <v>574.08000000000004</v>
      </c>
      <c r="Q123" s="1697">
        <f>+IF(COLUMNS($L123:Q123)&lt;month,VLOOKUP("Month "&amp;(COLUMNS($L123:Q123)-month+13),DeNovo_Tx,7,FALSE)*52*3/12*(1-hemomiss),VLOOKUP("Month "&amp;(COLUMNS($L123:Q123)-month+1),DeNovo_Tx,9,FALSE)*52*3/12*(1-hemomiss))</f>
        <v>586.04000000000008</v>
      </c>
      <c r="R123" s="1697">
        <f>+IF(COLUMNS($L123:R123)&lt;month,VLOOKUP("Month "&amp;(COLUMNS($L123:R123)-month+13),DeNovo_Tx,7,FALSE)*52*3/12*(1-hemomiss),VLOOKUP("Month "&amp;(COLUMNS($L123:R123)-month+1),DeNovo_Tx,9,FALSE)*52*3/12*(1-hemomiss))</f>
        <v>598</v>
      </c>
      <c r="S123" s="1697">
        <f>+IF(COLUMNS($L123:S123)&lt;month,VLOOKUP("Month "&amp;(COLUMNS($L123:S123)-month+13),DeNovo_Tx,7,FALSE)*52*3/12*(1-hemomiss),VLOOKUP("Month "&amp;(COLUMNS($L123:S123)-month+1),DeNovo_Tx,9,FALSE)*52*3/12*(1-hemomiss))</f>
        <v>609.96</v>
      </c>
      <c r="T123" s="1697">
        <f>+IF(COLUMNS($L123:T123)&lt;month,VLOOKUP("Month "&amp;(COLUMNS($L123:T123)-month+13),DeNovo_Tx,7,FALSE)*52*3/12*(1-hemomiss),VLOOKUP("Month "&amp;(COLUMNS($L123:T123)-month+1),DeNovo_Tx,9,FALSE)*52*3/12*(1-hemomiss))</f>
        <v>621.92000000000007</v>
      </c>
      <c r="U123" s="1697">
        <f>+IF(COLUMNS($L123:U123)&lt;month,VLOOKUP("Month "&amp;(COLUMNS($L123:U123)-month+13),DeNovo_Tx,7,FALSE)*52*3/12*(1-hemomiss),VLOOKUP("Month "&amp;(COLUMNS($L123:U123)-month+1),DeNovo_Tx,9,FALSE)*52*3/12*(1-hemomiss))</f>
        <v>633.88</v>
      </c>
      <c r="V123" s="1700">
        <f>+IF(COLUMNS($L123:V123)&lt;month,VLOOKUP("Month "&amp;(COLUMNS($L123:V123)-month+13),DeNovo_Tx,7,FALSE)*52*3/12*(1-hemomiss),VLOOKUP("Month "&amp;(COLUMNS($L123:V123)-month+1),DeNovo_Tx,9,FALSE)*52*3/12*(1-hemomiss))</f>
        <v>645.84</v>
      </c>
      <c r="W123" s="1697">
        <f>+IF(COLUMNS($L123:W123)&lt;month,VLOOKUP("Month "&amp;(COLUMNS($L123:W123)-month+13),DeNovo_Tx,7,FALSE)*52*3/12*(1-hemomiss),VLOOKUP("Month "&amp;(COLUMNS($L123:W123)-month+1),DeNovo_Tx,9,FALSE)*52*3/12*(1-hemomiss))</f>
        <v>657.80000000000007</v>
      </c>
      <c r="Y123" s="99"/>
      <c r="Z123" s="97"/>
    </row>
    <row r="124" spans="1:26" s="98" customFormat="1" ht="12.75" customHeight="1">
      <c r="A124" s="100" t="s">
        <v>464</v>
      </c>
      <c r="L124" s="1697">
        <f>+IF(COLUMNS($L124:L124)&lt;month,VLOOKUP("Month "&amp;(COLUMNS($L124:L124)-month+13),DeNovo_Tx,8,FALSE)*52*3/12*(1-hemomiss),VLOOKUP("Month "&amp;(COLUMNS($L124:L124)-month+1),DeNovo_Tx,10,FALSE)*52*3/12*(1-hemomiss))</f>
        <v>62.789999999999992</v>
      </c>
      <c r="M124" s="1697">
        <f>+IF(COLUMNS($L124:M124)&lt;month,VLOOKUP("Month "&amp;(COLUMNS($L124:M124)-month+13),DeNovo_Tx,8,FALSE)*52*3/12*(1-hemomiss),VLOOKUP("Month "&amp;(COLUMNS($L124:M124)-month+1),DeNovo_Tx,10,FALSE)*52*3/12*(1-hemomiss))</f>
        <v>63.786666666666655</v>
      </c>
      <c r="N124" s="1697">
        <f>+IF(COLUMNS($L124:N124)&lt;month,VLOOKUP("Month "&amp;(COLUMNS($L124:N124)-month+13),DeNovo_Tx,8,FALSE)*52*3/12*(1-hemomiss),VLOOKUP("Month "&amp;(COLUMNS($L124:N124)-month+1),DeNovo_Tx,10,FALSE)*52*3/12*(1-hemomiss))</f>
        <v>64.783333333333317</v>
      </c>
      <c r="O124" s="1697">
        <f>+IF(COLUMNS($L124:O124)&lt;month,VLOOKUP("Month "&amp;(COLUMNS($L124:O124)-month+13),DeNovo_Tx,8,FALSE)*52*3/12*(1-hemomiss),VLOOKUP("Month "&amp;(COLUMNS($L124:O124)-month+1),DeNovo_Tx,10,FALSE)*52*3/12*(1-hemomiss))</f>
        <v>65.779999999999973</v>
      </c>
      <c r="P124" s="1697">
        <f>+IF(COLUMNS($L124:P124)&lt;month,VLOOKUP("Month "&amp;(COLUMNS($L124:P124)-month+13),DeNovo_Tx,8,FALSE)*52*3/12*(1-hemomiss),VLOOKUP("Month "&amp;(COLUMNS($L124:P124)-month+1),DeNovo_Tx,10,FALSE)*52*3/12*(1-hemomiss))</f>
        <v>66.776666666666642</v>
      </c>
      <c r="Q124" s="1697">
        <f>+IF(COLUMNS($L124:Q124)&lt;month,VLOOKUP("Month "&amp;(COLUMNS($L124:Q124)-month+13),DeNovo_Tx,8,FALSE)*52*3/12*(1-hemomiss),VLOOKUP("Month "&amp;(COLUMNS($L124:Q124)-month+1),DeNovo_Tx,10,FALSE)*52*3/12*(1-hemomiss))</f>
        <v>67.773333333333298</v>
      </c>
      <c r="R124" s="1697">
        <f>+IF(COLUMNS($L124:R124)&lt;month,VLOOKUP("Month "&amp;(COLUMNS($L124:R124)-month+13),DeNovo_Tx,8,FALSE)*52*3/12*(1-hemomiss),VLOOKUP("Month "&amp;(COLUMNS($L124:R124)-month+1),DeNovo_Tx,10,FALSE)*52*3/12*(1-hemomiss))</f>
        <v>68.769999999999982</v>
      </c>
      <c r="S124" s="1697">
        <f>+IF(COLUMNS($L124:S124)&lt;month,VLOOKUP("Month "&amp;(COLUMNS($L124:S124)-month+13),DeNovo_Tx,8,FALSE)*52*3/12*(1-hemomiss),VLOOKUP("Month "&amp;(COLUMNS($L124:S124)-month+1),DeNovo_Tx,10,FALSE)*52*3/12*(1-hemomiss))</f>
        <v>69.766666666666637</v>
      </c>
      <c r="T124" s="1697">
        <f>+IF(COLUMNS($L124:T124)&lt;month,VLOOKUP("Month "&amp;(COLUMNS($L124:T124)-month+13),DeNovo_Tx,8,FALSE)*52*3/12*(1-hemomiss),VLOOKUP("Month "&amp;(COLUMNS($L124:T124)-month+1),DeNovo_Tx,10,FALSE)*52*3/12*(1-hemomiss))</f>
        <v>70.763333333333307</v>
      </c>
      <c r="U124" s="1697">
        <f>+IF(COLUMNS($L124:U124)&lt;month,VLOOKUP("Month "&amp;(COLUMNS($L124:U124)-month+13),DeNovo_Tx,8,FALSE)*52*3/12*(1-hemomiss),VLOOKUP("Month "&amp;(COLUMNS($L124:U124)-month+1),DeNovo_Tx,10,FALSE)*52*3/12*(1-hemomiss))</f>
        <v>71.759999999999962</v>
      </c>
      <c r="V124" s="1700">
        <f>+IF(COLUMNS($L124:V124)&lt;month,VLOOKUP("Month "&amp;(COLUMNS($L124:V124)-month+13),DeNovo_Tx,8,FALSE)*52*3/12*(1-hemomiss),VLOOKUP("Month "&amp;(COLUMNS($L124:V124)-month+1),DeNovo_Tx,10,FALSE)*52*3/12*(1-hemomiss))</f>
        <v>72.756666666666632</v>
      </c>
      <c r="W124" s="1697">
        <f>+IF(COLUMNS($L124:W124)&lt;month,VLOOKUP("Month "&amp;(COLUMNS($L124:W124)-month+13),DeNovo_Tx,8,FALSE)*52*3/12*(1-hemomiss),VLOOKUP("Month "&amp;(COLUMNS($L124:W124)-month+1),DeNovo_Tx,10,FALSE)*52*3/12*(1-hemomiss))</f>
        <v>73.753333333333288</v>
      </c>
      <c r="Y124" s="99"/>
      <c r="Z124" s="97"/>
    </row>
    <row r="125" spans="1:26">
      <c r="A125" s="98" t="s">
        <v>148</v>
      </c>
      <c r="B125" t="str">
        <f>+$B$2</f>
        <v>D10_11032</v>
      </c>
      <c r="C125" t="str">
        <f>+$C$2</f>
        <v>LE_XXXX</v>
      </c>
      <c r="D125" t="s">
        <v>2886</v>
      </c>
      <c r="E125" t="s">
        <v>149</v>
      </c>
      <c r="F125" t="s">
        <v>150</v>
      </c>
      <c r="G125" t="s">
        <v>2889</v>
      </c>
      <c r="H125" t="s">
        <v>145</v>
      </c>
      <c r="I125" t="s">
        <v>146</v>
      </c>
      <c r="J125" t="s">
        <v>147</v>
      </c>
      <c r="K125" t="str">
        <f>+"FY"&amp;RIGHT(YEAR('Hyperion Panel'!$B$9)+3,2)</f>
        <v>FY13</v>
      </c>
      <c r="L125" s="1612"/>
      <c r="M125" s="1612"/>
      <c r="N125" s="1612"/>
      <c r="O125" s="1612"/>
      <c r="P125" s="1612"/>
      <c r="Q125" s="1612"/>
      <c r="R125" s="1612"/>
      <c r="S125" s="1612"/>
      <c r="T125" s="1612"/>
      <c r="U125" s="1612"/>
      <c r="V125" s="1703"/>
      <c r="W125" s="1612"/>
    </row>
    <row r="126" spans="1:26" s="98" customFormat="1">
      <c r="A126" s="100" t="s">
        <v>463</v>
      </c>
      <c r="L126" s="1697">
        <f>+IF(COLUMNS($L126:L126)&lt;month,VLOOKUP("Month "&amp;(COLUMNS($L126:L126)-month+13),DeNovo_Tx,18,FALSE)*52*3/12*(1-homemiss),VLOOKUP("Month "&amp;(COLUMNS($L126:L126)-month+1),DeNovo_Tx,20,FALSE)*52*3/12*(1-homemiss))</f>
        <v>148.19999999999996</v>
      </c>
      <c r="M126" s="1697">
        <f>+IF(COLUMNS($L126:M126)&lt;month,VLOOKUP("Month "&amp;(COLUMNS($L126:M126)-month+13),DeNovo_Tx,18,FALSE)*52*3/12*(1-homemiss),VLOOKUP("Month "&amp;(COLUMNS($L126:M126)-month+1),DeNovo_Tx,20,FALSE)*52*3/12*(1-homemiss))</f>
        <v>152.31666666666663</v>
      </c>
      <c r="N126" s="1697">
        <f>+IF(COLUMNS($L126:N126)&lt;month,VLOOKUP("Month "&amp;(COLUMNS($L126:N126)-month+13),DeNovo_Tx,18,FALSE)*52*3/12*(1-homemiss),VLOOKUP("Month "&amp;(COLUMNS($L126:N126)-month+1),DeNovo_Tx,20,FALSE)*52*3/12*(1-homemiss))</f>
        <v>156.43333333333331</v>
      </c>
      <c r="O126" s="1697">
        <f>+IF(COLUMNS($L126:O126)&lt;month,VLOOKUP("Month "&amp;(COLUMNS($L126:O126)-month+13),DeNovo_Tx,18,FALSE)*52*3/12*(1-homemiss),VLOOKUP("Month "&amp;(COLUMNS($L126:O126)-month+1),DeNovo_Tx,20,FALSE)*52*3/12*(1-homemiss))</f>
        <v>160.54999999999998</v>
      </c>
      <c r="P126" s="1697">
        <f>+IF(COLUMNS($L126:P126)&lt;month,VLOOKUP("Month "&amp;(COLUMNS($L126:P126)-month+13),DeNovo_Tx,18,FALSE)*52*3/12*(1-homemiss),VLOOKUP("Month "&amp;(COLUMNS($L126:P126)-month+1),DeNovo_Tx,20,FALSE)*52*3/12*(1-homemiss))</f>
        <v>164.66666666666666</v>
      </c>
      <c r="Q126" s="1697">
        <f>+IF(COLUMNS($L126:Q126)&lt;month,VLOOKUP("Month "&amp;(COLUMNS($L126:Q126)-month+13),DeNovo_Tx,18,FALSE)*52*3/12*(1-homemiss),VLOOKUP("Month "&amp;(COLUMNS($L126:Q126)-month+1),DeNovo_Tx,20,FALSE)*52*3/12*(1-homemiss))</f>
        <v>168.7833333333333</v>
      </c>
      <c r="R126" s="1697">
        <f>+IF(COLUMNS($L126:R126)&lt;month,VLOOKUP("Month "&amp;(COLUMNS($L126:R126)-month+13),DeNovo_Tx,18,FALSE)*52*3/12*(1-homemiss),VLOOKUP("Month "&amp;(COLUMNS($L126:R126)-month+1),DeNovo_Tx,20,FALSE)*52*3/12*(1-homemiss))</f>
        <v>172.9</v>
      </c>
      <c r="S126" s="1697">
        <f>+IF(COLUMNS($L126:S126)&lt;month,VLOOKUP("Month "&amp;(COLUMNS($L126:S126)-month+13),DeNovo_Tx,18,FALSE)*52*3/12*(1-homemiss),VLOOKUP("Month "&amp;(COLUMNS($L126:S126)-month+1),DeNovo_Tx,20,FALSE)*52*3/12*(1-homemiss))</f>
        <v>177.01666666666671</v>
      </c>
      <c r="T126" s="1697">
        <f>+IF(COLUMNS($L126:T126)&lt;month,VLOOKUP("Month "&amp;(COLUMNS($L126:T126)-month+13),DeNovo_Tx,18,FALSE)*52*3/12*(1-homemiss),VLOOKUP("Month "&amp;(COLUMNS($L126:T126)-month+1),DeNovo_Tx,20,FALSE)*52*3/12*(1-homemiss))</f>
        <v>181.13333333333338</v>
      </c>
      <c r="U126" s="1697">
        <f>+IF(COLUMNS($L126:U126)&lt;month,VLOOKUP("Month "&amp;(COLUMNS($L126:U126)-month+13),DeNovo_Tx,18,FALSE)*52*3/12*(1-homemiss),VLOOKUP("Month "&amp;(COLUMNS($L126:U126)-month+1),DeNovo_Tx,20,FALSE)*52*3/12*(1-homemiss))</f>
        <v>185.25000000000009</v>
      </c>
      <c r="V126" s="1697">
        <f>+IF(COLUMNS($L126:V126)&lt;month,VLOOKUP("Month "&amp;(COLUMNS($L126:V126)-month+13),DeNovo_Tx,18,FALSE)*52*3/12*(1-homemiss),VLOOKUP("Month "&amp;(COLUMNS($L126:V126)-month+1),DeNovo_Tx,20,FALSE)*52*3/12*(1-homemiss))</f>
        <v>189.36666666666673</v>
      </c>
      <c r="W126" s="1697">
        <f>+IF(COLUMNS($L126:W126)&lt;month,VLOOKUP("Month "&amp;(COLUMNS($L126:W126)-month+13),DeNovo_Tx,18,FALSE)*52*3/12*(1-homemiss),VLOOKUP("Month "&amp;(COLUMNS($L126:W126)-month+1),DeNovo_Tx,20,FALSE)*52*3/12*(1-homemiss))</f>
        <v>193.48333333333341</v>
      </c>
      <c r="Y126" s="99"/>
    </row>
    <row r="127" spans="1:26" s="98" customFormat="1">
      <c r="A127" s="100" t="s">
        <v>464</v>
      </c>
      <c r="L127" s="1697">
        <f>+IF(COLUMNS($L127:L127)&lt;month,VLOOKUP("Month "&amp;(COLUMNS($L127:L127)-month+13),DeNovo_Tx,19,FALSE)*52*3/12*(1-homemiss),VLOOKUP("Month "&amp;(COLUMNS($L127:L127)-month+1),DeNovo_Tx,21,FALSE)*52*3/12*(1-homemiss))</f>
        <v>24.699999999999989</v>
      </c>
      <c r="M127" s="1697">
        <f>+IF(COLUMNS($L127:M127)&lt;month,VLOOKUP("Month "&amp;(COLUMNS($L127:M127)-month+13),DeNovo_Tx,19,FALSE)*52*3/12*(1-homemiss),VLOOKUP("Month "&amp;(COLUMNS($L127:M127)-month+1),DeNovo_Tx,21,FALSE)*52*3/12*(1-homemiss))</f>
        <v>24.699999999999989</v>
      </c>
      <c r="N127" s="1697">
        <f>+IF(COLUMNS($L127:N127)&lt;month,VLOOKUP("Month "&amp;(COLUMNS($L127:N127)-month+13),DeNovo_Tx,19,FALSE)*52*3/12*(1-homemiss),VLOOKUP("Month "&amp;(COLUMNS($L127:N127)-month+1),DeNovo_Tx,21,FALSE)*52*3/12*(1-homemiss))</f>
        <v>24.699999999999989</v>
      </c>
      <c r="O127" s="1697">
        <f>+IF(COLUMNS($L127:O127)&lt;month,VLOOKUP("Month "&amp;(COLUMNS($L127:O127)-month+13),DeNovo_Tx,19,FALSE)*52*3/12*(1-homemiss),VLOOKUP("Month "&amp;(COLUMNS($L127:O127)-month+1),DeNovo_Tx,21,FALSE)*52*3/12*(1-homemiss))</f>
        <v>24.699999999999989</v>
      </c>
      <c r="P127" s="1697">
        <f>+IF(COLUMNS($L127:P127)&lt;month,VLOOKUP("Month "&amp;(COLUMNS($L127:P127)-month+13),DeNovo_Tx,19,FALSE)*52*3/12*(1-homemiss),VLOOKUP("Month "&amp;(COLUMNS($L127:P127)-month+1),DeNovo_Tx,21,FALSE)*52*3/12*(1-homemiss))</f>
        <v>24.699999999999989</v>
      </c>
      <c r="Q127" s="1697">
        <f>+IF(COLUMNS($L127:Q127)&lt;month,VLOOKUP("Month "&amp;(COLUMNS($L127:Q127)-month+13),DeNovo_Tx,19,FALSE)*52*3/12*(1-homemiss),VLOOKUP("Month "&amp;(COLUMNS($L127:Q127)-month+1),DeNovo_Tx,21,FALSE)*52*3/12*(1-homemiss))</f>
        <v>24.699999999999989</v>
      </c>
      <c r="R127" s="1697">
        <f>+IF(COLUMNS($L127:R127)&lt;month,VLOOKUP("Month "&amp;(COLUMNS($L127:R127)-month+13),DeNovo_Tx,19,FALSE)*52*3/12*(1-homemiss),VLOOKUP("Month "&amp;(COLUMNS($L127:R127)-month+1),DeNovo_Tx,21,FALSE)*52*3/12*(1-homemiss))</f>
        <v>24.699999999999989</v>
      </c>
      <c r="S127" s="1697">
        <f>+IF(COLUMNS($L127:S127)&lt;month,VLOOKUP("Month "&amp;(COLUMNS($L127:S127)-month+13),DeNovo_Tx,19,FALSE)*52*3/12*(1-homemiss),VLOOKUP("Month "&amp;(COLUMNS($L127:S127)-month+1),DeNovo_Tx,21,FALSE)*52*3/12*(1-homemiss))</f>
        <v>24.699999999999989</v>
      </c>
      <c r="T127" s="1697">
        <f>+IF(COLUMNS($L127:T127)&lt;month,VLOOKUP("Month "&amp;(COLUMNS($L127:T127)-month+13),DeNovo_Tx,19,FALSE)*52*3/12*(1-homemiss),VLOOKUP("Month "&amp;(COLUMNS($L127:T127)-month+1),DeNovo_Tx,21,FALSE)*52*3/12*(1-homemiss))</f>
        <v>24.699999999999989</v>
      </c>
      <c r="U127" s="1697">
        <f>+IF(COLUMNS($L127:U127)&lt;month,VLOOKUP("Month "&amp;(COLUMNS($L127:U127)-month+13),DeNovo_Tx,19,FALSE)*52*3/12*(1-homemiss),VLOOKUP("Month "&amp;(COLUMNS($L127:U127)-month+1),DeNovo_Tx,21,FALSE)*52*3/12*(1-homemiss))</f>
        <v>24.699999999999989</v>
      </c>
      <c r="V127" s="1697">
        <f>+IF(COLUMNS($L127:V127)&lt;month,VLOOKUP("Month "&amp;(COLUMNS($L127:V127)-month+13),DeNovo_Tx,19,FALSE)*52*3/12*(1-homemiss),VLOOKUP("Month "&amp;(COLUMNS($L127:V127)-month+1),DeNovo_Tx,21,FALSE)*52*3/12*(1-homemiss))</f>
        <v>25.729166666666657</v>
      </c>
      <c r="W127" s="1697">
        <f>+IF(COLUMNS($L127:W127)&lt;month,VLOOKUP("Month "&amp;(COLUMNS($L127:W127)-month+13),DeNovo_Tx,19,FALSE)*52*3/12*(1-homemiss),VLOOKUP("Month "&amp;(COLUMNS($L127:W127)-month+1),DeNovo_Tx,21,FALSE)*52*3/12*(1-homemiss))</f>
        <v>26.758333333333322</v>
      </c>
      <c r="Y127" s="99"/>
    </row>
    <row r="128" spans="1:26">
      <c r="A128" s="4" t="s">
        <v>169</v>
      </c>
      <c r="B128" s="4" t="str">
        <f>+$B$2</f>
        <v>D10_11032</v>
      </c>
      <c r="C128" s="4"/>
      <c r="D128" s="4"/>
      <c r="E128" s="4"/>
      <c r="F128" s="4"/>
      <c r="G128" s="4"/>
      <c r="H128" s="4"/>
      <c r="I128" s="4"/>
      <c r="J128" s="4"/>
      <c r="K128" s="4" t="str">
        <f>+"FY"&amp;RIGHT(YEAR('Hyperion Panel'!$B$9)+3,2)</f>
        <v>FY13</v>
      </c>
      <c r="L128" s="1698"/>
      <c r="M128" s="1698"/>
      <c r="N128" s="1698"/>
      <c r="O128" s="1698"/>
      <c r="P128" s="1698"/>
      <c r="Q128" s="1698"/>
      <c r="R128" s="1698"/>
      <c r="S128" s="1698"/>
      <c r="T128" s="1698"/>
      <c r="U128" s="1698"/>
      <c r="V128" s="1699"/>
      <c r="W128" s="1698"/>
      <c r="Y128" s="99"/>
    </row>
    <row r="129" spans="1:26">
      <c r="A129" s="101" t="s">
        <v>463</v>
      </c>
      <c r="B129" s="4"/>
      <c r="C129" s="4"/>
      <c r="D129" s="4"/>
      <c r="E129" s="4"/>
      <c r="F129" s="4"/>
      <c r="G129" s="4"/>
      <c r="H129" s="4"/>
      <c r="I129" s="4"/>
      <c r="J129" s="4"/>
      <c r="K129" s="4"/>
      <c r="L129" s="1698">
        <f>+IF(COLUMNS($L129:L129)&lt;month,VLOOKUP("Month "&amp;(COLUMNS($L129:L129)-month+13),DeNovo_Tx,29,FALSE)*52*3/12*(1-hhdmiss),VLOOKUP("Month "&amp;(COLUMNS($L129:L129)-month+1),DeNovo_Tx,31,FALSE)*52*3/12*(1-hhdmiss))</f>
        <v>68.249999999999986</v>
      </c>
      <c r="M129" s="1698">
        <f>+IF(COLUMNS($L129:M129)&lt;month,VLOOKUP("Month "&amp;(COLUMNS($L129:M129)-month+13),DeNovo_Tx,29,FALSE)*52*3/12*(1-hhdmiss),VLOOKUP("Month "&amp;(COLUMNS($L129:M129)-month+1),DeNovo_Tx,31,FALSE)*52*3/12*(1-hhdmiss))</f>
        <v>69.333333333333314</v>
      </c>
      <c r="N129" s="1698">
        <f>+IF(COLUMNS($L129:N129)&lt;month,VLOOKUP("Month "&amp;(COLUMNS($L129:N129)-month+13),DeNovo_Tx,29,FALSE)*52*3/12*(1-hhdmiss),VLOOKUP("Month "&amp;(COLUMNS($L129:N129)-month+1),DeNovo_Tx,31,FALSE)*52*3/12*(1-hhdmiss))</f>
        <v>70.416666666666643</v>
      </c>
      <c r="O129" s="1698">
        <f>+IF(COLUMNS($L129:O129)&lt;month,VLOOKUP("Month "&amp;(COLUMNS($L129:O129)-month+13),DeNovo_Tx,29,FALSE)*52*3/12*(1-hhdmiss),VLOOKUP("Month "&amp;(COLUMNS($L129:O129)-month+1),DeNovo_Tx,31,FALSE)*52*3/12*(1-hhdmiss))</f>
        <v>71.499999999999972</v>
      </c>
      <c r="P129" s="1698">
        <f>+IF(COLUMNS($L129:P129)&lt;month,VLOOKUP("Month "&amp;(COLUMNS($L129:P129)-month+13),DeNovo_Tx,29,FALSE)*52*3/12*(1-hhdmiss),VLOOKUP("Month "&amp;(COLUMNS($L129:P129)-month+1),DeNovo_Tx,31,FALSE)*52*3/12*(1-hhdmiss))</f>
        <v>72.5833333333333</v>
      </c>
      <c r="Q129" s="1698">
        <f>+IF(COLUMNS($L129:Q129)&lt;month,VLOOKUP("Month "&amp;(COLUMNS($L129:Q129)-month+13),DeNovo_Tx,29,FALSE)*52*3/12*(1-hhdmiss),VLOOKUP("Month "&amp;(COLUMNS($L129:Q129)-month+1),DeNovo_Tx,31,FALSE)*52*3/12*(1-hhdmiss))</f>
        <v>73.666666666666629</v>
      </c>
      <c r="R129" s="1698">
        <f>+IF(COLUMNS($L129:R129)&lt;month,VLOOKUP("Month "&amp;(COLUMNS($L129:R129)-month+13),DeNovo_Tx,29,FALSE)*52*3/12*(1-hhdmiss),VLOOKUP("Month "&amp;(COLUMNS($L129:R129)-month+1),DeNovo_Tx,31,FALSE)*52*3/12*(1-hhdmiss))</f>
        <v>74.749999999999972</v>
      </c>
      <c r="S129" s="1698">
        <f>+IF(COLUMNS($L129:S129)&lt;month,VLOOKUP("Month "&amp;(COLUMNS($L129:S129)-month+13),DeNovo_Tx,29,FALSE)*52*3/12*(1-hhdmiss),VLOOKUP("Month "&amp;(COLUMNS($L129:S129)-month+1),DeNovo_Tx,31,FALSE)*52*3/12*(1-hhdmiss))</f>
        <v>75.8333333333333</v>
      </c>
      <c r="T129" s="1698">
        <f>+IF(COLUMNS($L129:T129)&lt;month,VLOOKUP("Month "&amp;(COLUMNS($L129:T129)-month+13),DeNovo_Tx,29,FALSE)*52*3/12*(1-hhdmiss),VLOOKUP("Month "&amp;(COLUMNS($L129:T129)-month+1),DeNovo_Tx,31,FALSE)*52*3/12*(1-hhdmiss))</f>
        <v>76.916666666666629</v>
      </c>
      <c r="U129" s="1698">
        <f>+IF(COLUMNS($L129:U129)&lt;month,VLOOKUP("Month "&amp;(COLUMNS($L129:U129)-month+13),DeNovo_Tx,29,FALSE)*52*3/12*(1-hhdmiss),VLOOKUP("Month "&amp;(COLUMNS($L129:U129)-month+1),DeNovo_Tx,31,FALSE)*52*3/12*(1-hhdmiss))</f>
        <v>77.999999999999957</v>
      </c>
      <c r="V129" s="1699">
        <f>+IF(COLUMNS($L129:V129)&lt;month,VLOOKUP("Month "&amp;(COLUMNS($L129:V129)-month+13),DeNovo_Tx,29,FALSE)*52*3/12*(1-hhdmiss),VLOOKUP("Month "&amp;(COLUMNS($L129:V129)-month+1),DeNovo_Tx,31,FALSE)*52*3/12*(1-hhdmiss))</f>
        <v>79.083333333333286</v>
      </c>
      <c r="W129" s="1698">
        <f>+IF(COLUMNS($L129:W129)&lt;month,VLOOKUP("Month "&amp;(COLUMNS($L129:W129)-month+13),DeNovo_Tx,29,FALSE)*52*3/12*(1-hhdmiss),VLOOKUP("Month "&amp;(COLUMNS($L129:W129)-month+1),DeNovo_Tx,31,FALSE)*52*3/12*(1-hhdmiss))</f>
        <v>80.166666666666615</v>
      </c>
      <c r="Y129" s="99"/>
    </row>
    <row r="130" spans="1:26">
      <c r="A130" s="101" t="s">
        <v>464</v>
      </c>
      <c r="B130" s="4"/>
      <c r="C130" s="4"/>
      <c r="D130" s="4"/>
      <c r="E130" s="4"/>
      <c r="F130" s="4"/>
      <c r="G130" s="4"/>
      <c r="H130" s="4"/>
      <c r="I130" s="4"/>
      <c r="J130" s="4"/>
      <c r="K130" s="4"/>
      <c r="L130" s="1698">
        <f>+IF(COLUMNS($L130:L130)&lt;month,VLOOKUP("Month "&amp;(COLUMNS($L130:L130)-month+13),DeNovo_Tx,30,FALSE)*52*4.3/12*(1-hhdmiss),VLOOKUP("Month "&amp;(COLUMNS($L130:L130)-month+1),DeNovo_Tx,32,FALSE)*52*4.3/12*(1-hhdmiss))</f>
        <v>23.291666666666661</v>
      </c>
      <c r="M130" s="1698">
        <f>+IF(COLUMNS($L130:M130)&lt;month,VLOOKUP("Month "&amp;(COLUMNS($L130:M130)-month+13),DeNovo_Tx,30,FALSE)*52*4.3/12*(1-hhdmiss),VLOOKUP("Month "&amp;(COLUMNS($L130:M130)-month+1),DeNovo_Tx,32,FALSE)*52*4.3/12*(1-hhdmiss))</f>
        <v>24.844444444444434</v>
      </c>
      <c r="N130" s="1698">
        <f>+IF(COLUMNS($L130:N130)&lt;month,VLOOKUP("Month "&amp;(COLUMNS($L130:N130)-month+13),DeNovo_Tx,30,FALSE)*52*4.3/12*(1-hhdmiss),VLOOKUP("Month "&amp;(COLUMNS($L130:N130)-month+1),DeNovo_Tx,32,FALSE)*52*4.3/12*(1-hhdmiss))</f>
        <v>26.397222222222211</v>
      </c>
      <c r="O130" s="1698">
        <f>+IF(COLUMNS($L130:O130)&lt;month,VLOOKUP("Month "&amp;(COLUMNS($L130:O130)-month+13),DeNovo_Tx,30,FALSE)*52*4.3/12*(1-hhdmiss),VLOOKUP("Month "&amp;(COLUMNS($L130:O130)-month+1),DeNovo_Tx,32,FALSE)*52*4.3/12*(1-hhdmiss))</f>
        <v>27.949999999999989</v>
      </c>
      <c r="P130" s="1698">
        <f>+IF(COLUMNS($L130:P130)&lt;month,VLOOKUP("Month "&amp;(COLUMNS($L130:P130)-month+13),DeNovo_Tx,30,FALSE)*52*4.3/12*(1-hhdmiss),VLOOKUP("Month "&amp;(COLUMNS($L130:P130)-month+1),DeNovo_Tx,32,FALSE)*52*4.3/12*(1-hhdmiss))</f>
        <v>29.502777777777766</v>
      </c>
      <c r="Q130" s="1698">
        <f>+IF(COLUMNS($L130:Q130)&lt;month,VLOOKUP("Month "&amp;(COLUMNS($L130:Q130)-month+13),DeNovo_Tx,30,FALSE)*52*4.3/12*(1-hhdmiss),VLOOKUP("Month "&amp;(COLUMNS($L130:Q130)-month+1),DeNovo_Tx,32,FALSE)*52*4.3/12*(1-hhdmiss))</f>
        <v>31.055555555555543</v>
      </c>
      <c r="R130" s="1698">
        <f>+IF(COLUMNS($L130:R130)&lt;month,VLOOKUP("Month "&amp;(COLUMNS($L130:R130)-month+13),DeNovo_Tx,30,FALSE)*52*4.3/12*(1-hhdmiss),VLOOKUP("Month "&amp;(COLUMNS($L130:R130)-month+1),DeNovo_Tx,32,FALSE)*52*4.3/12*(1-hhdmiss))</f>
        <v>32.60833333333332</v>
      </c>
      <c r="S130" s="1698">
        <f>+IF(COLUMNS($L130:S130)&lt;month,VLOOKUP("Month "&amp;(COLUMNS($L130:S130)-month+13),DeNovo_Tx,30,FALSE)*52*4.3/12*(1-hhdmiss),VLOOKUP("Month "&amp;(COLUMNS($L130:S130)-month+1),DeNovo_Tx,32,FALSE)*52*4.3/12*(1-hhdmiss))</f>
        <v>34.161111111111097</v>
      </c>
      <c r="T130" s="1698">
        <f>+IF(COLUMNS($L130:T130)&lt;month,VLOOKUP("Month "&amp;(COLUMNS($L130:T130)-month+13),DeNovo_Tx,30,FALSE)*52*4.3/12*(1-hhdmiss),VLOOKUP("Month "&amp;(COLUMNS($L130:T130)-month+1),DeNovo_Tx,32,FALSE)*52*4.3/12*(1-hhdmiss))</f>
        <v>35.713888888888874</v>
      </c>
      <c r="U130" s="1698">
        <f>+IF(COLUMNS($L130:U130)&lt;month,VLOOKUP("Month "&amp;(COLUMNS($L130:U130)-month+13),DeNovo_Tx,30,FALSE)*52*4.3/12*(1-hhdmiss),VLOOKUP("Month "&amp;(COLUMNS($L130:U130)-month+1),DeNovo_Tx,32,FALSE)*52*4.3/12*(1-hhdmiss))</f>
        <v>37.266666666666652</v>
      </c>
      <c r="V130" s="1698">
        <f>+IF(COLUMNS($L130:V130)&lt;month,VLOOKUP("Month "&amp;(COLUMNS($L130:V130)-month+13),DeNovo_Tx,30,FALSE)*52*4.3/12*(1-hhdmiss),VLOOKUP("Month "&amp;(COLUMNS($L130:V130)-month+1),DeNovo_Tx,32,FALSE)*52*4.3/12*(1-hhdmiss))</f>
        <v>37.266666666666652</v>
      </c>
      <c r="W130" s="1698">
        <f>+IF(COLUMNS($L130:W130)&lt;month,VLOOKUP("Month "&amp;(COLUMNS($L130:W130)-month+13),DeNovo_Tx,30,FALSE)*52*4.3/12*(1-hhdmiss),VLOOKUP("Month "&amp;(COLUMNS($L130:W130)-month+1),DeNovo_Tx,32,FALSE)*52*4.3/12*(1-hhdmiss))</f>
        <v>37.266666666666652</v>
      </c>
      <c r="Y130" s="99"/>
    </row>
    <row r="131" spans="1:26">
      <c r="A131" s="1958" t="s">
        <v>1556</v>
      </c>
      <c r="B131" s="35"/>
      <c r="C131" s="35"/>
      <c r="D131" s="35"/>
      <c r="E131" s="35"/>
      <c r="F131" s="35"/>
      <c r="G131" s="35"/>
      <c r="H131" s="35"/>
      <c r="I131" s="35"/>
      <c r="J131" s="35"/>
      <c r="K131" s="35"/>
      <c r="L131" s="1959">
        <f>((12*L129)/(1-hhdmiss))/52/'5. Financials'!$L$46</f>
        <v>5.2499999999999991</v>
      </c>
      <c r="M131" s="1959">
        <f>((12*M129)/(1-hhdmiss))/52/'5. Financials'!$L$46</f>
        <v>5.3333333333333321</v>
      </c>
      <c r="N131" s="1959">
        <f>((12*N129)/(1-hhdmiss))/52/'5. Financials'!$L$46</f>
        <v>5.4166666666666652</v>
      </c>
      <c r="O131" s="1959">
        <f>((12*O129)/(1-hhdmiss))/52/'5. Financials'!$L$46</f>
        <v>5.4999999999999973</v>
      </c>
      <c r="P131" s="1959">
        <f>((12*P129)/(1-hhdmiss))/52/'5. Financials'!$L$46</f>
        <v>5.5833333333333313</v>
      </c>
      <c r="Q131" s="1959">
        <f>((12*Q129)/(1-hhdmiss))/52/'5. Financials'!$L$46</f>
        <v>5.6666666666666643</v>
      </c>
      <c r="R131" s="1959">
        <f>((12*R129)/(1-hhdmiss))/52/'5. Financials'!$L$46</f>
        <v>5.7499999999999973</v>
      </c>
      <c r="S131" s="1959">
        <f>((12*S129)/(1-hhdmiss))/52/'5. Financials'!$L$46</f>
        <v>5.8333333333333313</v>
      </c>
      <c r="T131" s="1959">
        <f>((12*T129)/(1-hhdmiss))/52/'5. Financials'!$L$46</f>
        <v>5.9166666666666643</v>
      </c>
      <c r="U131" s="1959">
        <f>((12*U129)/(1-hhdmiss))/52/'5. Financials'!$L$46</f>
        <v>5.9999999999999973</v>
      </c>
      <c r="V131" s="1959">
        <f>((12*V129)/(1-hhdmiss))/52/'5. Financials'!$L$46</f>
        <v>6.0833333333333295</v>
      </c>
      <c r="W131" s="1959">
        <f>((12*W129)/(1-hhdmiss))/52/'5. Financials'!$L$46</f>
        <v>6.1666666666666616</v>
      </c>
      <c r="Y131" s="99"/>
    </row>
    <row r="132" spans="1:26">
      <c r="A132" s="1958" t="s">
        <v>1557</v>
      </c>
      <c r="B132" s="35"/>
      <c r="C132" s="35"/>
      <c r="D132" s="35"/>
      <c r="E132" s="35"/>
      <c r="F132" s="35"/>
      <c r="G132" s="35"/>
      <c r="H132" s="35"/>
      <c r="I132" s="35"/>
      <c r="J132" s="35"/>
      <c r="K132" s="35"/>
      <c r="L132" s="1959">
        <f>((12*L130)/(1-hhdmiss))/52/'5. Financials'!$L$54</f>
        <v>1.2499999999999998</v>
      </c>
      <c r="M132" s="1959">
        <f>((12*M130)/(1-hhdmiss))/52/'5. Financials'!$L$54</f>
        <v>1.3333333333333328</v>
      </c>
      <c r="N132" s="1959">
        <f>((12*N130)/(1-hhdmiss))/52/'5. Financials'!$L$54</f>
        <v>1.4166666666666661</v>
      </c>
      <c r="O132" s="1959">
        <f>((12*O130)/(1-hhdmiss))/52/'5. Financials'!$L$54</f>
        <v>1.4999999999999996</v>
      </c>
      <c r="P132" s="1959">
        <f>((12*P130)/(1-hhdmiss))/52/'5. Financials'!$L$54</f>
        <v>1.5833333333333328</v>
      </c>
      <c r="Q132" s="1959">
        <f>((12*Q130)/(1-hhdmiss))/52/'5. Financials'!$L$54</f>
        <v>1.6666666666666661</v>
      </c>
      <c r="R132" s="1959">
        <f>((12*R130)/(1-hhdmiss))/52/'5. Financials'!$L$54</f>
        <v>1.7499999999999993</v>
      </c>
      <c r="S132" s="1959">
        <f>((12*S130)/(1-hhdmiss))/52/'5. Financials'!$L$54</f>
        <v>1.8333333333333326</v>
      </c>
      <c r="T132" s="1959">
        <f>((12*T130)/(1-hhdmiss))/52/'5. Financials'!$L$54</f>
        <v>1.9166666666666661</v>
      </c>
      <c r="U132" s="1959">
        <f>((12*U130)/(1-hhdmiss))/52/'5. Financials'!$L$54</f>
        <v>1.9999999999999991</v>
      </c>
      <c r="V132" s="1959">
        <f>((12*V130)/(1-hhdmiss))/52/'5. Financials'!$L$54</f>
        <v>1.9999999999999991</v>
      </c>
      <c r="W132" s="1959">
        <f>((12*W130)/(1-hhdmiss))/52/'5. Financials'!$L$54</f>
        <v>1.9999999999999991</v>
      </c>
      <c r="Y132" s="99"/>
    </row>
    <row r="133" spans="1:26">
      <c r="A133" s="1958" t="s">
        <v>1558</v>
      </c>
      <c r="B133" s="35"/>
      <c r="C133" s="35"/>
      <c r="D133" s="35"/>
      <c r="E133" s="35"/>
      <c r="F133" s="35"/>
      <c r="G133" s="35"/>
      <c r="H133" s="35"/>
      <c r="I133" s="35"/>
      <c r="J133" s="35"/>
      <c r="K133" s="35"/>
      <c r="L133" s="1959">
        <f>(52*'5. Financials'!$L$46*'Upload Detail'!L131*(1-hhdmiss)-clawback*(52*('5. Financials'!$L$46-3)*'Upload Detail'!L131*(1-hhdmiss)))/12</f>
        <v>68.249999999999986</v>
      </c>
      <c r="M133" s="1959">
        <f>(52*'5. Financials'!$L$46*'Upload Detail'!M131*(1-hhdmiss)-clawback*(52*('5. Financials'!$L$46-3)*'Upload Detail'!M131*(1-hhdmiss)))/12</f>
        <v>69.333333333333314</v>
      </c>
      <c r="N133" s="1959">
        <f>(52*'5. Financials'!$L$46*'Upload Detail'!N131*(1-hhdmiss)-clawback*(52*('5. Financials'!$L$46-3)*'Upload Detail'!N131*(1-hhdmiss)))/12</f>
        <v>70.416666666666643</v>
      </c>
      <c r="O133" s="1959">
        <f>(52*'5. Financials'!$L$46*'Upload Detail'!O131*(1-hhdmiss)-clawback*(52*('5. Financials'!$L$46-3)*'Upload Detail'!O131*(1-hhdmiss)))/12</f>
        <v>71.499999999999957</v>
      </c>
      <c r="P133" s="1959">
        <f>(52*'5. Financials'!$L$46*'Upload Detail'!P131*(1-hhdmiss)-clawback*(52*('5. Financials'!$L$46-3)*'Upload Detail'!P131*(1-hhdmiss)))/12</f>
        <v>72.5833333333333</v>
      </c>
      <c r="Q133" s="1959">
        <f>(52*'5. Financials'!$L$46*'Upload Detail'!Q131*(1-hhdmiss)-clawback*(52*('5. Financials'!$L$46-3)*'Upload Detail'!Q131*(1-hhdmiss)))/12</f>
        <v>73.666666666666643</v>
      </c>
      <c r="R133" s="1959">
        <f>(52*'5. Financials'!$L$46*'Upload Detail'!R131*(1-hhdmiss)-clawback*(52*('5. Financials'!$L$46-3)*'Upload Detail'!R131*(1-hhdmiss)))/12</f>
        <v>74.749999999999957</v>
      </c>
      <c r="S133" s="1959">
        <f>(52*'5. Financials'!$L$46*'Upload Detail'!S131*(1-hhdmiss)-clawback*(52*('5. Financials'!$L$46-3)*'Upload Detail'!S131*(1-hhdmiss)))/12</f>
        <v>75.8333333333333</v>
      </c>
      <c r="T133" s="1959">
        <f>(52*'5. Financials'!$L$46*'Upload Detail'!T131*(1-hhdmiss)-clawback*(52*('5. Financials'!$L$46-3)*'Upload Detail'!T131*(1-hhdmiss)))/12</f>
        <v>76.916666666666643</v>
      </c>
      <c r="U133" s="1959">
        <f>(52*'5. Financials'!$L$46*'Upload Detail'!U131*(1-hhdmiss)-clawback*(52*('5. Financials'!$L$46-3)*'Upload Detail'!U131*(1-hhdmiss)))/12</f>
        <v>77.999999999999957</v>
      </c>
      <c r="V133" s="1959">
        <f>(52*'5. Financials'!$L$46*'Upload Detail'!V131*(1-hhdmiss)-clawback*(52*('5. Financials'!$L$46-3)*'Upload Detail'!V131*(1-hhdmiss)))/12</f>
        <v>79.083333333333286</v>
      </c>
      <c r="W133" s="1959">
        <f>(52*'5. Financials'!$L$46*'Upload Detail'!W131*(1-hhdmiss)-clawback*(52*('5. Financials'!$L$46-3)*'Upload Detail'!W131*(1-hhdmiss)))/12</f>
        <v>80.1666666666666</v>
      </c>
      <c r="Y133" s="99"/>
    </row>
    <row r="134" spans="1:26">
      <c r="A134" s="1958" t="s">
        <v>1559</v>
      </c>
      <c r="B134" s="35"/>
      <c r="C134" s="35"/>
      <c r="D134" s="35"/>
      <c r="E134" s="35"/>
      <c r="F134" s="35"/>
      <c r="G134" s="35"/>
      <c r="H134" s="35"/>
      <c r="I134" s="35"/>
      <c r="J134" s="35"/>
      <c r="K134" s="35"/>
      <c r="L134" s="1959">
        <f>(52*'5. Financials'!$L$54*'Upload Detail'!L132*(1-hhdmiss)-clawback*(52*('5. Financials'!$L$54-3)*'Upload Detail'!L132*(1-hhdmiss)))/12</f>
        <v>23.291666666666661</v>
      </c>
      <c r="M134" s="1959">
        <f>(52*'5. Financials'!$L$54*'Upload Detail'!M132*(1-hhdmiss)-clawback*(52*('5. Financials'!$L$54-3)*'Upload Detail'!M132*(1-hhdmiss)))/12</f>
        <v>24.844444444444434</v>
      </c>
      <c r="N134" s="1959">
        <f>(52*'5. Financials'!$L$54*'Upload Detail'!N132*(1-hhdmiss)-clawback*(52*('5. Financials'!$L$54-3)*'Upload Detail'!N132*(1-hhdmiss)))/12</f>
        <v>26.397222222222211</v>
      </c>
      <c r="O134" s="1959">
        <f>(52*'5. Financials'!$L$54*'Upload Detail'!O132*(1-hhdmiss)-clawback*(52*('5. Financials'!$L$54-3)*'Upload Detail'!O132*(1-hhdmiss)))/12</f>
        <v>27.949999999999992</v>
      </c>
      <c r="P134" s="1959">
        <f>(52*'5. Financials'!$L$54*'Upload Detail'!P132*(1-hhdmiss)-clawback*(52*('5. Financials'!$L$54-3)*'Upload Detail'!P132*(1-hhdmiss)))/12</f>
        <v>29.502777777777766</v>
      </c>
      <c r="Q134" s="1959">
        <f>(52*'5. Financials'!$L$54*'Upload Detail'!Q132*(1-hhdmiss)-clawback*(52*('5. Financials'!$L$54-3)*'Upload Detail'!Q132*(1-hhdmiss)))/12</f>
        <v>31.055555555555543</v>
      </c>
      <c r="R134" s="1959">
        <f>(52*'5. Financials'!$L$54*'Upload Detail'!R132*(1-hhdmiss)-clawback*(52*('5. Financials'!$L$54-3)*'Upload Detail'!R132*(1-hhdmiss)))/12</f>
        <v>32.60833333333332</v>
      </c>
      <c r="S134" s="1959">
        <f>(52*'5. Financials'!$L$54*'Upload Detail'!S132*(1-hhdmiss)-clawback*(52*('5. Financials'!$L$54-3)*'Upload Detail'!S132*(1-hhdmiss)))/12</f>
        <v>34.161111111111097</v>
      </c>
      <c r="T134" s="1959">
        <f>(52*'5. Financials'!$L$54*'Upload Detail'!T132*(1-hhdmiss)-clawback*(52*('5. Financials'!$L$54-3)*'Upload Detail'!T132*(1-hhdmiss)))/12</f>
        <v>35.713888888888881</v>
      </c>
      <c r="U134" s="1959">
        <f>(52*'5. Financials'!$L$54*'Upload Detail'!U132*(1-hhdmiss)-clawback*(52*('5. Financials'!$L$54-3)*'Upload Detail'!U132*(1-hhdmiss)))/12</f>
        <v>37.266666666666652</v>
      </c>
      <c r="V134" s="1959">
        <f>(52*'5. Financials'!$L$54*'Upload Detail'!V132*(1-hhdmiss)-clawback*(52*('5. Financials'!$L$54-3)*'Upload Detail'!V132*(1-hhdmiss)))/12</f>
        <v>37.266666666666652</v>
      </c>
      <c r="W134" s="1959">
        <f>(52*'5. Financials'!$L$54*'Upload Detail'!W132*(1-hhdmiss)-clawback*(52*('5. Financials'!$L$54-3)*'Upload Detail'!W132*(1-hhdmiss)))/12</f>
        <v>37.266666666666652</v>
      </c>
      <c r="Y134" s="99"/>
    </row>
    <row r="135" spans="1:26">
      <c r="A135" s="98" t="s">
        <v>151</v>
      </c>
      <c r="B135" t="str">
        <f>+$B$2</f>
        <v>D10_11032</v>
      </c>
      <c r="C135" t="str">
        <f>+$C$2</f>
        <v>LE_XXXX</v>
      </c>
      <c r="D135" t="s">
        <v>2886</v>
      </c>
      <c r="E135">
        <v>3010</v>
      </c>
      <c r="F135" t="s">
        <v>2888</v>
      </c>
      <c r="G135" t="s">
        <v>2889</v>
      </c>
      <c r="H135" t="s">
        <v>145</v>
      </c>
      <c r="I135" t="s">
        <v>146</v>
      </c>
      <c r="J135" t="s">
        <v>147</v>
      </c>
      <c r="K135" t="str">
        <f>+"FY"&amp;RIGHT(YEAR('Hyperion Panel'!$B$9)+3,2)</f>
        <v>FY13</v>
      </c>
      <c r="L135" s="1612"/>
      <c r="M135" s="1612"/>
      <c r="N135" s="1612"/>
      <c r="O135" s="1612"/>
      <c r="P135" s="1612"/>
      <c r="Q135" s="1612"/>
      <c r="R135" s="1612"/>
      <c r="S135" s="1612"/>
      <c r="T135" s="1612"/>
      <c r="U135" s="1612"/>
      <c r="V135" s="1702"/>
      <c r="W135" s="1612"/>
    </row>
    <row r="136" spans="1:26" s="98" customFormat="1">
      <c r="A136" s="100" t="s">
        <v>463</v>
      </c>
      <c r="L136" s="1697">
        <f>+IF(COLUMNS($L136:L136)&lt;month,'5. Financials'!$K$15*L123,'5. Financials'!$L$15*L123)</f>
        <v>135912.50046498052</v>
      </c>
      <c r="M136" s="1697">
        <f>+IF(COLUMNS($L136:M136)&lt;month,'5. Financials'!$K$15*M123,'5. Financials'!$L$15*M123)</f>
        <v>139001.42093009371</v>
      </c>
      <c r="N136" s="1697">
        <f>+IF(COLUMNS($L136:N136)&lt;month,'5. Financials'!$K$15*N123,'5. Financials'!$L$15*N123)</f>
        <v>142090.34139520689</v>
      </c>
      <c r="O136" s="1697">
        <f>+IF(COLUMNS($L136:O136)&lt;month,'5. Financials'!$K$15*O123,'5. Financials'!$L$15*O123)</f>
        <v>145179.26186032008</v>
      </c>
      <c r="P136" s="1697">
        <f>+IF(COLUMNS($L136:P136)&lt;month,'5. Financials'!$K$15*P123,'5. Financials'!$L$15*P123)</f>
        <v>148268.1823254333</v>
      </c>
      <c r="Q136" s="1697">
        <f>+IF(COLUMNS($L136:Q136)&lt;month,'5. Financials'!$K$15*Q123,'5. Financials'!$L$15*Q123)</f>
        <v>151357.10279054649</v>
      </c>
      <c r="R136" s="1697">
        <f>+IF(COLUMNS($L136:R136)&lt;month,'5. Financials'!$K$15*R123,'5. Financials'!$L$15*R123)</f>
        <v>154446.02325565967</v>
      </c>
      <c r="S136" s="1697">
        <f>+IF(COLUMNS($L136:S136)&lt;month,'5. Financials'!$K$15*S123,'5. Financials'!$L$15*S123)</f>
        <v>157534.94372077286</v>
      </c>
      <c r="T136" s="1697">
        <f>+IF(COLUMNS($L136:T136)&lt;month,'5. Financials'!$K$15*T123,'5. Financials'!$L$15*T123)</f>
        <v>160623.86418588608</v>
      </c>
      <c r="U136" s="1697">
        <f>+IF(COLUMNS($L136:U136)&lt;month,'5. Financials'!$K$15*U123,'5. Financials'!$L$15*U123)</f>
        <v>163712.78465099924</v>
      </c>
      <c r="V136" s="1700">
        <f>+IF(COLUMNS($L136:V136)&lt;month,'5. Financials'!$K$15*V123,'5. Financials'!$L$15*V123)</f>
        <v>166801.70511611245</v>
      </c>
      <c r="W136" s="1697">
        <f>+IF(COLUMNS($L136:W136)&lt;month,'5. Financials'!$K$15*W123,'5. Financials'!$L$15*W123)</f>
        <v>169890.62558122567</v>
      </c>
      <c r="Y136" s="99"/>
      <c r="Z136" s="97"/>
    </row>
    <row r="137" spans="1:26" s="98" customFormat="1">
      <c r="A137" s="100" t="s">
        <v>464</v>
      </c>
      <c r="L137" s="1697">
        <f>+IF(COLUMNS($L137:L137)&lt;month,'5. Financials'!$K$23*L124,'5. Financials'!$L$23*L124)</f>
        <v>66794.273419303747</v>
      </c>
      <c r="M137" s="1697">
        <f>+IF(COLUMNS($L137:M137)&lt;month,'5. Financials'!$K$23*M124,'5. Financials'!$L$23*M124)</f>
        <v>67854.499981514906</v>
      </c>
      <c r="N137" s="1697">
        <f>+IF(COLUMNS($L137:N137)&lt;month,'5. Financials'!$K$23*N124,'5. Financials'!$L$23*N124)</f>
        <v>68914.726543726079</v>
      </c>
      <c r="O137" s="1697">
        <f>+IF(COLUMNS($L137:O137)&lt;month,'5. Financials'!$K$23*O124,'5. Financials'!$L$23*O124)</f>
        <v>69974.953105937238</v>
      </c>
      <c r="P137" s="1697">
        <f>+IF(COLUMNS($L137:P137)&lt;month,'5. Financials'!$K$23*P124,'5. Financials'!$L$23*P124)</f>
        <v>71035.179668148412</v>
      </c>
      <c r="Q137" s="1697">
        <f>+IF(COLUMNS($L137:Q137)&lt;month,'5. Financials'!$K$23*Q124,'5. Financials'!$L$23*Q124)</f>
        <v>72095.406230359571</v>
      </c>
      <c r="R137" s="1697">
        <f>+IF(COLUMNS($L137:R137)&lt;month,'5. Financials'!$K$23*R124,'5. Financials'!$L$23*R124)</f>
        <v>73155.632792570759</v>
      </c>
      <c r="S137" s="1697">
        <f>+IF(COLUMNS($L137:S137)&lt;month,'5. Financials'!$K$23*S124,'5. Financials'!$L$23*S124)</f>
        <v>74215.859354781918</v>
      </c>
      <c r="T137" s="1697">
        <f>+IF(COLUMNS($L137:T137)&lt;month,'5. Financials'!$K$23*T124,'5. Financials'!$L$23*T124)</f>
        <v>75276.085916993092</v>
      </c>
      <c r="U137" s="1697">
        <f>+IF(COLUMNS($L137:U137)&lt;month,'5. Financials'!$K$23*U124,'5. Financials'!$L$23*U124)</f>
        <v>76336.312479204251</v>
      </c>
      <c r="V137" s="1700">
        <f>+IF(COLUMNS($L137:V137)&lt;month,'5. Financials'!$K$23*V124,'5. Financials'!$L$23*V124)</f>
        <v>79176.659439367955</v>
      </c>
      <c r="W137" s="1697">
        <f>+IF(COLUMNS($L137:W137)&lt;month,'5. Financials'!$K$23*W124,'5. Financials'!$L$23*W124)</f>
        <v>80261.271212509979</v>
      </c>
      <c r="Y137" s="99"/>
      <c r="Z137" s="97"/>
    </row>
    <row r="138" spans="1:26">
      <c r="A138" s="98" t="s">
        <v>152</v>
      </c>
      <c r="B138" t="str">
        <f>+$B$2</f>
        <v>D10_11032</v>
      </c>
      <c r="C138" t="str">
        <f>+$C$2</f>
        <v>LE_XXXX</v>
      </c>
      <c r="D138" t="s">
        <v>2886</v>
      </c>
      <c r="E138">
        <v>3030</v>
      </c>
      <c r="F138" t="s">
        <v>150</v>
      </c>
      <c r="G138" t="s">
        <v>2889</v>
      </c>
      <c r="H138" t="s">
        <v>145</v>
      </c>
      <c r="I138" t="s">
        <v>146</v>
      </c>
      <c r="J138" t="s">
        <v>147</v>
      </c>
      <c r="K138" t="str">
        <f>+"FY"&amp;RIGHT(YEAR('Hyperion Panel'!$B$9)+3,2)</f>
        <v>FY13</v>
      </c>
      <c r="L138" s="1612"/>
      <c r="M138" s="1612"/>
      <c r="N138" s="1612"/>
      <c r="O138" s="1612"/>
      <c r="P138" s="1612"/>
      <c r="Q138" s="1612"/>
      <c r="R138" s="1612"/>
      <c r="S138" s="1612"/>
      <c r="T138" s="1612"/>
      <c r="U138" s="1612"/>
      <c r="V138" s="1703"/>
      <c r="W138" s="1612"/>
    </row>
    <row r="139" spans="1:26" s="98" customFormat="1">
      <c r="A139" s="100" t="s">
        <v>463</v>
      </c>
      <c r="L139" s="1697">
        <f>+IF(COLUMNS($L139:L139)&lt;month,'5. Financials'!$K$32*L126,'5. Financials'!$L$32*L126)</f>
        <v>37276.964495204207</v>
      </c>
      <c r="M139" s="1697">
        <f>+IF(COLUMNS($L139:M139)&lt;month,'5. Financials'!$K$32*M126,'5. Financials'!$L$32*M126)</f>
        <v>38312.4357311821</v>
      </c>
      <c r="N139" s="1697">
        <f>+IF(COLUMNS($L139:N139)&lt;month,'5. Financials'!$K$32*N126,'5. Financials'!$L$32*N126)</f>
        <v>39347.906967160001</v>
      </c>
      <c r="O139" s="1697">
        <f>+IF(COLUMNS($L139:O139)&lt;month,'5. Financials'!$K$32*O126,'5. Financials'!$L$32*O126)</f>
        <v>40383.378203137894</v>
      </c>
      <c r="P139" s="1697">
        <f>+IF(COLUMNS($L139:P139)&lt;month,'5. Financials'!$K$32*P126,'5. Financials'!$L$32*P126)</f>
        <v>41418.849439115795</v>
      </c>
      <c r="Q139" s="1697">
        <f>+IF(COLUMNS($L139:Q139)&lt;month,'5. Financials'!$K$32*Q126,'5. Financials'!$L$32*Q126)</f>
        <v>42454.320675093681</v>
      </c>
      <c r="R139" s="1697">
        <f>+IF(COLUMNS($L139:R139)&lt;month,'5. Financials'!$K$32*R126,'5. Financials'!$L$32*R126)</f>
        <v>43489.791911071581</v>
      </c>
      <c r="S139" s="1697">
        <f>+IF(COLUMNS($L139:S139)&lt;month,'5. Financials'!$K$32*S126,'5. Financials'!$L$32*S126)</f>
        <v>44525.263147049489</v>
      </c>
      <c r="T139" s="1697">
        <f>+IF(COLUMNS($L139:T139)&lt;month,'5. Financials'!$K$32*T126,'5. Financials'!$L$32*T126)</f>
        <v>45560.734383027382</v>
      </c>
      <c r="U139" s="1697">
        <f>+IF(COLUMNS($L139:U139)&lt;month,'5. Financials'!$K$32*U126,'5. Financials'!$L$32*U126)</f>
        <v>46596.20561900529</v>
      </c>
      <c r="V139" s="1697">
        <f>+IF(COLUMNS($L139:V139)&lt;month,'5. Financials'!$K$32*V126,'5. Financials'!$L$32*V126)</f>
        <v>47631.676854983176</v>
      </c>
      <c r="W139" s="1697">
        <f>+IF(COLUMNS($L139:W139)&lt;month,'5. Financials'!$K$32*W126,'5. Financials'!$L$32*W126)</f>
        <v>48667.148090961076</v>
      </c>
      <c r="Y139" s="99"/>
    </row>
    <row r="140" spans="1:26" s="98" customFormat="1">
      <c r="A140" s="100" t="s">
        <v>464</v>
      </c>
      <c r="L140" s="1697">
        <f>+IF(COLUMNS($L140:L140)&lt;month,'5. Financials'!$K$40*L127,'5. Financials'!$L$40*L127)</f>
        <v>26275.180020015956</v>
      </c>
      <c r="M140" s="1697">
        <f>+IF(COLUMNS($L140:M140)&lt;month,'5. Financials'!$K$40*M127,'5. Financials'!$L$40*M127)</f>
        <v>26275.180020015956</v>
      </c>
      <c r="N140" s="1697">
        <f>+IF(COLUMNS($L140:N140)&lt;month,'5. Financials'!$K$40*N127,'5. Financials'!$L$40*N127)</f>
        <v>26275.180020015956</v>
      </c>
      <c r="O140" s="1697">
        <f>+IF(COLUMNS($L140:O140)&lt;month,'5. Financials'!$K$40*O127,'5. Financials'!$L$40*O127)</f>
        <v>26275.180020015956</v>
      </c>
      <c r="P140" s="1697">
        <f>+IF(COLUMNS($L140:P140)&lt;month,'5. Financials'!$K$40*P127,'5. Financials'!$L$40*P127)</f>
        <v>26275.180020015956</v>
      </c>
      <c r="Q140" s="1697">
        <f>+IF(COLUMNS($L140:Q140)&lt;month,'5. Financials'!$K$40*Q127,'5. Financials'!$L$40*Q127)</f>
        <v>26275.180020015956</v>
      </c>
      <c r="R140" s="1697">
        <f>+IF(COLUMNS($L140:R140)&lt;month,'5. Financials'!$K$40*R127,'5. Financials'!$L$40*R127)</f>
        <v>26275.180020015956</v>
      </c>
      <c r="S140" s="1697">
        <f>+IF(COLUMNS($L140:S140)&lt;month,'5. Financials'!$K$40*S127,'5. Financials'!$L$40*S127)</f>
        <v>26275.180020015956</v>
      </c>
      <c r="T140" s="1697">
        <f>+IF(COLUMNS($L140:T140)&lt;month,'5. Financials'!$K$40*T127,'5. Financials'!$L$40*T127)</f>
        <v>26275.180020015956</v>
      </c>
      <c r="U140" s="1697">
        <f>+IF(COLUMNS($L140:U140)&lt;month,'5. Financials'!$K$40*U127,'5. Financials'!$L$40*U127)</f>
        <v>26275.180020015956</v>
      </c>
      <c r="V140" s="1697">
        <f>+IF(COLUMNS($L140:V140)&lt;month,'5. Financials'!$K$40*V127,'5. Financials'!$L$40*V127)</f>
        <v>27999.4887088295</v>
      </c>
      <c r="W140" s="1697">
        <f>+IF(COLUMNS($L140:W140)&lt;month,'5. Financials'!$K$40*W127,'5. Financials'!$L$40*W127)</f>
        <v>29119.468257182678</v>
      </c>
      <c r="Y140" s="99"/>
    </row>
    <row r="141" spans="1:26">
      <c r="A141" s="4" t="s">
        <v>170</v>
      </c>
      <c r="B141" s="4" t="str">
        <f>+$B$2</f>
        <v>D10_11032</v>
      </c>
      <c r="C141" s="4"/>
      <c r="D141" s="4"/>
      <c r="E141" s="4"/>
      <c r="F141" s="4"/>
      <c r="G141" s="4"/>
      <c r="H141" s="4"/>
      <c r="I141" s="4"/>
      <c r="J141" s="4"/>
      <c r="K141" s="4" t="str">
        <f>+"FY"&amp;RIGHT(YEAR('Hyperion Panel'!$B$9)+3,2)</f>
        <v>FY13</v>
      </c>
      <c r="L141" s="1698"/>
      <c r="M141" s="1698"/>
      <c r="N141" s="1698"/>
      <c r="O141" s="1698"/>
      <c r="P141" s="1698"/>
      <c r="Q141" s="1698"/>
      <c r="R141" s="1698"/>
      <c r="S141" s="1698"/>
      <c r="T141" s="1698"/>
      <c r="U141" s="1698"/>
      <c r="V141" s="1699"/>
      <c r="W141" s="1698"/>
    </row>
    <row r="142" spans="1:26">
      <c r="A142" s="101" t="s">
        <v>463</v>
      </c>
      <c r="B142" s="4"/>
      <c r="C142" s="4"/>
      <c r="D142" s="4"/>
      <c r="E142" s="4"/>
      <c r="F142" s="4"/>
      <c r="G142" s="4"/>
      <c r="H142" s="4"/>
      <c r="I142" s="4"/>
      <c r="J142" s="4"/>
      <c r="K142" s="4"/>
      <c r="L142" s="1698">
        <f>+IF(COLUMNS($L142:L142)&lt;month,'5. Financials'!$K$49*L133,'5. Financials'!$L$49*L133)</f>
        <v>17728.991348789521</v>
      </c>
      <c r="M142" s="1698">
        <f>+IF(COLUMNS($L142:M142)&lt;month,'5. Financials'!$K$49*M133,'5. Financials'!$L$49*M133)</f>
        <v>18010.403909881417</v>
      </c>
      <c r="N142" s="1698">
        <f>+IF(COLUMNS($L142:N142)&lt;month,'5. Financials'!$K$49*N133,'5. Financials'!$L$49*N133)</f>
        <v>18291.816470973314</v>
      </c>
      <c r="O142" s="1698">
        <f>+IF(COLUMNS($L142:O142)&lt;month,'5. Financials'!$K$49*O133,'5. Financials'!$L$49*O133)</f>
        <v>18573.229032065203</v>
      </c>
      <c r="P142" s="1698">
        <f>+IF(COLUMNS($L142:P142)&lt;month,'5. Financials'!$K$49*P133,'5. Financials'!$L$49*P133)</f>
        <v>18854.641593157103</v>
      </c>
      <c r="Q142" s="1698">
        <f>+IF(COLUMNS($L142:Q142)&lt;month,'5. Financials'!$K$49*Q133,'5. Financials'!$L$49*Q133)</f>
        <v>19136.054154249003</v>
      </c>
      <c r="R142" s="1698">
        <f>+IF(COLUMNS($L142:R142)&lt;month,'5. Financials'!$K$49*R133,'5. Financials'!$L$49*R133)</f>
        <v>19417.466715340895</v>
      </c>
      <c r="S142" s="1698">
        <f>+IF(COLUMNS($L142:S142)&lt;month,'5. Financials'!$K$49*S133,'5. Financials'!$L$49*S133)</f>
        <v>19698.879276432795</v>
      </c>
      <c r="T142" s="1698">
        <f>+IF(COLUMNS($L142:T142)&lt;month,'5. Financials'!$K$49*T133,'5. Financials'!$L$49*T133)</f>
        <v>19980.291837524695</v>
      </c>
      <c r="U142" s="1698">
        <f>+IF(COLUMNS($L142:U142)&lt;month,'5. Financials'!$K$49*U133,'5. Financials'!$L$49*U133)</f>
        <v>20261.704398616588</v>
      </c>
      <c r="V142" s="1698">
        <f>+IF(COLUMNS($L142:V142)&lt;month,'5. Financials'!$K$49*V133,'5. Financials'!$L$49*V133)</f>
        <v>20543.116959708485</v>
      </c>
      <c r="W142" s="1698">
        <f>+IF(COLUMNS($L142:W142)&lt;month,'5. Financials'!$K$49*W133,'5. Financials'!$L$49*W133)</f>
        <v>20824.529520800377</v>
      </c>
      <c r="X142" t="s">
        <v>720</v>
      </c>
      <c r="Y142" s="99"/>
    </row>
    <row r="143" spans="1:26">
      <c r="A143" s="101" t="s">
        <v>464</v>
      </c>
      <c r="B143" s="4"/>
      <c r="C143" s="4"/>
      <c r="D143" s="4"/>
      <c r="E143" s="4"/>
      <c r="F143" s="4"/>
      <c r="G143" s="4"/>
      <c r="H143" s="4"/>
      <c r="I143" s="4"/>
      <c r="J143" s="4"/>
      <c r="K143" s="4"/>
      <c r="L143" s="1698">
        <f>+IF(COLUMNS($L143:L143)&lt;month,'5. Financials'!$K$57*L134,'5. Financials'!$L$57*L134)</f>
        <v>0</v>
      </c>
      <c r="M143" s="1698">
        <f>+IF(COLUMNS($L143:M143)&lt;month,'5. Financials'!$K$57*M134,'5. Financials'!$L$57*M134)</f>
        <v>0</v>
      </c>
      <c r="N143" s="1698">
        <f>+IF(COLUMNS($L143:N143)&lt;month,'5. Financials'!$K$57*N134,'5. Financials'!$L$57*N134)</f>
        <v>0</v>
      </c>
      <c r="O143" s="1698">
        <f>+IF(COLUMNS($L143:O143)&lt;month,'5. Financials'!$K$57*O134,'5. Financials'!$L$57*O134)</f>
        <v>0</v>
      </c>
      <c r="P143" s="1698">
        <f>+IF(COLUMNS($L143:P143)&lt;month,'5. Financials'!$K$57*P134,'5. Financials'!$L$57*P134)</f>
        <v>0</v>
      </c>
      <c r="Q143" s="1698">
        <f>+IF(COLUMNS($L143:Q143)&lt;month,'5. Financials'!$K$57*Q134,'5. Financials'!$L$57*Q134)</f>
        <v>0</v>
      </c>
      <c r="R143" s="1698">
        <f>+IF(COLUMNS($L143:R143)&lt;month,'5. Financials'!$K$57*R134,'5. Financials'!$L$57*R134)</f>
        <v>0</v>
      </c>
      <c r="S143" s="1698">
        <f>+IF(COLUMNS($L143:S143)&lt;month,'5. Financials'!$K$57*S134,'5. Financials'!$L$57*S134)</f>
        <v>0</v>
      </c>
      <c r="T143" s="1698">
        <f>+IF(COLUMNS($L143:T143)&lt;month,'5. Financials'!$K$57*T134,'5. Financials'!$L$57*T134)</f>
        <v>0</v>
      </c>
      <c r="U143" s="1698">
        <f>+IF(COLUMNS($L143:U143)&lt;month,'5. Financials'!$K$57*U134,'5. Financials'!$L$57*U134)</f>
        <v>0</v>
      </c>
      <c r="V143" s="1698">
        <f>+IF(COLUMNS($L143:V143)&lt;month,'5. Financials'!$K$57*V134,'5. Financials'!$L$57*V134)</f>
        <v>0</v>
      </c>
      <c r="W143" s="1698">
        <f>+IF(COLUMNS($L143:W143)&lt;month,'5. Financials'!$K$57*W134,'5. Financials'!$L$57*W134)</f>
        <v>0</v>
      </c>
      <c r="X143" t="s">
        <v>720</v>
      </c>
      <c r="Y143" s="99"/>
    </row>
    <row r="144" spans="1:26">
      <c r="A144" s="3" t="s">
        <v>2651</v>
      </c>
      <c r="B144" t="str">
        <f t="shared" ref="B144:B160" si="6">+$B$2</f>
        <v>D10_11032</v>
      </c>
      <c r="C144" t="str">
        <f t="shared" ref="C144:C153" si="7">+$C$2</f>
        <v>LE_XXXX</v>
      </c>
      <c r="D144" t="s">
        <v>2886</v>
      </c>
      <c r="E144">
        <v>6010</v>
      </c>
      <c r="F144" t="s">
        <v>2888</v>
      </c>
      <c r="G144" t="s">
        <v>153</v>
      </c>
      <c r="H144" t="s">
        <v>154</v>
      </c>
      <c r="I144" t="s">
        <v>146</v>
      </c>
      <c r="J144" t="s">
        <v>147</v>
      </c>
      <c r="K144" t="str">
        <f>+"FY"&amp;RIGHT(YEAR('Hyperion Panel'!$B$9)+3,2)</f>
        <v>FY13</v>
      </c>
      <c r="L144" s="1697">
        <f>+IF(COLUMNS($L144:L144)&lt;month,'5. Financials'!$K$107*SUM(L123:L124,L126:L127,L129:L130),'5. Financials'!$L$107*SUM(L123:L124,L126:L127,L129:L130))</f>
        <v>35213.598551863564</v>
      </c>
      <c r="M144" s="1697">
        <f>+IF(COLUMNS($L144:M144)&lt;month,'5. Financials'!$K$107*SUM(M123:M124,M126:M127,M129:M130),'5. Financials'!$L$107*SUM(M123:M124,M126:M127,M129:M130))</f>
        <v>36026.795394188259</v>
      </c>
      <c r="N144" s="1697">
        <f>+IF(COLUMNS($L144:N144)&lt;month,'5. Financials'!$K$107*SUM(N123:N124,N126:N127,N129:N130),'5. Financials'!$L$107*SUM(N123:N124,N126:N127,N129:N130))</f>
        <v>36839.992236512953</v>
      </c>
      <c r="O144" s="1697">
        <f>+IF(COLUMNS($L144:O144)&lt;month,'5. Financials'!$K$107*SUM(O123:O124,O126:O127,O129:O130),'5. Financials'!$L$107*SUM(O123:O124,O126:O127,O129:O130))</f>
        <v>37653.18907883764</v>
      </c>
      <c r="P144" s="1697">
        <f>+IF(COLUMNS($L144:P144)&lt;month,'5. Financials'!$K$107*SUM(P123:P124,P126:P127,P129:P130),'5. Financials'!$L$107*SUM(P123:P124,P126:P127,P129:P130))</f>
        <v>38466.385921162335</v>
      </c>
      <c r="Q144" s="1697">
        <f>+IF(COLUMNS($L144:Q144)&lt;month,'5. Financials'!$K$107*SUM(Q123:Q124,Q126:Q127,Q129:Q130),'5. Financials'!$L$107*SUM(Q123:Q124,Q126:Q127,Q129:Q130))</f>
        <v>39279.582763487022</v>
      </c>
      <c r="R144" s="1697">
        <f>+IF(COLUMNS($L144:R144)&lt;month,'5. Financials'!$K$107*SUM(R123:R124,R126:R127,R129:R130),'5. Financials'!$L$107*SUM(R123:R124,R126:R127,R129:R130))</f>
        <v>40092.779605811716</v>
      </c>
      <c r="S144" s="1697">
        <f>+IF(COLUMNS($L144:S144)&lt;month,'5. Financials'!$K$107*SUM(S123:S124,S126:S127,S129:S130),'5. Financials'!$L$107*SUM(S123:S124,S126:S127,S129:S130))</f>
        <v>40905.976448136404</v>
      </c>
      <c r="T144" s="1697">
        <f>+IF(COLUMNS($L144:T144)&lt;month,'5. Financials'!$K$107*SUM(T123:T124,T126:T127,T129:T130),'5. Financials'!$L$107*SUM(T123:T124,T126:T127,T129:T130))</f>
        <v>41719.173290461105</v>
      </c>
      <c r="U144" s="1697">
        <f>+IF(COLUMNS($L144:U144)&lt;month,'5. Financials'!$K$107*SUM(U123:U124,U126:U127,U129:U130),'5. Financials'!$L$107*SUM(U123:U124,U126:U127,U129:U130))</f>
        <v>42532.370132785793</v>
      </c>
      <c r="V144" s="1697">
        <f>+IF(COLUMNS($L144:V144)&lt;month,'5. Financials'!$K$107*SUM(V123:V124,V126:V127,V129:V130),'5. Financials'!$L$107*SUM(V123:V124,V126:V127,V129:V130))</f>
        <v>42572.432120429148</v>
      </c>
      <c r="W144" s="1697">
        <f>+IF(COLUMNS($L144:W144)&lt;month,'5. Financials'!$K$107*SUM(W123:W124,W126:W127,W129:W130),'5. Financials'!$L$107*SUM(W123:W124,W126:W127,W129:W130))</f>
        <v>43350.29357580567</v>
      </c>
    </row>
    <row r="145" spans="1:25">
      <c r="A145" t="s">
        <v>2652</v>
      </c>
      <c r="B145" t="str">
        <f t="shared" si="6"/>
        <v>D10_11032</v>
      </c>
      <c r="C145" t="str">
        <f t="shared" si="7"/>
        <v>LE_XXXX</v>
      </c>
      <c r="D145" t="s">
        <v>2886</v>
      </c>
      <c r="E145">
        <v>6010</v>
      </c>
      <c r="F145" t="s">
        <v>2888</v>
      </c>
      <c r="G145" t="s">
        <v>155</v>
      </c>
      <c r="H145" t="s">
        <v>154</v>
      </c>
      <c r="I145" t="s">
        <v>146</v>
      </c>
      <c r="J145" t="s">
        <v>147</v>
      </c>
      <c r="K145" t="str">
        <f>+"FY"&amp;RIGHT(YEAR('Hyperion Panel'!$B$9)+3,2)</f>
        <v>FY13</v>
      </c>
      <c r="L145" s="1612">
        <f>+IF(COLUMNS($L145:L145)&lt;month,'5. Financials'!$K$74/12,'5. Financials'!$L$74/12)</f>
        <v>20360.439166666671</v>
      </c>
      <c r="M145" s="1612">
        <f>+IF(COLUMNS($L145:M145)&lt;month,'5. Financials'!$K$74/12,'5. Financials'!$L$74/12)</f>
        <v>20360.439166666671</v>
      </c>
      <c r="N145" s="1612">
        <f>+IF(COLUMNS($L145:N145)&lt;month,'5. Financials'!$K$74/12,'5. Financials'!$L$74/12)</f>
        <v>20360.439166666671</v>
      </c>
      <c r="O145" s="1612">
        <f>+IF(COLUMNS($L145:O145)&lt;month,'5. Financials'!$K$74/12,'5. Financials'!$L$74/12)</f>
        <v>20360.439166666671</v>
      </c>
      <c r="P145" s="1612">
        <f>+IF(COLUMNS($L145:P145)&lt;month,'5. Financials'!$K$74/12,'5. Financials'!$L$74/12)</f>
        <v>20360.439166666671</v>
      </c>
      <c r="Q145" s="1612">
        <f>+IF(COLUMNS($L145:Q145)&lt;month,'5. Financials'!$K$74/12,'5. Financials'!$L$74/12)</f>
        <v>20360.439166666671</v>
      </c>
      <c r="R145" s="1612">
        <f>+IF(COLUMNS($L145:R145)&lt;month,'5. Financials'!$K$74/12,'5. Financials'!$L$74/12)</f>
        <v>20360.439166666671</v>
      </c>
      <c r="S145" s="1612">
        <f>+IF(COLUMNS($L145:S145)&lt;month,'5. Financials'!$K$74/12,'5. Financials'!$L$74/12)</f>
        <v>20360.439166666671</v>
      </c>
      <c r="T145" s="1612">
        <f>+IF(COLUMNS($L145:T145)&lt;month,'5. Financials'!$K$74/12,'5. Financials'!$L$74/12)</f>
        <v>20360.439166666671</v>
      </c>
      <c r="U145" s="1612">
        <f>+IF(COLUMNS($L145:U145)&lt;month,'5. Financials'!$K$74/12,'5. Financials'!$L$74/12)</f>
        <v>20360.439166666671</v>
      </c>
      <c r="V145" s="1612">
        <f>+IF(COLUMNS($L145:V145)&lt;month,'5. Financials'!$K$74/12,'5. Financials'!$L$74/12)</f>
        <v>25946.195544444436</v>
      </c>
      <c r="W145" s="1612">
        <f>+IF(COLUMNS($L145:W145)&lt;month,'5. Financials'!$K$74/12,'5. Financials'!$L$74/12)</f>
        <v>25946.195544444436</v>
      </c>
    </row>
    <row r="146" spans="1:25">
      <c r="A146" t="s">
        <v>2653</v>
      </c>
      <c r="B146" t="str">
        <f t="shared" si="6"/>
        <v>D10_11032</v>
      </c>
      <c r="C146" t="str">
        <f t="shared" si="7"/>
        <v>LE_XXXX</v>
      </c>
      <c r="D146" t="s">
        <v>2886</v>
      </c>
      <c r="E146">
        <v>6051</v>
      </c>
      <c r="F146" t="s">
        <v>2888</v>
      </c>
      <c r="G146" t="s">
        <v>153</v>
      </c>
      <c r="H146" t="s">
        <v>154</v>
      </c>
      <c r="I146" t="s">
        <v>146</v>
      </c>
      <c r="J146" t="s">
        <v>147</v>
      </c>
      <c r="K146" t="str">
        <f>+"FY"&amp;RIGHT(YEAR('Hyperion Panel'!$B$9)+3,2)</f>
        <v>FY13</v>
      </c>
      <c r="L146" s="1612">
        <f>+IF(COLUMNS($L146:L146)&lt;month,'5. Financials'!$K$75/12,'5. Financials'!$L$75/12)</f>
        <v>22783.888399999996</v>
      </c>
      <c r="M146" s="1612">
        <f>+IF(COLUMNS($L146:M146)&lt;month,'5. Financials'!$K$75/12,'5. Financials'!$L$75/12)</f>
        <v>22783.888399999996</v>
      </c>
      <c r="N146" s="1612">
        <f>+IF(COLUMNS($L146:N146)&lt;month,'5. Financials'!$K$75/12,'5. Financials'!$L$75/12)</f>
        <v>22783.888399999996</v>
      </c>
      <c r="O146" s="1612">
        <f>+IF(COLUMNS($L146:O146)&lt;month,'5. Financials'!$K$75/12,'5. Financials'!$L$75/12)</f>
        <v>22783.888399999996</v>
      </c>
      <c r="P146" s="1612">
        <f>+IF(COLUMNS($L146:P146)&lt;month,'5. Financials'!$K$75/12,'5. Financials'!$L$75/12)</f>
        <v>22783.888399999996</v>
      </c>
      <c r="Q146" s="1612">
        <f>+IF(COLUMNS($L146:Q146)&lt;month,'5. Financials'!$K$75/12,'5. Financials'!$L$75/12)</f>
        <v>22783.888399999996</v>
      </c>
      <c r="R146" s="1612">
        <f>+IF(COLUMNS($L146:R146)&lt;month,'5. Financials'!$K$75/12,'5. Financials'!$L$75/12)</f>
        <v>22783.888399999996</v>
      </c>
      <c r="S146" s="1612">
        <f>+IF(COLUMNS($L146:S146)&lt;month,'5. Financials'!$K$75/12,'5. Financials'!$L$75/12)</f>
        <v>22783.888399999996</v>
      </c>
      <c r="T146" s="1612">
        <f>+IF(COLUMNS($L146:T146)&lt;month,'5. Financials'!$K$75/12,'5. Financials'!$L$75/12)</f>
        <v>22783.888399999996</v>
      </c>
      <c r="U146" s="1612">
        <f>+IF(COLUMNS($L146:U146)&lt;month,'5. Financials'!$K$75/12,'5. Financials'!$L$75/12)</f>
        <v>22783.888399999996</v>
      </c>
      <c r="V146" s="1612">
        <f>+IF(COLUMNS($L146:V146)&lt;month,'5. Financials'!$K$75/12,'5. Financials'!$L$75/12)</f>
        <v>28390.777611083311</v>
      </c>
      <c r="W146" s="1612">
        <f>+IF(COLUMNS($L146:W146)&lt;month,'5. Financials'!$K$75/12,'5. Financials'!$L$75/12)</f>
        <v>28390.777611083311</v>
      </c>
    </row>
    <row r="147" spans="1:25">
      <c r="A147" t="s">
        <v>2654</v>
      </c>
      <c r="B147" t="str">
        <f t="shared" si="6"/>
        <v>D10_11032</v>
      </c>
      <c r="C147" t="str">
        <f t="shared" si="7"/>
        <v>LE_XXXX</v>
      </c>
      <c r="D147" t="s">
        <v>2886</v>
      </c>
      <c r="E147">
        <v>6011</v>
      </c>
      <c r="F147" t="s">
        <v>2888</v>
      </c>
      <c r="G147" t="s">
        <v>153</v>
      </c>
      <c r="H147" t="s">
        <v>154</v>
      </c>
      <c r="I147" t="s">
        <v>146</v>
      </c>
      <c r="J147" t="s">
        <v>147</v>
      </c>
      <c r="K147" t="str">
        <f>+"FY"&amp;RIGHT(YEAR('Hyperion Panel'!$B$9)+3,2)</f>
        <v>FY13</v>
      </c>
      <c r="L147" s="1612">
        <f>+IF(COLUMNS($L147:L147)&lt;month,'5. Financials'!$K$76/12,'5. Financials'!$L$76/12)</f>
        <v>0</v>
      </c>
      <c r="M147" s="1612">
        <f>+IF(COLUMNS($L147:M147)&lt;month,'5. Financials'!$K$76/12,'5. Financials'!$L$76/12)</f>
        <v>0</v>
      </c>
      <c r="N147" s="1612">
        <f>+IF(COLUMNS($L147:N147)&lt;month,'5. Financials'!$K$76/12,'5. Financials'!$L$76/12)</f>
        <v>0</v>
      </c>
      <c r="O147" s="1612">
        <f>+IF(COLUMNS($L147:O147)&lt;month,'5. Financials'!$K$76/12,'5. Financials'!$L$76/12)</f>
        <v>0</v>
      </c>
      <c r="P147" s="1612">
        <f>+IF(COLUMNS($L147:P147)&lt;month,'5. Financials'!$K$76/12,'5. Financials'!$L$76/12)</f>
        <v>0</v>
      </c>
      <c r="Q147" s="1612">
        <f>+IF(COLUMNS($L147:Q147)&lt;month,'5. Financials'!$K$76/12,'5. Financials'!$L$76/12)</f>
        <v>0</v>
      </c>
      <c r="R147" s="1612">
        <f>+IF(COLUMNS($L147:R147)&lt;month,'5. Financials'!$K$76/12,'5. Financials'!$L$76/12)</f>
        <v>0</v>
      </c>
      <c r="S147" s="1612">
        <f>+IF(COLUMNS($L147:S147)&lt;month,'5. Financials'!$K$76/12,'5. Financials'!$L$76/12)</f>
        <v>0</v>
      </c>
      <c r="T147" s="1612">
        <f>+IF(COLUMNS($L147:T147)&lt;month,'5. Financials'!$K$76/12,'5. Financials'!$L$76/12)</f>
        <v>0</v>
      </c>
      <c r="U147" s="1612">
        <f>+IF(COLUMNS($L147:U147)&lt;month,'5. Financials'!$K$76/12,'5. Financials'!$L$76/12)</f>
        <v>0</v>
      </c>
      <c r="V147" s="1612">
        <f>+IF(COLUMNS($L147:V147)&lt;month,'5. Financials'!$K$76/12,'5. Financials'!$L$76/12)</f>
        <v>0</v>
      </c>
      <c r="W147" s="1612">
        <f>+IF(COLUMNS($L147:W147)&lt;month,'5. Financials'!$K$76/12,'5. Financials'!$L$76/12)</f>
        <v>0</v>
      </c>
    </row>
    <row r="148" spans="1:25">
      <c r="A148" s="6" t="s">
        <v>3769</v>
      </c>
      <c r="B148" t="str">
        <f t="shared" si="6"/>
        <v>D10_11032</v>
      </c>
      <c r="C148" t="str">
        <f t="shared" si="7"/>
        <v>LE_XXXX</v>
      </c>
      <c r="D148" t="s">
        <v>2886</v>
      </c>
      <c r="E148">
        <v>6600</v>
      </c>
      <c r="F148" t="s">
        <v>2888</v>
      </c>
      <c r="G148" t="s">
        <v>2889</v>
      </c>
      <c r="H148" t="s">
        <v>154</v>
      </c>
      <c r="I148" t="s">
        <v>146</v>
      </c>
      <c r="J148" t="s">
        <v>147</v>
      </c>
      <c r="K148" t="str">
        <f>+"FY"&amp;RIGHT(YEAR('Hyperion Panel'!$B$9)+3,2)</f>
        <v>FY13</v>
      </c>
      <c r="L148" s="1697">
        <f>+IF(COLUMNS($L148:L148)&lt;month,'5. Financials'!$K$114*SUM(L123:L124,L126:L127),'5. Financials'!$L$114*SUM(L123:L124,L126:L127))</f>
        <v>49681.827385397199</v>
      </c>
      <c r="M148" s="1697">
        <f>+IF(COLUMNS($L148:M148)&lt;month,'5. Financials'!$K$114*SUM(M123:M124,M126:M127),'5. Financials'!$L$114*SUM(M123:M124,M126:M127))</f>
        <v>50795.098157725392</v>
      </c>
      <c r="N148" s="1697">
        <f>+IF(COLUMNS($L148:N148)&lt;month,'5. Financials'!$K$114*SUM(N123:N124,N126:N127),'5. Financials'!$L$114*SUM(N123:N124,N126:N127))</f>
        <v>51908.368930053577</v>
      </c>
      <c r="O148" s="1697">
        <f>+IF(COLUMNS($L148:O148)&lt;month,'5. Financials'!$K$114*SUM(O123:O124,O126:O127),'5. Financials'!$L$114*SUM(O123:O124,O126:O127))</f>
        <v>53021.639702381755</v>
      </c>
      <c r="P148" s="1697">
        <f>+IF(COLUMNS($L148:P148)&lt;month,'5. Financials'!$K$114*SUM(P123:P124,P126:P127),'5. Financials'!$L$114*SUM(P123:P124,P126:P127))</f>
        <v>54134.910474709955</v>
      </c>
      <c r="Q148" s="1697">
        <f>+IF(COLUMNS($L148:Q148)&lt;month,'5. Financials'!$K$114*SUM(Q123:Q124,Q126:Q127),'5. Financials'!$L$114*SUM(Q123:Q124,Q126:Q127))</f>
        <v>55248.181247038134</v>
      </c>
      <c r="R148" s="1697">
        <f>+IF(COLUMNS($L148:R148)&lt;month,'5. Financials'!$K$114*SUM(R123:R124,R126:R127),'5. Financials'!$L$114*SUM(R123:R124,R126:R127))</f>
        <v>56361.452019366319</v>
      </c>
      <c r="S148" s="1697">
        <f>+IF(COLUMNS($L148:S148)&lt;month,'5. Financials'!$K$114*SUM(S123:S124,S126:S127),'5. Financials'!$L$114*SUM(S123:S124,S126:S127))</f>
        <v>57474.722791694512</v>
      </c>
      <c r="T148" s="1697">
        <f>+IF(COLUMNS($L148:T148)&lt;month,'5. Financials'!$K$114*SUM(T123:T124,T126:T127),'5. Financials'!$L$114*SUM(T123:T124,T126:T127))</f>
        <v>58587.993564022712</v>
      </c>
      <c r="U148" s="1697">
        <f>+IF(COLUMNS($L148:U148)&lt;month,'5. Financials'!$K$114*SUM(U123:U124,U126:U127),'5. Financials'!$L$114*SUM(U123:U124,U126:U127))</f>
        <v>59701.264336350891</v>
      </c>
      <c r="V148" s="1697">
        <f>+IF(COLUMNS($L148:V148)&lt;month,'5. Financials'!$K$114*SUM(V123:V124,V126:V127),'5. Financials'!$L$114*SUM(V123:V124,V126:V127))</f>
        <v>62099.275009988822</v>
      </c>
      <c r="W148" s="1697">
        <f>+IF(COLUMNS($L148:W148)&lt;month,'5. Financials'!$K$114*SUM(W123:W124,W126:W127),'5. Financials'!$L$114*SUM(W123:W124,W126:W127))</f>
        <v>63303.260396899757</v>
      </c>
    </row>
    <row r="149" spans="1:25">
      <c r="A149" s="6" t="s">
        <v>3770</v>
      </c>
      <c r="B149" t="str">
        <f t="shared" si="6"/>
        <v>D10_11032</v>
      </c>
      <c r="C149" t="str">
        <f t="shared" si="7"/>
        <v>LE_XXXX</v>
      </c>
      <c r="D149" t="s">
        <v>2886</v>
      </c>
      <c r="E149">
        <v>6800</v>
      </c>
      <c r="F149" t="s">
        <v>156</v>
      </c>
      <c r="G149" t="s">
        <v>2889</v>
      </c>
      <c r="H149" t="s">
        <v>154</v>
      </c>
      <c r="I149" t="s">
        <v>146</v>
      </c>
      <c r="J149" t="s">
        <v>147</v>
      </c>
      <c r="K149" t="str">
        <f>+"FY"&amp;RIGHT(YEAR('Hyperion Panel'!$B$9)+3,2)</f>
        <v>FY13</v>
      </c>
      <c r="L149" s="1697">
        <f>+IF(COLUMNS($L149:L149)&lt;month,'5. Financials'!$K$118*SUM(L123:L124,L126:L127),'5. Financials'!$L$118*SUM(L123:L124,L126:L127))</f>
        <v>18774.350973420624</v>
      </c>
      <c r="M149" s="1697">
        <f>+IF(COLUMNS($L149:M149)&lt;month,'5. Financials'!$K$118*SUM(M123:M124,M126:M127),'5. Financials'!$L$118*SUM(M123:M124,M126:M127))</f>
        <v>19195.046775247833</v>
      </c>
      <c r="N149" s="1697">
        <f>+IF(COLUMNS($L149:N149)&lt;month,'5. Financials'!$K$118*SUM(N123:N124,N126:N127),'5. Financials'!$L$118*SUM(N123:N124,N126:N127))</f>
        <v>19615.742577075034</v>
      </c>
      <c r="O149" s="1697">
        <f>+IF(COLUMNS($L149:O149)&lt;month,'5. Financials'!$K$118*SUM(O123:O124,O126:O127),'5. Financials'!$L$118*SUM(O123:O124,O126:O127))</f>
        <v>20036.438378902236</v>
      </c>
      <c r="P149" s="1697">
        <f>+IF(COLUMNS($L149:P149)&lt;month,'5. Financials'!$K$118*SUM(P123:P124,P126:P127),'5. Financials'!$L$118*SUM(P123:P124,P126:P127))</f>
        <v>20457.134180729445</v>
      </c>
      <c r="Q149" s="1697">
        <f>+IF(COLUMNS($L149:Q149)&lt;month,'5. Financials'!$K$118*SUM(Q123:Q124,Q126:Q127),'5. Financials'!$L$118*SUM(Q123:Q124,Q126:Q127))</f>
        <v>20877.829982556646</v>
      </c>
      <c r="R149" s="1697">
        <f>+IF(COLUMNS($L149:R149)&lt;month,'5. Financials'!$K$118*SUM(R123:R124,R126:R127),'5. Financials'!$L$118*SUM(R123:R124,R126:R127))</f>
        <v>21298.525784383848</v>
      </c>
      <c r="S149" s="1697">
        <f>+IF(COLUMNS($L149:S149)&lt;month,'5. Financials'!$K$118*SUM(S123:S124,S126:S127),'5. Financials'!$L$118*SUM(S123:S124,S126:S127))</f>
        <v>21719.221586211057</v>
      </c>
      <c r="T149" s="1697">
        <f>+IF(COLUMNS($L149:T149)&lt;month,'5. Financials'!$K$118*SUM(T123:T124,T126:T127),'5. Financials'!$L$118*SUM(T123:T124,T126:T127))</f>
        <v>22139.917388038266</v>
      </c>
      <c r="U149" s="1697">
        <f>+IF(COLUMNS($L149:U149)&lt;month,'5. Financials'!$K$118*SUM(U123:U124,U126:U127),'5. Financials'!$L$118*SUM(U123:U124,U126:U127))</f>
        <v>22560.613189865468</v>
      </c>
      <c r="V149" s="1697">
        <f>+IF(COLUMNS($L149:V149)&lt;month,'5. Financials'!$K$118*SUM(V123:V124,V126:V127),'5. Financials'!$L$118*SUM(V123:V124,V126:V127))</f>
        <v>23696.868238733292</v>
      </c>
      <c r="W149" s="1697">
        <f>+IF(COLUMNS($L149:W149)&lt;month,'5. Financials'!$K$118*SUM(W123:W124,W126:W127),'5. Financials'!$L$118*SUM(W123:W124,W126:W127))</f>
        <v>24156.304891905158</v>
      </c>
    </row>
    <row r="150" spans="1:25">
      <c r="A150" t="s">
        <v>3697</v>
      </c>
      <c r="B150" t="str">
        <f t="shared" si="6"/>
        <v>D10_11032</v>
      </c>
      <c r="C150" t="str">
        <f t="shared" si="7"/>
        <v>LE_XXXX</v>
      </c>
      <c r="D150" t="s">
        <v>2886</v>
      </c>
      <c r="E150">
        <v>8600</v>
      </c>
      <c r="F150" t="s">
        <v>156</v>
      </c>
      <c r="G150" t="s">
        <v>2889</v>
      </c>
      <c r="H150" t="s">
        <v>154</v>
      </c>
      <c r="I150" t="s">
        <v>146</v>
      </c>
      <c r="J150" t="s">
        <v>147</v>
      </c>
      <c r="K150" t="str">
        <f>+"FY"&amp;RIGHT(YEAR('Hyperion Panel'!$B$9)+3,2)</f>
        <v>FY13</v>
      </c>
      <c r="L150" s="1612">
        <f>+IF(COLUMNS($L150:L150)&lt;month,'5. Financials'!$K$78/12,'5. Financials'!$L$78/12)</f>
        <v>21845.900030399996</v>
      </c>
      <c r="M150" s="1612">
        <f>+IF(COLUMNS($L150:M150)&lt;month,'5. Financials'!$K$78/12,'5. Financials'!$L$78/12)</f>
        <v>21845.900030399996</v>
      </c>
      <c r="N150" s="1612">
        <f>+IF(COLUMNS($L150:N150)&lt;month,'5. Financials'!$K$78/12,'5. Financials'!$L$78/12)</f>
        <v>21845.900030399996</v>
      </c>
      <c r="O150" s="1612">
        <f>+IF(COLUMNS($L150:O150)&lt;month,'5. Financials'!$K$78/12,'5. Financials'!$L$78/12)</f>
        <v>21845.900030399996</v>
      </c>
      <c r="P150" s="1612">
        <f>+IF(COLUMNS($L150:P150)&lt;month,'5. Financials'!$K$78/12,'5. Financials'!$L$78/12)</f>
        <v>21845.900030399996</v>
      </c>
      <c r="Q150" s="1612">
        <f>+IF(COLUMNS($L150:Q150)&lt;month,'5. Financials'!$K$78/12,'5. Financials'!$L$78/12)</f>
        <v>21845.900030399996</v>
      </c>
      <c r="R150" s="1612">
        <f>+IF(COLUMNS($L150:R150)&lt;month,'5. Financials'!$K$78/12,'5. Financials'!$L$78/12)</f>
        <v>21845.900030399996</v>
      </c>
      <c r="S150" s="1612">
        <f>+IF(COLUMNS($L150:S150)&lt;month,'5. Financials'!$K$78/12,'5. Financials'!$L$78/12)</f>
        <v>21845.900030399996</v>
      </c>
      <c r="T150" s="1612">
        <f>+IF(COLUMNS($L150:T150)&lt;month,'5. Financials'!$K$78/12,'5. Financials'!$L$78/12)</f>
        <v>21845.900030399996</v>
      </c>
      <c r="U150" s="1612">
        <f>+IF(COLUMNS($L150:U150)&lt;month,'5. Financials'!$K$78/12,'5. Financials'!$L$78/12)</f>
        <v>21845.900030399996</v>
      </c>
      <c r="V150" s="1612">
        <f>+IF(COLUMNS($L150:V150)&lt;month,'5. Financials'!$K$78/12,'5. Financials'!$L$78/12)</f>
        <v>22501.277031311998</v>
      </c>
      <c r="W150" s="1612">
        <f>+IF(COLUMNS($L150:W150)&lt;month,'5. Financials'!$K$78/12,'5. Financials'!$L$78/12)</f>
        <v>22501.277031311998</v>
      </c>
    </row>
    <row r="151" spans="1:25">
      <c r="A151" t="s">
        <v>157</v>
      </c>
      <c r="B151" t="str">
        <f t="shared" si="6"/>
        <v>D10_11032</v>
      </c>
      <c r="C151" t="str">
        <f t="shared" si="7"/>
        <v>LE_XXXX</v>
      </c>
      <c r="D151" t="s">
        <v>2886</v>
      </c>
      <c r="E151">
        <v>6720</v>
      </c>
      <c r="F151" t="s">
        <v>156</v>
      </c>
      <c r="G151" t="s">
        <v>2889</v>
      </c>
      <c r="H151" t="s">
        <v>154</v>
      </c>
      <c r="I151" t="s">
        <v>146</v>
      </c>
      <c r="J151" t="s">
        <v>147</v>
      </c>
      <c r="K151" t="str">
        <f>+"FY"&amp;RIGHT(YEAR('Hyperion Panel'!$B$9)+3,2)</f>
        <v>FY13</v>
      </c>
      <c r="L151" s="1612">
        <f>+IF(COLUMNS($L151:L151)&lt;month,'5. Financials'!$K$79/12,'5. Financials'!$L$79/12)</f>
        <v>14118.416666666666</v>
      </c>
      <c r="M151" s="1612">
        <f>+IF(COLUMNS($L151:M151)&lt;month,'5. Financials'!$K$79/12,'5. Financials'!$L$79/12)</f>
        <v>14118.416666666666</v>
      </c>
      <c r="N151" s="1612">
        <f>+IF(COLUMNS($L151:N151)&lt;month,'5. Financials'!$K$79/12,'5. Financials'!$L$79/12)</f>
        <v>14118.416666666666</v>
      </c>
      <c r="O151" s="1612">
        <f>+IF(COLUMNS($L151:O151)&lt;month,'5. Financials'!$K$79/12,'5. Financials'!$L$79/12)</f>
        <v>14118.416666666666</v>
      </c>
      <c r="P151" s="1612">
        <f>+IF(COLUMNS($L151:P151)&lt;month,'5. Financials'!$K$79/12,'5. Financials'!$L$79/12)</f>
        <v>14118.416666666666</v>
      </c>
      <c r="Q151" s="1612">
        <f>+IF(COLUMNS($L151:Q151)&lt;month,'5. Financials'!$K$79/12,'5. Financials'!$L$79/12)</f>
        <v>14118.416666666666</v>
      </c>
      <c r="R151" s="1612">
        <f>+IF(COLUMNS($L151:R151)&lt;month,'5. Financials'!$K$79/12,'5. Financials'!$L$79/12)</f>
        <v>14118.416666666666</v>
      </c>
      <c r="S151" s="1612">
        <f>+IF(COLUMNS($L151:S151)&lt;month,'5. Financials'!$K$79/12,'5. Financials'!$L$79/12)</f>
        <v>14118.416666666666</v>
      </c>
      <c r="T151" s="1612">
        <f>+IF(COLUMNS($L151:T151)&lt;month,'5. Financials'!$K$79/12,'5. Financials'!$L$79/12)</f>
        <v>14118.416666666666</v>
      </c>
      <c r="U151" s="1612">
        <f>+IF(COLUMNS($L151:U151)&lt;month,'5. Financials'!$K$79/12,'5. Financials'!$L$79/12)</f>
        <v>14118.416666666666</v>
      </c>
      <c r="V151" s="1612">
        <f>+IF(COLUMNS($L151:V151)&lt;month,'5. Financials'!$K$79/12,'5. Financials'!$L$79/12)</f>
        <v>14118.416666666666</v>
      </c>
      <c r="W151" s="1612">
        <f>+IF(COLUMNS($L151:W151)&lt;month,'5. Financials'!$K$79/12,'5. Financials'!$L$79/12)</f>
        <v>14118.416666666666</v>
      </c>
    </row>
    <row r="152" spans="1:25">
      <c r="A152" t="s">
        <v>3766</v>
      </c>
      <c r="B152" t="str">
        <f t="shared" si="6"/>
        <v>D10_11032</v>
      </c>
      <c r="C152" t="str">
        <f t="shared" si="7"/>
        <v>LE_XXXX</v>
      </c>
      <c r="D152" t="s">
        <v>2886</v>
      </c>
      <c r="E152">
        <v>8110</v>
      </c>
      <c r="F152" t="s">
        <v>156</v>
      </c>
      <c r="G152" t="s">
        <v>2889</v>
      </c>
      <c r="H152" t="s">
        <v>154</v>
      </c>
      <c r="I152" t="s">
        <v>146</v>
      </c>
      <c r="J152" t="s">
        <v>147</v>
      </c>
      <c r="K152" t="str">
        <f>+"FY"&amp;RIGHT(YEAR('Hyperion Panel'!$B$9)+3,2)</f>
        <v>FY13</v>
      </c>
      <c r="L152" s="1612">
        <f>+IF(COLUMNS($L152:L152)&lt;month,'5. Financials'!$K$82/12,'5. Financials'!$L$82/12)</f>
        <v>1403.8815437000001</v>
      </c>
      <c r="M152" s="1612">
        <f>+IF(COLUMNS($L152:M152)&lt;month,'5. Financials'!$K$82/12,'5. Financials'!$L$82/12)</f>
        <v>1403.8815437000001</v>
      </c>
      <c r="N152" s="1612">
        <f>+IF(COLUMNS($L152:N152)&lt;month,'5. Financials'!$K$82/12,'5. Financials'!$L$82/12)</f>
        <v>1403.8815437000001</v>
      </c>
      <c r="O152" s="1612">
        <f>+IF(COLUMNS($L152:O152)&lt;month,'5. Financials'!$K$82/12,'5. Financials'!$L$82/12)</f>
        <v>1403.8815437000001</v>
      </c>
      <c r="P152" s="1612">
        <f>+IF(COLUMNS($L152:P152)&lt;month,'5. Financials'!$K$82/12,'5. Financials'!$L$82/12)</f>
        <v>1403.8815437000001</v>
      </c>
      <c r="Q152" s="1612">
        <f>+IF(COLUMNS($L152:Q152)&lt;month,'5. Financials'!$K$82/12,'5. Financials'!$L$82/12)</f>
        <v>1403.8815437000001</v>
      </c>
      <c r="R152" s="1612">
        <f>+IF(COLUMNS($L152:R152)&lt;month,'5. Financials'!$K$82/12,'5. Financials'!$L$82/12)</f>
        <v>1403.8815437000001</v>
      </c>
      <c r="S152" s="1612">
        <f>+IF(COLUMNS($L152:S152)&lt;month,'5. Financials'!$K$82/12,'5. Financials'!$L$82/12)</f>
        <v>1403.8815437000001</v>
      </c>
      <c r="T152" s="1612">
        <f>+IF(COLUMNS($L152:T152)&lt;month,'5. Financials'!$K$82/12,'5. Financials'!$L$82/12)</f>
        <v>1403.8815437000001</v>
      </c>
      <c r="U152" s="1612">
        <f>+IF(COLUMNS($L152:U152)&lt;month,'5. Financials'!$K$82/12,'5. Financials'!$L$82/12)</f>
        <v>1403.8815437000001</v>
      </c>
      <c r="V152" s="1612">
        <f>+IF(COLUMNS($L152:V152)&lt;month,'5. Financials'!$K$82/12,'5. Financials'!$L$82/12)</f>
        <v>1445.997990011</v>
      </c>
      <c r="W152" s="1612">
        <f>+IF(COLUMNS($L152:W152)&lt;month,'5. Financials'!$K$82/12,'5. Financials'!$L$82/12)</f>
        <v>1445.997990011</v>
      </c>
    </row>
    <row r="153" spans="1:25">
      <c r="A153" s="102" t="s">
        <v>171</v>
      </c>
      <c r="B153" t="str">
        <f t="shared" si="6"/>
        <v>D10_11032</v>
      </c>
      <c r="C153" s="98" t="str">
        <f t="shared" si="7"/>
        <v>LE_XXXX</v>
      </c>
      <c r="D153" s="98" t="s">
        <v>2886</v>
      </c>
      <c r="E153" s="98">
        <v>6412</v>
      </c>
      <c r="F153" s="98" t="s">
        <v>156</v>
      </c>
      <c r="G153" s="98" t="s">
        <v>2889</v>
      </c>
      <c r="H153" s="98" t="s">
        <v>154</v>
      </c>
      <c r="I153" s="98" t="s">
        <v>146</v>
      </c>
      <c r="J153" s="98" t="s">
        <v>147</v>
      </c>
      <c r="K153" t="str">
        <f>+"FY"&amp;RIGHT(YEAR('Hyperion Panel'!$B$9)+3,2)</f>
        <v>FY13</v>
      </c>
      <c r="L153" s="1697">
        <f>+IF(COLUMNS($L153:L153)&lt;month,'5. Financials'!$K$117*SUM(L123:L124,L126:L127),'5. Financials'!$L$117*SUM(L123:L124,L126:L127))</f>
        <v>17759.354386926709</v>
      </c>
      <c r="M153" s="1697">
        <f>+IF(COLUMNS($L153:M153)&lt;month,'5. Financials'!$K$117*SUM(M123:M124,M126:M127),'5. Financials'!$L$117*SUM(M123:M124,M126:M127))</f>
        <v>18157.306137393021</v>
      </c>
      <c r="N153" s="1697">
        <f>+IF(COLUMNS($L153:N153)&lt;month,'5. Financials'!$K$117*SUM(N123:N124,N126:N127),'5. Financials'!$L$117*SUM(N123:N124,N126:N127))</f>
        <v>18555.25788785933</v>
      </c>
      <c r="O153" s="1697">
        <f>+IF(COLUMNS($L153:O153)&lt;month,'5. Financials'!$K$117*SUM(O123:O124,O126:O127),'5. Financials'!$L$117*SUM(O123:O124,O126:O127))</f>
        <v>18953.209638325639</v>
      </c>
      <c r="P153" s="1697">
        <f>+IF(COLUMNS($L153:P153)&lt;month,'5. Financials'!$K$117*SUM(P123:P124,P126:P127),'5. Financials'!$L$117*SUM(P123:P124,P126:P127))</f>
        <v>19351.161388791952</v>
      </c>
      <c r="Q153" s="1697">
        <f>+IF(COLUMNS($L153:Q153)&lt;month,'5. Financials'!$K$117*SUM(Q123:Q124,Q126:Q127),'5. Financials'!$L$117*SUM(Q123:Q124,Q126:Q127))</f>
        <v>19749.113139258261</v>
      </c>
      <c r="R153" s="1697">
        <f>+IF(COLUMNS($L153:R153)&lt;month,'5. Financials'!$K$117*SUM(R123:R124,R126:R127),'5. Financials'!$L$117*SUM(R123:R124,R126:R127))</f>
        <v>20147.06488972457</v>
      </c>
      <c r="S153" s="1697">
        <f>+IF(COLUMNS($L153:S153)&lt;month,'5. Financials'!$K$117*SUM(S123:S124,S126:S127),'5. Financials'!$L$117*SUM(S123:S124,S126:S127))</f>
        <v>20545.016640190883</v>
      </c>
      <c r="T153" s="1697">
        <f>+IF(COLUMNS($L153:T153)&lt;month,'5. Financials'!$K$117*SUM(T123:T124,T126:T127),'5. Financials'!$L$117*SUM(T123:T124,T126:T127))</f>
        <v>20942.968390657195</v>
      </c>
      <c r="U153" s="1697">
        <f>+IF(COLUMNS($L153:U153)&lt;month,'5. Financials'!$K$117*SUM(U123:U124,U126:U127),'5. Financials'!$L$117*SUM(U123:U124,U126:U127))</f>
        <v>21340.920141123504</v>
      </c>
      <c r="V153" s="1697">
        <f>+IF(COLUMNS($L153:V153)&lt;month,'5. Financials'!$K$117*SUM(V123:V124,V126:V127),'5. Financials'!$L$117*SUM(V123:V124,V126:V127))</f>
        <v>22415.745902895327</v>
      </c>
      <c r="W153" s="1697">
        <f>+IF(COLUMNS($L153:W153)&lt;month,'5. Financials'!$K$117*SUM(W123:W124,W126:W127),'5. Financials'!$L$117*SUM(W123:W124,W126:W127))</f>
        <v>22850.344060433454</v>
      </c>
    </row>
    <row r="154" spans="1:25" s="3" customFormat="1">
      <c r="A154" s="1687" t="s">
        <v>730</v>
      </c>
      <c r="B154" t="str">
        <f t="shared" si="6"/>
        <v>D10_11032</v>
      </c>
      <c r="C154" s="1687"/>
      <c r="D154" s="1687"/>
      <c r="E154" s="1687"/>
      <c r="F154" s="1687"/>
      <c r="G154" s="1687"/>
      <c r="H154" s="1687"/>
      <c r="I154" s="1687"/>
      <c r="J154" s="1687"/>
      <c r="K154" t="str">
        <f>+"FY"&amp;RIGHT(YEAR('Hyperion Panel'!$B$9)+3,2)</f>
        <v>FY13</v>
      </c>
      <c r="L154" s="1704">
        <f>+IF(COLUMNS($L154:L154)&lt;month,'5. Financials'!$K$88/12,'5. Financials'!$L$88/12)</f>
        <v>884.08333333333337</v>
      </c>
      <c r="M154" s="1704">
        <f>+IF(COLUMNS($L154:M154)&lt;month,'5. Financials'!$K$88/12,'5. Financials'!$L$88/12)</f>
        <v>884.08333333333337</v>
      </c>
      <c r="N154" s="1704">
        <f>+IF(COLUMNS($L154:N154)&lt;month,'5. Financials'!$K$88/12,'5. Financials'!$L$88/12)</f>
        <v>884.08333333333337</v>
      </c>
      <c r="O154" s="1704">
        <f>+IF(COLUMNS($L154:O154)&lt;month,'5. Financials'!$K$88/12,'5. Financials'!$L$88/12)</f>
        <v>884.08333333333337</v>
      </c>
      <c r="P154" s="1704">
        <f>+IF(COLUMNS($L154:P154)&lt;month,'5. Financials'!$K$88/12,'5. Financials'!$L$88/12)</f>
        <v>884.08333333333337</v>
      </c>
      <c r="Q154" s="1704">
        <f>+IF(COLUMNS($L154:Q154)&lt;month,'5. Financials'!$K$88/12,'5. Financials'!$L$88/12)</f>
        <v>884.08333333333337</v>
      </c>
      <c r="R154" s="1704">
        <f>+IF(COLUMNS($L154:R154)&lt;month,'5. Financials'!$K$88/12,'5. Financials'!$L$88/12)</f>
        <v>884.08333333333337</v>
      </c>
      <c r="S154" s="1704">
        <f>+IF(COLUMNS($L154:S154)&lt;month,'5. Financials'!$K$88/12,'5. Financials'!$L$88/12)</f>
        <v>884.08333333333337</v>
      </c>
      <c r="T154" s="1704">
        <f>+IF(COLUMNS($L154:T154)&lt;month,'5. Financials'!$K$88/12,'5. Financials'!$L$88/12)</f>
        <v>884.08333333333337</v>
      </c>
      <c r="U154" s="1704">
        <f>+IF(COLUMNS($L154:U154)&lt;month,'5. Financials'!$K$88/12,'5. Financials'!$L$88/12)</f>
        <v>884.08333333333337</v>
      </c>
      <c r="V154" s="1704">
        <f>+IF(COLUMNS($L154:V154)&lt;month,'5. Financials'!$K$88/12,'5. Financials'!$L$88/12)</f>
        <v>910.60583333333341</v>
      </c>
      <c r="W154" s="1704">
        <f>+IF(COLUMNS($L154:W154)&lt;month,'5. Financials'!$K$88/12,'5. Financials'!$L$88/12)</f>
        <v>910.60583333333341</v>
      </c>
    </row>
    <row r="155" spans="1:25" s="3" customFormat="1">
      <c r="A155" s="1687" t="s">
        <v>732</v>
      </c>
      <c r="B155" t="str">
        <f t="shared" si="6"/>
        <v>D10_11032</v>
      </c>
      <c r="C155" s="1687"/>
      <c r="D155" s="1687"/>
      <c r="E155" s="1687"/>
      <c r="F155" s="1687"/>
      <c r="G155" s="1687"/>
      <c r="H155" s="1687"/>
      <c r="I155" s="1687"/>
      <c r="J155" s="1687"/>
      <c r="K155" t="str">
        <f>+"FY"&amp;RIGHT(YEAR('Hyperion Panel'!$B$9)+3,2)</f>
        <v>FY13</v>
      </c>
      <c r="L155" s="1704">
        <f>+IF(COLUMNS($L155:L155)&lt;month,'5. Financials'!$K$89/12,'5. Financials'!$L$89/12)</f>
        <v>60.531049999999937</v>
      </c>
      <c r="M155" s="1704">
        <f>+IF(COLUMNS($L155:M155)&lt;month,'5. Financials'!$K$89/12,'5. Financials'!$L$89/12)</f>
        <v>60.531049999999937</v>
      </c>
      <c r="N155" s="1704">
        <f>+IF(COLUMNS($L155:N155)&lt;month,'5. Financials'!$K$89/12,'5. Financials'!$L$89/12)</f>
        <v>60.531049999999937</v>
      </c>
      <c r="O155" s="1704">
        <f>+IF(COLUMNS($L155:O155)&lt;month,'5. Financials'!$K$89/12,'5. Financials'!$L$89/12)</f>
        <v>60.531049999999937</v>
      </c>
      <c r="P155" s="1704">
        <f>+IF(COLUMNS($L155:P155)&lt;month,'5. Financials'!$K$89/12,'5. Financials'!$L$89/12)</f>
        <v>60.531049999999937</v>
      </c>
      <c r="Q155" s="1704">
        <f>+IF(COLUMNS($L155:Q155)&lt;month,'5. Financials'!$K$89/12,'5. Financials'!$L$89/12)</f>
        <v>60.531049999999937</v>
      </c>
      <c r="R155" s="1704">
        <f>+IF(COLUMNS($L155:R155)&lt;month,'5. Financials'!$K$89/12,'5. Financials'!$L$89/12)</f>
        <v>60.531049999999937</v>
      </c>
      <c r="S155" s="1704">
        <f>+IF(COLUMNS($L155:S155)&lt;month,'5. Financials'!$K$89/12,'5. Financials'!$L$89/12)</f>
        <v>60.531049999999937</v>
      </c>
      <c r="T155" s="1704">
        <f>+IF(COLUMNS($L155:T155)&lt;month,'5. Financials'!$K$89/12,'5. Financials'!$L$89/12)</f>
        <v>60.531049999999937</v>
      </c>
      <c r="U155" s="1704">
        <f>+IF(COLUMNS($L155:U155)&lt;month,'5. Financials'!$K$89/12,'5. Financials'!$L$89/12)</f>
        <v>60.531049999999937</v>
      </c>
      <c r="V155" s="1704">
        <f>+IF(COLUMNS($L155:V155)&lt;month,'5. Financials'!$K$89/12,'5. Financials'!$L$89/12)</f>
        <v>36.626414999999888</v>
      </c>
      <c r="W155" s="1704">
        <f>+IF(COLUMNS($L155:W155)&lt;month,'5. Financials'!$K$89/12,'5. Financials'!$L$89/12)</f>
        <v>36.626414999999888</v>
      </c>
    </row>
    <row r="156" spans="1:25" s="3" customFormat="1">
      <c r="A156" s="1687" t="s">
        <v>733</v>
      </c>
      <c r="B156" t="str">
        <f t="shared" si="6"/>
        <v>D10_11032</v>
      </c>
      <c r="C156" s="1687"/>
      <c r="D156" s="1687"/>
      <c r="E156" s="1687"/>
      <c r="F156" s="1687"/>
      <c r="G156" s="1687"/>
      <c r="H156" s="1687"/>
      <c r="I156" s="1687"/>
      <c r="J156" s="1687"/>
      <c r="K156" t="str">
        <f>+"FY"&amp;RIGHT(YEAR('Hyperion Panel'!$B$9)+3,2)</f>
        <v>FY13</v>
      </c>
      <c r="L156" s="1704">
        <f>+IF(COLUMNS($L156:L156)&lt;month,'5. Financials'!$K$90/12,'5. Financials'!$L$90/12)</f>
        <v>14208.395999999995</v>
      </c>
      <c r="M156" s="1704">
        <f>+IF(COLUMNS($L156:M156)&lt;month,'5. Financials'!$K$90/12,'5. Financials'!$L$90/12)</f>
        <v>14208.395999999995</v>
      </c>
      <c r="N156" s="1704">
        <f>+IF(COLUMNS($L156:N156)&lt;month,'5. Financials'!$K$90/12,'5. Financials'!$L$90/12)</f>
        <v>14208.395999999995</v>
      </c>
      <c r="O156" s="1704">
        <f>+IF(COLUMNS($L156:O156)&lt;month,'5. Financials'!$K$90/12,'5. Financials'!$L$90/12)</f>
        <v>14208.395999999995</v>
      </c>
      <c r="P156" s="1704">
        <f>+IF(COLUMNS($L156:P156)&lt;month,'5. Financials'!$K$90/12,'5. Financials'!$L$90/12)</f>
        <v>14208.395999999995</v>
      </c>
      <c r="Q156" s="1704">
        <f>+IF(COLUMNS($L156:Q156)&lt;month,'5. Financials'!$K$90/12,'5. Financials'!$L$90/12)</f>
        <v>14208.395999999995</v>
      </c>
      <c r="R156" s="1704">
        <f>+IF(COLUMNS($L156:R156)&lt;month,'5. Financials'!$K$90/12,'5. Financials'!$L$90/12)</f>
        <v>14208.395999999995</v>
      </c>
      <c r="S156" s="1704">
        <f>+IF(COLUMNS($L156:S156)&lt;month,'5. Financials'!$K$90/12,'5. Financials'!$L$90/12)</f>
        <v>14208.395999999995</v>
      </c>
      <c r="T156" s="1704">
        <f>+IF(COLUMNS($L156:T156)&lt;month,'5. Financials'!$K$90/12,'5. Financials'!$L$90/12)</f>
        <v>14208.395999999995</v>
      </c>
      <c r="U156" s="1704">
        <f>+IF(COLUMNS($L156:U156)&lt;month,'5. Financials'!$K$90/12,'5. Financials'!$L$90/12)</f>
        <v>14208.395999999995</v>
      </c>
      <c r="V156" s="1704">
        <f>+IF(COLUMNS($L156:V156)&lt;month,'5. Financials'!$K$90/12,'5. Financials'!$L$90/12)</f>
        <v>17476.327079999985</v>
      </c>
      <c r="W156" s="1704">
        <f>+IF(COLUMNS($L156:W156)&lt;month,'5. Financials'!$K$90/12,'5. Financials'!$L$90/12)</f>
        <v>17476.327079999985</v>
      </c>
    </row>
    <row r="157" spans="1:25" s="3" customFormat="1">
      <c r="A157" s="1687" t="s">
        <v>734</v>
      </c>
      <c r="B157" t="str">
        <f t="shared" si="6"/>
        <v>D10_11032</v>
      </c>
      <c r="C157" s="1687"/>
      <c r="D157" s="1687"/>
      <c r="E157" s="1687"/>
      <c r="F157" s="1687"/>
      <c r="G157" s="1687"/>
      <c r="H157" s="1687"/>
      <c r="I157" s="1687"/>
      <c r="J157" s="1687"/>
      <c r="K157" t="str">
        <f>+"FY"&amp;RIGHT(YEAR('Hyperion Panel'!$B$9)+3,2)</f>
        <v>FY13</v>
      </c>
      <c r="L157" s="1704">
        <f>+IF(COLUMNS($L157:L157)&lt;month,'5. Financials'!$K$91/12,'5. Financials'!$L$91/12)</f>
        <v>2630.1479166666654</v>
      </c>
      <c r="M157" s="1704">
        <f>+IF(COLUMNS($L157:M157)&lt;month,'5. Financials'!$K$91/12,'5. Financials'!$L$91/12)</f>
        <v>2630.1479166666654</v>
      </c>
      <c r="N157" s="1704">
        <f>+IF(COLUMNS($L157:N157)&lt;month,'5. Financials'!$K$91/12,'5. Financials'!$L$91/12)</f>
        <v>2630.1479166666654</v>
      </c>
      <c r="O157" s="1704">
        <f>+IF(COLUMNS($L157:O157)&lt;month,'5. Financials'!$K$91/12,'5. Financials'!$L$91/12)</f>
        <v>2630.1479166666654</v>
      </c>
      <c r="P157" s="1704">
        <f>+IF(COLUMNS($L157:P157)&lt;month,'5. Financials'!$K$91/12,'5. Financials'!$L$91/12)</f>
        <v>2630.1479166666654</v>
      </c>
      <c r="Q157" s="1704">
        <f>+IF(COLUMNS($L157:Q157)&lt;month,'5. Financials'!$K$91/12,'5. Financials'!$L$91/12)</f>
        <v>2630.1479166666654</v>
      </c>
      <c r="R157" s="1704">
        <f>+IF(COLUMNS($L157:R157)&lt;month,'5. Financials'!$K$91/12,'5. Financials'!$L$91/12)</f>
        <v>2630.1479166666654</v>
      </c>
      <c r="S157" s="1704">
        <f>+IF(COLUMNS($L157:S157)&lt;month,'5. Financials'!$K$91/12,'5. Financials'!$L$91/12)</f>
        <v>2630.1479166666654</v>
      </c>
      <c r="T157" s="1704">
        <f>+IF(COLUMNS($L157:T157)&lt;month,'5. Financials'!$K$91/12,'5. Financials'!$L$91/12)</f>
        <v>2630.1479166666654</v>
      </c>
      <c r="U157" s="1704">
        <f>+IF(COLUMNS($L157:U157)&lt;month,'5. Financials'!$K$91/12,'5. Financials'!$L$91/12)</f>
        <v>2630.1479166666654</v>
      </c>
      <c r="V157" s="1704">
        <f>+IF(COLUMNS($L157:V157)&lt;month,'5. Financials'!$K$91/12,'5. Financials'!$L$91/12)</f>
        <v>3266.7984270833308</v>
      </c>
      <c r="W157" s="1704">
        <f>+IF(COLUMNS($L157:W157)&lt;month,'5. Financials'!$K$91/12,'5. Financials'!$L$91/12)</f>
        <v>3266.7984270833308</v>
      </c>
    </row>
    <row r="158" spans="1:25">
      <c r="A158" t="s">
        <v>158</v>
      </c>
      <c r="B158" t="str">
        <f t="shared" si="6"/>
        <v>D10_11032</v>
      </c>
      <c r="C158" t="str">
        <f>+$C$2</f>
        <v>LE_XXXX</v>
      </c>
      <c r="D158" t="s">
        <v>2886</v>
      </c>
      <c r="E158" t="s">
        <v>159</v>
      </c>
      <c r="F158" t="s">
        <v>156</v>
      </c>
      <c r="G158" t="s">
        <v>2889</v>
      </c>
      <c r="H158" t="s">
        <v>154</v>
      </c>
      <c r="I158" t="s">
        <v>146</v>
      </c>
      <c r="J158" t="s">
        <v>147</v>
      </c>
      <c r="K158" t="str">
        <f>+"FY"&amp;RIGHT(YEAR('Hyperion Panel'!$B$9)+3,2)</f>
        <v>FY13</v>
      </c>
      <c r="L158" s="103">
        <f>'Hyperion Panel'!$B$7</f>
        <v>0.6</v>
      </c>
      <c r="M158" s="103">
        <f>'Hyperion Panel'!$B$7</f>
        <v>0.6</v>
      </c>
      <c r="N158" s="103">
        <f>'Hyperion Panel'!$B$7</f>
        <v>0.6</v>
      </c>
      <c r="O158" s="103">
        <f>'Hyperion Panel'!$B$7</f>
        <v>0.6</v>
      </c>
      <c r="P158" s="103">
        <f>'Hyperion Panel'!$B$7</f>
        <v>0.6</v>
      </c>
      <c r="Q158" s="103">
        <f>'Hyperion Panel'!$B$7</f>
        <v>0.6</v>
      </c>
      <c r="R158" s="103">
        <f>'Hyperion Panel'!$B$7</f>
        <v>0.6</v>
      </c>
      <c r="S158" s="103">
        <f>'Hyperion Panel'!$B$7</f>
        <v>0.6</v>
      </c>
      <c r="T158" s="103">
        <f>'Hyperion Panel'!$B$7</f>
        <v>0.6</v>
      </c>
      <c r="U158" s="103">
        <f>'Hyperion Panel'!$B$7</f>
        <v>0.6</v>
      </c>
      <c r="V158" s="1694">
        <f>'Hyperion Panel'!$B$7</f>
        <v>0.6</v>
      </c>
      <c r="W158" s="103">
        <f>'Hyperion Panel'!$B$7</f>
        <v>0.6</v>
      </c>
    </row>
    <row r="159" spans="1:25">
      <c r="A159" t="s">
        <v>160</v>
      </c>
      <c r="B159" t="str">
        <f t="shared" si="6"/>
        <v>D10_11032</v>
      </c>
      <c r="C159" t="str">
        <f>+$C$2</f>
        <v>LE_XXXX</v>
      </c>
      <c r="D159" t="s">
        <v>2886</v>
      </c>
      <c r="E159" t="s">
        <v>161</v>
      </c>
      <c r="F159" t="s">
        <v>156</v>
      </c>
      <c r="G159" t="s">
        <v>2889</v>
      </c>
      <c r="H159" t="s">
        <v>154</v>
      </c>
      <c r="I159" t="s">
        <v>146</v>
      </c>
      <c r="J159" t="s">
        <v>147</v>
      </c>
      <c r="K159" t="str">
        <f>+"FY"&amp;RIGHT(YEAR('Hyperion Panel'!$B$9)+3,2)</f>
        <v>FY13</v>
      </c>
      <c r="L159" s="1705">
        <v>0</v>
      </c>
      <c r="M159" s="1705">
        <v>0</v>
      </c>
      <c r="N159" s="1705">
        <v>0</v>
      </c>
      <c r="O159" s="1705">
        <v>0</v>
      </c>
      <c r="P159" s="1705">
        <v>0</v>
      </c>
      <c r="Q159" s="1705">
        <v>0</v>
      </c>
      <c r="R159" s="1705">
        <v>0</v>
      </c>
      <c r="S159" s="1705">
        <v>0</v>
      </c>
      <c r="T159" s="1705">
        <v>0</v>
      </c>
      <c r="U159" s="1705">
        <v>0</v>
      </c>
      <c r="V159" s="1705">
        <v>0</v>
      </c>
      <c r="W159" s="1705">
        <v>0</v>
      </c>
    </row>
    <row r="160" spans="1:25" s="3" customFormat="1">
      <c r="A160" s="1687" t="s">
        <v>735</v>
      </c>
      <c r="B160" t="str">
        <f t="shared" si="6"/>
        <v>D10_11032</v>
      </c>
      <c r="C160" s="1687"/>
      <c r="D160" s="1687"/>
      <c r="E160" s="1687"/>
      <c r="F160" s="1687"/>
      <c r="G160" s="1687"/>
      <c r="H160" s="1687"/>
      <c r="I160" s="1687"/>
      <c r="J160" s="1687"/>
      <c r="K160" t="str">
        <f>+"FY"&amp;RIGHT(YEAR('Hyperion Panel'!$B$9)+3,2)</f>
        <v>FY13</v>
      </c>
      <c r="L160" s="1705">
        <v>0</v>
      </c>
      <c r="M160" s="1705">
        <v>0</v>
      </c>
      <c r="N160" s="1705">
        <v>0</v>
      </c>
      <c r="O160" s="1705">
        <v>0</v>
      </c>
      <c r="P160" s="1705">
        <v>0</v>
      </c>
      <c r="Q160" s="1705">
        <v>0</v>
      </c>
      <c r="R160" s="1705">
        <v>0</v>
      </c>
      <c r="S160" s="1705">
        <v>0</v>
      </c>
      <c r="T160" s="1705">
        <v>0</v>
      </c>
      <c r="U160" s="1705">
        <v>0</v>
      </c>
      <c r="V160" s="1705">
        <v>0</v>
      </c>
      <c r="W160" s="1705">
        <v>0</v>
      </c>
      <c r="Y160" s="1688"/>
    </row>
    <row r="161" spans="1:26">
      <c r="L161" s="1612"/>
      <c r="M161" s="1612"/>
      <c r="N161" s="1612"/>
      <c r="O161" s="1612"/>
      <c r="P161" s="1612"/>
      <c r="Q161" s="1612"/>
      <c r="R161" s="1612"/>
      <c r="S161" s="1612"/>
      <c r="T161" s="1612"/>
      <c r="U161" s="1612"/>
      <c r="V161" s="1702"/>
      <c r="W161" s="1612"/>
    </row>
    <row r="162" spans="1:26">
      <c r="A162" s="98" t="s">
        <v>2885</v>
      </c>
      <c r="B162" t="str">
        <f>+$B$2</f>
        <v>D10_11032</v>
      </c>
      <c r="C162" t="str">
        <f>+$C$2</f>
        <v>LE_XXXX</v>
      </c>
      <c r="D162" t="s">
        <v>2886</v>
      </c>
      <c r="E162" t="s">
        <v>2887</v>
      </c>
      <c r="F162" t="s">
        <v>2888</v>
      </c>
      <c r="G162" t="s">
        <v>2889</v>
      </c>
      <c r="H162" t="s">
        <v>145</v>
      </c>
      <c r="I162" t="s">
        <v>146</v>
      </c>
      <c r="J162" t="s">
        <v>147</v>
      </c>
      <c r="K162" t="str">
        <f>+"FY"&amp;RIGHT(YEAR('Hyperion Panel'!$B$9)+4,2)</f>
        <v>FY14</v>
      </c>
      <c r="L162" s="1612"/>
      <c r="M162" s="1612"/>
      <c r="N162" s="1612"/>
      <c r="O162" s="1612"/>
      <c r="P162" s="1612"/>
      <c r="Q162" s="1612"/>
      <c r="R162" s="1612"/>
      <c r="S162" s="1612"/>
      <c r="T162" s="1612"/>
      <c r="U162" s="1612"/>
      <c r="V162" s="1702"/>
      <c r="W162" s="1612"/>
    </row>
    <row r="163" spans="1:26" s="98" customFormat="1" ht="12.75" customHeight="1">
      <c r="A163" s="100" t="s">
        <v>463</v>
      </c>
      <c r="L163" s="1697">
        <f>+IF(COLUMNS($L163:L163)&lt;month,VLOOKUP("Month "&amp;(COLUMNS($L163:L163)-month+13),DeNovo_Tx,9,FALSE)*52*3/12*(1-hemomiss),VLOOKUP("Month "&amp;(COLUMNS($L163:L163)-month+1),DeNovo_Tx,11,FALSE)*52*3/12*(1-hemomiss))</f>
        <v>669.76</v>
      </c>
      <c r="M163" s="1697">
        <f>+IF(COLUMNS($L163:M163)&lt;month,VLOOKUP("Month "&amp;(COLUMNS($L163:M163)-month+13),DeNovo_Tx,9,FALSE)*52*3/12*(1-hemomiss),VLOOKUP("Month "&amp;(COLUMNS($L163:M163)-month+1),DeNovo_Tx,11,FALSE)*52*3/12*(1-hemomiss))</f>
        <v>681.72</v>
      </c>
      <c r="N163" s="1697">
        <f>+IF(COLUMNS($L163:N163)&lt;month,VLOOKUP("Month "&amp;(COLUMNS($L163:N163)-month+13),DeNovo_Tx,9,FALSE)*52*3/12*(1-hemomiss),VLOOKUP("Month "&amp;(COLUMNS($L163:N163)-month+1),DeNovo_Tx,11,FALSE)*52*3/12*(1-hemomiss))</f>
        <v>693.68000000000006</v>
      </c>
      <c r="O163" s="1697">
        <f>+IF(COLUMNS($L163:O163)&lt;month,VLOOKUP("Month "&amp;(COLUMNS($L163:O163)-month+13),DeNovo_Tx,9,FALSE)*52*3/12*(1-hemomiss),VLOOKUP("Month "&amp;(COLUMNS($L163:O163)-month+1),DeNovo_Tx,11,FALSE)*52*3/12*(1-hemomiss))</f>
        <v>705.64</v>
      </c>
      <c r="P163" s="1697">
        <f>+IF(COLUMNS($L163:P163)&lt;month,VLOOKUP("Month "&amp;(COLUMNS($L163:P163)-month+13),DeNovo_Tx,9,FALSE)*52*3/12*(1-hemomiss),VLOOKUP("Month "&amp;(COLUMNS($L163:P163)-month+1),DeNovo_Tx,11,FALSE)*52*3/12*(1-hemomiss))</f>
        <v>717.6</v>
      </c>
      <c r="Q163" s="1697">
        <f>+IF(COLUMNS($L163:Q163)&lt;month,VLOOKUP("Month "&amp;(COLUMNS($L163:Q163)-month+13),DeNovo_Tx,9,FALSE)*52*3/12*(1-hemomiss),VLOOKUP("Month "&amp;(COLUMNS($L163:Q163)-month+1),DeNovo_Tx,11,FALSE)*52*3/12*(1-hemomiss))</f>
        <v>729.56000000000006</v>
      </c>
      <c r="R163" s="1697">
        <f>+IF(COLUMNS($L163:R163)&lt;month,VLOOKUP("Month "&amp;(COLUMNS($L163:R163)-month+13),DeNovo_Tx,9,FALSE)*52*3/12*(1-hemomiss),VLOOKUP("Month "&amp;(COLUMNS($L163:R163)-month+1),DeNovo_Tx,11,FALSE)*52*3/12*(1-hemomiss))</f>
        <v>741.52</v>
      </c>
      <c r="S163" s="1697">
        <f>+IF(COLUMNS($L163:S163)&lt;month,VLOOKUP("Month "&amp;(COLUMNS($L163:S163)-month+13),DeNovo_Tx,9,FALSE)*52*3/12*(1-hemomiss),VLOOKUP("Month "&amp;(COLUMNS($L163:S163)-month+1),DeNovo_Tx,11,FALSE)*52*3/12*(1-hemomiss))</f>
        <v>753.48</v>
      </c>
      <c r="T163" s="1697">
        <f>+IF(COLUMNS($L163:T163)&lt;month,VLOOKUP("Month "&amp;(COLUMNS($L163:T163)-month+13),DeNovo_Tx,9,FALSE)*52*3/12*(1-hemomiss),VLOOKUP("Month "&amp;(COLUMNS($L163:T163)-month+1),DeNovo_Tx,11,FALSE)*52*3/12*(1-hemomiss))</f>
        <v>765.44</v>
      </c>
      <c r="U163" s="1697">
        <f>+IF(COLUMNS($L163:U163)&lt;month,VLOOKUP("Month "&amp;(COLUMNS($L163:U163)-month+13),DeNovo_Tx,9,FALSE)*52*3/12*(1-hemomiss),VLOOKUP("Month "&amp;(COLUMNS($L163:U163)-month+1),DeNovo_Tx,11,FALSE)*52*3/12*(1-hemomiss))</f>
        <v>777.4</v>
      </c>
      <c r="V163" s="1700">
        <f>+IF(COLUMNS($L163:V163)&lt;month,VLOOKUP("Month "&amp;(COLUMNS($L163:V163)-month+13),DeNovo_Tx,9,FALSE)*52*3/12*(1-hemomiss),VLOOKUP("Month "&amp;(COLUMNS($L163:V163)-month+1),DeNovo_Tx,11,FALSE)*52*3/12*(1-hemomiss))</f>
        <v>785.37333333333333</v>
      </c>
      <c r="W163" s="1697">
        <f>+IF(COLUMNS($L163:W163)&lt;month,VLOOKUP("Month "&amp;(COLUMNS($L163:W163)-month+13),DeNovo_Tx,9,FALSE)*52*3/12*(1-hemomiss),VLOOKUP("Month "&amp;(COLUMNS($L163:W163)-month+1),DeNovo_Tx,11,FALSE)*52*3/12*(1-hemomiss))</f>
        <v>793.34666666666681</v>
      </c>
      <c r="Y163" s="99"/>
      <c r="Z163" s="97"/>
    </row>
    <row r="164" spans="1:26" s="98" customFormat="1" ht="12.75" customHeight="1">
      <c r="A164" s="100" t="s">
        <v>464</v>
      </c>
      <c r="L164" s="1697">
        <f>+IF(COLUMNS($L164:L164)&lt;month,VLOOKUP("Month "&amp;(COLUMNS($L164:L164)-month+13),DeNovo_Tx,10,FALSE)*52*3/12*(1-hemomiss),VLOOKUP("Month "&amp;(COLUMNS($L164:L164)-month+1),DeNovo_Tx,12,FALSE)*52*3/12*(1-hemomiss))</f>
        <v>74.749999999999957</v>
      </c>
      <c r="M164" s="1697">
        <f>+IF(COLUMNS($L164:M164)&lt;month,VLOOKUP("Month "&amp;(COLUMNS($L164:M164)-month+13),DeNovo_Tx,10,FALSE)*52*3/12*(1-hemomiss),VLOOKUP("Month "&amp;(COLUMNS($L164:M164)-month+1),DeNovo_Tx,12,FALSE)*52*3/12*(1-hemomiss))</f>
        <v>75.746666666666613</v>
      </c>
      <c r="N164" s="1697">
        <f>+IF(COLUMNS($L164:N164)&lt;month,VLOOKUP("Month "&amp;(COLUMNS($L164:N164)-month+13),DeNovo_Tx,10,FALSE)*52*3/12*(1-hemomiss),VLOOKUP("Month "&amp;(COLUMNS($L164:N164)-month+1),DeNovo_Tx,12,FALSE)*52*3/12*(1-hemomiss))</f>
        <v>76.743333333333283</v>
      </c>
      <c r="O164" s="1697">
        <f>+IF(COLUMNS($L164:O164)&lt;month,VLOOKUP("Month "&amp;(COLUMNS($L164:O164)-month+13),DeNovo_Tx,10,FALSE)*52*3/12*(1-hemomiss),VLOOKUP("Month "&amp;(COLUMNS($L164:O164)-month+1),DeNovo_Tx,12,FALSE)*52*3/12*(1-hemomiss))</f>
        <v>77.739999999999938</v>
      </c>
      <c r="P164" s="1697">
        <f>+IF(COLUMNS($L164:P164)&lt;month,VLOOKUP("Month "&amp;(COLUMNS($L164:P164)-month+13),DeNovo_Tx,10,FALSE)*52*3/12*(1-hemomiss),VLOOKUP("Month "&amp;(COLUMNS($L164:P164)-month+1),DeNovo_Tx,12,FALSE)*52*3/12*(1-hemomiss))</f>
        <v>78.736666666666594</v>
      </c>
      <c r="Q164" s="1697">
        <f>+IF(COLUMNS($L164:Q164)&lt;month,VLOOKUP("Month "&amp;(COLUMNS($L164:Q164)-month+13),DeNovo_Tx,10,FALSE)*52*3/12*(1-hemomiss),VLOOKUP("Month "&amp;(COLUMNS($L164:Q164)-month+1),DeNovo_Tx,12,FALSE)*52*3/12*(1-hemomiss))</f>
        <v>79.733333333333263</v>
      </c>
      <c r="R164" s="1697">
        <f>+IF(COLUMNS($L164:R164)&lt;month,VLOOKUP("Month "&amp;(COLUMNS($L164:R164)-month+13),DeNovo_Tx,10,FALSE)*52*3/12*(1-hemomiss),VLOOKUP("Month "&amp;(COLUMNS($L164:R164)-month+1),DeNovo_Tx,12,FALSE)*52*3/12*(1-hemomiss))</f>
        <v>80.729999999999933</v>
      </c>
      <c r="S164" s="1697">
        <f>+IF(COLUMNS($L164:S164)&lt;month,VLOOKUP("Month "&amp;(COLUMNS($L164:S164)-month+13),DeNovo_Tx,10,FALSE)*52*3/12*(1-hemomiss),VLOOKUP("Month "&amp;(COLUMNS($L164:S164)-month+1),DeNovo_Tx,12,FALSE)*52*3/12*(1-hemomiss))</f>
        <v>81.726666666666588</v>
      </c>
      <c r="T164" s="1697">
        <f>+IF(COLUMNS($L164:T164)&lt;month,VLOOKUP("Month "&amp;(COLUMNS($L164:T164)-month+13),DeNovo_Tx,10,FALSE)*52*3/12*(1-hemomiss),VLOOKUP("Month "&amp;(COLUMNS($L164:T164)-month+1),DeNovo_Tx,12,FALSE)*52*3/12*(1-hemomiss))</f>
        <v>82.723333333333244</v>
      </c>
      <c r="U164" s="1697">
        <f>+IF(COLUMNS($L164:U164)&lt;month,VLOOKUP("Month "&amp;(COLUMNS($L164:U164)-month+13),DeNovo_Tx,10,FALSE)*52*3/12*(1-hemomiss),VLOOKUP("Month "&amp;(COLUMNS($L164:U164)-month+1),DeNovo_Tx,12,FALSE)*52*3/12*(1-hemomiss))</f>
        <v>83.719999999999942</v>
      </c>
      <c r="V164" s="1700">
        <f>+IF(COLUMNS($L164:V164)&lt;month,VLOOKUP("Month "&amp;(COLUMNS($L164:V164)-month+13),DeNovo_Tx,10,FALSE)*52*3/12*(1-hemomiss),VLOOKUP("Month "&amp;(COLUMNS($L164:V164)-month+1),DeNovo_Tx,12,FALSE)*52*3/12*(1-hemomiss))</f>
        <v>84.716666666666583</v>
      </c>
      <c r="W164" s="1697">
        <f>+IF(COLUMNS($L164:W164)&lt;month,VLOOKUP("Month "&amp;(COLUMNS($L164:W164)-month+13),DeNovo_Tx,10,FALSE)*52*3/12*(1-hemomiss),VLOOKUP("Month "&amp;(COLUMNS($L164:W164)-month+1),DeNovo_Tx,12,FALSE)*52*3/12*(1-hemomiss))</f>
        <v>85.713333333333253</v>
      </c>
      <c r="Y164" s="99"/>
      <c r="Z164" s="97"/>
    </row>
    <row r="165" spans="1:26">
      <c r="A165" s="98" t="s">
        <v>148</v>
      </c>
      <c r="B165" t="str">
        <f>+$B$2</f>
        <v>D10_11032</v>
      </c>
      <c r="C165" t="str">
        <f>+$C$2</f>
        <v>LE_XXXX</v>
      </c>
      <c r="D165" t="s">
        <v>2886</v>
      </c>
      <c r="E165" t="s">
        <v>149</v>
      </c>
      <c r="F165" t="s">
        <v>150</v>
      </c>
      <c r="G165" t="s">
        <v>2889</v>
      </c>
      <c r="H165" t="s">
        <v>145</v>
      </c>
      <c r="I165" t="s">
        <v>146</v>
      </c>
      <c r="J165" t="s">
        <v>147</v>
      </c>
      <c r="K165" t="str">
        <f>+"FY"&amp;RIGHT(YEAR('Hyperion Panel'!$B$9)+4,2)</f>
        <v>FY14</v>
      </c>
      <c r="L165" s="1612"/>
      <c r="M165" s="1612"/>
      <c r="N165" s="1612"/>
      <c r="O165" s="1612"/>
      <c r="P165" s="1612"/>
      <c r="Q165" s="1612"/>
      <c r="R165" s="1612"/>
      <c r="S165" s="1612"/>
      <c r="T165" s="1612"/>
      <c r="U165" s="1612"/>
      <c r="V165" s="1703"/>
      <c r="W165" s="1612"/>
    </row>
    <row r="166" spans="1:26" s="98" customFormat="1">
      <c r="A166" s="100" t="s">
        <v>463</v>
      </c>
      <c r="L166" s="1697">
        <f>+IF(COLUMNS($L166:L166)&lt;month,VLOOKUP("Month "&amp;(COLUMNS($L166:L166)-month+13),DeNovo_Tx,20,FALSE)*52*3/12*(1-homemiss),VLOOKUP("Month "&amp;(COLUMNS($L166:L166)-month+1),DeNovo_Tx,22,FALSE)*52*3/12*(1-homemiss))</f>
        <v>197.60000000000008</v>
      </c>
      <c r="M166" s="1697">
        <f>+IF(COLUMNS($L166:M166)&lt;month,VLOOKUP("Month "&amp;(COLUMNS($L166:M166)-month+13),DeNovo_Tx,20,FALSE)*52*3/12*(1-homemiss),VLOOKUP("Month "&amp;(COLUMNS($L166:M166)-month+1),DeNovo_Tx,22,FALSE)*52*3/12*(1-homemiss))</f>
        <v>201.7166666666667</v>
      </c>
      <c r="N166" s="1697">
        <f>+IF(COLUMNS($L166:N166)&lt;month,VLOOKUP("Month "&amp;(COLUMNS($L166:N166)-month+13),DeNovo_Tx,20,FALSE)*52*3/12*(1-homemiss),VLOOKUP("Month "&amp;(COLUMNS($L166:N166)-month+1),DeNovo_Tx,22,FALSE)*52*3/12*(1-homemiss))</f>
        <v>205.83333333333331</v>
      </c>
      <c r="O166" s="1697">
        <f>+IF(COLUMNS($L166:O166)&lt;month,VLOOKUP("Month "&amp;(COLUMNS($L166:O166)-month+13),DeNovo_Tx,20,FALSE)*52*3/12*(1-homemiss),VLOOKUP("Month "&amp;(COLUMNS($L166:O166)-month+1),DeNovo_Tx,22,FALSE)*52*3/12*(1-homemiss))</f>
        <v>209.95</v>
      </c>
      <c r="P166" s="1697">
        <f>+IF(COLUMNS($L166:P166)&lt;month,VLOOKUP("Month "&amp;(COLUMNS($L166:P166)-month+13),DeNovo_Tx,20,FALSE)*52*3/12*(1-homemiss),VLOOKUP("Month "&amp;(COLUMNS($L166:P166)-month+1),DeNovo_Tx,22,FALSE)*52*3/12*(1-homemiss))</f>
        <v>214.06666666666666</v>
      </c>
      <c r="Q166" s="1697">
        <f>+IF(COLUMNS($L166:Q166)&lt;month,VLOOKUP("Month "&amp;(COLUMNS($L166:Q166)-month+13),DeNovo_Tx,20,FALSE)*52*3/12*(1-homemiss),VLOOKUP("Month "&amp;(COLUMNS($L166:Q166)-month+1),DeNovo_Tx,22,FALSE)*52*3/12*(1-homemiss))</f>
        <v>218.18333333333328</v>
      </c>
      <c r="R166" s="1697">
        <f>+IF(COLUMNS($L166:R166)&lt;month,VLOOKUP("Month "&amp;(COLUMNS($L166:R166)-month+13),DeNovo_Tx,20,FALSE)*52*3/12*(1-homemiss),VLOOKUP("Month "&amp;(COLUMNS($L166:R166)-month+1),DeNovo_Tx,22,FALSE)*52*3/12*(1-homemiss))</f>
        <v>222.2999999999999</v>
      </c>
      <c r="S166" s="1697">
        <f>+IF(COLUMNS($L166:S166)&lt;month,VLOOKUP("Month "&amp;(COLUMNS($L166:S166)-month+13),DeNovo_Tx,20,FALSE)*52*3/12*(1-homemiss),VLOOKUP("Month "&amp;(COLUMNS($L166:S166)-month+1),DeNovo_Tx,22,FALSE)*52*3/12*(1-homemiss))</f>
        <v>226.41666666666657</v>
      </c>
      <c r="T166" s="1697">
        <f>+IF(COLUMNS($L166:T166)&lt;month,VLOOKUP("Month "&amp;(COLUMNS($L166:T166)-month+13),DeNovo_Tx,20,FALSE)*52*3/12*(1-homemiss),VLOOKUP("Month "&amp;(COLUMNS($L166:T166)-month+1),DeNovo_Tx,22,FALSE)*52*3/12*(1-homemiss))</f>
        <v>230.53333333333325</v>
      </c>
      <c r="U166" s="1697">
        <f>+IF(COLUMNS($L166:U166)&lt;month,VLOOKUP("Month "&amp;(COLUMNS($L166:U166)-month+13),DeNovo_Tx,20,FALSE)*52*3/12*(1-homemiss),VLOOKUP("Month "&amp;(COLUMNS($L166:U166)-month+1),DeNovo_Tx,22,FALSE)*52*3/12*(1-homemiss))</f>
        <v>234.64999999999992</v>
      </c>
      <c r="V166" s="1697">
        <f>+IF(COLUMNS($L166:V166)&lt;month,VLOOKUP("Month "&amp;(COLUMNS($L166:V166)-month+13),DeNovo_Tx,20,FALSE)*52*3/12*(1-homemiss),VLOOKUP("Month "&amp;(COLUMNS($L166:V166)-month+1),DeNovo_Tx,22,FALSE)*52*3/12*(1-homemiss))</f>
        <v>236.70833333333326</v>
      </c>
      <c r="W166" s="1697">
        <f>+IF(COLUMNS($L166:W166)&lt;month,VLOOKUP("Month "&amp;(COLUMNS($L166:W166)-month+13),DeNovo_Tx,20,FALSE)*52*3/12*(1-homemiss),VLOOKUP("Month "&amp;(COLUMNS($L166:W166)-month+1),DeNovo_Tx,22,FALSE)*52*3/12*(1-homemiss))</f>
        <v>238.76666666666659</v>
      </c>
      <c r="Y166" s="99"/>
    </row>
    <row r="167" spans="1:26" s="98" customFormat="1">
      <c r="A167" s="100" t="s">
        <v>464</v>
      </c>
      <c r="L167" s="1697">
        <f>+IF(COLUMNS($L167:L167)&lt;month,VLOOKUP("Month "&amp;(COLUMNS($L167:L167)-month+13),DeNovo_Tx,21,FALSE)*52*3/12*(1-homemiss),VLOOKUP("Month "&amp;(COLUMNS($L167:L167)-month+1),DeNovo_Tx,23,FALSE)*52*3/12*(1-homemiss))</f>
        <v>27.787499999999987</v>
      </c>
      <c r="M167" s="1697">
        <f>+IF(COLUMNS($L167:M167)&lt;month,VLOOKUP("Month "&amp;(COLUMNS($L167:M167)-month+13),DeNovo_Tx,21,FALSE)*52*3/12*(1-homemiss),VLOOKUP("Month "&amp;(COLUMNS($L167:M167)-month+1),DeNovo_Tx,23,FALSE)*52*3/12*(1-homemiss))</f>
        <v>28.816666666666659</v>
      </c>
      <c r="N167" s="1697">
        <f>+IF(COLUMNS($L167:N167)&lt;month,VLOOKUP("Month "&amp;(COLUMNS($L167:N167)-month+13),DeNovo_Tx,21,FALSE)*52*3/12*(1-homemiss),VLOOKUP("Month "&amp;(COLUMNS($L167:N167)-month+1),DeNovo_Tx,23,FALSE)*52*3/12*(1-homemiss))</f>
        <v>29.845833333333331</v>
      </c>
      <c r="O167" s="1697">
        <f>+IF(COLUMNS($L167:O167)&lt;month,VLOOKUP("Month "&amp;(COLUMNS($L167:O167)-month+13),DeNovo_Tx,21,FALSE)*52*3/12*(1-homemiss),VLOOKUP("Month "&amp;(COLUMNS($L167:O167)-month+1),DeNovo_Tx,23,FALSE)*52*3/12*(1-homemiss))</f>
        <v>30.875</v>
      </c>
      <c r="P167" s="1697">
        <f>+IF(COLUMNS($L167:P167)&lt;month,VLOOKUP("Month "&amp;(COLUMNS($L167:P167)-month+13),DeNovo_Tx,21,FALSE)*52*3/12*(1-homemiss),VLOOKUP("Month "&amp;(COLUMNS($L167:P167)-month+1),DeNovo_Tx,23,FALSE)*52*3/12*(1-homemiss))</f>
        <v>31.904166666666669</v>
      </c>
      <c r="Q167" s="1697">
        <f>+IF(COLUMNS($L167:Q167)&lt;month,VLOOKUP("Month "&amp;(COLUMNS($L167:Q167)-month+13),DeNovo_Tx,21,FALSE)*52*3/12*(1-homemiss),VLOOKUP("Month "&amp;(COLUMNS($L167:Q167)-month+1),DeNovo_Tx,23,FALSE)*52*3/12*(1-homemiss))</f>
        <v>32.933333333333337</v>
      </c>
      <c r="R167" s="1697">
        <f>+IF(COLUMNS($L167:R167)&lt;month,VLOOKUP("Month "&amp;(COLUMNS($L167:R167)-month+13),DeNovo_Tx,21,FALSE)*52*3/12*(1-homemiss),VLOOKUP("Month "&amp;(COLUMNS($L167:R167)-month+1),DeNovo_Tx,23,FALSE)*52*3/12*(1-homemiss))</f>
        <v>33.962500000000006</v>
      </c>
      <c r="S167" s="1697">
        <f>+IF(COLUMNS($L167:S167)&lt;month,VLOOKUP("Month "&amp;(COLUMNS($L167:S167)-month+13),DeNovo_Tx,21,FALSE)*52*3/12*(1-homemiss),VLOOKUP("Month "&amp;(COLUMNS($L167:S167)-month+1),DeNovo_Tx,23,FALSE)*52*3/12*(1-homemiss))</f>
        <v>34.991666666666674</v>
      </c>
      <c r="T167" s="1697">
        <f>+IF(COLUMNS($L167:T167)&lt;month,VLOOKUP("Month "&amp;(COLUMNS($L167:T167)-month+13),DeNovo_Tx,21,FALSE)*52*3/12*(1-homemiss),VLOOKUP("Month "&amp;(COLUMNS($L167:T167)-month+1),DeNovo_Tx,23,FALSE)*52*3/12*(1-homemiss))</f>
        <v>36.020833333333343</v>
      </c>
      <c r="U167" s="1697">
        <f>+IF(COLUMNS($L167:U167)&lt;month,VLOOKUP("Month "&amp;(COLUMNS($L167:U167)-month+13),DeNovo_Tx,21,FALSE)*52*3/12*(1-homemiss),VLOOKUP("Month "&amp;(COLUMNS($L167:U167)-month+1),DeNovo_Tx,23,FALSE)*52*3/12*(1-homemiss))</f>
        <v>37.050000000000011</v>
      </c>
      <c r="V167" s="1697">
        <f>+IF(COLUMNS($L167:V167)&lt;month,VLOOKUP("Month "&amp;(COLUMNS($L167:V167)-month+13),DeNovo_Tx,21,FALSE)*52*3/12*(1-homemiss),VLOOKUP("Month "&amp;(COLUMNS($L167:V167)-month+1),DeNovo_Tx,23,FALSE)*52*3/12*(1-homemiss))</f>
        <v>38.07916666666668</v>
      </c>
      <c r="W167" s="1697">
        <f>+IF(COLUMNS($L167:W167)&lt;month,VLOOKUP("Month "&amp;(COLUMNS($L167:W167)-month+13),DeNovo_Tx,21,FALSE)*52*3/12*(1-homemiss),VLOOKUP("Month "&amp;(COLUMNS($L167:W167)-month+1),DeNovo_Tx,23,FALSE)*52*3/12*(1-homemiss))</f>
        <v>39.108333333333348</v>
      </c>
      <c r="Y167" s="99"/>
    </row>
    <row r="168" spans="1:26">
      <c r="A168" s="4" t="s">
        <v>169</v>
      </c>
      <c r="B168" s="4" t="str">
        <f>+$B$2</f>
        <v>D10_11032</v>
      </c>
      <c r="C168" s="4"/>
      <c r="D168" s="4"/>
      <c r="E168" s="4"/>
      <c r="F168" s="4"/>
      <c r="G168" s="4"/>
      <c r="H168" s="4"/>
      <c r="I168" s="4"/>
      <c r="J168" s="4"/>
      <c r="K168" s="4" t="str">
        <f>+"FY"&amp;RIGHT(YEAR('Hyperion Panel'!$B$9)+4,2)</f>
        <v>FY14</v>
      </c>
      <c r="L168" s="1698"/>
      <c r="M168" s="1698"/>
      <c r="N168" s="1698"/>
      <c r="O168" s="1698"/>
      <c r="P168" s="1698"/>
      <c r="Q168" s="1698"/>
      <c r="R168" s="1698"/>
      <c r="S168" s="1698"/>
      <c r="T168" s="1698"/>
      <c r="U168" s="1698"/>
      <c r="V168" s="1699"/>
      <c r="W168" s="1698"/>
      <c r="Y168" s="99"/>
    </row>
    <row r="169" spans="1:26">
      <c r="A169" s="101" t="s">
        <v>463</v>
      </c>
      <c r="B169" s="4"/>
      <c r="C169" s="4"/>
      <c r="D169" s="4"/>
      <c r="E169" s="4"/>
      <c r="F169" s="4"/>
      <c r="G169" s="4"/>
      <c r="H169" s="4"/>
      <c r="I169" s="4"/>
      <c r="J169" s="4"/>
      <c r="K169" s="4"/>
      <c r="L169" s="1698">
        <f>+IF(COLUMNS($L169:L169)&lt;month,VLOOKUP("Month "&amp;(COLUMNS($L169:L169)-month+13),DeNovo_Tx,31,FALSE)*52*3/12*(1-hhdmiss),VLOOKUP("Month "&amp;(COLUMNS($L169:L169)-month+1),DeNovo_Tx,33,FALSE)*52*3/12*(1-hhdmiss))</f>
        <v>81.249999999999943</v>
      </c>
      <c r="M169" s="1698">
        <f>+IF(COLUMNS($L169:M169)&lt;month,VLOOKUP("Month "&amp;(COLUMNS($L169:M169)-month+13),DeNovo_Tx,31,FALSE)*52*3/12*(1-hhdmiss),VLOOKUP("Month "&amp;(COLUMNS($L169:M169)-month+1),DeNovo_Tx,33,FALSE)*52*3/12*(1-hhdmiss))</f>
        <v>82.333333333333272</v>
      </c>
      <c r="N169" s="1698">
        <f>+IF(COLUMNS($L169:N169)&lt;month,VLOOKUP("Month "&amp;(COLUMNS($L169:N169)-month+13),DeNovo_Tx,31,FALSE)*52*3/12*(1-hhdmiss),VLOOKUP("Month "&amp;(COLUMNS($L169:N169)-month+1),DeNovo_Tx,33,FALSE)*52*3/12*(1-hhdmiss))</f>
        <v>83.4166666666666</v>
      </c>
      <c r="O169" s="1698">
        <f>+IF(COLUMNS($L169:O169)&lt;month,VLOOKUP("Month "&amp;(COLUMNS($L169:O169)-month+13),DeNovo_Tx,31,FALSE)*52*3/12*(1-hhdmiss),VLOOKUP("Month "&amp;(COLUMNS($L169:O169)-month+1),DeNovo_Tx,33,FALSE)*52*3/12*(1-hhdmiss))</f>
        <v>84.499999999999929</v>
      </c>
      <c r="P169" s="1698">
        <f>+IF(COLUMNS($L169:P169)&lt;month,VLOOKUP("Month "&amp;(COLUMNS($L169:P169)-month+13),DeNovo_Tx,31,FALSE)*52*3/12*(1-hhdmiss),VLOOKUP("Month "&amp;(COLUMNS($L169:P169)-month+1),DeNovo_Tx,33,FALSE)*52*3/12*(1-hhdmiss))</f>
        <v>85.583333333333258</v>
      </c>
      <c r="Q169" s="1698">
        <f>+IF(COLUMNS($L169:Q169)&lt;month,VLOOKUP("Month "&amp;(COLUMNS($L169:Q169)-month+13),DeNovo_Tx,31,FALSE)*52*3/12*(1-hhdmiss),VLOOKUP("Month "&amp;(COLUMNS($L169:Q169)-month+1),DeNovo_Tx,33,FALSE)*52*3/12*(1-hhdmiss))</f>
        <v>86.666666666666586</v>
      </c>
      <c r="R169" s="1698">
        <f>+IF(COLUMNS($L169:R169)&lt;month,VLOOKUP("Month "&amp;(COLUMNS($L169:R169)-month+13),DeNovo_Tx,31,FALSE)*52*3/12*(1-hhdmiss),VLOOKUP("Month "&amp;(COLUMNS($L169:R169)-month+1),DeNovo_Tx,33,FALSE)*52*3/12*(1-hhdmiss))</f>
        <v>87.749999999999929</v>
      </c>
      <c r="S169" s="1698">
        <f>+IF(COLUMNS($L169:S169)&lt;month,VLOOKUP("Month "&amp;(COLUMNS($L169:S169)-month+13),DeNovo_Tx,31,FALSE)*52*3/12*(1-hhdmiss),VLOOKUP("Month "&amp;(COLUMNS($L169:S169)-month+1),DeNovo_Tx,33,FALSE)*52*3/12*(1-hhdmiss))</f>
        <v>88.833333333333243</v>
      </c>
      <c r="T169" s="1698">
        <f>+IF(COLUMNS($L169:T169)&lt;month,VLOOKUP("Month "&amp;(COLUMNS($L169:T169)-month+13),DeNovo_Tx,31,FALSE)*52*3/12*(1-hhdmiss),VLOOKUP("Month "&amp;(COLUMNS($L169:T169)-month+1),DeNovo_Tx,33,FALSE)*52*3/12*(1-hhdmiss))</f>
        <v>89.916666666666572</v>
      </c>
      <c r="U169" s="1698">
        <f>+IF(COLUMNS($L169:U169)&lt;month,VLOOKUP("Month "&amp;(COLUMNS($L169:U169)-month+13),DeNovo_Tx,31,FALSE)*52*3/12*(1-hhdmiss),VLOOKUP("Month "&amp;(COLUMNS($L169:U169)-month+1),DeNovo_Tx,33,FALSE)*52*3/12*(1-hhdmiss))</f>
        <v>90.999999999999929</v>
      </c>
      <c r="V169" s="1699">
        <f>+IF(COLUMNS($L169:V169)&lt;month,VLOOKUP("Month "&amp;(COLUMNS($L169:V169)-month+13),DeNovo_Tx,31,FALSE)*52*3/12*(1-hhdmiss),VLOOKUP("Month "&amp;(COLUMNS($L169:V169)-month+1),DeNovo_Tx,33,FALSE)*52*3/12*(1-hhdmiss))</f>
        <v>92.083333333333243</v>
      </c>
      <c r="W169" s="1698">
        <f>+IF(COLUMNS($L169:W169)&lt;month,VLOOKUP("Month "&amp;(COLUMNS($L169:W169)-month+13),DeNovo_Tx,31,FALSE)*52*3/12*(1-hhdmiss),VLOOKUP("Month "&amp;(COLUMNS($L169:W169)-month+1),DeNovo_Tx,33,FALSE)*52*3/12*(1-hhdmiss))</f>
        <v>93.166666666666572</v>
      </c>
      <c r="Y169" s="99"/>
    </row>
    <row r="170" spans="1:26">
      <c r="A170" s="101" t="s">
        <v>464</v>
      </c>
      <c r="B170" s="4"/>
      <c r="C170" s="4"/>
      <c r="D170" s="4"/>
      <c r="E170" s="4"/>
      <c r="F170" s="4"/>
      <c r="G170" s="4"/>
      <c r="H170" s="4"/>
      <c r="I170" s="4"/>
      <c r="J170" s="4"/>
      <c r="K170" s="4"/>
      <c r="L170" s="1698">
        <f>+IF(COLUMNS($L170:L170)&lt;month,VLOOKUP("Month "&amp;(COLUMNS($L170:L170)-month+13),DeNovo_Tx,32,FALSE)*52*4.3/12*(1-hhdmiss),VLOOKUP("Month "&amp;(COLUMNS($L170:L170)-month+1),DeNovo_Tx,34,FALSE)*52*4.3/12*(1-hhdmiss))</f>
        <v>37.266666666666652</v>
      </c>
      <c r="M170" s="1698">
        <f>+IF(COLUMNS($L170:M170)&lt;month,VLOOKUP("Month "&amp;(COLUMNS($L170:M170)-month+13),DeNovo_Tx,32,FALSE)*52*4.3/12*(1-hhdmiss),VLOOKUP("Month "&amp;(COLUMNS($L170:M170)-month+1),DeNovo_Tx,34,FALSE)*52*4.3/12*(1-hhdmiss))</f>
        <v>37.266666666666652</v>
      </c>
      <c r="N170" s="1698">
        <f>+IF(COLUMNS($L170:N170)&lt;month,VLOOKUP("Month "&amp;(COLUMNS($L170:N170)-month+13),DeNovo_Tx,32,FALSE)*52*4.3/12*(1-hhdmiss),VLOOKUP("Month "&amp;(COLUMNS($L170:N170)-month+1),DeNovo_Tx,34,FALSE)*52*4.3/12*(1-hhdmiss))</f>
        <v>37.266666666666652</v>
      </c>
      <c r="O170" s="1698">
        <f>+IF(COLUMNS($L170:O170)&lt;month,VLOOKUP("Month "&amp;(COLUMNS($L170:O170)-month+13),DeNovo_Tx,32,FALSE)*52*4.3/12*(1-hhdmiss),VLOOKUP("Month "&amp;(COLUMNS($L170:O170)-month+1),DeNovo_Tx,34,FALSE)*52*4.3/12*(1-hhdmiss))</f>
        <v>37.266666666666652</v>
      </c>
      <c r="P170" s="1698">
        <f>+IF(COLUMNS($L170:P170)&lt;month,VLOOKUP("Month "&amp;(COLUMNS($L170:P170)-month+13),DeNovo_Tx,32,FALSE)*52*4.3/12*(1-hhdmiss),VLOOKUP("Month "&amp;(COLUMNS($L170:P170)-month+1),DeNovo_Tx,34,FALSE)*52*4.3/12*(1-hhdmiss))</f>
        <v>37.266666666666652</v>
      </c>
      <c r="Q170" s="1698">
        <f>+IF(COLUMNS($L170:Q170)&lt;month,VLOOKUP("Month "&amp;(COLUMNS($L170:Q170)-month+13),DeNovo_Tx,32,FALSE)*52*4.3/12*(1-hhdmiss),VLOOKUP("Month "&amp;(COLUMNS($L170:Q170)-month+1),DeNovo_Tx,34,FALSE)*52*4.3/12*(1-hhdmiss))</f>
        <v>37.266666666666652</v>
      </c>
      <c r="R170" s="1698">
        <f>+IF(COLUMNS($L170:R170)&lt;month,VLOOKUP("Month "&amp;(COLUMNS($L170:R170)-month+13),DeNovo_Tx,32,FALSE)*52*4.3/12*(1-hhdmiss),VLOOKUP("Month "&amp;(COLUMNS($L170:R170)-month+1),DeNovo_Tx,34,FALSE)*52*4.3/12*(1-hhdmiss))</f>
        <v>37.266666666666652</v>
      </c>
      <c r="S170" s="1698">
        <f>+IF(COLUMNS($L170:S170)&lt;month,VLOOKUP("Month "&amp;(COLUMNS($L170:S170)-month+13),DeNovo_Tx,32,FALSE)*52*4.3/12*(1-hhdmiss),VLOOKUP("Month "&amp;(COLUMNS($L170:S170)-month+1),DeNovo_Tx,34,FALSE)*52*4.3/12*(1-hhdmiss))</f>
        <v>37.266666666666652</v>
      </c>
      <c r="T170" s="1698">
        <f>+IF(COLUMNS($L170:T170)&lt;month,VLOOKUP("Month "&amp;(COLUMNS($L170:T170)-month+13),DeNovo_Tx,32,FALSE)*52*4.3/12*(1-hhdmiss),VLOOKUP("Month "&amp;(COLUMNS($L170:T170)-month+1),DeNovo_Tx,34,FALSE)*52*4.3/12*(1-hhdmiss))</f>
        <v>37.266666666666652</v>
      </c>
      <c r="U170" s="1698">
        <f>+IF(COLUMNS($L170:U170)&lt;month,VLOOKUP("Month "&amp;(COLUMNS($L170:U170)-month+13),DeNovo_Tx,32,FALSE)*52*4.3/12*(1-hhdmiss),VLOOKUP("Month "&amp;(COLUMNS($L170:U170)-month+1),DeNovo_Tx,34,FALSE)*52*4.3/12*(1-hhdmiss))</f>
        <v>37.266666666666652</v>
      </c>
      <c r="V170" s="1698">
        <f>+IF(COLUMNS($L170:V170)&lt;month,VLOOKUP("Month "&amp;(COLUMNS($L170:V170)-month+13),DeNovo_Tx,32,FALSE)*52*4.3/12*(1-hhdmiss),VLOOKUP("Month "&amp;(COLUMNS($L170:V170)-month+1),DeNovo_Tx,34,FALSE)*52*4.3/12*(1-hhdmiss))</f>
        <v>37.266666666666652</v>
      </c>
      <c r="W170" s="1698">
        <f>+IF(COLUMNS($L170:W170)&lt;month,VLOOKUP("Month "&amp;(COLUMNS($L170:W170)-month+13),DeNovo_Tx,32,FALSE)*52*4.3/12*(1-hhdmiss),VLOOKUP("Month "&amp;(COLUMNS($L170:W170)-month+1),DeNovo_Tx,34,FALSE)*52*4.3/12*(1-hhdmiss))</f>
        <v>37.266666666666652</v>
      </c>
      <c r="Y170" s="99"/>
    </row>
    <row r="171" spans="1:26">
      <c r="A171" s="1958" t="s">
        <v>1556</v>
      </c>
      <c r="B171" s="35"/>
      <c r="C171" s="35"/>
      <c r="D171" s="35"/>
      <c r="E171" s="35"/>
      <c r="F171" s="35"/>
      <c r="G171" s="35"/>
      <c r="H171" s="35"/>
      <c r="I171" s="35"/>
      <c r="J171" s="35"/>
      <c r="K171" s="35"/>
      <c r="L171" s="1959">
        <f>((12*L169)/(1-hhdmiss))/52/'5. Financials'!$M$46</f>
        <v>6.2499999999999956</v>
      </c>
      <c r="M171" s="1959">
        <f>((12*M169)/(1-hhdmiss))/52/'5. Financials'!$M$46</f>
        <v>6.3333333333333286</v>
      </c>
      <c r="N171" s="1959">
        <f>((12*N169)/(1-hhdmiss))/52/'5. Financials'!$M$46</f>
        <v>6.4166666666666616</v>
      </c>
      <c r="O171" s="1959">
        <f>((12*O169)/(1-hhdmiss))/52/'5. Financials'!$M$46</f>
        <v>6.4999999999999938</v>
      </c>
      <c r="P171" s="1959">
        <f>((12*P169)/(1-hhdmiss))/52/'5. Financials'!$M$46</f>
        <v>6.5833333333333277</v>
      </c>
      <c r="Q171" s="1959">
        <f>((12*Q169)/(1-hhdmiss))/52/'5. Financials'!$M$46</f>
        <v>6.6666666666666607</v>
      </c>
      <c r="R171" s="1959">
        <f>((12*R169)/(1-hhdmiss))/52/'5. Financials'!$M$46</f>
        <v>6.7499999999999938</v>
      </c>
      <c r="S171" s="1959">
        <f>((12*S169)/(1-hhdmiss))/52/'5. Financials'!$M$46</f>
        <v>6.8333333333333259</v>
      </c>
      <c r="T171" s="1959">
        <f>((12*T169)/(1-hhdmiss))/52/'5. Financials'!$M$46</f>
        <v>6.9166666666666599</v>
      </c>
      <c r="U171" s="1959">
        <f>((12*U169)/(1-hhdmiss))/52/'5. Financials'!$M$46</f>
        <v>6.9999999999999938</v>
      </c>
      <c r="V171" s="1959">
        <f>((12*V169)/(1-hhdmiss))/52/'5. Financials'!$M$46</f>
        <v>7.0833333333333259</v>
      </c>
      <c r="W171" s="1959">
        <f>((12*W169)/(1-hhdmiss))/52/'5. Financials'!$M$46</f>
        <v>7.1666666666666599</v>
      </c>
      <c r="Y171" s="99"/>
    </row>
    <row r="172" spans="1:26">
      <c r="A172" s="1958" t="s">
        <v>1557</v>
      </c>
      <c r="B172" s="35"/>
      <c r="C172" s="35"/>
      <c r="D172" s="35"/>
      <c r="E172" s="35"/>
      <c r="F172" s="35"/>
      <c r="G172" s="35"/>
      <c r="H172" s="35"/>
      <c r="I172" s="35"/>
      <c r="J172" s="35"/>
      <c r="K172" s="35"/>
      <c r="L172" s="1959">
        <f>((12*L170)/(1-hhdmiss))/52/'5. Financials'!$M$54</f>
        <v>1.9999999999999991</v>
      </c>
      <c r="M172" s="1959">
        <f>((12*M170)/(1-hhdmiss))/52/'5. Financials'!$M$54</f>
        <v>1.9999999999999991</v>
      </c>
      <c r="N172" s="1959">
        <f>((12*N170)/(1-hhdmiss))/52/'5. Financials'!$M$54</f>
        <v>1.9999999999999991</v>
      </c>
      <c r="O172" s="1959">
        <f>((12*O170)/(1-hhdmiss))/52/'5. Financials'!$M$54</f>
        <v>1.9999999999999991</v>
      </c>
      <c r="P172" s="1959">
        <f>((12*P170)/(1-hhdmiss))/52/'5. Financials'!$M$54</f>
        <v>1.9999999999999991</v>
      </c>
      <c r="Q172" s="1959">
        <f>((12*Q170)/(1-hhdmiss))/52/'5. Financials'!$M$54</f>
        <v>1.9999999999999991</v>
      </c>
      <c r="R172" s="1959">
        <f>((12*R170)/(1-hhdmiss))/52/'5. Financials'!$M$54</f>
        <v>1.9999999999999991</v>
      </c>
      <c r="S172" s="1959">
        <f>((12*S170)/(1-hhdmiss))/52/'5. Financials'!$M$54</f>
        <v>1.9999999999999991</v>
      </c>
      <c r="T172" s="1959">
        <f>((12*T170)/(1-hhdmiss))/52/'5. Financials'!$M$54</f>
        <v>1.9999999999999991</v>
      </c>
      <c r="U172" s="1959">
        <f>((12*U170)/(1-hhdmiss))/52/'5. Financials'!$M$54</f>
        <v>1.9999999999999991</v>
      </c>
      <c r="V172" s="1959">
        <f>((12*V170)/(1-hhdmiss))/52/'5. Financials'!$M$54</f>
        <v>1.9999999999999991</v>
      </c>
      <c r="W172" s="1959">
        <f>((12*W170)/(1-hhdmiss))/52/'5. Financials'!$M$54</f>
        <v>1.9999999999999991</v>
      </c>
      <c r="Y172" s="99"/>
    </row>
    <row r="173" spans="1:26">
      <c r="A173" s="1958" t="s">
        <v>1558</v>
      </c>
      <c r="B173" s="35"/>
      <c r="C173" s="35"/>
      <c r="D173" s="35"/>
      <c r="E173" s="35"/>
      <c r="F173" s="35"/>
      <c r="G173" s="35"/>
      <c r="H173" s="35"/>
      <c r="I173" s="35"/>
      <c r="J173" s="35"/>
      <c r="K173" s="35"/>
      <c r="L173" s="1959">
        <f>(52*'5. Financials'!$M$46*'Upload Detail'!L171*(1-hhdmiss)-clawback*(52*('5. Financials'!$M$46-3)*'Upload Detail'!L171*(1-hhdmiss)))/12</f>
        <v>81.249999999999943</v>
      </c>
      <c r="M173" s="1959">
        <f>(52*'5. Financials'!$M$46*'Upload Detail'!M171*(1-hhdmiss)-clawback*(52*('5. Financials'!$M$46-3)*'Upload Detail'!M171*(1-hhdmiss)))/12</f>
        <v>82.333333333333272</v>
      </c>
      <c r="N173" s="1959">
        <f>(52*'5. Financials'!$M$46*'Upload Detail'!N171*(1-hhdmiss)-clawback*(52*('5. Financials'!$M$46-3)*'Upload Detail'!N171*(1-hhdmiss)))/12</f>
        <v>83.4166666666666</v>
      </c>
      <c r="O173" s="1959">
        <f>(52*'5. Financials'!$M$46*'Upload Detail'!O171*(1-hhdmiss)-clawback*(52*('5. Financials'!$M$46-3)*'Upload Detail'!O171*(1-hhdmiss)))/12</f>
        <v>84.499999999999915</v>
      </c>
      <c r="P173" s="1959">
        <f>(52*'5. Financials'!$M$46*'Upload Detail'!P171*(1-hhdmiss)-clawback*(52*('5. Financials'!$M$46-3)*'Upload Detail'!P171*(1-hhdmiss)))/12</f>
        <v>85.583333333333258</v>
      </c>
      <c r="Q173" s="1959">
        <f>(52*'5. Financials'!$M$46*'Upload Detail'!Q171*(1-hhdmiss)-clawback*(52*('5. Financials'!$M$46-3)*'Upload Detail'!Q171*(1-hhdmiss)))/12</f>
        <v>86.666666666666586</v>
      </c>
      <c r="R173" s="1959">
        <f>(52*'5. Financials'!$M$46*'Upload Detail'!R171*(1-hhdmiss)-clawback*(52*('5. Financials'!$M$46-3)*'Upload Detail'!R171*(1-hhdmiss)))/12</f>
        <v>87.749999999999929</v>
      </c>
      <c r="S173" s="1959">
        <f>(52*'5. Financials'!$M$46*'Upload Detail'!S171*(1-hhdmiss)-clawback*(52*('5. Financials'!$M$46-3)*'Upload Detail'!S171*(1-hhdmiss)))/12</f>
        <v>88.833333333333243</v>
      </c>
      <c r="T173" s="1959">
        <f>(52*'5. Financials'!$M$46*'Upload Detail'!T171*(1-hhdmiss)-clawback*(52*('5. Financials'!$M$46-3)*'Upload Detail'!T171*(1-hhdmiss)))/12</f>
        <v>89.916666666666572</v>
      </c>
      <c r="U173" s="1959">
        <f>(52*'5. Financials'!$M$46*'Upload Detail'!U171*(1-hhdmiss)-clawback*(52*('5. Financials'!$M$46-3)*'Upload Detail'!U171*(1-hhdmiss)))/12</f>
        <v>90.999999999999929</v>
      </c>
      <c r="V173" s="1959">
        <f>(52*'5. Financials'!$M$46*'Upload Detail'!V171*(1-hhdmiss)-clawback*(52*('5. Financials'!$M$46-3)*'Upload Detail'!V171*(1-hhdmiss)))/12</f>
        <v>92.083333333333243</v>
      </c>
      <c r="W173" s="1959">
        <f>(52*'5. Financials'!$M$46*'Upload Detail'!W171*(1-hhdmiss)-clawback*(52*('5. Financials'!$M$46-3)*'Upload Detail'!W171*(1-hhdmiss)))/12</f>
        <v>93.166666666666572</v>
      </c>
      <c r="Y173" s="99"/>
    </row>
    <row r="174" spans="1:26">
      <c r="A174" s="1958" t="s">
        <v>1559</v>
      </c>
      <c r="B174" s="35"/>
      <c r="C174" s="35"/>
      <c r="D174" s="35"/>
      <c r="E174" s="35"/>
      <c r="F174" s="35"/>
      <c r="G174" s="35"/>
      <c r="H174" s="35"/>
      <c r="I174" s="35"/>
      <c r="J174" s="35"/>
      <c r="K174" s="35"/>
      <c r="L174" s="1959">
        <f>(52*'5. Financials'!$M$54*'Upload Detail'!L172*(1-hhdmiss)-clawback*(52*('5. Financials'!$M$54-3)*'Upload Detail'!L172*(1-hhdmiss)))/12</f>
        <v>37.266666666666652</v>
      </c>
      <c r="M174" s="1959">
        <f>(52*'5. Financials'!$M$54*'Upload Detail'!M172*(1-hhdmiss)-clawback*(52*('5. Financials'!$M$54-3)*'Upload Detail'!M172*(1-hhdmiss)))/12</f>
        <v>37.266666666666652</v>
      </c>
      <c r="N174" s="1959">
        <f>(52*'5. Financials'!$M$54*'Upload Detail'!N172*(1-hhdmiss)-clawback*(52*('5. Financials'!$M$54-3)*'Upload Detail'!N172*(1-hhdmiss)))/12</f>
        <v>37.266666666666652</v>
      </c>
      <c r="O174" s="1959">
        <f>(52*'5. Financials'!$M$54*'Upload Detail'!O172*(1-hhdmiss)-clawback*(52*('5. Financials'!$M$54-3)*'Upload Detail'!O172*(1-hhdmiss)))/12</f>
        <v>37.266666666666652</v>
      </c>
      <c r="P174" s="1959">
        <f>(52*'5. Financials'!$M$54*'Upload Detail'!P172*(1-hhdmiss)-clawback*(52*('5. Financials'!$M$54-3)*'Upload Detail'!P172*(1-hhdmiss)))/12</f>
        <v>37.266666666666652</v>
      </c>
      <c r="Q174" s="1959">
        <f>(52*'5. Financials'!$M$54*'Upload Detail'!Q172*(1-hhdmiss)-clawback*(52*('5. Financials'!$M$54-3)*'Upload Detail'!Q172*(1-hhdmiss)))/12</f>
        <v>37.266666666666652</v>
      </c>
      <c r="R174" s="1959">
        <f>(52*'5. Financials'!$M$54*'Upload Detail'!R172*(1-hhdmiss)-clawback*(52*('5. Financials'!$M$54-3)*'Upload Detail'!R172*(1-hhdmiss)))/12</f>
        <v>37.266666666666652</v>
      </c>
      <c r="S174" s="1959">
        <f>(52*'5. Financials'!$M$54*'Upload Detail'!S172*(1-hhdmiss)-clawback*(52*('5. Financials'!$M$54-3)*'Upload Detail'!S172*(1-hhdmiss)))/12</f>
        <v>37.266666666666652</v>
      </c>
      <c r="T174" s="1959">
        <f>(52*'5. Financials'!$M$54*'Upload Detail'!T172*(1-hhdmiss)-clawback*(52*('5. Financials'!$M$54-3)*'Upload Detail'!T172*(1-hhdmiss)))/12</f>
        <v>37.266666666666652</v>
      </c>
      <c r="U174" s="1959">
        <f>(52*'5. Financials'!$M$54*'Upload Detail'!U172*(1-hhdmiss)-clawback*(52*('5. Financials'!$M$54-3)*'Upload Detail'!U172*(1-hhdmiss)))/12</f>
        <v>37.266666666666652</v>
      </c>
      <c r="V174" s="1959">
        <f>(52*'5. Financials'!$M$54*'Upload Detail'!V172*(1-hhdmiss)-clawback*(52*('5. Financials'!$M$54-3)*'Upload Detail'!V172*(1-hhdmiss)))/12</f>
        <v>37.266666666666652</v>
      </c>
      <c r="W174" s="1959">
        <f>(52*'5. Financials'!$M$54*'Upload Detail'!W172*(1-hhdmiss)-clawback*(52*('5. Financials'!$M$54-3)*'Upload Detail'!W172*(1-hhdmiss)))/12</f>
        <v>37.266666666666652</v>
      </c>
      <c r="Y174" s="99"/>
    </row>
    <row r="175" spans="1:26">
      <c r="A175" s="98" t="s">
        <v>151</v>
      </c>
      <c r="B175" t="str">
        <f>+$B$2</f>
        <v>D10_11032</v>
      </c>
      <c r="C175" t="str">
        <f>+$C$2</f>
        <v>LE_XXXX</v>
      </c>
      <c r="D175" t="s">
        <v>2886</v>
      </c>
      <c r="E175">
        <v>3010</v>
      </c>
      <c r="F175" t="s">
        <v>2888</v>
      </c>
      <c r="G175" t="s">
        <v>2889</v>
      </c>
      <c r="H175" t="s">
        <v>145</v>
      </c>
      <c r="I175" t="s">
        <v>146</v>
      </c>
      <c r="J175" t="s">
        <v>147</v>
      </c>
      <c r="K175" t="str">
        <f>+"FY"&amp;RIGHT(YEAR('Hyperion Panel'!$B$9)+4,2)</f>
        <v>FY14</v>
      </c>
      <c r="L175" s="1612"/>
      <c r="M175" s="1612"/>
      <c r="N175" s="1612"/>
      <c r="O175" s="1612"/>
      <c r="P175" s="1612"/>
      <c r="Q175" s="1612"/>
      <c r="R175" s="1612"/>
      <c r="S175" s="1612"/>
      <c r="T175" s="1612"/>
      <c r="U175" s="1612"/>
      <c r="V175" s="1702"/>
      <c r="W175" s="1612"/>
    </row>
    <row r="176" spans="1:26" s="98" customFormat="1">
      <c r="A176" s="100" t="s">
        <v>463</v>
      </c>
      <c r="L176" s="1697">
        <f>+IF(COLUMNS($L176:L176)&lt;month,'5. Financials'!$L$15*L163,'5. Financials'!$M$15*L163)</f>
        <v>172979.54604633883</v>
      </c>
      <c r="M176" s="1697">
        <f>+IF(COLUMNS($L176:M176)&lt;month,'5. Financials'!$L$15*M163,'5. Financials'!$M$15*M163)</f>
        <v>176068.46651145205</v>
      </c>
      <c r="N176" s="1697">
        <f>+IF(COLUMNS($L176:N176)&lt;month,'5. Financials'!$L$15*N163,'5. Financials'!$M$15*N163)</f>
        <v>179157.38697656523</v>
      </c>
      <c r="O176" s="1697">
        <f>+IF(COLUMNS($L176:O176)&lt;month,'5. Financials'!$L$15*O163,'5. Financials'!$M$15*O163)</f>
        <v>182246.30744167842</v>
      </c>
      <c r="P176" s="1697">
        <f>+IF(COLUMNS($L176:P176)&lt;month,'5. Financials'!$L$15*P163,'5. Financials'!$M$15*P163)</f>
        <v>185335.22790679161</v>
      </c>
      <c r="Q176" s="1697">
        <f>+IF(COLUMNS($L176:Q176)&lt;month,'5. Financials'!$L$15*Q163,'5. Financials'!$M$15*Q163)</f>
        <v>188424.14837190483</v>
      </c>
      <c r="R176" s="1697">
        <f>+IF(COLUMNS($L176:R176)&lt;month,'5. Financials'!$L$15*R163,'5. Financials'!$M$15*R163)</f>
        <v>191513.06883701799</v>
      </c>
      <c r="S176" s="1697">
        <f>+IF(COLUMNS($L176:S176)&lt;month,'5. Financials'!$L$15*S163,'5. Financials'!$M$15*S163)</f>
        <v>194601.9893021312</v>
      </c>
      <c r="T176" s="1697">
        <f>+IF(COLUMNS($L176:T176)&lt;month,'5. Financials'!$L$15*T163,'5. Financials'!$M$15*T163)</f>
        <v>197690.90976724439</v>
      </c>
      <c r="U176" s="1697">
        <f>+IF(COLUMNS($L176:U176)&lt;month,'5. Financials'!$L$15*U163,'5. Financials'!$M$15*U163)</f>
        <v>200779.83023235758</v>
      </c>
      <c r="V176" s="1700">
        <f>+IF(COLUMNS($L176:V176)&lt;month,'5. Financials'!$L$15*V163,'5. Financials'!$M$15*V163)</f>
        <v>206895.89275328169</v>
      </c>
      <c r="W176" s="1697">
        <f>+IF(COLUMNS($L176:W176)&lt;month,'5. Financials'!$L$15*W163,'5. Financials'!$M$15*W163)</f>
        <v>208996.35866955869</v>
      </c>
      <c r="Y176" s="99"/>
      <c r="Z176" s="97"/>
    </row>
    <row r="177" spans="1:26" s="98" customFormat="1">
      <c r="A177" s="100" t="s">
        <v>464</v>
      </c>
      <c r="L177" s="1697">
        <f>+IF(COLUMNS($L177:L177)&lt;month,'5. Financials'!$L$23*L164,'5. Financials'!$M$23*L164)</f>
        <v>81345.882985652002</v>
      </c>
      <c r="M177" s="1697">
        <f>+IF(COLUMNS($L177:M177)&lt;month,'5. Financials'!$L$23*M164,'5. Financials'!$M$23*M164)</f>
        <v>82430.494758794026</v>
      </c>
      <c r="N177" s="1697">
        <f>+IF(COLUMNS($L177:N177)&lt;month,'5. Financials'!$L$23*N164,'5. Financials'!$M$23*N164)</f>
        <v>83515.10653193605</v>
      </c>
      <c r="O177" s="1697">
        <f>+IF(COLUMNS($L177:O177)&lt;month,'5. Financials'!$L$23*O164,'5. Financials'!$M$23*O164)</f>
        <v>84599.718305078073</v>
      </c>
      <c r="P177" s="1697">
        <f>+IF(COLUMNS($L177:P177)&lt;month,'5. Financials'!$L$23*P164,'5. Financials'!$M$23*P164)</f>
        <v>85684.330078220082</v>
      </c>
      <c r="Q177" s="1697">
        <f>+IF(COLUMNS($L177:Q177)&lt;month,'5. Financials'!$L$23*Q164,'5. Financials'!$M$23*Q164)</f>
        <v>86768.94185136212</v>
      </c>
      <c r="R177" s="1697">
        <f>+IF(COLUMNS($L177:R177)&lt;month,'5. Financials'!$L$23*R164,'5. Financials'!$M$23*R164)</f>
        <v>87853.553624504144</v>
      </c>
      <c r="S177" s="1697">
        <f>+IF(COLUMNS($L177:S177)&lt;month,'5. Financials'!$L$23*S164,'5. Financials'!$M$23*S164)</f>
        <v>88938.165397646153</v>
      </c>
      <c r="T177" s="1697">
        <f>+IF(COLUMNS($L177:T177)&lt;month,'5. Financials'!$L$23*T164,'5. Financials'!$M$23*T164)</f>
        <v>90022.777170788177</v>
      </c>
      <c r="U177" s="1697">
        <f>+IF(COLUMNS($L177:U177)&lt;month,'5. Financials'!$L$23*U164,'5. Financials'!$M$23*U164)</f>
        <v>91107.388943930244</v>
      </c>
      <c r="V177" s="1700">
        <f>+IF(COLUMNS($L177:V177)&lt;month,'5. Financials'!$L$23*V164,'5. Financials'!$M$23*V164)</f>
        <v>94312.416733564882</v>
      </c>
      <c r="W177" s="1697">
        <f>+IF(COLUMNS($L177:W177)&lt;month,'5. Financials'!$L$23*W164,'5. Financials'!$M$23*W164)</f>
        <v>95421.974577489178</v>
      </c>
      <c r="Y177" s="99"/>
      <c r="Z177" s="97"/>
    </row>
    <row r="178" spans="1:26">
      <c r="A178" s="98" t="s">
        <v>152</v>
      </c>
      <c r="B178" t="str">
        <f>+$B$2</f>
        <v>D10_11032</v>
      </c>
      <c r="C178" t="str">
        <f>+$C$2</f>
        <v>LE_XXXX</v>
      </c>
      <c r="D178" t="s">
        <v>2886</v>
      </c>
      <c r="E178">
        <v>3030</v>
      </c>
      <c r="F178" t="s">
        <v>150</v>
      </c>
      <c r="G178" t="s">
        <v>2889</v>
      </c>
      <c r="H178" t="s">
        <v>145</v>
      </c>
      <c r="I178" t="s">
        <v>146</v>
      </c>
      <c r="J178" t="s">
        <v>147</v>
      </c>
      <c r="K178" t="str">
        <f>+"FY"&amp;RIGHT(YEAR('Hyperion Panel'!$B$9)+4,2)</f>
        <v>FY14</v>
      </c>
      <c r="L178" s="1612"/>
      <c r="M178" s="1612"/>
      <c r="N178" s="1612"/>
      <c r="O178" s="1612"/>
      <c r="P178" s="1612"/>
      <c r="Q178" s="1612"/>
      <c r="R178" s="1612"/>
      <c r="S178" s="1612"/>
      <c r="T178" s="1612"/>
      <c r="U178" s="1612"/>
      <c r="V178" s="1703"/>
      <c r="W178" s="1612"/>
    </row>
    <row r="179" spans="1:26" s="98" customFormat="1">
      <c r="A179" s="100" t="s">
        <v>463</v>
      </c>
      <c r="L179" s="1697">
        <f>+IF(COLUMNS($L179:L179)&lt;month,'5. Financials'!$L$32*L166,'5. Financials'!$M$32*L166)</f>
        <v>49702.61932693897</v>
      </c>
      <c r="M179" s="1697">
        <f>+IF(COLUMNS($L179:M179)&lt;month,'5. Financials'!$L$32*M166,'5. Financials'!$M$32*M166)</f>
        <v>50738.090562916856</v>
      </c>
      <c r="N179" s="1697">
        <f>+IF(COLUMNS($L179:N179)&lt;month,'5. Financials'!$L$32*N166,'5. Financials'!$M$32*N166)</f>
        <v>51773.561798894734</v>
      </c>
      <c r="O179" s="1697">
        <f>+IF(COLUMNS($L179:O179)&lt;month,'5. Financials'!$L$32*O166,'5. Financials'!$M$32*O166)</f>
        <v>52809.033034872635</v>
      </c>
      <c r="P179" s="1697">
        <f>+IF(COLUMNS($L179:P179)&lt;month,'5. Financials'!$L$32*P166,'5. Financials'!$M$32*P166)</f>
        <v>53844.504270850528</v>
      </c>
      <c r="Q179" s="1697">
        <f>+IF(COLUMNS($L179:Q179)&lt;month,'5. Financials'!$L$32*Q166,'5. Financials'!$M$32*Q166)</f>
        <v>54879.975506828414</v>
      </c>
      <c r="R179" s="1697">
        <f>+IF(COLUMNS($L179:R179)&lt;month,'5. Financials'!$L$32*R166,'5. Financials'!$M$32*R166)</f>
        <v>55915.446742806293</v>
      </c>
      <c r="S179" s="1697">
        <f>+IF(COLUMNS($L179:S179)&lt;month,'5. Financials'!$L$32*S166,'5. Financials'!$M$32*S166)</f>
        <v>56950.917978784193</v>
      </c>
      <c r="T179" s="1697">
        <f>+IF(COLUMNS($L179:T179)&lt;month,'5. Financials'!$L$32*T166,'5. Financials'!$M$32*T166)</f>
        <v>57986.389214762086</v>
      </c>
      <c r="U179" s="1697">
        <f>+IF(COLUMNS($L179:U179)&lt;month,'5. Financials'!$L$32*U166,'5. Financials'!$M$32*U166)</f>
        <v>59021.860450739987</v>
      </c>
      <c r="V179" s="1697">
        <f>+IF(COLUMNS($L179:V179)&lt;month,'5. Financials'!$L$32*V166,'5. Financials'!$M$32*V166)</f>
        <v>60730.387990103511</v>
      </c>
      <c r="W179" s="1697">
        <f>+IF(COLUMNS($L179:W179)&lt;month,'5. Financials'!$L$32*W166,'5. Financials'!$M$32*W166)</f>
        <v>61258.478320452232</v>
      </c>
      <c r="Y179" s="99"/>
    </row>
    <row r="180" spans="1:26" s="98" customFormat="1">
      <c r="A180" s="100" t="s">
        <v>464</v>
      </c>
      <c r="L180" s="1697">
        <f>+IF(COLUMNS($L180:L180)&lt;month,'5. Financials'!$L$40*L167,'5. Financials'!$M$40*L167)</f>
        <v>30239.44780553586</v>
      </c>
      <c r="M180" s="1697">
        <f>+IF(COLUMNS($L180:M180)&lt;month,'5. Financials'!$L$40*M167,'5. Financials'!$M$40*M167)</f>
        <v>31359.427353889045</v>
      </c>
      <c r="N180" s="1697">
        <f>+IF(COLUMNS($L180:N180)&lt;month,'5. Financials'!$L$40*N167,'5. Financials'!$M$40*N167)</f>
        <v>32479.40690224223</v>
      </c>
      <c r="O180" s="1697">
        <f>+IF(COLUMNS($L180:O180)&lt;month,'5. Financials'!$L$40*O167,'5. Financials'!$M$40*O167)</f>
        <v>33599.386450595412</v>
      </c>
      <c r="P180" s="1697">
        <f>+IF(COLUMNS($L180:P180)&lt;month,'5. Financials'!$L$40*P167,'5. Financials'!$M$40*P167)</f>
        <v>34719.365998948597</v>
      </c>
      <c r="Q180" s="1697">
        <f>+IF(COLUMNS($L180:Q180)&lt;month,'5. Financials'!$L$40*Q167,'5. Financials'!$M$40*Q167)</f>
        <v>35839.345547301782</v>
      </c>
      <c r="R180" s="1697">
        <f>+IF(COLUMNS($L180:R180)&lt;month,'5. Financials'!$L$40*R167,'5. Financials'!$M$40*R167)</f>
        <v>36959.32509565496</v>
      </c>
      <c r="S180" s="1697">
        <f>+IF(COLUMNS($L180:S180)&lt;month,'5. Financials'!$L$40*S167,'5. Financials'!$M$40*S167)</f>
        <v>38079.304644008145</v>
      </c>
      <c r="T180" s="1697">
        <f>+IF(COLUMNS($L180:T180)&lt;month,'5. Financials'!$L$40*T167,'5. Financials'!$M$40*T167)</f>
        <v>39199.284192361323</v>
      </c>
      <c r="U180" s="1697">
        <f>+IF(COLUMNS($L180:U180)&lt;month,'5. Financials'!$L$40*U167,'5. Financials'!$M$40*U167)</f>
        <v>40319.263740714508</v>
      </c>
      <c r="V180" s="1697">
        <f>+IF(COLUMNS($L180:V180)&lt;month,'5. Financials'!$L$40*V167,'5. Financials'!$M$40*V167)</f>
        <v>42392.34588471624</v>
      </c>
      <c r="W180" s="1697">
        <f>+IF(COLUMNS($L180:W180)&lt;month,'5. Financials'!$L$40*W167,'5. Financials'!$M$40*W167)</f>
        <v>43538.084962681547</v>
      </c>
      <c r="Y180" s="99"/>
    </row>
    <row r="181" spans="1:26">
      <c r="A181" s="4" t="s">
        <v>170</v>
      </c>
      <c r="B181" s="4" t="str">
        <f>+$B$2</f>
        <v>D10_11032</v>
      </c>
      <c r="C181" s="4"/>
      <c r="D181" s="4"/>
      <c r="E181" s="4"/>
      <c r="F181" s="4"/>
      <c r="G181" s="4"/>
      <c r="H181" s="4"/>
      <c r="I181" s="4"/>
      <c r="J181" s="4"/>
      <c r="K181" s="4" t="str">
        <f>+"FY"&amp;RIGHT(YEAR('Hyperion Panel'!$B$9)+4,2)</f>
        <v>FY14</v>
      </c>
      <c r="L181" s="1698"/>
      <c r="M181" s="1698"/>
      <c r="N181" s="1698"/>
      <c r="O181" s="1698"/>
      <c r="P181" s="1698"/>
      <c r="Q181" s="1698"/>
      <c r="R181" s="1698"/>
      <c r="S181" s="1698"/>
      <c r="T181" s="1698"/>
      <c r="U181" s="1698"/>
      <c r="V181" s="1699"/>
      <c r="W181" s="1698"/>
    </row>
    <row r="182" spans="1:26">
      <c r="A182" s="101" t="s">
        <v>463</v>
      </c>
      <c r="B182" s="4"/>
      <c r="C182" s="4"/>
      <c r="D182" s="4"/>
      <c r="E182" s="4"/>
      <c r="F182" s="4"/>
      <c r="G182" s="4"/>
      <c r="H182" s="4"/>
      <c r="I182" s="4"/>
      <c r="J182" s="4"/>
      <c r="K182" s="4"/>
      <c r="L182" s="1698">
        <f>+IF(COLUMNS($L182:L182)&lt;month,'5. Financials'!$L$49*L173,'5. Financials'!$M$49*L173)</f>
        <v>21105.942081892277</v>
      </c>
      <c r="M182" s="1698">
        <f>+IF(COLUMNS($L182:M182)&lt;month,'5. Financials'!$L$49*M173,'5. Financials'!$M$49*M173)</f>
        <v>21387.35464298417</v>
      </c>
      <c r="N182" s="1698">
        <f>+IF(COLUMNS($L182:N182)&lt;month,'5. Financials'!$L$49*N173,'5. Financials'!$M$49*N173)</f>
        <v>21668.767204076066</v>
      </c>
      <c r="O182" s="1698">
        <f>+IF(COLUMNS($L182:O182)&lt;month,'5. Financials'!$L$49*O173,'5. Financials'!$M$49*O173)</f>
        <v>21950.179765167959</v>
      </c>
      <c r="P182" s="1698">
        <f>+IF(COLUMNS($L182:P182)&lt;month,'5. Financials'!$L$49*P173,'5. Financials'!$M$49*P173)</f>
        <v>22231.592326259859</v>
      </c>
      <c r="Q182" s="1698">
        <f>+IF(COLUMNS($L182:Q182)&lt;month,'5. Financials'!$L$49*Q173,'5. Financials'!$M$49*Q173)</f>
        <v>22513.004887351755</v>
      </c>
      <c r="R182" s="1698">
        <f>+IF(COLUMNS($L182:R182)&lt;month,'5. Financials'!$L$49*R173,'5. Financials'!$M$49*R173)</f>
        <v>22794.417448443655</v>
      </c>
      <c r="S182" s="1698">
        <f>+IF(COLUMNS($L182:S182)&lt;month,'5. Financials'!$L$49*S173,'5. Financials'!$M$49*S173)</f>
        <v>23075.830009535548</v>
      </c>
      <c r="T182" s="1698">
        <f>+IF(COLUMNS($L182:T182)&lt;month,'5. Financials'!$L$49*T173,'5. Financials'!$M$49*T173)</f>
        <v>23357.242570627444</v>
      </c>
      <c r="U182" s="1698">
        <f>+IF(COLUMNS($L182:U182)&lt;month,'5. Financials'!$L$49*U173,'5. Financials'!$M$49*U173)</f>
        <v>23638.655131719348</v>
      </c>
      <c r="V182" s="1698">
        <f>+IF(COLUMNS($L182:V182)&lt;month,'5. Financials'!$L$49*V173,'5. Financials'!$M$49*V173)</f>
        <v>24398.469046667466</v>
      </c>
      <c r="W182" s="1698">
        <f>+IF(COLUMNS($L182:W182)&lt;month,'5. Financials'!$L$49*W173,'5. Financials'!$M$49*W173)</f>
        <v>24685.509858981201</v>
      </c>
      <c r="X182" t="s">
        <v>720</v>
      </c>
      <c r="Y182" s="99"/>
    </row>
    <row r="183" spans="1:26">
      <c r="A183" s="101" t="s">
        <v>464</v>
      </c>
      <c r="B183" s="4"/>
      <c r="C183" s="4"/>
      <c r="D183" s="4"/>
      <c r="E183" s="4"/>
      <c r="F183" s="4"/>
      <c r="G183" s="4"/>
      <c r="H183" s="4"/>
      <c r="I183" s="4"/>
      <c r="J183" s="4"/>
      <c r="K183" s="4"/>
      <c r="L183" s="1698">
        <f>+IF(COLUMNS($L183:L183)&lt;month,'5. Financials'!$L$57*L174,'5. Financials'!$M$57*L174)</f>
        <v>0</v>
      </c>
      <c r="M183" s="1698">
        <f>+IF(COLUMNS($L183:M183)&lt;month,'5. Financials'!$L$57*M174,'5. Financials'!$M$57*M174)</f>
        <v>0</v>
      </c>
      <c r="N183" s="1698">
        <f>+IF(COLUMNS($L183:N183)&lt;month,'5. Financials'!$L$57*N174,'5. Financials'!$M$57*N174)</f>
        <v>0</v>
      </c>
      <c r="O183" s="1698">
        <f>+IF(COLUMNS($L183:O183)&lt;month,'5. Financials'!$L$57*O174,'5. Financials'!$M$57*O174)</f>
        <v>0</v>
      </c>
      <c r="P183" s="1698">
        <f>+IF(COLUMNS($L183:P183)&lt;month,'5. Financials'!$L$57*P174,'5. Financials'!$M$57*P174)</f>
        <v>0</v>
      </c>
      <c r="Q183" s="1698">
        <f>+IF(COLUMNS($L183:Q183)&lt;month,'5. Financials'!$L$57*Q174,'5. Financials'!$M$57*Q174)</f>
        <v>0</v>
      </c>
      <c r="R183" s="1698">
        <f>+IF(COLUMNS($L183:R183)&lt;month,'5. Financials'!$L$57*R174,'5. Financials'!$M$57*R174)</f>
        <v>0</v>
      </c>
      <c r="S183" s="1698">
        <f>+IF(COLUMNS($L183:S183)&lt;month,'5. Financials'!$L$57*S174,'5. Financials'!$M$57*S174)</f>
        <v>0</v>
      </c>
      <c r="T183" s="1698">
        <f>+IF(COLUMNS($L183:T183)&lt;month,'5. Financials'!$L$57*T174,'5. Financials'!$M$57*T174)</f>
        <v>0</v>
      </c>
      <c r="U183" s="1698">
        <f>+IF(COLUMNS($L183:U183)&lt;month,'5. Financials'!$L$57*U174,'5. Financials'!$M$57*U174)</f>
        <v>0</v>
      </c>
      <c r="V183" s="1698">
        <f>+IF(COLUMNS($L183:V183)&lt;month,'5. Financials'!$L$57*V174,'5. Financials'!$M$57*V174)</f>
        <v>0</v>
      </c>
      <c r="W183" s="1698">
        <f>+IF(COLUMNS($L183:W183)&lt;month,'5. Financials'!$L$57*W174,'5. Financials'!$M$57*W174)</f>
        <v>0</v>
      </c>
      <c r="X183" t="s">
        <v>720</v>
      </c>
      <c r="Y183" s="99"/>
    </row>
    <row r="184" spans="1:26">
      <c r="A184" s="3" t="s">
        <v>2651</v>
      </c>
      <c r="B184" t="str">
        <f t="shared" ref="B184:B200" si="8">+$B$2</f>
        <v>D10_11032</v>
      </c>
      <c r="C184" t="str">
        <f t="shared" ref="C184:C193" si="9">+$C$2</f>
        <v>LE_XXXX</v>
      </c>
      <c r="D184" t="s">
        <v>2886</v>
      </c>
      <c r="E184">
        <v>6010</v>
      </c>
      <c r="F184" t="s">
        <v>2888</v>
      </c>
      <c r="G184" t="s">
        <v>153</v>
      </c>
      <c r="H184" t="s">
        <v>154</v>
      </c>
      <c r="I184" t="s">
        <v>146</v>
      </c>
      <c r="J184" t="s">
        <v>147</v>
      </c>
      <c r="K184" t="str">
        <f>+"FY"&amp;RIGHT(YEAR('Hyperion Panel'!$B$9)+4,2)</f>
        <v>FY14</v>
      </c>
      <c r="L184" s="1697">
        <f>+IF(COLUMNS($L184:L184)&lt;month,'5. Financials'!$L$107*SUM(L163:L164,L166:L167,L169:L170),'5. Financials'!$M$107*SUM(L163:L164,L166:L167,L169:L170))</f>
        <v>44128.155031182185</v>
      </c>
      <c r="M184" s="1697">
        <f>+IF(COLUMNS($L184:M184)&lt;month,'5. Financials'!$L$107*SUM(M163:M164,M166:M167,M169:M170),'5. Financials'!$M$107*SUM(M163:M164,M166:M167,M169:M170))</f>
        <v>44906.016486558699</v>
      </c>
      <c r="N184" s="1697">
        <f>+IF(COLUMNS($L184:N184)&lt;month,'5. Financials'!$L$107*SUM(N163:N164,N166:N167,N169:N170),'5. Financials'!$M$107*SUM(N163:N164,N166:N167,N169:N170))</f>
        <v>45683.877941935221</v>
      </c>
      <c r="O184" s="1697">
        <f>+IF(COLUMNS($L184:O184)&lt;month,'5. Financials'!$L$107*SUM(O163:O164,O166:O167,O169:O170),'5. Financials'!$M$107*SUM(O163:O164,O166:O167,O169:O170))</f>
        <v>46461.739397311743</v>
      </c>
      <c r="P184" s="1697">
        <f>+IF(COLUMNS($L184:P184)&lt;month,'5. Financials'!$L$107*SUM(P163:P164,P166:P167,P169:P170),'5. Financials'!$M$107*SUM(P163:P164,P166:P167,P169:P170))</f>
        <v>47239.600852688258</v>
      </c>
      <c r="Q184" s="1697">
        <f>+IF(COLUMNS($L184:Q184)&lt;month,'5. Financials'!$L$107*SUM(Q163:Q164,Q166:Q167,Q169:Q170),'5. Financials'!$M$107*SUM(Q163:Q164,Q166:Q167,Q169:Q170))</f>
        <v>48017.46230806478</v>
      </c>
      <c r="R184" s="1697">
        <f>+IF(COLUMNS($L184:R184)&lt;month,'5. Financials'!$L$107*SUM(R163:R164,R166:R167,R169:R170),'5. Financials'!$M$107*SUM(R163:R164,R166:R167,R169:R170))</f>
        <v>48795.323763441302</v>
      </c>
      <c r="S184" s="1697">
        <f>+IF(COLUMNS($L184:S184)&lt;month,'5. Financials'!$L$107*SUM(S163:S164,S166:S167,S169:S170),'5. Financials'!$M$107*SUM(S163:S164,S166:S167,S169:S170))</f>
        <v>49573.185218817816</v>
      </c>
      <c r="T184" s="1697">
        <f>+IF(COLUMNS($L184:T184)&lt;month,'5. Financials'!$L$107*SUM(T163:T164,T166:T167,T169:T170),'5. Financials'!$M$107*SUM(T163:T164,T166:T167,T169:T170))</f>
        <v>50351.046674194331</v>
      </c>
      <c r="U184" s="1697">
        <f>+IF(COLUMNS($L184:U184)&lt;month,'5. Financials'!$L$107*SUM(U163:U164,U166:U167,U169:U170),'5. Financials'!$M$107*SUM(U163:U164,U166:U167,U169:U170))</f>
        <v>51128.90812957086</v>
      </c>
      <c r="V184" s="1697">
        <f>+IF(COLUMNS($L184:V184)&lt;month,'5. Financials'!$L$107*SUM(V163:V164,V166:V167,V169:V170),'5. Financials'!$M$107*SUM(V163:V164,V166:V167,V169:V170))</f>
        <v>51399.768345648947</v>
      </c>
      <c r="W184" s="1697">
        <f>+IF(COLUMNS($L184:W184)&lt;month,'5. Financials'!$L$107*SUM(W163:W164,W166:W167,W169:W170),'5. Financials'!$M$107*SUM(W163:W164,W166:W167,W169:W170))</f>
        <v>51929.843068727925</v>
      </c>
    </row>
    <row r="185" spans="1:26">
      <c r="A185" t="s">
        <v>2652</v>
      </c>
      <c r="B185" t="str">
        <f t="shared" si="8"/>
        <v>D10_11032</v>
      </c>
      <c r="C185" t="str">
        <f t="shared" si="9"/>
        <v>LE_XXXX</v>
      </c>
      <c r="D185" t="s">
        <v>2886</v>
      </c>
      <c r="E185">
        <v>6010</v>
      </c>
      <c r="F185" t="s">
        <v>2888</v>
      </c>
      <c r="G185" t="s">
        <v>155</v>
      </c>
      <c r="H185" t="s">
        <v>154</v>
      </c>
      <c r="I185" t="s">
        <v>146</v>
      </c>
      <c r="J185" t="s">
        <v>147</v>
      </c>
      <c r="K185" t="str">
        <f>+"FY"&amp;RIGHT(YEAR('Hyperion Panel'!$B$9)+4,2)</f>
        <v>FY14</v>
      </c>
      <c r="L185" s="1612">
        <f>+IF(COLUMNS($L185:L185)&lt;month,'5. Financials'!$L$74/12,'5. Financials'!$M$74/12)</f>
        <v>25946.195544444436</v>
      </c>
      <c r="M185" s="1612">
        <f>+IF(COLUMNS($L185:M185)&lt;month,'5. Financials'!$L$74/12,'5. Financials'!$M$74/12)</f>
        <v>25946.195544444436</v>
      </c>
      <c r="N185" s="1612">
        <f>+IF(COLUMNS($L185:N185)&lt;month,'5. Financials'!$L$74/12,'5. Financials'!$M$74/12)</f>
        <v>25946.195544444436</v>
      </c>
      <c r="O185" s="1612">
        <f>+IF(COLUMNS($L185:O185)&lt;month,'5. Financials'!$L$74/12,'5. Financials'!$M$74/12)</f>
        <v>25946.195544444436</v>
      </c>
      <c r="P185" s="1612">
        <f>+IF(COLUMNS($L185:P185)&lt;month,'5. Financials'!$L$74/12,'5. Financials'!$M$74/12)</f>
        <v>25946.195544444436</v>
      </c>
      <c r="Q185" s="1612">
        <f>+IF(COLUMNS($L185:Q185)&lt;month,'5. Financials'!$L$74/12,'5. Financials'!$M$74/12)</f>
        <v>25946.195544444436</v>
      </c>
      <c r="R185" s="1612">
        <f>+IF(COLUMNS($L185:R185)&lt;month,'5. Financials'!$L$74/12,'5. Financials'!$M$74/12)</f>
        <v>25946.195544444436</v>
      </c>
      <c r="S185" s="1612">
        <f>+IF(COLUMNS($L185:S185)&lt;month,'5. Financials'!$L$74/12,'5. Financials'!$M$74/12)</f>
        <v>25946.195544444436</v>
      </c>
      <c r="T185" s="1612">
        <f>+IF(COLUMNS($L185:T185)&lt;month,'5. Financials'!$L$74/12,'5. Financials'!$M$74/12)</f>
        <v>25946.195544444436</v>
      </c>
      <c r="U185" s="1612">
        <f>+IF(COLUMNS($L185:U185)&lt;month,'5. Financials'!$L$74/12,'5. Financials'!$M$74/12)</f>
        <v>25946.195544444436</v>
      </c>
      <c r="V185" s="1612">
        <f>+IF(COLUMNS($L185:V185)&lt;month,'5. Financials'!$L$74/12,'5. Financials'!$M$74/12)</f>
        <v>29672.789210305549</v>
      </c>
      <c r="W185" s="1612">
        <f>+IF(COLUMNS($L185:W185)&lt;month,'5. Financials'!$L$74/12,'5. Financials'!$M$74/12)</f>
        <v>29672.789210305549</v>
      </c>
    </row>
    <row r="186" spans="1:26">
      <c r="A186" t="s">
        <v>2653</v>
      </c>
      <c r="B186" t="str">
        <f t="shared" si="8"/>
        <v>D10_11032</v>
      </c>
      <c r="C186" t="str">
        <f t="shared" si="9"/>
        <v>LE_XXXX</v>
      </c>
      <c r="D186" t="s">
        <v>2886</v>
      </c>
      <c r="E186">
        <v>6051</v>
      </c>
      <c r="F186" t="s">
        <v>2888</v>
      </c>
      <c r="G186" t="s">
        <v>153</v>
      </c>
      <c r="H186" t="s">
        <v>154</v>
      </c>
      <c r="I186" t="s">
        <v>146</v>
      </c>
      <c r="J186" t="s">
        <v>147</v>
      </c>
      <c r="K186" t="str">
        <f>+"FY"&amp;RIGHT(YEAR('Hyperion Panel'!$B$9)+4,2)</f>
        <v>FY14</v>
      </c>
      <c r="L186" s="1612">
        <f>+IF(COLUMNS($L186:L186)&lt;month,'5. Financials'!$L$75/12,'5. Financials'!$M$75/12)</f>
        <v>28390.777611083311</v>
      </c>
      <c r="M186" s="1612">
        <f>+IF(COLUMNS($L186:M186)&lt;month,'5. Financials'!$L$75/12,'5. Financials'!$M$75/12)</f>
        <v>28390.777611083311</v>
      </c>
      <c r="N186" s="1612">
        <f>+IF(COLUMNS($L186:N186)&lt;month,'5. Financials'!$L$75/12,'5. Financials'!$M$75/12)</f>
        <v>28390.777611083311</v>
      </c>
      <c r="O186" s="1612">
        <f>+IF(COLUMNS($L186:O186)&lt;month,'5. Financials'!$L$75/12,'5. Financials'!$M$75/12)</f>
        <v>28390.777611083311</v>
      </c>
      <c r="P186" s="1612">
        <f>+IF(COLUMNS($L186:P186)&lt;month,'5. Financials'!$L$75/12,'5. Financials'!$M$75/12)</f>
        <v>28390.777611083311</v>
      </c>
      <c r="Q186" s="1612">
        <f>+IF(COLUMNS($L186:Q186)&lt;month,'5. Financials'!$L$75/12,'5. Financials'!$M$75/12)</f>
        <v>28390.777611083311</v>
      </c>
      <c r="R186" s="1612">
        <f>+IF(COLUMNS($L186:R186)&lt;month,'5. Financials'!$L$75/12,'5. Financials'!$M$75/12)</f>
        <v>28390.777611083311</v>
      </c>
      <c r="S186" s="1612">
        <f>+IF(COLUMNS($L186:S186)&lt;month,'5. Financials'!$L$75/12,'5. Financials'!$M$75/12)</f>
        <v>28390.777611083311</v>
      </c>
      <c r="T186" s="1612">
        <f>+IF(COLUMNS($L186:T186)&lt;month,'5. Financials'!$L$75/12,'5. Financials'!$M$75/12)</f>
        <v>28390.777611083311</v>
      </c>
      <c r="U186" s="1612">
        <f>+IF(COLUMNS($L186:U186)&lt;month,'5. Financials'!$L$75/12,'5. Financials'!$M$75/12)</f>
        <v>28390.777611083311</v>
      </c>
      <c r="V186" s="1612">
        <f>+IF(COLUMNS($L186:V186)&lt;month,'5. Financials'!$L$75/12,'5. Financials'!$M$75/12)</f>
        <v>32755.307727826661</v>
      </c>
      <c r="W186" s="1612">
        <f>+IF(COLUMNS($L186:W186)&lt;month,'5. Financials'!$L$75/12,'5. Financials'!$M$75/12)</f>
        <v>32755.307727826661</v>
      </c>
    </row>
    <row r="187" spans="1:26">
      <c r="A187" t="s">
        <v>2654</v>
      </c>
      <c r="B187" t="str">
        <f t="shared" si="8"/>
        <v>D10_11032</v>
      </c>
      <c r="C187" t="str">
        <f t="shared" si="9"/>
        <v>LE_XXXX</v>
      </c>
      <c r="D187" t="s">
        <v>2886</v>
      </c>
      <c r="E187">
        <v>6011</v>
      </c>
      <c r="F187" t="s">
        <v>2888</v>
      </c>
      <c r="G187" t="s">
        <v>153</v>
      </c>
      <c r="H187" t="s">
        <v>154</v>
      </c>
      <c r="I187" t="s">
        <v>146</v>
      </c>
      <c r="J187" t="s">
        <v>147</v>
      </c>
      <c r="K187" t="str">
        <f>+"FY"&amp;RIGHT(YEAR('Hyperion Panel'!$B$9)+4,2)</f>
        <v>FY14</v>
      </c>
      <c r="L187" s="1612">
        <f>+IF(COLUMNS($L187:L187)&lt;month,'5. Financials'!$L$76/12,'5. Financials'!$M$76/12)</f>
        <v>0</v>
      </c>
      <c r="M187" s="1612">
        <f>+IF(COLUMNS($L187:M187)&lt;month,'5. Financials'!$L$76/12,'5. Financials'!$M$76/12)</f>
        <v>0</v>
      </c>
      <c r="N187" s="1612">
        <f>+IF(COLUMNS($L187:N187)&lt;month,'5. Financials'!$L$76/12,'5. Financials'!$M$76/12)</f>
        <v>0</v>
      </c>
      <c r="O187" s="1612">
        <f>+IF(COLUMNS($L187:O187)&lt;month,'5. Financials'!$L$76/12,'5. Financials'!$M$76/12)</f>
        <v>0</v>
      </c>
      <c r="P187" s="1612">
        <f>+IF(COLUMNS($L187:P187)&lt;month,'5. Financials'!$L$76/12,'5. Financials'!$M$76/12)</f>
        <v>0</v>
      </c>
      <c r="Q187" s="1612">
        <f>+IF(COLUMNS($L187:Q187)&lt;month,'5. Financials'!$L$76/12,'5. Financials'!$M$76/12)</f>
        <v>0</v>
      </c>
      <c r="R187" s="1612">
        <f>+IF(COLUMNS($L187:R187)&lt;month,'5. Financials'!$L$76/12,'5. Financials'!$M$76/12)</f>
        <v>0</v>
      </c>
      <c r="S187" s="1612">
        <f>+IF(COLUMNS($L187:S187)&lt;month,'5. Financials'!$L$76/12,'5. Financials'!$M$76/12)</f>
        <v>0</v>
      </c>
      <c r="T187" s="1612">
        <f>+IF(COLUMNS($L187:T187)&lt;month,'5. Financials'!$L$76/12,'5. Financials'!$M$76/12)</f>
        <v>0</v>
      </c>
      <c r="U187" s="1612">
        <f>+IF(COLUMNS($L187:U187)&lt;month,'5. Financials'!$L$76/12,'5. Financials'!$M$76/12)</f>
        <v>0</v>
      </c>
      <c r="V187" s="1612">
        <f>+IF(COLUMNS($L187:V187)&lt;month,'5. Financials'!$L$76/12,'5. Financials'!$M$76/12)</f>
        <v>0</v>
      </c>
      <c r="W187" s="1612">
        <f>+IF(COLUMNS($L187:W187)&lt;month,'5. Financials'!$L$76/12,'5. Financials'!$M$76/12)</f>
        <v>0</v>
      </c>
    </row>
    <row r="188" spans="1:26">
      <c r="A188" s="6" t="s">
        <v>3769</v>
      </c>
      <c r="B188" t="str">
        <f t="shared" si="8"/>
        <v>D10_11032</v>
      </c>
      <c r="C188" t="str">
        <f t="shared" si="9"/>
        <v>LE_XXXX</v>
      </c>
      <c r="D188" t="s">
        <v>2886</v>
      </c>
      <c r="E188">
        <v>6600</v>
      </c>
      <c r="F188" t="s">
        <v>2888</v>
      </c>
      <c r="G188" t="s">
        <v>2889</v>
      </c>
      <c r="H188" t="s">
        <v>154</v>
      </c>
      <c r="I188" t="s">
        <v>146</v>
      </c>
      <c r="J188" t="s">
        <v>147</v>
      </c>
      <c r="K188" t="str">
        <f>+"FY"&amp;RIGHT(YEAR('Hyperion Panel'!$B$9)+4,2)</f>
        <v>FY14</v>
      </c>
      <c r="L188" s="1697">
        <f>+IF(COLUMNS($L188:L188)&lt;month,'5. Financials'!$L$114*SUM(L163:L164,L166:L167),'5. Financials'!$M$114*SUM(L163:L164,L166:L167))</f>
        <v>64507.245783810671</v>
      </c>
      <c r="M188" s="1697">
        <f>+IF(COLUMNS($L188:M188)&lt;month,'5. Financials'!$L$114*SUM(M163:M164,M166:M167),'5. Financials'!$M$114*SUM(M163:M164,M166:M167))</f>
        <v>65711.231170721585</v>
      </c>
      <c r="N188" s="1697">
        <f>+IF(COLUMNS($L188:N188)&lt;month,'5. Financials'!$L$114*SUM(N163:N164,N166:N167),'5. Financials'!$M$114*SUM(N163:N164,N166:N167))</f>
        <v>66915.216557632491</v>
      </c>
      <c r="O188" s="1697">
        <f>+IF(COLUMNS($L188:O188)&lt;month,'5. Financials'!$L$114*SUM(O163:O164,O166:O167),'5. Financials'!$M$114*SUM(O163:O164,O166:O167))</f>
        <v>68119.201944543413</v>
      </c>
      <c r="P188" s="1697">
        <f>+IF(COLUMNS($L188:P188)&lt;month,'5. Financials'!$L$114*SUM(P163:P164,P166:P167),'5. Financials'!$M$114*SUM(P163:P164,P166:P167))</f>
        <v>69323.187331454334</v>
      </c>
      <c r="Q188" s="1697">
        <f>+IF(COLUMNS($L188:Q188)&lt;month,'5. Financials'!$L$114*SUM(Q163:Q164,Q166:Q167),'5. Financials'!$M$114*SUM(Q163:Q164,Q166:Q167))</f>
        <v>70527.17271836524</v>
      </c>
      <c r="R188" s="1697">
        <f>+IF(COLUMNS($L188:R188)&lt;month,'5. Financials'!$L$114*SUM(R163:R164,R166:R167),'5. Financials'!$M$114*SUM(R163:R164,R166:R167))</f>
        <v>71731.158105276161</v>
      </c>
      <c r="S188" s="1697">
        <f>+IF(COLUMNS($L188:S188)&lt;month,'5. Financials'!$L$114*SUM(S163:S164,S166:S167),'5. Financials'!$M$114*SUM(S163:S164,S166:S167))</f>
        <v>72935.143492187082</v>
      </c>
      <c r="T188" s="1697">
        <f>+IF(COLUMNS($L188:T188)&lt;month,'5. Financials'!$L$114*SUM(T163:T164,T166:T167),'5. Financials'!$M$114*SUM(T163:T164,T166:T167))</f>
        <v>74139.128879097989</v>
      </c>
      <c r="U188" s="1697">
        <f>+IF(COLUMNS($L188:U188)&lt;month,'5. Financials'!$L$114*SUM(U163:U164,U166:U167),'5. Financials'!$M$114*SUM(U163:U164,U166:U167))</f>
        <v>75343.11426600891</v>
      </c>
      <c r="V188" s="1697">
        <f>+IF(COLUMNS($L188:V188)&lt;month,'5. Financials'!$L$114*SUM(V163:V164,V166:V167),'5. Financials'!$M$114*SUM(V163:V164,V166:V167))</f>
        <v>77667.951686185159</v>
      </c>
      <c r="W188" s="1697">
        <f>+IF(COLUMNS($L188:W188)&lt;month,'5. Financials'!$L$114*SUM(W163:W164,W166:W167),'5. Financials'!$M$114*SUM(W163:W164,W166:W167))</f>
        <v>78485.926821041241</v>
      </c>
    </row>
    <row r="189" spans="1:26">
      <c r="A189" s="6" t="s">
        <v>3770</v>
      </c>
      <c r="B189" t="str">
        <f t="shared" si="8"/>
        <v>D10_11032</v>
      </c>
      <c r="C189" t="str">
        <f t="shared" si="9"/>
        <v>LE_XXXX</v>
      </c>
      <c r="D189" t="s">
        <v>2886</v>
      </c>
      <c r="E189">
        <v>6800</v>
      </c>
      <c r="F189" t="s">
        <v>156</v>
      </c>
      <c r="G189" t="s">
        <v>2889</v>
      </c>
      <c r="H189" t="s">
        <v>154</v>
      </c>
      <c r="I189" t="s">
        <v>146</v>
      </c>
      <c r="J189" t="s">
        <v>147</v>
      </c>
      <c r="K189" t="str">
        <f>+"FY"&amp;RIGHT(YEAR('Hyperion Panel'!$B$9)+4,2)</f>
        <v>FY14</v>
      </c>
      <c r="L189" s="1697">
        <f>+IF(COLUMNS($L189:L189)&lt;month,'5. Financials'!$L$118*SUM(L163:L164,L166:L167),'5. Financials'!$M$118*SUM(L163:L164,L166:L167))</f>
        <v>24615.74154507702</v>
      </c>
      <c r="M189" s="1697">
        <f>+IF(COLUMNS($L189:M189)&lt;month,'5. Financials'!$L$118*SUM(M163:M164,M166:M167),'5. Financials'!$M$118*SUM(M163:M164,M166:M167))</f>
        <v>25075.178198248879</v>
      </c>
      <c r="N189" s="1697">
        <f>+IF(COLUMNS($L189:N189)&lt;month,'5. Financials'!$L$118*SUM(N163:N164,N166:N167),'5. Financials'!$M$118*SUM(N163:N164,N166:N167))</f>
        <v>25534.614851420742</v>
      </c>
      <c r="O189" s="1697">
        <f>+IF(COLUMNS($L189:O189)&lt;month,'5. Financials'!$L$118*SUM(O163:O164,O166:O167),'5. Financials'!$M$118*SUM(O163:O164,O166:O167))</f>
        <v>25994.051504592604</v>
      </c>
      <c r="P189" s="1697">
        <f>+IF(COLUMNS($L189:P189)&lt;month,'5. Financials'!$L$118*SUM(P163:P164,P166:P167),'5. Financials'!$M$118*SUM(P163:P164,P166:P167))</f>
        <v>26453.488157764466</v>
      </c>
      <c r="Q189" s="1697">
        <f>+IF(COLUMNS($L189:Q189)&lt;month,'5. Financials'!$L$118*SUM(Q163:Q164,Q166:Q167),'5. Financials'!$M$118*SUM(Q163:Q164,Q166:Q167))</f>
        <v>26912.924810936329</v>
      </c>
      <c r="R189" s="1697">
        <f>+IF(COLUMNS($L189:R189)&lt;month,'5. Financials'!$L$118*SUM(R163:R164,R166:R167),'5. Financials'!$M$118*SUM(R163:R164,R166:R167))</f>
        <v>27372.361464108188</v>
      </c>
      <c r="S189" s="1697">
        <f>+IF(COLUMNS($L189:S189)&lt;month,'5. Financials'!$L$118*SUM(S163:S164,S166:S167),'5. Financials'!$M$118*SUM(S163:S164,S166:S167))</f>
        <v>27831.79811728005</v>
      </c>
      <c r="T189" s="1697">
        <f>+IF(COLUMNS($L189:T189)&lt;month,'5. Financials'!$L$118*SUM(T163:T164,T166:T167),'5. Financials'!$M$118*SUM(T163:T164,T166:T167))</f>
        <v>28291.234770451912</v>
      </c>
      <c r="U189" s="1697">
        <f>+IF(COLUMNS($L189:U189)&lt;month,'5. Financials'!$L$118*SUM(U163:U164,U166:U167),'5. Financials'!$M$118*SUM(U163:U164,U166:U167))</f>
        <v>28750.671423623775</v>
      </c>
      <c r="V189" s="1697">
        <f>+IF(COLUMNS($L189:V189)&lt;month,'5. Financials'!$L$118*SUM(V163:V164,V166:V167),'5. Financials'!$M$118*SUM(V163:V164,V166:V167))</f>
        <v>29928.388205967258</v>
      </c>
      <c r="W189" s="1697">
        <f>+IF(COLUMNS($L189:W189)&lt;month,'5. Financials'!$L$118*SUM(W163:W164,W166:W167),'5. Financials'!$M$118*SUM(W163:W164,W166:W167))</f>
        <v>30243.584845602025</v>
      </c>
    </row>
    <row r="190" spans="1:26">
      <c r="A190" t="s">
        <v>3697</v>
      </c>
      <c r="B190" t="str">
        <f t="shared" si="8"/>
        <v>D10_11032</v>
      </c>
      <c r="C190" t="str">
        <f t="shared" si="9"/>
        <v>LE_XXXX</v>
      </c>
      <c r="D190" t="s">
        <v>2886</v>
      </c>
      <c r="E190">
        <v>8600</v>
      </c>
      <c r="F190" t="s">
        <v>156</v>
      </c>
      <c r="G190" t="s">
        <v>2889</v>
      </c>
      <c r="H190" t="s">
        <v>154</v>
      </c>
      <c r="I190" t="s">
        <v>146</v>
      </c>
      <c r="J190" t="s">
        <v>147</v>
      </c>
      <c r="K190" t="str">
        <f>+"FY"&amp;RIGHT(YEAR('Hyperion Panel'!$B$9)+4,2)</f>
        <v>FY14</v>
      </c>
      <c r="L190" s="1612">
        <f>+IF(COLUMNS($L190:L190)&lt;month,'5. Financials'!$L$78/12,'5. Financials'!$M$78/12)</f>
        <v>22501.277031311998</v>
      </c>
      <c r="M190" s="1612">
        <f>+IF(COLUMNS($L190:M190)&lt;month,'5. Financials'!$L$78/12,'5. Financials'!$M$78/12)</f>
        <v>22501.277031311998</v>
      </c>
      <c r="N190" s="1612">
        <f>+IF(COLUMNS($L190:N190)&lt;month,'5. Financials'!$L$78/12,'5. Financials'!$M$78/12)</f>
        <v>22501.277031311998</v>
      </c>
      <c r="O190" s="1612">
        <f>+IF(COLUMNS($L190:O190)&lt;month,'5. Financials'!$L$78/12,'5. Financials'!$M$78/12)</f>
        <v>22501.277031311998</v>
      </c>
      <c r="P190" s="1612">
        <f>+IF(COLUMNS($L190:P190)&lt;month,'5. Financials'!$L$78/12,'5. Financials'!$M$78/12)</f>
        <v>22501.277031311998</v>
      </c>
      <c r="Q190" s="1612">
        <f>+IF(COLUMNS($L190:Q190)&lt;month,'5. Financials'!$L$78/12,'5. Financials'!$M$78/12)</f>
        <v>22501.277031311998</v>
      </c>
      <c r="R190" s="1612">
        <f>+IF(COLUMNS($L190:R190)&lt;month,'5. Financials'!$L$78/12,'5. Financials'!$M$78/12)</f>
        <v>22501.277031311998</v>
      </c>
      <c r="S190" s="1612">
        <f>+IF(COLUMNS($L190:S190)&lt;month,'5. Financials'!$L$78/12,'5. Financials'!$M$78/12)</f>
        <v>22501.277031311998</v>
      </c>
      <c r="T190" s="1612">
        <f>+IF(COLUMNS($L190:T190)&lt;month,'5. Financials'!$L$78/12,'5. Financials'!$M$78/12)</f>
        <v>22501.277031311998</v>
      </c>
      <c r="U190" s="1612">
        <f>+IF(COLUMNS($L190:U190)&lt;month,'5. Financials'!$L$78/12,'5. Financials'!$M$78/12)</f>
        <v>22501.277031311998</v>
      </c>
      <c r="V190" s="1612">
        <f>+IF(COLUMNS($L190:V190)&lt;month,'5. Financials'!$L$78/12,'5. Financials'!$M$78/12)</f>
        <v>23176.315342251357</v>
      </c>
      <c r="W190" s="1612">
        <f>+IF(COLUMNS($L190:W190)&lt;month,'5. Financials'!$L$78/12,'5. Financials'!$M$78/12)</f>
        <v>23176.315342251357</v>
      </c>
    </row>
    <row r="191" spans="1:26">
      <c r="A191" t="s">
        <v>157</v>
      </c>
      <c r="B191" t="str">
        <f t="shared" si="8"/>
        <v>D10_11032</v>
      </c>
      <c r="C191" t="str">
        <f t="shared" si="9"/>
        <v>LE_XXXX</v>
      </c>
      <c r="D191" t="s">
        <v>2886</v>
      </c>
      <c r="E191">
        <v>6720</v>
      </c>
      <c r="F191" t="s">
        <v>156</v>
      </c>
      <c r="G191" t="s">
        <v>2889</v>
      </c>
      <c r="H191" t="s">
        <v>154</v>
      </c>
      <c r="I191" t="s">
        <v>146</v>
      </c>
      <c r="J191" t="s">
        <v>147</v>
      </c>
      <c r="K191" t="str">
        <f>+"FY"&amp;RIGHT(YEAR('Hyperion Panel'!$B$9)+4,2)</f>
        <v>FY14</v>
      </c>
      <c r="L191" s="1612">
        <f>+IF(COLUMNS($L191:L191)&lt;month,'5. Financials'!$L$79/12,'5. Financials'!$M$79/12)</f>
        <v>14118.416666666666</v>
      </c>
      <c r="M191" s="1612">
        <f>+IF(COLUMNS($L191:M191)&lt;month,'5. Financials'!$L$79/12,'5. Financials'!$M$79/12)</f>
        <v>14118.416666666666</v>
      </c>
      <c r="N191" s="1612">
        <f>+IF(COLUMNS($L191:N191)&lt;month,'5. Financials'!$L$79/12,'5. Financials'!$M$79/12)</f>
        <v>14118.416666666666</v>
      </c>
      <c r="O191" s="1612">
        <f>+IF(COLUMNS($L191:O191)&lt;month,'5. Financials'!$L$79/12,'5. Financials'!$M$79/12)</f>
        <v>14118.416666666666</v>
      </c>
      <c r="P191" s="1612">
        <f>+IF(COLUMNS($L191:P191)&lt;month,'5. Financials'!$L$79/12,'5. Financials'!$M$79/12)</f>
        <v>14118.416666666666</v>
      </c>
      <c r="Q191" s="1612">
        <f>+IF(COLUMNS($L191:Q191)&lt;month,'5. Financials'!$L$79/12,'5. Financials'!$M$79/12)</f>
        <v>14118.416666666666</v>
      </c>
      <c r="R191" s="1612">
        <f>+IF(COLUMNS($L191:R191)&lt;month,'5. Financials'!$L$79/12,'5. Financials'!$M$79/12)</f>
        <v>14118.416666666666</v>
      </c>
      <c r="S191" s="1612">
        <f>+IF(COLUMNS($L191:S191)&lt;month,'5. Financials'!$L$79/12,'5. Financials'!$M$79/12)</f>
        <v>14118.416666666666</v>
      </c>
      <c r="T191" s="1612">
        <f>+IF(COLUMNS($L191:T191)&lt;month,'5. Financials'!$L$79/12,'5. Financials'!$M$79/12)</f>
        <v>14118.416666666666</v>
      </c>
      <c r="U191" s="1612">
        <f>+IF(COLUMNS($L191:U191)&lt;month,'5. Financials'!$L$79/12,'5. Financials'!$M$79/12)</f>
        <v>14118.416666666666</v>
      </c>
      <c r="V191" s="1612">
        <f>+IF(COLUMNS($L191:V191)&lt;month,'5. Financials'!$L$79/12,'5. Financials'!$M$79/12)</f>
        <v>14118.416666666666</v>
      </c>
      <c r="W191" s="1612">
        <f>+IF(COLUMNS($L191:W191)&lt;month,'5. Financials'!$L$79/12,'5. Financials'!$M$79/12)</f>
        <v>14118.416666666666</v>
      </c>
    </row>
    <row r="192" spans="1:26">
      <c r="A192" t="s">
        <v>3766</v>
      </c>
      <c r="B192" t="str">
        <f t="shared" si="8"/>
        <v>D10_11032</v>
      </c>
      <c r="C192" t="str">
        <f t="shared" si="9"/>
        <v>LE_XXXX</v>
      </c>
      <c r="D192" t="s">
        <v>2886</v>
      </c>
      <c r="E192">
        <v>8110</v>
      </c>
      <c r="F192" t="s">
        <v>156</v>
      </c>
      <c r="G192" t="s">
        <v>2889</v>
      </c>
      <c r="H192" t="s">
        <v>154</v>
      </c>
      <c r="I192" t="s">
        <v>146</v>
      </c>
      <c r="J192" t="s">
        <v>147</v>
      </c>
      <c r="K192" t="str">
        <f>+"FY"&amp;RIGHT(YEAR('Hyperion Panel'!$B$9)+4,2)</f>
        <v>FY14</v>
      </c>
      <c r="L192" s="1612">
        <f>+IF(COLUMNS($L192:L192)&lt;month,'5. Financials'!$L$82/12,'5. Financials'!$M$82/12)</f>
        <v>1445.997990011</v>
      </c>
      <c r="M192" s="1612">
        <f>+IF(COLUMNS($L192:M192)&lt;month,'5. Financials'!$L$82/12,'5. Financials'!$M$82/12)</f>
        <v>1445.997990011</v>
      </c>
      <c r="N192" s="1612">
        <f>+IF(COLUMNS($L192:N192)&lt;month,'5. Financials'!$L$82/12,'5. Financials'!$M$82/12)</f>
        <v>1445.997990011</v>
      </c>
      <c r="O192" s="1612">
        <f>+IF(COLUMNS($L192:O192)&lt;month,'5. Financials'!$L$82/12,'5. Financials'!$M$82/12)</f>
        <v>1445.997990011</v>
      </c>
      <c r="P192" s="1612">
        <f>+IF(COLUMNS($L192:P192)&lt;month,'5. Financials'!$L$82/12,'5. Financials'!$M$82/12)</f>
        <v>1445.997990011</v>
      </c>
      <c r="Q192" s="1612">
        <f>+IF(COLUMNS($L192:Q192)&lt;month,'5. Financials'!$L$82/12,'5. Financials'!$M$82/12)</f>
        <v>1445.997990011</v>
      </c>
      <c r="R192" s="1612">
        <f>+IF(COLUMNS($L192:R192)&lt;month,'5. Financials'!$L$82/12,'5. Financials'!$M$82/12)</f>
        <v>1445.997990011</v>
      </c>
      <c r="S192" s="1612">
        <f>+IF(COLUMNS($L192:S192)&lt;month,'5. Financials'!$L$82/12,'5. Financials'!$M$82/12)</f>
        <v>1445.997990011</v>
      </c>
      <c r="T192" s="1612">
        <f>+IF(COLUMNS($L192:T192)&lt;month,'5. Financials'!$L$82/12,'5. Financials'!$M$82/12)</f>
        <v>1445.997990011</v>
      </c>
      <c r="U192" s="1612">
        <f>+IF(COLUMNS($L192:U192)&lt;month,'5. Financials'!$L$82/12,'5. Financials'!$M$82/12)</f>
        <v>1445.997990011</v>
      </c>
      <c r="V192" s="1612">
        <f>+IF(COLUMNS($L192:V192)&lt;month,'5. Financials'!$L$82/12,'5. Financials'!$M$82/12)</f>
        <v>1489.3779297113299</v>
      </c>
      <c r="W192" s="1612">
        <f>+IF(COLUMNS($L192:W192)&lt;month,'5. Financials'!$L$82/12,'5. Financials'!$M$82/12)</f>
        <v>1489.3779297113299</v>
      </c>
    </row>
    <row r="193" spans="1:26">
      <c r="A193" s="102" t="s">
        <v>171</v>
      </c>
      <c r="B193" t="str">
        <f t="shared" si="8"/>
        <v>D10_11032</v>
      </c>
      <c r="C193" s="98" t="str">
        <f t="shared" si="9"/>
        <v>LE_XXXX</v>
      </c>
      <c r="D193" s="98" t="s">
        <v>2886</v>
      </c>
      <c r="E193" s="98">
        <v>6412</v>
      </c>
      <c r="F193" s="98" t="s">
        <v>156</v>
      </c>
      <c r="G193" s="98" t="s">
        <v>2889</v>
      </c>
      <c r="H193" s="98" t="s">
        <v>154</v>
      </c>
      <c r="I193" s="98" t="s">
        <v>146</v>
      </c>
      <c r="J193" s="98" t="s">
        <v>147</v>
      </c>
      <c r="K193" t="str">
        <f>+"FY"&amp;RIGHT(YEAR('Hyperion Panel'!$B$9)+4,2)</f>
        <v>FY14</v>
      </c>
      <c r="L193" s="1697">
        <f>+IF(COLUMNS($L153:L153)&lt;month,'5. Financials'!$L$117*SUM(L163:L164,L166:L167),'5. Financials'!$M$117*SUM(L163:L164,L166:L167))</f>
        <v>23284.942217971573</v>
      </c>
      <c r="M193" s="1697">
        <f>+IF(COLUMNS($L153:M153)&lt;month,'5. Financials'!$L$117*SUM(M163:M164,M166:M167),'5. Financials'!$M$117*SUM(M163:M164,M166:M167))</f>
        <v>23719.540375509692</v>
      </c>
      <c r="N193" s="1697">
        <f>+IF(COLUMNS($L153:N153)&lt;month,'5. Financials'!$L$117*SUM(N163:N164,N166:N167),'5. Financials'!$M$117*SUM(N163:N164,N166:N167))</f>
        <v>24154.138533047812</v>
      </c>
      <c r="O193" s="1697">
        <f>+IF(COLUMNS($L153:O153)&lt;month,'5. Financials'!$L$117*SUM(O163:O164,O166:O167),'5. Financials'!$M$117*SUM(O163:O164,O166:O167))</f>
        <v>24588.736690585934</v>
      </c>
      <c r="P193" s="1697">
        <f>+IF(COLUMNS($L153:P153)&lt;month,'5. Financials'!$L$117*SUM(P163:P164,P166:P167),'5. Financials'!$M$117*SUM(P163:P164,P166:P167))</f>
        <v>25023.334848124054</v>
      </c>
      <c r="Q193" s="1697">
        <f>+IF(COLUMNS($L153:Q153)&lt;month,'5. Financials'!$L$117*SUM(Q163:Q164,Q166:Q167),'5. Financials'!$M$117*SUM(Q163:Q164,Q166:Q167))</f>
        <v>25457.933005662177</v>
      </c>
      <c r="R193" s="1697">
        <f>+IF(COLUMNS($L153:R153)&lt;month,'5. Financials'!$L$117*SUM(R163:R164,R166:R167),'5. Financials'!$M$117*SUM(R163:R164,R166:R167))</f>
        <v>25892.531163200296</v>
      </c>
      <c r="S193" s="1697">
        <f>+IF(COLUMNS($L153:S153)&lt;month,'5. Financials'!$L$117*SUM(S163:S164,S166:S167),'5. Financials'!$M$117*SUM(S163:S164,S166:S167))</f>
        <v>26327.129320738415</v>
      </c>
      <c r="T193" s="1697">
        <f>+IF(COLUMNS($L153:T153)&lt;month,'5. Financials'!$L$117*SUM(T163:T164,T166:T167),'5. Financials'!$M$117*SUM(T163:T164,T166:T167))</f>
        <v>26761.727478276538</v>
      </c>
      <c r="U193" s="1697">
        <f>+IF(COLUMNS($L153:U153)&lt;month,'5. Financials'!$L$117*SUM(U163:U164,U166:U167),'5. Financials'!$M$117*SUM(U163:U164,U166:U167))</f>
        <v>27196.325635814657</v>
      </c>
      <c r="V193" s="1697">
        <f>+IF(COLUMNS($L153:V153)&lt;month,'5. Financials'!$L$117*SUM(V163:V164,V166:V167),'5. Financials'!$M$117*SUM(V163:V164,V166:V167))</f>
        <v>28310.371587905334</v>
      </c>
      <c r="W193" s="1697">
        <f>+IF(COLUMNS($L153:W153)&lt;month,'5. Financials'!$L$117*SUM(W163:W164,W166:W167),'5. Financials'!$M$117*SUM(W163:W164,W166:W167))</f>
        <v>28608.527770921573</v>
      </c>
    </row>
    <row r="194" spans="1:26" s="3" customFormat="1">
      <c r="A194" s="1687" t="s">
        <v>730</v>
      </c>
      <c r="B194" t="str">
        <f t="shared" si="8"/>
        <v>D10_11032</v>
      </c>
      <c r="C194" s="1687"/>
      <c r="D194" s="1687"/>
      <c r="E194" s="1687"/>
      <c r="F194" s="1687"/>
      <c r="G194" s="1687"/>
      <c r="H194" s="1687"/>
      <c r="I194" s="1687"/>
      <c r="J194" s="1687"/>
      <c r="K194" t="str">
        <f>+"FY"&amp;RIGHT(YEAR('Hyperion Panel'!$B$9)+4,2)</f>
        <v>FY14</v>
      </c>
      <c r="L194" s="1704">
        <f>+IF(COLUMNS($L194:L194)&lt;month,'5. Financials'!$L$88/12,'5. Financials'!$M$88/12)</f>
        <v>910.60583333333341</v>
      </c>
      <c r="M194" s="1704">
        <f>+IF(COLUMNS($L194:M194)&lt;month,'5. Financials'!$L$88/12,'5. Financials'!$M$88/12)</f>
        <v>910.60583333333341</v>
      </c>
      <c r="N194" s="1704">
        <f>+IF(COLUMNS($L194:N194)&lt;month,'5. Financials'!$L$88/12,'5. Financials'!$M$88/12)</f>
        <v>910.60583333333341</v>
      </c>
      <c r="O194" s="1704">
        <f>+IF(COLUMNS($L194:O194)&lt;month,'5. Financials'!$L$88/12,'5. Financials'!$M$88/12)</f>
        <v>910.60583333333341</v>
      </c>
      <c r="P194" s="1704">
        <f>+IF(COLUMNS($L194:P194)&lt;month,'5. Financials'!$L$88/12,'5. Financials'!$M$88/12)</f>
        <v>910.60583333333341</v>
      </c>
      <c r="Q194" s="1704">
        <f>+IF(COLUMNS($L194:Q194)&lt;month,'5. Financials'!$L$88/12,'5. Financials'!$M$88/12)</f>
        <v>910.60583333333341</v>
      </c>
      <c r="R194" s="1704">
        <f>+IF(COLUMNS($L194:R194)&lt;month,'5. Financials'!$L$88/12,'5. Financials'!$M$88/12)</f>
        <v>910.60583333333341</v>
      </c>
      <c r="S194" s="1704">
        <f>+IF(COLUMNS($L194:S194)&lt;month,'5. Financials'!$L$88/12,'5. Financials'!$M$88/12)</f>
        <v>910.60583333333341</v>
      </c>
      <c r="T194" s="1704">
        <f>+IF(COLUMNS($L194:T194)&lt;month,'5. Financials'!$L$88/12,'5. Financials'!$M$88/12)</f>
        <v>910.60583333333341</v>
      </c>
      <c r="U194" s="1704">
        <f>+IF(COLUMNS($L194:U194)&lt;month,'5. Financials'!$L$88/12,'5. Financials'!$M$88/12)</f>
        <v>910.60583333333341</v>
      </c>
      <c r="V194" s="1704">
        <f>+IF(COLUMNS($L194:V194)&lt;month,'5. Financials'!$L$88/12,'5. Financials'!$M$88/12)</f>
        <v>937.9240083333334</v>
      </c>
      <c r="W194" s="1704">
        <f>+IF(COLUMNS($L194:W194)&lt;month,'5. Financials'!$L$88/12,'5. Financials'!$M$88/12)</f>
        <v>937.9240083333334</v>
      </c>
    </row>
    <row r="195" spans="1:26" s="3" customFormat="1">
      <c r="A195" s="1687" t="s">
        <v>732</v>
      </c>
      <c r="B195" t="str">
        <f t="shared" si="8"/>
        <v>D10_11032</v>
      </c>
      <c r="C195" s="1687"/>
      <c r="D195" s="1687"/>
      <c r="E195" s="1687"/>
      <c r="F195" s="1687"/>
      <c r="G195" s="1687"/>
      <c r="H195" s="1687"/>
      <c r="I195" s="1687"/>
      <c r="J195" s="1687"/>
      <c r="K195" t="str">
        <f>+"FY"&amp;RIGHT(YEAR('Hyperion Panel'!$B$9)+4,2)</f>
        <v>FY14</v>
      </c>
      <c r="L195" s="1704">
        <f>+IF(COLUMNS($L195:L195)&lt;month,'5. Financials'!$L$89/12,'5. Financials'!$M$89/12)</f>
        <v>36.626414999999888</v>
      </c>
      <c r="M195" s="1704">
        <f>+IF(COLUMNS($L195:M195)&lt;month,'5. Financials'!$L$89/12,'5. Financials'!$M$89/12)</f>
        <v>36.626414999999888</v>
      </c>
      <c r="N195" s="1704">
        <f>+IF(COLUMNS($L195:N195)&lt;month,'5. Financials'!$L$89/12,'5. Financials'!$M$89/12)</f>
        <v>36.626414999999888</v>
      </c>
      <c r="O195" s="1704">
        <f>+IF(COLUMNS($L195:O195)&lt;month,'5. Financials'!$L$89/12,'5. Financials'!$M$89/12)</f>
        <v>36.626414999999888</v>
      </c>
      <c r="P195" s="1704">
        <f>+IF(COLUMNS($L195:P195)&lt;month,'5. Financials'!$L$89/12,'5. Financials'!$M$89/12)</f>
        <v>36.626414999999888</v>
      </c>
      <c r="Q195" s="1704">
        <f>+IF(COLUMNS($L195:Q195)&lt;month,'5. Financials'!$L$89/12,'5. Financials'!$M$89/12)</f>
        <v>36.626414999999888</v>
      </c>
      <c r="R195" s="1704">
        <f>+IF(COLUMNS($L195:R195)&lt;month,'5. Financials'!$L$89/12,'5. Financials'!$M$89/12)</f>
        <v>36.626414999999888</v>
      </c>
      <c r="S195" s="1704">
        <f>+IF(COLUMNS($L195:S195)&lt;month,'5. Financials'!$L$89/12,'5. Financials'!$M$89/12)</f>
        <v>36.626414999999888</v>
      </c>
      <c r="T195" s="1704">
        <f>+IF(COLUMNS($L195:T195)&lt;month,'5. Financials'!$L$89/12,'5. Financials'!$M$89/12)</f>
        <v>36.626414999999888</v>
      </c>
      <c r="U195" s="1704">
        <f>+IF(COLUMNS($L195:U195)&lt;month,'5. Financials'!$L$89/12,'5. Financials'!$M$89/12)</f>
        <v>36.626414999999888</v>
      </c>
      <c r="V195" s="1704">
        <f>+IF(COLUMNS($L195:V195)&lt;month,'5. Financials'!$L$89/12,'5. Financials'!$M$89/12)</f>
        <v>25.617561119999944</v>
      </c>
      <c r="W195" s="1704">
        <f>+IF(COLUMNS($L195:W195)&lt;month,'5. Financials'!$L$89/12,'5. Financials'!$M$89/12)</f>
        <v>25.617561119999944</v>
      </c>
    </row>
    <row r="196" spans="1:26" s="3" customFormat="1">
      <c r="A196" s="1687" t="s">
        <v>733</v>
      </c>
      <c r="B196" t="str">
        <f t="shared" si="8"/>
        <v>D10_11032</v>
      </c>
      <c r="C196" s="1687"/>
      <c r="D196" s="1687"/>
      <c r="E196" s="1687"/>
      <c r="F196" s="1687"/>
      <c r="G196" s="1687"/>
      <c r="H196" s="1687"/>
      <c r="I196" s="1687"/>
      <c r="J196" s="1687"/>
      <c r="K196" t="str">
        <f>+"FY"&amp;RIGHT(YEAR('Hyperion Panel'!$B$9)+4,2)</f>
        <v>FY14</v>
      </c>
      <c r="L196" s="1704">
        <f>+IF(COLUMNS($L196:L196)&lt;month,'5. Financials'!$L$90/12,'5. Financials'!$M$90/12)</f>
        <v>17476.327079999985</v>
      </c>
      <c r="M196" s="1704">
        <f>+IF(COLUMNS($L196:M196)&lt;month,'5. Financials'!$L$90/12,'5. Financials'!$M$90/12)</f>
        <v>17476.327079999985</v>
      </c>
      <c r="N196" s="1704">
        <f>+IF(COLUMNS($L196:N196)&lt;month,'5. Financials'!$L$90/12,'5. Financials'!$M$90/12)</f>
        <v>17476.327079999985</v>
      </c>
      <c r="O196" s="1704">
        <f>+IF(COLUMNS($L196:O196)&lt;month,'5. Financials'!$L$90/12,'5. Financials'!$M$90/12)</f>
        <v>17476.327079999985</v>
      </c>
      <c r="P196" s="1704">
        <f>+IF(COLUMNS($L196:P196)&lt;month,'5. Financials'!$L$90/12,'5. Financials'!$M$90/12)</f>
        <v>17476.327079999985</v>
      </c>
      <c r="Q196" s="1704">
        <f>+IF(COLUMNS($L196:Q196)&lt;month,'5. Financials'!$L$90/12,'5. Financials'!$M$90/12)</f>
        <v>17476.327079999985</v>
      </c>
      <c r="R196" s="1704">
        <f>+IF(COLUMNS($L196:R196)&lt;month,'5. Financials'!$L$90/12,'5. Financials'!$M$90/12)</f>
        <v>17476.327079999985</v>
      </c>
      <c r="S196" s="1704">
        <f>+IF(COLUMNS($L196:S196)&lt;month,'5. Financials'!$L$90/12,'5. Financials'!$M$90/12)</f>
        <v>17476.327079999985</v>
      </c>
      <c r="T196" s="1704">
        <f>+IF(COLUMNS($L196:T196)&lt;month,'5. Financials'!$L$90/12,'5. Financials'!$M$90/12)</f>
        <v>17476.327079999985</v>
      </c>
      <c r="U196" s="1704">
        <f>+IF(COLUMNS($L196:U196)&lt;month,'5. Financials'!$L$90/12,'5. Financials'!$M$90/12)</f>
        <v>17476.327079999985</v>
      </c>
      <c r="V196" s="1704">
        <f>+IF(COLUMNS($L196:V196)&lt;month,'5. Financials'!$L$90/12,'5. Financials'!$M$90/12)</f>
        <v>19912.78282607998</v>
      </c>
      <c r="W196" s="1704">
        <f>+IF(COLUMNS($L196:W196)&lt;month,'5. Financials'!$L$90/12,'5. Financials'!$M$90/12)</f>
        <v>19912.78282607998</v>
      </c>
    </row>
    <row r="197" spans="1:26" s="3" customFormat="1">
      <c r="A197" s="1687" t="s">
        <v>734</v>
      </c>
      <c r="B197" t="str">
        <f t="shared" si="8"/>
        <v>D10_11032</v>
      </c>
      <c r="C197" s="1687"/>
      <c r="D197" s="1687"/>
      <c r="E197" s="1687"/>
      <c r="F197" s="1687"/>
      <c r="G197" s="1687"/>
      <c r="H197" s="1687"/>
      <c r="I197" s="1687"/>
      <c r="J197" s="1687"/>
      <c r="K197" t="str">
        <f>+"FY"&amp;RIGHT(YEAR('Hyperion Panel'!$B$9)+4,2)</f>
        <v>FY14</v>
      </c>
      <c r="L197" s="1704">
        <f>+IF(COLUMNS($L197:L197)&lt;month,'5. Financials'!$L$91/12,'5. Financials'!$M$91/12)</f>
        <v>3266.7984270833308</v>
      </c>
      <c r="M197" s="1704">
        <f>+IF(COLUMNS($L197:M197)&lt;month,'5. Financials'!$L$91/12,'5. Financials'!$M$91/12)</f>
        <v>3266.7984270833308</v>
      </c>
      <c r="N197" s="1704">
        <f>+IF(COLUMNS($L197:N197)&lt;month,'5. Financials'!$L$91/12,'5. Financials'!$M$91/12)</f>
        <v>3266.7984270833308</v>
      </c>
      <c r="O197" s="1704">
        <f>+IF(COLUMNS($L197:O197)&lt;month,'5. Financials'!$L$91/12,'5. Financials'!$M$91/12)</f>
        <v>3266.7984270833308</v>
      </c>
      <c r="P197" s="1704">
        <f>+IF(COLUMNS($L197:P197)&lt;month,'5. Financials'!$L$91/12,'5. Financials'!$M$91/12)</f>
        <v>3266.7984270833308</v>
      </c>
      <c r="Q197" s="1704">
        <f>+IF(COLUMNS($L197:Q197)&lt;month,'5. Financials'!$L$91/12,'5. Financials'!$M$91/12)</f>
        <v>3266.7984270833308</v>
      </c>
      <c r="R197" s="1704">
        <f>+IF(COLUMNS($L197:R197)&lt;month,'5. Financials'!$L$91/12,'5. Financials'!$M$91/12)</f>
        <v>3266.7984270833308</v>
      </c>
      <c r="S197" s="1704">
        <f>+IF(COLUMNS($L197:S197)&lt;month,'5. Financials'!$L$91/12,'5. Financials'!$M$91/12)</f>
        <v>3266.7984270833308</v>
      </c>
      <c r="T197" s="1704">
        <f>+IF(COLUMNS($L197:T197)&lt;month,'5. Financials'!$L$91/12,'5. Financials'!$M$91/12)</f>
        <v>3266.7984270833308</v>
      </c>
      <c r="U197" s="1704">
        <f>+IF(COLUMNS($L197:U197)&lt;month,'5. Financials'!$L$91/12,'5. Financials'!$M$91/12)</f>
        <v>3266.7984270833308</v>
      </c>
      <c r="V197" s="1704">
        <f>+IF(COLUMNS($L197:V197)&lt;month,'5. Financials'!$L$91/12,'5. Financials'!$M$91/12)</f>
        <v>3758.7304633958297</v>
      </c>
      <c r="W197" s="1704">
        <f>+IF(COLUMNS($L197:W197)&lt;month,'5. Financials'!$L$91/12,'5. Financials'!$M$91/12)</f>
        <v>3758.7304633958297</v>
      </c>
    </row>
    <row r="198" spans="1:26">
      <c r="A198" t="s">
        <v>158</v>
      </c>
      <c r="B198" t="str">
        <f t="shared" si="8"/>
        <v>D10_11032</v>
      </c>
      <c r="C198" t="str">
        <f>+$C$2</f>
        <v>LE_XXXX</v>
      </c>
      <c r="D198" t="s">
        <v>2886</v>
      </c>
      <c r="E198" t="s">
        <v>159</v>
      </c>
      <c r="F198" t="s">
        <v>156</v>
      </c>
      <c r="G198" t="s">
        <v>2889</v>
      </c>
      <c r="H198" t="s">
        <v>154</v>
      </c>
      <c r="I198" t="s">
        <v>146</v>
      </c>
      <c r="J198" t="s">
        <v>147</v>
      </c>
      <c r="K198" t="str">
        <f>+"FY"&amp;RIGHT(YEAR('Hyperion Panel'!$B$9)+4,2)</f>
        <v>FY14</v>
      </c>
      <c r="L198" s="103">
        <f>'Hyperion Panel'!$B$7</f>
        <v>0.6</v>
      </c>
      <c r="M198" s="103">
        <f>'Hyperion Panel'!$B$7</f>
        <v>0.6</v>
      </c>
      <c r="N198" s="103">
        <f>'Hyperion Panel'!$B$7</f>
        <v>0.6</v>
      </c>
      <c r="O198" s="103">
        <f>'Hyperion Panel'!$B$7</f>
        <v>0.6</v>
      </c>
      <c r="P198" s="103">
        <f>'Hyperion Panel'!$B$7</f>
        <v>0.6</v>
      </c>
      <c r="Q198" s="103">
        <f>'Hyperion Panel'!$B$7</f>
        <v>0.6</v>
      </c>
      <c r="R198" s="103">
        <f>'Hyperion Panel'!$B$7</f>
        <v>0.6</v>
      </c>
      <c r="S198" s="103">
        <f>'Hyperion Panel'!$B$7</f>
        <v>0.6</v>
      </c>
      <c r="T198" s="103">
        <f>'Hyperion Panel'!$B$7</f>
        <v>0.6</v>
      </c>
      <c r="U198" s="103">
        <f>'Hyperion Panel'!$B$7</f>
        <v>0.6</v>
      </c>
      <c r="V198" s="1694">
        <f>'Hyperion Panel'!$B$7</f>
        <v>0.6</v>
      </c>
      <c r="W198" s="103">
        <f>'Hyperion Panel'!$B$7</f>
        <v>0.6</v>
      </c>
    </row>
    <row r="199" spans="1:26">
      <c r="A199" t="s">
        <v>160</v>
      </c>
      <c r="B199" t="str">
        <f t="shared" si="8"/>
        <v>D10_11032</v>
      </c>
      <c r="C199" t="str">
        <f>+$C$2</f>
        <v>LE_XXXX</v>
      </c>
      <c r="D199" t="s">
        <v>2886</v>
      </c>
      <c r="E199" t="s">
        <v>161</v>
      </c>
      <c r="F199" t="s">
        <v>156</v>
      </c>
      <c r="G199" t="s">
        <v>2889</v>
      </c>
      <c r="H199" t="s">
        <v>154</v>
      </c>
      <c r="I199" t="s">
        <v>146</v>
      </c>
      <c r="J199" t="s">
        <v>147</v>
      </c>
      <c r="K199" t="str">
        <f>+"FY"&amp;RIGHT(YEAR('Hyperion Panel'!$B$9)+4,2)</f>
        <v>FY14</v>
      </c>
      <c r="L199" s="1705">
        <v>0</v>
      </c>
      <c r="M199" s="1705">
        <v>0</v>
      </c>
      <c r="N199" s="1705">
        <v>0</v>
      </c>
      <c r="O199" s="1705">
        <v>0</v>
      </c>
      <c r="P199" s="1705">
        <v>0</v>
      </c>
      <c r="Q199" s="1705">
        <v>0</v>
      </c>
      <c r="R199" s="1705">
        <v>0</v>
      </c>
      <c r="S199" s="1705">
        <v>0</v>
      </c>
      <c r="T199" s="1705">
        <v>0</v>
      </c>
      <c r="U199" s="1705">
        <v>0</v>
      </c>
      <c r="V199" s="1705">
        <v>0</v>
      </c>
      <c r="W199" s="1705">
        <v>0</v>
      </c>
    </row>
    <row r="200" spans="1:26" s="3" customFormat="1">
      <c r="A200" s="1687" t="s">
        <v>735</v>
      </c>
      <c r="B200" t="str">
        <f t="shared" si="8"/>
        <v>D10_11032</v>
      </c>
      <c r="C200" s="1687"/>
      <c r="D200" s="1687"/>
      <c r="E200" s="1687"/>
      <c r="F200" s="1687"/>
      <c r="G200" s="1687"/>
      <c r="H200" s="1687"/>
      <c r="I200" s="1687"/>
      <c r="J200" s="1687"/>
      <c r="K200" t="str">
        <f>+"FY"&amp;RIGHT(YEAR('Hyperion Panel'!$B$9)+4,2)</f>
        <v>FY14</v>
      </c>
      <c r="L200" s="1705">
        <v>0</v>
      </c>
      <c r="M200" s="1705">
        <v>0</v>
      </c>
      <c r="N200" s="1705">
        <v>0</v>
      </c>
      <c r="O200" s="1705">
        <v>0</v>
      </c>
      <c r="P200" s="1705">
        <v>0</v>
      </c>
      <c r="Q200" s="1705">
        <v>0</v>
      </c>
      <c r="R200" s="1705">
        <v>0</v>
      </c>
      <c r="S200" s="1705">
        <v>0</v>
      </c>
      <c r="T200" s="1705">
        <v>0</v>
      </c>
      <c r="U200" s="1705">
        <v>0</v>
      </c>
      <c r="V200" s="1705">
        <v>0</v>
      </c>
      <c r="W200" s="1705">
        <v>0</v>
      </c>
      <c r="Y200" s="1688"/>
    </row>
    <row r="201" spans="1:26">
      <c r="L201" s="1612"/>
      <c r="M201" s="1612"/>
      <c r="N201" s="1612"/>
      <c r="O201" s="1612"/>
      <c r="P201" s="1612"/>
      <c r="Q201" s="1612"/>
      <c r="R201" s="1612"/>
      <c r="S201" s="1612"/>
      <c r="T201" s="1612"/>
      <c r="U201" s="1612"/>
      <c r="V201" s="1702"/>
      <c r="W201" s="1612"/>
    </row>
    <row r="202" spans="1:26">
      <c r="A202" s="98" t="s">
        <v>2885</v>
      </c>
      <c r="B202" t="str">
        <f>+$B$2</f>
        <v>D10_11032</v>
      </c>
      <c r="C202" t="str">
        <f>+$C$2</f>
        <v>LE_XXXX</v>
      </c>
      <c r="D202" t="s">
        <v>2886</v>
      </c>
      <c r="E202" t="s">
        <v>2887</v>
      </c>
      <c r="F202" t="s">
        <v>2888</v>
      </c>
      <c r="G202" t="s">
        <v>2889</v>
      </c>
      <c r="H202" t="s">
        <v>145</v>
      </c>
      <c r="I202" t="s">
        <v>146</v>
      </c>
      <c r="J202" t="s">
        <v>147</v>
      </c>
      <c r="K202" t="str">
        <f>+"FY"&amp;RIGHT(YEAR('Hyperion Panel'!$B$9)+5,2)</f>
        <v>FY15</v>
      </c>
      <c r="L202" s="1612"/>
      <c r="M202" s="1612"/>
      <c r="N202" s="1612"/>
      <c r="O202" s="1612"/>
      <c r="P202" s="1612"/>
      <c r="Q202" s="1612"/>
      <c r="R202" s="1612"/>
      <c r="S202" s="1612"/>
      <c r="T202" s="1612"/>
      <c r="U202" s="1612"/>
      <c r="V202" s="1702"/>
      <c r="W202" s="1612"/>
    </row>
    <row r="203" spans="1:26" s="98" customFormat="1" ht="12.75" customHeight="1">
      <c r="A203" s="100" t="s">
        <v>463</v>
      </c>
      <c r="L203" s="1697">
        <f>+IF(COLUMNS($L203:L203)&lt;month,VLOOKUP("Month "&amp;(COLUMNS($L203:L203)-month+13),DeNovo_Tx,11,FALSE)*52*3/12*(1-hemomiss),0)</f>
        <v>801.32000000000039</v>
      </c>
      <c r="M203" s="1697">
        <f>+IF(COLUMNS($L203:M203)&lt;month,VLOOKUP("Month "&amp;(COLUMNS($L203:M203)-month+13),DeNovo_Tx,11,FALSE)*52*3/12*(1-hemomiss),0)</f>
        <v>809.29333333333363</v>
      </c>
      <c r="N203" s="1697">
        <f>+IF(COLUMNS($L203:N203)&lt;month,VLOOKUP("Month "&amp;(COLUMNS($L203:N203)-month+13),DeNovo_Tx,11,FALSE)*52*3/12*(1-hemomiss),0)</f>
        <v>817.26666666666699</v>
      </c>
      <c r="O203" s="1697">
        <f>+IF(COLUMNS($L203:O203)&lt;month,VLOOKUP("Month "&amp;(COLUMNS($L203:O203)-month+13),DeNovo_Tx,11,FALSE)*52*3/12*(1-hemomiss),0)</f>
        <v>825.24000000000035</v>
      </c>
      <c r="P203" s="1697">
        <f>+IF(COLUMNS($L203:P203)&lt;month,VLOOKUP("Month "&amp;(COLUMNS($L203:P203)-month+13),DeNovo_Tx,11,FALSE)*52*3/12*(1-hemomiss),0)</f>
        <v>833.21333333333371</v>
      </c>
      <c r="Q203" s="1697">
        <f>+IF(COLUMNS($L203:Q203)&lt;month,VLOOKUP("Month "&amp;(COLUMNS($L203:Q203)-month+13),DeNovo_Tx,11,FALSE)*52*3/12*(1-hemomiss),0)</f>
        <v>841.18666666666718</v>
      </c>
      <c r="R203" s="1697">
        <f>+IF(COLUMNS($L203:R203)&lt;month,VLOOKUP("Month "&amp;(COLUMNS($L203:R203)-month+13),DeNovo_Tx,11,FALSE)*52*3/12*(1-hemomiss),0)</f>
        <v>849.16000000000054</v>
      </c>
      <c r="S203" s="1697">
        <f>+IF(COLUMNS($L203:S203)&lt;month,VLOOKUP("Month "&amp;(COLUMNS($L203:S203)-month+13),DeNovo_Tx,11,FALSE)*52*3/12*(1-hemomiss),0)</f>
        <v>857.13333333333401</v>
      </c>
      <c r="T203" s="1697">
        <f>+IF(COLUMNS($L203:T203)&lt;month,VLOOKUP("Month "&amp;(COLUMNS($L203:T203)-month+13),DeNovo_Tx,11,FALSE)*52*3/12*(1-hemomiss),0)</f>
        <v>865.10666666666737</v>
      </c>
      <c r="U203" s="1697">
        <f>+IF(COLUMNS($L203:U203)&lt;month,VLOOKUP("Month "&amp;(COLUMNS($L203:U203)-month+13),DeNovo_Tx,11,FALSE)*52*3/12*(1-hemomiss),0)</f>
        <v>873.08000000000061</v>
      </c>
      <c r="V203" s="1700">
        <f>+IF(COLUMNS($L203:V203)&lt;month,VLOOKUP("Month "&amp;(COLUMNS($L203:V203)-month+13),DeNovo_Tx,11,FALSE)*52*3/12*(1-hemomiss),0)</f>
        <v>0</v>
      </c>
      <c r="W203" s="1697">
        <f>+IF(COLUMNS($L203:W203)&lt;month,VLOOKUP("Month "&amp;(COLUMNS($L203:W203)-month+13),DeNovo_Tx,11,FALSE)*52*3/12*(1-hemomiss),0)</f>
        <v>0</v>
      </c>
      <c r="Y203" s="99"/>
      <c r="Z203" s="97"/>
    </row>
    <row r="204" spans="1:26" s="98" customFormat="1" ht="12.75" customHeight="1">
      <c r="A204" s="100" t="s">
        <v>464</v>
      </c>
      <c r="L204" s="1697">
        <f>+IF(COLUMNS($L204:L204)&lt;month,VLOOKUP("Month "&amp;(COLUMNS($L204:L204)-month+13),DeNovo_Tx,12,FALSE)*52*3/12*(1-hemomiss),0)</f>
        <v>86.709999999999908</v>
      </c>
      <c r="M204" s="1697">
        <f>+IF(COLUMNS($L204:M204)&lt;month,VLOOKUP("Month "&amp;(COLUMNS($L204:M204)-month+13),DeNovo_Tx,12,FALSE)*52*3/12*(1-hemomiss),0)</f>
        <v>87.706666666666564</v>
      </c>
      <c r="N204" s="1697">
        <f>+IF(COLUMNS($L204:N204)&lt;month,VLOOKUP("Month "&amp;(COLUMNS($L204:N204)-month+13),DeNovo_Tx,12,FALSE)*52*3/12*(1-hemomiss),0)</f>
        <v>88.703333333333234</v>
      </c>
      <c r="O204" s="1697">
        <f>+IF(COLUMNS($L204:O204)&lt;month,VLOOKUP("Month "&amp;(COLUMNS($L204:O204)-month+13),DeNovo_Tx,12,FALSE)*52*3/12*(1-hemomiss),0)</f>
        <v>89.699999999999903</v>
      </c>
      <c r="P204" s="1697">
        <f>+IF(COLUMNS($L204:P204)&lt;month,VLOOKUP("Month "&amp;(COLUMNS($L204:P204)-month+13),DeNovo_Tx,12,FALSE)*52*3/12*(1-hemomiss),0)</f>
        <v>90.696666666666559</v>
      </c>
      <c r="Q204" s="1697">
        <f>+IF(COLUMNS($L204:Q204)&lt;month,VLOOKUP("Month "&amp;(COLUMNS($L204:Q204)-month+13),DeNovo_Tx,12,FALSE)*52*3/12*(1-hemomiss),0)</f>
        <v>91.693333333333243</v>
      </c>
      <c r="R204" s="1697">
        <f>+IF(COLUMNS($L204:R204)&lt;month,VLOOKUP("Month "&amp;(COLUMNS($L204:R204)-month+13),DeNovo_Tx,12,FALSE)*52*3/12*(1-hemomiss),0)</f>
        <v>92.689999999999884</v>
      </c>
      <c r="S204" s="1697">
        <f>+IF(COLUMNS($L204:S204)&lt;month,VLOOKUP("Month "&amp;(COLUMNS($L204:S204)-month+13),DeNovo_Tx,12,FALSE)*52*3/12*(1-hemomiss),0)</f>
        <v>93.686666666666554</v>
      </c>
      <c r="T204" s="1697">
        <f>+IF(COLUMNS($L204:T204)&lt;month,VLOOKUP("Month "&amp;(COLUMNS($L204:T204)-month+13),DeNovo_Tx,12,FALSE)*52*3/12*(1-hemomiss),0)</f>
        <v>94.683333333333209</v>
      </c>
      <c r="U204" s="1697">
        <f>+IF(COLUMNS($L204:U204)&lt;month,VLOOKUP("Month "&amp;(COLUMNS($L204:U204)-month+13),DeNovo_Tx,12,FALSE)*52*3/12*(1-hemomiss),0)</f>
        <v>95.679999999999865</v>
      </c>
      <c r="V204" s="1700">
        <f>+IF(COLUMNS($L204:V204)&lt;month,VLOOKUP("Month "&amp;(COLUMNS($L204:V204)-month+13),DeNovo_Tx,12,FALSE)*52*3/12*(1-hemomiss),0)</f>
        <v>0</v>
      </c>
      <c r="W204" s="1697">
        <f>+IF(COLUMNS($L204:W204)&lt;month,VLOOKUP("Month "&amp;(COLUMNS($L204:W204)-month+13),DeNovo_Tx,12,FALSE)*52*3/12*(1-hemomiss),0)</f>
        <v>0</v>
      </c>
      <c r="Y204" s="99"/>
      <c r="Z204" s="97"/>
    </row>
    <row r="205" spans="1:26">
      <c r="A205" s="98" t="s">
        <v>148</v>
      </c>
      <c r="B205" t="str">
        <f>+$B$2</f>
        <v>D10_11032</v>
      </c>
      <c r="C205" t="str">
        <f>+$C$2</f>
        <v>LE_XXXX</v>
      </c>
      <c r="D205" t="s">
        <v>2886</v>
      </c>
      <c r="E205" t="s">
        <v>149</v>
      </c>
      <c r="F205" t="s">
        <v>150</v>
      </c>
      <c r="G205" t="s">
        <v>2889</v>
      </c>
      <c r="H205" t="s">
        <v>145</v>
      </c>
      <c r="I205" t="s">
        <v>146</v>
      </c>
      <c r="J205" t="s">
        <v>147</v>
      </c>
      <c r="K205" t="str">
        <f>+"FY"&amp;RIGHT(YEAR('Hyperion Panel'!$B$9)+5,2)</f>
        <v>FY15</v>
      </c>
      <c r="L205" s="1612"/>
      <c r="M205" s="1612"/>
      <c r="N205" s="1612"/>
      <c r="O205" s="1612"/>
      <c r="P205" s="1612"/>
      <c r="Q205" s="1612"/>
      <c r="R205" s="1612"/>
      <c r="S205" s="1612"/>
      <c r="T205" s="1612"/>
      <c r="U205" s="1612"/>
      <c r="V205" s="1703"/>
      <c r="W205" s="1612"/>
    </row>
    <row r="206" spans="1:26" s="98" customFormat="1">
      <c r="A206" s="100" t="s">
        <v>463</v>
      </c>
      <c r="L206" s="1697">
        <f>+IF(COLUMNS($L206:L206)&lt;month,VLOOKUP("Month "&amp;(COLUMNS($L206:L206)-month+13),DeNovo_Tx,22,FALSE)*52*3/12*(1-homemiss),0)</f>
        <v>240.8249999999999</v>
      </c>
      <c r="M206" s="1697">
        <f>+IF(COLUMNS($L206:M206)&lt;month,VLOOKUP("Month "&amp;(COLUMNS($L206:M206)-month+13),DeNovo_Tx,22,FALSE)*52*3/12*(1-homemiss),0)</f>
        <v>242.8833333333333</v>
      </c>
      <c r="N206" s="1697">
        <f>+IF(COLUMNS($L206:N206)&lt;month,VLOOKUP("Month "&amp;(COLUMNS($L206:N206)-month+13),DeNovo_Tx,22,FALSE)*52*3/12*(1-homemiss),0)</f>
        <v>244.94166666666663</v>
      </c>
      <c r="O206" s="1697">
        <f>+IF(COLUMNS($L206:O206)&lt;month,VLOOKUP("Month "&amp;(COLUMNS($L206:O206)-month+13),DeNovo_Tx,22,FALSE)*52*3/12*(1-homemiss),0)</f>
        <v>247</v>
      </c>
      <c r="P206" s="1697">
        <f>+IF(COLUMNS($L206:P206)&lt;month,VLOOKUP("Month "&amp;(COLUMNS($L206:P206)-month+13),DeNovo_Tx,22,FALSE)*52*3/12*(1-homemiss),0)</f>
        <v>249.05833333333334</v>
      </c>
      <c r="Q206" s="1697">
        <f>+IF(COLUMNS($L206:Q206)&lt;month,VLOOKUP("Month "&amp;(COLUMNS($L206:Q206)-month+13),DeNovo_Tx,22,FALSE)*52*3/12*(1-homemiss),0)</f>
        <v>251.1166666666667</v>
      </c>
      <c r="R206" s="1697">
        <f>+IF(COLUMNS($L206:R206)&lt;month,VLOOKUP("Month "&amp;(COLUMNS($L206:R206)-month+13),DeNovo_Tx,22,FALSE)*52*3/12*(1-homemiss),0)</f>
        <v>253.17500000000004</v>
      </c>
      <c r="S206" s="1697">
        <f>+IF(COLUMNS($L206:S206)&lt;month,VLOOKUP("Month "&amp;(COLUMNS($L206:S206)-month+13),DeNovo_Tx,22,FALSE)*52*3/12*(1-homemiss),0)</f>
        <v>255.23333333333341</v>
      </c>
      <c r="T206" s="1697">
        <f>+IF(COLUMNS($L206:T206)&lt;month,VLOOKUP("Month "&amp;(COLUMNS($L206:T206)-month+13),DeNovo_Tx,22,FALSE)*52*3/12*(1-homemiss),0)</f>
        <v>257.29166666666674</v>
      </c>
      <c r="U206" s="1697">
        <f>+IF(COLUMNS($L206:U206)&lt;month,VLOOKUP("Month "&amp;(COLUMNS($L206:U206)-month+13),DeNovo_Tx,22,FALSE)*52*3/12*(1-homemiss),0)</f>
        <v>259.35000000000008</v>
      </c>
      <c r="V206" s="1697">
        <f>+IF(COLUMNS($L206:V206)&lt;month,VLOOKUP("Month "&amp;(COLUMNS($L206:V206)-month+13),DeNovo_Tx,22,FALSE)*52*3/12*(1-homemiss),0)</f>
        <v>0</v>
      </c>
      <c r="W206" s="1697">
        <f>+IF(COLUMNS($L206:W206)&lt;month,VLOOKUP("Month "&amp;(COLUMNS($L206:W206)-month+13),DeNovo_Tx,22,FALSE)*52*3/12*(1-homemiss),0)</f>
        <v>0</v>
      </c>
      <c r="Y206" s="99"/>
    </row>
    <row r="207" spans="1:26" s="98" customFormat="1">
      <c r="A207" s="100" t="s">
        <v>464</v>
      </c>
      <c r="L207" s="1697">
        <f>+IF(COLUMNS($L207:L207)&lt;month,VLOOKUP("Month "&amp;(COLUMNS($L207:L207)-month+13),DeNovo_Tx,23,FALSE)*52*3/12*(1-homemiss),0)</f>
        <v>40.13750000000001</v>
      </c>
      <c r="M207" s="1697">
        <f>+IF(COLUMNS($L207:M207)&lt;month,VLOOKUP("Month "&amp;(COLUMNS($L207:M207)-month+13),DeNovo_Tx,23,FALSE)*52*3/12*(1-homemiss),0)</f>
        <v>41.166666666666679</v>
      </c>
      <c r="N207" s="1697">
        <f>+IF(COLUMNS($L207:N207)&lt;month,VLOOKUP("Month "&amp;(COLUMNS($L207:N207)-month+13),DeNovo_Tx,23,FALSE)*52*3/12*(1-homemiss),0)</f>
        <v>42.195833333333347</v>
      </c>
      <c r="O207" s="1697">
        <f>+IF(COLUMNS($L207:O207)&lt;month,VLOOKUP("Month "&amp;(COLUMNS($L207:O207)-month+13),DeNovo_Tx,23,FALSE)*52*3/12*(1-homemiss),0)</f>
        <v>43.225000000000016</v>
      </c>
      <c r="P207" s="1697">
        <f>+IF(COLUMNS($L207:P207)&lt;month,VLOOKUP("Month "&amp;(COLUMNS($L207:P207)-month+13),DeNovo_Tx,23,FALSE)*52*3/12*(1-homemiss),0)</f>
        <v>44.254166666666677</v>
      </c>
      <c r="Q207" s="1697">
        <f>+IF(COLUMNS($L207:Q207)&lt;month,VLOOKUP("Month "&amp;(COLUMNS($L207:Q207)-month+13),DeNovo_Tx,23,FALSE)*52*3/12*(1-homemiss),0)</f>
        <v>45.283333333333353</v>
      </c>
      <c r="R207" s="1697">
        <f>+IF(COLUMNS($L207:R207)&lt;month,VLOOKUP("Month "&amp;(COLUMNS($L207:R207)-month+13),DeNovo_Tx,23,FALSE)*52*3/12*(1-homemiss),0)</f>
        <v>46.312500000000021</v>
      </c>
      <c r="S207" s="1697">
        <f>+IF(COLUMNS($L207:S207)&lt;month,VLOOKUP("Month "&amp;(COLUMNS($L207:S207)-month+13),DeNovo_Tx,23,FALSE)*52*3/12*(1-homemiss),0)</f>
        <v>47.341666666666697</v>
      </c>
      <c r="T207" s="1697">
        <f>+IF(COLUMNS($L207:T207)&lt;month,VLOOKUP("Month "&amp;(COLUMNS($L207:T207)-month+13),DeNovo_Tx,23,FALSE)*52*3/12*(1-homemiss),0)</f>
        <v>48.370833333333373</v>
      </c>
      <c r="U207" s="1697">
        <f>+IF(COLUMNS($L207:U207)&lt;month,VLOOKUP("Month "&amp;(COLUMNS($L207:U207)-month+13),DeNovo_Tx,23,FALSE)*52*3/12*(1-homemiss),0)</f>
        <v>49.400000000000034</v>
      </c>
      <c r="V207" s="1697">
        <f>+IF(COLUMNS($L207:V207)&lt;month,VLOOKUP("Month "&amp;(COLUMNS($L207:V207)-month+13),DeNovo_Tx,23,FALSE)*52*3/12*(1-homemiss),0)</f>
        <v>0</v>
      </c>
      <c r="W207" s="1697">
        <f>+IF(COLUMNS($L207:W207)&lt;month,VLOOKUP("Month "&amp;(COLUMNS($L207:W207)-month+13),DeNovo_Tx,23,FALSE)*52*3/12*(1-homemiss),0)</f>
        <v>0</v>
      </c>
      <c r="Y207" s="99"/>
    </row>
    <row r="208" spans="1:26">
      <c r="A208" s="4" t="s">
        <v>169</v>
      </c>
      <c r="B208" s="4" t="str">
        <f>+$B$2</f>
        <v>D10_11032</v>
      </c>
      <c r="C208" s="4"/>
      <c r="D208" s="4"/>
      <c r="E208" s="4"/>
      <c r="F208" s="4"/>
      <c r="G208" s="4"/>
      <c r="H208" s="4"/>
      <c r="I208" s="4"/>
      <c r="J208" s="4"/>
      <c r="K208" s="4" t="str">
        <f>+"FY"&amp;RIGHT(YEAR('Hyperion Panel'!$B$9)+5,2)</f>
        <v>FY15</v>
      </c>
      <c r="L208" s="1698"/>
      <c r="M208" s="1698"/>
      <c r="N208" s="1698"/>
      <c r="O208" s="1698"/>
      <c r="P208" s="1698"/>
      <c r="Q208" s="1698"/>
      <c r="R208" s="1698"/>
      <c r="S208" s="1698"/>
      <c r="T208" s="1698"/>
      <c r="U208" s="1698"/>
      <c r="V208" s="1699"/>
      <c r="W208" s="1698"/>
      <c r="Y208" s="99"/>
    </row>
    <row r="209" spans="1:26">
      <c r="A209" s="101" t="s">
        <v>463</v>
      </c>
      <c r="B209" s="4"/>
      <c r="C209" s="4"/>
      <c r="D209" s="4"/>
      <c r="E209" s="4"/>
      <c r="F209" s="4"/>
      <c r="G209" s="4"/>
      <c r="H209" s="4"/>
      <c r="I209" s="4"/>
      <c r="J209" s="4"/>
      <c r="K209" s="4"/>
      <c r="L209" s="1698">
        <f>+IF(COLUMNS($L209:L209)&lt;month,VLOOKUP("Month "&amp;(COLUMNS($L209:L209)-month+13),DeNovo_Tx,33,FALSE)*52*3/12*(1-hhdmiss),0)</f>
        <v>94.249999999999901</v>
      </c>
      <c r="M209" s="1698">
        <f>+IF(COLUMNS($L209:M209)&lt;month,VLOOKUP("Month "&amp;(COLUMNS($L209:M209)-month+13),DeNovo_Tx,33,FALSE)*52*3/12*(1-hhdmiss),0)</f>
        <v>95.333333333333215</v>
      </c>
      <c r="N209" s="1698">
        <f>+IF(COLUMNS($L209:N209)&lt;month,VLOOKUP("Month "&amp;(COLUMNS($L209:N209)-month+13),DeNovo_Tx,33,FALSE)*52*3/12*(1-hhdmiss),0)</f>
        <v>96.416666666666558</v>
      </c>
      <c r="O209" s="1698">
        <f>+IF(COLUMNS($L209:O209)&lt;month,VLOOKUP("Month "&amp;(COLUMNS($L209:O209)-month+13),DeNovo_Tx,33,FALSE)*52*3/12*(1-hhdmiss),0)</f>
        <v>97.499999999999886</v>
      </c>
      <c r="P209" s="1698">
        <f>+IF(COLUMNS($L209:P209)&lt;month,VLOOKUP("Month "&amp;(COLUMNS($L209:P209)-month+13),DeNovo_Tx,33,FALSE)*52*3/12*(1-hhdmiss),0)</f>
        <v>98.583333333333215</v>
      </c>
      <c r="Q209" s="1698">
        <f>+IF(COLUMNS($L209:Q209)&lt;month,VLOOKUP("Month "&amp;(COLUMNS($L209:Q209)-month+13),DeNovo_Tx,33,FALSE)*52*3/12*(1-hhdmiss),0)</f>
        <v>99.666666666666558</v>
      </c>
      <c r="R209" s="1698">
        <f>+IF(COLUMNS($L209:R209)&lt;month,VLOOKUP("Month "&amp;(COLUMNS($L209:R209)-month+13),DeNovo_Tx,33,FALSE)*52*3/12*(1-hhdmiss),0)</f>
        <v>100.74999999999987</v>
      </c>
      <c r="S209" s="1698">
        <f>+IF(COLUMNS($L209:S209)&lt;month,VLOOKUP("Month "&amp;(COLUMNS($L209:S209)-month+13),DeNovo_Tx,33,FALSE)*52*3/12*(1-hhdmiss),0)</f>
        <v>101.8333333333332</v>
      </c>
      <c r="T209" s="1698">
        <f>+IF(COLUMNS($L209:T209)&lt;month,VLOOKUP("Month "&amp;(COLUMNS($L209:T209)-month+13),DeNovo_Tx,33,FALSE)*52*3/12*(1-hhdmiss),0)</f>
        <v>102.91666666666653</v>
      </c>
      <c r="U209" s="1698">
        <f>+IF(COLUMNS($L209:U209)&lt;month,VLOOKUP("Month "&amp;(COLUMNS($L209:U209)-month+13),DeNovo_Tx,33,FALSE)*52*3/12*(1-hhdmiss),0)</f>
        <v>103.99999999999984</v>
      </c>
      <c r="V209" s="1699">
        <f>+IF(COLUMNS($L209:V209)&lt;month,VLOOKUP("Month "&amp;(COLUMNS($L209:V209)-month+13),DeNovo_Tx,33,FALSE)*52*3/12*(1-hhdmiss),0)</f>
        <v>0</v>
      </c>
      <c r="W209" s="1698">
        <f>+IF(COLUMNS($L209:W209)&lt;month,VLOOKUP("Month "&amp;(COLUMNS($L209:W209)-month+13),DeNovo_Tx,33,FALSE)*52*3/12*(1-hhdmiss),0)</f>
        <v>0</v>
      </c>
      <c r="Y209" s="99"/>
    </row>
    <row r="210" spans="1:26">
      <c r="A210" s="101" t="s">
        <v>464</v>
      </c>
      <c r="B210" s="4"/>
      <c r="C210" s="4"/>
      <c r="D210" s="4"/>
      <c r="E210" s="4"/>
      <c r="F210" s="4"/>
      <c r="G210" s="4"/>
      <c r="H210" s="4"/>
      <c r="I210" s="4"/>
      <c r="J210" s="4"/>
      <c r="K210" s="4"/>
      <c r="L210" s="1698">
        <f>+IF(COLUMNS($L210:L210)&lt;month,VLOOKUP("Month "&amp;(COLUMNS($L210:L210)-month+13),DeNovo_Tx,34,FALSE)*52*4.3/12*(1-hhdmiss),0)</f>
        <v>37.266666666666652</v>
      </c>
      <c r="M210" s="1698">
        <f>+IF(COLUMNS($L210:M210)&lt;month,VLOOKUP("Month "&amp;(COLUMNS($L210:M210)-month+13),DeNovo_Tx,34,FALSE)*52*4.3/12*(1-hhdmiss),0)</f>
        <v>37.266666666666652</v>
      </c>
      <c r="N210" s="1698">
        <f>+IF(COLUMNS($L210:N210)&lt;month,VLOOKUP("Month "&amp;(COLUMNS($L210:N210)-month+13),DeNovo_Tx,34,FALSE)*52*4.3/12*(1-hhdmiss),0)</f>
        <v>37.266666666666652</v>
      </c>
      <c r="O210" s="1698">
        <f>+IF(COLUMNS($L210:O210)&lt;month,VLOOKUP("Month "&amp;(COLUMNS($L210:O210)-month+13),DeNovo_Tx,34,FALSE)*52*4.3/12*(1-hhdmiss),0)</f>
        <v>37.266666666666652</v>
      </c>
      <c r="P210" s="1698">
        <f>+IF(COLUMNS($L210:P210)&lt;month,VLOOKUP("Month "&amp;(COLUMNS($L210:P210)-month+13),DeNovo_Tx,34,FALSE)*52*4.3/12*(1-hhdmiss),0)</f>
        <v>37.266666666666652</v>
      </c>
      <c r="Q210" s="1698">
        <f>+IF(COLUMNS($L210:Q210)&lt;month,VLOOKUP("Month "&amp;(COLUMNS($L210:Q210)-month+13),DeNovo_Tx,34,FALSE)*52*4.3/12*(1-hhdmiss),0)</f>
        <v>37.266666666666652</v>
      </c>
      <c r="R210" s="1698">
        <f>+IF(COLUMNS($L210:R210)&lt;month,VLOOKUP("Month "&amp;(COLUMNS($L210:R210)-month+13),DeNovo_Tx,34,FALSE)*52*4.3/12*(1-hhdmiss),0)</f>
        <v>37.266666666666652</v>
      </c>
      <c r="S210" s="1698">
        <f>+IF(COLUMNS($L210:S210)&lt;month,VLOOKUP("Month "&amp;(COLUMNS($L210:S210)-month+13),DeNovo_Tx,34,FALSE)*52*4.3/12*(1-hhdmiss),0)</f>
        <v>37.266666666666652</v>
      </c>
      <c r="T210" s="1698">
        <f>+IF(COLUMNS($L210:T210)&lt;month,VLOOKUP("Month "&amp;(COLUMNS($L210:T210)-month+13),DeNovo_Tx,34,FALSE)*52*4.3/12*(1-hhdmiss),0)</f>
        <v>37.266666666666652</v>
      </c>
      <c r="U210" s="1698">
        <f>+IF(COLUMNS($L210:U210)&lt;month,VLOOKUP("Month "&amp;(COLUMNS($L210:U210)-month+13),DeNovo_Tx,34,FALSE)*52*4.3/12*(1-hhdmiss),0)</f>
        <v>37.266666666666652</v>
      </c>
      <c r="V210" s="1698">
        <f>+IF(COLUMNS($L210:V210)&lt;month,VLOOKUP("Month "&amp;(COLUMNS($L210:V210)-month+13),DeNovo_Tx,34,FALSE)*52*4.3/12*(1-hhdmiss),0)</f>
        <v>0</v>
      </c>
      <c r="W210" s="1698">
        <f>+IF(COLUMNS($L210:W210)&lt;month,VLOOKUP("Month "&amp;(COLUMNS($L210:W210)-month+13),DeNovo_Tx,34,FALSE)*52*4.3/12*(1-hhdmiss),0)</f>
        <v>0</v>
      </c>
      <c r="Y210" s="99"/>
    </row>
    <row r="211" spans="1:26">
      <c r="A211" s="1958" t="s">
        <v>1556</v>
      </c>
      <c r="B211" s="35"/>
      <c r="C211" s="35"/>
      <c r="D211" s="35"/>
      <c r="E211" s="35"/>
      <c r="F211" s="35"/>
      <c r="G211" s="35"/>
      <c r="H211" s="35"/>
      <c r="I211" s="35"/>
      <c r="J211" s="35"/>
      <c r="K211" s="35"/>
      <c r="L211" s="1959">
        <f>((12*L209)/(1-hhdmiss))/52/'5. Financials'!$M$46</f>
        <v>7.2499999999999929</v>
      </c>
      <c r="M211" s="1959">
        <f>((12*M209)/(1-hhdmiss))/52/'5. Financials'!$M$46</f>
        <v>7.333333333333325</v>
      </c>
      <c r="N211" s="1959">
        <f>((12*N209)/(1-hhdmiss))/52/'5. Financials'!$M$46</f>
        <v>7.4166666666666581</v>
      </c>
      <c r="O211" s="1959">
        <f>((12*O209)/(1-hhdmiss))/52/'5. Financials'!$M$46</f>
        <v>7.499999999999992</v>
      </c>
      <c r="P211" s="1959">
        <f>((12*P209)/(1-hhdmiss))/52/'5. Financials'!$M$46</f>
        <v>7.583333333333325</v>
      </c>
      <c r="Q211" s="1959">
        <f>((12*Q209)/(1-hhdmiss))/52/'5. Financials'!$M$46</f>
        <v>7.6666666666666581</v>
      </c>
      <c r="R211" s="1959">
        <f>((12*R209)/(1-hhdmiss))/52/'5. Financials'!$M$46</f>
        <v>7.7499999999999893</v>
      </c>
      <c r="S211" s="1959">
        <f>((12*S209)/(1-hhdmiss))/52/'5. Financials'!$M$46</f>
        <v>7.8333333333333224</v>
      </c>
      <c r="T211" s="1959">
        <f>((12*T209)/(1-hhdmiss))/52/'5. Financials'!$M$46</f>
        <v>7.9166666666666563</v>
      </c>
      <c r="U211" s="1959">
        <f>((12*U209)/(1-hhdmiss))/52/'5. Financials'!$M$46</f>
        <v>7.9999999999999885</v>
      </c>
      <c r="V211" s="1959">
        <f>((12*V209)/(1-hhdmiss))/52/'5. Financials'!$M$46</f>
        <v>0</v>
      </c>
      <c r="W211" s="1959">
        <f>((12*W209)/(1-hhdmiss))/52/'5. Financials'!$M$46</f>
        <v>0</v>
      </c>
      <c r="Y211" s="99"/>
    </row>
    <row r="212" spans="1:26">
      <c r="A212" s="1958" t="s">
        <v>1557</v>
      </c>
      <c r="B212" s="35"/>
      <c r="C212" s="35"/>
      <c r="D212" s="35"/>
      <c r="E212" s="35"/>
      <c r="F212" s="35"/>
      <c r="G212" s="35"/>
      <c r="H212" s="35"/>
      <c r="I212" s="35"/>
      <c r="J212" s="35"/>
      <c r="K212" s="35"/>
      <c r="L212" s="1959">
        <f>((12*L210)/(1-hhdmiss))/52/'5. Financials'!$M$54</f>
        <v>1.9999999999999991</v>
      </c>
      <c r="M212" s="1959">
        <f>((12*M210)/(1-hhdmiss))/52/'5. Financials'!$M$54</f>
        <v>1.9999999999999991</v>
      </c>
      <c r="N212" s="1959">
        <f>((12*N210)/(1-hhdmiss))/52/'5. Financials'!$M$54</f>
        <v>1.9999999999999991</v>
      </c>
      <c r="O212" s="1959">
        <f>((12*O210)/(1-hhdmiss))/52/'5. Financials'!$M$54</f>
        <v>1.9999999999999991</v>
      </c>
      <c r="P212" s="1959">
        <f>((12*P210)/(1-hhdmiss))/52/'5. Financials'!$M$54</f>
        <v>1.9999999999999991</v>
      </c>
      <c r="Q212" s="1959">
        <f>((12*Q210)/(1-hhdmiss))/52/'5. Financials'!$M$54</f>
        <v>1.9999999999999991</v>
      </c>
      <c r="R212" s="1959">
        <f>((12*R210)/(1-hhdmiss))/52/'5. Financials'!$M$54</f>
        <v>1.9999999999999991</v>
      </c>
      <c r="S212" s="1959">
        <f>((12*S210)/(1-hhdmiss))/52/'5. Financials'!$M$54</f>
        <v>1.9999999999999991</v>
      </c>
      <c r="T212" s="1959">
        <f>((12*T210)/(1-hhdmiss))/52/'5. Financials'!$M$54</f>
        <v>1.9999999999999991</v>
      </c>
      <c r="U212" s="1959">
        <f>((12*U210)/(1-hhdmiss))/52/'5. Financials'!$M$54</f>
        <v>1.9999999999999991</v>
      </c>
      <c r="V212" s="1959">
        <f>((12*V210)/(1-hhdmiss))/52/'5. Financials'!$M$54</f>
        <v>0</v>
      </c>
      <c r="W212" s="1959">
        <f>((12*W210)/(1-hhdmiss))/52/'5. Financials'!$M$54</f>
        <v>0</v>
      </c>
      <c r="Y212" s="99"/>
    </row>
    <row r="213" spans="1:26">
      <c r="A213" s="1958" t="s">
        <v>1558</v>
      </c>
      <c r="B213" s="35"/>
      <c r="C213" s="35"/>
      <c r="D213" s="35"/>
      <c r="E213" s="35"/>
      <c r="F213" s="35"/>
      <c r="G213" s="35"/>
      <c r="H213" s="35"/>
      <c r="I213" s="35"/>
      <c r="J213" s="35"/>
      <c r="K213" s="35"/>
      <c r="L213" s="1959">
        <f>(52*'5. Financials'!$M$46*'Upload Detail'!L211*(1-hhdmiss)-clawback*(52*('5. Financials'!$M$46-3)*'Upload Detail'!L211*(1-hhdmiss)))/12</f>
        <v>94.249999999999901</v>
      </c>
      <c r="M213" s="1959">
        <f>(52*'5. Financials'!$M$46*'Upload Detail'!M211*(1-hhdmiss)-clawback*(52*('5. Financials'!$M$46-3)*'Upload Detail'!M211*(1-hhdmiss)))/12</f>
        <v>95.333333333333215</v>
      </c>
      <c r="N213" s="1959">
        <f>(52*'5. Financials'!$M$46*'Upload Detail'!N211*(1-hhdmiss)-clawback*(52*('5. Financials'!$M$46-3)*'Upload Detail'!N211*(1-hhdmiss)))/12</f>
        <v>96.416666666666558</v>
      </c>
      <c r="O213" s="1959">
        <f>(52*'5. Financials'!$M$46*'Upload Detail'!O211*(1-hhdmiss)-clawback*(52*('5. Financials'!$M$46-3)*'Upload Detail'!O211*(1-hhdmiss)))/12</f>
        <v>97.499999999999901</v>
      </c>
      <c r="P213" s="1959">
        <f>(52*'5. Financials'!$M$46*'Upload Detail'!P211*(1-hhdmiss)-clawback*(52*('5. Financials'!$M$46-3)*'Upload Detail'!P211*(1-hhdmiss)))/12</f>
        <v>98.583333333333215</v>
      </c>
      <c r="Q213" s="1959">
        <f>(52*'5. Financials'!$M$46*'Upload Detail'!Q211*(1-hhdmiss)-clawback*(52*('5. Financials'!$M$46-3)*'Upload Detail'!Q211*(1-hhdmiss)))/12</f>
        <v>99.666666666666558</v>
      </c>
      <c r="R213" s="1959">
        <f>(52*'5. Financials'!$M$46*'Upload Detail'!R211*(1-hhdmiss)-clawback*(52*('5. Financials'!$M$46-3)*'Upload Detail'!R211*(1-hhdmiss)))/12</f>
        <v>100.74999999999987</v>
      </c>
      <c r="S213" s="1959">
        <f>(52*'5. Financials'!$M$46*'Upload Detail'!S211*(1-hhdmiss)-clawback*(52*('5. Financials'!$M$46-3)*'Upload Detail'!S211*(1-hhdmiss)))/12</f>
        <v>101.83333333333319</v>
      </c>
      <c r="T213" s="1959">
        <f>(52*'5. Financials'!$M$46*'Upload Detail'!T211*(1-hhdmiss)-clawback*(52*('5. Financials'!$M$46-3)*'Upload Detail'!T211*(1-hhdmiss)))/12</f>
        <v>102.91666666666653</v>
      </c>
      <c r="U213" s="1959">
        <f>(52*'5. Financials'!$M$46*'Upload Detail'!U211*(1-hhdmiss)-clawback*(52*('5. Financials'!$M$46-3)*'Upload Detail'!U211*(1-hhdmiss)))/12</f>
        <v>103.99999999999984</v>
      </c>
      <c r="V213" s="1959">
        <f>(52*'5. Financials'!$M$46*'Upload Detail'!V211*(1-hhdmiss)-clawback*(52*('5. Financials'!$M$46-3)*'Upload Detail'!V211*(1-hhdmiss)))/12</f>
        <v>0</v>
      </c>
      <c r="W213" s="1959">
        <f>(52*'5. Financials'!$M$46*'Upload Detail'!W211*(1-hhdmiss)-clawback*(52*('5. Financials'!$M$46-3)*'Upload Detail'!W211*(1-hhdmiss)))/12</f>
        <v>0</v>
      </c>
      <c r="Y213" s="99"/>
    </row>
    <row r="214" spans="1:26">
      <c r="A214" s="1958" t="s">
        <v>1559</v>
      </c>
      <c r="B214" s="35"/>
      <c r="C214" s="35"/>
      <c r="D214" s="35"/>
      <c r="E214" s="35"/>
      <c r="F214" s="35"/>
      <c r="G214" s="35"/>
      <c r="H214" s="35"/>
      <c r="I214" s="35"/>
      <c r="J214" s="35"/>
      <c r="K214" s="35"/>
      <c r="L214" s="1959">
        <f>(52*'5. Financials'!$M$54*'Upload Detail'!L212*(1-hhdmiss)-clawback*(52*('5. Financials'!$M$54-3)*'Upload Detail'!L212*(1-hhdmiss)))/12</f>
        <v>37.266666666666652</v>
      </c>
      <c r="M214" s="1959">
        <f>(52*'5. Financials'!$M$54*'Upload Detail'!M212*(1-hhdmiss)-clawback*(52*('5. Financials'!$M$54-3)*'Upload Detail'!M212*(1-hhdmiss)))/12</f>
        <v>37.266666666666652</v>
      </c>
      <c r="N214" s="1959">
        <f>(52*'5. Financials'!$M$54*'Upload Detail'!N212*(1-hhdmiss)-clawback*(52*('5. Financials'!$M$54-3)*'Upload Detail'!N212*(1-hhdmiss)))/12</f>
        <v>37.266666666666652</v>
      </c>
      <c r="O214" s="1959">
        <f>(52*'5. Financials'!$M$54*'Upload Detail'!O212*(1-hhdmiss)-clawback*(52*('5. Financials'!$M$54-3)*'Upload Detail'!O212*(1-hhdmiss)))/12</f>
        <v>37.266666666666652</v>
      </c>
      <c r="P214" s="1959">
        <f>(52*'5. Financials'!$M$54*'Upload Detail'!P212*(1-hhdmiss)-clawback*(52*('5. Financials'!$M$54-3)*'Upload Detail'!P212*(1-hhdmiss)))/12</f>
        <v>37.266666666666652</v>
      </c>
      <c r="Q214" s="1959">
        <f>(52*'5. Financials'!$M$54*'Upload Detail'!Q212*(1-hhdmiss)-clawback*(52*('5. Financials'!$M$54-3)*'Upload Detail'!Q212*(1-hhdmiss)))/12</f>
        <v>37.266666666666652</v>
      </c>
      <c r="R214" s="1959">
        <f>(52*'5. Financials'!$M$54*'Upload Detail'!R212*(1-hhdmiss)-clawback*(52*('5. Financials'!$M$54-3)*'Upload Detail'!R212*(1-hhdmiss)))/12</f>
        <v>37.266666666666652</v>
      </c>
      <c r="S214" s="1959">
        <f>(52*'5. Financials'!$M$54*'Upload Detail'!S212*(1-hhdmiss)-clawback*(52*('5. Financials'!$M$54-3)*'Upload Detail'!S212*(1-hhdmiss)))/12</f>
        <v>37.266666666666652</v>
      </c>
      <c r="T214" s="1959">
        <f>(52*'5. Financials'!$M$54*'Upload Detail'!T212*(1-hhdmiss)-clawback*(52*('5. Financials'!$M$54-3)*'Upload Detail'!T212*(1-hhdmiss)))/12</f>
        <v>37.266666666666652</v>
      </c>
      <c r="U214" s="1959">
        <f>(52*'5. Financials'!$M$54*'Upload Detail'!U212*(1-hhdmiss)-clawback*(52*('5. Financials'!$M$54-3)*'Upload Detail'!U212*(1-hhdmiss)))/12</f>
        <v>37.266666666666652</v>
      </c>
      <c r="V214" s="1959">
        <f>(52*'5. Financials'!$M$54*'Upload Detail'!V212*(1-hhdmiss)-clawback*(52*('5. Financials'!$M$54-3)*'Upload Detail'!V212*(1-hhdmiss)))/12</f>
        <v>0</v>
      </c>
      <c r="W214" s="1959">
        <f>(52*'5. Financials'!$M$54*'Upload Detail'!W212*(1-hhdmiss)-clawback*(52*('5. Financials'!$M$54-3)*'Upload Detail'!W212*(1-hhdmiss)))/12</f>
        <v>0</v>
      </c>
      <c r="Y214" s="99"/>
    </row>
    <row r="215" spans="1:26">
      <c r="A215" s="98" t="s">
        <v>151</v>
      </c>
      <c r="B215" t="str">
        <f>+$B$2</f>
        <v>D10_11032</v>
      </c>
      <c r="C215" t="str">
        <f>+$C$2</f>
        <v>LE_XXXX</v>
      </c>
      <c r="D215" t="s">
        <v>2886</v>
      </c>
      <c r="E215">
        <v>3010</v>
      </c>
      <c r="F215" t="s">
        <v>2888</v>
      </c>
      <c r="G215" t="s">
        <v>2889</v>
      </c>
      <c r="H215" t="s">
        <v>145</v>
      </c>
      <c r="I215" t="s">
        <v>146</v>
      </c>
      <c r="J215" t="s">
        <v>147</v>
      </c>
      <c r="K215" t="str">
        <f>+"FY"&amp;RIGHT(YEAR('Hyperion Panel'!$B$9)+5,2)</f>
        <v>FY15</v>
      </c>
      <c r="L215" s="1612"/>
      <c r="M215" s="1612"/>
      <c r="N215" s="1612"/>
      <c r="O215" s="1612"/>
      <c r="P215" s="1612"/>
      <c r="Q215" s="1612"/>
      <c r="R215" s="1612"/>
      <c r="S215" s="1612"/>
      <c r="T215" s="1612"/>
      <c r="U215" s="1612"/>
      <c r="V215" s="1702"/>
      <c r="W215" s="1612"/>
    </row>
    <row r="216" spans="1:26" s="98" customFormat="1">
      <c r="A216" s="100" t="s">
        <v>463</v>
      </c>
      <c r="L216" s="1697">
        <f>+IF(COLUMNS($L216:L216)&lt;month,'5. Financials'!$M$15*L203,0)</f>
        <v>211096.82458583574</v>
      </c>
      <c r="M216" s="1697">
        <f>+IF(COLUMNS($L216:M216)&lt;month,'5. Financials'!$M$15*M203,0)</f>
        <v>213197.29050211268</v>
      </c>
      <c r="N216" s="1697">
        <f>+IF(COLUMNS($L216:N216)&lt;month,'5. Financials'!$M$15*N203,0)</f>
        <v>215297.75641838965</v>
      </c>
      <c r="O216" s="1697">
        <f>+IF(COLUMNS($L216:O216)&lt;month,'5. Financials'!$M$15*O203,0)</f>
        <v>217398.22233466664</v>
      </c>
      <c r="P216" s="1697">
        <f>+IF(COLUMNS($L216:P216)&lt;month,'5. Financials'!$M$15*P203,0)</f>
        <v>219498.68825094361</v>
      </c>
      <c r="Q216" s="1697">
        <f>+IF(COLUMNS($L216:Q216)&lt;month,'5. Financials'!$M$15*Q203,0)</f>
        <v>221599.15416722064</v>
      </c>
      <c r="R216" s="1697">
        <f>+IF(COLUMNS($L216:R216)&lt;month,'5. Financials'!$M$15*R203,0)</f>
        <v>223699.6200834976</v>
      </c>
      <c r="S216" s="1697">
        <f>+IF(COLUMNS($L216:S216)&lt;month,'5. Financials'!$M$15*S203,0)</f>
        <v>225800.0859997746</v>
      </c>
      <c r="T216" s="1697">
        <f>+IF(COLUMNS($L216:T216)&lt;month,'5. Financials'!$M$15*T203,0)</f>
        <v>227900.5519160516</v>
      </c>
      <c r="U216" s="1697">
        <f>+IF(COLUMNS($L216:U216)&lt;month,'5. Financials'!$M$15*U203,0)</f>
        <v>230001.01783232854</v>
      </c>
      <c r="V216" s="1700">
        <f>+IF(COLUMNS($L216:V216)&lt;month,'5. Financials'!$M$15*V203,0)</f>
        <v>0</v>
      </c>
      <c r="W216" s="1697">
        <f>+IF(COLUMNS($L216:W216)&lt;month,'5. Financials'!$M$15*W203,0)</f>
        <v>0</v>
      </c>
      <c r="Y216" s="99"/>
      <c r="Z216" s="97"/>
    </row>
    <row r="217" spans="1:26" s="98" customFormat="1">
      <c r="A217" s="100" t="s">
        <v>464</v>
      </c>
      <c r="L217" s="1697">
        <f>+IF(COLUMNS($L217:L217)&lt;month,'5. Financials'!$M$23*L204,0)</f>
        <v>96531.53242141346</v>
      </c>
      <c r="M217" s="1697">
        <f>+IF(COLUMNS($L217:M217)&lt;month,'5. Financials'!$M$23*M204,0)</f>
        <v>97641.090265337742</v>
      </c>
      <c r="N217" s="1697">
        <f>+IF(COLUMNS($L217:N217)&lt;month,'5. Financials'!$M$23*N204,0)</f>
        <v>98750.648109262038</v>
      </c>
      <c r="O217" s="1697">
        <f>+IF(COLUMNS($L217:O217)&lt;month,'5. Financials'!$M$23*O204,0)</f>
        <v>99860.205953186334</v>
      </c>
      <c r="P217" s="1697">
        <f>+IF(COLUMNS($L217:P217)&lt;month,'5. Financials'!$M$23*P204,0)</f>
        <v>100969.76379711062</v>
      </c>
      <c r="Q217" s="1697">
        <f>+IF(COLUMNS($L217:Q217)&lt;month,'5. Financials'!$M$23*Q204,0)</f>
        <v>102079.32164103493</v>
      </c>
      <c r="R217" s="1697">
        <f>+IF(COLUMNS($L217:R217)&lt;month,'5. Financials'!$M$23*R204,0)</f>
        <v>103188.87948495919</v>
      </c>
      <c r="S217" s="1697">
        <f>+IF(COLUMNS($L217:S217)&lt;month,'5. Financials'!$M$23*S204,0)</f>
        <v>104298.43732888349</v>
      </c>
      <c r="T217" s="1697">
        <f>+IF(COLUMNS($L217:T217)&lt;month,'5. Financials'!$M$23*T204,0)</f>
        <v>105407.99517280777</v>
      </c>
      <c r="U217" s="1697">
        <f>+IF(COLUMNS($L217:U217)&lt;month,'5. Financials'!$M$23*U204,0)</f>
        <v>106517.55301673205</v>
      </c>
      <c r="V217" s="1700">
        <f>+IF(COLUMNS($L217:V217)&lt;month,'5. Financials'!$M$23*V204,0)</f>
        <v>0</v>
      </c>
      <c r="W217" s="1697">
        <f>+IF(COLUMNS($L217:W217)&lt;month,'5. Financials'!$M$23*W204,0)</f>
        <v>0</v>
      </c>
      <c r="Y217" s="99"/>
      <c r="Z217" s="97"/>
    </row>
    <row r="218" spans="1:26">
      <c r="A218" s="98" t="s">
        <v>152</v>
      </c>
      <c r="B218" t="str">
        <f>+$B$2</f>
        <v>D10_11032</v>
      </c>
      <c r="C218" t="str">
        <f>+$C$2</f>
        <v>LE_XXXX</v>
      </c>
      <c r="D218" t="s">
        <v>2886</v>
      </c>
      <c r="E218">
        <v>3030</v>
      </c>
      <c r="F218" t="s">
        <v>150</v>
      </c>
      <c r="G218" t="s">
        <v>2889</v>
      </c>
      <c r="H218" t="s">
        <v>145</v>
      </c>
      <c r="I218" t="s">
        <v>146</v>
      </c>
      <c r="J218" t="s">
        <v>147</v>
      </c>
      <c r="K218" t="str">
        <f>+"FY"&amp;RIGHT(YEAR('Hyperion Panel'!$B$9)+5,2)</f>
        <v>FY15</v>
      </c>
      <c r="L218" s="1612"/>
      <c r="M218" s="1612"/>
      <c r="N218" s="1612"/>
      <c r="O218" s="1612"/>
      <c r="P218" s="1612"/>
      <c r="Q218" s="1612"/>
      <c r="R218" s="1612"/>
      <c r="S218" s="1612"/>
      <c r="T218" s="1612"/>
      <c r="U218" s="1612"/>
      <c r="V218" s="1703"/>
      <c r="W218" s="1612"/>
    </row>
    <row r="219" spans="1:26" s="98" customFormat="1">
      <c r="A219" s="100" t="s">
        <v>463</v>
      </c>
      <c r="L219" s="1697">
        <f>+IF(COLUMNS($L219:L219)&lt;month,'5. Financials'!$M$32*L206,0)</f>
        <v>61786.568650800953</v>
      </c>
      <c r="M219" s="1697">
        <f>+IF(COLUMNS($L219:M219)&lt;month,'5. Financials'!$M$32*M206,0)</f>
        <v>62314.658981149696</v>
      </c>
      <c r="N219" s="1697">
        <f>+IF(COLUMNS($L219:N219)&lt;month,'5. Financials'!$M$32*N206,0)</f>
        <v>62842.749311498425</v>
      </c>
      <c r="O219" s="1697">
        <f>+IF(COLUMNS($L219:O219)&lt;month,'5. Financials'!$M$32*O206,0)</f>
        <v>63370.83964184716</v>
      </c>
      <c r="P219" s="1697">
        <f>+IF(COLUMNS($L219:P219)&lt;month,'5. Financials'!$M$32*P206,0)</f>
        <v>63898.929972195889</v>
      </c>
      <c r="Q219" s="1697">
        <f>+IF(COLUMNS($L219:Q219)&lt;month,'5. Financials'!$M$32*Q206,0)</f>
        <v>64427.020302544624</v>
      </c>
      <c r="R219" s="1697">
        <f>+IF(COLUMNS($L219:R219)&lt;month,'5. Financials'!$M$32*R206,0)</f>
        <v>64955.110632893346</v>
      </c>
      <c r="S219" s="1697">
        <f>+IF(COLUMNS($L219:S219)&lt;month,'5. Financials'!$M$32*S206,0)</f>
        <v>65483.200963242081</v>
      </c>
      <c r="T219" s="1697">
        <f>+IF(COLUMNS($L219:T219)&lt;month,'5. Financials'!$M$32*T206,0)</f>
        <v>66011.29129359081</v>
      </c>
      <c r="U219" s="1697">
        <f>+IF(COLUMNS($L219:U219)&lt;month,'5. Financials'!$M$32*U206,0)</f>
        <v>66539.381623939538</v>
      </c>
      <c r="V219" s="1697">
        <f>+IF(COLUMNS($L219:V219)&lt;month,'5. Financials'!$M$32*V206,0)</f>
        <v>0</v>
      </c>
      <c r="W219" s="1697">
        <f>+IF(COLUMNS($L219:W219)&lt;month,'5. Financials'!$M$32*W206,0)</f>
        <v>0</v>
      </c>
      <c r="Y219" s="99"/>
    </row>
    <row r="220" spans="1:26" s="98" customFormat="1">
      <c r="A220" s="100" t="s">
        <v>464</v>
      </c>
      <c r="L220" s="1697">
        <f>+IF(COLUMNS($L220:L220)&lt;month,'5. Financials'!$M$40*L207,0)</f>
        <v>44683.824040646839</v>
      </c>
      <c r="M220" s="1697">
        <f>+IF(COLUMNS($L220:M220)&lt;month,'5. Financials'!$M$40*M207,0)</f>
        <v>45829.563118612146</v>
      </c>
      <c r="N220" s="1697">
        <f>+IF(COLUMNS($L220:N220)&lt;month,'5. Financials'!$M$40*N207,0)</f>
        <v>46975.302196577453</v>
      </c>
      <c r="O220" s="1697">
        <f>+IF(COLUMNS($L220:O220)&lt;month,'5. Financials'!$M$40*O207,0)</f>
        <v>48121.04127454276</v>
      </c>
      <c r="P220" s="1697">
        <f>+IF(COLUMNS($L220:P220)&lt;month,'5. Financials'!$M$40*P207,0)</f>
        <v>49266.78035250806</v>
      </c>
      <c r="Q220" s="1697">
        <f>+IF(COLUMNS($L220:Q220)&lt;month,'5. Financials'!$M$40*Q207,0)</f>
        <v>50412.519430473374</v>
      </c>
      <c r="R220" s="1697">
        <f>+IF(COLUMNS($L220:R220)&lt;month,'5. Financials'!$M$40*R207,0)</f>
        <v>51558.258508438674</v>
      </c>
      <c r="S220" s="1697">
        <f>+IF(COLUMNS($L220:S220)&lt;month,'5. Financials'!$M$40*S207,0)</f>
        <v>52703.997586403988</v>
      </c>
      <c r="T220" s="1697">
        <f>+IF(COLUMNS($L220:T220)&lt;month,'5. Financials'!$M$40*T207,0)</f>
        <v>53849.736664369302</v>
      </c>
      <c r="U220" s="1697">
        <f>+IF(COLUMNS($L220:U220)&lt;month,'5. Financials'!$M$40*U207,0)</f>
        <v>54995.475742334602</v>
      </c>
      <c r="V220" s="1697">
        <f>+IF(COLUMNS($L220:V220)&lt;month,'5. Financials'!$M$40*V207,0)</f>
        <v>0</v>
      </c>
      <c r="W220" s="1697">
        <f>+IF(COLUMNS($L220:W220)&lt;month,'5. Financials'!$M$40*W207,0)</f>
        <v>0</v>
      </c>
      <c r="Y220" s="99"/>
    </row>
    <row r="221" spans="1:26">
      <c r="A221" s="4" t="s">
        <v>170</v>
      </c>
      <c r="B221" s="4" t="str">
        <f>+$B$2</f>
        <v>D10_11032</v>
      </c>
      <c r="C221" s="4"/>
      <c r="D221" s="4"/>
      <c r="E221" s="4"/>
      <c r="F221" s="4"/>
      <c r="G221" s="4"/>
      <c r="H221" s="4"/>
      <c r="I221" s="4"/>
      <c r="J221" s="4"/>
      <c r="K221" s="4" t="str">
        <f>+"FY"&amp;RIGHT(YEAR('Hyperion Panel'!$B$9)+5,2)</f>
        <v>FY15</v>
      </c>
      <c r="L221" s="1698"/>
      <c r="M221" s="1698"/>
      <c r="N221" s="1698"/>
      <c r="O221" s="1698"/>
      <c r="P221" s="1698"/>
      <c r="Q221" s="1698"/>
      <c r="R221" s="1698"/>
      <c r="S221" s="1698"/>
      <c r="T221" s="1698"/>
      <c r="U221" s="1698"/>
      <c r="V221" s="1699"/>
      <c r="W221" s="1698"/>
    </row>
    <row r="222" spans="1:26">
      <c r="A222" s="101" t="s">
        <v>463</v>
      </c>
      <c r="B222" s="4"/>
      <c r="C222" s="4"/>
      <c r="D222" s="4"/>
      <c r="E222" s="4"/>
      <c r="F222" s="4"/>
      <c r="G222" s="4"/>
      <c r="H222" s="4"/>
      <c r="I222" s="4"/>
      <c r="J222" s="4"/>
      <c r="K222" s="4"/>
      <c r="L222" s="1698">
        <f>+IF(COLUMNS($L222:L222)&lt;month,'5. Financials'!$M$49*L213,0)</f>
        <v>24972.550671294932</v>
      </c>
      <c r="M222" s="1698">
        <f>+IF(COLUMNS($L222:M222)&lt;month,'5. Financials'!$M$49*M213,0)</f>
        <v>25259.591483608663</v>
      </c>
      <c r="N222" s="1698">
        <f>+IF(COLUMNS($L222:N222)&lt;month,'5. Financials'!$M$49*N213,0)</f>
        <v>25546.632295922402</v>
      </c>
      <c r="O222" s="1698">
        <f>+IF(COLUMNS($L222:O222)&lt;month,'5. Financials'!$M$49*O213,0)</f>
        <v>25833.673108236137</v>
      </c>
      <c r="P222" s="1698">
        <f>+IF(COLUMNS($L222:P222)&lt;month,'5. Financials'!$M$49*P213,0)</f>
        <v>26120.713920549868</v>
      </c>
      <c r="Q222" s="1698">
        <f>+IF(COLUMNS($L222:Q222)&lt;month,'5. Financials'!$M$49*Q213,0)</f>
        <v>26407.754732863606</v>
      </c>
      <c r="R222" s="1698">
        <f>+IF(COLUMNS($L222:R222)&lt;month,'5. Financials'!$M$49*R213,0)</f>
        <v>26694.795545177338</v>
      </c>
      <c r="S222" s="1698">
        <f>+IF(COLUMNS($L222:S222)&lt;month,'5. Financials'!$M$49*S213,0)</f>
        <v>26981.836357491065</v>
      </c>
      <c r="T222" s="1698">
        <f>+IF(COLUMNS($L222:T222)&lt;month,'5. Financials'!$M$49*T213,0)</f>
        <v>27268.877169804804</v>
      </c>
      <c r="U222" s="1698">
        <f>+IF(COLUMNS($L222:U222)&lt;month,'5. Financials'!$M$49*U213,0)</f>
        <v>27555.917982118535</v>
      </c>
      <c r="V222" s="1698">
        <f>+IF(COLUMNS($L222:V222)&lt;month,'5. Financials'!$M$49*V213,0)</f>
        <v>0</v>
      </c>
      <c r="W222" s="1698">
        <f>+IF(COLUMNS($L222:W222)&lt;month,'5. Financials'!$M$49*W213,0)</f>
        <v>0</v>
      </c>
      <c r="X222" t="s">
        <v>720</v>
      </c>
      <c r="Y222" s="99"/>
    </row>
    <row r="223" spans="1:26">
      <c r="A223" s="101" t="s">
        <v>464</v>
      </c>
      <c r="B223" s="4"/>
      <c r="C223" s="4"/>
      <c r="D223" s="4"/>
      <c r="E223" s="4"/>
      <c r="F223" s="4"/>
      <c r="G223" s="4"/>
      <c r="H223" s="4"/>
      <c r="I223" s="4"/>
      <c r="J223" s="4"/>
      <c r="K223" s="4"/>
      <c r="L223" s="1698">
        <f>+IF(COLUMNS($L223:L223)&lt;month,'5. Financials'!$M$57*L214,0)</f>
        <v>0</v>
      </c>
      <c r="M223" s="1698">
        <f>+IF(COLUMNS($L223:M223)&lt;month,'5. Financials'!$M$57*M214,0)</f>
        <v>0</v>
      </c>
      <c r="N223" s="1698">
        <f>+IF(COLUMNS($L223:N223)&lt;month,'5. Financials'!$M$57*N214,0)</f>
        <v>0</v>
      </c>
      <c r="O223" s="1698">
        <f>+IF(COLUMNS($L223:O223)&lt;month,'5. Financials'!$M$57*O214,0)</f>
        <v>0</v>
      </c>
      <c r="P223" s="1698">
        <f>+IF(COLUMNS($L223:P223)&lt;month,'5. Financials'!$M$57*P214,0)</f>
        <v>0</v>
      </c>
      <c r="Q223" s="1698">
        <f>+IF(COLUMNS($L223:Q223)&lt;month,'5. Financials'!$M$57*Q214,0)</f>
        <v>0</v>
      </c>
      <c r="R223" s="1698">
        <f>+IF(COLUMNS($L223:R223)&lt;month,'5. Financials'!$M$57*R214,0)</f>
        <v>0</v>
      </c>
      <c r="S223" s="1698">
        <f>+IF(COLUMNS($L223:S223)&lt;month,'5. Financials'!$M$57*S214,0)</f>
        <v>0</v>
      </c>
      <c r="T223" s="1698">
        <f>+IF(COLUMNS($L223:T223)&lt;month,'5. Financials'!$M$57*T214,0)</f>
        <v>0</v>
      </c>
      <c r="U223" s="1698">
        <f>+IF(COLUMNS($L223:U223)&lt;month,'5. Financials'!$M$57*U214,0)</f>
        <v>0</v>
      </c>
      <c r="V223" s="1698">
        <f>+IF(COLUMNS($L223:V223)&lt;month,'5. Financials'!$M$57*V214,0)</f>
        <v>0</v>
      </c>
      <c r="W223" s="1698">
        <f>+IF(COLUMNS($L223:W223)&lt;month,'5. Financials'!$M$57*W214,0)</f>
        <v>0</v>
      </c>
      <c r="X223" t="s">
        <v>720</v>
      </c>
      <c r="Y223" s="99"/>
    </row>
    <row r="224" spans="1:26">
      <c r="A224" s="3" t="s">
        <v>2651</v>
      </c>
      <c r="B224" t="str">
        <f t="shared" ref="B224:B240" si="10">+$B$2</f>
        <v>D10_11032</v>
      </c>
      <c r="C224" t="str">
        <f t="shared" ref="C224:C233" si="11">+$C$2</f>
        <v>LE_XXXX</v>
      </c>
      <c r="D224" t="s">
        <v>2886</v>
      </c>
      <c r="E224">
        <v>6010</v>
      </c>
      <c r="F224" t="s">
        <v>2888</v>
      </c>
      <c r="G224" t="s">
        <v>153</v>
      </c>
      <c r="H224" t="s">
        <v>154</v>
      </c>
      <c r="I224" t="s">
        <v>146</v>
      </c>
      <c r="J224" t="s">
        <v>147</v>
      </c>
      <c r="K224" t="str">
        <f>+"FY"&amp;RIGHT(YEAR('Hyperion Panel'!$B$9)+5,2)</f>
        <v>FY15</v>
      </c>
      <c r="L224" s="1697">
        <f>+IF(COLUMNS($L224:L224)&lt;month,'5. Financials'!$M$107*SUM(L203:L204,L206:L207,L209:L210),0)</f>
        <v>52459.917791806925</v>
      </c>
      <c r="M224" s="1697">
        <f>+IF(COLUMNS($L224:M224)&lt;month,'5. Financials'!$M$107*SUM(M203:M204,M206:M207,M209:M210),0)</f>
        <v>52989.992514885889</v>
      </c>
      <c r="N224" s="1697">
        <f>+IF(COLUMNS($L224:N224)&lt;month,'5. Financials'!$M$107*SUM(N203:N204,N206:N207,N209:N210),0)</f>
        <v>53520.067237964868</v>
      </c>
      <c r="O224" s="1697">
        <f>+IF(COLUMNS($L224:O224)&lt;month,'5. Financials'!$M$107*SUM(O203:O204,O206:O207,O209:O210),0)</f>
        <v>54050.141961043839</v>
      </c>
      <c r="P224" s="1697">
        <f>+IF(COLUMNS($L224:P224)&lt;month,'5. Financials'!$M$107*SUM(P203:P204,P206:P207,P209:P210),0)</f>
        <v>54580.216684122825</v>
      </c>
      <c r="Q224" s="1697">
        <f>+IF(COLUMNS($L224:Q224)&lt;month,'5. Financials'!$M$107*SUM(Q203:Q204,Q206:Q207,Q209:Q210),0)</f>
        <v>55110.291407201803</v>
      </c>
      <c r="R224" s="1697">
        <f>+IF(COLUMNS($L224:R224)&lt;month,'5. Financials'!$M$107*SUM(R203:R204,R206:R207,R209:R210),0)</f>
        <v>55640.366130280767</v>
      </c>
      <c r="S224" s="1697">
        <f>+IF(COLUMNS($L224:S224)&lt;month,'5. Financials'!$M$107*SUM(S203:S204,S206:S207,S209:S210),0)</f>
        <v>56170.440853359767</v>
      </c>
      <c r="T224" s="1697">
        <f>+IF(COLUMNS($L224:T224)&lt;month,'5. Financials'!$M$107*SUM(T203:T204,T206:T207,T209:T210),0)</f>
        <v>56700.515576438738</v>
      </c>
      <c r="U224" s="1697">
        <f>+IF(COLUMNS($L224:U224)&lt;month,'5. Financials'!$M$107*SUM(U203:U204,U206:U207,U209:U210),0)</f>
        <v>57230.590299517709</v>
      </c>
      <c r="V224" s="1697">
        <f>+IF(COLUMNS($L224:V224)&lt;month,'5. Financials'!$M$107*SUM(V203:V204,V206:V207,V209:V210),0)</f>
        <v>0</v>
      </c>
      <c r="W224" s="1697">
        <f>+IF(COLUMNS($L224:W224)&lt;month,'5. Financials'!$M$107*SUM(W203:W204,W206:W207,W209:W210),0)</f>
        <v>0</v>
      </c>
      <c r="Y224" s="45" t="s">
        <v>2712</v>
      </c>
    </row>
    <row r="225" spans="1:25">
      <c r="A225" t="s">
        <v>2652</v>
      </c>
      <c r="B225" t="str">
        <f t="shared" si="10"/>
        <v>D10_11032</v>
      </c>
      <c r="C225" t="str">
        <f t="shared" si="11"/>
        <v>LE_XXXX</v>
      </c>
      <c r="D225" t="s">
        <v>2886</v>
      </c>
      <c r="E225">
        <v>6010</v>
      </c>
      <c r="F225" t="s">
        <v>2888</v>
      </c>
      <c r="G225" t="s">
        <v>155</v>
      </c>
      <c r="H225" t="s">
        <v>154</v>
      </c>
      <c r="I225" t="s">
        <v>146</v>
      </c>
      <c r="J225" t="s">
        <v>147</v>
      </c>
      <c r="K225" t="str">
        <f>+"FY"&amp;RIGHT(YEAR('Hyperion Panel'!$B$9)+5,2)</f>
        <v>FY15</v>
      </c>
      <c r="L225" s="1612">
        <f>+IF(COLUMNS($L225:L225)&lt;month,'5. Financials'!$M$74/12,0)</f>
        <v>29672.789210305549</v>
      </c>
      <c r="M225" s="1612">
        <f>+IF(COLUMNS($L225:M225)&lt;month,'5. Financials'!$M$74/12,0)</f>
        <v>29672.789210305549</v>
      </c>
      <c r="N225" s="1612">
        <f>+IF(COLUMNS($L225:N225)&lt;month,'5. Financials'!$M$74/12,0)</f>
        <v>29672.789210305549</v>
      </c>
      <c r="O225" s="1612">
        <f>+IF(COLUMNS($L225:O225)&lt;month,'5. Financials'!$M$74/12,0)</f>
        <v>29672.789210305549</v>
      </c>
      <c r="P225" s="1612">
        <f>+IF(COLUMNS($L225:P225)&lt;month,'5. Financials'!$M$74/12,0)</f>
        <v>29672.789210305549</v>
      </c>
      <c r="Q225" s="1612">
        <f>+IF(COLUMNS($L225:Q225)&lt;month,'5. Financials'!$M$74/12,0)</f>
        <v>29672.789210305549</v>
      </c>
      <c r="R225" s="1612">
        <f>+IF(COLUMNS($L225:R225)&lt;month,'5. Financials'!$M$74/12,0)</f>
        <v>29672.789210305549</v>
      </c>
      <c r="S225" s="1612">
        <f>+IF(COLUMNS($L225:S225)&lt;month,'5. Financials'!$M$74/12,0)</f>
        <v>29672.789210305549</v>
      </c>
      <c r="T225" s="1612">
        <f>+IF(COLUMNS($L225:T225)&lt;month,'5. Financials'!$M$74/12,0)</f>
        <v>29672.789210305549</v>
      </c>
      <c r="U225" s="1612">
        <f>+IF(COLUMNS($L225:U225)&lt;month,'5. Financials'!$M$74/12,0)</f>
        <v>29672.789210305549</v>
      </c>
      <c r="V225" s="1612">
        <f>+IF(COLUMNS($L225:V225)&lt;month,'5. Financials'!$M$74/12,0)</f>
        <v>0</v>
      </c>
      <c r="W225" s="1612">
        <f>+IF(COLUMNS($L225:W225)&lt;month,'5. Financials'!$M$74/12,0)</f>
        <v>0</v>
      </c>
      <c r="Y225" s="45" t="s">
        <v>2300</v>
      </c>
    </row>
    <row r="226" spans="1:25">
      <c r="A226" t="s">
        <v>2653</v>
      </c>
      <c r="B226" t="str">
        <f t="shared" si="10"/>
        <v>D10_11032</v>
      </c>
      <c r="C226" t="str">
        <f t="shared" si="11"/>
        <v>LE_XXXX</v>
      </c>
      <c r="D226" t="s">
        <v>2886</v>
      </c>
      <c r="E226">
        <v>6051</v>
      </c>
      <c r="F226" t="s">
        <v>2888</v>
      </c>
      <c r="G226" t="s">
        <v>153</v>
      </c>
      <c r="H226" t="s">
        <v>154</v>
      </c>
      <c r="I226" t="s">
        <v>146</v>
      </c>
      <c r="J226" t="s">
        <v>147</v>
      </c>
      <c r="K226" t="str">
        <f>+"FY"&amp;RIGHT(YEAR('Hyperion Panel'!$B$9)+5,2)</f>
        <v>FY15</v>
      </c>
      <c r="L226" s="1612">
        <f>+IF(COLUMNS($L226:L226)&lt;month,'5. Financials'!$M$75/12,0)</f>
        <v>32755.307727826661</v>
      </c>
      <c r="M226" s="1612">
        <f>+IF(COLUMNS($L226:M226)&lt;month,'5. Financials'!$M$75/12,0)</f>
        <v>32755.307727826661</v>
      </c>
      <c r="N226" s="1612">
        <f>+IF(COLUMNS($L226:N226)&lt;month,'5. Financials'!$M$75/12,0)</f>
        <v>32755.307727826661</v>
      </c>
      <c r="O226" s="1612">
        <f>+IF(COLUMNS($L226:O226)&lt;month,'5. Financials'!$M$75/12,0)</f>
        <v>32755.307727826661</v>
      </c>
      <c r="P226" s="1612">
        <f>+IF(COLUMNS($L226:P226)&lt;month,'5. Financials'!$M$75/12,0)</f>
        <v>32755.307727826661</v>
      </c>
      <c r="Q226" s="1612">
        <f>+IF(COLUMNS($L226:Q226)&lt;month,'5. Financials'!$M$75/12,0)</f>
        <v>32755.307727826661</v>
      </c>
      <c r="R226" s="1612">
        <f>+IF(COLUMNS($L226:R226)&lt;month,'5. Financials'!$M$75/12,0)</f>
        <v>32755.307727826661</v>
      </c>
      <c r="S226" s="1612">
        <f>+IF(COLUMNS($L226:S226)&lt;month,'5. Financials'!$M$75/12,0)</f>
        <v>32755.307727826661</v>
      </c>
      <c r="T226" s="1612">
        <f>+IF(COLUMNS($L226:T226)&lt;month,'5. Financials'!$M$75/12,0)</f>
        <v>32755.307727826661</v>
      </c>
      <c r="U226" s="1612">
        <f>+IF(COLUMNS($L226:U226)&lt;month,'5. Financials'!$M$75/12,0)</f>
        <v>32755.307727826661</v>
      </c>
      <c r="V226" s="1612">
        <f>+IF(COLUMNS($L226:V226)&lt;month,'5. Financials'!$M$75/12,0)</f>
        <v>0</v>
      </c>
      <c r="W226" s="1612">
        <f>+IF(COLUMNS($L226:W226)&lt;month,'5. Financials'!$M$75/12,0)</f>
        <v>0</v>
      </c>
      <c r="Y226" s="45" t="s">
        <v>2301</v>
      </c>
    </row>
    <row r="227" spans="1:25">
      <c r="A227" t="s">
        <v>2654</v>
      </c>
      <c r="B227" t="str">
        <f t="shared" si="10"/>
        <v>D10_11032</v>
      </c>
      <c r="C227" t="str">
        <f t="shared" si="11"/>
        <v>LE_XXXX</v>
      </c>
      <c r="D227" t="s">
        <v>2886</v>
      </c>
      <c r="E227">
        <v>6011</v>
      </c>
      <c r="F227" t="s">
        <v>2888</v>
      </c>
      <c r="G227" t="s">
        <v>153</v>
      </c>
      <c r="H227" t="s">
        <v>154</v>
      </c>
      <c r="I227" t="s">
        <v>146</v>
      </c>
      <c r="J227" t="s">
        <v>147</v>
      </c>
      <c r="K227" t="str">
        <f>+"FY"&amp;RIGHT(YEAR('Hyperion Panel'!$B$9)+5,2)</f>
        <v>FY15</v>
      </c>
      <c r="L227" s="1612">
        <f>+IF(COLUMNS($L227:L227)&lt;month,'5. Financials'!$M$76/12,0)</f>
        <v>0</v>
      </c>
      <c r="M227" s="1612">
        <f>+IF(COLUMNS($L227:M227)&lt;month,'5. Financials'!$M$76/12,0)</f>
        <v>0</v>
      </c>
      <c r="N227" s="1612">
        <f>+IF(COLUMNS($L227:N227)&lt;month,'5. Financials'!$M$76/12,0)</f>
        <v>0</v>
      </c>
      <c r="O227" s="1612">
        <f>+IF(COLUMNS($L227:O227)&lt;month,'5. Financials'!$M$76/12,0)</f>
        <v>0</v>
      </c>
      <c r="P227" s="1612">
        <f>+IF(COLUMNS($L227:P227)&lt;month,'5. Financials'!$M$76/12,0)</f>
        <v>0</v>
      </c>
      <c r="Q227" s="1612">
        <f>+IF(COLUMNS($L227:Q227)&lt;month,'5. Financials'!$M$76/12,0)</f>
        <v>0</v>
      </c>
      <c r="R227" s="1612">
        <f>+IF(COLUMNS($L227:R227)&lt;month,'5. Financials'!$M$76/12,0)</f>
        <v>0</v>
      </c>
      <c r="S227" s="1612">
        <f>+IF(COLUMNS($L227:S227)&lt;month,'5. Financials'!$M$76/12,0)</f>
        <v>0</v>
      </c>
      <c r="T227" s="1612">
        <f>+IF(COLUMNS($L227:T227)&lt;month,'5. Financials'!$M$76/12,0)</f>
        <v>0</v>
      </c>
      <c r="U227" s="1612">
        <f>+IF(COLUMNS($L227:U227)&lt;month,'5. Financials'!$M$76/12,0)</f>
        <v>0</v>
      </c>
      <c r="V227" s="1612">
        <f>+IF(COLUMNS($L227:V227)&lt;month,'5. Financials'!$M$76/12,0)</f>
        <v>0</v>
      </c>
      <c r="W227" s="1612">
        <f>+IF(COLUMNS($L227:W227)&lt;month,'5. Financials'!$M$76/12,0)</f>
        <v>0</v>
      </c>
      <c r="Y227" s="45" t="s">
        <v>2302</v>
      </c>
    </row>
    <row r="228" spans="1:25">
      <c r="A228" s="6" t="s">
        <v>3769</v>
      </c>
      <c r="B228" t="str">
        <f t="shared" si="10"/>
        <v>D10_11032</v>
      </c>
      <c r="C228" t="str">
        <f t="shared" si="11"/>
        <v>LE_XXXX</v>
      </c>
      <c r="D228" t="s">
        <v>2886</v>
      </c>
      <c r="E228">
        <v>6600</v>
      </c>
      <c r="F228" t="s">
        <v>2888</v>
      </c>
      <c r="G228" t="s">
        <v>2889</v>
      </c>
      <c r="H228" t="s">
        <v>154</v>
      </c>
      <c r="I228" t="s">
        <v>146</v>
      </c>
      <c r="J228" t="s">
        <v>147</v>
      </c>
      <c r="K228" t="str">
        <f>+"FY"&amp;RIGHT(YEAR('Hyperion Panel'!$B$9)+5,2)</f>
        <v>FY15</v>
      </c>
      <c r="L228" s="1697">
        <f>+IF(COLUMNS($L228:L228)&lt;month,'5. Financials'!$M$114*SUM(L203:L204,L206:L207),0)</f>
        <v>79303.901955897323</v>
      </c>
      <c r="M228" s="1697">
        <f>+IF(COLUMNS($L228:M228)&lt;month,'5. Financials'!$M$114*SUM(M203:M204,M206:M207),0)</f>
        <v>80121.877090753391</v>
      </c>
      <c r="N228" s="1697">
        <f>+IF(COLUMNS($L228:N228)&lt;month,'5. Financials'!$M$114*SUM(N203:N204,N206:N207),0)</f>
        <v>80939.852225609473</v>
      </c>
      <c r="O228" s="1697">
        <f>+IF(COLUMNS($L228:O228)&lt;month,'5. Financials'!$M$114*SUM(O203:O204,O206:O207),0)</f>
        <v>81757.827360465526</v>
      </c>
      <c r="P228" s="1697">
        <f>+IF(COLUMNS($L228:P228)&lt;month,'5. Financials'!$M$114*SUM(P203:P204,P206:P207),0)</f>
        <v>82575.802495321608</v>
      </c>
      <c r="Q228" s="1697">
        <f>+IF(COLUMNS($L228:Q228)&lt;month,'5. Financials'!$M$114*SUM(Q203:Q204,Q206:Q207),0)</f>
        <v>83393.777630177676</v>
      </c>
      <c r="R228" s="1697">
        <f>+IF(COLUMNS($L228:R228)&lt;month,'5. Financials'!$M$114*SUM(R203:R204,R206:R207),0)</f>
        <v>84211.752765033743</v>
      </c>
      <c r="S228" s="1697">
        <f>+IF(COLUMNS($L228:S228)&lt;month,'5. Financials'!$M$114*SUM(S203:S204,S206:S207),0)</f>
        <v>85029.727899889825</v>
      </c>
      <c r="T228" s="1697">
        <f>+IF(COLUMNS($L228:T228)&lt;month,'5. Financials'!$M$114*SUM(T203:T204,T206:T207),0)</f>
        <v>85847.703034745908</v>
      </c>
      <c r="U228" s="1697">
        <f>+IF(COLUMNS($L228:U228)&lt;month,'5. Financials'!$M$114*SUM(U203:U204,U206:U207),0)</f>
        <v>86665.678169601961</v>
      </c>
      <c r="V228" s="1697">
        <f>+IF(COLUMNS($L228:V228)&lt;month,'5. Financials'!$M$114*SUM(V203:V204,V206:V207),0)</f>
        <v>0</v>
      </c>
      <c r="W228" s="1697">
        <f>+IF(COLUMNS($L228:W228)&lt;month,'5. Financials'!$M$114*SUM(W203:W204,W206:W207),0)</f>
        <v>0</v>
      </c>
      <c r="Y228" s="45" t="s">
        <v>2303</v>
      </c>
    </row>
    <row r="229" spans="1:25">
      <c r="A229" s="6" t="s">
        <v>3770</v>
      </c>
      <c r="B229" t="str">
        <f t="shared" si="10"/>
        <v>D10_11032</v>
      </c>
      <c r="C229" t="str">
        <f t="shared" si="11"/>
        <v>LE_XXXX</v>
      </c>
      <c r="D229" t="s">
        <v>2886</v>
      </c>
      <c r="E229">
        <v>6800</v>
      </c>
      <c r="F229" t="s">
        <v>156</v>
      </c>
      <c r="G229" t="s">
        <v>2889</v>
      </c>
      <c r="H229" t="s">
        <v>154</v>
      </c>
      <c r="I229" t="s">
        <v>146</v>
      </c>
      <c r="J229" t="s">
        <v>147</v>
      </c>
      <c r="K229" t="str">
        <f>+"FY"&amp;RIGHT(YEAR('Hyperion Panel'!$B$9)+5,2)</f>
        <v>FY15</v>
      </c>
      <c r="L229" s="1697">
        <f>+IF(COLUMNS($L229:L229)&lt;month,'5. Financials'!$M$118*SUM(L203:L204,L206:L207),0)</f>
        <v>30558.781485236799</v>
      </c>
      <c r="M229" s="1697">
        <f>+IF(COLUMNS($L229:M229)&lt;month,'5. Financials'!$M$118*SUM(M203:M204,M206:M207),0)</f>
        <v>30873.978124871563</v>
      </c>
      <c r="N229" s="1697">
        <f>+IF(COLUMNS($L229:N229)&lt;month,'5. Financials'!$M$118*SUM(N203:N204,N206:N207),0)</f>
        <v>31189.17476450633</v>
      </c>
      <c r="O229" s="1697">
        <f>+IF(COLUMNS($L229:O229)&lt;month,'5. Financials'!$M$118*SUM(O203:O204,O206:O207),0)</f>
        <v>31504.371404141089</v>
      </c>
      <c r="P229" s="1697">
        <f>+IF(COLUMNS($L229:P229)&lt;month,'5. Financials'!$M$118*SUM(P203:P204,P206:P207),0)</f>
        <v>31819.56804377586</v>
      </c>
      <c r="Q229" s="1697">
        <f>+IF(COLUMNS($L229:Q229)&lt;month,'5. Financials'!$M$118*SUM(Q203:Q204,Q206:Q207),0)</f>
        <v>32134.764683410627</v>
      </c>
      <c r="R229" s="1697">
        <f>+IF(COLUMNS($L229:R229)&lt;month,'5. Financials'!$M$118*SUM(R203:R204,R206:R207),0)</f>
        <v>32449.961323045387</v>
      </c>
      <c r="S229" s="1697">
        <f>+IF(COLUMNS($L229:S229)&lt;month,'5. Financials'!$M$118*SUM(S203:S204,S206:S207),0)</f>
        <v>32765.157962680161</v>
      </c>
      <c r="T229" s="1697">
        <f>+IF(COLUMNS($L229:T229)&lt;month,'5. Financials'!$M$118*SUM(T203:T204,T206:T207),0)</f>
        <v>33080.354602314932</v>
      </c>
      <c r="U229" s="1697">
        <f>+IF(COLUMNS($L229:U229)&lt;month,'5. Financials'!$M$118*SUM(U203:U204,U206:U207),0)</f>
        <v>33395.551241949688</v>
      </c>
      <c r="V229" s="1697">
        <f>+IF(COLUMNS($L229:V229)&lt;month,'5. Financials'!$M$118*SUM(V203:V204,V206:V207),0)</f>
        <v>0</v>
      </c>
      <c r="W229" s="1697">
        <f>+IF(COLUMNS($L229:W229)&lt;month,'5. Financials'!$M$118*SUM(W203:W204,W206:W207),0)</f>
        <v>0</v>
      </c>
      <c r="Y229" s="45" t="s">
        <v>2304</v>
      </c>
    </row>
    <row r="230" spans="1:25">
      <c r="A230" t="s">
        <v>3697</v>
      </c>
      <c r="B230" t="str">
        <f t="shared" si="10"/>
        <v>D10_11032</v>
      </c>
      <c r="C230" t="str">
        <f t="shared" si="11"/>
        <v>LE_XXXX</v>
      </c>
      <c r="D230" t="s">
        <v>2886</v>
      </c>
      <c r="E230">
        <v>8600</v>
      </c>
      <c r="F230" t="s">
        <v>156</v>
      </c>
      <c r="G230" t="s">
        <v>2889</v>
      </c>
      <c r="H230" t="s">
        <v>154</v>
      </c>
      <c r="I230" t="s">
        <v>146</v>
      </c>
      <c r="J230" t="s">
        <v>147</v>
      </c>
      <c r="K230" t="str">
        <f>+"FY"&amp;RIGHT(YEAR('Hyperion Panel'!$B$9)+5,2)</f>
        <v>FY15</v>
      </c>
      <c r="L230" s="1612">
        <f>+IF(COLUMNS($L230:L230)&lt;month,'5. Financials'!$M$78/12,0)</f>
        <v>23176.315342251357</v>
      </c>
      <c r="M230" s="1612">
        <f>+IF(COLUMNS($L230:M230)&lt;month,'5. Financials'!$M$78/12,0)</f>
        <v>23176.315342251357</v>
      </c>
      <c r="N230" s="1612">
        <f>+IF(COLUMNS($L230:N230)&lt;month,'5. Financials'!$M$78/12,0)</f>
        <v>23176.315342251357</v>
      </c>
      <c r="O230" s="1612">
        <f>+IF(COLUMNS($L230:O230)&lt;month,'5. Financials'!$M$78/12,0)</f>
        <v>23176.315342251357</v>
      </c>
      <c r="P230" s="1612">
        <f>+IF(COLUMNS($L230:P230)&lt;month,'5. Financials'!$M$78/12,0)</f>
        <v>23176.315342251357</v>
      </c>
      <c r="Q230" s="1612">
        <f>+IF(COLUMNS($L230:Q230)&lt;month,'5. Financials'!$M$78/12,0)</f>
        <v>23176.315342251357</v>
      </c>
      <c r="R230" s="1612">
        <f>+IF(COLUMNS($L230:R230)&lt;month,'5. Financials'!$M$78/12,0)</f>
        <v>23176.315342251357</v>
      </c>
      <c r="S230" s="1612">
        <f>+IF(COLUMNS($L230:S230)&lt;month,'5. Financials'!$M$78/12,0)</f>
        <v>23176.315342251357</v>
      </c>
      <c r="T230" s="1612">
        <f>+IF(COLUMNS($L230:T230)&lt;month,'5. Financials'!$M$78/12,0)</f>
        <v>23176.315342251357</v>
      </c>
      <c r="U230" s="1612">
        <f>+IF(COLUMNS($L230:U230)&lt;month,'5. Financials'!$M$78/12,0)</f>
        <v>23176.315342251357</v>
      </c>
      <c r="V230" s="1612">
        <f>+IF(COLUMNS($L230:V230)&lt;month,'5. Financials'!$M$78/12,0)</f>
        <v>0</v>
      </c>
      <c r="W230" s="1612">
        <f>+IF(COLUMNS($L230:W230)&lt;month,'5. Financials'!$M$78/12,0)</f>
        <v>0</v>
      </c>
      <c r="Y230" s="45" t="s">
        <v>2305</v>
      </c>
    </row>
    <row r="231" spans="1:25">
      <c r="A231" t="s">
        <v>157</v>
      </c>
      <c r="B231" t="str">
        <f t="shared" si="10"/>
        <v>D10_11032</v>
      </c>
      <c r="C231" t="str">
        <f t="shared" si="11"/>
        <v>LE_XXXX</v>
      </c>
      <c r="D231" t="s">
        <v>2886</v>
      </c>
      <c r="E231">
        <v>6720</v>
      </c>
      <c r="F231" t="s">
        <v>156</v>
      </c>
      <c r="G231" t="s">
        <v>2889</v>
      </c>
      <c r="H231" t="s">
        <v>154</v>
      </c>
      <c r="I231" t="s">
        <v>146</v>
      </c>
      <c r="J231" t="s">
        <v>147</v>
      </c>
      <c r="K231" t="str">
        <f>+"FY"&amp;RIGHT(YEAR('Hyperion Panel'!$B$9)+5,2)</f>
        <v>FY15</v>
      </c>
      <c r="L231" s="1612">
        <f>+IF(COLUMNS($L231:L231)&lt;month,'5. Financials'!$M$79/12,0)</f>
        <v>14118.416666666666</v>
      </c>
      <c r="M231" s="1612">
        <f>+IF(COLUMNS($L231:M231)&lt;month,'5. Financials'!$M$79/12,0)</f>
        <v>14118.416666666666</v>
      </c>
      <c r="N231" s="1612">
        <f>+IF(COLUMNS($L231:N231)&lt;month,'5. Financials'!$M$79/12,0)</f>
        <v>14118.416666666666</v>
      </c>
      <c r="O231" s="1612">
        <f>+IF(COLUMNS($L231:O231)&lt;month,'5. Financials'!$M$79/12,0)</f>
        <v>14118.416666666666</v>
      </c>
      <c r="P231" s="1612">
        <f>+IF(COLUMNS($L231:P231)&lt;month,'5. Financials'!$M$79/12,0)</f>
        <v>14118.416666666666</v>
      </c>
      <c r="Q231" s="1612">
        <f>+IF(COLUMNS($L231:Q231)&lt;month,'5. Financials'!$M$79/12,0)</f>
        <v>14118.416666666666</v>
      </c>
      <c r="R231" s="1612">
        <f>+IF(COLUMNS($L231:R231)&lt;month,'5. Financials'!$M$79/12,0)</f>
        <v>14118.416666666666</v>
      </c>
      <c r="S231" s="1612">
        <f>+IF(COLUMNS($L231:S231)&lt;month,'5. Financials'!$M$79/12,0)</f>
        <v>14118.416666666666</v>
      </c>
      <c r="T231" s="1612">
        <f>+IF(COLUMNS($L231:T231)&lt;month,'5. Financials'!$M$79/12,0)</f>
        <v>14118.416666666666</v>
      </c>
      <c r="U231" s="1612">
        <f>+IF(COLUMNS($L231:U231)&lt;month,'5. Financials'!$M$79/12,0)</f>
        <v>14118.416666666666</v>
      </c>
      <c r="V231" s="1612">
        <f>+IF(COLUMNS($L231:V231)&lt;month,'5. Financials'!$M$79/12,0)</f>
        <v>0</v>
      </c>
      <c r="W231" s="1612">
        <f>+IF(COLUMNS($L231:W231)&lt;month,'5. Financials'!$M$79/12,0)</f>
        <v>0</v>
      </c>
      <c r="Y231" s="45" t="s">
        <v>2306</v>
      </c>
    </row>
    <row r="232" spans="1:25">
      <c r="A232" t="s">
        <v>3766</v>
      </c>
      <c r="B232" t="str">
        <f t="shared" si="10"/>
        <v>D10_11032</v>
      </c>
      <c r="C232" t="str">
        <f t="shared" si="11"/>
        <v>LE_XXXX</v>
      </c>
      <c r="D232" t="s">
        <v>2886</v>
      </c>
      <c r="E232">
        <v>8110</v>
      </c>
      <c r="F232" t="s">
        <v>156</v>
      </c>
      <c r="G232" t="s">
        <v>2889</v>
      </c>
      <c r="H232" t="s">
        <v>154</v>
      </c>
      <c r="I232" t="s">
        <v>146</v>
      </c>
      <c r="J232" t="s">
        <v>147</v>
      </c>
      <c r="K232" t="str">
        <f>+"FY"&amp;RIGHT(YEAR('Hyperion Panel'!$B$9)+5,2)</f>
        <v>FY15</v>
      </c>
      <c r="L232" s="1612">
        <f>+IF(COLUMNS($L232:L232)&lt;month,'5. Financials'!$M$82/12,0)</f>
        <v>1489.3779297113299</v>
      </c>
      <c r="M232" s="1612">
        <f>+IF(COLUMNS($L232:M232)&lt;month,'5. Financials'!$M$82/12,0)</f>
        <v>1489.3779297113299</v>
      </c>
      <c r="N232" s="1612">
        <f>+IF(COLUMNS($L232:N232)&lt;month,'5. Financials'!$M$82/12,0)</f>
        <v>1489.3779297113299</v>
      </c>
      <c r="O232" s="1612">
        <f>+IF(COLUMNS($L232:O232)&lt;month,'5. Financials'!$M$82/12,0)</f>
        <v>1489.3779297113299</v>
      </c>
      <c r="P232" s="1612">
        <f>+IF(COLUMNS($L232:P232)&lt;month,'5. Financials'!$M$82/12,0)</f>
        <v>1489.3779297113299</v>
      </c>
      <c r="Q232" s="1612">
        <f>+IF(COLUMNS($L232:Q232)&lt;month,'5. Financials'!$M$82/12,0)</f>
        <v>1489.3779297113299</v>
      </c>
      <c r="R232" s="1612">
        <f>+IF(COLUMNS($L232:R232)&lt;month,'5. Financials'!$M$82/12,0)</f>
        <v>1489.3779297113299</v>
      </c>
      <c r="S232" s="1612">
        <f>+IF(COLUMNS($L232:S232)&lt;month,'5. Financials'!$M$82/12,0)</f>
        <v>1489.3779297113299</v>
      </c>
      <c r="T232" s="1612">
        <f>+IF(COLUMNS($L232:T232)&lt;month,'5. Financials'!$M$82/12,0)</f>
        <v>1489.3779297113299</v>
      </c>
      <c r="U232" s="1612">
        <f>+IF(COLUMNS($L232:U232)&lt;month,'5. Financials'!$M$82/12,0)</f>
        <v>1489.3779297113299</v>
      </c>
      <c r="V232" s="1612">
        <f>+IF(COLUMNS($L232:V232)&lt;month,'5. Financials'!$M$82/12,0)</f>
        <v>0</v>
      </c>
      <c r="W232" s="1612">
        <f>+IF(COLUMNS($L232:W232)&lt;month,'5. Financials'!$M$82/12,0)</f>
        <v>0</v>
      </c>
      <c r="Y232" s="45" t="s">
        <v>2307</v>
      </c>
    </row>
    <row r="233" spans="1:25">
      <c r="A233" s="102" t="s">
        <v>171</v>
      </c>
      <c r="B233" t="str">
        <f t="shared" si="10"/>
        <v>D10_11032</v>
      </c>
      <c r="C233" s="98" t="str">
        <f t="shared" si="11"/>
        <v>LE_XXXX</v>
      </c>
      <c r="D233" s="98" t="s">
        <v>2886</v>
      </c>
      <c r="E233" s="98">
        <v>6412</v>
      </c>
      <c r="F233" s="98" t="s">
        <v>156</v>
      </c>
      <c r="G233" s="98" t="s">
        <v>2889</v>
      </c>
      <c r="H233" s="98" t="s">
        <v>154</v>
      </c>
      <c r="I233" s="98" t="s">
        <v>146</v>
      </c>
      <c r="J233" s="98" t="s">
        <v>147</v>
      </c>
      <c r="K233" t="str">
        <f>+"FY"&amp;RIGHT(YEAR('Hyperion Panel'!$B$9)+5,2)</f>
        <v>FY15</v>
      </c>
      <c r="L233" s="1697">
        <f>+IF(COLUMNS($L229:L229)&lt;month,'5. Financials'!$M$117*SUM(L203:L204,L206:L207),0)</f>
        <v>28906.683953937816</v>
      </c>
      <c r="M233" s="1697">
        <f>+IF(COLUMNS($L229:M229)&lt;month,'5. Financials'!$M$117*SUM(M203:M204,M206:M207),0)</f>
        <v>29204.840136954048</v>
      </c>
      <c r="N233" s="1697">
        <f>+IF(COLUMNS($L229:N229)&lt;month,'5. Financials'!$M$117*SUM(N203:N204,N206:N207),0)</f>
        <v>29502.996319970283</v>
      </c>
      <c r="O233" s="1697">
        <f>+IF(COLUMNS($L229:O229)&lt;month,'5. Financials'!$M$117*SUM(O203:O204,O206:O207),0)</f>
        <v>29801.152502986515</v>
      </c>
      <c r="P233" s="1697">
        <f>+IF(COLUMNS($L229:P229)&lt;month,'5. Financials'!$M$117*SUM(P203:P204,P206:P207),0)</f>
        <v>30099.308686002751</v>
      </c>
      <c r="Q233" s="1697">
        <f>+IF(COLUMNS($L229:Q229)&lt;month,'5. Financials'!$M$117*SUM(Q203:Q204,Q206:Q207),0)</f>
        <v>30397.46486901899</v>
      </c>
      <c r="R233" s="1697">
        <f>+IF(COLUMNS($L229:R229)&lt;month,'5. Financials'!$M$117*SUM(R203:R204,R206:R207),0)</f>
        <v>30695.621052035222</v>
      </c>
      <c r="S233" s="1697">
        <f>+IF(COLUMNS($L229:S229)&lt;month,'5. Financials'!$M$117*SUM(S203:S204,S206:S207),0)</f>
        <v>30993.777235051464</v>
      </c>
      <c r="T233" s="1697">
        <f>+IF(COLUMNS($L229:T229)&lt;month,'5. Financials'!$M$117*SUM(T203:T204,T206:T207),0)</f>
        <v>31291.9334180677</v>
      </c>
      <c r="U233" s="1697">
        <f>+IF(COLUMNS($L229:U229)&lt;month,'5. Financials'!$M$117*SUM(U203:U204,U206:U207),0)</f>
        <v>31590.089601083931</v>
      </c>
      <c r="V233" s="1697">
        <f>+IF(COLUMNS($L229:V229)&lt;month,'5. Financials'!$M$117*SUM(V203:V204,V206:V207),0)</f>
        <v>0</v>
      </c>
      <c r="W233" s="1697">
        <f>+IF(COLUMNS($L229:W229)&lt;month,'5. Financials'!$M$117*SUM(W203:W204,W206:W207),0)</f>
        <v>0</v>
      </c>
      <c r="Y233" s="45" t="s">
        <v>2308</v>
      </c>
    </row>
    <row r="234" spans="1:25" s="3" customFormat="1">
      <c r="A234" s="1687" t="s">
        <v>730</v>
      </c>
      <c r="B234" t="str">
        <f t="shared" si="10"/>
        <v>D10_11032</v>
      </c>
      <c r="C234" s="1687"/>
      <c r="D234" s="1687"/>
      <c r="E234" s="1687"/>
      <c r="F234" s="1687"/>
      <c r="G234" s="1687"/>
      <c r="H234" s="1687"/>
      <c r="I234" s="1687"/>
      <c r="J234" s="1687"/>
      <c r="K234" t="str">
        <f>+"FY"&amp;RIGHT(YEAR('Hyperion Panel'!$B$9)+5,2)</f>
        <v>FY15</v>
      </c>
      <c r="L234" s="1704">
        <f>+IF(COLUMNS($L234:L234)&lt;month,'5. Financials'!$M$88/12,0)</f>
        <v>937.9240083333334</v>
      </c>
      <c r="M234" s="1704">
        <f>+IF(COLUMNS($L234:M234)&lt;month,'5. Financials'!$M$88/12,0)</f>
        <v>937.9240083333334</v>
      </c>
      <c r="N234" s="1704">
        <f>+IF(COLUMNS($L234:N234)&lt;month,'5. Financials'!$M$88/12,0)</f>
        <v>937.9240083333334</v>
      </c>
      <c r="O234" s="1704">
        <f>+IF(COLUMNS($L234:O234)&lt;month,'5. Financials'!$M$88/12,0)</f>
        <v>937.9240083333334</v>
      </c>
      <c r="P234" s="1704">
        <f>+IF(COLUMNS($L234:P234)&lt;month,'5. Financials'!$M$88/12,0)</f>
        <v>937.9240083333334</v>
      </c>
      <c r="Q234" s="1704">
        <f>+IF(COLUMNS($L234:Q234)&lt;month,'5. Financials'!$M$88/12,0)</f>
        <v>937.9240083333334</v>
      </c>
      <c r="R234" s="1704">
        <f>+IF(COLUMNS($L234:R234)&lt;month,'5. Financials'!$M$88/12,0)</f>
        <v>937.9240083333334</v>
      </c>
      <c r="S234" s="1704">
        <f>+IF(COLUMNS($L234:S234)&lt;month,'5. Financials'!$M$88/12,0)</f>
        <v>937.9240083333334</v>
      </c>
      <c r="T234" s="1704">
        <f>+IF(COLUMNS($L234:T234)&lt;month,'5. Financials'!$M$88/12,0)</f>
        <v>937.9240083333334</v>
      </c>
      <c r="U234" s="1704">
        <f>+IF(COLUMNS($L234:U234)&lt;month,'5. Financials'!$M$88/12,0)</f>
        <v>937.9240083333334</v>
      </c>
      <c r="V234" s="1704">
        <f>+IF(COLUMNS($L234:V234)&lt;month,'5. Financials'!$M$88/12,0)</f>
        <v>0</v>
      </c>
      <c r="W234" s="1704">
        <f>+IF(COLUMNS($L234:W234)&lt;month,'5. Financials'!$M$88/12,0)</f>
        <v>0</v>
      </c>
      <c r="Y234" s="1688" t="s">
        <v>2309</v>
      </c>
    </row>
    <row r="235" spans="1:25" s="3" customFormat="1">
      <c r="A235" s="1687" t="s">
        <v>732</v>
      </c>
      <c r="B235" t="str">
        <f t="shared" si="10"/>
        <v>D10_11032</v>
      </c>
      <c r="C235" s="1687"/>
      <c r="D235" s="1687"/>
      <c r="E235" s="1687"/>
      <c r="F235" s="1687"/>
      <c r="G235" s="1687"/>
      <c r="H235" s="1687"/>
      <c r="I235" s="1687"/>
      <c r="J235" s="1687"/>
      <c r="K235" t="str">
        <f>+"FY"&amp;RIGHT(YEAR('Hyperion Panel'!$B$9)+5,2)</f>
        <v>FY15</v>
      </c>
      <c r="L235" s="1704">
        <f>+IF(COLUMNS($L235:L235)&lt;month,'5. Financials'!$M$89/12,0)</f>
        <v>25.617561119999944</v>
      </c>
      <c r="M235" s="1704">
        <f>+IF(COLUMNS($L235:M235)&lt;month,'5. Financials'!$M$89/12,0)</f>
        <v>25.617561119999944</v>
      </c>
      <c r="N235" s="1704">
        <f>+IF(COLUMNS($L235:N235)&lt;month,'5. Financials'!$M$89/12,0)</f>
        <v>25.617561119999944</v>
      </c>
      <c r="O235" s="1704">
        <f>+IF(COLUMNS($L235:O235)&lt;month,'5. Financials'!$M$89/12,0)</f>
        <v>25.617561119999944</v>
      </c>
      <c r="P235" s="1704">
        <f>+IF(COLUMNS($L235:P235)&lt;month,'5. Financials'!$M$89/12,0)</f>
        <v>25.617561119999944</v>
      </c>
      <c r="Q235" s="1704">
        <f>+IF(COLUMNS($L235:Q235)&lt;month,'5. Financials'!$M$89/12,0)</f>
        <v>25.617561119999944</v>
      </c>
      <c r="R235" s="1704">
        <f>+IF(COLUMNS($L235:R235)&lt;month,'5. Financials'!$M$89/12,0)</f>
        <v>25.617561119999944</v>
      </c>
      <c r="S235" s="1704">
        <f>+IF(COLUMNS($L235:S235)&lt;month,'5. Financials'!$M$89/12,0)</f>
        <v>25.617561119999944</v>
      </c>
      <c r="T235" s="1704">
        <f>+IF(COLUMNS($L235:T235)&lt;month,'5. Financials'!$M$89/12,0)</f>
        <v>25.617561119999944</v>
      </c>
      <c r="U235" s="1704">
        <f>+IF(COLUMNS($L235:U235)&lt;month,'5. Financials'!$M$89/12,0)</f>
        <v>25.617561119999944</v>
      </c>
      <c r="V235" s="1704">
        <f>+IF(COLUMNS($L235:V235)&lt;month,'5. Financials'!$M$89/12,0)</f>
        <v>0</v>
      </c>
      <c r="W235" s="1704">
        <f>+IF(COLUMNS($L235:W235)&lt;month,'5. Financials'!$M$89/12,0)</f>
        <v>0</v>
      </c>
      <c r="Y235" s="1688" t="s">
        <v>2310</v>
      </c>
    </row>
    <row r="236" spans="1:25" s="3" customFormat="1">
      <c r="A236" s="1687" t="s">
        <v>733</v>
      </c>
      <c r="B236" t="str">
        <f t="shared" si="10"/>
        <v>D10_11032</v>
      </c>
      <c r="C236" s="1687"/>
      <c r="D236" s="1687"/>
      <c r="E236" s="1687"/>
      <c r="F236" s="1687"/>
      <c r="G236" s="1687"/>
      <c r="H236" s="1687"/>
      <c r="I236" s="1687"/>
      <c r="J236" s="1687"/>
      <c r="K236" t="str">
        <f>+"FY"&amp;RIGHT(YEAR('Hyperion Panel'!$B$9)+5,2)</f>
        <v>FY15</v>
      </c>
      <c r="L236" s="1704">
        <f>+IF(COLUMNS($L236:L236)&lt;month,'5. Financials'!$M$90/12,0)</f>
        <v>19912.78282607998</v>
      </c>
      <c r="M236" s="1704">
        <f>+IF(COLUMNS($L236:M236)&lt;month,'5. Financials'!$M$90/12,0)</f>
        <v>19912.78282607998</v>
      </c>
      <c r="N236" s="1704">
        <f>+IF(COLUMNS($L236:N236)&lt;month,'5. Financials'!$M$90/12,0)</f>
        <v>19912.78282607998</v>
      </c>
      <c r="O236" s="1704">
        <f>+IF(COLUMNS($L236:O236)&lt;month,'5. Financials'!$M$90/12,0)</f>
        <v>19912.78282607998</v>
      </c>
      <c r="P236" s="1704">
        <f>+IF(COLUMNS($L236:P236)&lt;month,'5. Financials'!$M$90/12,0)</f>
        <v>19912.78282607998</v>
      </c>
      <c r="Q236" s="1704">
        <f>+IF(COLUMNS($L236:Q236)&lt;month,'5. Financials'!$M$90/12,0)</f>
        <v>19912.78282607998</v>
      </c>
      <c r="R236" s="1704">
        <f>+IF(COLUMNS($L236:R236)&lt;month,'5. Financials'!$M$90/12,0)</f>
        <v>19912.78282607998</v>
      </c>
      <c r="S236" s="1704">
        <f>+IF(COLUMNS($L236:S236)&lt;month,'5. Financials'!$M$90/12,0)</f>
        <v>19912.78282607998</v>
      </c>
      <c r="T236" s="1704">
        <f>+IF(COLUMNS($L236:T236)&lt;month,'5. Financials'!$M$90/12,0)</f>
        <v>19912.78282607998</v>
      </c>
      <c r="U236" s="1704">
        <f>+IF(COLUMNS($L236:U236)&lt;month,'5. Financials'!$M$90/12,0)</f>
        <v>19912.78282607998</v>
      </c>
      <c r="V236" s="1704">
        <f>+IF(COLUMNS($L236:V236)&lt;month,'5. Financials'!$M$90/12,0)</f>
        <v>0</v>
      </c>
      <c r="W236" s="1704">
        <f>+IF(COLUMNS($L236:W236)&lt;month,'5. Financials'!$M$90/12,0)</f>
        <v>0</v>
      </c>
      <c r="Y236" s="1688" t="s">
        <v>2311</v>
      </c>
    </row>
    <row r="237" spans="1:25" s="3" customFormat="1">
      <c r="A237" s="1687" t="s">
        <v>734</v>
      </c>
      <c r="B237" t="str">
        <f t="shared" si="10"/>
        <v>D10_11032</v>
      </c>
      <c r="C237" s="1687"/>
      <c r="D237" s="1687"/>
      <c r="E237" s="1687"/>
      <c r="F237" s="1687"/>
      <c r="G237" s="1687"/>
      <c r="H237" s="1687"/>
      <c r="I237" s="1687"/>
      <c r="J237" s="1687"/>
      <c r="K237" t="str">
        <f>+"FY"&amp;RIGHT(YEAR('Hyperion Panel'!$B$9)+5,2)</f>
        <v>FY15</v>
      </c>
      <c r="L237" s="1704">
        <f>+IF(COLUMNS($L237:L237)&lt;month,'5. Financials'!$M$91/12,0)</f>
        <v>3758.7304633958297</v>
      </c>
      <c r="M237" s="1704">
        <f>+IF(COLUMNS($L237:M237)&lt;month,'5. Financials'!$M$91/12,0)</f>
        <v>3758.7304633958297</v>
      </c>
      <c r="N237" s="1704">
        <f>+IF(COLUMNS($L237:N237)&lt;month,'5. Financials'!$M$91/12,0)</f>
        <v>3758.7304633958297</v>
      </c>
      <c r="O237" s="1704">
        <f>+IF(COLUMNS($L237:O237)&lt;month,'5. Financials'!$M$91/12,0)</f>
        <v>3758.7304633958297</v>
      </c>
      <c r="P237" s="1704">
        <f>+IF(COLUMNS($L237:P237)&lt;month,'5. Financials'!$M$91/12,0)</f>
        <v>3758.7304633958297</v>
      </c>
      <c r="Q237" s="1704">
        <f>+IF(COLUMNS($L237:Q237)&lt;month,'5. Financials'!$M$91/12,0)</f>
        <v>3758.7304633958297</v>
      </c>
      <c r="R237" s="1704">
        <f>+IF(COLUMNS($L237:R237)&lt;month,'5. Financials'!$M$91/12,0)</f>
        <v>3758.7304633958297</v>
      </c>
      <c r="S237" s="1704">
        <f>+IF(COLUMNS($L237:S237)&lt;month,'5. Financials'!$M$91/12,0)</f>
        <v>3758.7304633958297</v>
      </c>
      <c r="T237" s="1704">
        <f>+IF(COLUMNS($L237:T237)&lt;month,'5. Financials'!$M$91/12,0)</f>
        <v>3758.7304633958297</v>
      </c>
      <c r="U237" s="1704">
        <f>+IF(COLUMNS($L237:U237)&lt;month,'5. Financials'!$M$91/12,0)</f>
        <v>3758.7304633958297</v>
      </c>
      <c r="V237" s="1704">
        <f>+IF(COLUMNS($L237:V237)&lt;month,'5. Financials'!$M$91/12,0)</f>
        <v>0</v>
      </c>
      <c r="W237" s="1704">
        <f>+IF(COLUMNS($L237:W237)&lt;month,'5. Financials'!$M$91/12,0)</f>
        <v>0</v>
      </c>
      <c r="Y237" s="1688" t="s">
        <v>2312</v>
      </c>
    </row>
    <row r="238" spans="1:25">
      <c r="A238" t="s">
        <v>158</v>
      </c>
      <c r="B238" t="str">
        <f t="shared" si="10"/>
        <v>D10_11032</v>
      </c>
      <c r="C238" t="str">
        <f>+$C$2</f>
        <v>LE_XXXX</v>
      </c>
      <c r="D238" t="s">
        <v>2886</v>
      </c>
      <c r="E238" t="s">
        <v>159</v>
      </c>
      <c r="F238" t="s">
        <v>156</v>
      </c>
      <c r="G238" t="s">
        <v>2889</v>
      </c>
      <c r="H238" t="s">
        <v>154</v>
      </c>
      <c r="I238" t="s">
        <v>146</v>
      </c>
      <c r="J238" t="s">
        <v>147</v>
      </c>
      <c r="K238" t="str">
        <f>+"FY"&amp;RIGHT(YEAR('Hyperion Panel'!$B$9)+5,2)</f>
        <v>FY15</v>
      </c>
      <c r="L238" s="103">
        <f>'Hyperion Panel'!$B$7</f>
        <v>0.6</v>
      </c>
      <c r="M238" s="103">
        <f>'Hyperion Panel'!$B$7</f>
        <v>0.6</v>
      </c>
      <c r="N238" s="103">
        <f>'Hyperion Panel'!$B$7</f>
        <v>0.6</v>
      </c>
      <c r="O238" s="103">
        <f>'Hyperion Panel'!$B$7</f>
        <v>0.6</v>
      </c>
      <c r="P238" s="103">
        <f>'Hyperion Panel'!$B$7</f>
        <v>0.6</v>
      </c>
      <c r="Q238" s="103">
        <f>'Hyperion Panel'!$B$7</f>
        <v>0.6</v>
      </c>
      <c r="R238" s="103">
        <f>'Hyperion Panel'!$B$7</f>
        <v>0.6</v>
      </c>
      <c r="S238" s="103">
        <f>'Hyperion Panel'!$B$7</f>
        <v>0.6</v>
      </c>
      <c r="T238" s="103">
        <f>'Hyperion Panel'!$B$7</f>
        <v>0.6</v>
      </c>
      <c r="U238" s="103">
        <f>'Hyperion Panel'!$B$7</f>
        <v>0.6</v>
      </c>
      <c r="V238" s="1694">
        <f>'Hyperion Panel'!$B$7</f>
        <v>0.6</v>
      </c>
      <c r="W238" s="103">
        <f>'Hyperion Panel'!$B$7</f>
        <v>0.6</v>
      </c>
    </row>
    <row r="239" spans="1:25">
      <c r="A239" t="s">
        <v>160</v>
      </c>
      <c r="B239" t="str">
        <f t="shared" si="10"/>
        <v>D10_11032</v>
      </c>
      <c r="C239" t="str">
        <f>+$C$2</f>
        <v>LE_XXXX</v>
      </c>
      <c r="D239" t="s">
        <v>2886</v>
      </c>
      <c r="E239" t="s">
        <v>161</v>
      </c>
      <c r="F239" t="s">
        <v>156</v>
      </c>
      <c r="G239" t="s">
        <v>2889</v>
      </c>
      <c r="H239" t="s">
        <v>154</v>
      </c>
      <c r="I239" t="s">
        <v>146</v>
      </c>
      <c r="J239" t="s">
        <v>147</v>
      </c>
      <c r="K239" t="str">
        <f>+"FY"&amp;RIGHT(YEAR('Hyperion Panel'!$B$9)+5,2)</f>
        <v>FY15</v>
      </c>
      <c r="L239" s="1705">
        <v>0</v>
      </c>
      <c r="M239" s="1705">
        <v>0</v>
      </c>
      <c r="N239" s="1705">
        <v>0</v>
      </c>
      <c r="O239" s="1705">
        <v>0</v>
      </c>
      <c r="P239" s="1705">
        <v>0</v>
      </c>
      <c r="Q239" s="1705">
        <v>0</v>
      </c>
      <c r="R239" s="1705">
        <v>0</v>
      </c>
      <c r="S239" s="1705">
        <v>0</v>
      </c>
      <c r="T239" s="1705">
        <v>0</v>
      </c>
      <c r="U239" s="1705">
        <v>0</v>
      </c>
      <c r="V239" s="1705">
        <v>0</v>
      </c>
      <c r="W239" s="1705">
        <v>0</v>
      </c>
    </row>
    <row r="240" spans="1:25" s="3" customFormat="1">
      <c r="A240" s="1687" t="s">
        <v>735</v>
      </c>
      <c r="B240" t="str">
        <f t="shared" si="10"/>
        <v>D10_11032</v>
      </c>
      <c r="C240" s="1687"/>
      <c r="D240" s="1687"/>
      <c r="E240" s="1687"/>
      <c r="F240" s="1687"/>
      <c r="G240" s="1687"/>
      <c r="H240" s="1687"/>
      <c r="I240" s="1687"/>
      <c r="J240" s="1687"/>
      <c r="K240" t="str">
        <f>+"FY"&amp;RIGHT(YEAR('Hyperion Panel'!$B$9)+5,2)</f>
        <v>FY15</v>
      </c>
      <c r="L240" s="1705">
        <v>0</v>
      </c>
      <c r="M240" s="1705">
        <v>0</v>
      </c>
      <c r="N240" s="1705">
        <v>0</v>
      </c>
      <c r="O240" s="1705">
        <v>0</v>
      </c>
      <c r="P240" s="1705">
        <v>0</v>
      </c>
      <c r="Q240" s="1705">
        <v>0</v>
      </c>
      <c r="R240" s="1705">
        <v>0</v>
      </c>
      <c r="S240" s="1705">
        <v>0</v>
      </c>
      <c r="T240" s="1705">
        <v>0</v>
      </c>
      <c r="U240" s="1705">
        <v>0</v>
      </c>
      <c r="V240" s="1705">
        <v>0</v>
      </c>
      <c r="W240" s="1705">
        <v>0</v>
      </c>
      <c r="Y240" s="1688"/>
    </row>
    <row r="241" spans="1:26">
      <c r="L241" s="1612"/>
      <c r="M241" s="1612"/>
      <c r="N241" s="1612"/>
      <c r="O241" s="1612"/>
      <c r="P241" s="1612"/>
      <c r="Q241" s="1612"/>
      <c r="R241" s="1612"/>
      <c r="S241" s="1612"/>
      <c r="T241" s="1612"/>
      <c r="U241" s="1612"/>
      <c r="V241" s="1702"/>
      <c r="W241" s="1612"/>
    </row>
    <row r="242" spans="1:26">
      <c r="L242" s="1612"/>
      <c r="M242" s="1612"/>
      <c r="N242" s="1612"/>
      <c r="O242" s="1612"/>
      <c r="P242" s="1612"/>
      <c r="Q242" s="1612"/>
      <c r="R242" s="1612"/>
      <c r="S242" s="1612"/>
      <c r="T242" s="1612"/>
      <c r="U242" s="1612"/>
      <c r="V242" s="1702"/>
      <c r="W242" s="1612"/>
    </row>
    <row r="243" spans="1:26">
      <c r="A243" s="98" t="s">
        <v>165</v>
      </c>
      <c r="B243" s="98" t="str">
        <f>+"P"&amp;RIGHT(YEAR('Hyperion Panel'!$B$9),2)&amp;"_"&amp;IF(LEN('Hyperion Panel'!$B$6)&lt;4,0,"")&amp;'Hyperion Panel'!$B$6&amp;"_"&amp;IF(LEN('Hyperion Panel'!$C$6)&lt;4,0,"")&amp;'Hyperion Panel'!$C$6</f>
        <v>P10_11032_00494</v>
      </c>
      <c r="C243" t="str">
        <f>+$C$2</f>
        <v>LE_XXXX</v>
      </c>
      <c r="D243" t="s">
        <v>2886</v>
      </c>
      <c r="E243" t="s">
        <v>2887</v>
      </c>
      <c r="F243" t="s">
        <v>2888</v>
      </c>
      <c r="G243" t="s">
        <v>2889</v>
      </c>
      <c r="H243" t="s">
        <v>145</v>
      </c>
      <c r="I243" t="s">
        <v>146</v>
      </c>
      <c r="J243" t="s">
        <v>147</v>
      </c>
      <c r="K243" t="str">
        <f>+"FY"&amp;RIGHT(YEAR('Hyperion Panel'!$B$9),2)</f>
        <v>FY10</v>
      </c>
      <c r="L243" s="1612"/>
      <c r="M243" s="1612"/>
      <c r="N243" s="1612"/>
      <c r="O243" s="1612"/>
      <c r="P243" s="1612"/>
      <c r="Q243" s="1612"/>
      <c r="R243" s="1612"/>
      <c r="S243" s="1612"/>
      <c r="T243" s="1612"/>
      <c r="U243" s="1612"/>
      <c r="V243" s="1702"/>
      <c r="W243" s="1612"/>
    </row>
    <row r="244" spans="1:26" s="98" customFormat="1" ht="12.75" customHeight="1">
      <c r="A244" s="100" t="s">
        <v>463</v>
      </c>
      <c r="L244" s="1697">
        <f>+IF(COLUMNS($L244:L244)&lt;month,0,VLOOKUP("Month "&amp;(COLUMNS($L244:L244)-month+1),P_After_Tx,3,FALSE)*52*3/12*(1-hemomiss))</f>
        <v>0</v>
      </c>
      <c r="M244" s="1697">
        <f>+IF(COLUMNS($L244:M244)&lt;month,0,VLOOKUP("Month "&amp;(COLUMNS($L244:M244)-month+1),P_After_Tx,3,FALSE)*52*3/12*(1-hemomiss))</f>
        <v>0</v>
      </c>
      <c r="N244" s="1697">
        <f>+IF(COLUMNS($L244:N244)&lt;month,0,VLOOKUP("Month "&amp;(COLUMNS($L244:N244)-month+1),P_After_Tx,3,FALSE)*52*3/12*(1-hemomiss))</f>
        <v>0</v>
      </c>
      <c r="O244" s="1697">
        <f>+IF(COLUMNS($L244:O244)&lt;month,0,VLOOKUP("Month "&amp;(COLUMNS($L244:O244)-month+1),P_After_Tx,3,FALSE)*52*3/12*(1-hemomiss))</f>
        <v>0</v>
      </c>
      <c r="P244" s="1697">
        <f>+IF(COLUMNS($L244:P244)&lt;month,0,VLOOKUP("Month "&amp;(COLUMNS($L244:P244)-month+1),P_After_Tx,3,FALSE)*52*3/12*(1-hemomiss))</f>
        <v>0</v>
      </c>
      <c r="Q244" s="1697">
        <f>+IF(COLUMNS($L244:Q244)&lt;month,0,VLOOKUP("Month "&amp;(COLUMNS($L244:Q244)-month+1),P_After_Tx,3,FALSE)*52*3/12*(1-hemomiss))</f>
        <v>0</v>
      </c>
      <c r="R244" s="1697">
        <f>+IF(COLUMNS($L244:R244)&lt;month,0,VLOOKUP("Month "&amp;(COLUMNS($L244:R244)-month+1),P_After_Tx,3,FALSE)*52*3/12*(1-hemomiss))</f>
        <v>0</v>
      </c>
      <c r="S244" s="1697">
        <f>+IF(COLUMNS($L244:S244)&lt;month,0,VLOOKUP("Month "&amp;(COLUMNS($L244:S244)-month+1),P_After_Tx,3,FALSE)*52*3/12*(1-hemomiss))</f>
        <v>0</v>
      </c>
      <c r="T244" s="1697">
        <f>+IF(COLUMNS($L244:T244)&lt;month,0,VLOOKUP("Month "&amp;(COLUMNS($L244:T244)-month+1),P_After_Tx,3,FALSE)*52*3/12*(1-hemomiss))</f>
        <v>0</v>
      </c>
      <c r="U244" s="1697">
        <f>+IF(COLUMNS($L244:U244)&lt;month,0,VLOOKUP("Month "&amp;(COLUMNS($L244:U244)-month+1),P_After_Tx,3,FALSE)*52*3/12*(1-hemomiss))</f>
        <v>0</v>
      </c>
      <c r="V244" s="1700">
        <f>+IF(COLUMNS($L244:V244)&lt;month,0,VLOOKUP("Month "&amp;(COLUMNS($L244:V244)-month+1),P_After_Tx,3,FALSE)*52*3/12*(1-hemomiss))</f>
        <v>574.08000000000004</v>
      </c>
      <c r="W244" s="1697">
        <f>+IF(COLUMNS($L244:W244)&lt;month,0,VLOOKUP("Month "&amp;(COLUMNS($L244:W244)-month+1),P_After_Tx,3,FALSE)*52*3/12*(1-hemomiss))</f>
        <v>574.08000000000004</v>
      </c>
      <c r="Y244" s="99"/>
      <c r="Z244" s="97"/>
    </row>
    <row r="245" spans="1:26" s="98" customFormat="1" ht="12.75" customHeight="1">
      <c r="A245" s="100" t="s">
        <v>464</v>
      </c>
      <c r="L245" s="1697">
        <f>+IF(COLUMNS($L245:L245)&lt;month,0,VLOOKUP("Month "&amp;(COLUMNS($L245:L245)-month+1),P_After_Tx,4,FALSE)*52*3/12*(1-hemomiss))</f>
        <v>0</v>
      </c>
      <c r="M245" s="1697">
        <f>+IF(COLUMNS($L245:M245)&lt;month,0,VLOOKUP("Month "&amp;(COLUMNS($L245:M245)-month+1),P_After_Tx,4,FALSE)*52*3/12*(1-hemomiss))</f>
        <v>0</v>
      </c>
      <c r="N245" s="1697">
        <f>+IF(COLUMNS($L245:N245)&lt;month,0,VLOOKUP("Month "&amp;(COLUMNS($L245:N245)-month+1),P_After_Tx,4,FALSE)*52*3/12*(1-hemomiss))</f>
        <v>0</v>
      </c>
      <c r="O245" s="1697">
        <f>+IF(COLUMNS($L245:O245)&lt;month,0,VLOOKUP("Month "&amp;(COLUMNS($L245:O245)-month+1),P_After_Tx,4,FALSE)*52*3/12*(1-hemomiss))</f>
        <v>0</v>
      </c>
      <c r="P245" s="1697">
        <f>+IF(COLUMNS($L245:P245)&lt;month,0,VLOOKUP("Month "&amp;(COLUMNS($L245:P245)-month+1),P_After_Tx,4,FALSE)*52*3/12*(1-hemomiss))</f>
        <v>0</v>
      </c>
      <c r="Q245" s="1697">
        <f>+IF(COLUMNS($L245:Q245)&lt;month,0,VLOOKUP("Month "&amp;(COLUMNS($L245:Q245)-month+1),P_After_Tx,4,FALSE)*52*3/12*(1-hemomiss))</f>
        <v>0</v>
      </c>
      <c r="R245" s="1697">
        <f>+IF(COLUMNS($L245:R245)&lt;month,0,VLOOKUP("Month "&amp;(COLUMNS($L245:R245)-month+1),P_After_Tx,4,FALSE)*52*3/12*(1-hemomiss))</f>
        <v>0</v>
      </c>
      <c r="S245" s="1697">
        <f>+IF(COLUMNS($L245:S245)&lt;month,0,VLOOKUP("Month "&amp;(COLUMNS($L245:S245)-month+1),P_After_Tx,4,FALSE)*52*3/12*(1-hemomiss))</f>
        <v>0</v>
      </c>
      <c r="T245" s="1697">
        <f>+IF(COLUMNS($L245:T245)&lt;month,0,VLOOKUP("Month "&amp;(COLUMNS($L245:T245)-month+1),P_After_Tx,4,FALSE)*52*3/12*(1-hemomiss))</f>
        <v>0</v>
      </c>
      <c r="U245" s="1697">
        <f>+IF(COLUMNS($L245:U245)&lt;month,0,VLOOKUP("Month "&amp;(COLUMNS($L245:U245)-month+1),P_After_Tx,4,FALSE)*52*3/12*(1-hemomiss))</f>
        <v>0</v>
      </c>
      <c r="V245" s="1700">
        <f>+IF(COLUMNS($L245:V245)&lt;month,0,VLOOKUP("Month "&amp;(COLUMNS($L245:V245)-month+1),P_After_Tx,4,FALSE)*52*3/12*(1-hemomiss))</f>
        <v>23.92</v>
      </c>
      <c r="W245" s="1697">
        <f>+IF(COLUMNS($L245:W245)&lt;month,0,VLOOKUP("Month "&amp;(COLUMNS($L245:W245)-month+1),P_After_Tx,4,FALSE)*52*3/12*(1-hemomiss))</f>
        <v>23.92</v>
      </c>
      <c r="Y245" s="99"/>
      <c r="Z245" s="97"/>
    </row>
    <row r="246" spans="1:26">
      <c r="A246" s="98" t="s">
        <v>162</v>
      </c>
      <c r="B246" t="str">
        <f>+$B$243</f>
        <v>P10_11032_00494</v>
      </c>
      <c r="C246" t="str">
        <f>+$C$243</f>
        <v>LE_XXXX</v>
      </c>
      <c r="D246" t="s">
        <v>2886</v>
      </c>
      <c r="E246" t="s">
        <v>149</v>
      </c>
      <c r="F246" t="s">
        <v>150</v>
      </c>
      <c r="G246" t="s">
        <v>2889</v>
      </c>
      <c r="H246" t="s">
        <v>145</v>
      </c>
      <c r="I246" t="s">
        <v>146</v>
      </c>
      <c r="J246" t="s">
        <v>147</v>
      </c>
      <c r="K246" t="str">
        <f>+"FY"&amp;RIGHT(YEAR('Hyperion Panel'!$B$9),2)</f>
        <v>FY10</v>
      </c>
      <c r="L246" s="1612"/>
      <c r="M246" s="1612"/>
      <c r="N246" s="1612"/>
      <c r="O246" s="1612"/>
      <c r="P246" s="1612"/>
      <c r="Q246" s="1612"/>
      <c r="R246" s="1612"/>
      <c r="S246" s="1612"/>
      <c r="T246" s="1612"/>
      <c r="U246" s="1612"/>
      <c r="V246" s="1703"/>
      <c r="W246" s="1612"/>
    </row>
    <row r="247" spans="1:26" s="98" customFormat="1">
      <c r="A247" s="100" t="s">
        <v>463</v>
      </c>
      <c r="L247" s="1697">
        <f>+IF(COLUMNS($L247:L247)&lt;month,0,VLOOKUP("Month "&amp;(COLUMNS($L247:L247)-month+1),P_After_Tx,14,FALSE)*52*3/12*(1-homemiss))</f>
        <v>0</v>
      </c>
      <c r="M247" s="1697">
        <f>+IF(COLUMNS($L247:M247)&lt;month,0,VLOOKUP("Month "&amp;(COLUMNS($L247:M247)-month+1),P_After_Tx,14,FALSE)*52*3/12*(1-homemiss))</f>
        <v>0</v>
      </c>
      <c r="N247" s="1697">
        <f>+IF(COLUMNS($L247:N247)&lt;month,0,VLOOKUP("Month "&amp;(COLUMNS($L247:N247)-month+1),P_After_Tx,14,FALSE)*52*3/12*(1-homemiss))</f>
        <v>0</v>
      </c>
      <c r="O247" s="1697">
        <f>+IF(COLUMNS($L247:O247)&lt;month,0,VLOOKUP("Month "&amp;(COLUMNS($L247:O247)-month+1),P_After_Tx,14,FALSE)*52*3/12*(1-homemiss))</f>
        <v>0</v>
      </c>
      <c r="P247" s="1697">
        <f>+IF(COLUMNS($L247:P247)&lt;month,0,VLOOKUP("Month "&amp;(COLUMNS($L247:P247)-month+1),P_After_Tx,14,FALSE)*52*3/12*(1-homemiss))</f>
        <v>0</v>
      </c>
      <c r="Q247" s="1697">
        <f>+IF(COLUMNS($L247:Q247)&lt;month,0,VLOOKUP("Month "&amp;(COLUMNS($L247:Q247)-month+1),P_After_Tx,14,FALSE)*52*3/12*(1-homemiss))</f>
        <v>0</v>
      </c>
      <c r="R247" s="1697">
        <f>+IF(COLUMNS($L247:R247)&lt;month,0,VLOOKUP("Month "&amp;(COLUMNS($L247:R247)-month+1),P_After_Tx,14,FALSE)*52*3/12*(1-homemiss))</f>
        <v>0</v>
      </c>
      <c r="S247" s="1697">
        <f>+IF(COLUMNS($L247:S247)&lt;month,0,VLOOKUP("Month "&amp;(COLUMNS($L247:S247)-month+1),P_After_Tx,14,FALSE)*52*3/12*(1-homemiss))</f>
        <v>0</v>
      </c>
      <c r="T247" s="1697">
        <f>+IF(COLUMNS($L247:T247)&lt;month,0,VLOOKUP("Month "&amp;(COLUMNS($L247:T247)-month+1),P_After_Tx,14,FALSE)*52*3/12*(1-homemiss))</f>
        <v>0</v>
      </c>
      <c r="U247" s="1697">
        <f>+IF(COLUMNS($L247:U247)&lt;month,0,VLOOKUP("Month "&amp;(COLUMNS($L247:U247)-month+1),P_After_Tx,14,FALSE)*52*3/12*(1-homemiss))</f>
        <v>0</v>
      </c>
      <c r="V247" s="1697">
        <f>+IF(COLUMNS($L247:V247)&lt;month,0,VLOOKUP("Month "&amp;(COLUMNS($L247:V247)-month+1),P_After_Tx,14,FALSE)*52*3/12*(1-homemiss))</f>
        <v>172.9</v>
      </c>
      <c r="W247" s="1697">
        <f>+IF(COLUMNS($L247:W247)&lt;month,0,VLOOKUP("Month "&amp;(COLUMNS($L247:W247)-month+1),P_After_Tx,14,FALSE)*52*3/12*(1-homemiss))</f>
        <v>172.9</v>
      </c>
      <c r="Y247" s="99"/>
    </row>
    <row r="248" spans="1:26" s="98" customFormat="1">
      <c r="A248" s="100" t="s">
        <v>464</v>
      </c>
      <c r="L248" s="1697">
        <f>+IF(COLUMNS($L248:L248)&lt;month,0,VLOOKUP("Month "&amp;(COLUMNS($L248:L248)-month+1),P_After_Tx,15,FALSE)*52*3/12*(1-homemiss))</f>
        <v>0</v>
      </c>
      <c r="M248" s="1697">
        <f>+IF(COLUMNS($L248:M248)&lt;month,0,VLOOKUP("Month "&amp;(COLUMNS($L248:M248)-month+1),P_After_Tx,15,FALSE)*52*3/12*(1-homemiss))</f>
        <v>0</v>
      </c>
      <c r="N248" s="1697">
        <f>+IF(COLUMNS($L248:N248)&lt;month,0,VLOOKUP("Month "&amp;(COLUMNS($L248:N248)-month+1),P_After_Tx,15,FALSE)*52*3/12*(1-homemiss))</f>
        <v>0</v>
      </c>
      <c r="O248" s="1697">
        <f>+IF(COLUMNS($L248:O248)&lt;month,0,VLOOKUP("Month "&amp;(COLUMNS($L248:O248)-month+1),P_After_Tx,15,FALSE)*52*3/12*(1-homemiss))</f>
        <v>0</v>
      </c>
      <c r="P248" s="1697">
        <f>+IF(COLUMNS($L248:P248)&lt;month,0,VLOOKUP("Month "&amp;(COLUMNS($L248:P248)-month+1),P_After_Tx,15,FALSE)*52*3/12*(1-homemiss))</f>
        <v>0</v>
      </c>
      <c r="Q248" s="1697">
        <f>+IF(COLUMNS($L248:Q248)&lt;month,0,VLOOKUP("Month "&amp;(COLUMNS($L248:Q248)-month+1),P_After_Tx,15,FALSE)*52*3/12*(1-homemiss))</f>
        <v>0</v>
      </c>
      <c r="R248" s="1697">
        <f>+IF(COLUMNS($L248:R248)&lt;month,0,VLOOKUP("Month "&amp;(COLUMNS($L248:R248)-month+1),P_After_Tx,15,FALSE)*52*3/12*(1-homemiss))</f>
        <v>0</v>
      </c>
      <c r="S248" s="1697">
        <f>+IF(COLUMNS($L248:S248)&lt;month,0,VLOOKUP("Month "&amp;(COLUMNS($L248:S248)-month+1),P_After_Tx,15,FALSE)*52*3/12*(1-homemiss))</f>
        <v>0</v>
      </c>
      <c r="T248" s="1697">
        <f>+IF(COLUMNS($L248:T248)&lt;month,0,VLOOKUP("Month "&amp;(COLUMNS($L248:T248)-month+1),P_After_Tx,15,FALSE)*52*3/12*(1-homemiss))</f>
        <v>0</v>
      </c>
      <c r="U248" s="1697">
        <f>+IF(COLUMNS($L248:U248)&lt;month,0,VLOOKUP("Month "&amp;(COLUMNS($L248:U248)-month+1),P_After_Tx,15,FALSE)*52*3/12*(1-homemiss))</f>
        <v>0</v>
      </c>
      <c r="V248" s="1697">
        <f>+IF(COLUMNS($L248:V248)&lt;month,0,VLOOKUP("Month "&amp;(COLUMNS($L248:V248)-month+1),P_After_Tx,15,FALSE)*52*3/12*(1-homemiss))</f>
        <v>74.099999999999994</v>
      </c>
      <c r="W248" s="1697">
        <f>+IF(COLUMNS($L248:W248)&lt;month,0,VLOOKUP("Month "&amp;(COLUMNS($L248:W248)-month+1),P_After_Tx,15,FALSE)*52*3/12*(1-homemiss))</f>
        <v>74.099999999999994</v>
      </c>
      <c r="Y248" s="99"/>
    </row>
    <row r="249" spans="1:26">
      <c r="A249" s="4" t="s">
        <v>3767</v>
      </c>
      <c r="B249" s="4" t="str">
        <f>+$B$243</f>
        <v>P10_11032_00494</v>
      </c>
      <c r="C249" s="4"/>
      <c r="D249" s="4"/>
      <c r="E249" s="4"/>
      <c r="F249" s="4"/>
      <c r="G249" s="4"/>
      <c r="H249" s="4"/>
      <c r="I249" s="4"/>
      <c r="J249" s="4"/>
      <c r="K249" s="4" t="str">
        <f>+"FY"&amp;RIGHT(YEAR('Hyperion Panel'!$B$9),2)</f>
        <v>FY10</v>
      </c>
      <c r="L249" s="1698"/>
      <c r="M249" s="1698"/>
      <c r="N249" s="1698"/>
      <c r="O249" s="1698"/>
      <c r="P249" s="1698"/>
      <c r="Q249" s="1698"/>
      <c r="R249" s="1698"/>
      <c r="S249" s="1698"/>
      <c r="T249" s="1698"/>
      <c r="U249" s="1698"/>
      <c r="V249" s="1699"/>
      <c r="W249" s="1698"/>
      <c r="Y249" s="99"/>
    </row>
    <row r="250" spans="1:26">
      <c r="A250" s="101" t="s">
        <v>463</v>
      </c>
      <c r="B250" s="4"/>
      <c r="C250" s="4"/>
      <c r="D250" s="4"/>
      <c r="E250" s="4"/>
      <c r="F250" s="4"/>
      <c r="G250" s="4"/>
      <c r="H250" s="4"/>
      <c r="I250" s="4"/>
      <c r="J250" s="4"/>
      <c r="K250" s="4"/>
      <c r="L250" s="1698">
        <f>+IF(COLUMNS($L250:L250)&lt;month,0,VLOOKUP("Month "&amp;(COLUMNS($L250:L250)-month+1),P_After_Tx,25,FALSE)*52*3/12*(1-hhdmiss))</f>
        <v>0</v>
      </c>
      <c r="M250" s="1698">
        <f>+IF(COLUMNS($L250:M250)&lt;month,0,VLOOKUP("Month "&amp;(COLUMNS($L250:M250)-month+1),P_After_Tx,25,FALSE)*52*3/12*(1-hhdmiss))</f>
        <v>0</v>
      </c>
      <c r="N250" s="1698">
        <f>+IF(COLUMNS($L250:N250)&lt;month,0,VLOOKUP("Month "&amp;(COLUMNS($L250:N250)-month+1),P_After_Tx,25,FALSE)*52*3/12*(1-hhdmiss))</f>
        <v>0</v>
      </c>
      <c r="O250" s="1698">
        <f>+IF(COLUMNS($L250:O250)&lt;month,0,VLOOKUP("Month "&amp;(COLUMNS($L250:O250)-month+1),P_After_Tx,25,FALSE)*52*3/12*(1-hhdmiss))</f>
        <v>0</v>
      </c>
      <c r="P250" s="1698">
        <f>+IF(COLUMNS($L250:P250)&lt;month,0,VLOOKUP("Month "&amp;(COLUMNS($L250:P250)-month+1),P_After_Tx,25,FALSE)*52*3/12*(1-hhdmiss))</f>
        <v>0</v>
      </c>
      <c r="Q250" s="1698">
        <f>+IF(COLUMNS($L250:Q250)&lt;month,0,VLOOKUP("Month "&amp;(COLUMNS($L250:Q250)-month+1),P_After_Tx,25,FALSE)*52*3/12*(1-hhdmiss))</f>
        <v>0</v>
      </c>
      <c r="R250" s="1698">
        <f>+IF(COLUMNS($L250:R250)&lt;month,0,VLOOKUP("Month "&amp;(COLUMNS($L250:R250)-month+1),P_After_Tx,25,FALSE)*52*3/12*(1-hhdmiss))</f>
        <v>0</v>
      </c>
      <c r="S250" s="1698">
        <f>+IF(COLUMNS($L250:S250)&lt;month,0,VLOOKUP("Month "&amp;(COLUMNS($L250:S250)-month+1),P_After_Tx,25,FALSE)*52*3/12*(1-hhdmiss))</f>
        <v>0</v>
      </c>
      <c r="T250" s="1698">
        <f>+IF(COLUMNS($L250:T250)&lt;month,0,VLOOKUP("Month "&amp;(COLUMNS($L250:T250)-month+1),P_After_Tx,25,FALSE)*52*3/12*(1-hhdmiss))</f>
        <v>0</v>
      </c>
      <c r="U250" s="1698">
        <f>+IF(COLUMNS($L250:U250)&lt;month,0,VLOOKUP("Month "&amp;(COLUMNS($L250:U250)-month+1),P_After_Tx,25,FALSE)*52*3/12*(1-hhdmiss))</f>
        <v>0</v>
      </c>
      <c r="V250" s="1699">
        <f>+IF(COLUMNS($L250:V250)&lt;month,0,VLOOKUP("Month "&amp;(COLUMNS($L250:V250)-month+1),P_After_Tx,25,FALSE)*52*3/12*(1-hhdmiss))</f>
        <v>65</v>
      </c>
      <c r="W250" s="1698">
        <f>+IF(COLUMNS($L250:W250)&lt;month,0,VLOOKUP("Month "&amp;(COLUMNS($L250:W250)-month+1),P_After_Tx,25,FALSE)*52*3/12*(1-hhdmiss))</f>
        <v>65</v>
      </c>
      <c r="Y250" s="99"/>
    </row>
    <row r="251" spans="1:26">
      <c r="A251" s="101" t="s">
        <v>464</v>
      </c>
      <c r="B251" s="4"/>
      <c r="C251" s="4"/>
      <c r="D251" s="4"/>
      <c r="E251" s="4"/>
      <c r="F251" s="4"/>
      <c r="G251" s="4"/>
      <c r="H251" s="4"/>
      <c r="I251" s="4"/>
      <c r="J251" s="4"/>
      <c r="K251" s="4"/>
      <c r="L251" s="1698">
        <f>+IF(COLUMNS($L251:L251)&lt;month,0,VLOOKUP("Month "&amp;(COLUMNS($L251:L251)-month+1),P_After_Tx,26,FALSE)*52*4.3/12*(1-hhdmiss))</f>
        <v>0</v>
      </c>
      <c r="M251" s="1698">
        <f>+IF(COLUMNS($L251:M251)&lt;month,0,VLOOKUP("Month "&amp;(COLUMNS($L251:M251)-month+1),P_After_Tx,26,FALSE)*52*4.3/12*(1-hhdmiss))</f>
        <v>0</v>
      </c>
      <c r="N251" s="1698">
        <f>+IF(COLUMNS($L251:N251)&lt;month,0,VLOOKUP("Month "&amp;(COLUMNS($L251:N251)-month+1),P_After_Tx,26,FALSE)*52*4.3/12*(1-hhdmiss))</f>
        <v>0</v>
      </c>
      <c r="O251" s="1698">
        <f>+IF(COLUMNS($L251:O251)&lt;month,0,VLOOKUP("Month "&amp;(COLUMNS($L251:O251)-month+1),P_After_Tx,26,FALSE)*52*4.3/12*(1-hhdmiss))</f>
        <v>0</v>
      </c>
      <c r="P251" s="1698">
        <f>+IF(COLUMNS($L251:P251)&lt;month,0,VLOOKUP("Month "&amp;(COLUMNS($L251:P251)-month+1),P_After_Tx,26,FALSE)*52*4.3/12*(1-hhdmiss))</f>
        <v>0</v>
      </c>
      <c r="Q251" s="1698">
        <f>+IF(COLUMNS($L251:Q251)&lt;month,0,VLOOKUP("Month "&amp;(COLUMNS($L251:Q251)-month+1),P_After_Tx,26,FALSE)*52*4.3/12*(1-hhdmiss))</f>
        <v>0</v>
      </c>
      <c r="R251" s="1698">
        <f>+IF(COLUMNS($L251:R251)&lt;month,0,VLOOKUP("Month "&amp;(COLUMNS($L251:R251)-month+1),P_After_Tx,26,FALSE)*52*4.3/12*(1-hhdmiss))</f>
        <v>0</v>
      </c>
      <c r="S251" s="1698">
        <f>+IF(COLUMNS($L251:S251)&lt;month,0,VLOOKUP("Month "&amp;(COLUMNS($L251:S251)-month+1),P_After_Tx,26,FALSE)*52*4.3/12*(1-hhdmiss))</f>
        <v>0</v>
      </c>
      <c r="T251" s="1698">
        <f>+IF(COLUMNS($L251:T251)&lt;month,0,VLOOKUP("Month "&amp;(COLUMNS($L251:T251)-month+1),P_After_Tx,26,FALSE)*52*4.3/12*(1-hhdmiss))</f>
        <v>0</v>
      </c>
      <c r="U251" s="1698">
        <f>+IF(COLUMNS($L251:U251)&lt;month,0,VLOOKUP("Month "&amp;(COLUMNS($L251:U251)-month+1),P_After_Tx,26,FALSE)*52*4.3/12*(1-hhdmiss))</f>
        <v>0</v>
      </c>
      <c r="V251" s="1698">
        <f>+IF(COLUMNS($L251:V251)&lt;month,0,VLOOKUP("Month "&amp;(COLUMNS($L251:V251)-month+1),P_After_Tx,26,FALSE)*52*4.3/12*(1-hhdmiss))</f>
        <v>0</v>
      </c>
      <c r="W251" s="1698">
        <f>+IF(COLUMNS($L251:W251)&lt;month,0,VLOOKUP("Month "&amp;(COLUMNS($L251:W251)-month+1),P_After_Tx,26,FALSE)*52*4.3/12*(1-hhdmiss))</f>
        <v>0</v>
      </c>
      <c r="Y251" s="99"/>
    </row>
    <row r="252" spans="1:26">
      <c r="A252" s="98" t="s">
        <v>163</v>
      </c>
      <c r="B252" t="str">
        <f>+$B$243</f>
        <v>P10_11032_00494</v>
      </c>
      <c r="C252" t="str">
        <f>+$C$243</f>
        <v>LE_XXXX</v>
      </c>
      <c r="D252" t="s">
        <v>2886</v>
      </c>
      <c r="E252">
        <v>3010</v>
      </c>
      <c r="F252" t="s">
        <v>2888</v>
      </c>
      <c r="G252" t="s">
        <v>2889</v>
      </c>
      <c r="H252" t="s">
        <v>145</v>
      </c>
      <c r="I252" t="s">
        <v>146</v>
      </c>
      <c r="J252" t="s">
        <v>147</v>
      </c>
      <c r="K252" t="str">
        <f>+"FY"&amp;RIGHT(YEAR('Hyperion Panel'!$B$9),2)</f>
        <v>FY10</v>
      </c>
      <c r="L252" s="1612"/>
      <c r="M252" s="1612"/>
      <c r="N252" s="1612"/>
      <c r="O252" s="1612"/>
      <c r="P252" s="1612"/>
      <c r="Q252" s="1612"/>
      <c r="R252" s="1612"/>
      <c r="S252" s="1612"/>
      <c r="T252" s="1612"/>
      <c r="U252" s="1612"/>
      <c r="V252" s="1702"/>
      <c r="W252" s="1612"/>
    </row>
    <row r="253" spans="1:26" s="98" customFormat="1">
      <c r="A253" s="100" t="s">
        <v>463</v>
      </c>
      <c r="L253" s="1697">
        <f>L244*'2.1 Reimburse'!$H$14</f>
        <v>0</v>
      </c>
      <c r="M253" s="1697">
        <f>M244*'2.1 Reimburse'!$H$14</f>
        <v>0</v>
      </c>
      <c r="N253" s="1697">
        <f>N244*'2.1 Reimburse'!$H$14</f>
        <v>0</v>
      </c>
      <c r="O253" s="1697">
        <f>O244*'2.1 Reimburse'!$H$14</f>
        <v>0</v>
      </c>
      <c r="P253" s="1697">
        <f>P244*'2.1 Reimburse'!$H$14</f>
        <v>0</v>
      </c>
      <c r="Q253" s="1697">
        <f>Q244*'2.1 Reimburse'!$H$14</f>
        <v>0</v>
      </c>
      <c r="R253" s="1697">
        <f>R244*'2.1 Reimburse'!$H$14</f>
        <v>0</v>
      </c>
      <c r="S253" s="1697">
        <f>S244*'2.1 Reimburse'!$H$14</f>
        <v>0</v>
      </c>
      <c r="T253" s="1697">
        <f>T244*'2.1 Reimburse'!$H$14</f>
        <v>0</v>
      </c>
      <c r="U253" s="1697">
        <f>U244*'2.1 Reimburse'!$H$14</f>
        <v>0</v>
      </c>
      <c r="V253" s="1697">
        <f>V244*'2.1 Reimburse'!$H$14</f>
        <v>148639.78177988299</v>
      </c>
      <c r="W253" s="1697">
        <f>W244*'2.1 Reimburse'!$H$14</f>
        <v>148639.78177988299</v>
      </c>
      <c r="Y253" s="99" t="s">
        <v>725</v>
      </c>
      <c r="Z253" s="45" t="s">
        <v>1560</v>
      </c>
    </row>
    <row r="254" spans="1:26" s="98" customFormat="1">
      <c r="A254" s="100" t="s">
        <v>464</v>
      </c>
      <c r="L254" s="1697">
        <f>L245*'2.1 Reimburse'!$H$21</f>
        <v>0</v>
      </c>
      <c r="M254" s="1697">
        <f>M245*'2.1 Reimburse'!$H$21</f>
        <v>0</v>
      </c>
      <c r="N254" s="1697">
        <f>N245*'2.1 Reimburse'!$H$21</f>
        <v>0</v>
      </c>
      <c r="O254" s="1697">
        <f>O245*'2.1 Reimburse'!$H$21</f>
        <v>0</v>
      </c>
      <c r="P254" s="1697">
        <f>P245*'2.1 Reimburse'!$H$21</f>
        <v>0</v>
      </c>
      <c r="Q254" s="1697">
        <f>Q245*'2.1 Reimburse'!$H$21</f>
        <v>0</v>
      </c>
      <c r="R254" s="1697">
        <f>R245*'2.1 Reimburse'!$H$21</f>
        <v>0</v>
      </c>
      <c r="S254" s="1697">
        <f>S245*'2.1 Reimburse'!$H$21</f>
        <v>0</v>
      </c>
      <c r="T254" s="1697">
        <f>T245*'2.1 Reimburse'!$H$21</f>
        <v>0</v>
      </c>
      <c r="U254" s="1697">
        <f>U245*'2.1 Reimburse'!$H$21</f>
        <v>0</v>
      </c>
      <c r="V254" s="1697">
        <f>V245*'2.1 Reimburse'!$H$21</f>
        <v>24314.125545558796</v>
      </c>
      <c r="W254" s="1697">
        <f>W245*'2.1 Reimburse'!$H$21</f>
        <v>24314.125545558796</v>
      </c>
      <c r="Y254" s="99" t="s">
        <v>725</v>
      </c>
      <c r="Z254" s="1709" t="str">
        <f>Z253</f>
        <v>Yr1</v>
      </c>
    </row>
    <row r="255" spans="1:26">
      <c r="A255" s="98" t="s">
        <v>164</v>
      </c>
      <c r="B255" t="str">
        <f>+$B$243</f>
        <v>P10_11032_00494</v>
      </c>
      <c r="C255" t="str">
        <f>+$C$243</f>
        <v>LE_XXXX</v>
      </c>
      <c r="D255" t="s">
        <v>2886</v>
      </c>
      <c r="E255">
        <v>3030</v>
      </c>
      <c r="F255" t="s">
        <v>150</v>
      </c>
      <c r="G255" t="s">
        <v>2889</v>
      </c>
      <c r="H255" t="s">
        <v>145</v>
      </c>
      <c r="I255" t="s">
        <v>146</v>
      </c>
      <c r="J255" t="s">
        <v>147</v>
      </c>
      <c r="K255" t="str">
        <f>+"FY"&amp;RIGHT(YEAR('Hyperion Panel'!$B$9),2)</f>
        <v>FY10</v>
      </c>
      <c r="L255" s="1612"/>
      <c r="M255" s="1612"/>
      <c r="N255" s="1612"/>
      <c r="O255" s="1612"/>
      <c r="P255" s="1612"/>
      <c r="Q255" s="1612"/>
      <c r="R255" s="1612"/>
      <c r="S255" s="1612"/>
      <c r="T255" s="1612"/>
      <c r="U255" s="1612"/>
      <c r="V255" s="1961"/>
      <c r="W255" s="1612"/>
      <c r="Z255" s="45"/>
    </row>
    <row r="256" spans="1:26" s="98" customFormat="1">
      <c r="A256" s="100" t="s">
        <v>463</v>
      </c>
      <c r="L256" s="1697">
        <f>L247*'2.1 Reimburse'!$H$23</f>
        <v>0</v>
      </c>
      <c r="M256" s="1697">
        <f>M247*'2.1 Reimburse'!$H$23</f>
        <v>0</v>
      </c>
      <c r="N256" s="1697">
        <f>N247*'2.1 Reimburse'!$H$23</f>
        <v>0</v>
      </c>
      <c r="O256" s="1697">
        <f>O247*'2.1 Reimburse'!$H$23</f>
        <v>0</v>
      </c>
      <c r="P256" s="1697">
        <f>P247*'2.1 Reimburse'!$H$23</f>
        <v>0</v>
      </c>
      <c r="Q256" s="1697">
        <f>Q247*'2.1 Reimburse'!$H$23</f>
        <v>0</v>
      </c>
      <c r="R256" s="1697">
        <f>R247*'2.1 Reimburse'!$H$23</f>
        <v>0</v>
      </c>
      <c r="S256" s="1697">
        <f>S247*'2.1 Reimburse'!$H$23</f>
        <v>0</v>
      </c>
      <c r="T256" s="1697">
        <f>T247*'2.1 Reimburse'!$H$23</f>
        <v>0</v>
      </c>
      <c r="U256" s="1697">
        <f>U247*'2.1 Reimburse'!$H$23</f>
        <v>0</v>
      </c>
      <c r="V256" s="1697">
        <f>V247*'2.1 Reimburse'!$H$23</f>
        <v>43598.788883279769</v>
      </c>
      <c r="W256" s="1697">
        <f>W247*'2.1 Reimburse'!$H$23</f>
        <v>43598.788883279769</v>
      </c>
      <c r="Y256" s="99" t="s">
        <v>725</v>
      </c>
      <c r="Z256" s="45" t="str">
        <f>Z253</f>
        <v>Yr1</v>
      </c>
    </row>
    <row r="257" spans="1:26" s="98" customFormat="1">
      <c r="A257" s="100" t="s">
        <v>464</v>
      </c>
      <c r="L257" s="1697">
        <f>L248*'2.1 Reimburse'!$H$30</f>
        <v>0</v>
      </c>
      <c r="M257" s="1697">
        <f>M248*'2.1 Reimburse'!$H$30</f>
        <v>0</v>
      </c>
      <c r="N257" s="1697">
        <f>N248*'2.1 Reimburse'!$H$30</f>
        <v>0</v>
      </c>
      <c r="O257" s="1697">
        <f>O248*'2.1 Reimburse'!$H$30</f>
        <v>0</v>
      </c>
      <c r="P257" s="1697">
        <f>P248*'2.1 Reimburse'!$H$30</f>
        <v>0</v>
      </c>
      <c r="Q257" s="1697">
        <f>Q248*'2.1 Reimburse'!$H$30</f>
        <v>0</v>
      </c>
      <c r="R257" s="1697">
        <f>R248*'2.1 Reimburse'!$H$30</f>
        <v>0</v>
      </c>
      <c r="S257" s="1697">
        <f>S248*'2.1 Reimburse'!$H$30</f>
        <v>0</v>
      </c>
      <c r="T257" s="1697">
        <f>T248*'2.1 Reimburse'!$H$30</f>
        <v>0</v>
      </c>
      <c r="U257" s="1697">
        <f>U248*'2.1 Reimburse'!$H$30</f>
        <v>0</v>
      </c>
      <c r="V257" s="1697">
        <f>V248*'2.1 Reimburse'!$H$30</f>
        <v>75320.932396568009</v>
      </c>
      <c r="W257" s="1697">
        <f>W248*'2.1 Reimburse'!$H$30</f>
        <v>75320.932396568009</v>
      </c>
      <c r="Y257" s="99" t="s">
        <v>725</v>
      </c>
      <c r="Z257" s="45" t="str">
        <f>Z253</f>
        <v>Yr1</v>
      </c>
    </row>
    <row r="258" spans="1:26">
      <c r="A258" s="4" t="s">
        <v>3768</v>
      </c>
      <c r="B258" s="4" t="str">
        <f>+$B$243</f>
        <v>P10_11032_00494</v>
      </c>
      <c r="C258" s="4"/>
      <c r="D258" s="4"/>
      <c r="E258" s="4"/>
      <c r="F258" s="4"/>
      <c r="G258" s="4"/>
      <c r="H258" s="4"/>
      <c r="I258" s="4"/>
      <c r="J258" s="4"/>
      <c r="K258" s="4" t="str">
        <f>+"FY"&amp;RIGHT(YEAR('Hyperion Panel'!$B$9),2)</f>
        <v>FY10</v>
      </c>
      <c r="L258" s="1698"/>
      <c r="M258" s="1698"/>
      <c r="N258" s="1698"/>
      <c r="O258" s="1698"/>
      <c r="P258" s="1698"/>
      <c r="Q258" s="1698"/>
      <c r="R258" s="1698"/>
      <c r="S258" s="1698"/>
      <c r="T258" s="1698"/>
      <c r="U258" s="1698"/>
      <c r="V258" s="1962"/>
      <c r="W258" s="1698"/>
      <c r="Z258" s="45"/>
    </row>
    <row r="259" spans="1:26">
      <c r="A259" s="101" t="s">
        <v>463</v>
      </c>
      <c r="B259" s="4"/>
      <c r="C259" s="4"/>
      <c r="D259" s="4"/>
      <c r="E259" s="4"/>
      <c r="F259" s="4"/>
      <c r="G259" s="4"/>
      <c r="H259" s="4"/>
      <c r="I259" s="4"/>
      <c r="J259" s="4"/>
      <c r="K259" s="4"/>
      <c r="L259" s="1698">
        <f>L250*'2.1 Reimburse'!$H$32</f>
        <v>0</v>
      </c>
      <c r="M259" s="1698">
        <f>M250*'2.1 Reimburse'!$H$32</f>
        <v>0</v>
      </c>
      <c r="N259" s="1698">
        <f>N250*'2.1 Reimburse'!$H$32</f>
        <v>0</v>
      </c>
      <c r="O259" s="1698">
        <f>O250*'2.1 Reimburse'!$H$32</f>
        <v>0</v>
      </c>
      <c r="P259" s="1698">
        <f>P250*'2.1 Reimburse'!$H$32</f>
        <v>0</v>
      </c>
      <c r="Q259" s="1698">
        <f>Q250*'2.1 Reimburse'!$H$32</f>
        <v>0</v>
      </c>
      <c r="R259" s="1698">
        <f>R250*'2.1 Reimburse'!$H$32</f>
        <v>0</v>
      </c>
      <c r="S259" s="1698">
        <f>S250*'2.1 Reimburse'!$H$32</f>
        <v>0</v>
      </c>
      <c r="T259" s="1698">
        <f>T250*'2.1 Reimburse'!$H$32</f>
        <v>0</v>
      </c>
      <c r="U259" s="1698">
        <f>U250*'2.1 Reimburse'!$H$32</f>
        <v>0</v>
      </c>
      <c r="V259" s="1698">
        <f>V250*'2.1 Reimburse'!$H$32</f>
        <v>16927.071343873515</v>
      </c>
      <c r="W259" s="1698">
        <f>W250*'2.1 Reimburse'!$H$32</f>
        <v>16927.071343873515</v>
      </c>
      <c r="Y259" s="99" t="s">
        <v>725</v>
      </c>
      <c r="Z259" s="45" t="str">
        <f>Z253</f>
        <v>Yr1</v>
      </c>
    </row>
    <row r="260" spans="1:26">
      <c r="A260" s="101" t="s">
        <v>464</v>
      </c>
      <c r="B260" s="4"/>
      <c r="C260" s="4"/>
      <c r="D260" s="4"/>
      <c r="E260" s="4"/>
      <c r="F260" s="4"/>
      <c r="G260" s="4"/>
      <c r="H260" s="4"/>
      <c r="I260" s="4"/>
      <c r="J260" s="4"/>
      <c r="K260" s="4"/>
      <c r="L260" s="1698">
        <f>L251*'2.1 Reimburse'!$H$39</f>
        <v>0</v>
      </c>
      <c r="M260" s="1698">
        <f>M251*'2.1 Reimburse'!$H$39</f>
        <v>0</v>
      </c>
      <c r="N260" s="1698">
        <f>N251*'2.1 Reimburse'!$H$39</f>
        <v>0</v>
      </c>
      <c r="O260" s="1698">
        <f>O251*'2.1 Reimburse'!$H$39</f>
        <v>0</v>
      </c>
      <c r="P260" s="1698">
        <f>P251*'2.1 Reimburse'!$H$39</f>
        <v>0</v>
      </c>
      <c r="Q260" s="1698">
        <f>Q251*'2.1 Reimburse'!$H$39</f>
        <v>0</v>
      </c>
      <c r="R260" s="1698">
        <f>R251*'2.1 Reimburse'!$H$39</f>
        <v>0</v>
      </c>
      <c r="S260" s="1698">
        <f>S251*'2.1 Reimburse'!$H$39</f>
        <v>0</v>
      </c>
      <c r="T260" s="1698">
        <f>T251*'2.1 Reimburse'!$H$39</f>
        <v>0</v>
      </c>
      <c r="U260" s="1698">
        <f>U251*'2.1 Reimburse'!$H$39</f>
        <v>0</v>
      </c>
      <c r="V260" s="1698">
        <f>V251*'2.1 Reimburse'!$H$39</f>
        <v>0</v>
      </c>
      <c r="W260" s="1698">
        <f>W251*'2.1 Reimburse'!$H$39</f>
        <v>0</v>
      </c>
      <c r="Y260" s="99" t="s">
        <v>725</v>
      </c>
      <c r="Z260" s="45" t="str">
        <f>Z253</f>
        <v>Yr1</v>
      </c>
    </row>
    <row r="261" spans="1:26">
      <c r="A261" s="3" t="s">
        <v>2651</v>
      </c>
      <c r="B261" t="str">
        <f t="shared" ref="B261:B277" si="12">+$B$243</f>
        <v>P10_11032_00494</v>
      </c>
      <c r="C261" t="str">
        <f t="shared" ref="C261:C270" si="13">+$C$243</f>
        <v>LE_XXXX</v>
      </c>
      <c r="D261" t="s">
        <v>2886</v>
      </c>
      <c r="E261">
        <v>6010</v>
      </c>
      <c r="F261" t="s">
        <v>2888</v>
      </c>
      <c r="G261" t="s">
        <v>153</v>
      </c>
      <c r="H261" t="s">
        <v>154</v>
      </c>
      <c r="I261" t="s">
        <v>146</v>
      </c>
      <c r="J261" t="s">
        <v>147</v>
      </c>
      <c r="K261" t="str">
        <f>+"FY"&amp;RIGHT(YEAR('Hyperion Panel'!$B$9),2)</f>
        <v>FY10</v>
      </c>
      <c r="L261" s="1696">
        <f>'6. Market'!$AL$107*SUM(L244:L245,L247:L248,L250:L251)</f>
        <v>0</v>
      </c>
      <c r="M261" s="1696">
        <f>'6. Market'!$AL$107*SUM(M244:M245,M247:M248,M250:M251)</f>
        <v>0</v>
      </c>
      <c r="N261" s="1696">
        <f>'6. Market'!$AL$107*SUM(N244:N245,N247:N248,N250:N251)</f>
        <v>0</v>
      </c>
      <c r="O261" s="1696">
        <f>'6. Market'!$AL$107*SUM(O244:O245,O247:O248,O250:O251)</f>
        <v>0</v>
      </c>
      <c r="P261" s="1696">
        <f>'6. Market'!$AL$107*SUM(P244:P245,P247:P248,P250:P251)</f>
        <v>0</v>
      </c>
      <c r="Q261" s="1696">
        <f>'6. Market'!$AL$107*SUM(Q244:Q245,Q247:Q248,Q250:Q251)</f>
        <v>0</v>
      </c>
      <c r="R261" s="1696">
        <f>'6. Market'!$AL$107*SUM(R244:R245,R247:R248,R250:R251)</f>
        <v>0</v>
      </c>
      <c r="S261" s="1696">
        <f>'6. Market'!$AL$107*SUM(S244:S245,S247:S248,S250:S251)</f>
        <v>0</v>
      </c>
      <c r="T261" s="1696">
        <f>'6. Market'!$AL$107*SUM(T244:T245,T247:T248,T250:T251)</f>
        <v>0</v>
      </c>
      <c r="U261" s="1696">
        <f>'6. Market'!$AL$107*SUM(U244:U245,U247:U248,U250:U251)</f>
        <v>0</v>
      </c>
      <c r="V261" s="1696">
        <f>'6. Market'!$AL$107*SUM(V244:V245,V247:V248,V250:V251)</f>
        <v>38699.784812132857</v>
      </c>
      <c r="W261" s="1696">
        <f>'6. Market'!$AL$107*SUM(W244:W245,W247:W248,W250:W251)</f>
        <v>38699.784812132857</v>
      </c>
    </row>
    <row r="262" spans="1:26">
      <c r="A262" t="s">
        <v>2652</v>
      </c>
      <c r="B262" t="str">
        <f t="shared" si="12"/>
        <v>P10_11032_00494</v>
      </c>
      <c r="C262" t="str">
        <f t="shared" si="13"/>
        <v>LE_XXXX</v>
      </c>
      <c r="D262" t="s">
        <v>2886</v>
      </c>
      <c r="E262">
        <v>6010</v>
      </c>
      <c r="F262" t="s">
        <v>2888</v>
      </c>
      <c r="G262" t="s">
        <v>155</v>
      </c>
      <c r="H262" t="s">
        <v>154</v>
      </c>
      <c r="I262" t="s">
        <v>146</v>
      </c>
      <c r="J262" t="s">
        <v>147</v>
      </c>
      <c r="K262" t="str">
        <f>+"FY"&amp;RIGHT(YEAR('Hyperion Panel'!$B$9),2)</f>
        <v>FY10</v>
      </c>
      <c r="L262" s="1612">
        <f>+IF(COLUMNS($L262:L262)&lt;month,0,'6. Market'!$AL$74/12)</f>
        <v>0</v>
      </c>
      <c r="M262" s="1612">
        <f>+IF(COLUMNS($L262:M262)&lt;month,0,'6. Market'!$AL$74/12)</f>
        <v>0</v>
      </c>
      <c r="N262" s="1612">
        <f>+IF(COLUMNS($L262:N262)&lt;month,0,'6. Market'!$AL$74/12)</f>
        <v>0</v>
      </c>
      <c r="O262" s="1612">
        <f>+IF(COLUMNS($L262:O262)&lt;month,0,'6. Market'!$AL$74/12)</f>
        <v>0</v>
      </c>
      <c r="P262" s="1612">
        <f>+IF(COLUMNS($L262:P262)&lt;month,0,'6. Market'!$AL$74/12)</f>
        <v>0</v>
      </c>
      <c r="Q262" s="1612">
        <f>+IF(COLUMNS($L262:Q262)&lt;month,0,'6. Market'!$AL$74/12)</f>
        <v>0</v>
      </c>
      <c r="R262" s="1612">
        <f>+IF(COLUMNS($L262:R262)&lt;month,0,'6. Market'!$AL$74/12)</f>
        <v>0</v>
      </c>
      <c r="S262" s="1612">
        <f>+IF(COLUMNS($L262:S262)&lt;month,0,'6. Market'!$AL$74/12)</f>
        <v>0</v>
      </c>
      <c r="T262" s="1612">
        <f>+IF(COLUMNS($L262:T262)&lt;month,0,'6. Market'!$AL$74/12)</f>
        <v>0</v>
      </c>
      <c r="U262" s="1612">
        <f>+IF(COLUMNS($L262:U262)&lt;month,0,'6. Market'!$AL$74/12)</f>
        <v>0</v>
      </c>
      <c r="V262" s="1612">
        <f>+IF(COLUMNS($L262:V262)&lt;month,0,'6. Market'!$AL$74/12)</f>
        <v>14795</v>
      </c>
      <c r="W262" s="1612">
        <f>+IF(COLUMNS($L262:W262)&lt;month,0,'6. Market'!$AL$74/12)</f>
        <v>14795</v>
      </c>
    </row>
    <row r="263" spans="1:26">
      <c r="A263" t="s">
        <v>2653</v>
      </c>
      <c r="B263" t="str">
        <f t="shared" si="12"/>
        <v>P10_11032_00494</v>
      </c>
      <c r="C263" t="str">
        <f t="shared" si="13"/>
        <v>LE_XXXX</v>
      </c>
      <c r="D263" t="s">
        <v>2886</v>
      </c>
      <c r="E263">
        <v>6051</v>
      </c>
      <c r="F263" t="s">
        <v>2888</v>
      </c>
      <c r="G263" t="s">
        <v>153</v>
      </c>
      <c r="H263" t="s">
        <v>154</v>
      </c>
      <c r="I263" t="s">
        <v>146</v>
      </c>
      <c r="J263" t="s">
        <v>147</v>
      </c>
      <c r="K263" t="str">
        <f>+"FY"&amp;RIGHT(YEAR('Hyperion Panel'!$B$9),2)</f>
        <v>FY10</v>
      </c>
      <c r="L263" s="1612">
        <f>+IF(COLUMNS($L263:L263)&lt;month,0,'6. Market'!$AL$75/12)</f>
        <v>0</v>
      </c>
      <c r="M263" s="1612">
        <f>+IF(COLUMNS($L263:M263)&lt;month,0,'6. Market'!$AL$75/12)</f>
        <v>0</v>
      </c>
      <c r="N263" s="1612">
        <f>+IF(COLUMNS($L263:N263)&lt;month,0,'6. Market'!$AL$75/12)</f>
        <v>0</v>
      </c>
      <c r="O263" s="1612">
        <f>+IF(COLUMNS($L263:O263)&lt;month,0,'6. Market'!$AL$75/12)</f>
        <v>0</v>
      </c>
      <c r="P263" s="1612">
        <f>+IF(COLUMNS($L263:P263)&lt;month,0,'6. Market'!$AL$75/12)</f>
        <v>0</v>
      </c>
      <c r="Q263" s="1612">
        <f>+IF(COLUMNS($L263:Q263)&lt;month,0,'6. Market'!$AL$75/12)</f>
        <v>0</v>
      </c>
      <c r="R263" s="1612">
        <f>+IF(COLUMNS($L263:R263)&lt;month,0,'6. Market'!$AL$75/12)</f>
        <v>0</v>
      </c>
      <c r="S263" s="1612">
        <f>+IF(COLUMNS($L263:S263)&lt;month,0,'6. Market'!$AL$75/12)</f>
        <v>0</v>
      </c>
      <c r="T263" s="1612">
        <f>+IF(COLUMNS($L263:T263)&lt;month,0,'6. Market'!$AL$75/12)</f>
        <v>0</v>
      </c>
      <c r="U263" s="1612">
        <f>+IF(COLUMNS($L263:U263)&lt;month,0,'6. Market'!$AL$75/12)</f>
        <v>0</v>
      </c>
      <c r="V263" s="1612">
        <f>+IF(COLUMNS($L263:V263)&lt;month,0,'6. Market'!$AL$75/12)</f>
        <v>18890.728391370059</v>
      </c>
      <c r="W263" s="1612">
        <f>+IF(COLUMNS($L263:W263)&lt;month,0,'6. Market'!$AL$75/12)</f>
        <v>18890.728391370059</v>
      </c>
    </row>
    <row r="264" spans="1:26">
      <c r="A264" t="s">
        <v>2654</v>
      </c>
      <c r="B264" t="str">
        <f t="shared" si="12"/>
        <v>P10_11032_00494</v>
      </c>
      <c r="C264" t="str">
        <f t="shared" si="13"/>
        <v>LE_XXXX</v>
      </c>
      <c r="D264" t="s">
        <v>2886</v>
      </c>
      <c r="E264">
        <v>6011</v>
      </c>
      <c r="F264" t="s">
        <v>2888</v>
      </c>
      <c r="G264" t="s">
        <v>153</v>
      </c>
      <c r="H264" t="s">
        <v>154</v>
      </c>
      <c r="I264" t="s">
        <v>146</v>
      </c>
      <c r="J264" t="s">
        <v>147</v>
      </c>
      <c r="K264" t="str">
        <f>+"FY"&amp;RIGHT(YEAR('Hyperion Panel'!$B$9),2)</f>
        <v>FY10</v>
      </c>
      <c r="L264" s="1612">
        <f>+IF(COLUMNS($L264:L264)&lt;month,0,'6. Market'!$AL$76/12)</f>
        <v>0</v>
      </c>
      <c r="M264" s="1612">
        <f>+IF(COLUMNS($L264:M264)&lt;month,0,'6. Market'!$AL$76/12)</f>
        <v>0</v>
      </c>
      <c r="N264" s="1612">
        <f>+IF(COLUMNS($L264:N264)&lt;month,0,'6. Market'!$AL$76/12)</f>
        <v>0</v>
      </c>
      <c r="O264" s="1612">
        <f>+IF(COLUMNS($L264:O264)&lt;month,0,'6. Market'!$AL$76/12)</f>
        <v>0</v>
      </c>
      <c r="P264" s="1612">
        <f>+IF(COLUMNS($L264:P264)&lt;month,0,'6. Market'!$AL$76/12)</f>
        <v>0</v>
      </c>
      <c r="Q264" s="1612">
        <f>+IF(COLUMNS($L264:Q264)&lt;month,0,'6. Market'!$AL$76/12)</f>
        <v>0</v>
      </c>
      <c r="R264" s="1612">
        <f>+IF(COLUMNS($L264:R264)&lt;month,0,'6. Market'!$AL$76/12)</f>
        <v>0</v>
      </c>
      <c r="S264" s="1612">
        <f>+IF(COLUMNS($L264:S264)&lt;month,0,'6. Market'!$AL$76/12)</f>
        <v>0</v>
      </c>
      <c r="T264" s="1612">
        <f>+IF(COLUMNS($L264:T264)&lt;month,0,'6. Market'!$AL$76/12)</f>
        <v>0</v>
      </c>
      <c r="U264" s="1612">
        <f>+IF(COLUMNS($L264:U264)&lt;month,0,'6. Market'!$AL$76/12)</f>
        <v>0</v>
      </c>
      <c r="V264" s="1612">
        <f>+IF(COLUMNS($L264:V264)&lt;month,0,'6. Market'!$AL$76/12)</f>
        <v>0</v>
      </c>
      <c r="W264" s="1612">
        <f>+IF(COLUMNS($L264:W264)&lt;month,0,'6. Market'!$AL$76/12)</f>
        <v>0</v>
      </c>
    </row>
    <row r="265" spans="1:26">
      <c r="A265" s="6" t="s">
        <v>3769</v>
      </c>
      <c r="B265" t="str">
        <f t="shared" si="12"/>
        <v>P10_11032_00494</v>
      </c>
      <c r="C265" t="str">
        <f t="shared" si="13"/>
        <v>LE_XXXX</v>
      </c>
      <c r="D265" t="s">
        <v>2886</v>
      </c>
      <c r="E265">
        <v>6600</v>
      </c>
      <c r="F265" t="s">
        <v>2888</v>
      </c>
      <c r="G265" t="s">
        <v>2889</v>
      </c>
      <c r="H265" t="s">
        <v>154</v>
      </c>
      <c r="I265" t="s">
        <v>146</v>
      </c>
      <c r="J265" t="s">
        <v>147</v>
      </c>
      <c r="K265" t="str">
        <f>+"FY"&amp;RIGHT(YEAR('Hyperion Panel'!$B$9),2)</f>
        <v>FY10</v>
      </c>
      <c r="L265" s="1712">
        <f>'2.3 Expenses'!$N$47*SUM(L244:L245,L247:L248)</f>
        <v>0</v>
      </c>
      <c r="M265" s="1712">
        <f>'2.3 Expenses'!$N$47*SUM(M244:M245,M247:M248)</f>
        <v>0</v>
      </c>
      <c r="N265" s="1712">
        <f>'2.3 Expenses'!$N$47*SUM(N244:N245,N247:N248)</f>
        <v>0</v>
      </c>
      <c r="O265" s="1712">
        <f>'2.3 Expenses'!$N$47*SUM(O244:O245,O247:O248)</f>
        <v>0</v>
      </c>
      <c r="P265" s="1712">
        <f>'2.3 Expenses'!$N$47*SUM(P244:P245,P247:P248)</f>
        <v>0</v>
      </c>
      <c r="Q265" s="1712">
        <f>'2.3 Expenses'!$N$47*SUM(Q244:Q245,Q247:Q248)</f>
        <v>0</v>
      </c>
      <c r="R265" s="1712">
        <f>'2.3 Expenses'!$N$47*SUM(R244:R245,R247:R248)</f>
        <v>0</v>
      </c>
      <c r="S265" s="1712">
        <f>'2.3 Expenses'!$N$47*SUM(S244:S245,S247:S248)</f>
        <v>0</v>
      </c>
      <c r="T265" s="1712">
        <f>'2.3 Expenses'!$N$47*SUM(T244:T245,T247:T248)</f>
        <v>0</v>
      </c>
      <c r="U265" s="1712">
        <f>'2.3 Expenses'!$N$47*SUM(U244:U245,U247:U248)</f>
        <v>0</v>
      </c>
      <c r="V265" s="1712">
        <f>'2.3 Expenses'!$N$47*SUM(V244:V245,V247:V248)</f>
        <v>52958.887494461407</v>
      </c>
      <c r="W265" s="1712">
        <f>'2.3 Expenses'!$N$47*SUM(W244:W245,W247:W248)</f>
        <v>52958.887494461407</v>
      </c>
    </row>
    <row r="266" spans="1:26">
      <c r="A266" s="6" t="s">
        <v>3770</v>
      </c>
      <c r="B266" t="str">
        <f t="shared" si="12"/>
        <v>P10_11032_00494</v>
      </c>
      <c r="C266" t="str">
        <f t="shared" si="13"/>
        <v>LE_XXXX</v>
      </c>
      <c r="D266" t="s">
        <v>2886</v>
      </c>
      <c r="E266">
        <v>6800</v>
      </c>
      <c r="F266" t="s">
        <v>156</v>
      </c>
      <c r="G266" t="s">
        <v>2889</v>
      </c>
      <c r="H266" t="s">
        <v>154</v>
      </c>
      <c r="I266" t="s">
        <v>146</v>
      </c>
      <c r="J266" t="s">
        <v>147</v>
      </c>
      <c r="K266" t="str">
        <f>+"FY"&amp;RIGHT(YEAR('Hyperion Panel'!$B$9),2)</f>
        <v>FY10</v>
      </c>
      <c r="L266" s="1712">
        <f>'2.3 Expenses'!$N$50*SUM(L244:L245,L247:L248)</f>
        <v>0</v>
      </c>
      <c r="M266" s="1712">
        <f>'2.3 Expenses'!$N$50*SUM(M244:M245,M247:M248)</f>
        <v>0</v>
      </c>
      <c r="N266" s="1712">
        <f>'2.3 Expenses'!$N$50*SUM(N244:N245,N247:N248)</f>
        <v>0</v>
      </c>
      <c r="O266" s="1712">
        <f>'2.3 Expenses'!$N$50*SUM(O244:O245,O247:O248)</f>
        <v>0</v>
      </c>
      <c r="P266" s="1712">
        <f>'2.3 Expenses'!$N$50*SUM(P244:P245,P247:P248)</f>
        <v>0</v>
      </c>
      <c r="Q266" s="1712">
        <f>'2.3 Expenses'!$N$50*SUM(Q244:Q245,Q247:Q248)</f>
        <v>0</v>
      </c>
      <c r="R266" s="1712">
        <f>'2.3 Expenses'!$N$50*SUM(R244:R245,R247:R248)</f>
        <v>0</v>
      </c>
      <c r="S266" s="1712">
        <f>'2.3 Expenses'!$N$50*SUM(S244:S245,S247:S248)</f>
        <v>0</v>
      </c>
      <c r="T266" s="1712">
        <f>'2.3 Expenses'!$N$50*SUM(T244:T245,T247:T248)</f>
        <v>0</v>
      </c>
      <c r="U266" s="1712">
        <f>'2.3 Expenses'!$N$50*SUM(U244:U245,U247:U248)</f>
        <v>0</v>
      </c>
      <c r="V266" s="1712">
        <f>'2.3 Expenses'!$N$50*SUM(V244:V245,V247:V248)</f>
        <v>19626.014631840881</v>
      </c>
      <c r="W266" s="1712">
        <f>'2.3 Expenses'!$N$50*SUM(W244:W245,W247:W248)</f>
        <v>19626.014631840881</v>
      </c>
    </row>
    <row r="267" spans="1:26">
      <c r="A267" t="s">
        <v>3697</v>
      </c>
      <c r="B267" t="str">
        <f t="shared" si="12"/>
        <v>P10_11032_00494</v>
      </c>
      <c r="C267" t="str">
        <f t="shared" si="13"/>
        <v>LE_XXXX</v>
      </c>
      <c r="D267" t="s">
        <v>2886</v>
      </c>
      <c r="E267">
        <v>8600</v>
      </c>
      <c r="F267" t="s">
        <v>156</v>
      </c>
      <c r="G267" t="s">
        <v>2889</v>
      </c>
      <c r="H267" t="s">
        <v>154</v>
      </c>
      <c r="I267" t="s">
        <v>146</v>
      </c>
      <c r="J267" t="s">
        <v>147</v>
      </c>
      <c r="K267" t="str">
        <f>+"FY"&amp;RIGHT(YEAR('Hyperion Panel'!$B$9),2)</f>
        <v>FY10</v>
      </c>
      <c r="L267" s="1612">
        <f>+IF(COLUMNS($L267:L267)&lt;month,0,'6. Market'!$AL$78/12)</f>
        <v>0</v>
      </c>
      <c r="M267" s="1612">
        <f>+IF(COLUMNS($L267:M267)&lt;month,0,'6. Market'!$AL$78/12)</f>
        <v>0</v>
      </c>
      <c r="N267" s="1612">
        <f>+IF(COLUMNS($L267:N267)&lt;month,0,'6. Market'!$AL$78/12)</f>
        <v>0</v>
      </c>
      <c r="O267" s="1612">
        <f>+IF(COLUMNS($L267:O267)&lt;month,0,'6. Market'!$AL$78/12)</f>
        <v>0</v>
      </c>
      <c r="P267" s="1612">
        <f>+IF(COLUMNS($L267:P267)&lt;month,0,'6. Market'!$AL$78/12)</f>
        <v>0</v>
      </c>
      <c r="Q267" s="1612">
        <f>+IF(COLUMNS($L267:Q267)&lt;month,0,'6. Market'!$AL$78/12)</f>
        <v>0</v>
      </c>
      <c r="R267" s="1612">
        <f>+IF(COLUMNS($L267:R267)&lt;month,0,'6. Market'!$AL$78/12)</f>
        <v>0</v>
      </c>
      <c r="S267" s="1612">
        <f>+IF(COLUMNS($L267:S267)&lt;month,0,'6. Market'!$AL$78/12)</f>
        <v>0</v>
      </c>
      <c r="T267" s="1612">
        <f>+IF(COLUMNS($L267:T267)&lt;month,0,'6. Market'!$AL$78/12)</f>
        <v>0</v>
      </c>
      <c r="U267" s="1612">
        <f>+IF(COLUMNS($L267:U267)&lt;month,0,'6. Market'!$AL$78/12)</f>
        <v>0</v>
      </c>
      <c r="V267" s="1612">
        <f>+IF(COLUMNS($L267:V267)&lt;month,0,'6. Market'!$AL$78/12)</f>
        <v>16474.989999999998</v>
      </c>
      <c r="W267" s="1612">
        <f>+IF(COLUMNS($L267:W267)&lt;month,0,'6. Market'!$AL$78/12)</f>
        <v>16474.989999999998</v>
      </c>
    </row>
    <row r="268" spans="1:26">
      <c r="A268" t="s">
        <v>157</v>
      </c>
      <c r="B268" t="str">
        <f t="shared" si="12"/>
        <v>P10_11032_00494</v>
      </c>
      <c r="C268" t="str">
        <f t="shared" si="13"/>
        <v>LE_XXXX</v>
      </c>
      <c r="D268" t="s">
        <v>2886</v>
      </c>
      <c r="E268">
        <v>6720</v>
      </c>
      <c r="F268" t="s">
        <v>156</v>
      </c>
      <c r="G268" t="s">
        <v>2889</v>
      </c>
      <c r="H268" t="s">
        <v>154</v>
      </c>
      <c r="I268" t="s">
        <v>146</v>
      </c>
      <c r="J268" t="s">
        <v>147</v>
      </c>
      <c r="K268" t="str">
        <f>+"FY"&amp;RIGHT(YEAR('Hyperion Panel'!$B$9),2)</f>
        <v>FY10</v>
      </c>
      <c r="L268" s="1612">
        <f>+IF(COLUMNS($L268:L268)&lt;month,0,'6. Market'!$AL$79/12)</f>
        <v>0</v>
      </c>
      <c r="M268" s="1612">
        <f>+IF(COLUMNS($L268:M268)&lt;month,0,'6. Market'!$AL$79/12)</f>
        <v>0</v>
      </c>
      <c r="N268" s="1612">
        <f>+IF(COLUMNS($L268:N268)&lt;month,0,'6. Market'!$AL$79/12)</f>
        <v>0</v>
      </c>
      <c r="O268" s="1612">
        <f>+IF(COLUMNS($L268:O268)&lt;month,0,'6. Market'!$AL$79/12)</f>
        <v>0</v>
      </c>
      <c r="P268" s="1612">
        <f>+IF(COLUMNS($L268:P268)&lt;month,0,'6. Market'!$AL$79/12)</f>
        <v>0</v>
      </c>
      <c r="Q268" s="1612">
        <f>+IF(COLUMNS($L268:Q268)&lt;month,0,'6. Market'!$AL$79/12)</f>
        <v>0</v>
      </c>
      <c r="R268" s="1612">
        <f>+IF(COLUMNS($L268:R268)&lt;month,0,'6. Market'!$AL$79/12)</f>
        <v>0</v>
      </c>
      <c r="S268" s="1612">
        <f>+IF(COLUMNS($L268:S268)&lt;month,0,'6. Market'!$AL$79/12)</f>
        <v>0</v>
      </c>
      <c r="T268" s="1612">
        <f>+IF(COLUMNS($L268:T268)&lt;month,0,'6. Market'!$AL$79/12)</f>
        <v>0</v>
      </c>
      <c r="U268" s="1612">
        <f>+IF(COLUMNS($L268:U268)&lt;month,0,'6. Market'!$AL$79/12)</f>
        <v>0</v>
      </c>
      <c r="V268" s="1612">
        <f>+IF(COLUMNS($L268:V268)&lt;month,0,'6. Market'!$AL$79/12)</f>
        <v>15833.32</v>
      </c>
      <c r="W268" s="1612">
        <f>+IF(COLUMNS($L268:W268)&lt;month,0,'6. Market'!$AL$79/12)</f>
        <v>15833.32</v>
      </c>
    </row>
    <row r="269" spans="1:26">
      <c r="A269" t="s">
        <v>3771</v>
      </c>
      <c r="B269" t="str">
        <f t="shared" si="12"/>
        <v>P10_11032_00494</v>
      </c>
      <c r="C269" t="str">
        <f t="shared" si="13"/>
        <v>LE_XXXX</v>
      </c>
      <c r="D269" t="s">
        <v>2886</v>
      </c>
      <c r="E269">
        <v>8110</v>
      </c>
      <c r="F269" t="s">
        <v>156</v>
      </c>
      <c r="G269" t="s">
        <v>2889</v>
      </c>
      <c r="H269" t="s">
        <v>154</v>
      </c>
      <c r="I269" t="s">
        <v>146</v>
      </c>
      <c r="J269" t="s">
        <v>147</v>
      </c>
      <c r="K269" t="str">
        <f>+"FY"&amp;RIGHT(YEAR('Hyperion Panel'!$B$9),2)</f>
        <v>FY10</v>
      </c>
      <c r="L269" s="1612">
        <f>+IF(COLUMNS($L269:L269)&lt;month,0,'6. Market'!$AL$82/12)</f>
        <v>0</v>
      </c>
      <c r="M269" s="1612">
        <f>+IF(COLUMNS($L269:M269)&lt;month,0,'6. Market'!$AL$82/12)</f>
        <v>0</v>
      </c>
      <c r="N269" s="1612">
        <f>+IF(COLUMNS($L269:N269)&lt;month,0,'6. Market'!$AL$82/12)</f>
        <v>0</v>
      </c>
      <c r="O269" s="1612">
        <f>+IF(COLUMNS($L269:O269)&lt;month,0,'6. Market'!$AL$82/12)</f>
        <v>0</v>
      </c>
      <c r="P269" s="1612">
        <f>+IF(COLUMNS($L269:P269)&lt;month,0,'6. Market'!$AL$82/12)</f>
        <v>0</v>
      </c>
      <c r="Q269" s="1612">
        <f>+IF(COLUMNS($L269:Q269)&lt;month,0,'6. Market'!$AL$82/12)</f>
        <v>0</v>
      </c>
      <c r="R269" s="1612">
        <f>+IF(COLUMNS($L269:R269)&lt;month,0,'6. Market'!$AL$82/12)</f>
        <v>0</v>
      </c>
      <c r="S269" s="1612">
        <f>+IF(COLUMNS($L269:S269)&lt;month,0,'6. Market'!$AL$82/12)</f>
        <v>0</v>
      </c>
      <c r="T269" s="1612">
        <f>+IF(COLUMNS($L269:T269)&lt;month,0,'6. Market'!$AL$82/12)</f>
        <v>0</v>
      </c>
      <c r="U269" s="1612">
        <f>+IF(COLUMNS($L269:U269)&lt;month,0,'6. Market'!$AL$82/12)</f>
        <v>0</v>
      </c>
      <c r="V269" s="1612">
        <f>+IF(COLUMNS($L269:V269)&lt;month,0,'6. Market'!$AL$82/12)</f>
        <v>1044.7049999999999</v>
      </c>
      <c r="W269" s="1612">
        <f>+IF(COLUMNS($L269:W269)&lt;month,0,'6. Market'!$AL$82/12)</f>
        <v>1044.7049999999999</v>
      </c>
    </row>
    <row r="270" spans="1:26">
      <c r="A270" s="102" t="s">
        <v>171</v>
      </c>
      <c r="B270" t="str">
        <f t="shared" si="12"/>
        <v>P10_11032_00494</v>
      </c>
      <c r="C270" s="98" t="str">
        <f t="shared" si="13"/>
        <v>LE_XXXX</v>
      </c>
      <c r="D270" s="98" t="s">
        <v>2886</v>
      </c>
      <c r="E270" s="98">
        <v>6412</v>
      </c>
      <c r="F270" s="98" t="s">
        <v>156</v>
      </c>
      <c r="G270" s="98" t="s">
        <v>2889</v>
      </c>
      <c r="H270" s="98" t="s">
        <v>154</v>
      </c>
      <c r="I270" s="98" t="s">
        <v>146</v>
      </c>
      <c r="J270" s="98" t="s">
        <v>147</v>
      </c>
      <c r="K270" t="str">
        <f>+"FY"&amp;RIGHT(YEAR('Hyperion Panel'!$B$9),2)</f>
        <v>FY10</v>
      </c>
      <c r="L270" s="1712">
        <f>+IF(COLUMNS($L270:L270)&lt;month,0,'2.3 Expenses'!$N$57*SUM(L244:L245,L247:L248))</f>
        <v>0</v>
      </c>
      <c r="M270" s="1712">
        <f>+IF(COLUMNS($L270:M270)&lt;month,0,'2.3 Expenses'!$N$57*SUM(M244:M245,M247:M248))</f>
        <v>0</v>
      </c>
      <c r="N270" s="1712">
        <f>+IF(COLUMNS($L270:N270)&lt;month,0,'2.3 Expenses'!$N$57*SUM(N244:N245,N247:N248))</f>
        <v>0</v>
      </c>
      <c r="O270" s="1712">
        <f>+IF(COLUMNS($L270:O270)&lt;month,0,'2.3 Expenses'!$N$57*SUM(O244:O245,O247:O248))</f>
        <v>0</v>
      </c>
      <c r="P270" s="1712">
        <f>+IF(COLUMNS($L270:P270)&lt;month,0,'2.3 Expenses'!$N$57*SUM(P244:P245,P247:P248))</f>
        <v>0</v>
      </c>
      <c r="Q270" s="1712">
        <f>+IF(COLUMNS($L270:Q270)&lt;month,0,'2.3 Expenses'!$N$57*SUM(Q244:Q245,Q247:Q248))</f>
        <v>0</v>
      </c>
      <c r="R270" s="1712">
        <f>+IF(COLUMNS($L270:R270)&lt;month,0,'2.3 Expenses'!$N$57*SUM(R244:R245,R247:R248))</f>
        <v>0</v>
      </c>
      <c r="S270" s="1712">
        <f>+IF(COLUMNS($L270:S270)&lt;month,0,'2.3 Expenses'!$N$57*SUM(S244:S245,S247:S248))</f>
        <v>0</v>
      </c>
      <c r="T270" s="1712">
        <f>+IF(COLUMNS($L270:T270)&lt;month,0,'2.3 Expenses'!$N$57*SUM(T244:T245,T247:T248))</f>
        <v>0</v>
      </c>
      <c r="U270" s="1712">
        <f>+IF(COLUMNS($L270:U270)&lt;month,0,'2.3 Expenses'!$N$57*SUM(U244:U245,U247:U248))</f>
        <v>0</v>
      </c>
      <c r="V270" s="1712">
        <f>+IF(COLUMNS($L270:V270)&lt;month,0,'2.3 Expenses'!$N$57*SUM(V244:V245,V247:V248))</f>
        <v>18564.974605157677</v>
      </c>
      <c r="W270" s="1712">
        <f>+IF(COLUMNS($L270:W270)&lt;month,0,'2.3 Expenses'!$N$57*SUM(W244:W245,W247:W248))</f>
        <v>18564.974605157677</v>
      </c>
    </row>
    <row r="271" spans="1:26" s="3" customFormat="1">
      <c r="A271" s="1687" t="s">
        <v>730</v>
      </c>
      <c r="B271" t="str">
        <f t="shared" si="12"/>
        <v>P10_11032_00494</v>
      </c>
      <c r="C271" s="1687" t="str">
        <f>+$C$2</f>
        <v>LE_XXXX</v>
      </c>
      <c r="D271" s="1687" t="s">
        <v>2886</v>
      </c>
      <c r="E271" s="1687">
        <v>8110</v>
      </c>
      <c r="F271" s="1687" t="s">
        <v>731</v>
      </c>
      <c r="G271" s="1687" t="s">
        <v>2889</v>
      </c>
      <c r="H271" s="1687" t="s">
        <v>154</v>
      </c>
      <c r="I271" s="1687" t="s">
        <v>146</v>
      </c>
      <c r="J271" s="1687" t="s">
        <v>147</v>
      </c>
      <c r="K271" t="str">
        <f>+"FY"&amp;RIGHT(YEAR('Hyperion Panel'!$B$9),2)</f>
        <v>FY10</v>
      </c>
      <c r="L271" s="1704">
        <f>+IF(COLUMNS($L271:L271)&lt;month,0,'6. Market'!$AL$88/12)</f>
        <v>0</v>
      </c>
      <c r="M271" s="1704">
        <f>+IF(COLUMNS($L271:M271)&lt;month,0,'6. Market'!$AL$88/12)</f>
        <v>0</v>
      </c>
      <c r="N271" s="1704">
        <f>+IF(COLUMNS($L271:N271)&lt;month,0,'6. Market'!$AL$88/12)</f>
        <v>0</v>
      </c>
      <c r="O271" s="1704">
        <f>+IF(COLUMNS($L271:O271)&lt;month,0,'6. Market'!$AL$88/12)</f>
        <v>0</v>
      </c>
      <c r="P271" s="1704">
        <f>+IF(COLUMNS($L271:P271)&lt;month,0,'6. Market'!$AL$88/12)</f>
        <v>0</v>
      </c>
      <c r="Q271" s="1704">
        <f>+IF(COLUMNS($L271:Q271)&lt;month,0,'6. Market'!$AL$88/12)</f>
        <v>0</v>
      </c>
      <c r="R271" s="1704">
        <f>+IF(COLUMNS($L271:R271)&lt;month,0,'6. Market'!$AL$88/12)</f>
        <v>0</v>
      </c>
      <c r="S271" s="1704">
        <f>+IF(COLUMNS($L271:S271)&lt;month,0,'6. Market'!$AL$88/12)</f>
        <v>0</v>
      </c>
      <c r="T271" s="1704">
        <f>+IF(COLUMNS($L271:T271)&lt;month,0,'6. Market'!$AL$88/12)</f>
        <v>0</v>
      </c>
      <c r="U271" s="1704">
        <f>+IF(COLUMNS($L271:U271)&lt;month,0,'6. Market'!$AL$88/12)</f>
        <v>0</v>
      </c>
      <c r="V271" s="1704">
        <f>+IF(COLUMNS($L271:V271)&lt;month,0,'6. Market'!$AL$88/12)</f>
        <v>833.33333333333337</v>
      </c>
      <c r="W271" s="1704">
        <f>+IF(COLUMNS($L271:W271)&lt;month,0,'6. Market'!$AL$88/12)</f>
        <v>833.33333333333337</v>
      </c>
    </row>
    <row r="272" spans="1:26" s="3" customFormat="1">
      <c r="A272" s="1687" t="s">
        <v>732</v>
      </c>
      <c r="B272" t="str">
        <f t="shared" si="12"/>
        <v>P10_11032_00494</v>
      </c>
      <c r="C272" s="1687" t="str">
        <f>+$C$2</f>
        <v>LE_XXXX</v>
      </c>
      <c r="D272" s="1687" t="s">
        <v>2886</v>
      </c>
      <c r="E272" s="1687"/>
      <c r="F272" s="1687" t="s">
        <v>731</v>
      </c>
      <c r="G272" s="1687" t="s">
        <v>2889</v>
      </c>
      <c r="H272" s="1687" t="s">
        <v>154</v>
      </c>
      <c r="I272" s="1687" t="s">
        <v>146</v>
      </c>
      <c r="J272" s="1687" t="s">
        <v>147</v>
      </c>
      <c r="K272" t="str">
        <f>+"FY"&amp;RIGHT(YEAR('Hyperion Panel'!$B$9),2)</f>
        <v>FY10</v>
      </c>
      <c r="L272" s="1704">
        <f>+IF(COLUMNS($L272:L272)&lt;month,0,'6. Market'!$AL$89/12)</f>
        <v>0</v>
      </c>
      <c r="M272" s="1704">
        <f>+IF(COLUMNS($L272:M272)&lt;month,0,'6. Market'!$AL$89/12)</f>
        <v>0</v>
      </c>
      <c r="N272" s="1704">
        <f>+IF(COLUMNS($L272:N272)&lt;month,0,'6. Market'!$AL$89/12)</f>
        <v>0</v>
      </c>
      <c r="O272" s="1704">
        <f>+IF(COLUMNS($L272:O272)&lt;month,0,'6. Market'!$AL$89/12)</f>
        <v>0</v>
      </c>
      <c r="P272" s="1704">
        <f>+IF(COLUMNS($L272:P272)&lt;month,0,'6. Market'!$AL$89/12)</f>
        <v>0</v>
      </c>
      <c r="Q272" s="1704">
        <f>+IF(COLUMNS($L272:Q272)&lt;month,0,'6. Market'!$AL$89/12)</f>
        <v>0</v>
      </c>
      <c r="R272" s="1704">
        <f>+IF(COLUMNS($L272:R272)&lt;month,0,'6. Market'!$AL$89/12)</f>
        <v>0</v>
      </c>
      <c r="S272" s="1704">
        <f>+IF(COLUMNS($L272:S272)&lt;month,0,'6. Market'!$AL$89/12)</f>
        <v>0</v>
      </c>
      <c r="T272" s="1704">
        <f>+IF(COLUMNS($L272:T272)&lt;month,0,'6. Market'!$AL$89/12)</f>
        <v>0</v>
      </c>
      <c r="U272" s="1704">
        <f>+IF(COLUMNS($L272:U272)&lt;month,0,'6. Market'!$AL$89/12)</f>
        <v>0</v>
      </c>
      <c r="V272" s="1704">
        <f>+IF(COLUMNS($L272:V272)&lt;month,0,'6. Market'!$AL$89/12)</f>
        <v>0</v>
      </c>
      <c r="W272" s="1704">
        <f>+IF(COLUMNS($L272:W272)&lt;month,0,'6. Market'!$AL$89/12)</f>
        <v>0</v>
      </c>
    </row>
    <row r="273" spans="1:26" s="3" customFormat="1">
      <c r="A273" s="1687" t="s">
        <v>733</v>
      </c>
      <c r="B273" t="str">
        <f t="shared" si="12"/>
        <v>P10_11032_00494</v>
      </c>
      <c r="C273" s="1687" t="str">
        <f>+$C$2</f>
        <v>LE_XXXX</v>
      </c>
      <c r="D273" s="1687" t="s">
        <v>2886</v>
      </c>
      <c r="E273" s="1687"/>
      <c r="F273" s="1687" t="s">
        <v>731</v>
      </c>
      <c r="G273" s="1687" t="s">
        <v>2889</v>
      </c>
      <c r="H273" s="1687" t="s">
        <v>154</v>
      </c>
      <c r="I273" s="1687" t="s">
        <v>146</v>
      </c>
      <c r="J273" s="1687" t="s">
        <v>147</v>
      </c>
      <c r="K273" t="str">
        <f>+"FY"&amp;RIGHT(YEAR('Hyperion Panel'!$B$9),2)</f>
        <v>FY10</v>
      </c>
      <c r="L273" s="1704">
        <f>+IF(COLUMNS($L273:L273)&lt;month,0,'6. Market'!$AL$90/12)</f>
        <v>0</v>
      </c>
      <c r="M273" s="1704">
        <f>+IF(COLUMNS($L273:M273)&lt;month,0,'6. Market'!$AL$90/12)</f>
        <v>0</v>
      </c>
      <c r="N273" s="1704">
        <f>+IF(COLUMNS($L273:N273)&lt;month,0,'6. Market'!$AL$90/12)</f>
        <v>0</v>
      </c>
      <c r="O273" s="1704">
        <f>+IF(COLUMNS($L273:O273)&lt;month,0,'6. Market'!$AL$90/12)</f>
        <v>0</v>
      </c>
      <c r="P273" s="1704">
        <f>+IF(COLUMNS($L273:P273)&lt;month,0,'6. Market'!$AL$90/12)</f>
        <v>0</v>
      </c>
      <c r="Q273" s="1704">
        <f>+IF(COLUMNS($L273:Q273)&lt;month,0,'6. Market'!$AL$90/12)</f>
        <v>0</v>
      </c>
      <c r="R273" s="1704">
        <f>+IF(COLUMNS($L273:R273)&lt;month,0,'6. Market'!$AL$90/12)</f>
        <v>0</v>
      </c>
      <c r="S273" s="1704">
        <f>+IF(COLUMNS($L273:S273)&lt;month,0,'6. Market'!$AL$90/12)</f>
        <v>0</v>
      </c>
      <c r="T273" s="1704">
        <f>+IF(COLUMNS($L273:T273)&lt;month,0,'6. Market'!$AL$90/12)</f>
        <v>0</v>
      </c>
      <c r="U273" s="1704">
        <f>+IF(COLUMNS($L273:U273)&lt;month,0,'6. Market'!$AL$90/12)</f>
        <v>0</v>
      </c>
      <c r="V273" s="1704">
        <f>+IF(COLUMNS($L273:V273)&lt;month,0,'6. Market'!$AL$90/12)</f>
        <v>9640</v>
      </c>
      <c r="W273" s="1704">
        <f>+IF(COLUMNS($L273:W273)&lt;month,0,'6. Market'!$AL$90/12)</f>
        <v>9640</v>
      </c>
    </row>
    <row r="274" spans="1:26" s="3" customFormat="1">
      <c r="A274" s="1687" t="s">
        <v>734</v>
      </c>
      <c r="B274" t="str">
        <f t="shared" si="12"/>
        <v>P10_11032_00494</v>
      </c>
      <c r="C274" s="1687" t="str">
        <f>+$C$2</f>
        <v>LE_XXXX</v>
      </c>
      <c r="D274" s="1687" t="s">
        <v>2886</v>
      </c>
      <c r="E274" s="1687">
        <v>6800</v>
      </c>
      <c r="F274" s="1687" t="s">
        <v>731</v>
      </c>
      <c r="G274" s="1687" t="s">
        <v>2889</v>
      </c>
      <c r="H274" s="1687" t="s">
        <v>154</v>
      </c>
      <c r="I274" s="1687" t="s">
        <v>146</v>
      </c>
      <c r="J274" s="1687" t="s">
        <v>147</v>
      </c>
      <c r="K274" t="str">
        <f>+"FY"&amp;RIGHT(YEAR('Hyperion Panel'!$B$9),2)</f>
        <v>FY10</v>
      </c>
      <c r="L274" s="1704">
        <f>+IF(COLUMNS($L274:L274)&lt;month,0,'6. Market'!$AL$91/12)</f>
        <v>0</v>
      </c>
      <c r="M274" s="1704">
        <f>+IF(COLUMNS($L274:M274)&lt;month,0,'6. Market'!$AL$91/12)</f>
        <v>0</v>
      </c>
      <c r="N274" s="1704">
        <f>+IF(COLUMNS($L274:N274)&lt;month,0,'6. Market'!$AL$91/12)</f>
        <v>0</v>
      </c>
      <c r="O274" s="1704">
        <f>+IF(COLUMNS($L274:O274)&lt;month,0,'6. Market'!$AL$91/12)</f>
        <v>0</v>
      </c>
      <c r="P274" s="1704">
        <f>+IF(COLUMNS($L274:P274)&lt;month,0,'6. Market'!$AL$91/12)</f>
        <v>0</v>
      </c>
      <c r="Q274" s="1704">
        <f>+IF(COLUMNS($L274:Q274)&lt;month,0,'6. Market'!$AL$91/12)</f>
        <v>0</v>
      </c>
      <c r="R274" s="1704">
        <f>+IF(COLUMNS($L274:R274)&lt;month,0,'6. Market'!$AL$91/12)</f>
        <v>0</v>
      </c>
      <c r="S274" s="1704">
        <f>+IF(COLUMNS($L274:S274)&lt;month,0,'6. Market'!$AL$91/12)</f>
        <v>0</v>
      </c>
      <c r="T274" s="1704">
        <f>+IF(COLUMNS($L274:T274)&lt;month,0,'6. Market'!$AL$91/12)</f>
        <v>0</v>
      </c>
      <c r="U274" s="1704">
        <f>+IF(COLUMNS($L274:U274)&lt;month,0,'6. Market'!$AL$91/12)</f>
        <v>0</v>
      </c>
      <c r="V274" s="1704">
        <f>+IF(COLUMNS($L274:V274)&lt;month,0,'6. Market'!$AL$91/12)</f>
        <v>1750</v>
      </c>
      <c r="W274" s="1704">
        <f>+IF(COLUMNS($L274:W274)&lt;month,0,'6. Market'!$AL$91/12)</f>
        <v>1750</v>
      </c>
    </row>
    <row r="275" spans="1:26">
      <c r="A275" t="s">
        <v>158</v>
      </c>
      <c r="B275" t="str">
        <f t="shared" si="12"/>
        <v>P10_11032_00494</v>
      </c>
      <c r="C275" t="str">
        <f>+$C$243</f>
        <v>LE_XXXX</v>
      </c>
      <c r="D275" t="s">
        <v>2886</v>
      </c>
      <c r="E275" t="s">
        <v>159</v>
      </c>
      <c r="F275" t="s">
        <v>156</v>
      </c>
      <c r="G275" t="s">
        <v>2889</v>
      </c>
      <c r="H275" t="s">
        <v>154</v>
      </c>
      <c r="I275" t="s">
        <v>146</v>
      </c>
      <c r="J275" t="s">
        <v>147</v>
      </c>
      <c r="K275" t="str">
        <f>+"FY"&amp;RIGHT(YEAR('Hyperion Panel'!$B$9),2)</f>
        <v>FY10</v>
      </c>
      <c r="L275" s="103">
        <f>'Hyperion Panel'!$C$7</f>
        <v>1</v>
      </c>
      <c r="M275" s="103">
        <f>'Hyperion Panel'!$C$7</f>
        <v>1</v>
      </c>
      <c r="N275" s="103">
        <f>'Hyperion Panel'!$C$7</f>
        <v>1</v>
      </c>
      <c r="O275" s="103">
        <f>'Hyperion Panel'!$C$7</f>
        <v>1</v>
      </c>
      <c r="P275" s="103">
        <f>'Hyperion Panel'!$C$7</f>
        <v>1</v>
      </c>
      <c r="Q275" s="103">
        <f>'Hyperion Panel'!$C$7</f>
        <v>1</v>
      </c>
      <c r="R275" s="103">
        <f>'Hyperion Panel'!$C$7</f>
        <v>1</v>
      </c>
      <c r="S275" s="103">
        <f>'Hyperion Panel'!$C$7</f>
        <v>1</v>
      </c>
      <c r="T275" s="103">
        <f>'Hyperion Panel'!$C$7</f>
        <v>1</v>
      </c>
      <c r="U275" s="103">
        <f>'Hyperion Panel'!$C$7</f>
        <v>1</v>
      </c>
      <c r="V275" s="1694">
        <f>'Hyperion Panel'!$C$7</f>
        <v>1</v>
      </c>
      <c r="W275" s="103">
        <f>'Hyperion Panel'!$C$7</f>
        <v>1</v>
      </c>
    </row>
    <row r="276" spans="1:26">
      <c r="A276" t="s">
        <v>160</v>
      </c>
      <c r="B276" t="str">
        <f t="shared" si="12"/>
        <v>P10_11032_00494</v>
      </c>
      <c r="C276" t="str">
        <f>+$C$243</f>
        <v>LE_XXXX</v>
      </c>
      <c r="D276" t="s">
        <v>2886</v>
      </c>
      <c r="E276" t="s">
        <v>161</v>
      </c>
      <c r="F276" t="s">
        <v>156</v>
      </c>
      <c r="G276" t="s">
        <v>2889</v>
      </c>
      <c r="H276" t="s">
        <v>154</v>
      </c>
      <c r="I276" t="s">
        <v>146</v>
      </c>
      <c r="J276" t="s">
        <v>147</v>
      </c>
      <c r="K276" t="str">
        <f>+"FY"&amp;RIGHT(YEAR('Hyperion Panel'!$B$9),2)</f>
        <v>FY10</v>
      </c>
      <c r="L276" s="1705">
        <v>0</v>
      </c>
      <c r="M276" s="1705">
        <v>0</v>
      </c>
      <c r="N276" s="1705">
        <v>0</v>
      </c>
      <c r="O276" s="1705">
        <v>0</v>
      </c>
      <c r="P276" s="1705">
        <v>0</v>
      </c>
      <c r="Q276" s="1705">
        <v>0</v>
      </c>
      <c r="R276" s="1705">
        <v>0</v>
      </c>
      <c r="S276" s="1705">
        <v>0</v>
      </c>
      <c r="T276" s="1705">
        <v>0</v>
      </c>
      <c r="U276" s="1705">
        <v>0</v>
      </c>
      <c r="V276" s="1705">
        <v>0</v>
      </c>
      <c r="W276" s="1705">
        <v>0</v>
      </c>
    </row>
    <row r="277" spans="1:26" s="3" customFormat="1">
      <c r="A277" s="1687" t="s">
        <v>735</v>
      </c>
      <c r="B277" t="str">
        <f t="shared" si="12"/>
        <v>P10_11032_00494</v>
      </c>
      <c r="C277" s="1687"/>
      <c r="D277" s="1687"/>
      <c r="E277" s="1687"/>
      <c r="F277" s="1687"/>
      <c r="G277" s="1687"/>
      <c r="H277" s="1687"/>
      <c r="I277" s="1687"/>
      <c r="J277" s="1687"/>
      <c r="K277" t="str">
        <f>+"FY"&amp;RIGHT(YEAR('Hyperion Panel'!$B$9),2)</f>
        <v>FY10</v>
      </c>
      <c r="L277" s="1705">
        <v>0</v>
      </c>
      <c r="M277" s="1705">
        <v>0</v>
      </c>
      <c r="N277" s="1705">
        <v>0</v>
      </c>
      <c r="O277" s="1705">
        <v>0</v>
      </c>
      <c r="P277" s="1705">
        <v>0</v>
      </c>
      <c r="Q277" s="1705">
        <v>0</v>
      </c>
      <c r="R277" s="1705">
        <v>0</v>
      </c>
      <c r="S277" s="1705">
        <v>0</v>
      </c>
      <c r="T277" s="1705">
        <v>0</v>
      </c>
      <c r="U277" s="1705">
        <v>0</v>
      </c>
      <c r="V277" s="1705">
        <v>0</v>
      </c>
      <c r="W277" s="1705">
        <v>0</v>
      </c>
      <c r="Y277" s="1688"/>
    </row>
    <row r="278" spans="1:26">
      <c r="L278" s="1612"/>
      <c r="M278" s="1612"/>
      <c r="N278" s="1612"/>
      <c r="O278" s="1612"/>
      <c r="P278" s="1612"/>
      <c r="Q278" s="1612"/>
      <c r="R278" s="1612"/>
      <c r="S278" s="1612"/>
      <c r="T278" s="1612"/>
      <c r="U278" s="1612"/>
      <c r="V278" s="1702"/>
      <c r="W278" s="1612"/>
    </row>
    <row r="279" spans="1:26">
      <c r="A279" s="98" t="s">
        <v>165</v>
      </c>
      <c r="B279" t="str">
        <f>+$B$243</f>
        <v>P10_11032_00494</v>
      </c>
      <c r="C279" t="str">
        <f>+$C$243</f>
        <v>LE_XXXX</v>
      </c>
      <c r="D279" t="s">
        <v>2886</v>
      </c>
      <c r="E279" t="s">
        <v>2887</v>
      </c>
      <c r="F279" t="s">
        <v>2888</v>
      </c>
      <c r="G279" t="s">
        <v>2889</v>
      </c>
      <c r="H279" t="s">
        <v>145</v>
      </c>
      <c r="I279" t="s">
        <v>146</v>
      </c>
      <c r="J279" t="s">
        <v>147</v>
      </c>
      <c r="K279" t="str">
        <f>+"FY"&amp;RIGHT(YEAR('Hyperion Panel'!$B$9)+1,2)</f>
        <v>FY11</v>
      </c>
      <c r="L279" s="1612"/>
      <c r="M279" s="1612"/>
      <c r="N279" s="1612"/>
      <c r="O279" s="1612"/>
      <c r="P279" s="1612"/>
      <c r="Q279" s="1612"/>
      <c r="R279" s="1612"/>
      <c r="S279" s="1612"/>
      <c r="T279" s="1612"/>
      <c r="U279" s="1612"/>
      <c r="V279" s="1702"/>
      <c r="W279" s="1612"/>
    </row>
    <row r="280" spans="1:26" s="98" customFormat="1" ht="12.75" customHeight="1">
      <c r="A280" s="100" t="s">
        <v>463</v>
      </c>
      <c r="L280" s="1697">
        <f>+IF(COLUMNS($L280:L280)&lt;month,VLOOKUP("Month "&amp;(COLUMNS($L280:L280)-month+13),P_After_Tx,3,FALSE)*52*3/12*(1-hemomiss),VLOOKUP("Month "&amp;(COLUMNS($L280:L280)-month+1),P_After_Tx,5,FALSE)*52*3/12*(1-hemomiss))</f>
        <v>574.08000000000004</v>
      </c>
      <c r="M280" s="1697">
        <f>+IF(COLUMNS($L280:M280)&lt;month,VLOOKUP("Month "&amp;(COLUMNS($L280:M280)-month+13),P_After_Tx,3,FALSE)*52*3/12*(1-hemomiss),VLOOKUP("Month "&amp;(COLUMNS($L280:M280)-month+1),P_After_Tx,5,FALSE)*52*3/12*(1-hemomiss))</f>
        <v>574.08000000000004</v>
      </c>
      <c r="N280" s="1697">
        <f>+IF(COLUMNS($L280:N280)&lt;month,VLOOKUP("Month "&amp;(COLUMNS($L280:N280)-month+13),P_After_Tx,3,FALSE)*52*3/12*(1-hemomiss),VLOOKUP("Month "&amp;(COLUMNS($L280:N280)-month+1),P_After_Tx,5,FALSE)*52*3/12*(1-hemomiss))</f>
        <v>574.08000000000004</v>
      </c>
      <c r="O280" s="1697">
        <f>+IF(COLUMNS($L280:O280)&lt;month,VLOOKUP("Month "&amp;(COLUMNS($L280:O280)-month+13),P_After_Tx,3,FALSE)*52*3/12*(1-hemomiss),VLOOKUP("Month "&amp;(COLUMNS($L280:O280)-month+1),P_After_Tx,5,FALSE)*52*3/12*(1-hemomiss))</f>
        <v>574.08000000000004</v>
      </c>
      <c r="P280" s="1697">
        <f>+IF(COLUMNS($L280:P280)&lt;month,VLOOKUP("Month "&amp;(COLUMNS($L280:P280)-month+13),P_After_Tx,3,FALSE)*52*3/12*(1-hemomiss),VLOOKUP("Month "&amp;(COLUMNS($L280:P280)-month+1),P_After_Tx,5,FALSE)*52*3/12*(1-hemomiss))</f>
        <v>574.08000000000004</v>
      </c>
      <c r="Q280" s="1697">
        <f>+IF(COLUMNS($L280:Q280)&lt;month,VLOOKUP("Month "&amp;(COLUMNS($L280:Q280)-month+13),P_After_Tx,3,FALSE)*52*3/12*(1-hemomiss),VLOOKUP("Month "&amp;(COLUMNS($L280:Q280)-month+1),P_After_Tx,5,FALSE)*52*3/12*(1-hemomiss))</f>
        <v>574.08000000000004</v>
      </c>
      <c r="R280" s="1697">
        <f>+IF(COLUMNS($L280:R280)&lt;month,VLOOKUP("Month "&amp;(COLUMNS($L280:R280)-month+13),P_After_Tx,3,FALSE)*52*3/12*(1-hemomiss),VLOOKUP("Month "&amp;(COLUMNS($L280:R280)-month+1),P_After_Tx,5,FALSE)*52*3/12*(1-hemomiss))</f>
        <v>574.08000000000004</v>
      </c>
      <c r="S280" s="1697">
        <f>+IF(COLUMNS($L280:S280)&lt;month,VLOOKUP("Month "&amp;(COLUMNS($L280:S280)-month+13),P_After_Tx,3,FALSE)*52*3/12*(1-hemomiss),VLOOKUP("Month "&amp;(COLUMNS($L280:S280)-month+1),P_After_Tx,5,FALSE)*52*3/12*(1-hemomiss))</f>
        <v>574.08000000000004</v>
      </c>
      <c r="T280" s="1697">
        <f>+IF(COLUMNS($L280:T280)&lt;month,VLOOKUP("Month "&amp;(COLUMNS($L280:T280)-month+13),P_After_Tx,3,FALSE)*52*3/12*(1-hemomiss),VLOOKUP("Month "&amp;(COLUMNS($L280:T280)-month+1),P_After_Tx,5,FALSE)*52*3/12*(1-hemomiss))</f>
        <v>574.08000000000004</v>
      </c>
      <c r="U280" s="1697">
        <f>+IF(COLUMNS($L280:U280)&lt;month,VLOOKUP("Month "&amp;(COLUMNS($L280:U280)-month+13),P_After_Tx,3,FALSE)*52*3/12*(1-hemomiss),VLOOKUP("Month "&amp;(COLUMNS($L280:U280)-month+1),P_After_Tx,5,FALSE)*52*3/12*(1-hemomiss))</f>
        <v>574.08000000000004</v>
      </c>
      <c r="V280" s="1700">
        <f>+IF(COLUMNS($L280:V280)&lt;month,VLOOKUP("Month "&amp;(COLUMNS($L280:V280)-month+13),P_After_Tx,3,FALSE)*52*3/12*(1-hemomiss),VLOOKUP("Month "&amp;(COLUMNS($L280:V280)-month+1),P_After_Tx,5,FALSE)*52*3/12*(1-hemomiss))</f>
        <v>574.08000000000004</v>
      </c>
      <c r="W280" s="1697">
        <f>+IF(COLUMNS($L280:W280)&lt;month,VLOOKUP("Month "&amp;(COLUMNS($L280:W280)-month+13),P_After_Tx,3,FALSE)*52*3/12*(1-hemomiss),VLOOKUP("Month "&amp;(COLUMNS($L280:W280)-month+1),P_After_Tx,5,FALSE)*52*3/12*(1-hemomiss))</f>
        <v>574.08000000000004</v>
      </c>
      <c r="Y280" s="99"/>
      <c r="Z280" s="97"/>
    </row>
    <row r="281" spans="1:26" s="98" customFormat="1" ht="12.75" customHeight="1">
      <c r="A281" s="100" t="s">
        <v>464</v>
      </c>
      <c r="L281" s="1697">
        <f>+IF(COLUMNS($L281:L281)&lt;month,VLOOKUP("Month "&amp;(COLUMNS($L281:L281)-month+13),P_After_Tx,4,FALSE)*52*3/12*(1-hemomiss),VLOOKUP("Month "&amp;(COLUMNS($L281:L281)-month+1),P_After_Tx,6,FALSE)*52*3/12*(1-hemomiss))</f>
        <v>23.92</v>
      </c>
      <c r="M281" s="1697">
        <f>+IF(COLUMNS($L281:M281)&lt;month,VLOOKUP("Month "&amp;(COLUMNS($L281:M281)-month+13),P_After_Tx,4,FALSE)*52*3/12*(1-hemomiss),VLOOKUP("Month "&amp;(COLUMNS($L281:M281)-month+1),P_After_Tx,6,FALSE)*52*3/12*(1-hemomiss))</f>
        <v>23.92</v>
      </c>
      <c r="N281" s="1697">
        <f>+IF(COLUMNS($L281:N281)&lt;month,VLOOKUP("Month "&amp;(COLUMNS($L281:N281)-month+13),P_After_Tx,4,FALSE)*52*3/12*(1-hemomiss),VLOOKUP("Month "&amp;(COLUMNS($L281:N281)-month+1),P_After_Tx,6,FALSE)*52*3/12*(1-hemomiss))</f>
        <v>23.92</v>
      </c>
      <c r="O281" s="1697">
        <f>+IF(COLUMNS($L281:O281)&lt;month,VLOOKUP("Month "&amp;(COLUMNS($L281:O281)-month+13),P_After_Tx,4,FALSE)*52*3/12*(1-hemomiss),VLOOKUP("Month "&amp;(COLUMNS($L281:O281)-month+1),P_After_Tx,6,FALSE)*52*3/12*(1-hemomiss))</f>
        <v>23.92</v>
      </c>
      <c r="P281" s="1697">
        <f>+IF(COLUMNS($L281:P281)&lt;month,VLOOKUP("Month "&amp;(COLUMNS($L281:P281)-month+13),P_After_Tx,4,FALSE)*52*3/12*(1-hemomiss),VLOOKUP("Month "&amp;(COLUMNS($L281:P281)-month+1),P_After_Tx,6,FALSE)*52*3/12*(1-hemomiss))</f>
        <v>23.92</v>
      </c>
      <c r="Q281" s="1697">
        <f>+IF(COLUMNS($L281:Q281)&lt;month,VLOOKUP("Month "&amp;(COLUMNS($L281:Q281)-month+13),P_After_Tx,4,FALSE)*52*3/12*(1-hemomiss),VLOOKUP("Month "&amp;(COLUMNS($L281:Q281)-month+1),P_After_Tx,6,FALSE)*52*3/12*(1-hemomiss))</f>
        <v>23.92</v>
      </c>
      <c r="R281" s="1697">
        <f>+IF(COLUMNS($L281:R281)&lt;month,VLOOKUP("Month "&amp;(COLUMNS($L281:R281)-month+13),P_After_Tx,4,FALSE)*52*3/12*(1-hemomiss),VLOOKUP("Month "&amp;(COLUMNS($L281:R281)-month+1),P_After_Tx,6,FALSE)*52*3/12*(1-hemomiss))</f>
        <v>23.92</v>
      </c>
      <c r="S281" s="1697">
        <f>+IF(COLUMNS($L281:S281)&lt;month,VLOOKUP("Month "&amp;(COLUMNS($L281:S281)-month+13),P_After_Tx,4,FALSE)*52*3/12*(1-hemomiss),VLOOKUP("Month "&amp;(COLUMNS($L281:S281)-month+1),P_After_Tx,6,FALSE)*52*3/12*(1-hemomiss))</f>
        <v>23.92</v>
      </c>
      <c r="T281" s="1697">
        <f>+IF(COLUMNS($L281:T281)&lt;month,VLOOKUP("Month "&amp;(COLUMNS($L281:T281)-month+13),P_After_Tx,4,FALSE)*52*3/12*(1-hemomiss),VLOOKUP("Month "&amp;(COLUMNS($L281:T281)-month+1),P_After_Tx,6,FALSE)*52*3/12*(1-hemomiss))</f>
        <v>23.92</v>
      </c>
      <c r="U281" s="1697">
        <f>+IF(COLUMNS($L281:U281)&lt;month,VLOOKUP("Month "&amp;(COLUMNS($L281:U281)-month+13),P_After_Tx,4,FALSE)*52*3/12*(1-hemomiss),VLOOKUP("Month "&amp;(COLUMNS($L281:U281)-month+1),P_After_Tx,6,FALSE)*52*3/12*(1-hemomiss))</f>
        <v>23.92</v>
      </c>
      <c r="V281" s="1700">
        <f>+IF(COLUMNS($L281:V281)&lt;month,VLOOKUP("Month "&amp;(COLUMNS($L281:V281)-month+13),P_After_Tx,4,FALSE)*52*3/12*(1-hemomiss),VLOOKUP("Month "&amp;(COLUMNS($L281:V281)-month+1),P_After_Tx,6,FALSE)*52*3/12*(1-hemomiss))</f>
        <v>23.92</v>
      </c>
      <c r="W281" s="1697">
        <f>+IF(COLUMNS($L281:W281)&lt;month,VLOOKUP("Month "&amp;(COLUMNS($L281:W281)-month+13),P_After_Tx,4,FALSE)*52*3/12*(1-hemomiss),VLOOKUP("Month "&amp;(COLUMNS($L281:W281)-month+1),P_After_Tx,6,FALSE)*52*3/12*(1-hemomiss))</f>
        <v>23.92</v>
      </c>
      <c r="Y281" s="99"/>
      <c r="Z281" s="97"/>
    </row>
    <row r="282" spans="1:26">
      <c r="A282" s="98" t="s">
        <v>162</v>
      </c>
      <c r="B282" t="str">
        <f>+$B$243</f>
        <v>P10_11032_00494</v>
      </c>
      <c r="C282" t="str">
        <f>+$C$243</f>
        <v>LE_XXXX</v>
      </c>
      <c r="D282" t="s">
        <v>2886</v>
      </c>
      <c r="E282" t="s">
        <v>149</v>
      </c>
      <c r="F282" t="s">
        <v>150</v>
      </c>
      <c r="G282" t="s">
        <v>2889</v>
      </c>
      <c r="H282" t="s">
        <v>145</v>
      </c>
      <c r="I282" t="s">
        <v>146</v>
      </c>
      <c r="J282" t="s">
        <v>147</v>
      </c>
      <c r="K282" t="str">
        <f>+"FY"&amp;RIGHT(YEAR('Hyperion Panel'!$B$9)+1,2)</f>
        <v>FY11</v>
      </c>
      <c r="L282" s="1612"/>
      <c r="M282" s="1612"/>
      <c r="N282" s="1612"/>
      <c r="O282" s="1612"/>
      <c r="P282" s="1612"/>
      <c r="Q282" s="1612"/>
      <c r="R282" s="1612"/>
      <c r="S282" s="1612"/>
      <c r="T282" s="1612"/>
      <c r="U282" s="1612"/>
      <c r="V282" s="1703"/>
      <c r="W282" s="1612"/>
    </row>
    <row r="283" spans="1:26" s="98" customFormat="1">
      <c r="A283" s="100" t="s">
        <v>463</v>
      </c>
      <c r="L283" s="1697">
        <f>+IF(COLUMNS($L283:L283)&lt;month,VLOOKUP("Month "&amp;(COLUMNS($L283:L283)-month+13),P_After_Tx,14,FALSE)*52*3/12*(1-homemiss),VLOOKUP("Month "&amp;(COLUMNS($L283:L283)-month+1),P_After_Tx,16,FALSE)*52*3/12*(1-homemiss))</f>
        <v>172.9</v>
      </c>
      <c r="M283" s="1697">
        <f>+IF(COLUMNS($L283:M283)&lt;month,VLOOKUP("Month "&amp;(COLUMNS($L283:M283)-month+13),P_After_Tx,14,FALSE)*52*3/12*(1-homemiss),VLOOKUP("Month "&amp;(COLUMNS($L283:M283)-month+1),P_After_Tx,16,FALSE)*52*3/12*(1-homemiss))</f>
        <v>172.9</v>
      </c>
      <c r="N283" s="1697">
        <f>+IF(COLUMNS($L283:N283)&lt;month,VLOOKUP("Month "&amp;(COLUMNS($L283:N283)-month+13),P_After_Tx,14,FALSE)*52*3/12*(1-homemiss),VLOOKUP("Month "&amp;(COLUMNS($L283:N283)-month+1),P_After_Tx,16,FALSE)*52*3/12*(1-homemiss))</f>
        <v>172.9</v>
      </c>
      <c r="O283" s="1697">
        <f>+IF(COLUMNS($L283:O283)&lt;month,VLOOKUP("Month "&amp;(COLUMNS($L283:O283)-month+13),P_After_Tx,14,FALSE)*52*3/12*(1-homemiss),VLOOKUP("Month "&amp;(COLUMNS($L283:O283)-month+1),P_After_Tx,16,FALSE)*52*3/12*(1-homemiss))</f>
        <v>172.9</v>
      </c>
      <c r="P283" s="1697">
        <f>+IF(COLUMNS($L283:P283)&lt;month,VLOOKUP("Month "&amp;(COLUMNS($L283:P283)-month+13),P_After_Tx,14,FALSE)*52*3/12*(1-homemiss),VLOOKUP("Month "&amp;(COLUMNS($L283:P283)-month+1),P_After_Tx,16,FALSE)*52*3/12*(1-homemiss))</f>
        <v>172.9</v>
      </c>
      <c r="Q283" s="1697">
        <f>+IF(COLUMNS($L283:Q283)&lt;month,VLOOKUP("Month "&amp;(COLUMNS($L283:Q283)-month+13),P_After_Tx,14,FALSE)*52*3/12*(1-homemiss),VLOOKUP("Month "&amp;(COLUMNS($L283:Q283)-month+1),P_After_Tx,16,FALSE)*52*3/12*(1-homemiss))</f>
        <v>172.9</v>
      </c>
      <c r="R283" s="1697">
        <f>+IF(COLUMNS($L283:R283)&lt;month,VLOOKUP("Month "&amp;(COLUMNS($L283:R283)-month+13),P_After_Tx,14,FALSE)*52*3/12*(1-homemiss),VLOOKUP("Month "&amp;(COLUMNS($L283:R283)-month+1),P_After_Tx,16,FALSE)*52*3/12*(1-homemiss))</f>
        <v>172.9</v>
      </c>
      <c r="S283" s="1697">
        <f>+IF(COLUMNS($L283:S283)&lt;month,VLOOKUP("Month "&amp;(COLUMNS($L283:S283)-month+13),P_After_Tx,14,FALSE)*52*3/12*(1-homemiss),VLOOKUP("Month "&amp;(COLUMNS($L283:S283)-month+1),P_After_Tx,16,FALSE)*52*3/12*(1-homemiss))</f>
        <v>172.9</v>
      </c>
      <c r="T283" s="1697">
        <f>+IF(COLUMNS($L283:T283)&lt;month,VLOOKUP("Month "&amp;(COLUMNS($L283:T283)-month+13),P_After_Tx,14,FALSE)*52*3/12*(1-homemiss),VLOOKUP("Month "&amp;(COLUMNS($L283:T283)-month+1),P_After_Tx,16,FALSE)*52*3/12*(1-homemiss))</f>
        <v>172.9</v>
      </c>
      <c r="U283" s="1697">
        <f>+IF(COLUMNS($L283:U283)&lt;month,VLOOKUP("Month "&amp;(COLUMNS($L283:U283)-month+13),P_After_Tx,14,FALSE)*52*3/12*(1-homemiss),VLOOKUP("Month "&amp;(COLUMNS($L283:U283)-month+1),P_After_Tx,16,FALSE)*52*3/12*(1-homemiss))</f>
        <v>172.9</v>
      </c>
      <c r="V283" s="1697">
        <f>+IF(COLUMNS($L283:V283)&lt;month,VLOOKUP("Month "&amp;(COLUMNS($L283:V283)-month+13),P_After_Tx,14,FALSE)*52*3/12*(1-homemiss),VLOOKUP("Month "&amp;(COLUMNS($L283:V283)-month+1),P_After_Tx,16,FALSE)*52*3/12*(1-homemiss))</f>
        <v>172.9</v>
      </c>
      <c r="W283" s="1697">
        <f>+IF(COLUMNS($L283:W283)&lt;month,VLOOKUP("Month "&amp;(COLUMNS($L283:W283)-month+13),P_After_Tx,14,FALSE)*52*3/12*(1-homemiss),VLOOKUP("Month "&amp;(COLUMNS($L283:W283)-month+1),P_After_Tx,16,FALSE)*52*3/12*(1-homemiss))</f>
        <v>172.9</v>
      </c>
      <c r="Y283" s="99"/>
    </row>
    <row r="284" spans="1:26" s="98" customFormat="1">
      <c r="A284" s="100" t="s">
        <v>464</v>
      </c>
      <c r="L284" s="1697">
        <f>+IF(COLUMNS($L284:L284)&lt;month,VLOOKUP("Month "&amp;(COLUMNS($L284:L284)-month+13),P_After_Tx,15,FALSE)*52*3/12*(1-homemiss),VLOOKUP("Month "&amp;(COLUMNS($L284:L284)-month+1),P_After_Tx,17,FALSE)*52*3/12*(1-homemiss))</f>
        <v>74.099999999999994</v>
      </c>
      <c r="M284" s="1697">
        <f>+IF(COLUMNS($L284:M284)&lt;month,VLOOKUP("Month "&amp;(COLUMNS($L284:M284)-month+13),P_After_Tx,15,FALSE)*52*3/12*(1-homemiss),VLOOKUP("Month "&amp;(COLUMNS($L284:M284)-month+1),P_After_Tx,17,FALSE)*52*3/12*(1-homemiss))</f>
        <v>74.099999999999994</v>
      </c>
      <c r="N284" s="1697">
        <f>+IF(COLUMNS($L284:N284)&lt;month,VLOOKUP("Month "&amp;(COLUMNS($L284:N284)-month+13),P_After_Tx,15,FALSE)*52*3/12*(1-homemiss),VLOOKUP("Month "&amp;(COLUMNS($L284:N284)-month+1),P_After_Tx,17,FALSE)*52*3/12*(1-homemiss))</f>
        <v>74.099999999999994</v>
      </c>
      <c r="O284" s="1697">
        <f>+IF(COLUMNS($L284:O284)&lt;month,VLOOKUP("Month "&amp;(COLUMNS($L284:O284)-month+13),P_After_Tx,15,FALSE)*52*3/12*(1-homemiss),VLOOKUP("Month "&amp;(COLUMNS($L284:O284)-month+1),P_After_Tx,17,FALSE)*52*3/12*(1-homemiss))</f>
        <v>74.099999999999994</v>
      </c>
      <c r="P284" s="1697">
        <f>+IF(COLUMNS($L284:P284)&lt;month,VLOOKUP("Month "&amp;(COLUMNS($L284:P284)-month+13),P_After_Tx,15,FALSE)*52*3/12*(1-homemiss),VLOOKUP("Month "&amp;(COLUMNS($L284:P284)-month+1),P_After_Tx,17,FALSE)*52*3/12*(1-homemiss))</f>
        <v>74.099999999999994</v>
      </c>
      <c r="Q284" s="1697">
        <f>+IF(COLUMNS($L284:Q284)&lt;month,VLOOKUP("Month "&amp;(COLUMNS($L284:Q284)-month+13),P_After_Tx,15,FALSE)*52*3/12*(1-homemiss),VLOOKUP("Month "&amp;(COLUMNS($L284:Q284)-month+1),P_After_Tx,17,FALSE)*52*3/12*(1-homemiss))</f>
        <v>74.099999999999994</v>
      </c>
      <c r="R284" s="1697">
        <f>+IF(COLUMNS($L284:R284)&lt;month,VLOOKUP("Month "&amp;(COLUMNS($L284:R284)-month+13),P_After_Tx,15,FALSE)*52*3/12*(1-homemiss),VLOOKUP("Month "&amp;(COLUMNS($L284:R284)-month+1),P_After_Tx,17,FALSE)*52*3/12*(1-homemiss))</f>
        <v>74.099999999999994</v>
      </c>
      <c r="S284" s="1697">
        <f>+IF(COLUMNS($L284:S284)&lt;month,VLOOKUP("Month "&amp;(COLUMNS($L284:S284)-month+13),P_After_Tx,15,FALSE)*52*3/12*(1-homemiss),VLOOKUP("Month "&amp;(COLUMNS($L284:S284)-month+1),P_After_Tx,17,FALSE)*52*3/12*(1-homemiss))</f>
        <v>74.099999999999994</v>
      </c>
      <c r="T284" s="1697">
        <f>+IF(COLUMNS($L284:T284)&lt;month,VLOOKUP("Month "&amp;(COLUMNS($L284:T284)-month+13),P_After_Tx,15,FALSE)*52*3/12*(1-homemiss),VLOOKUP("Month "&amp;(COLUMNS($L284:T284)-month+1),P_After_Tx,17,FALSE)*52*3/12*(1-homemiss))</f>
        <v>74.099999999999994</v>
      </c>
      <c r="U284" s="1697">
        <f>+IF(COLUMNS($L284:U284)&lt;month,VLOOKUP("Month "&amp;(COLUMNS($L284:U284)-month+13),P_After_Tx,15,FALSE)*52*3/12*(1-homemiss),VLOOKUP("Month "&amp;(COLUMNS($L284:U284)-month+1),P_After_Tx,17,FALSE)*52*3/12*(1-homemiss))</f>
        <v>74.099999999999994</v>
      </c>
      <c r="V284" s="1697">
        <f>+IF(COLUMNS($L284:V284)&lt;month,VLOOKUP("Month "&amp;(COLUMNS($L284:V284)-month+13),P_After_Tx,15,FALSE)*52*3/12*(1-homemiss),VLOOKUP("Month "&amp;(COLUMNS($L284:V284)-month+1),P_After_Tx,17,FALSE)*52*3/12*(1-homemiss))</f>
        <v>74.099999999999994</v>
      </c>
      <c r="W284" s="1697">
        <f>+IF(COLUMNS($L284:W284)&lt;month,VLOOKUP("Month "&amp;(COLUMNS($L284:W284)-month+13),P_After_Tx,15,FALSE)*52*3/12*(1-homemiss),VLOOKUP("Month "&amp;(COLUMNS($L284:W284)-month+1),P_After_Tx,17,FALSE)*52*3/12*(1-homemiss))</f>
        <v>74.099999999999994</v>
      </c>
      <c r="Y284" s="99"/>
    </row>
    <row r="285" spans="1:26">
      <c r="A285" s="4" t="s">
        <v>3767</v>
      </c>
      <c r="B285" s="4" t="str">
        <f>+$B$243</f>
        <v>P10_11032_00494</v>
      </c>
      <c r="C285" s="4"/>
      <c r="D285" s="4"/>
      <c r="E285" s="4"/>
      <c r="F285" s="4"/>
      <c r="G285" s="4"/>
      <c r="H285" s="4"/>
      <c r="I285" s="4"/>
      <c r="J285" s="4"/>
      <c r="K285" s="4" t="str">
        <f>+"FY"&amp;RIGHT(YEAR('Hyperion Panel'!$B$9)+1,2)</f>
        <v>FY11</v>
      </c>
      <c r="L285" s="1698"/>
      <c r="M285" s="1698"/>
      <c r="N285" s="1698"/>
      <c r="O285" s="1698"/>
      <c r="P285" s="1698"/>
      <c r="Q285" s="1698"/>
      <c r="R285" s="1698"/>
      <c r="S285" s="1698"/>
      <c r="T285" s="1698"/>
      <c r="U285" s="1698"/>
      <c r="V285" s="1699"/>
      <c r="W285" s="1698"/>
      <c r="Y285" s="99"/>
    </row>
    <row r="286" spans="1:26">
      <c r="A286" s="101" t="s">
        <v>463</v>
      </c>
      <c r="B286" s="4"/>
      <c r="C286" s="4"/>
      <c r="D286" s="4"/>
      <c r="E286" s="4"/>
      <c r="F286" s="4"/>
      <c r="G286" s="4"/>
      <c r="H286" s="4"/>
      <c r="I286" s="4"/>
      <c r="J286" s="4"/>
      <c r="K286" s="4"/>
      <c r="L286" s="1698">
        <f>+IF(COLUMNS($L286:L286)&lt;month,VLOOKUP("Month "&amp;(COLUMNS($L286:L286)-month+13),P_After_Tx,25,FALSE)*52*3/12*(1-hhdmiss),VLOOKUP("Month "&amp;(COLUMNS($L286:L286)-month+1),P_After_Tx,27,FALSE)*52*3/12*(1-hhdmiss))</f>
        <v>65</v>
      </c>
      <c r="M286" s="1698">
        <f>+IF(COLUMNS($L286:M286)&lt;month,VLOOKUP("Month "&amp;(COLUMNS($L286:M286)-month+13),P_After_Tx,25,FALSE)*52*3/12*(1-hhdmiss),VLOOKUP("Month "&amp;(COLUMNS($L286:M286)-month+1),P_After_Tx,27,FALSE)*52*3/12*(1-hhdmiss))</f>
        <v>65</v>
      </c>
      <c r="N286" s="1698">
        <f>+IF(COLUMNS($L286:N286)&lt;month,VLOOKUP("Month "&amp;(COLUMNS($L286:N286)-month+13),P_After_Tx,25,FALSE)*52*3/12*(1-hhdmiss),VLOOKUP("Month "&amp;(COLUMNS($L286:N286)-month+1),P_After_Tx,27,FALSE)*52*3/12*(1-hhdmiss))</f>
        <v>65</v>
      </c>
      <c r="O286" s="1698">
        <f>+IF(COLUMNS($L286:O286)&lt;month,VLOOKUP("Month "&amp;(COLUMNS($L286:O286)-month+13),P_After_Tx,25,FALSE)*52*3/12*(1-hhdmiss),VLOOKUP("Month "&amp;(COLUMNS($L286:O286)-month+1),P_After_Tx,27,FALSE)*52*3/12*(1-hhdmiss))</f>
        <v>65</v>
      </c>
      <c r="P286" s="1698">
        <f>+IF(COLUMNS($L286:P286)&lt;month,VLOOKUP("Month "&amp;(COLUMNS($L286:P286)-month+13),P_After_Tx,25,FALSE)*52*3/12*(1-hhdmiss),VLOOKUP("Month "&amp;(COLUMNS($L286:P286)-month+1),P_After_Tx,27,FALSE)*52*3/12*(1-hhdmiss))</f>
        <v>65</v>
      </c>
      <c r="Q286" s="1698">
        <f>+IF(COLUMNS($L286:Q286)&lt;month,VLOOKUP("Month "&amp;(COLUMNS($L286:Q286)-month+13),P_After_Tx,25,FALSE)*52*3/12*(1-hhdmiss),VLOOKUP("Month "&amp;(COLUMNS($L286:Q286)-month+1),P_After_Tx,27,FALSE)*52*3/12*(1-hhdmiss))</f>
        <v>65</v>
      </c>
      <c r="R286" s="1698">
        <f>+IF(COLUMNS($L286:R286)&lt;month,VLOOKUP("Month "&amp;(COLUMNS($L286:R286)-month+13),P_After_Tx,25,FALSE)*52*3/12*(1-hhdmiss),VLOOKUP("Month "&amp;(COLUMNS($L286:R286)-month+1),P_After_Tx,27,FALSE)*52*3/12*(1-hhdmiss))</f>
        <v>65</v>
      </c>
      <c r="S286" s="1698">
        <f>+IF(COLUMNS($L286:S286)&lt;month,VLOOKUP("Month "&amp;(COLUMNS($L286:S286)-month+13),P_After_Tx,25,FALSE)*52*3/12*(1-hhdmiss),VLOOKUP("Month "&amp;(COLUMNS($L286:S286)-month+1),P_After_Tx,27,FALSE)*52*3/12*(1-hhdmiss))</f>
        <v>65</v>
      </c>
      <c r="T286" s="1698">
        <f>+IF(COLUMNS($L286:T286)&lt;month,VLOOKUP("Month "&amp;(COLUMNS($L286:T286)-month+13),P_After_Tx,25,FALSE)*52*3/12*(1-hhdmiss),VLOOKUP("Month "&amp;(COLUMNS($L286:T286)-month+1),P_After_Tx,27,FALSE)*52*3/12*(1-hhdmiss))</f>
        <v>65</v>
      </c>
      <c r="U286" s="1698">
        <f>+IF(COLUMNS($L286:U286)&lt;month,VLOOKUP("Month "&amp;(COLUMNS($L286:U286)-month+13),P_After_Tx,25,FALSE)*52*3/12*(1-hhdmiss),VLOOKUP("Month "&amp;(COLUMNS($L286:U286)-month+1),P_After_Tx,27,FALSE)*52*3/12*(1-hhdmiss))</f>
        <v>65</v>
      </c>
      <c r="V286" s="1699">
        <f>+IF(COLUMNS($L286:V286)&lt;month,VLOOKUP("Month "&amp;(COLUMNS($L286:V286)-month+13),P_After_Tx,25,FALSE)*52*3/12*(1-hhdmiss),VLOOKUP("Month "&amp;(COLUMNS($L286:V286)-month+1),P_After_Tx,27,FALSE)*52*3/12*(1-hhdmiss))</f>
        <v>65</v>
      </c>
      <c r="W286" s="1698">
        <f>+IF(COLUMNS($L286:W286)&lt;month,VLOOKUP("Month "&amp;(COLUMNS($L286:W286)-month+13),P_After_Tx,25,FALSE)*52*3/12*(1-hhdmiss),VLOOKUP("Month "&amp;(COLUMNS($L286:W286)-month+1),P_After_Tx,27,FALSE)*52*3/12*(1-hhdmiss))</f>
        <v>65</v>
      </c>
      <c r="Y286" s="99"/>
    </row>
    <row r="287" spans="1:26">
      <c r="A287" s="101" t="s">
        <v>464</v>
      </c>
      <c r="B287" s="4"/>
      <c r="C287" s="4"/>
      <c r="D287" s="4"/>
      <c r="E287" s="4"/>
      <c r="F287" s="4"/>
      <c r="G287" s="4"/>
      <c r="H287" s="4"/>
      <c r="I287" s="4"/>
      <c r="J287" s="4"/>
      <c r="K287" s="4"/>
      <c r="L287" s="1698">
        <f>+IF(COLUMNS($L287:L287)&lt;month,VLOOKUP("Month "&amp;(COLUMNS($L287:L287)-month+13),P_After_Tx,26,FALSE)*52*4.3/12*(1-hhdmiss),VLOOKUP("Month "&amp;(COLUMNS($L287:L287)-month+1),P_After_Tx,28,FALSE)*52*4.3/12*(1-hhdmiss))</f>
        <v>0</v>
      </c>
      <c r="M287" s="1698">
        <f>+IF(COLUMNS($L287:M287)&lt;month,VLOOKUP("Month "&amp;(COLUMNS($L287:M287)-month+13),P_After_Tx,26,FALSE)*52*4.3/12*(1-hhdmiss),VLOOKUP("Month "&amp;(COLUMNS($L287:M287)-month+1),P_After_Tx,28,FALSE)*52*4.3/12*(1-hhdmiss))</f>
        <v>0</v>
      </c>
      <c r="N287" s="1698">
        <f>+IF(COLUMNS($L287:N287)&lt;month,VLOOKUP("Month "&amp;(COLUMNS($L287:N287)-month+13),P_After_Tx,26,FALSE)*52*4.3/12*(1-hhdmiss),VLOOKUP("Month "&amp;(COLUMNS($L287:N287)-month+1),P_After_Tx,28,FALSE)*52*4.3/12*(1-hhdmiss))</f>
        <v>0</v>
      </c>
      <c r="O287" s="1698">
        <f>+IF(COLUMNS($L287:O287)&lt;month,VLOOKUP("Month "&amp;(COLUMNS($L287:O287)-month+13),P_After_Tx,26,FALSE)*52*4.3/12*(1-hhdmiss),VLOOKUP("Month "&amp;(COLUMNS($L287:O287)-month+1),P_After_Tx,28,FALSE)*52*4.3/12*(1-hhdmiss))</f>
        <v>0</v>
      </c>
      <c r="P287" s="1698">
        <f>+IF(COLUMNS($L287:P287)&lt;month,VLOOKUP("Month "&amp;(COLUMNS($L287:P287)-month+13),P_After_Tx,26,FALSE)*52*4.3/12*(1-hhdmiss),VLOOKUP("Month "&amp;(COLUMNS($L287:P287)-month+1),P_After_Tx,28,FALSE)*52*4.3/12*(1-hhdmiss))</f>
        <v>0</v>
      </c>
      <c r="Q287" s="1698">
        <f>+IF(COLUMNS($L287:Q287)&lt;month,VLOOKUP("Month "&amp;(COLUMNS($L287:Q287)-month+13),P_After_Tx,26,FALSE)*52*4.3/12*(1-hhdmiss),VLOOKUP("Month "&amp;(COLUMNS($L287:Q287)-month+1),P_After_Tx,28,FALSE)*52*4.3/12*(1-hhdmiss))</f>
        <v>0</v>
      </c>
      <c r="R287" s="1698">
        <f>+IF(COLUMNS($L287:R287)&lt;month,VLOOKUP("Month "&amp;(COLUMNS($L287:R287)-month+13),P_After_Tx,26,FALSE)*52*4.3/12*(1-hhdmiss),VLOOKUP("Month "&amp;(COLUMNS($L287:R287)-month+1),P_After_Tx,28,FALSE)*52*4.3/12*(1-hhdmiss))</f>
        <v>0</v>
      </c>
      <c r="S287" s="1698">
        <f>+IF(COLUMNS($L287:S287)&lt;month,VLOOKUP("Month "&amp;(COLUMNS($L287:S287)-month+13),P_After_Tx,26,FALSE)*52*4.3/12*(1-hhdmiss),VLOOKUP("Month "&amp;(COLUMNS($L287:S287)-month+1),P_After_Tx,28,FALSE)*52*4.3/12*(1-hhdmiss))</f>
        <v>0</v>
      </c>
      <c r="T287" s="1698">
        <f>+IF(COLUMNS($L287:T287)&lt;month,VLOOKUP("Month "&amp;(COLUMNS($L287:T287)-month+13),P_After_Tx,26,FALSE)*52*4.3/12*(1-hhdmiss),VLOOKUP("Month "&amp;(COLUMNS($L287:T287)-month+1),P_After_Tx,28,FALSE)*52*4.3/12*(1-hhdmiss))</f>
        <v>0</v>
      </c>
      <c r="U287" s="1698">
        <f>+IF(COLUMNS($L287:U287)&lt;month,VLOOKUP("Month "&amp;(COLUMNS($L287:U287)-month+13),P_After_Tx,26,FALSE)*52*4.3/12*(1-hhdmiss),VLOOKUP("Month "&amp;(COLUMNS($L287:U287)-month+1),P_After_Tx,28,FALSE)*52*4.3/12*(1-hhdmiss))</f>
        <v>0</v>
      </c>
      <c r="V287" s="1698">
        <f>+IF(COLUMNS($L287:V287)&lt;month,VLOOKUP("Month "&amp;(COLUMNS($L287:V287)-month+13),P_After_Tx,26,FALSE)*52*4.3/12*(1-hhdmiss),VLOOKUP("Month "&amp;(COLUMNS($L287:V287)-month+1),P_After_Tx,28,FALSE)*52*4.3/12*(1-hhdmiss))</f>
        <v>0</v>
      </c>
      <c r="W287" s="1698">
        <f>+IF(COLUMNS($L287:W287)&lt;month,VLOOKUP("Month "&amp;(COLUMNS($L287:W287)-month+13),P_After_Tx,26,FALSE)*52*4.3/12*(1-hhdmiss),VLOOKUP("Month "&amp;(COLUMNS($L287:W287)-month+1),P_After_Tx,28,FALSE)*52*4.3/12*(1-hhdmiss))</f>
        <v>0</v>
      </c>
      <c r="Y287" s="99"/>
    </row>
    <row r="288" spans="1:26">
      <c r="A288" s="98" t="s">
        <v>163</v>
      </c>
      <c r="B288" t="str">
        <f>+$B$243</f>
        <v>P10_11032_00494</v>
      </c>
      <c r="C288" t="str">
        <f>+$C$243</f>
        <v>LE_XXXX</v>
      </c>
      <c r="D288" t="s">
        <v>2886</v>
      </c>
      <c r="E288">
        <v>3010</v>
      </c>
      <c r="F288" t="s">
        <v>2888</v>
      </c>
      <c r="G288" t="s">
        <v>2889</v>
      </c>
      <c r="H288" t="s">
        <v>145</v>
      </c>
      <c r="I288" t="s">
        <v>146</v>
      </c>
      <c r="J288" t="s">
        <v>147</v>
      </c>
      <c r="K288" t="str">
        <f>+"FY"&amp;RIGHT(YEAR('Hyperion Panel'!$B$9)+1,2)</f>
        <v>FY11</v>
      </c>
      <c r="L288" s="1612"/>
      <c r="M288" s="1612"/>
      <c r="N288" s="1612"/>
      <c r="O288" s="1612"/>
      <c r="P288" s="1612"/>
      <c r="Q288" s="1612"/>
      <c r="R288" s="1612"/>
      <c r="S288" s="1612"/>
      <c r="T288" s="1612"/>
      <c r="U288" s="1612"/>
      <c r="V288" s="1702"/>
      <c r="W288" s="1612"/>
    </row>
    <row r="289" spans="1:26" s="98" customFormat="1">
      <c r="A289" s="100" t="s">
        <v>463</v>
      </c>
      <c r="L289" s="1697">
        <f>+IF(COLUMNS($L289:L289)&lt;month,'2.1 Reimburse'!$H$14*L280,'2.1 Reimburse'!$I$14*L280)</f>
        <v>148639.78177988299</v>
      </c>
      <c r="M289" s="1697">
        <f>+IF(COLUMNS($L289:M289)&lt;month,'2.1 Reimburse'!$H$14*M280,'2.1 Reimburse'!$I$14*M280)</f>
        <v>148639.78177988299</v>
      </c>
      <c r="N289" s="1697">
        <f>+IF(COLUMNS($L289:N289)&lt;month,'2.1 Reimburse'!$H$14*N280,'2.1 Reimburse'!$I$14*N280)</f>
        <v>148639.78177988299</v>
      </c>
      <c r="O289" s="1697">
        <f>+IF(COLUMNS($L289:O289)&lt;month,'2.1 Reimburse'!$H$14*O280,'2.1 Reimburse'!$I$14*O280)</f>
        <v>148639.78177988299</v>
      </c>
      <c r="P289" s="1697">
        <f>+IF(COLUMNS($L289:P289)&lt;month,'2.1 Reimburse'!$H$14*P280,'2.1 Reimburse'!$I$14*P280)</f>
        <v>148639.78177988299</v>
      </c>
      <c r="Q289" s="1697">
        <f>+IF(COLUMNS($L289:Q289)&lt;month,'2.1 Reimburse'!$H$14*Q280,'2.1 Reimburse'!$I$14*Q280)</f>
        <v>148639.78177988299</v>
      </c>
      <c r="R289" s="1697">
        <f>+IF(COLUMNS($L289:R289)&lt;month,'2.1 Reimburse'!$H$14*R280,'2.1 Reimburse'!$I$14*R280)</f>
        <v>148639.78177988299</v>
      </c>
      <c r="S289" s="1697">
        <f>+IF(COLUMNS($L289:S289)&lt;month,'2.1 Reimburse'!$H$14*S280,'2.1 Reimburse'!$I$14*S280)</f>
        <v>148639.78177988299</v>
      </c>
      <c r="T289" s="1697">
        <f>+IF(COLUMNS($L289:T289)&lt;month,'2.1 Reimburse'!$H$14*T280,'2.1 Reimburse'!$I$14*T280)</f>
        <v>148639.78177988299</v>
      </c>
      <c r="U289" s="1697">
        <f>+IF(COLUMNS($L289:U289)&lt;month,'2.1 Reimburse'!$H$14*U280,'2.1 Reimburse'!$I$14*U280)</f>
        <v>148639.78177988299</v>
      </c>
      <c r="V289" s="1697">
        <f>+IF(COLUMNS($L289:V289)&lt;month,'2.1 Reimburse'!$H$14*V280,'2.1 Reimburse'!$I$14*V280)</f>
        <v>148268.1823254333</v>
      </c>
      <c r="W289" s="1697">
        <f>+IF(COLUMNS($L289:W289)&lt;month,'2.1 Reimburse'!$H$14*W280,'2.1 Reimburse'!$I$14*W280)</f>
        <v>148268.1823254333</v>
      </c>
      <c r="Y289" s="99" t="s">
        <v>725</v>
      </c>
      <c r="Z289" s="45" t="s">
        <v>1561</v>
      </c>
    </row>
    <row r="290" spans="1:26" s="98" customFormat="1">
      <c r="A290" s="100" t="s">
        <v>464</v>
      </c>
      <c r="L290" s="1697">
        <f>+IF(COLUMNS($L290:L290)&lt;month,'2.1 Reimburse'!$H$21*L281,'2.1 Reimburse'!$I$21*L281)</f>
        <v>24314.125545558796</v>
      </c>
      <c r="M290" s="1697">
        <f>+IF(COLUMNS($L290:M290)&lt;month,'2.1 Reimburse'!$H$21*M281,'2.1 Reimburse'!$I$21*M281)</f>
        <v>24314.125545558796</v>
      </c>
      <c r="N290" s="1697">
        <f>+IF(COLUMNS($L290:N290)&lt;month,'2.1 Reimburse'!$H$21*N281,'2.1 Reimburse'!$I$21*N281)</f>
        <v>24314.125545558796</v>
      </c>
      <c r="O290" s="1697">
        <f>+IF(COLUMNS($L290:O290)&lt;month,'2.1 Reimburse'!$H$21*O281,'2.1 Reimburse'!$I$21*O281)</f>
        <v>24314.125545558796</v>
      </c>
      <c r="P290" s="1697">
        <f>+IF(COLUMNS($L290:P290)&lt;month,'2.1 Reimburse'!$H$21*P281,'2.1 Reimburse'!$I$21*P281)</f>
        <v>24314.125545558796</v>
      </c>
      <c r="Q290" s="1697">
        <f>+IF(COLUMNS($L290:Q290)&lt;month,'2.1 Reimburse'!$H$21*Q281,'2.1 Reimburse'!$I$21*Q281)</f>
        <v>24314.125545558796</v>
      </c>
      <c r="R290" s="1697">
        <f>+IF(COLUMNS($L290:R290)&lt;month,'2.1 Reimburse'!$H$21*R281,'2.1 Reimburse'!$I$21*R281)</f>
        <v>24314.125545558796</v>
      </c>
      <c r="S290" s="1697">
        <f>+IF(COLUMNS($L290:S290)&lt;month,'2.1 Reimburse'!$H$21*S281,'2.1 Reimburse'!$I$21*S281)</f>
        <v>24314.125545558796</v>
      </c>
      <c r="T290" s="1697">
        <f>+IF(COLUMNS($L290:T290)&lt;month,'2.1 Reimburse'!$H$21*T281,'2.1 Reimburse'!$I$21*T281)</f>
        <v>24314.125545558796</v>
      </c>
      <c r="U290" s="1697">
        <f>+IF(COLUMNS($L290:U290)&lt;month,'2.1 Reimburse'!$H$21*U281,'2.1 Reimburse'!$I$21*U281)</f>
        <v>24314.125545558796</v>
      </c>
      <c r="V290" s="1697">
        <f>+IF(COLUMNS($L290:V290)&lt;month,'2.1 Reimburse'!$H$21*V281,'2.1 Reimburse'!$I$21*V281)</f>
        <v>24873.350433106643</v>
      </c>
      <c r="W290" s="1697">
        <f>+IF(COLUMNS($L290:W290)&lt;month,'2.1 Reimburse'!$H$21*W281,'2.1 Reimburse'!$I$21*W281)</f>
        <v>24873.350433106643</v>
      </c>
      <c r="Y290" s="99" t="s">
        <v>725</v>
      </c>
      <c r="Z290" s="1709" t="str">
        <f>Z289</f>
        <v>Yr1 - Yr2</v>
      </c>
    </row>
    <row r="291" spans="1:26">
      <c r="A291" s="98" t="s">
        <v>164</v>
      </c>
      <c r="B291" t="str">
        <f>+$B$243</f>
        <v>P10_11032_00494</v>
      </c>
      <c r="C291" t="str">
        <f>+$C$243</f>
        <v>LE_XXXX</v>
      </c>
      <c r="D291" t="s">
        <v>2886</v>
      </c>
      <c r="E291">
        <v>3030</v>
      </c>
      <c r="F291" t="s">
        <v>150</v>
      </c>
      <c r="G291" t="s">
        <v>2889</v>
      </c>
      <c r="H291" t="s">
        <v>145</v>
      </c>
      <c r="I291" t="s">
        <v>146</v>
      </c>
      <c r="J291" t="s">
        <v>147</v>
      </c>
      <c r="K291" t="str">
        <f>+"FY"&amp;RIGHT(YEAR('Hyperion Panel'!$B$9)+1,2)</f>
        <v>FY11</v>
      </c>
      <c r="L291" s="1612"/>
      <c r="M291" s="1612"/>
      <c r="N291" s="1612"/>
      <c r="O291" s="1612"/>
      <c r="P291" s="1612"/>
      <c r="Q291" s="1612"/>
      <c r="R291" s="1612"/>
      <c r="S291" s="1612"/>
      <c r="T291" s="1612"/>
      <c r="U291" s="1612"/>
      <c r="V291" s="1961"/>
      <c r="W291" s="1612"/>
      <c r="Z291" s="45"/>
    </row>
    <row r="292" spans="1:26" s="98" customFormat="1">
      <c r="A292" s="100" t="s">
        <v>463</v>
      </c>
      <c r="L292" s="1697">
        <f>+IF(COLUMNS($L292:L292)&lt;month,'2.1 Reimburse'!$H$23*L283,'2.1 Reimburse'!$I$23*L283)</f>
        <v>43598.788883279769</v>
      </c>
      <c r="M292" s="1697">
        <f>+IF(COLUMNS($L292:M292)&lt;month,'2.1 Reimburse'!$H$23*M283,'2.1 Reimburse'!$I$23*M283)</f>
        <v>43598.788883279769</v>
      </c>
      <c r="N292" s="1697">
        <f>+IF(COLUMNS($L292:N292)&lt;month,'2.1 Reimburse'!$H$23*N283,'2.1 Reimburse'!$I$23*N283)</f>
        <v>43598.788883279769</v>
      </c>
      <c r="O292" s="1697">
        <f>+IF(COLUMNS($L292:O292)&lt;month,'2.1 Reimburse'!$H$23*O283,'2.1 Reimburse'!$I$23*O283)</f>
        <v>43598.788883279769</v>
      </c>
      <c r="P292" s="1697">
        <f>+IF(COLUMNS($L292:P292)&lt;month,'2.1 Reimburse'!$H$23*P283,'2.1 Reimburse'!$I$23*P283)</f>
        <v>43598.788883279769</v>
      </c>
      <c r="Q292" s="1697">
        <f>+IF(COLUMNS($L292:Q292)&lt;month,'2.1 Reimburse'!$H$23*Q283,'2.1 Reimburse'!$I$23*Q283)</f>
        <v>43598.788883279769</v>
      </c>
      <c r="R292" s="1697">
        <f>+IF(COLUMNS($L292:R292)&lt;month,'2.1 Reimburse'!$H$23*R283,'2.1 Reimburse'!$I$23*R283)</f>
        <v>43598.788883279769</v>
      </c>
      <c r="S292" s="1697">
        <f>+IF(COLUMNS($L292:S292)&lt;month,'2.1 Reimburse'!$H$23*S283,'2.1 Reimburse'!$I$23*S283)</f>
        <v>43598.788883279769</v>
      </c>
      <c r="T292" s="1697">
        <f>+IF(COLUMNS($L292:T292)&lt;month,'2.1 Reimburse'!$H$23*T283,'2.1 Reimburse'!$I$23*T283)</f>
        <v>43598.788883279769</v>
      </c>
      <c r="U292" s="1697">
        <f>+IF(COLUMNS($L292:U292)&lt;month,'2.1 Reimburse'!$H$23*U283,'2.1 Reimburse'!$I$23*U283)</f>
        <v>43598.788883279769</v>
      </c>
      <c r="V292" s="1697">
        <f>+IF(COLUMNS($L292:V292)&lt;month,'2.1 Reimburse'!$H$23*V283,'2.1 Reimburse'!$I$23*V283)</f>
        <v>43489.791911071581</v>
      </c>
      <c r="W292" s="1697">
        <f>+IF(COLUMNS($L292:W292)&lt;month,'2.1 Reimburse'!$H$23*W283,'2.1 Reimburse'!$I$23*W283)</f>
        <v>43489.791911071581</v>
      </c>
      <c r="Y292" s="99" t="s">
        <v>725</v>
      </c>
      <c r="Z292" s="45" t="str">
        <f>Z289</f>
        <v>Yr1 - Yr2</v>
      </c>
    </row>
    <row r="293" spans="1:26" s="98" customFormat="1">
      <c r="A293" s="100" t="s">
        <v>464</v>
      </c>
      <c r="L293" s="1697">
        <f>+IF(COLUMNS($L293:L293)&lt;month,'2.1 Reimburse'!$H$30*L284,'2.1 Reimburse'!$I$30*L284)</f>
        <v>75320.932396568009</v>
      </c>
      <c r="M293" s="1697">
        <f>+IF(COLUMNS($L293:M293)&lt;month,'2.1 Reimburse'!$H$30*M284,'2.1 Reimburse'!$I$30*M284)</f>
        <v>75320.932396568009</v>
      </c>
      <c r="N293" s="1697">
        <f>+IF(COLUMNS($L293:N293)&lt;month,'2.1 Reimburse'!$H$30*N284,'2.1 Reimburse'!$I$30*N284)</f>
        <v>75320.932396568009</v>
      </c>
      <c r="O293" s="1697">
        <f>+IF(COLUMNS($L293:O293)&lt;month,'2.1 Reimburse'!$H$30*O284,'2.1 Reimburse'!$I$30*O284)</f>
        <v>75320.932396568009</v>
      </c>
      <c r="P293" s="1697">
        <f>+IF(COLUMNS($L293:P293)&lt;month,'2.1 Reimburse'!$H$30*P284,'2.1 Reimburse'!$I$30*P284)</f>
        <v>75320.932396568009</v>
      </c>
      <c r="Q293" s="1697">
        <f>+IF(COLUMNS($L293:Q293)&lt;month,'2.1 Reimburse'!$H$30*Q284,'2.1 Reimburse'!$I$30*Q284)</f>
        <v>75320.932396568009</v>
      </c>
      <c r="R293" s="1697">
        <f>+IF(COLUMNS($L293:R293)&lt;month,'2.1 Reimburse'!$H$30*R284,'2.1 Reimburse'!$I$30*R284)</f>
        <v>75320.932396568009</v>
      </c>
      <c r="S293" s="1697">
        <f>+IF(COLUMNS($L293:S293)&lt;month,'2.1 Reimburse'!$H$30*S284,'2.1 Reimburse'!$I$30*S284)</f>
        <v>75320.932396568009</v>
      </c>
      <c r="T293" s="1697">
        <f>+IF(COLUMNS($L293:T293)&lt;month,'2.1 Reimburse'!$H$30*T284,'2.1 Reimburse'!$I$30*T284)</f>
        <v>75320.932396568009</v>
      </c>
      <c r="U293" s="1697">
        <f>+IF(COLUMNS($L293:U293)&lt;month,'2.1 Reimburse'!$H$30*U284,'2.1 Reimburse'!$I$30*U284)</f>
        <v>75320.932396568009</v>
      </c>
      <c r="V293" s="1697">
        <f>+IF(COLUMNS($L293:V293)&lt;month,'2.1 Reimburse'!$H$30*V284,'2.1 Reimburse'!$I$30*V284)</f>
        <v>77053.313841689058</v>
      </c>
      <c r="W293" s="1697">
        <f>+IF(COLUMNS($L293:W293)&lt;month,'2.1 Reimburse'!$H$30*W284,'2.1 Reimburse'!$I$30*W284)</f>
        <v>77053.313841689058</v>
      </c>
      <c r="Y293" s="99" t="s">
        <v>725</v>
      </c>
      <c r="Z293" s="45" t="str">
        <f>Z289</f>
        <v>Yr1 - Yr2</v>
      </c>
    </row>
    <row r="294" spans="1:26">
      <c r="A294" s="4" t="s">
        <v>3768</v>
      </c>
      <c r="B294" s="4" t="str">
        <f>+$B$243</f>
        <v>P10_11032_00494</v>
      </c>
      <c r="C294" s="4"/>
      <c r="D294" s="4"/>
      <c r="E294" s="4"/>
      <c r="F294" s="4"/>
      <c r="G294" s="4"/>
      <c r="H294" s="4"/>
      <c r="I294" s="4"/>
      <c r="J294" s="4"/>
      <c r="K294" s="4" t="str">
        <f>+"FY"&amp;RIGHT(YEAR('Hyperion Panel'!$B$9)+1,2)</f>
        <v>FY11</v>
      </c>
      <c r="L294" s="1698"/>
      <c r="M294" s="1698"/>
      <c r="N294" s="1698"/>
      <c r="O294" s="1698"/>
      <c r="P294" s="1698"/>
      <c r="Q294" s="1698"/>
      <c r="R294" s="1698"/>
      <c r="S294" s="1698"/>
      <c r="T294" s="1698"/>
      <c r="U294" s="1698"/>
      <c r="V294" s="1962"/>
      <c r="W294" s="1698"/>
      <c r="Z294" s="45"/>
    </row>
    <row r="295" spans="1:26">
      <c r="A295" s="101" t="s">
        <v>463</v>
      </c>
      <c r="B295" s="4"/>
      <c r="C295" s="4"/>
      <c r="D295" s="4"/>
      <c r="E295" s="4"/>
      <c r="F295" s="4"/>
      <c r="G295" s="4"/>
      <c r="H295" s="4"/>
      <c r="I295" s="4"/>
      <c r="J295" s="4"/>
      <c r="K295" s="4"/>
      <c r="L295" s="1698">
        <f>+IF(COLUMNS($L295:L295)&lt;month,'2.1 Reimburse'!$H$32*L286,'2.1 Reimburse'!$I$32*L286)</f>
        <v>16927.071343873515</v>
      </c>
      <c r="M295" s="1698">
        <f>+IF(COLUMNS($L295:M295)&lt;month,'2.1 Reimburse'!$H$32*M286,'2.1 Reimburse'!$I$32*M286)</f>
        <v>16927.071343873515</v>
      </c>
      <c r="N295" s="1698">
        <f>+IF(COLUMNS($L295:N295)&lt;month,'2.1 Reimburse'!$H$32*N286,'2.1 Reimburse'!$I$32*N286)</f>
        <v>16927.071343873515</v>
      </c>
      <c r="O295" s="1698">
        <f>+IF(COLUMNS($L295:O295)&lt;month,'2.1 Reimburse'!$H$32*O286,'2.1 Reimburse'!$I$32*O286)</f>
        <v>16927.071343873515</v>
      </c>
      <c r="P295" s="1698">
        <f>+IF(COLUMNS($L295:P295)&lt;month,'2.1 Reimburse'!$H$32*P286,'2.1 Reimburse'!$I$32*P286)</f>
        <v>16927.071343873515</v>
      </c>
      <c r="Q295" s="1698">
        <f>+IF(COLUMNS($L295:Q295)&lt;month,'2.1 Reimburse'!$H$32*Q286,'2.1 Reimburse'!$I$32*Q286)</f>
        <v>16927.071343873515</v>
      </c>
      <c r="R295" s="1698">
        <f>+IF(COLUMNS($L295:R295)&lt;month,'2.1 Reimburse'!$H$32*R286,'2.1 Reimburse'!$I$32*R286)</f>
        <v>16927.071343873515</v>
      </c>
      <c r="S295" s="1698">
        <f>+IF(COLUMNS($L295:S295)&lt;month,'2.1 Reimburse'!$H$32*S286,'2.1 Reimburse'!$I$32*S286)</f>
        <v>16927.071343873515</v>
      </c>
      <c r="T295" s="1698">
        <f>+IF(COLUMNS($L295:T295)&lt;month,'2.1 Reimburse'!$H$32*T286,'2.1 Reimburse'!$I$32*T286)</f>
        <v>16927.071343873515</v>
      </c>
      <c r="U295" s="1698">
        <f>+IF(COLUMNS($L295:U295)&lt;month,'2.1 Reimburse'!$H$32*U286,'2.1 Reimburse'!$I$32*U286)</f>
        <v>16927.071343873515</v>
      </c>
      <c r="V295" s="1698">
        <f>+IF(COLUMNS($L295:V295)&lt;month,'2.1 Reimburse'!$H$32*V286,'2.1 Reimburse'!$I$32*V286)</f>
        <v>16884.753665513832</v>
      </c>
      <c r="W295" s="1698">
        <f>+IF(COLUMNS($L295:W295)&lt;month,'2.1 Reimburse'!$H$32*W286,'2.1 Reimburse'!$I$32*W286)</f>
        <v>16884.753665513832</v>
      </c>
      <c r="Y295" s="99" t="s">
        <v>725</v>
      </c>
      <c r="Z295" s="45" t="str">
        <f>Z289</f>
        <v>Yr1 - Yr2</v>
      </c>
    </row>
    <row r="296" spans="1:26">
      <c r="A296" s="101" t="s">
        <v>464</v>
      </c>
      <c r="B296" s="4"/>
      <c r="C296" s="4"/>
      <c r="D296" s="4"/>
      <c r="E296" s="4"/>
      <c r="F296" s="4"/>
      <c r="G296" s="4"/>
      <c r="H296" s="4"/>
      <c r="I296" s="4"/>
      <c r="J296" s="4"/>
      <c r="K296" s="4"/>
      <c r="L296" s="1698">
        <f>+IF(COLUMNS($L296:L296)&lt;month,'2.1 Reimburse'!$H$39*L287,'2.1 Reimburse'!$I$39*L287)</f>
        <v>0</v>
      </c>
      <c r="M296" s="1698">
        <f>+IF(COLUMNS($L296:M296)&lt;month,'2.1 Reimburse'!$H$39*M287,'2.1 Reimburse'!$I$39*M287)</f>
        <v>0</v>
      </c>
      <c r="N296" s="1698">
        <f>+IF(COLUMNS($L296:N296)&lt;month,'2.1 Reimburse'!$H$39*N287,'2.1 Reimburse'!$I$39*N287)</f>
        <v>0</v>
      </c>
      <c r="O296" s="1698">
        <f>+IF(COLUMNS($L296:O296)&lt;month,'2.1 Reimburse'!$H$39*O287,'2.1 Reimburse'!$I$39*O287)</f>
        <v>0</v>
      </c>
      <c r="P296" s="1698">
        <f>+IF(COLUMNS($L296:P296)&lt;month,'2.1 Reimburse'!$H$39*P287,'2.1 Reimburse'!$I$39*P287)</f>
        <v>0</v>
      </c>
      <c r="Q296" s="1698">
        <f>+IF(COLUMNS($L296:Q296)&lt;month,'2.1 Reimburse'!$H$39*Q287,'2.1 Reimburse'!$I$39*Q287)</f>
        <v>0</v>
      </c>
      <c r="R296" s="1698">
        <f>+IF(COLUMNS($L296:R296)&lt;month,'2.1 Reimburse'!$H$39*R287,'2.1 Reimburse'!$I$39*R287)</f>
        <v>0</v>
      </c>
      <c r="S296" s="1698">
        <f>+IF(COLUMNS($L296:S296)&lt;month,'2.1 Reimburse'!$H$39*S287,'2.1 Reimburse'!$I$39*S287)</f>
        <v>0</v>
      </c>
      <c r="T296" s="1698">
        <f>+IF(COLUMNS($L296:T296)&lt;month,'2.1 Reimburse'!$H$39*T287,'2.1 Reimburse'!$I$39*T287)</f>
        <v>0</v>
      </c>
      <c r="U296" s="1698">
        <f>+IF(COLUMNS($L296:U296)&lt;month,'2.1 Reimburse'!$H$39*U287,'2.1 Reimburse'!$I$39*U287)</f>
        <v>0</v>
      </c>
      <c r="V296" s="1698">
        <f>+IF(COLUMNS($L296:V296)&lt;month,'2.1 Reimburse'!$H$39*V287,'2.1 Reimburse'!$I$39*V287)</f>
        <v>0</v>
      </c>
      <c r="W296" s="1698">
        <f>+IF(COLUMNS($L296:W296)&lt;month,'2.1 Reimburse'!$H$39*W287,'2.1 Reimburse'!$I$39*W287)</f>
        <v>0</v>
      </c>
      <c r="Y296" s="99" t="s">
        <v>725</v>
      </c>
      <c r="Z296" s="45" t="str">
        <f>Z289</f>
        <v>Yr1 - Yr2</v>
      </c>
    </row>
    <row r="297" spans="1:26">
      <c r="A297" s="3" t="s">
        <v>2651</v>
      </c>
      <c r="B297" t="str">
        <f t="shared" ref="B297:B313" si="14">+$B$243</f>
        <v>P10_11032_00494</v>
      </c>
      <c r="C297" t="str">
        <f t="shared" ref="C297:C306" si="15">+$C$243</f>
        <v>LE_XXXX</v>
      </c>
      <c r="D297" t="s">
        <v>2886</v>
      </c>
      <c r="E297">
        <v>6010</v>
      </c>
      <c r="F297" t="s">
        <v>2888</v>
      </c>
      <c r="G297" t="s">
        <v>153</v>
      </c>
      <c r="H297" t="s">
        <v>154</v>
      </c>
      <c r="I297" t="s">
        <v>146</v>
      </c>
      <c r="J297" t="s">
        <v>147</v>
      </c>
      <c r="K297" t="str">
        <f>+"FY"&amp;RIGHT(YEAR('Hyperion Panel'!$B$9)+1,2)</f>
        <v>FY11</v>
      </c>
      <c r="L297" s="1697">
        <f>+IF(COLUMNS($L297:L297)&lt;month,'6. Market'!$AL$107*SUM(L280:L281,L283:L284,L286:L287),'6. Market'!$AM$107*SUM(L280:L281,L283:L284,L286:L287))</f>
        <v>38699.784812132857</v>
      </c>
      <c r="M297" s="1697">
        <f>+IF(COLUMNS($L297:M297)&lt;month,'6. Market'!$AL$107*SUM(M280:M281,M283:M284,M286:M287),'6. Market'!$AM$107*SUM(M280:M281,M283:M284,M286:M287))</f>
        <v>38699.784812132857</v>
      </c>
      <c r="N297" s="1697">
        <f>+IF(COLUMNS($L297:N297)&lt;month,'6. Market'!$AL$107*SUM(N280:N281,N283:N284,N286:N287),'6. Market'!$AM$107*SUM(N280:N281,N283:N284,N286:N287))</f>
        <v>38699.784812132857</v>
      </c>
      <c r="O297" s="1697">
        <f>+IF(COLUMNS($L297:O297)&lt;month,'6. Market'!$AL$107*SUM(O280:O281,O283:O284,O286:O287),'6. Market'!$AM$107*SUM(O280:O281,O283:O284,O286:O287))</f>
        <v>38699.784812132857</v>
      </c>
      <c r="P297" s="1697">
        <f>+IF(COLUMNS($L297:P297)&lt;month,'6. Market'!$AL$107*SUM(P280:P281,P283:P284,P286:P287),'6. Market'!$AM$107*SUM(P280:P281,P283:P284,P286:P287))</f>
        <v>38699.784812132857</v>
      </c>
      <c r="Q297" s="1697">
        <f>+IF(COLUMNS($L297:Q297)&lt;month,'6. Market'!$AL$107*SUM(Q280:Q281,Q283:Q284,Q286:Q287),'6. Market'!$AM$107*SUM(Q280:Q281,Q283:Q284,Q286:Q287))</f>
        <v>38699.784812132857</v>
      </c>
      <c r="R297" s="1697">
        <f>+IF(COLUMNS($L297:R297)&lt;month,'6. Market'!$AL$107*SUM(R280:R281,R283:R284,R286:R287),'6. Market'!$AM$107*SUM(R280:R281,R283:R284,R286:R287))</f>
        <v>38699.784812132857</v>
      </c>
      <c r="S297" s="1697">
        <f>+IF(COLUMNS($L297:S297)&lt;month,'6. Market'!$AL$107*SUM(S280:S281,S283:S284,S286:S287),'6. Market'!$AM$107*SUM(S280:S281,S283:S284,S286:S287))</f>
        <v>38699.784812132857</v>
      </c>
      <c r="T297" s="1697">
        <f>+IF(COLUMNS($L297:T297)&lt;month,'6. Market'!$AL$107*SUM(T280:T281,T283:T284,T286:T287),'6. Market'!$AM$107*SUM(T280:T281,T283:T284,T286:T287))</f>
        <v>38699.784812132857</v>
      </c>
      <c r="U297" s="1697">
        <f>+IF(COLUMNS($L297:U297)&lt;month,'6. Market'!$AL$107*SUM(U280:U281,U283:U284,U286:U287),'6. Market'!$AM$107*SUM(U280:U281,U283:U284,U286:U287))</f>
        <v>38699.784812132857</v>
      </c>
      <c r="V297" s="1697">
        <f>+IF(COLUMNS($L297:V297)&lt;month,'6. Market'!$AL$107*SUM(V280:V281,V283:V284,V286:V287),'6. Market'!$AM$107*SUM(V280:V281,V283:V284,V286:V287))</f>
        <v>39860.778356496841</v>
      </c>
      <c r="W297" s="1697">
        <f>+IF(COLUMNS($L297:W297)&lt;month,'6. Market'!$AL$107*SUM(W280:W281,W283:W284,W286:W287),'6. Market'!$AM$107*SUM(W280:W281,W283:W284,W286:W287))</f>
        <v>39860.778356496841</v>
      </c>
    </row>
    <row r="298" spans="1:26">
      <c r="A298" t="s">
        <v>2652</v>
      </c>
      <c r="B298" t="str">
        <f t="shared" si="14"/>
        <v>P10_11032_00494</v>
      </c>
      <c r="C298" t="str">
        <f t="shared" si="15"/>
        <v>LE_XXXX</v>
      </c>
      <c r="D298" t="s">
        <v>2886</v>
      </c>
      <c r="E298">
        <v>6010</v>
      </c>
      <c r="F298" t="s">
        <v>2888</v>
      </c>
      <c r="G298" t="s">
        <v>155</v>
      </c>
      <c r="H298" t="s">
        <v>154</v>
      </c>
      <c r="I298" t="s">
        <v>146</v>
      </c>
      <c r="J298" t="s">
        <v>147</v>
      </c>
      <c r="K298" t="str">
        <f>+"FY"&amp;RIGHT(YEAR('Hyperion Panel'!$B$9)+1,2)</f>
        <v>FY11</v>
      </c>
      <c r="L298" s="1612">
        <f>+IF(COLUMNS($L298:L298)&lt;month,'6. Market'!$AL$74/12,'6. Market'!$AM$74/12)</f>
        <v>14795</v>
      </c>
      <c r="M298" s="1612">
        <f>+IF(COLUMNS($L298:M298)&lt;month,'6. Market'!$AL$74/12,'6. Market'!$AM$74/12)</f>
        <v>14795</v>
      </c>
      <c r="N298" s="1612">
        <f>+IF(COLUMNS($L298:N298)&lt;month,'6. Market'!$AL$74/12,'6. Market'!$AM$74/12)</f>
        <v>14795</v>
      </c>
      <c r="O298" s="1612">
        <f>+IF(COLUMNS($L298:O298)&lt;month,'6. Market'!$AL$74/12,'6. Market'!$AM$74/12)</f>
        <v>14795</v>
      </c>
      <c r="P298" s="1612">
        <f>+IF(COLUMNS($L298:P298)&lt;month,'6. Market'!$AL$74/12,'6. Market'!$AM$74/12)</f>
        <v>14795</v>
      </c>
      <c r="Q298" s="1612">
        <f>+IF(COLUMNS($L298:Q298)&lt;month,'6. Market'!$AL$74/12,'6. Market'!$AM$74/12)</f>
        <v>14795</v>
      </c>
      <c r="R298" s="1612">
        <f>+IF(COLUMNS($L298:R298)&lt;month,'6. Market'!$AL$74/12,'6. Market'!$AM$74/12)</f>
        <v>14795</v>
      </c>
      <c r="S298" s="1612">
        <f>+IF(COLUMNS($L298:S298)&lt;month,'6. Market'!$AL$74/12,'6. Market'!$AM$74/12)</f>
        <v>14795</v>
      </c>
      <c r="T298" s="1612">
        <f>+IF(COLUMNS($L298:T298)&lt;month,'6. Market'!$AL$74/12,'6. Market'!$AM$74/12)</f>
        <v>14795</v>
      </c>
      <c r="U298" s="1612">
        <f>+IF(COLUMNS($L298:U298)&lt;month,'6. Market'!$AL$74/12,'6. Market'!$AM$74/12)</f>
        <v>14795</v>
      </c>
      <c r="V298" s="1612">
        <f>+IF(COLUMNS($L298:V298)&lt;month,'6. Market'!$AL$74/12,'6. Market'!$AM$74/12)</f>
        <v>15238.85</v>
      </c>
      <c r="W298" s="1612">
        <f>+IF(COLUMNS($L298:W298)&lt;month,'6. Market'!$AL$74/12,'6. Market'!$AM$74/12)</f>
        <v>15238.85</v>
      </c>
    </row>
    <row r="299" spans="1:26">
      <c r="A299" t="s">
        <v>2653</v>
      </c>
      <c r="B299" t="str">
        <f t="shared" si="14"/>
        <v>P10_11032_00494</v>
      </c>
      <c r="C299" t="str">
        <f t="shared" si="15"/>
        <v>LE_XXXX</v>
      </c>
      <c r="D299" t="s">
        <v>2886</v>
      </c>
      <c r="E299">
        <v>6051</v>
      </c>
      <c r="F299" t="s">
        <v>2888</v>
      </c>
      <c r="G299" t="s">
        <v>153</v>
      </c>
      <c r="H299" t="s">
        <v>154</v>
      </c>
      <c r="I299" t="s">
        <v>146</v>
      </c>
      <c r="J299" t="s">
        <v>147</v>
      </c>
      <c r="K299" t="str">
        <f>+"FY"&amp;RIGHT(YEAR('Hyperion Panel'!$B$9)+1,2)</f>
        <v>FY11</v>
      </c>
      <c r="L299" s="1612">
        <f>+IF(COLUMNS($L299:L299)&lt;month,'6. Market'!$AL$75/12,'6. Market'!$AM$75/12)</f>
        <v>18890.728391370059</v>
      </c>
      <c r="M299" s="1612">
        <f>+IF(COLUMNS($L299:M299)&lt;month,'6. Market'!$AL$75/12,'6. Market'!$AM$75/12)</f>
        <v>18890.728391370059</v>
      </c>
      <c r="N299" s="1612">
        <f>+IF(COLUMNS($L299:N299)&lt;month,'6. Market'!$AL$75/12,'6. Market'!$AM$75/12)</f>
        <v>18890.728391370059</v>
      </c>
      <c r="O299" s="1612">
        <f>+IF(COLUMNS($L299:O299)&lt;month,'6. Market'!$AL$75/12,'6. Market'!$AM$75/12)</f>
        <v>18890.728391370059</v>
      </c>
      <c r="P299" s="1612">
        <f>+IF(COLUMNS($L299:P299)&lt;month,'6. Market'!$AL$75/12,'6. Market'!$AM$75/12)</f>
        <v>18890.728391370059</v>
      </c>
      <c r="Q299" s="1612">
        <f>+IF(COLUMNS($L299:Q299)&lt;month,'6. Market'!$AL$75/12,'6. Market'!$AM$75/12)</f>
        <v>18890.728391370059</v>
      </c>
      <c r="R299" s="1612">
        <f>+IF(COLUMNS($L299:R299)&lt;month,'6. Market'!$AL$75/12,'6. Market'!$AM$75/12)</f>
        <v>18890.728391370059</v>
      </c>
      <c r="S299" s="1612">
        <f>+IF(COLUMNS($L299:S299)&lt;month,'6. Market'!$AL$75/12,'6. Market'!$AM$75/12)</f>
        <v>18890.728391370059</v>
      </c>
      <c r="T299" s="1612">
        <f>+IF(COLUMNS($L299:T299)&lt;month,'6. Market'!$AL$75/12,'6. Market'!$AM$75/12)</f>
        <v>18890.728391370059</v>
      </c>
      <c r="U299" s="1612">
        <f>+IF(COLUMNS($L299:U299)&lt;month,'6. Market'!$AL$75/12,'6. Market'!$AM$75/12)</f>
        <v>18890.728391370059</v>
      </c>
      <c r="V299" s="1612">
        <f>+IF(COLUMNS($L299:V299)&lt;month,'6. Market'!$AL$75/12,'6. Market'!$AM$75/12)</f>
        <v>19457.450243111161</v>
      </c>
      <c r="W299" s="1612">
        <f>+IF(COLUMNS($L299:W299)&lt;month,'6. Market'!$AL$75/12,'6. Market'!$AM$75/12)</f>
        <v>19457.450243111161</v>
      </c>
    </row>
    <row r="300" spans="1:26">
      <c r="A300" t="s">
        <v>2654</v>
      </c>
      <c r="B300" t="str">
        <f t="shared" si="14"/>
        <v>P10_11032_00494</v>
      </c>
      <c r="C300" t="str">
        <f t="shared" si="15"/>
        <v>LE_XXXX</v>
      </c>
      <c r="D300" t="s">
        <v>2886</v>
      </c>
      <c r="E300">
        <v>6011</v>
      </c>
      <c r="F300" t="s">
        <v>2888</v>
      </c>
      <c r="G300" t="s">
        <v>153</v>
      </c>
      <c r="H300" t="s">
        <v>154</v>
      </c>
      <c r="I300" t="s">
        <v>146</v>
      </c>
      <c r="J300" t="s">
        <v>147</v>
      </c>
      <c r="K300" t="str">
        <f>+"FY"&amp;RIGHT(YEAR('Hyperion Panel'!$B$9)+1,2)</f>
        <v>FY11</v>
      </c>
      <c r="L300" s="1612">
        <f>+IF(COLUMNS($L300:L300)&lt;month,'6. Market'!$AL$76/12,'6. Market'!$AM$76/12)</f>
        <v>0</v>
      </c>
      <c r="M300" s="1612">
        <f>+IF(COLUMNS($L300:M300)&lt;month,'6. Market'!$AL$76/12,'6. Market'!$AM$76/12)</f>
        <v>0</v>
      </c>
      <c r="N300" s="1612">
        <f>+IF(COLUMNS($L300:N300)&lt;month,'6. Market'!$AL$76/12,'6. Market'!$AM$76/12)</f>
        <v>0</v>
      </c>
      <c r="O300" s="1612">
        <f>+IF(COLUMNS($L300:O300)&lt;month,'6. Market'!$AL$76/12,'6. Market'!$AM$76/12)</f>
        <v>0</v>
      </c>
      <c r="P300" s="1612">
        <f>+IF(COLUMNS($L300:P300)&lt;month,'6. Market'!$AL$76/12,'6. Market'!$AM$76/12)</f>
        <v>0</v>
      </c>
      <c r="Q300" s="1612">
        <f>+IF(COLUMNS($L300:Q300)&lt;month,'6. Market'!$AL$76/12,'6. Market'!$AM$76/12)</f>
        <v>0</v>
      </c>
      <c r="R300" s="1612">
        <f>+IF(COLUMNS($L300:R300)&lt;month,'6. Market'!$AL$76/12,'6. Market'!$AM$76/12)</f>
        <v>0</v>
      </c>
      <c r="S300" s="1612">
        <f>+IF(COLUMNS($L300:S300)&lt;month,'6. Market'!$AL$76/12,'6. Market'!$AM$76/12)</f>
        <v>0</v>
      </c>
      <c r="T300" s="1612">
        <f>+IF(COLUMNS($L300:T300)&lt;month,'6. Market'!$AL$76/12,'6. Market'!$AM$76/12)</f>
        <v>0</v>
      </c>
      <c r="U300" s="1612">
        <f>+IF(COLUMNS($L300:U300)&lt;month,'6. Market'!$AL$76/12,'6. Market'!$AM$76/12)</f>
        <v>0</v>
      </c>
      <c r="V300" s="1612">
        <f>+IF(COLUMNS($L300:V300)&lt;month,'6. Market'!$AL$76/12,'6. Market'!$AM$76/12)</f>
        <v>0</v>
      </c>
      <c r="W300" s="1612">
        <f>+IF(COLUMNS($L300:W300)&lt;month,'6. Market'!$AL$76/12,'6. Market'!$AM$76/12)</f>
        <v>0</v>
      </c>
    </row>
    <row r="301" spans="1:26">
      <c r="A301" s="6" t="s">
        <v>3769</v>
      </c>
      <c r="B301" t="str">
        <f t="shared" si="14"/>
        <v>P10_11032_00494</v>
      </c>
      <c r="C301" t="str">
        <f t="shared" si="15"/>
        <v>LE_XXXX</v>
      </c>
      <c r="D301" t="s">
        <v>2886</v>
      </c>
      <c r="E301">
        <v>6600</v>
      </c>
      <c r="F301" t="s">
        <v>2888</v>
      </c>
      <c r="G301" t="s">
        <v>2889</v>
      </c>
      <c r="H301" t="s">
        <v>154</v>
      </c>
      <c r="I301" t="s">
        <v>146</v>
      </c>
      <c r="J301" t="s">
        <v>147</v>
      </c>
      <c r="K301" t="str">
        <f>+"FY"&amp;RIGHT(YEAR('Hyperion Panel'!$B$9)+1,2)</f>
        <v>FY11</v>
      </c>
      <c r="L301" s="1712">
        <f>+IF(COLUMNS($L301:L301)&lt;month,'2.3 Expenses'!$N$47*SUM(L280:L281,L283:L284),'2.3 Expenses'!$O$47*SUM(L280:L281,L283:L284))</f>
        <v>52958.887494461407</v>
      </c>
      <c r="M301" s="1712">
        <f>+IF(COLUMNS($L301:M301)&lt;month,'2.3 Expenses'!$N$47*SUM(M280:M281,M283:M284),'2.3 Expenses'!$O$47*SUM(M280:M281,M283:M284))</f>
        <v>52958.887494461407</v>
      </c>
      <c r="N301" s="1712">
        <f>+IF(COLUMNS($L301:N301)&lt;month,'2.3 Expenses'!$N$47*SUM(N280:N281,N283:N284),'2.3 Expenses'!$O$47*SUM(N280:N281,N283:N284))</f>
        <v>52958.887494461407</v>
      </c>
      <c r="O301" s="1712">
        <f>+IF(COLUMNS($L301:O301)&lt;month,'2.3 Expenses'!$N$47*SUM(O280:O281,O283:O284),'2.3 Expenses'!$O$47*SUM(O280:O281,O283:O284))</f>
        <v>52958.887494461407</v>
      </c>
      <c r="P301" s="1712">
        <f>+IF(COLUMNS($L301:P301)&lt;month,'2.3 Expenses'!$N$47*SUM(P280:P281,P283:P284),'2.3 Expenses'!$O$47*SUM(P280:P281,P283:P284))</f>
        <v>52958.887494461407</v>
      </c>
      <c r="Q301" s="1712">
        <f>+IF(COLUMNS($L301:Q301)&lt;month,'2.3 Expenses'!$N$47*SUM(Q280:Q281,Q283:Q284),'2.3 Expenses'!$O$47*SUM(Q280:Q281,Q283:Q284))</f>
        <v>52958.887494461407</v>
      </c>
      <c r="R301" s="1712">
        <f>+IF(COLUMNS($L301:R301)&lt;month,'2.3 Expenses'!$N$47*SUM(R280:R281,R283:R284),'2.3 Expenses'!$O$47*SUM(R280:R281,R283:R284))</f>
        <v>52958.887494461407</v>
      </c>
      <c r="S301" s="1712">
        <f>+IF(COLUMNS($L301:S301)&lt;month,'2.3 Expenses'!$N$47*SUM(S280:S281,S283:S284),'2.3 Expenses'!$O$47*SUM(S280:S281,S283:S284))</f>
        <v>52958.887494461407</v>
      </c>
      <c r="T301" s="1712">
        <f>+IF(COLUMNS($L301:T301)&lt;month,'2.3 Expenses'!$N$47*SUM(T280:T281,T283:T284),'2.3 Expenses'!$O$47*SUM(T280:T281,T283:T284))</f>
        <v>52958.887494461407</v>
      </c>
      <c r="U301" s="1712">
        <f>+IF(COLUMNS($L301:U301)&lt;month,'2.3 Expenses'!$N$47*SUM(U280:U281,U283:U284),'2.3 Expenses'!$O$47*SUM(U280:U281,U283:U284))</f>
        <v>52958.887494461407</v>
      </c>
      <c r="V301" s="1712">
        <f>+IF(COLUMNS($L301:V301)&lt;month,'2.3 Expenses'!$N$47*SUM(V280:V281,V283:V284),'2.3 Expenses'!$O$47*SUM(V280:V281,V283:V284))</f>
        <v>54018.065244350633</v>
      </c>
      <c r="W301" s="1712">
        <f>+IF(COLUMNS($L301:W301)&lt;month,'2.3 Expenses'!$N$47*SUM(W280:W281,W283:W284),'2.3 Expenses'!$O$47*SUM(W280:W281,W283:W284))</f>
        <v>54018.065244350633</v>
      </c>
    </row>
    <row r="302" spans="1:26">
      <c r="A302" s="6" t="s">
        <v>3770</v>
      </c>
      <c r="B302" t="str">
        <f t="shared" si="14"/>
        <v>P10_11032_00494</v>
      </c>
      <c r="C302" t="str">
        <f t="shared" si="15"/>
        <v>LE_XXXX</v>
      </c>
      <c r="D302" t="s">
        <v>2886</v>
      </c>
      <c r="E302">
        <v>6800</v>
      </c>
      <c r="F302" t="s">
        <v>156</v>
      </c>
      <c r="G302" t="s">
        <v>2889</v>
      </c>
      <c r="H302" t="s">
        <v>154</v>
      </c>
      <c r="I302" t="s">
        <v>146</v>
      </c>
      <c r="J302" t="s">
        <v>147</v>
      </c>
      <c r="K302" t="str">
        <f>+"FY"&amp;RIGHT(YEAR('Hyperion Panel'!$B$9)+1,2)</f>
        <v>FY11</v>
      </c>
      <c r="L302" s="1712">
        <f>+IF(COLUMNS($L302:L302)&lt;month,'2.3 Expenses'!$N$50*SUM(L280:L281,L283:L284),'2.3 Expenses'!$O$50*SUM(L280:L281,L283:L284))</f>
        <v>19626.014631840881</v>
      </c>
      <c r="M302" s="1712">
        <f>+IF(COLUMNS($L302:M302)&lt;month,'2.3 Expenses'!$N$50*SUM(M280:M281,M283:M284),'2.3 Expenses'!$O$50*SUM(M280:M281,M283:M284))</f>
        <v>19626.014631840881</v>
      </c>
      <c r="N302" s="1712">
        <f>+IF(COLUMNS($L302:N302)&lt;month,'2.3 Expenses'!$N$50*SUM(N280:N281,N283:N284),'2.3 Expenses'!$O$50*SUM(N280:N281,N283:N284))</f>
        <v>19626.014631840881</v>
      </c>
      <c r="O302" s="1712">
        <f>+IF(COLUMNS($L302:O302)&lt;month,'2.3 Expenses'!$N$50*SUM(O280:O281,O283:O284),'2.3 Expenses'!$O$50*SUM(O280:O281,O283:O284))</f>
        <v>19626.014631840881</v>
      </c>
      <c r="P302" s="1712">
        <f>+IF(COLUMNS($L302:P302)&lt;month,'2.3 Expenses'!$N$50*SUM(P280:P281,P283:P284),'2.3 Expenses'!$O$50*SUM(P280:P281,P283:P284))</f>
        <v>19626.014631840881</v>
      </c>
      <c r="Q302" s="1712">
        <f>+IF(COLUMNS($L302:Q302)&lt;month,'2.3 Expenses'!$N$50*SUM(Q280:Q281,Q283:Q284),'2.3 Expenses'!$O$50*SUM(Q280:Q281,Q283:Q284))</f>
        <v>19626.014631840881</v>
      </c>
      <c r="R302" s="1712">
        <f>+IF(COLUMNS($L302:R302)&lt;month,'2.3 Expenses'!$N$50*SUM(R280:R281,R283:R284),'2.3 Expenses'!$O$50*SUM(R280:R281,R283:R284))</f>
        <v>19626.014631840881</v>
      </c>
      <c r="S302" s="1712">
        <f>+IF(COLUMNS($L302:S302)&lt;month,'2.3 Expenses'!$N$50*SUM(S280:S281,S283:S284),'2.3 Expenses'!$O$50*SUM(S280:S281,S283:S284))</f>
        <v>19626.014631840881</v>
      </c>
      <c r="T302" s="1712">
        <f>+IF(COLUMNS($L302:T302)&lt;month,'2.3 Expenses'!$N$50*SUM(T280:T281,T283:T284),'2.3 Expenses'!$O$50*SUM(T280:T281,T283:T284))</f>
        <v>19626.014631840881</v>
      </c>
      <c r="U302" s="1712">
        <f>+IF(COLUMNS($L302:U302)&lt;month,'2.3 Expenses'!$N$50*SUM(U280:U281,U283:U284),'2.3 Expenses'!$O$50*SUM(U280:U281,U283:U284))</f>
        <v>19626.014631840881</v>
      </c>
      <c r="V302" s="1712">
        <f>+IF(COLUMNS($L302:V302)&lt;month,'2.3 Expenses'!$N$50*SUM(V280:V281,V283:V284),'2.3 Expenses'!$O$50*SUM(V280:V281,V283:V284))</f>
        <v>20214.79507079611</v>
      </c>
      <c r="W302" s="1712">
        <f>+IF(COLUMNS($L302:W302)&lt;month,'2.3 Expenses'!$N$50*SUM(W280:W281,W283:W284),'2.3 Expenses'!$O$50*SUM(W280:W281,W283:W284))</f>
        <v>20214.79507079611</v>
      </c>
    </row>
    <row r="303" spans="1:26">
      <c r="A303" t="s">
        <v>3697</v>
      </c>
      <c r="B303" t="str">
        <f t="shared" si="14"/>
        <v>P10_11032_00494</v>
      </c>
      <c r="C303" t="str">
        <f t="shared" si="15"/>
        <v>LE_XXXX</v>
      </c>
      <c r="D303" t="s">
        <v>2886</v>
      </c>
      <c r="E303">
        <v>8600</v>
      </c>
      <c r="F303" t="s">
        <v>156</v>
      </c>
      <c r="G303" t="s">
        <v>2889</v>
      </c>
      <c r="H303" t="s">
        <v>154</v>
      </c>
      <c r="I303" t="s">
        <v>146</v>
      </c>
      <c r="J303" t="s">
        <v>147</v>
      </c>
      <c r="K303" t="str">
        <f>+"FY"&amp;RIGHT(YEAR('Hyperion Panel'!$B$9)+1,2)</f>
        <v>FY11</v>
      </c>
      <c r="L303" s="1612">
        <f>+IF(COLUMNS($L303:L303)&lt;month,'6. Market'!$AL$78/12,'6. Market'!$AM$78/12)</f>
        <v>16474.989999999998</v>
      </c>
      <c r="M303" s="1612">
        <f>+IF(COLUMNS($L303:M303)&lt;month,'6. Market'!$AL$78/12,'6. Market'!$AM$78/12)</f>
        <v>16474.989999999998</v>
      </c>
      <c r="N303" s="1612">
        <f>+IF(COLUMNS($L303:N303)&lt;month,'6. Market'!$AL$78/12,'6. Market'!$AM$78/12)</f>
        <v>16474.989999999998</v>
      </c>
      <c r="O303" s="1612">
        <f>+IF(COLUMNS($L303:O303)&lt;month,'6. Market'!$AL$78/12,'6. Market'!$AM$78/12)</f>
        <v>16474.989999999998</v>
      </c>
      <c r="P303" s="1612">
        <f>+IF(COLUMNS($L303:P303)&lt;month,'6. Market'!$AL$78/12,'6. Market'!$AM$78/12)</f>
        <v>16474.989999999998</v>
      </c>
      <c r="Q303" s="1612">
        <f>+IF(COLUMNS($L303:Q303)&lt;month,'6. Market'!$AL$78/12,'6. Market'!$AM$78/12)</f>
        <v>16474.989999999998</v>
      </c>
      <c r="R303" s="1612">
        <f>+IF(COLUMNS($L303:R303)&lt;month,'6. Market'!$AL$78/12,'6. Market'!$AM$78/12)</f>
        <v>16474.989999999998</v>
      </c>
      <c r="S303" s="1612">
        <f>+IF(COLUMNS($L303:S303)&lt;month,'6. Market'!$AL$78/12,'6. Market'!$AM$78/12)</f>
        <v>16474.989999999998</v>
      </c>
      <c r="T303" s="1612">
        <f>+IF(COLUMNS($L303:T303)&lt;month,'6. Market'!$AL$78/12,'6. Market'!$AM$78/12)</f>
        <v>16474.989999999998</v>
      </c>
      <c r="U303" s="1612">
        <f>+IF(COLUMNS($L303:U303)&lt;month,'6. Market'!$AL$78/12,'6. Market'!$AM$78/12)</f>
        <v>16474.989999999998</v>
      </c>
      <c r="V303" s="1612">
        <f>+IF(COLUMNS($L303:V303)&lt;month,'6. Market'!$AL$78/12,'6. Market'!$AM$78/12)</f>
        <v>16969.239699999998</v>
      </c>
      <c r="W303" s="1612">
        <f>+IF(COLUMNS($L303:W303)&lt;month,'6. Market'!$AL$78/12,'6. Market'!$AM$78/12)</f>
        <v>16969.239699999998</v>
      </c>
    </row>
    <row r="304" spans="1:26">
      <c r="A304" t="s">
        <v>157</v>
      </c>
      <c r="B304" t="str">
        <f t="shared" si="14"/>
        <v>P10_11032_00494</v>
      </c>
      <c r="C304" t="str">
        <f t="shared" si="15"/>
        <v>LE_XXXX</v>
      </c>
      <c r="D304" t="s">
        <v>2886</v>
      </c>
      <c r="E304">
        <v>6720</v>
      </c>
      <c r="F304" t="s">
        <v>156</v>
      </c>
      <c r="G304" t="s">
        <v>2889</v>
      </c>
      <c r="H304" t="s">
        <v>154</v>
      </c>
      <c r="I304" t="s">
        <v>146</v>
      </c>
      <c r="J304" t="s">
        <v>147</v>
      </c>
      <c r="K304" t="str">
        <f>+"FY"&amp;RIGHT(YEAR('Hyperion Panel'!$B$9)+1,2)</f>
        <v>FY11</v>
      </c>
      <c r="L304" s="1612">
        <f>+IF(COLUMNS($L304:L304)&lt;month,'6. Market'!$AL$79/12,'6. Market'!$AM$79/12)</f>
        <v>15833.32</v>
      </c>
      <c r="M304" s="1612">
        <f>+IF(COLUMNS($L304:M304)&lt;month,'6. Market'!$AL$79/12,'6. Market'!$AM$79/12)</f>
        <v>15833.32</v>
      </c>
      <c r="N304" s="1612">
        <f>+IF(COLUMNS($L304:N304)&lt;month,'6. Market'!$AL$79/12,'6. Market'!$AM$79/12)</f>
        <v>15833.32</v>
      </c>
      <c r="O304" s="1612">
        <f>+IF(COLUMNS($L304:O304)&lt;month,'6. Market'!$AL$79/12,'6. Market'!$AM$79/12)</f>
        <v>15833.32</v>
      </c>
      <c r="P304" s="1612">
        <f>+IF(COLUMNS($L304:P304)&lt;month,'6. Market'!$AL$79/12,'6. Market'!$AM$79/12)</f>
        <v>15833.32</v>
      </c>
      <c r="Q304" s="1612">
        <f>+IF(COLUMNS($L304:Q304)&lt;month,'6. Market'!$AL$79/12,'6. Market'!$AM$79/12)</f>
        <v>15833.32</v>
      </c>
      <c r="R304" s="1612">
        <f>+IF(COLUMNS($L304:R304)&lt;month,'6. Market'!$AL$79/12,'6. Market'!$AM$79/12)</f>
        <v>15833.32</v>
      </c>
      <c r="S304" s="1612">
        <f>+IF(COLUMNS($L304:S304)&lt;month,'6. Market'!$AL$79/12,'6. Market'!$AM$79/12)</f>
        <v>15833.32</v>
      </c>
      <c r="T304" s="1612">
        <f>+IF(COLUMNS($L304:T304)&lt;month,'6. Market'!$AL$79/12,'6. Market'!$AM$79/12)</f>
        <v>15833.32</v>
      </c>
      <c r="U304" s="1612">
        <f>+IF(COLUMNS($L304:U304)&lt;month,'6. Market'!$AL$79/12,'6. Market'!$AM$79/12)</f>
        <v>15833.32</v>
      </c>
      <c r="V304" s="1612">
        <f>+IF(COLUMNS($L304:V304)&lt;month,'6. Market'!$AL$79/12,'6. Market'!$AM$79/12)</f>
        <v>15833.32</v>
      </c>
      <c r="W304" s="1612">
        <f>+IF(COLUMNS($L304:W304)&lt;month,'6. Market'!$AL$79/12,'6. Market'!$AM$79/12)</f>
        <v>15833.32</v>
      </c>
    </row>
    <row r="305" spans="1:26">
      <c r="A305" t="s">
        <v>3771</v>
      </c>
      <c r="B305" t="str">
        <f t="shared" si="14"/>
        <v>P10_11032_00494</v>
      </c>
      <c r="C305" t="str">
        <f t="shared" si="15"/>
        <v>LE_XXXX</v>
      </c>
      <c r="D305" t="s">
        <v>2886</v>
      </c>
      <c r="E305">
        <v>8110</v>
      </c>
      <c r="F305" t="s">
        <v>156</v>
      </c>
      <c r="G305" t="s">
        <v>2889</v>
      </c>
      <c r="H305" t="s">
        <v>154</v>
      </c>
      <c r="I305" t="s">
        <v>146</v>
      </c>
      <c r="J305" t="s">
        <v>147</v>
      </c>
      <c r="K305" t="str">
        <f>+"FY"&amp;RIGHT(YEAR('Hyperion Panel'!$B$9)+1,2)</f>
        <v>FY11</v>
      </c>
      <c r="L305" s="1612">
        <f>+IF(COLUMNS($L305:L305)&lt;month,'6. Market'!$AL$82/12,'6. Market'!$AM$82/12)</f>
        <v>1044.7049999999999</v>
      </c>
      <c r="M305" s="1612">
        <f>+IF(COLUMNS($L305:M305)&lt;month,'6. Market'!$AL$82/12,'6. Market'!$AM$82/12)</f>
        <v>1044.7049999999999</v>
      </c>
      <c r="N305" s="1612">
        <f>+IF(COLUMNS($L305:N305)&lt;month,'6. Market'!$AL$82/12,'6. Market'!$AM$82/12)</f>
        <v>1044.7049999999999</v>
      </c>
      <c r="O305" s="1612">
        <f>+IF(COLUMNS($L305:O305)&lt;month,'6. Market'!$AL$82/12,'6. Market'!$AM$82/12)</f>
        <v>1044.7049999999999</v>
      </c>
      <c r="P305" s="1612">
        <f>+IF(COLUMNS($L305:P305)&lt;month,'6. Market'!$AL$82/12,'6. Market'!$AM$82/12)</f>
        <v>1044.7049999999999</v>
      </c>
      <c r="Q305" s="1612">
        <f>+IF(COLUMNS($L305:Q305)&lt;month,'6. Market'!$AL$82/12,'6. Market'!$AM$82/12)</f>
        <v>1044.7049999999999</v>
      </c>
      <c r="R305" s="1612">
        <f>+IF(COLUMNS($L305:R305)&lt;month,'6. Market'!$AL$82/12,'6. Market'!$AM$82/12)</f>
        <v>1044.7049999999999</v>
      </c>
      <c r="S305" s="1612">
        <f>+IF(COLUMNS($L305:S305)&lt;month,'6. Market'!$AL$82/12,'6. Market'!$AM$82/12)</f>
        <v>1044.7049999999999</v>
      </c>
      <c r="T305" s="1612">
        <f>+IF(COLUMNS($L305:T305)&lt;month,'6. Market'!$AL$82/12,'6. Market'!$AM$82/12)</f>
        <v>1044.7049999999999</v>
      </c>
      <c r="U305" s="1612">
        <f>+IF(COLUMNS($L305:U305)&lt;month,'6. Market'!$AL$82/12,'6. Market'!$AM$82/12)</f>
        <v>1044.7049999999999</v>
      </c>
      <c r="V305" s="1612">
        <f>+IF(COLUMNS($L305:V305)&lt;month,'6. Market'!$AL$82/12,'6. Market'!$AM$82/12)</f>
        <v>1076.0461499999999</v>
      </c>
      <c r="W305" s="1612">
        <f>+IF(COLUMNS($L305:W305)&lt;month,'6. Market'!$AL$82/12,'6. Market'!$AM$82/12)</f>
        <v>1076.0461499999999</v>
      </c>
    </row>
    <row r="306" spans="1:26">
      <c r="A306" s="102" t="s">
        <v>171</v>
      </c>
      <c r="B306" t="str">
        <f t="shared" si="14"/>
        <v>P10_11032_00494</v>
      </c>
      <c r="C306" s="98" t="str">
        <f t="shared" si="15"/>
        <v>LE_XXXX</v>
      </c>
      <c r="D306" s="98" t="s">
        <v>2886</v>
      </c>
      <c r="E306" s="98">
        <v>6412</v>
      </c>
      <c r="F306" s="98" t="s">
        <v>156</v>
      </c>
      <c r="G306" s="98" t="s">
        <v>2889</v>
      </c>
      <c r="H306" s="98" t="s">
        <v>154</v>
      </c>
      <c r="I306" s="98" t="s">
        <v>146</v>
      </c>
      <c r="J306" s="98" t="s">
        <v>147</v>
      </c>
      <c r="K306" t="str">
        <f>+"FY"&amp;RIGHT(YEAR('Hyperion Panel'!$B$9)+1,2)</f>
        <v>FY11</v>
      </c>
      <c r="L306" s="1712">
        <f>+IF(COLUMNS($L306:L306)&lt;month,'2.3 Expenses'!$N$57*SUM(L280:L281,L283:L284),'2.3 Expenses'!$O$57*SUM(L280:L281,L283:L284))</f>
        <v>18564.974605157677</v>
      </c>
      <c r="M306" s="1712">
        <f>+IF(COLUMNS($L306:M306)&lt;month,'2.3 Expenses'!$N$57*SUM(M280:M281,M283:M284),'2.3 Expenses'!$O$57*SUM(M280:M281,M283:M284))</f>
        <v>18564.974605157677</v>
      </c>
      <c r="N306" s="1712">
        <f>+IF(COLUMNS($L306:N306)&lt;month,'2.3 Expenses'!$N$57*SUM(N280:N281,N283:N284),'2.3 Expenses'!$O$57*SUM(N280:N281,N283:N284))</f>
        <v>18564.974605157677</v>
      </c>
      <c r="O306" s="1712">
        <f>+IF(COLUMNS($L306:O306)&lt;month,'2.3 Expenses'!$N$57*SUM(O280:O281,O283:O284),'2.3 Expenses'!$O$57*SUM(O280:O281,O283:O284))</f>
        <v>18564.974605157677</v>
      </c>
      <c r="P306" s="1712">
        <f>+IF(COLUMNS($L306:P306)&lt;month,'2.3 Expenses'!$N$57*SUM(P280:P281,P283:P284),'2.3 Expenses'!$O$57*SUM(P280:P281,P283:P284))</f>
        <v>18564.974605157677</v>
      </c>
      <c r="Q306" s="1712">
        <f>+IF(COLUMNS($L306:Q306)&lt;month,'2.3 Expenses'!$N$57*SUM(Q280:Q281,Q283:Q284),'2.3 Expenses'!$O$57*SUM(Q280:Q281,Q283:Q284))</f>
        <v>18564.974605157677</v>
      </c>
      <c r="R306" s="1712">
        <f>+IF(COLUMNS($L306:R306)&lt;month,'2.3 Expenses'!$N$57*SUM(R280:R281,R283:R284),'2.3 Expenses'!$O$57*SUM(R280:R281,R283:R284))</f>
        <v>18564.974605157677</v>
      </c>
      <c r="S306" s="1712">
        <f>+IF(COLUMNS($L306:S306)&lt;month,'2.3 Expenses'!$N$57*SUM(S280:S281,S283:S284),'2.3 Expenses'!$O$57*SUM(S280:S281,S283:S284))</f>
        <v>18564.974605157677</v>
      </c>
      <c r="T306" s="1712">
        <f>+IF(COLUMNS($L306:T306)&lt;month,'2.3 Expenses'!$N$57*SUM(T280:T281,T283:T284),'2.3 Expenses'!$O$57*SUM(T280:T281,T283:T284))</f>
        <v>18564.974605157677</v>
      </c>
      <c r="U306" s="1712">
        <f>+IF(COLUMNS($L306:U306)&lt;month,'2.3 Expenses'!$N$57*SUM(U280:U281,U283:U284),'2.3 Expenses'!$O$57*SUM(U280:U281,U283:U284))</f>
        <v>18564.974605157677</v>
      </c>
      <c r="V306" s="1712">
        <f>+IF(COLUMNS($L306:V306)&lt;month,'2.3 Expenses'!$N$57*SUM(V280:V281,V283:V284),'2.3 Expenses'!$O$57*SUM(V280:V281,V283:V284))</f>
        <v>19121.923843312405</v>
      </c>
      <c r="W306" s="1712">
        <f>+IF(COLUMNS($L306:W306)&lt;month,'2.3 Expenses'!$N$57*SUM(W280:W281,W283:W284),'2.3 Expenses'!$O$57*SUM(W280:W281,W283:W284))</f>
        <v>19121.923843312405</v>
      </c>
    </row>
    <row r="307" spans="1:26" s="3" customFormat="1">
      <c r="A307" s="1687" t="s">
        <v>730</v>
      </c>
      <c r="B307" t="str">
        <f t="shared" si="14"/>
        <v>P10_11032_00494</v>
      </c>
      <c r="C307" s="1687" t="str">
        <f>+$C$2</f>
        <v>LE_XXXX</v>
      </c>
      <c r="D307" s="1687" t="s">
        <v>2886</v>
      </c>
      <c r="E307" s="1687">
        <v>8110</v>
      </c>
      <c r="F307" s="1687" t="s">
        <v>731</v>
      </c>
      <c r="G307" s="1687" t="s">
        <v>2889</v>
      </c>
      <c r="H307" s="1687" t="s">
        <v>154</v>
      </c>
      <c r="I307" s="1687" t="s">
        <v>146</v>
      </c>
      <c r="J307" s="1687" t="s">
        <v>147</v>
      </c>
      <c r="K307" t="str">
        <f>+"FY"&amp;RIGHT(YEAR('Hyperion Panel'!$B$9)+1,2)</f>
        <v>FY11</v>
      </c>
      <c r="L307" s="1704">
        <f>+IF(COLUMNS($L307:L307)&lt;month,'6. Market'!$AL$88/12,'6. Market'!$AM$88/12)</f>
        <v>833.33333333333337</v>
      </c>
      <c r="M307" s="1704">
        <f>+IF(COLUMNS($L307:M307)&lt;month,'6. Market'!$AL$88/12,'6. Market'!$AM$88/12)</f>
        <v>833.33333333333337</v>
      </c>
      <c r="N307" s="1704">
        <f>+IF(COLUMNS($L307:N307)&lt;month,'6. Market'!$AL$88/12,'6. Market'!$AM$88/12)</f>
        <v>833.33333333333337</v>
      </c>
      <c r="O307" s="1704">
        <f>+IF(COLUMNS($L307:O307)&lt;month,'6. Market'!$AL$88/12,'6. Market'!$AM$88/12)</f>
        <v>833.33333333333337</v>
      </c>
      <c r="P307" s="1704">
        <f>+IF(COLUMNS($L307:P307)&lt;month,'6. Market'!$AL$88/12,'6. Market'!$AM$88/12)</f>
        <v>833.33333333333337</v>
      </c>
      <c r="Q307" s="1704">
        <f>+IF(COLUMNS($L307:Q307)&lt;month,'6. Market'!$AL$88/12,'6. Market'!$AM$88/12)</f>
        <v>833.33333333333337</v>
      </c>
      <c r="R307" s="1704">
        <f>+IF(COLUMNS($L307:R307)&lt;month,'6. Market'!$AL$88/12,'6. Market'!$AM$88/12)</f>
        <v>833.33333333333337</v>
      </c>
      <c r="S307" s="1704">
        <f>+IF(COLUMNS($L307:S307)&lt;month,'6. Market'!$AL$88/12,'6. Market'!$AM$88/12)</f>
        <v>833.33333333333337</v>
      </c>
      <c r="T307" s="1704">
        <f>+IF(COLUMNS($L307:T307)&lt;month,'6. Market'!$AL$88/12,'6. Market'!$AM$88/12)</f>
        <v>833.33333333333337</v>
      </c>
      <c r="U307" s="1704">
        <f>+IF(COLUMNS($L307:U307)&lt;month,'6. Market'!$AL$88/12,'6. Market'!$AM$88/12)</f>
        <v>833.33333333333337</v>
      </c>
      <c r="V307" s="1704">
        <f>+IF(COLUMNS($L307:V307)&lt;month,'6. Market'!$AL$88/12,'6. Market'!$AM$88/12)</f>
        <v>858.33333333333337</v>
      </c>
      <c r="W307" s="1704">
        <f>+IF(COLUMNS($L307:W307)&lt;month,'6. Market'!$AL$88/12,'6. Market'!$AM$88/12)</f>
        <v>858.33333333333337</v>
      </c>
    </row>
    <row r="308" spans="1:26" s="3" customFormat="1">
      <c r="A308" s="1687" t="s">
        <v>732</v>
      </c>
      <c r="B308" t="str">
        <f t="shared" si="14"/>
        <v>P10_11032_00494</v>
      </c>
      <c r="C308" s="1687" t="str">
        <f>+$C$2</f>
        <v>LE_XXXX</v>
      </c>
      <c r="D308" s="1687" t="s">
        <v>2886</v>
      </c>
      <c r="E308" s="1687"/>
      <c r="F308" s="1687" t="s">
        <v>731</v>
      </c>
      <c r="G308" s="1687" t="s">
        <v>2889</v>
      </c>
      <c r="H308" s="1687" t="s">
        <v>154</v>
      </c>
      <c r="I308" s="1687" t="s">
        <v>146</v>
      </c>
      <c r="J308" s="1687" t="s">
        <v>147</v>
      </c>
      <c r="K308" t="str">
        <f>+"FY"&amp;RIGHT(YEAR('Hyperion Panel'!$B$9)+1,2)</f>
        <v>FY11</v>
      </c>
      <c r="L308" s="1704">
        <f>+IF(COLUMNS($L308:L308)&lt;month,'6. Market'!$AL$89/12,'6. Market'!$AM$89/12)</f>
        <v>0</v>
      </c>
      <c r="M308" s="1704">
        <f>+IF(COLUMNS($L308:M308)&lt;month,'6. Market'!$AL$89/12,'6. Market'!$AM$89/12)</f>
        <v>0</v>
      </c>
      <c r="N308" s="1704">
        <f>+IF(COLUMNS($L308:N308)&lt;month,'6. Market'!$AL$89/12,'6. Market'!$AM$89/12)</f>
        <v>0</v>
      </c>
      <c r="O308" s="1704">
        <f>+IF(COLUMNS($L308:O308)&lt;month,'6. Market'!$AL$89/12,'6. Market'!$AM$89/12)</f>
        <v>0</v>
      </c>
      <c r="P308" s="1704">
        <f>+IF(COLUMNS($L308:P308)&lt;month,'6. Market'!$AL$89/12,'6. Market'!$AM$89/12)</f>
        <v>0</v>
      </c>
      <c r="Q308" s="1704">
        <f>+IF(COLUMNS($L308:Q308)&lt;month,'6. Market'!$AL$89/12,'6. Market'!$AM$89/12)</f>
        <v>0</v>
      </c>
      <c r="R308" s="1704">
        <f>+IF(COLUMNS($L308:R308)&lt;month,'6. Market'!$AL$89/12,'6. Market'!$AM$89/12)</f>
        <v>0</v>
      </c>
      <c r="S308" s="1704">
        <f>+IF(COLUMNS($L308:S308)&lt;month,'6. Market'!$AL$89/12,'6. Market'!$AM$89/12)</f>
        <v>0</v>
      </c>
      <c r="T308" s="1704">
        <f>+IF(COLUMNS($L308:T308)&lt;month,'6. Market'!$AL$89/12,'6. Market'!$AM$89/12)</f>
        <v>0</v>
      </c>
      <c r="U308" s="1704">
        <f>+IF(COLUMNS($L308:U308)&lt;month,'6. Market'!$AL$89/12,'6. Market'!$AM$89/12)</f>
        <v>0</v>
      </c>
      <c r="V308" s="1704">
        <f>+IF(COLUMNS($L308:V308)&lt;month,'6. Market'!$AL$89/12,'6. Market'!$AM$89/12)</f>
        <v>0</v>
      </c>
      <c r="W308" s="1704">
        <f>+IF(COLUMNS($L308:W308)&lt;month,'6. Market'!$AL$89/12,'6. Market'!$AM$89/12)</f>
        <v>0</v>
      </c>
    </row>
    <row r="309" spans="1:26" s="3" customFormat="1">
      <c r="A309" s="1687" t="s">
        <v>733</v>
      </c>
      <c r="B309" t="str">
        <f t="shared" si="14"/>
        <v>P10_11032_00494</v>
      </c>
      <c r="C309" s="1687" t="str">
        <f>+$C$2</f>
        <v>LE_XXXX</v>
      </c>
      <c r="D309" s="1687" t="s">
        <v>2886</v>
      </c>
      <c r="E309" s="1687"/>
      <c r="F309" s="1687" t="s">
        <v>731</v>
      </c>
      <c r="G309" s="1687" t="s">
        <v>2889</v>
      </c>
      <c r="H309" s="1687" t="s">
        <v>154</v>
      </c>
      <c r="I309" s="1687" t="s">
        <v>146</v>
      </c>
      <c r="J309" s="1687" t="s">
        <v>147</v>
      </c>
      <c r="K309" t="str">
        <f>+"FY"&amp;RIGHT(YEAR('Hyperion Panel'!$B$9)+1,2)</f>
        <v>FY11</v>
      </c>
      <c r="L309" s="1704">
        <f>+IF(COLUMNS($L309:L309)&lt;month,'6. Market'!$AL$90/12,'6. Market'!$AM$90/12)</f>
        <v>9640</v>
      </c>
      <c r="M309" s="1704">
        <f>+IF(COLUMNS($L309:M309)&lt;month,'6. Market'!$AL$90/12,'6. Market'!$AM$90/12)</f>
        <v>9640</v>
      </c>
      <c r="N309" s="1704">
        <f>+IF(COLUMNS($L309:N309)&lt;month,'6. Market'!$AL$90/12,'6. Market'!$AM$90/12)</f>
        <v>9640</v>
      </c>
      <c r="O309" s="1704">
        <f>+IF(COLUMNS($L309:O309)&lt;month,'6. Market'!$AL$90/12,'6. Market'!$AM$90/12)</f>
        <v>9640</v>
      </c>
      <c r="P309" s="1704">
        <f>+IF(COLUMNS($L309:P309)&lt;month,'6. Market'!$AL$90/12,'6. Market'!$AM$90/12)</f>
        <v>9640</v>
      </c>
      <c r="Q309" s="1704">
        <f>+IF(COLUMNS($L309:Q309)&lt;month,'6. Market'!$AL$90/12,'6. Market'!$AM$90/12)</f>
        <v>9640</v>
      </c>
      <c r="R309" s="1704">
        <f>+IF(COLUMNS($L309:R309)&lt;month,'6. Market'!$AL$90/12,'6. Market'!$AM$90/12)</f>
        <v>9640</v>
      </c>
      <c r="S309" s="1704">
        <f>+IF(COLUMNS($L309:S309)&lt;month,'6. Market'!$AL$90/12,'6. Market'!$AM$90/12)</f>
        <v>9640</v>
      </c>
      <c r="T309" s="1704">
        <f>+IF(COLUMNS($L309:T309)&lt;month,'6. Market'!$AL$90/12,'6. Market'!$AM$90/12)</f>
        <v>9640</v>
      </c>
      <c r="U309" s="1704">
        <f>+IF(COLUMNS($L309:U309)&lt;month,'6. Market'!$AL$90/12,'6. Market'!$AM$90/12)</f>
        <v>9640</v>
      </c>
      <c r="V309" s="1704">
        <f>+IF(COLUMNS($L309:V309)&lt;month,'6. Market'!$AL$90/12,'6. Market'!$AM$90/12)</f>
        <v>9832.7999999999993</v>
      </c>
      <c r="W309" s="1704">
        <f>+IF(COLUMNS($L309:W309)&lt;month,'6. Market'!$AL$90/12,'6. Market'!$AM$90/12)</f>
        <v>9832.7999999999993</v>
      </c>
    </row>
    <row r="310" spans="1:26" s="3" customFormat="1">
      <c r="A310" s="1687" t="s">
        <v>734</v>
      </c>
      <c r="B310" t="str">
        <f t="shared" si="14"/>
        <v>P10_11032_00494</v>
      </c>
      <c r="C310" s="1687" t="str">
        <f>+$C$2</f>
        <v>LE_XXXX</v>
      </c>
      <c r="D310" s="1687" t="s">
        <v>2886</v>
      </c>
      <c r="E310" s="1687">
        <v>6800</v>
      </c>
      <c r="F310" s="1687" t="s">
        <v>731</v>
      </c>
      <c r="G310" s="1687" t="s">
        <v>2889</v>
      </c>
      <c r="H310" s="1687" t="s">
        <v>154</v>
      </c>
      <c r="I310" s="1687" t="s">
        <v>146</v>
      </c>
      <c r="J310" s="1687" t="s">
        <v>147</v>
      </c>
      <c r="K310" t="str">
        <f>+"FY"&amp;RIGHT(YEAR('Hyperion Panel'!$B$9)+1,2)</f>
        <v>FY11</v>
      </c>
      <c r="L310" s="1704">
        <f>+IF(COLUMNS($L310:L310)&lt;month,'6. Market'!$AL$91/12,'6. Market'!$AM$91/12)</f>
        <v>1750</v>
      </c>
      <c r="M310" s="1704">
        <f>+IF(COLUMNS($L310:M310)&lt;month,'6. Market'!$AL$91/12,'6. Market'!$AM$91/12)</f>
        <v>1750</v>
      </c>
      <c r="N310" s="1704">
        <f>+IF(COLUMNS($L310:N310)&lt;month,'6. Market'!$AL$91/12,'6. Market'!$AM$91/12)</f>
        <v>1750</v>
      </c>
      <c r="O310" s="1704">
        <f>+IF(COLUMNS($L310:O310)&lt;month,'6. Market'!$AL$91/12,'6. Market'!$AM$91/12)</f>
        <v>1750</v>
      </c>
      <c r="P310" s="1704">
        <f>+IF(COLUMNS($L310:P310)&lt;month,'6. Market'!$AL$91/12,'6. Market'!$AM$91/12)</f>
        <v>1750</v>
      </c>
      <c r="Q310" s="1704">
        <f>+IF(COLUMNS($L310:Q310)&lt;month,'6. Market'!$AL$91/12,'6. Market'!$AM$91/12)</f>
        <v>1750</v>
      </c>
      <c r="R310" s="1704">
        <f>+IF(COLUMNS($L310:R310)&lt;month,'6. Market'!$AL$91/12,'6. Market'!$AM$91/12)</f>
        <v>1750</v>
      </c>
      <c r="S310" s="1704">
        <f>+IF(COLUMNS($L310:S310)&lt;month,'6. Market'!$AL$91/12,'6. Market'!$AM$91/12)</f>
        <v>1750</v>
      </c>
      <c r="T310" s="1704">
        <f>+IF(COLUMNS($L310:T310)&lt;month,'6. Market'!$AL$91/12,'6. Market'!$AM$91/12)</f>
        <v>1750</v>
      </c>
      <c r="U310" s="1704">
        <f>+IF(COLUMNS($L310:U310)&lt;month,'6. Market'!$AL$91/12,'6. Market'!$AM$91/12)</f>
        <v>1750</v>
      </c>
      <c r="V310" s="1704">
        <f>+IF(COLUMNS($L310:V310)&lt;month,'6. Market'!$AL$91/12,'6. Market'!$AM$91/12)</f>
        <v>1802.5</v>
      </c>
      <c r="W310" s="1704">
        <f>+IF(COLUMNS($L310:W310)&lt;month,'6. Market'!$AL$91/12,'6. Market'!$AM$91/12)</f>
        <v>1802.5</v>
      </c>
    </row>
    <row r="311" spans="1:26">
      <c r="A311" t="s">
        <v>158</v>
      </c>
      <c r="B311" t="str">
        <f t="shared" si="14"/>
        <v>P10_11032_00494</v>
      </c>
      <c r="C311" t="str">
        <f>+$C$243</f>
        <v>LE_XXXX</v>
      </c>
      <c r="D311" t="s">
        <v>2886</v>
      </c>
      <c r="E311" t="s">
        <v>159</v>
      </c>
      <c r="F311" t="s">
        <v>156</v>
      </c>
      <c r="G311" t="s">
        <v>2889</v>
      </c>
      <c r="H311" t="s">
        <v>154</v>
      </c>
      <c r="I311" t="s">
        <v>146</v>
      </c>
      <c r="J311" t="s">
        <v>147</v>
      </c>
      <c r="K311" t="str">
        <f>+"FY"&amp;RIGHT(YEAR('Hyperion Panel'!$B$9)+1,2)</f>
        <v>FY11</v>
      </c>
      <c r="L311" s="103">
        <f>'Hyperion Panel'!$C$7</f>
        <v>1</v>
      </c>
      <c r="M311" s="103">
        <f>'Hyperion Panel'!$C$7</f>
        <v>1</v>
      </c>
      <c r="N311" s="103">
        <f>'Hyperion Panel'!$C$7</f>
        <v>1</v>
      </c>
      <c r="O311" s="103">
        <f>'Hyperion Panel'!$C$7</f>
        <v>1</v>
      </c>
      <c r="P311" s="103">
        <f>'Hyperion Panel'!$C$7</f>
        <v>1</v>
      </c>
      <c r="Q311" s="103">
        <f>'Hyperion Panel'!$C$7</f>
        <v>1</v>
      </c>
      <c r="R311" s="103">
        <f>'Hyperion Panel'!$C$7</f>
        <v>1</v>
      </c>
      <c r="S311" s="103">
        <f>'Hyperion Panel'!$C$7</f>
        <v>1</v>
      </c>
      <c r="T311" s="103">
        <f>'Hyperion Panel'!$C$7</f>
        <v>1</v>
      </c>
      <c r="U311" s="103">
        <f>'Hyperion Panel'!$C$7</f>
        <v>1</v>
      </c>
      <c r="V311" s="1694">
        <f>'Hyperion Panel'!$C$7</f>
        <v>1</v>
      </c>
      <c r="W311" s="103">
        <f>'Hyperion Panel'!$C$7</f>
        <v>1</v>
      </c>
    </row>
    <row r="312" spans="1:26">
      <c r="A312" t="s">
        <v>160</v>
      </c>
      <c r="B312" t="str">
        <f t="shared" si="14"/>
        <v>P10_11032_00494</v>
      </c>
      <c r="C312" t="str">
        <f>+$C$243</f>
        <v>LE_XXXX</v>
      </c>
      <c r="D312" t="s">
        <v>2886</v>
      </c>
      <c r="E312" t="s">
        <v>161</v>
      </c>
      <c r="F312" t="s">
        <v>156</v>
      </c>
      <c r="G312" t="s">
        <v>2889</v>
      </c>
      <c r="H312" t="s">
        <v>154</v>
      </c>
      <c r="I312" t="s">
        <v>146</v>
      </c>
      <c r="J312" t="s">
        <v>147</v>
      </c>
      <c r="K312" t="str">
        <f>+"FY"&amp;RIGHT(YEAR('Hyperion Panel'!$B$9)+1,2)</f>
        <v>FY11</v>
      </c>
      <c r="L312" s="1705">
        <v>0</v>
      </c>
      <c r="M312" s="1705">
        <v>0</v>
      </c>
      <c r="N312" s="1705">
        <v>0</v>
      </c>
      <c r="O312" s="1705">
        <v>0</v>
      </c>
      <c r="P312" s="1705">
        <v>0</v>
      </c>
      <c r="Q312" s="1705">
        <v>0</v>
      </c>
      <c r="R312" s="1705">
        <v>0</v>
      </c>
      <c r="S312" s="1705">
        <v>0</v>
      </c>
      <c r="T312" s="1705">
        <v>0</v>
      </c>
      <c r="U312" s="1705">
        <v>0</v>
      </c>
      <c r="V312" s="1705">
        <v>0</v>
      </c>
      <c r="W312" s="1705">
        <v>0</v>
      </c>
    </row>
    <row r="313" spans="1:26" s="3" customFormat="1">
      <c r="A313" s="1687" t="s">
        <v>735</v>
      </c>
      <c r="B313" t="str">
        <f t="shared" si="14"/>
        <v>P10_11032_00494</v>
      </c>
      <c r="C313" s="1687"/>
      <c r="D313" s="1687"/>
      <c r="E313" s="1687"/>
      <c r="F313" s="1687"/>
      <c r="G313" s="1687"/>
      <c r="H313" s="1687"/>
      <c r="I313" s="1687"/>
      <c r="J313" s="1687"/>
      <c r="K313" t="str">
        <f>+"FY"&amp;RIGHT(YEAR('Hyperion Panel'!$B$9)+1,2)</f>
        <v>FY11</v>
      </c>
      <c r="L313" s="1705">
        <v>0</v>
      </c>
      <c r="M313" s="1705">
        <v>0</v>
      </c>
      <c r="N313" s="1705">
        <v>0</v>
      </c>
      <c r="O313" s="1705">
        <v>0</v>
      </c>
      <c r="P313" s="1705">
        <v>0</v>
      </c>
      <c r="Q313" s="1705">
        <v>0</v>
      </c>
      <c r="R313" s="1705">
        <v>0</v>
      </c>
      <c r="S313" s="1705">
        <v>0</v>
      </c>
      <c r="T313" s="1705">
        <v>0</v>
      </c>
      <c r="U313" s="1705">
        <v>0</v>
      </c>
      <c r="V313" s="1705">
        <v>0</v>
      </c>
      <c r="W313" s="1705">
        <v>0</v>
      </c>
      <c r="Y313" s="1688"/>
    </row>
    <row r="314" spans="1:26">
      <c r="L314" s="1705"/>
      <c r="M314" s="1705"/>
      <c r="N314" s="1705"/>
      <c r="O314" s="1705"/>
      <c r="P314" s="1705"/>
      <c r="Q314" s="1705"/>
      <c r="R314" s="1705"/>
      <c r="S314" s="1705"/>
      <c r="T314" s="1705"/>
      <c r="U314" s="1705"/>
      <c r="V314" s="1705"/>
      <c r="W314" s="1705"/>
    </row>
    <row r="315" spans="1:26">
      <c r="A315" s="98" t="s">
        <v>165</v>
      </c>
      <c r="B315" t="str">
        <f>+$B$243</f>
        <v>P10_11032_00494</v>
      </c>
      <c r="C315" t="str">
        <f>+$C$243</f>
        <v>LE_XXXX</v>
      </c>
      <c r="D315" t="s">
        <v>2886</v>
      </c>
      <c r="E315" t="s">
        <v>2887</v>
      </c>
      <c r="F315" t="s">
        <v>2888</v>
      </c>
      <c r="G315" t="s">
        <v>2889</v>
      </c>
      <c r="H315" t="s">
        <v>145</v>
      </c>
      <c r="I315" t="s">
        <v>146</v>
      </c>
      <c r="J315" t="s">
        <v>147</v>
      </c>
      <c r="K315" t="str">
        <f>+"FY"&amp;RIGHT(YEAR('Hyperion Panel'!$B$9)+2,2)</f>
        <v>FY12</v>
      </c>
      <c r="L315" s="1612"/>
      <c r="M315" s="1612"/>
      <c r="N315" s="1612"/>
      <c r="O315" s="1612"/>
      <c r="P315" s="1612"/>
      <c r="Q315" s="1612"/>
      <c r="R315" s="1612"/>
      <c r="S315" s="1612"/>
      <c r="T315" s="1612"/>
      <c r="U315" s="1612"/>
      <c r="V315" s="1702"/>
      <c r="W315" s="1612"/>
    </row>
    <row r="316" spans="1:26" s="98" customFormat="1" ht="12.75" customHeight="1">
      <c r="A316" s="100" t="s">
        <v>463</v>
      </c>
      <c r="L316" s="1697">
        <f>+IF(COLUMNS($L316:L316)&lt;month,VLOOKUP("Month "&amp;(COLUMNS($L316:L316)-month+13),P_After_Tx,5,FALSE)*52*3/12*(1-hemomiss),VLOOKUP("Month "&amp;(COLUMNS($L316:L316)-month+1),P_After_Tx,7,FALSE)*52*3/12*(1-hemomiss))</f>
        <v>574.08000000000004</v>
      </c>
      <c r="M316" s="1697">
        <f>+IF(COLUMNS($L316:M316)&lt;month,VLOOKUP("Month "&amp;(COLUMNS($L316:M316)-month+13),P_After_Tx,5,FALSE)*52*3/12*(1-hemomiss),VLOOKUP("Month "&amp;(COLUMNS($L316:M316)-month+1),P_After_Tx,7,FALSE)*52*3/12*(1-hemomiss))</f>
        <v>574.08000000000004</v>
      </c>
      <c r="N316" s="1697">
        <f>+IF(COLUMNS($L316:N316)&lt;month,VLOOKUP("Month "&amp;(COLUMNS($L316:N316)-month+13),P_After_Tx,5,FALSE)*52*3/12*(1-hemomiss),VLOOKUP("Month "&amp;(COLUMNS($L316:N316)-month+1),P_After_Tx,7,FALSE)*52*3/12*(1-hemomiss))</f>
        <v>574.08000000000004</v>
      </c>
      <c r="O316" s="1697">
        <f>+IF(COLUMNS($L316:O316)&lt;month,VLOOKUP("Month "&amp;(COLUMNS($L316:O316)-month+13),P_After_Tx,5,FALSE)*52*3/12*(1-hemomiss),VLOOKUP("Month "&amp;(COLUMNS($L316:O316)-month+1),P_After_Tx,7,FALSE)*52*3/12*(1-hemomiss))</f>
        <v>574.08000000000004</v>
      </c>
      <c r="P316" s="1697">
        <f>+IF(COLUMNS($L316:P316)&lt;month,VLOOKUP("Month "&amp;(COLUMNS($L316:P316)-month+13),P_After_Tx,5,FALSE)*52*3/12*(1-hemomiss),VLOOKUP("Month "&amp;(COLUMNS($L316:P316)-month+1),P_After_Tx,7,FALSE)*52*3/12*(1-hemomiss))</f>
        <v>574.08000000000004</v>
      </c>
      <c r="Q316" s="1697">
        <f>+IF(COLUMNS($L316:Q316)&lt;month,VLOOKUP("Month "&amp;(COLUMNS($L316:Q316)-month+13),P_After_Tx,5,FALSE)*52*3/12*(1-hemomiss),VLOOKUP("Month "&amp;(COLUMNS($L316:Q316)-month+1),P_After_Tx,7,FALSE)*52*3/12*(1-hemomiss))</f>
        <v>574.08000000000004</v>
      </c>
      <c r="R316" s="1697">
        <f>+IF(COLUMNS($L316:R316)&lt;month,VLOOKUP("Month "&amp;(COLUMNS($L316:R316)-month+13),P_After_Tx,5,FALSE)*52*3/12*(1-hemomiss),VLOOKUP("Month "&amp;(COLUMNS($L316:R316)-month+1),P_After_Tx,7,FALSE)*52*3/12*(1-hemomiss))</f>
        <v>574.08000000000004</v>
      </c>
      <c r="S316" s="1697">
        <f>+IF(COLUMNS($L316:S316)&lt;month,VLOOKUP("Month "&amp;(COLUMNS($L316:S316)-month+13),P_After_Tx,5,FALSE)*52*3/12*(1-hemomiss),VLOOKUP("Month "&amp;(COLUMNS($L316:S316)-month+1),P_After_Tx,7,FALSE)*52*3/12*(1-hemomiss))</f>
        <v>574.08000000000004</v>
      </c>
      <c r="T316" s="1697">
        <f>+IF(COLUMNS($L316:T316)&lt;month,VLOOKUP("Month "&amp;(COLUMNS($L316:T316)-month+13),P_After_Tx,5,FALSE)*52*3/12*(1-hemomiss),VLOOKUP("Month "&amp;(COLUMNS($L316:T316)-month+1),P_After_Tx,7,FALSE)*52*3/12*(1-hemomiss))</f>
        <v>574.08000000000004</v>
      </c>
      <c r="U316" s="1697">
        <f>+IF(COLUMNS($L316:U316)&lt;month,VLOOKUP("Month "&amp;(COLUMNS($L316:U316)-month+13),P_After_Tx,5,FALSE)*52*3/12*(1-hemomiss),VLOOKUP("Month "&amp;(COLUMNS($L316:U316)-month+1),P_After_Tx,7,FALSE)*52*3/12*(1-hemomiss))</f>
        <v>574.08000000000004</v>
      </c>
      <c r="V316" s="1700">
        <f>+IF(COLUMNS($L316:V316)&lt;month,VLOOKUP("Month "&amp;(COLUMNS($L316:V316)-month+13),P_After_Tx,5,FALSE)*52*3/12*(1-hemomiss),VLOOKUP("Month "&amp;(COLUMNS($L316:V316)-month+1),P_After_Tx,7,FALSE)*52*3/12*(1-hemomiss))</f>
        <v>574.08000000000004</v>
      </c>
      <c r="W316" s="1697">
        <f>+IF(COLUMNS($L316:W316)&lt;month,VLOOKUP("Month "&amp;(COLUMNS($L316:W316)-month+13),P_After_Tx,5,FALSE)*52*3/12*(1-hemomiss),VLOOKUP("Month "&amp;(COLUMNS($L316:W316)-month+1),P_After_Tx,7,FALSE)*52*3/12*(1-hemomiss))</f>
        <v>574.08000000000004</v>
      </c>
      <c r="Y316" s="99"/>
      <c r="Z316" s="97"/>
    </row>
    <row r="317" spans="1:26" s="98" customFormat="1" ht="12.75" customHeight="1">
      <c r="A317" s="100" t="s">
        <v>464</v>
      </c>
      <c r="L317" s="1697">
        <f>+IF(COLUMNS($L317:L317)&lt;month,VLOOKUP("Month "&amp;(COLUMNS($L317:L317)-month+13),P_After_Tx,6,FALSE)*52*3/12*(1-hemomiss),VLOOKUP("Month "&amp;(COLUMNS($L317:L317)-month+1),P_After_Tx,8,FALSE)*52*3/12*(1-hemomiss))</f>
        <v>23.92</v>
      </c>
      <c r="M317" s="1697">
        <f>+IF(COLUMNS($L317:M317)&lt;month,VLOOKUP("Month "&amp;(COLUMNS($L317:M317)-month+13),P_After_Tx,6,FALSE)*52*3/12*(1-hemomiss),VLOOKUP("Month "&amp;(COLUMNS($L317:M317)-month+1),P_After_Tx,8,FALSE)*52*3/12*(1-hemomiss))</f>
        <v>23.92</v>
      </c>
      <c r="N317" s="1697">
        <f>+IF(COLUMNS($L317:N317)&lt;month,VLOOKUP("Month "&amp;(COLUMNS($L317:N317)-month+13),P_After_Tx,6,FALSE)*52*3/12*(1-hemomiss),VLOOKUP("Month "&amp;(COLUMNS($L317:N317)-month+1),P_After_Tx,8,FALSE)*52*3/12*(1-hemomiss))</f>
        <v>23.92</v>
      </c>
      <c r="O317" s="1697">
        <f>+IF(COLUMNS($L317:O317)&lt;month,VLOOKUP("Month "&amp;(COLUMNS($L317:O317)-month+13),P_After_Tx,6,FALSE)*52*3/12*(1-hemomiss),VLOOKUP("Month "&amp;(COLUMNS($L317:O317)-month+1),P_After_Tx,8,FALSE)*52*3/12*(1-hemomiss))</f>
        <v>23.92</v>
      </c>
      <c r="P317" s="1697">
        <f>+IF(COLUMNS($L317:P317)&lt;month,VLOOKUP("Month "&amp;(COLUMNS($L317:P317)-month+13),P_After_Tx,6,FALSE)*52*3/12*(1-hemomiss),VLOOKUP("Month "&amp;(COLUMNS($L317:P317)-month+1),P_After_Tx,8,FALSE)*52*3/12*(1-hemomiss))</f>
        <v>23.92</v>
      </c>
      <c r="Q317" s="1697">
        <f>+IF(COLUMNS($L317:Q317)&lt;month,VLOOKUP("Month "&amp;(COLUMNS($L317:Q317)-month+13),P_After_Tx,6,FALSE)*52*3/12*(1-hemomiss),VLOOKUP("Month "&amp;(COLUMNS($L317:Q317)-month+1),P_After_Tx,8,FALSE)*52*3/12*(1-hemomiss))</f>
        <v>23.92</v>
      </c>
      <c r="R317" s="1697">
        <f>+IF(COLUMNS($L317:R317)&lt;month,VLOOKUP("Month "&amp;(COLUMNS($L317:R317)-month+13),P_After_Tx,6,FALSE)*52*3/12*(1-hemomiss),VLOOKUP("Month "&amp;(COLUMNS($L317:R317)-month+1),P_After_Tx,8,FALSE)*52*3/12*(1-hemomiss))</f>
        <v>23.92</v>
      </c>
      <c r="S317" s="1697">
        <f>+IF(COLUMNS($L317:S317)&lt;month,VLOOKUP("Month "&amp;(COLUMNS($L317:S317)-month+13),P_After_Tx,6,FALSE)*52*3/12*(1-hemomiss),VLOOKUP("Month "&amp;(COLUMNS($L317:S317)-month+1),P_After_Tx,8,FALSE)*52*3/12*(1-hemomiss))</f>
        <v>23.92</v>
      </c>
      <c r="T317" s="1697">
        <f>+IF(COLUMNS($L317:T317)&lt;month,VLOOKUP("Month "&amp;(COLUMNS($L317:T317)-month+13),P_After_Tx,6,FALSE)*52*3/12*(1-hemomiss),VLOOKUP("Month "&amp;(COLUMNS($L317:T317)-month+1),P_After_Tx,8,FALSE)*52*3/12*(1-hemomiss))</f>
        <v>23.92</v>
      </c>
      <c r="U317" s="1697">
        <f>+IF(COLUMNS($L317:U317)&lt;month,VLOOKUP("Month "&amp;(COLUMNS($L317:U317)-month+13),P_After_Tx,6,FALSE)*52*3/12*(1-hemomiss),VLOOKUP("Month "&amp;(COLUMNS($L317:U317)-month+1),P_After_Tx,8,FALSE)*52*3/12*(1-hemomiss))</f>
        <v>23.92</v>
      </c>
      <c r="V317" s="1700">
        <f>+IF(COLUMNS($L317:V317)&lt;month,VLOOKUP("Month "&amp;(COLUMNS($L317:V317)-month+13),P_After_Tx,6,FALSE)*52*3/12*(1-hemomiss),VLOOKUP("Month "&amp;(COLUMNS($L317:V317)-month+1),P_After_Tx,8,FALSE)*52*3/12*(1-hemomiss))</f>
        <v>23.92</v>
      </c>
      <c r="W317" s="1697">
        <f>+IF(COLUMNS($L317:W317)&lt;month,VLOOKUP("Month "&amp;(COLUMNS($L317:W317)-month+13),P_After_Tx,6,FALSE)*52*3/12*(1-hemomiss),VLOOKUP("Month "&amp;(COLUMNS($L317:W317)-month+1),P_After_Tx,8,FALSE)*52*3/12*(1-hemomiss))</f>
        <v>23.92</v>
      </c>
      <c r="Y317" s="99"/>
      <c r="Z317" s="97"/>
    </row>
    <row r="318" spans="1:26">
      <c r="A318" s="98" t="s">
        <v>162</v>
      </c>
      <c r="B318" t="str">
        <f>+$B$243</f>
        <v>P10_11032_00494</v>
      </c>
      <c r="C318" t="str">
        <f>+$C$243</f>
        <v>LE_XXXX</v>
      </c>
      <c r="D318" t="s">
        <v>2886</v>
      </c>
      <c r="E318" t="s">
        <v>149</v>
      </c>
      <c r="F318" t="s">
        <v>150</v>
      </c>
      <c r="G318" t="s">
        <v>2889</v>
      </c>
      <c r="H318" t="s">
        <v>145</v>
      </c>
      <c r="I318" t="s">
        <v>146</v>
      </c>
      <c r="J318" t="s">
        <v>147</v>
      </c>
      <c r="K318" t="str">
        <f>+"FY"&amp;RIGHT(YEAR('Hyperion Panel'!$B$9)+2,2)</f>
        <v>FY12</v>
      </c>
      <c r="L318" s="1612"/>
      <c r="M318" s="1612"/>
      <c r="N318" s="1612"/>
      <c r="O318" s="1612"/>
      <c r="P318" s="1612"/>
      <c r="Q318" s="1612"/>
      <c r="R318" s="1612"/>
      <c r="S318" s="1612"/>
      <c r="T318" s="1612"/>
      <c r="U318" s="1612"/>
      <c r="V318" s="1703"/>
      <c r="W318" s="1612"/>
    </row>
    <row r="319" spans="1:26" s="98" customFormat="1">
      <c r="A319" s="100" t="s">
        <v>463</v>
      </c>
      <c r="L319" s="1697">
        <f>+IF(COLUMNS($L319:L319)&lt;month,VLOOKUP("Month "&amp;(COLUMNS($L319:L319)-month+13),P_After_Tx,16,FALSE)*52*3/12*(1-homemiss),VLOOKUP("Month "&amp;(COLUMNS($L319:L319)-month+1),P_After_Tx,18,FALSE)*52*3/12*(1-homemiss))</f>
        <v>172.9</v>
      </c>
      <c r="M319" s="1697">
        <f>+IF(COLUMNS($L319:M319)&lt;month,VLOOKUP("Month "&amp;(COLUMNS($L319:M319)-month+13),P_After_Tx,16,FALSE)*52*3/12*(1-homemiss),VLOOKUP("Month "&amp;(COLUMNS($L319:M319)-month+1),P_After_Tx,18,FALSE)*52*3/12*(1-homemiss))</f>
        <v>172.9</v>
      </c>
      <c r="N319" s="1697">
        <f>+IF(COLUMNS($L319:N319)&lt;month,VLOOKUP("Month "&amp;(COLUMNS($L319:N319)-month+13),P_After_Tx,16,FALSE)*52*3/12*(1-homemiss),VLOOKUP("Month "&amp;(COLUMNS($L319:N319)-month+1),P_After_Tx,18,FALSE)*52*3/12*(1-homemiss))</f>
        <v>172.9</v>
      </c>
      <c r="O319" s="1697">
        <f>+IF(COLUMNS($L319:O319)&lt;month,VLOOKUP("Month "&amp;(COLUMNS($L319:O319)-month+13),P_After_Tx,16,FALSE)*52*3/12*(1-homemiss),VLOOKUP("Month "&amp;(COLUMNS($L319:O319)-month+1),P_After_Tx,18,FALSE)*52*3/12*(1-homemiss))</f>
        <v>172.9</v>
      </c>
      <c r="P319" s="1697">
        <f>+IF(COLUMNS($L319:P319)&lt;month,VLOOKUP("Month "&amp;(COLUMNS($L319:P319)-month+13),P_After_Tx,16,FALSE)*52*3/12*(1-homemiss),VLOOKUP("Month "&amp;(COLUMNS($L319:P319)-month+1),P_After_Tx,18,FALSE)*52*3/12*(1-homemiss))</f>
        <v>172.9</v>
      </c>
      <c r="Q319" s="1697">
        <f>+IF(COLUMNS($L319:Q319)&lt;month,VLOOKUP("Month "&amp;(COLUMNS($L319:Q319)-month+13),P_After_Tx,16,FALSE)*52*3/12*(1-homemiss),VLOOKUP("Month "&amp;(COLUMNS($L319:Q319)-month+1),P_After_Tx,18,FALSE)*52*3/12*(1-homemiss))</f>
        <v>172.9</v>
      </c>
      <c r="R319" s="1697">
        <f>+IF(COLUMNS($L319:R319)&lt;month,VLOOKUP("Month "&amp;(COLUMNS($L319:R319)-month+13),P_After_Tx,16,FALSE)*52*3/12*(1-homemiss),VLOOKUP("Month "&amp;(COLUMNS($L319:R319)-month+1),P_After_Tx,18,FALSE)*52*3/12*(1-homemiss))</f>
        <v>172.9</v>
      </c>
      <c r="S319" s="1697">
        <f>+IF(COLUMNS($L319:S319)&lt;month,VLOOKUP("Month "&amp;(COLUMNS($L319:S319)-month+13),P_After_Tx,16,FALSE)*52*3/12*(1-homemiss),VLOOKUP("Month "&amp;(COLUMNS($L319:S319)-month+1),P_After_Tx,18,FALSE)*52*3/12*(1-homemiss))</f>
        <v>172.9</v>
      </c>
      <c r="T319" s="1697">
        <f>+IF(COLUMNS($L319:T319)&lt;month,VLOOKUP("Month "&amp;(COLUMNS($L319:T319)-month+13),P_After_Tx,16,FALSE)*52*3/12*(1-homemiss),VLOOKUP("Month "&amp;(COLUMNS($L319:T319)-month+1),P_After_Tx,18,FALSE)*52*3/12*(1-homemiss))</f>
        <v>172.9</v>
      </c>
      <c r="U319" s="1697">
        <f>+IF(COLUMNS($L319:U319)&lt;month,VLOOKUP("Month "&amp;(COLUMNS($L319:U319)-month+13),P_After_Tx,16,FALSE)*52*3/12*(1-homemiss),VLOOKUP("Month "&amp;(COLUMNS($L319:U319)-month+1),P_After_Tx,18,FALSE)*52*3/12*(1-homemiss))</f>
        <v>172.9</v>
      </c>
      <c r="V319" s="1697">
        <f>+IF(COLUMNS($L319:V319)&lt;month,VLOOKUP("Month "&amp;(COLUMNS($L319:V319)-month+13),P_After_Tx,16,FALSE)*52*3/12*(1-homemiss),VLOOKUP("Month "&amp;(COLUMNS($L319:V319)-month+1),P_After_Tx,18,FALSE)*52*3/12*(1-homemiss))</f>
        <v>172.9</v>
      </c>
      <c r="W319" s="1697">
        <f>+IF(COLUMNS($L319:W319)&lt;month,VLOOKUP("Month "&amp;(COLUMNS($L319:W319)-month+13),P_After_Tx,16,FALSE)*52*3/12*(1-homemiss),VLOOKUP("Month "&amp;(COLUMNS($L319:W319)-month+1),P_After_Tx,18,FALSE)*52*3/12*(1-homemiss))</f>
        <v>172.9</v>
      </c>
      <c r="Y319" s="99"/>
    </row>
    <row r="320" spans="1:26" s="98" customFormat="1">
      <c r="A320" s="100" t="s">
        <v>464</v>
      </c>
      <c r="L320" s="1697">
        <f>+IF(COLUMNS($L320:L320)&lt;month,VLOOKUP("Month "&amp;(COLUMNS($L320:L320)-month+13),P_After_Tx,17,FALSE)*52*3/12*(1-homemiss),VLOOKUP("Month "&amp;(COLUMNS($L320:L320)-month+1),P_After_Tx,19,FALSE)*52*3/12*(1-homemiss))</f>
        <v>74.099999999999994</v>
      </c>
      <c r="M320" s="1697">
        <f>+IF(COLUMNS($L320:M320)&lt;month,VLOOKUP("Month "&amp;(COLUMNS($L320:M320)-month+13),P_After_Tx,17,FALSE)*52*3/12*(1-homemiss),VLOOKUP("Month "&amp;(COLUMNS($L320:M320)-month+1),P_After_Tx,19,FALSE)*52*3/12*(1-homemiss))</f>
        <v>74.099999999999994</v>
      </c>
      <c r="N320" s="1697">
        <f>+IF(COLUMNS($L320:N320)&lt;month,VLOOKUP("Month "&amp;(COLUMNS($L320:N320)-month+13),P_After_Tx,17,FALSE)*52*3/12*(1-homemiss),VLOOKUP("Month "&amp;(COLUMNS($L320:N320)-month+1),P_After_Tx,19,FALSE)*52*3/12*(1-homemiss))</f>
        <v>74.099999999999994</v>
      </c>
      <c r="O320" s="1697">
        <f>+IF(COLUMNS($L320:O320)&lt;month,VLOOKUP("Month "&amp;(COLUMNS($L320:O320)-month+13),P_After_Tx,17,FALSE)*52*3/12*(1-homemiss),VLOOKUP("Month "&amp;(COLUMNS($L320:O320)-month+1),P_After_Tx,19,FALSE)*52*3/12*(1-homemiss))</f>
        <v>74.099999999999994</v>
      </c>
      <c r="P320" s="1697">
        <f>+IF(COLUMNS($L320:P320)&lt;month,VLOOKUP("Month "&amp;(COLUMNS($L320:P320)-month+13),P_After_Tx,17,FALSE)*52*3/12*(1-homemiss),VLOOKUP("Month "&amp;(COLUMNS($L320:P320)-month+1),P_After_Tx,19,FALSE)*52*3/12*(1-homemiss))</f>
        <v>74.099999999999994</v>
      </c>
      <c r="Q320" s="1697">
        <f>+IF(COLUMNS($L320:Q320)&lt;month,VLOOKUP("Month "&amp;(COLUMNS($L320:Q320)-month+13),P_After_Tx,17,FALSE)*52*3/12*(1-homemiss),VLOOKUP("Month "&amp;(COLUMNS($L320:Q320)-month+1),P_After_Tx,19,FALSE)*52*3/12*(1-homemiss))</f>
        <v>74.099999999999994</v>
      </c>
      <c r="R320" s="1697">
        <f>+IF(COLUMNS($L320:R320)&lt;month,VLOOKUP("Month "&amp;(COLUMNS($L320:R320)-month+13),P_After_Tx,17,FALSE)*52*3/12*(1-homemiss),VLOOKUP("Month "&amp;(COLUMNS($L320:R320)-month+1),P_After_Tx,19,FALSE)*52*3/12*(1-homemiss))</f>
        <v>74.099999999999994</v>
      </c>
      <c r="S320" s="1697">
        <f>+IF(COLUMNS($L320:S320)&lt;month,VLOOKUP("Month "&amp;(COLUMNS($L320:S320)-month+13),P_After_Tx,17,FALSE)*52*3/12*(1-homemiss),VLOOKUP("Month "&amp;(COLUMNS($L320:S320)-month+1),P_After_Tx,19,FALSE)*52*3/12*(1-homemiss))</f>
        <v>74.099999999999994</v>
      </c>
      <c r="T320" s="1697">
        <f>+IF(COLUMNS($L320:T320)&lt;month,VLOOKUP("Month "&amp;(COLUMNS($L320:T320)-month+13),P_After_Tx,17,FALSE)*52*3/12*(1-homemiss),VLOOKUP("Month "&amp;(COLUMNS($L320:T320)-month+1),P_After_Tx,19,FALSE)*52*3/12*(1-homemiss))</f>
        <v>74.099999999999994</v>
      </c>
      <c r="U320" s="1697">
        <f>+IF(COLUMNS($L320:U320)&lt;month,VLOOKUP("Month "&amp;(COLUMNS($L320:U320)-month+13),P_After_Tx,17,FALSE)*52*3/12*(1-homemiss),VLOOKUP("Month "&amp;(COLUMNS($L320:U320)-month+1),P_After_Tx,19,FALSE)*52*3/12*(1-homemiss))</f>
        <v>74.099999999999994</v>
      </c>
      <c r="V320" s="1697">
        <f>+IF(COLUMNS($L320:V320)&lt;month,VLOOKUP("Month "&amp;(COLUMNS($L320:V320)-month+13),P_After_Tx,17,FALSE)*52*3/12*(1-homemiss),VLOOKUP("Month "&amp;(COLUMNS($L320:V320)-month+1),P_After_Tx,19,FALSE)*52*3/12*(1-homemiss))</f>
        <v>74.099999999999994</v>
      </c>
      <c r="W320" s="1697">
        <f>+IF(COLUMNS($L320:W320)&lt;month,VLOOKUP("Month "&amp;(COLUMNS($L320:W320)-month+13),P_After_Tx,17,FALSE)*52*3/12*(1-homemiss),VLOOKUP("Month "&amp;(COLUMNS($L320:W320)-month+1),P_After_Tx,19,FALSE)*52*3/12*(1-homemiss))</f>
        <v>74.099999999999994</v>
      </c>
      <c r="Y320" s="99"/>
    </row>
    <row r="321" spans="1:26">
      <c r="A321" s="4" t="s">
        <v>3767</v>
      </c>
      <c r="B321" s="4" t="str">
        <f>+$B$243</f>
        <v>P10_11032_00494</v>
      </c>
      <c r="C321" s="4"/>
      <c r="D321" s="4"/>
      <c r="E321" s="4"/>
      <c r="F321" s="4"/>
      <c r="G321" s="4"/>
      <c r="H321" s="4"/>
      <c r="I321" s="4"/>
      <c r="J321" s="4"/>
      <c r="K321" s="4" t="str">
        <f>+"FY"&amp;RIGHT(YEAR('Hyperion Panel'!$B$9)+2,2)</f>
        <v>FY12</v>
      </c>
      <c r="L321" s="1698"/>
      <c r="M321" s="1698"/>
      <c r="N321" s="1698"/>
      <c r="O321" s="1698"/>
      <c r="P321" s="1698"/>
      <c r="Q321" s="1698"/>
      <c r="R321" s="1698"/>
      <c r="S321" s="1698"/>
      <c r="T321" s="1698"/>
      <c r="U321" s="1698"/>
      <c r="V321" s="1699"/>
      <c r="W321" s="1698"/>
      <c r="Y321" s="99"/>
    </row>
    <row r="322" spans="1:26">
      <c r="A322" s="101" t="s">
        <v>463</v>
      </c>
      <c r="B322" s="4"/>
      <c r="C322" s="4"/>
      <c r="D322" s="4"/>
      <c r="E322" s="4"/>
      <c r="F322" s="4"/>
      <c r="G322" s="4"/>
      <c r="H322" s="4"/>
      <c r="I322" s="4"/>
      <c r="J322" s="4"/>
      <c r="K322" s="4"/>
      <c r="L322" s="1698">
        <f>+IF(COLUMNS($L322:L322)&lt;month,VLOOKUP("Month "&amp;(COLUMNS($L322:L322)-month+13),P_After_Tx,27,FALSE)*52*3/12*(1-hhdmiss),VLOOKUP("Month "&amp;(COLUMNS($L322:L322)-month+1),P_After_Tx,29,FALSE)*52*3/12*(1-hhdmiss))</f>
        <v>65</v>
      </c>
      <c r="M322" s="1698">
        <f>+IF(COLUMNS($L322:M322)&lt;month,VLOOKUP("Month "&amp;(COLUMNS($L322:M322)-month+13),P_After_Tx,27,FALSE)*52*3/12*(1-hhdmiss),VLOOKUP("Month "&amp;(COLUMNS($L322:M322)-month+1),P_After_Tx,29,FALSE)*52*3/12*(1-hhdmiss))</f>
        <v>65</v>
      </c>
      <c r="N322" s="1698">
        <f>+IF(COLUMNS($L322:N322)&lt;month,VLOOKUP("Month "&amp;(COLUMNS($L322:N322)-month+13),P_After_Tx,27,FALSE)*52*3/12*(1-hhdmiss),VLOOKUP("Month "&amp;(COLUMNS($L322:N322)-month+1),P_After_Tx,29,FALSE)*52*3/12*(1-hhdmiss))</f>
        <v>65</v>
      </c>
      <c r="O322" s="1698">
        <f>+IF(COLUMNS($L322:O322)&lt;month,VLOOKUP("Month "&amp;(COLUMNS($L322:O322)-month+13),P_After_Tx,27,FALSE)*52*3/12*(1-hhdmiss),VLOOKUP("Month "&amp;(COLUMNS($L322:O322)-month+1),P_After_Tx,29,FALSE)*52*3/12*(1-hhdmiss))</f>
        <v>65</v>
      </c>
      <c r="P322" s="1698">
        <f>+IF(COLUMNS($L322:P322)&lt;month,VLOOKUP("Month "&amp;(COLUMNS($L322:P322)-month+13),P_After_Tx,27,FALSE)*52*3/12*(1-hhdmiss),VLOOKUP("Month "&amp;(COLUMNS($L322:P322)-month+1),P_After_Tx,29,FALSE)*52*3/12*(1-hhdmiss))</f>
        <v>65</v>
      </c>
      <c r="Q322" s="1698">
        <f>+IF(COLUMNS($L322:Q322)&lt;month,VLOOKUP("Month "&amp;(COLUMNS($L322:Q322)-month+13),P_After_Tx,27,FALSE)*52*3/12*(1-hhdmiss),VLOOKUP("Month "&amp;(COLUMNS($L322:Q322)-month+1),P_After_Tx,29,FALSE)*52*3/12*(1-hhdmiss))</f>
        <v>65</v>
      </c>
      <c r="R322" s="1698">
        <f>+IF(COLUMNS($L322:R322)&lt;month,VLOOKUP("Month "&amp;(COLUMNS($L322:R322)-month+13),P_After_Tx,27,FALSE)*52*3/12*(1-hhdmiss),VLOOKUP("Month "&amp;(COLUMNS($L322:R322)-month+1),P_After_Tx,29,FALSE)*52*3/12*(1-hhdmiss))</f>
        <v>65</v>
      </c>
      <c r="S322" s="1698">
        <f>+IF(COLUMNS($L322:S322)&lt;month,VLOOKUP("Month "&amp;(COLUMNS($L322:S322)-month+13),P_After_Tx,27,FALSE)*52*3/12*(1-hhdmiss),VLOOKUP("Month "&amp;(COLUMNS($L322:S322)-month+1),P_After_Tx,29,FALSE)*52*3/12*(1-hhdmiss))</f>
        <v>65</v>
      </c>
      <c r="T322" s="1698">
        <f>+IF(COLUMNS($L322:T322)&lt;month,VLOOKUP("Month "&amp;(COLUMNS($L322:T322)-month+13),P_After_Tx,27,FALSE)*52*3/12*(1-hhdmiss),VLOOKUP("Month "&amp;(COLUMNS($L322:T322)-month+1),P_After_Tx,29,FALSE)*52*3/12*(1-hhdmiss))</f>
        <v>65</v>
      </c>
      <c r="U322" s="1698">
        <f>+IF(COLUMNS($L322:U322)&lt;month,VLOOKUP("Month "&amp;(COLUMNS($L322:U322)-month+13),P_After_Tx,27,FALSE)*52*3/12*(1-hhdmiss),VLOOKUP("Month "&amp;(COLUMNS($L322:U322)-month+1),P_After_Tx,29,FALSE)*52*3/12*(1-hhdmiss))</f>
        <v>65</v>
      </c>
      <c r="V322" s="1699">
        <f>+IF(COLUMNS($L322:V322)&lt;month,VLOOKUP("Month "&amp;(COLUMNS($L322:V322)-month+13),P_After_Tx,27,FALSE)*52*3/12*(1-hhdmiss),VLOOKUP("Month "&amp;(COLUMNS($L322:V322)-month+1),P_After_Tx,29,FALSE)*52*3/12*(1-hhdmiss))</f>
        <v>65</v>
      </c>
      <c r="W322" s="1698">
        <f>+IF(COLUMNS($L322:W322)&lt;month,VLOOKUP("Month "&amp;(COLUMNS($L322:W322)-month+13),P_After_Tx,27,FALSE)*52*3/12*(1-hhdmiss),VLOOKUP("Month "&amp;(COLUMNS($L322:W322)-month+1),P_After_Tx,29,FALSE)*52*3/12*(1-hhdmiss))</f>
        <v>65</v>
      </c>
      <c r="Y322" s="99"/>
    </row>
    <row r="323" spans="1:26">
      <c r="A323" s="101" t="s">
        <v>464</v>
      </c>
      <c r="B323" s="4"/>
      <c r="C323" s="4"/>
      <c r="D323" s="4"/>
      <c r="E323" s="4"/>
      <c r="F323" s="4"/>
      <c r="G323" s="4"/>
      <c r="H323" s="4"/>
      <c r="I323" s="4"/>
      <c r="J323" s="4"/>
      <c r="K323" s="4"/>
      <c r="L323" s="1698">
        <f>+IF(COLUMNS($L321:L321)&lt;month,VLOOKUP("Month "&amp;(COLUMNS($L321:L321)-month+13),P_After_Tx,28,FALSE)*52*4.3/12*(1-hhdmiss),VLOOKUP("Month "&amp;(COLUMNS($L321:L321)-month+1),P_After_Tx,30,FALSE)*52*4.3/12*(1-hhdmiss))</f>
        <v>0</v>
      </c>
      <c r="M323" s="1698">
        <f>+IF(COLUMNS($L321:M321)&lt;month,VLOOKUP("Month "&amp;(COLUMNS($L321:M321)-month+13),P_After_Tx,28,FALSE)*52*4.3/12*(1-hhdmiss),VLOOKUP("Month "&amp;(COLUMNS($L321:M321)-month+1),P_After_Tx,30,FALSE)*52*4.3/12*(1-hhdmiss))</f>
        <v>0</v>
      </c>
      <c r="N323" s="1698">
        <f>+IF(COLUMNS($L321:N321)&lt;month,VLOOKUP("Month "&amp;(COLUMNS($L321:N321)-month+13),P_After_Tx,28,FALSE)*52*4.3/12*(1-hhdmiss),VLOOKUP("Month "&amp;(COLUMNS($L321:N321)-month+1),P_After_Tx,30,FALSE)*52*4.3/12*(1-hhdmiss))</f>
        <v>0</v>
      </c>
      <c r="O323" s="1698">
        <f>+IF(COLUMNS($L321:O321)&lt;month,VLOOKUP("Month "&amp;(COLUMNS($L321:O321)-month+13),P_After_Tx,28,FALSE)*52*4.3/12*(1-hhdmiss),VLOOKUP("Month "&amp;(COLUMNS($L321:O321)-month+1),P_After_Tx,30,FALSE)*52*4.3/12*(1-hhdmiss))</f>
        <v>0</v>
      </c>
      <c r="P323" s="1698">
        <f>+IF(COLUMNS($L321:P321)&lt;month,VLOOKUP("Month "&amp;(COLUMNS($L321:P321)-month+13),P_After_Tx,28,FALSE)*52*4.3/12*(1-hhdmiss),VLOOKUP("Month "&amp;(COLUMNS($L321:P321)-month+1),P_After_Tx,30,FALSE)*52*4.3/12*(1-hhdmiss))</f>
        <v>0</v>
      </c>
      <c r="Q323" s="1698">
        <f>+IF(COLUMNS($L321:Q321)&lt;month,VLOOKUP("Month "&amp;(COLUMNS($L321:Q321)-month+13),P_After_Tx,28,FALSE)*52*4.3/12*(1-hhdmiss),VLOOKUP("Month "&amp;(COLUMNS($L321:Q321)-month+1),P_After_Tx,30,FALSE)*52*4.3/12*(1-hhdmiss))</f>
        <v>0</v>
      </c>
      <c r="R323" s="1698">
        <f>+IF(COLUMNS($L321:R321)&lt;month,VLOOKUP("Month "&amp;(COLUMNS($L321:R321)-month+13),P_After_Tx,28,FALSE)*52*4.3/12*(1-hhdmiss),VLOOKUP("Month "&amp;(COLUMNS($L321:R321)-month+1),P_After_Tx,30,FALSE)*52*4.3/12*(1-hhdmiss))</f>
        <v>0</v>
      </c>
      <c r="S323" s="1698">
        <f>+IF(COLUMNS($L321:S321)&lt;month,VLOOKUP("Month "&amp;(COLUMNS($L321:S321)-month+13),P_After_Tx,28,FALSE)*52*4.3/12*(1-hhdmiss),VLOOKUP("Month "&amp;(COLUMNS($L321:S321)-month+1),P_After_Tx,30,FALSE)*52*4.3/12*(1-hhdmiss))</f>
        <v>0</v>
      </c>
      <c r="T323" s="1698">
        <f>+IF(COLUMNS($L321:T321)&lt;month,VLOOKUP("Month "&amp;(COLUMNS($L321:T321)-month+13),P_After_Tx,28,FALSE)*52*4.3/12*(1-hhdmiss),VLOOKUP("Month "&amp;(COLUMNS($L321:T321)-month+1),P_After_Tx,30,FALSE)*52*4.3/12*(1-hhdmiss))</f>
        <v>0</v>
      </c>
      <c r="U323" s="1698">
        <f>+IF(COLUMNS($L321:U321)&lt;month,VLOOKUP("Month "&amp;(COLUMNS($L321:U321)-month+13),P_After_Tx,28,FALSE)*52*4.3/12*(1-hhdmiss),VLOOKUP("Month "&amp;(COLUMNS($L321:U321)-month+1),P_After_Tx,30,FALSE)*52*4.3/12*(1-hhdmiss))</f>
        <v>0</v>
      </c>
      <c r="V323" s="1698">
        <f>+IF(COLUMNS($L321:V321)&lt;month,VLOOKUP("Month "&amp;(COLUMNS($L321:V321)-month+13),P_After_Tx,28,FALSE)*52*4.3/12*(1-hhdmiss),VLOOKUP("Month "&amp;(COLUMNS($L321:V321)-month+1),P_After_Tx,30,FALSE)*52*4.3/12*(1-hhdmiss))</f>
        <v>0</v>
      </c>
      <c r="W323" s="1698">
        <f>+IF(COLUMNS($L321:W321)&lt;month,VLOOKUP("Month "&amp;(COLUMNS($L321:W321)-month+13),P_After_Tx,28,FALSE)*52*4.3/12*(1-hhdmiss),VLOOKUP("Month "&amp;(COLUMNS($L321:W321)-month+1),P_After_Tx,30,FALSE)*52*4.3/12*(1-hhdmiss))</f>
        <v>0</v>
      </c>
      <c r="Y323" s="99"/>
    </row>
    <row r="324" spans="1:26">
      <c r="A324" s="98" t="s">
        <v>163</v>
      </c>
      <c r="B324" t="str">
        <f>+$B$243</f>
        <v>P10_11032_00494</v>
      </c>
      <c r="C324" t="str">
        <f>+$C$243</f>
        <v>LE_XXXX</v>
      </c>
      <c r="D324" t="s">
        <v>2886</v>
      </c>
      <c r="E324">
        <v>3010</v>
      </c>
      <c r="F324" t="s">
        <v>2888</v>
      </c>
      <c r="G324" t="s">
        <v>2889</v>
      </c>
      <c r="H324" t="s">
        <v>145</v>
      </c>
      <c r="I324" t="s">
        <v>146</v>
      </c>
      <c r="J324" t="s">
        <v>147</v>
      </c>
      <c r="K324" t="str">
        <f>+"FY"&amp;RIGHT(YEAR('Hyperion Panel'!$B$9)+2,2)</f>
        <v>FY12</v>
      </c>
      <c r="L324" s="1612"/>
      <c r="M324" s="1612"/>
      <c r="N324" s="1612"/>
      <c r="O324" s="1612"/>
      <c r="P324" s="1612"/>
      <c r="Q324" s="1612"/>
      <c r="R324" s="1612"/>
      <c r="S324" s="1612"/>
      <c r="T324" s="1612"/>
      <c r="U324" s="1612"/>
      <c r="V324" s="1702"/>
      <c r="W324" s="1612"/>
    </row>
    <row r="325" spans="1:26" s="98" customFormat="1">
      <c r="A325" s="100" t="s">
        <v>463</v>
      </c>
      <c r="L325" s="1697">
        <f>+IF(COLUMNS($L325:L325)&lt;month,'2.1 Reimburse'!$I$14*L316,'2.1 Reimburse'!$J$14*L316)</f>
        <v>148268.1823254333</v>
      </c>
      <c r="M325" s="1697">
        <f>+IF(COLUMNS($L325:M325)&lt;month,'2.1 Reimburse'!$I$14*M316,'2.1 Reimburse'!$J$14*M316)</f>
        <v>148268.1823254333</v>
      </c>
      <c r="N325" s="1697">
        <f>+IF(COLUMNS($L325:N325)&lt;month,'2.1 Reimburse'!$I$14*N316,'2.1 Reimburse'!$J$14*N316)</f>
        <v>148268.1823254333</v>
      </c>
      <c r="O325" s="1697">
        <f>+IF(COLUMNS($L325:O325)&lt;month,'2.1 Reimburse'!$I$14*O316,'2.1 Reimburse'!$J$14*O316)</f>
        <v>148268.1823254333</v>
      </c>
      <c r="P325" s="1697">
        <f>+IF(COLUMNS($L325:P325)&lt;month,'2.1 Reimburse'!$I$14*P316,'2.1 Reimburse'!$J$14*P316)</f>
        <v>148268.1823254333</v>
      </c>
      <c r="Q325" s="1697">
        <f>+IF(COLUMNS($L325:Q325)&lt;month,'2.1 Reimburse'!$I$14*Q316,'2.1 Reimburse'!$J$14*Q316)</f>
        <v>148268.1823254333</v>
      </c>
      <c r="R325" s="1697">
        <f>+IF(COLUMNS($L325:R325)&lt;month,'2.1 Reimburse'!$I$14*R316,'2.1 Reimburse'!$J$14*R316)</f>
        <v>148268.1823254333</v>
      </c>
      <c r="S325" s="1697">
        <f>+IF(COLUMNS($L325:S325)&lt;month,'2.1 Reimburse'!$I$14*S316,'2.1 Reimburse'!$J$14*S316)</f>
        <v>148268.1823254333</v>
      </c>
      <c r="T325" s="1697">
        <f>+IF(COLUMNS($L325:T325)&lt;month,'2.1 Reimburse'!$I$14*T316,'2.1 Reimburse'!$J$14*T316)</f>
        <v>148268.1823254333</v>
      </c>
      <c r="U325" s="1697">
        <f>+IF(COLUMNS($L325:U325)&lt;month,'2.1 Reimburse'!$I$14*U316,'2.1 Reimburse'!$J$14*U316)</f>
        <v>148268.1823254333</v>
      </c>
      <c r="V325" s="1697">
        <f>+IF(COLUMNS($L325:V325)&lt;month,'2.1 Reimburse'!$I$14*V316,'2.1 Reimburse'!$J$14*V316)</f>
        <v>148268.1823254333</v>
      </c>
      <c r="W325" s="1697">
        <f>+IF(COLUMNS($L325:W325)&lt;month,'2.1 Reimburse'!$I$14*W316,'2.1 Reimburse'!$J$14*W316)</f>
        <v>148268.1823254333</v>
      </c>
      <c r="Y325" s="99" t="s">
        <v>725</v>
      </c>
      <c r="Z325" s="45" t="s">
        <v>1562</v>
      </c>
    </row>
    <row r="326" spans="1:26" s="98" customFormat="1">
      <c r="A326" s="100" t="s">
        <v>464</v>
      </c>
      <c r="L326" s="1697">
        <f>+IF(COLUMNS($L326:L326)&lt;month,'2.1 Reimburse'!$I$21*L317,'2.1 Reimburse'!$J$21*L317)</f>
        <v>24873.350433106643</v>
      </c>
      <c r="M326" s="1697">
        <f>+IF(COLUMNS($L326:M326)&lt;month,'2.1 Reimburse'!$I$21*M317,'2.1 Reimburse'!$J$21*M317)</f>
        <v>24873.350433106643</v>
      </c>
      <c r="N326" s="1697">
        <f>+IF(COLUMNS($L326:N326)&lt;month,'2.1 Reimburse'!$I$21*N317,'2.1 Reimburse'!$J$21*N317)</f>
        <v>24873.350433106643</v>
      </c>
      <c r="O326" s="1697">
        <f>+IF(COLUMNS($L326:O326)&lt;month,'2.1 Reimburse'!$I$21*O317,'2.1 Reimburse'!$J$21*O317)</f>
        <v>24873.350433106643</v>
      </c>
      <c r="P326" s="1697">
        <f>+IF(COLUMNS($L326:P326)&lt;month,'2.1 Reimburse'!$I$21*P317,'2.1 Reimburse'!$J$21*P317)</f>
        <v>24873.350433106643</v>
      </c>
      <c r="Q326" s="1697">
        <f>+IF(COLUMNS($L326:Q326)&lt;month,'2.1 Reimburse'!$I$21*Q317,'2.1 Reimburse'!$J$21*Q317)</f>
        <v>24873.350433106643</v>
      </c>
      <c r="R326" s="1697">
        <f>+IF(COLUMNS($L326:R326)&lt;month,'2.1 Reimburse'!$I$21*R317,'2.1 Reimburse'!$J$21*R317)</f>
        <v>24873.350433106643</v>
      </c>
      <c r="S326" s="1697">
        <f>+IF(COLUMNS($L326:S326)&lt;month,'2.1 Reimburse'!$I$21*S317,'2.1 Reimburse'!$J$21*S317)</f>
        <v>24873.350433106643</v>
      </c>
      <c r="T326" s="1697">
        <f>+IF(COLUMNS($L326:T326)&lt;month,'2.1 Reimburse'!$I$21*T317,'2.1 Reimburse'!$J$21*T317)</f>
        <v>24873.350433106643</v>
      </c>
      <c r="U326" s="1697">
        <f>+IF(COLUMNS($L326:U326)&lt;month,'2.1 Reimburse'!$I$21*U317,'2.1 Reimburse'!$J$21*U317)</f>
        <v>24873.350433106643</v>
      </c>
      <c r="V326" s="1697">
        <f>+IF(COLUMNS($L326:V326)&lt;month,'2.1 Reimburse'!$I$21*V317,'2.1 Reimburse'!$J$21*V317)</f>
        <v>25445.437493068097</v>
      </c>
      <c r="W326" s="1697">
        <f>+IF(COLUMNS($L326:W326)&lt;month,'2.1 Reimburse'!$I$21*W317,'2.1 Reimburse'!$J$21*W317)</f>
        <v>25445.437493068097</v>
      </c>
      <c r="Y326" s="99" t="s">
        <v>725</v>
      </c>
      <c r="Z326" s="1709" t="str">
        <f>Z325</f>
        <v>Yr2 - Yr3</v>
      </c>
    </row>
    <row r="327" spans="1:26">
      <c r="A327" s="98" t="s">
        <v>164</v>
      </c>
      <c r="B327" t="str">
        <f>+$B$243</f>
        <v>P10_11032_00494</v>
      </c>
      <c r="C327" t="str">
        <f>+$C$243</f>
        <v>LE_XXXX</v>
      </c>
      <c r="D327" t="s">
        <v>2886</v>
      </c>
      <c r="E327">
        <v>3030</v>
      </c>
      <c r="F327" t="s">
        <v>150</v>
      </c>
      <c r="G327" t="s">
        <v>2889</v>
      </c>
      <c r="H327" t="s">
        <v>145</v>
      </c>
      <c r="I327" t="s">
        <v>146</v>
      </c>
      <c r="J327" t="s">
        <v>147</v>
      </c>
      <c r="K327" t="str">
        <f>+"FY"&amp;RIGHT(YEAR('Hyperion Panel'!$B$9)+2,2)</f>
        <v>FY12</v>
      </c>
      <c r="L327" s="1612"/>
      <c r="M327" s="1612"/>
      <c r="N327" s="1612"/>
      <c r="O327" s="1612"/>
      <c r="P327" s="1612"/>
      <c r="Q327" s="1612"/>
      <c r="R327" s="1612"/>
      <c r="S327" s="1612"/>
      <c r="T327" s="1612"/>
      <c r="U327" s="1612"/>
      <c r="V327" s="1961"/>
      <c r="W327" s="1612"/>
      <c r="Z327" s="45"/>
    </row>
    <row r="328" spans="1:26" s="98" customFormat="1">
      <c r="A328" s="100" t="s">
        <v>463</v>
      </c>
      <c r="L328" s="1697">
        <f>+IF(COLUMNS($L328:L328)&lt;month,'2.1 Reimburse'!$I$23*L319,'2.1 Reimburse'!$J$23*L319)</f>
        <v>43489.791911071581</v>
      </c>
      <c r="M328" s="1697">
        <f>+IF(COLUMNS($L328:M328)&lt;month,'2.1 Reimburse'!$I$23*M319,'2.1 Reimburse'!$J$23*M319)</f>
        <v>43489.791911071581</v>
      </c>
      <c r="N328" s="1697">
        <f>+IF(COLUMNS($L328:N328)&lt;month,'2.1 Reimburse'!$I$23*N319,'2.1 Reimburse'!$J$23*N319)</f>
        <v>43489.791911071581</v>
      </c>
      <c r="O328" s="1697">
        <f>+IF(COLUMNS($L328:O328)&lt;month,'2.1 Reimburse'!$I$23*O319,'2.1 Reimburse'!$J$23*O319)</f>
        <v>43489.791911071581</v>
      </c>
      <c r="P328" s="1697">
        <f>+IF(COLUMNS($L328:P328)&lt;month,'2.1 Reimburse'!$I$23*P319,'2.1 Reimburse'!$J$23*P319)</f>
        <v>43489.791911071581</v>
      </c>
      <c r="Q328" s="1697">
        <f>+IF(COLUMNS($L328:Q328)&lt;month,'2.1 Reimburse'!$I$23*Q319,'2.1 Reimburse'!$J$23*Q319)</f>
        <v>43489.791911071581</v>
      </c>
      <c r="R328" s="1697">
        <f>+IF(COLUMNS($L328:R328)&lt;month,'2.1 Reimburse'!$I$23*R319,'2.1 Reimburse'!$J$23*R319)</f>
        <v>43489.791911071581</v>
      </c>
      <c r="S328" s="1697">
        <f>+IF(COLUMNS($L328:S328)&lt;month,'2.1 Reimburse'!$I$23*S319,'2.1 Reimburse'!$J$23*S319)</f>
        <v>43489.791911071581</v>
      </c>
      <c r="T328" s="1697">
        <f>+IF(COLUMNS($L328:T328)&lt;month,'2.1 Reimburse'!$I$23*T319,'2.1 Reimburse'!$J$23*T319)</f>
        <v>43489.791911071581</v>
      </c>
      <c r="U328" s="1697">
        <f>+IF(COLUMNS($L328:U328)&lt;month,'2.1 Reimburse'!$I$23*U319,'2.1 Reimburse'!$J$23*U319)</f>
        <v>43489.791911071581</v>
      </c>
      <c r="V328" s="1697">
        <f>+IF(COLUMNS($L328:V328)&lt;month,'2.1 Reimburse'!$I$23*V319,'2.1 Reimburse'!$J$23*V319)</f>
        <v>43489.791911071581</v>
      </c>
      <c r="W328" s="1697">
        <f>+IF(COLUMNS($L328:W328)&lt;month,'2.1 Reimburse'!$I$23*W319,'2.1 Reimburse'!$J$23*W319)</f>
        <v>43489.791911071581</v>
      </c>
      <c r="Y328" s="99" t="s">
        <v>725</v>
      </c>
      <c r="Z328" s="45" t="str">
        <f>Z325</f>
        <v>Yr2 - Yr3</v>
      </c>
    </row>
    <row r="329" spans="1:26" s="98" customFormat="1">
      <c r="A329" s="100" t="s">
        <v>464</v>
      </c>
      <c r="L329" s="1697">
        <f>+IF(COLUMNS($L329:L329)&lt;month,'2.1 Reimburse'!$I$30*L320,'2.1 Reimburse'!$J$30*L320)</f>
        <v>77053.313841689058</v>
      </c>
      <c r="M329" s="1697">
        <f>+IF(COLUMNS($L329:M329)&lt;month,'2.1 Reimburse'!$I$30*M320,'2.1 Reimburse'!$J$30*M320)</f>
        <v>77053.313841689058</v>
      </c>
      <c r="N329" s="1697">
        <f>+IF(COLUMNS($L329:N329)&lt;month,'2.1 Reimburse'!$I$30*N320,'2.1 Reimburse'!$J$30*N320)</f>
        <v>77053.313841689058</v>
      </c>
      <c r="O329" s="1697">
        <f>+IF(COLUMNS($L329:O329)&lt;month,'2.1 Reimburse'!$I$30*O320,'2.1 Reimburse'!$J$30*O320)</f>
        <v>77053.313841689058</v>
      </c>
      <c r="P329" s="1697">
        <f>+IF(COLUMNS($L329:P329)&lt;month,'2.1 Reimburse'!$I$30*P320,'2.1 Reimburse'!$J$30*P320)</f>
        <v>77053.313841689058</v>
      </c>
      <c r="Q329" s="1697">
        <f>+IF(COLUMNS($L329:Q329)&lt;month,'2.1 Reimburse'!$I$30*Q320,'2.1 Reimburse'!$J$30*Q320)</f>
        <v>77053.313841689058</v>
      </c>
      <c r="R329" s="1697">
        <f>+IF(COLUMNS($L329:R329)&lt;month,'2.1 Reimburse'!$I$30*R320,'2.1 Reimburse'!$J$30*R320)</f>
        <v>77053.313841689058</v>
      </c>
      <c r="S329" s="1697">
        <f>+IF(COLUMNS($L329:S329)&lt;month,'2.1 Reimburse'!$I$30*S320,'2.1 Reimburse'!$J$30*S320)</f>
        <v>77053.313841689058</v>
      </c>
      <c r="T329" s="1697">
        <f>+IF(COLUMNS($L329:T329)&lt;month,'2.1 Reimburse'!$I$30*T320,'2.1 Reimburse'!$J$30*T320)</f>
        <v>77053.313841689058</v>
      </c>
      <c r="U329" s="1697">
        <f>+IF(COLUMNS($L329:U329)&lt;month,'2.1 Reimburse'!$I$30*U320,'2.1 Reimburse'!$J$30*U320)</f>
        <v>77053.313841689058</v>
      </c>
      <c r="V329" s="1697">
        <f>+IF(COLUMNS($L329:V329)&lt;month,'2.1 Reimburse'!$I$30*V320,'2.1 Reimburse'!$J$30*V320)</f>
        <v>78825.540060047919</v>
      </c>
      <c r="W329" s="1697">
        <f>+IF(COLUMNS($L329:W329)&lt;month,'2.1 Reimburse'!$I$30*W320,'2.1 Reimburse'!$J$30*W320)</f>
        <v>78825.540060047919</v>
      </c>
      <c r="Y329" s="99" t="s">
        <v>725</v>
      </c>
      <c r="Z329" s="45" t="str">
        <f>Z325</f>
        <v>Yr2 - Yr3</v>
      </c>
    </row>
    <row r="330" spans="1:26">
      <c r="A330" s="4" t="s">
        <v>3768</v>
      </c>
      <c r="B330" s="4" t="str">
        <f>+$B$243</f>
        <v>P10_11032_00494</v>
      </c>
      <c r="C330" s="4"/>
      <c r="D330" s="4"/>
      <c r="E330" s="4"/>
      <c r="F330" s="4"/>
      <c r="G330" s="4"/>
      <c r="H330" s="4"/>
      <c r="I330" s="4"/>
      <c r="J330" s="4"/>
      <c r="K330" s="4" t="str">
        <f>+"FY"&amp;RIGHT(YEAR('Hyperion Panel'!$B$9)+2,2)</f>
        <v>FY12</v>
      </c>
      <c r="L330" s="1698"/>
      <c r="M330" s="1698"/>
      <c r="N330" s="1698"/>
      <c r="O330" s="1698"/>
      <c r="P330" s="1698"/>
      <c r="Q330" s="1698"/>
      <c r="R330" s="1698"/>
      <c r="S330" s="1698"/>
      <c r="T330" s="1698"/>
      <c r="U330" s="1698"/>
      <c r="V330" s="1962"/>
      <c r="W330" s="1698"/>
      <c r="Z330" s="45"/>
    </row>
    <row r="331" spans="1:26">
      <c r="A331" s="101" t="s">
        <v>463</v>
      </c>
      <c r="B331" s="4"/>
      <c r="C331" s="4"/>
      <c r="D331" s="4"/>
      <c r="E331" s="4"/>
      <c r="F331" s="4"/>
      <c r="G331" s="4"/>
      <c r="H331" s="4"/>
      <c r="I331" s="4"/>
      <c r="J331" s="4"/>
      <c r="K331" s="4"/>
      <c r="L331" s="1698">
        <f>+IF(COLUMNS($L331:L331)&lt;month,'2.1 Reimburse'!$I$32*L322,'2.1 Reimburse'!$J$32*L322)</f>
        <v>16884.753665513832</v>
      </c>
      <c r="M331" s="1698">
        <f>+IF(COLUMNS($L331:M331)&lt;month,'2.1 Reimburse'!$I$32*M322,'2.1 Reimburse'!$J$32*M322)</f>
        <v>16884.753665513832</v>
      </c>
      <c r="N331" s="1698">
        <f>+IF(COLUMNS($L331:N331)&lt;month,'2.1 Reimburse'!$I$32*N322,'2.1 Reimburse'!$J$32*N322)</f>
        <v>16884.753665513832</v>
      </c>
      <c r="O331" s="1698">
        <f>+IF(COLUMNS($L331:O331)&lt;month,'2.1 Reimburse'!$I$32*O322,'2.1 Reimburse'!$J$32*O322)</f>
        <v>16884.753665513832</v>
      </c>
      <c r="P331" s="1698">
        <f>+IF(COLUMNS($L331:P331)&lt;month,'2.1 Reimburse'!$I$32*P322,'2.1 Reimburse'!$J$32*P322)</f>
        <v>16884.753665513832</v>
      </c>
      <c r="Q331" s="1698">
        <f>+IF(COLUMNS($L331:Q331)&lt;month,'2.1 Reimburse'!$I$32*Q322,'2.1 Reimburse'!$J$32*Q322)</f>
        <v>16884.753665513832</v>
      </c>
      <c r="R331" s="1698">
        <f>+IF(COLUMNS($L331:R331)&lt;month,'2.1 Reimburse'!$I$32*R322,'2.1 Reimburse'!$J$32*R322)</f>
        <v>16884.753665513832</v>
      </c>
      <c r="S331" s="1698">
        <f>+IF(COLUMNS($L331:S331)&lt;month,'2.1 Reimburse'!$I$32*S322,'2.1 Reimburse'!$J$32*S322)</f>
        <v>16884.753665513832</v>
      </c>
      <c r="T331" s="1698">
        <f>+IF(COLUMNS($L331:T331)&lt;month,'2.1 Reimburse'!$I$32*T322,'2.1 Reimburse'!$J$32*T322)</f>
        <v>16884.753665513832</v>
      </c>
      <c r="U331" s="1698">
        <f>+IF(COLUMNS($L331:U331)&lt;month,'2.1 Reimburse'!$I$32*U322,'2.1 Reimburse'!$J$32*U322)</f>
        <v>16884.753665513832</v>
      </c>
      <c r="V331" s="1698">
        <f>+IF(COLUMNS($L331:V331)&lt;month,'2.1 Reimburse'!$I$32*V322,'2.1 Reimburse'!$J$32*V322)</f>
        <v>16884.753665513832</v>
      </c>
      <c r="W331" s="1698">
        <f>+IF(COLUMNS($L331:W331)&lt;month,'2.1 Reimburse'!$I$32*W322,'2.1 Reimburse'!$J$32*W322)</f>
        <v>16884.753665513832</v>
      </c>
      <c r="Y331" s="99" t="s">
        <v>725</v>
      </c>
      <c r="Z331" s="45" t="str">
        <f>Z325</f>
        <v>Yr2 - Yr3</v>
      </c>
    </row>
    <row r="332" spans="1:26">
      <c r="A332" s="101" t="s">
        <v>464</v>
      </c>
      <c r="B332" s="4"/>
      <c r="C332" s="4"/>
      <c r="D332" s="4"/>
      <c r="E332" s="4"/>
      <c r="F332" s="4"/>
      <c r="G332" s="4"/>
      <c r="H332" s="4"/>
      <c r="I332" s="4"/>
      <c r="J332" s="4"/>
      <c r="K332" s="4"/>
      <c r="L332" s="1698">
        <f>+IF(COLUMNS($L332:L332)&lt;month,'2.1 Reimburse'!$I$39*L323,'2.1 Reimburse'!$J$39*L323)</f>
        <v>0</v>
      </c>
      <c r="M332" s="1698">
        <f>+IF(COLUMNS($L332:M332)&lt;month,'2.1 Reimburse'!$I$39*M323,'2.1 Reimburse'!$J$39*M323)</f>
        <v>0</v>
      </c>
      <c r="N332" s="1698">
        <f>+IF(COLUMNS($L332:N332)&lt;month,'2.1 Reimburse'!$I$39*N323,'2.1 Reimburse'!$J$39*N323)</f>
        <v>0</v>
      </c>
      <c r="O332" s="1698">
        <f>+IF(COLUMNS($L332:O332)&lt;month,'2.1 Reimburse'!$I$39*O323,'2.1 Reimburse'!$J$39*O323)</f>
        <v>0</v>
      </c>
      <c r="P332" s="1698">
        <f>+IF(COLUMNS($L332:P332)&lt;month,'2.1 Reimburse'!$I$39*P323,'2.1 Reimburse'!$J$39*P323)</f>
        <v>0</v>
      </c>
      <c r="Q332" s="1698">
        <f>+IF(COLUMNS($L332:Q332)&lt;month,'2.1 Reimburse'!$I$39*Q323,'2.1 Reimburse'!$J$39*Q323)</f>
        <v>0</v>
      </c>
      <c r="R332" s="1698">
        <f>+IF(COLUMNS($L332:R332)&lt;month,'2.1 Reimburse'!$I$39*R323,'2.1 Reimburse'!$J$39*R323)</f>
        <v>0</v>
      </c>
      <c r="S332" s="1698">
        <f>+IF(COLUMNS($L332:S332)&lt;month,'2.1 Reimburse'!$I$39*S323,'2.1 Reimburse'!$J$39*S323)</f>
        <v>0</v>
      </c>
      <c r="T332" s="1698">
        <f>+IF(COLUMNS($L332:T332)&lt;month,'2.1 Reimburse'!$I$39*T323,'2.1 Reimburse'!$J$39*T323)</f>
        <v>0</v>
      </c>
      <c r="U332" s="1698">
        <f>+IF(COLUMNS($L332:U332)&lt;month,'2.1 Reimburse'!$I$39*U323,'2.1 Reimburse'!$J$39*U323)</f>
        <v>0</v>
      </c>
      <c r="V332" s="1698">
        <f>+IF(COLUMNS($L332:V332)&lt;month,'2.1 Reimburse'!$I$39*V323,'2.1 Reimburse'!$J$39*V323)</f>
        <v>0</v>
      </c>
      <c r="W332" s="1698">
        <f>+IF(COLUMNS($L332:W332)&lt;month,'2.1 Reimburse'!$I$39*W323,'2.1 Reimburse'!$J$39*W323)</f>
        <v>0</v>
      </c>
      <c r="Y332" s="99" t="s">
        <v>725</v>
      </c>
      <c r="Z332" s="45" t="str">
        <f>Z325</f>
        <v>Yr2 - Yr3</v>
      </c>
    </row>
    <row r="333" spans="1:26">
      <c r="A333" s="3" t="s">
        <v>2651</v>
      </c>
      <c r="B333" t="str">
        <f t="shared" ref="B333:B349" si="16">+$B$243</f>
        <v>P10_11032_00494</v>
      </c>
      <c r="C333" t="str">
        <f t="shared" ref="C333:C342" si="17">+$C$243</f>
        <v>LE_XXXX</v>
      </c>
      <c r="D333" t="s">
        <v>2886</v>
      </c>
      <c r="E333">
        <v>6010</v>
      </c>
      <c r="F333" t="s">
        <v>2888</v>
      </c>
      <c r="G333" t="s">
        <v>153</v>
      </c>
      <c r="H333" t="s">
        <v>154</v>
      </c>
      <c r="I333" t="s">
        <v>146</v>
      </c>
      <c r="J333" t="s">
        <v>147</v>
      </c>
      <c r="K333" t="str">
        <f>+"FY"&amp;RIGHT(YEAR('Hyperion Panel'!$B$9)+2,2)</f>
        <v>FY12</v>
      </c>
      <c r="L333" s="1697">
        <f>+IF(COLUMNS($L333:L333)&lt;month,'6. Market'!$AM$107*SUM(L316:L317,L319:L320,L322:L323),'6. Market'!$AN$107*SUM(L316:L317,L319:L320,L322:L323))</f>
        <v>39860.778356496841</v>
      </c>
      <c r="M333" s="1697">
        <f>+IF(COLUMNS($L333:M333)&lt;month,'6. Market'!$AM$107*SUM(M316:M317,M319:M320,M322:M323),'6. Market'!$AN$107*SUM(M316:M317,M319:M320,M322:M323))</f>
        <v>39860.778356496841</v>
      </c>
      <c r="N333" s="1697">
        <f>+IF(COLUMNS($L333:N333)&lt;month,'6. Market'!$AM$107*SUM(N316:N317,N319:N320,N322:N323),'6. Market'!$AN$107*SUM(N316:N317,N319:N320,N322:N323))</f>
        <v>39860.778356496841</v>
      </c>
      <c r="O333" s="1697">
        <f>+IF(COLUMNS($L333:O333)&lt;month,'6. Market'!$AM$107*SUM(O316:O317,O319:O320,O322:O323),'6. Market'!$AN$107*SUM(O316:O317,O319:O320,O322:O323))</f>
        <v>39860.778356496841</v>
      </c>
      <c r="P333" s="1697">
        <f>+IF(COLUMNS($L333:P333)&lt;month,'6. Market'!$AM$107*SUM(P316:P317,P319:P320,P322:P323),'6. Market'!$AN$107*SUM(P316:P317,P319:P320,P322:P323))</f>
        <v>39860.778356496841</v>
      </c>
      <c r="Q333" s="1697">
        <f>+IF(COLUMNS($L333:Q333)&lt;month,'6. Market'!$AM$107*SUM(Q316:Q317,Q319:Q320,Q322:Q323),'6. Market'!$AN$107*SUM(Q316:Q317,Q319:Q320,Q322:Q323))</f>
        <v>39860.778356496841</v>
      </c>
      <c r="R333" s="1697">
        <f>+IF(COLUMNS($L333:R333)&lt;month,'6. Market'!$AM$107*SUM(R316:R317,R319:R320,R322:R323),'6. Market'!$AN$107*SUM(R316:R317,R319:R320,R322:R323))</f>
        <v>39860.778356496841</v>
      </c>
      <c r="S333" s="1697">
        <f>+IF(COLUMNS($L333:S333)&lt;month,'6. Market'!$AM$107*SUM(S316:S317,S319:S320,S322:S323),'6. Market'!$AN$107*SUM(S316:S317,S319:S320,S322:S323))</f>
        <v>39860.778356496841</v>
      </c>
      <c r="T333" s="1697">
        <f>+IF(COLUMNS($L333:T333)&lt;month,'6. Market'!$AM$107*SUM(T316:T317,T319:T320,T322:T323),'6. Market'!$AN$107*SUM(T316:T317,T319:T320,T322:T323))</f>
        <v>39860.778356496841</v>
      </c>
      <c r="U333" s="1697">
        <f>+IF(COLUMNS($L333:U333)&lt;month,'6. Market'!$AM$107*SUM(U316:U317,U319:U320,U322:U323),'6. Market'!$AN$107*SUM(U316:U317,U319:U320,U322:U323))</f>
        <v>39860.778356496841</v>
      </c>
      <c r="V333" s="1697">
        <f>+IF(COLUMNS($L333:V333)&lt;month,'6. Market'!$AM$107*SUM(V316:V317,V319:V320,V322:V323),'6. Market'!$AN$107*SUM(V316:V317,V319:V320,V322:V323))</f>
        <v>41056.601707191752</v>
      </c>
      <c r="W333" s="1697">
        <f>+IF(COLUMNS($L333:W333)&lt;month,'6. Market'!$AM$107*SUM(W316:W317,W319:W320,W322:W323),'6. Market'!$AN$107*SUM(W316:W317,W319:W320,W322:W323))</f>
        <v>41056.601707191752</v>
      </c>
    </row>
    <row r="334" spans="1:26">
      <c r="A334" t="s">
        <v>2652</v>
      </c>
      <c r="B334" t="str">
        <f t="shared" si="16"/>
        <v>P10_11032_00494</v>
      </c>
      <c r="C334" t="str">
        <f t="shared" si="17"/>
        <v>LE_XXXX</v>
      </c>
      <c r="D334" t="s">
        <v>2886</v>
      </c>
      <c r="E334">
        <v>6010</v>
      </c>
      <c r="F334" t="s">
        <v>2888</v>
      </c>
      <c r="G334" t="s">
        <v>155</v>
      </c>
      <c r="H334" t="s">
        <v>154</v>
      </c>
      <c r="I334" t="s">
        <v>146</v>
      </c>
      <c r="J334" t="s">
        <v>147</v>
      </c>
      <c r="K334" t="str">
        <f>+"FY"&amp;RIGHT(YEAR('Hyperion Panel'!$B$9)+2,2)</f>
        <v>FY12</v>
      </c>
      <c r="L334" s="1612">
        <f>+IF(COLUMNS($L334:L334)&lt;month,'6. Market'!$AM$74/12,'6. Market'!$AN$74/12)</f>
        <v>15238.85</v>
      </c>
      <c r="M334" s="1612">
        <f>+IF(COLUMNS($L334:M334)&lt;month,'6. Market'!$AM$74/12,'6. Market'!$AN$74/12)</f>
        <v>15238.85</v>
      </c>
      <c r="N334" s="1612">
        <f>+IF(COLUMNS($L334:N334)&lt;month,'6. Market'!$AM$74/12,'6. Market'!$AN$74/12)</f>
        <v>15238.85</v>
      </c>
      <c r="O334" s="1612">
        <f>+IF(COLUMNS($L334:O334)&lt;month,'6. Market'!$AM$74/12,'6. Market'!$AN$74/12)</f>
        <v>15238.85</v>
      </c>
      <c r="P334" s="1612">
        <f>+IF(COLUMNS($L334:P334)&lt;month,'6. Market'!$AM$74/12,'6. Market'!$AN$74/12)</f>
        <v>15238.85</v>
      </c>
      <c r="Q334" s="1612">
        <f>+IF(COLUMNS($L334:Q334)&lt;month,'6. Market'!$AM$74/12,'6. Market'!$AN$74/12)</f>
        <v>15238.85</v>
      </c>
      <c r="R334" s="1612">
        <f>+IF(COLUMNS($L334:R334)&lt;month,'6. Market'!$AM$74/12,'6. Market'!$AN$74/12)</f>
        <v>15238.85</v>
      </c>
      <c r="S334" s="1612">
        <f>+IF(COLUMNS($L334:S334)&lt;month,'6. Market'!$AM$74/12,'6. Market'!$AN$74/12)</f>
        <v>15238.85</v>
      </c>
      <c r="T334" s="1612">
        <f>+IF(COLUMNS($L334:T334)&lt;month,'6. Market'!$AM$74/12,'6. Market'!$AN$74/12)</f>
        <v>15238.85</v>
      </c>
      <c r="U334" s="1612">
        <f>+IF(COLUMNS($L334:U334)&lt;month,'6. Market'!$AM$74/12,'6. Market'!$AN$74/12)</f>
        <v>15238.85</v>
      </c>
      <c r="V334" s="1612">
        <f>+IF(COLUMNS($L334:V334)&lt;month,'6. Market'!$AM$74/12,'6. Market'!$AN$74/12)</f>
        <v>15696.015500000001</v>
      </c>
      <c r="W334" s="1612">
        <f>+IF(COLUMNS($L334:W334)&lt;month,'6. Market'!$AM$74/12,'6. Market'!$AN$74/12)</f>
        <v>15696.015500000001</v>
      </c>
    </row>
    <row r="335" spans="1:26">
      <c r="A335" t="s">
        <v>2653</v>
      </c>
      <c r="B335" t="str">
        <f t="shared" si="16"/>
        <v>P10_11032_00494</v>
      </c>
      <c r="C335" t="str">
        <f t="shared" si="17"/>
        <v>LE_XXXX</v>
      </c>
      <c r="D335" t="s">
        <v>2886</v>
      </c>
      <c r="E335">
        <v>6051</v>
      </c>
      <c r="F335" t="s">
        <v>2888</v>
      </c>
      <c r="G335" t="s">
        <v>153</v>
      </c>
      <c r="H335" t="s">
        <v>154</v>
      </c>
      <c r="I335" t="s">
        <v>146</v>
      </c>
      <c r="J335" t="s">
        <v>147</v>
      </c>
      <c r="K335" t="str">
        <f>+"FY"&amp;RIGHT(YEAR('Hyperion Panel'!$B$9)+2,2)</f>
        <v>FY12</v>
      </c>
      <c r="L335" s="1612">
        <f>+IF(COLUMNS($L335:L335)&lt;month,'6. Market'!$AM$75/12,'6. Market'!$AN$75/12)</f>
        <v>19457.450243111161</v>
      </c>
      <c r="M335" s="1612">
        <f>+IF(COLUMNS($L335:M335)&lt;month,'6. Market'!$AM$75/12,'6. Market'!$AN$75/12)</f>
        <v>19457.450243111161</v>
      </c>
      <c r="N335" s="1612">
        <f>+IF(COLUMNS($L335:N335)&lt;month,'6. Market'!$AM$75/12,'6. Market'!$AN$75/12)</f>
        <v>19457.450243111161</v>
      </c>
      <c r="O335" s="1612">
        <f>+IF(COLUMNS($L335:O335)&lt;month,'6. Market'!$AM$75/12,'6. Market'!$AN$75/12)</f>
        <v>19457.450243111161</v>
      </c>
      <c r="P335" s="1612">
        <f>+IF(COLUMNS($L335:P335)&lt;month,'6. Market'!$AM$75/12,'6. Market'!$AN$75/12)</f>
        <v>19457.450243111161</v>
      </c>
      <c r="Q335" s="1612">
        <f>+IF(COLUMNS($L335:Q335)&lt;month,'6. Market'!$AM$75/12,'6. Market'!$AN$75/12)</f>
        <v>19457.450243111161</v>
      </c>
      <c r="R335" s="1612">
        <f>+IF(COLUMNS($L335:R335)&lt;month,'6. Market'!$AM$75/12,'6. Market'!$AN$75/12)</f>
        <v>19457.450243111161</v>
      </c>
      <c r="S335" s="1612">
        <f>+IF(COLUMNS($L335:S335)&lt;month,'6. Market'!$AM$75/12,'6. Market'!$AN$75/12)</f>
        <v>19457.450243111161</v>
      </c>
      <c r="T335" s="1612">
        <f>+IF(COLUMNS($L335:T335)&lt;month,'6. Market'!$AM$75/12,'6. Market'!$AN$75/12)</f>
        <v>19457.450243111161</v>
      </c>
      <c r="U335" s="1612">
        <f>+IF(COLUMNS($L335:U335)&lt;month,'6. Market'!$AM$75/12,'6. Market'!$AN$75/12)</f>
        <v>19457.450243111161</v>
      </c>
      <c r="V335" s="1612">
        <f>+IF(COLUMNS($L335:V335)&lt;month,'6. Market'!$AM$75/12,'6. Market'!$AN$75/12)</f>
        <v>20041.173750404498</v>
      </c>
      <c r="W335" s="1612">
        <f>+IF(COLUMNS($L335:W335)&lt;month,'6. Market'!$AM$75/12,'6. Market'!$AN$75/12)</f>
        <v>20041.173750404498</v>
      </c>
    </row>
    <row r="336" spans="1:26">
      <c r="A336" t="s">
        <v>2654</v>
      </c>
      <c r="B336" t="str">
        <f t="shared" si="16"/>
        <v>P10_11032_00494</v>
      </c>
      <c r="C336" t="str">
        <f t="shared" si="17"/>
        <v>LE_XXXX</v>
      </c>
      <c r="D336" t="s">
        <v>2886</v>
      </c>
      <c r="E336">
        <v>6011</v>
      </c>
      <c r="F336" t="s">
        <v>2888</v>
      </c>
      <c r="G336" t="s">
        <v>153</v>
      </c>
      <c r="H336" t="s">
        <v>154</v>
      </c>
      <c r="I336" t="s">
        <v>146</v>
      </c>
      <c r="J336" t="s">
        <v>147</v>
      </c>
      <c r="K336" t="str">
        <f>+"FY"&amp;RIGHT(YEAR('Hyperion Panel'!$B$9)+2,2)</f>
        <v>FY12</v>
      </c>
      <c r="L336" s="1612">
        <f>+IF(COLUMNS($L336:L336)&lt;month,'6. Market'!$AM$76/12,'6. Market'!$AN$76/12)</f>
        <v>0</v>
      </c>
      <c r="M336" s="1612">
        <f>+IF(COLUMNS($L336:M336)&lt;month,'6. Market'!$AM$76/12,'6. Market'!$AN$76/12)</f>
        <v>0</v>
      </c>
      <c r="N336" s="1612">
        <f>+IF(COLUMNS($L336:N336)&lt;month,'6. Market'!$AM$76/12,'6. Market'!$AN$76/12)</f>
        <v>0</v>
      </c>
      <c r="O336" s="1612">
        <f>+IF(COLUMNS($L336:O336)&lt;month,'6. Market'!$AM$76/12,'6. Market'!$AN$76/12)</f>
        <v>0</v>
      </c>
      <c r="P336" s="1612">
        <f>+IF(COLUMNS($L336:P336)&lt;month,'6. Market'!$AM$76/12,'6. Market'!$AN$76/12)</f>
        <v>0</v>
      </c>
      <c r="Q336" s="1612">
        <f>+IF(COLUMNS($L336:Q336)&lt;month,'6. Market'!$AM$76/12,'6. Market'!$AN$76/12)</f>
        <v>0</v>
      </c>
      <c r="R336" s="1612">
        <f>+IF(COLUMNS($L336:R336)&lt;month,'6. Market'!$AM$76/12,'6. Market'!$AN$76/12)</f>
        <v>0</v>
      </c>
      <c r="S336" s="1612">
        <f>+IF(COLUMNS($L336:S336)&lt;month,'6. Market'!$AM$76/12,'6. Market'!$AN$76/12)</f>
        <v>0</v>
      </c>
      <c r="T336" s="1612">
        <f>+IF(COLUMNS($L336:T336)&lt;month,'6. Market'!$AM$76/12,'6. Market'!$AN$76/12)</f>
        <v>0</v>
      </c>
      <c r="U336" s="1612">
        <f>+IF(COLUMNS($L336:U336)&lt;month,'6. Market'!$AM$76/12,'6. Market'!$AN$76/12)</f>
        <v>0</v>
      </c>
      <c r="V336" s="1612">
        <f>+IF(COLUMNS($L336:V336)&lt;month,'6. Market'!$AM$76/12,'6. Market'!$AN$76/12)</f>
        <v>0</v>
      </c>
      <c r="W336" s="1612">
        <f>+IF(COLUMNS($L336:W336)&lt;month,'6. Market'!$AM$76/12,'6. Market'!$AN$76/12)</f>
        <v>0</v>
      </c>
    </row>
    <row r="337" spans="1:26">
      <c r="A337" s="6" t="s">
        <v>3769</v>
      </c>
      <c r="B337" t="str">
        <f t="shared" si="16"/>
        <v>P10_11032_00494</v>
      </c>
      <c r="C337" t="str">
        <f t="shared" si="17"/>
        <v>LE_XXXX</v>
      </c>
      <c r="D337" t="s">
        <v>2886</v>
      </c>
      <c r="E337">
        <v>6600</v>
      </c>
      <c r="F337" t="s">
        <v>2888</v>
      </c>
      <c r="G337" t="s">
        <v>2889</v>
      </c>
      <c r="H337" t="s">
        <v>154</v>
      </c>
      <c r="I337" t="s">
        <v>146</v>
      </c>
      <c r="J337" t="s">
        <v>147</v>
      </c>
      <c r="K337" t="str">
        <f>+"FY"&amp;RIGHT(YEAR('Hyperion Panel'!$B$9)+2,2)</f>
        <v>FY12</v>
      </c>
      <c r="L337" s="1712">
        <f>+IF(COLUMNS($L337:L337)&lt;month,'2.3 Expenses'!$O$47*SUM(L316:L317,L319:L320),'2.3 Expenses'!$P$47*SUM(L316:L317,L319:L320))</f>
        <v>54018.065244350633</v>
      </c>
      <c r="M337" s="1712">
        <f>+IF(COLUMNS($L337:M337)&lt;month,'2.3 Expenses'!$O$47*SUM(M316:M317,M319:M320),'2.3 Expenses'!$P$47*SUM(M316:M317,M319:M320))</f>
        <v>54018.065244350633</v>
      </c>
      <c r="N337" s="1712">
        <f>+IF(COLUMNS($L337:N337)&lt;month,'2.3 Expenses'!$O$47*SUM(N316:N317,N319:N320),'2.3 Expenses'!$P$47*SUM(N316:N317,N319:N320))</f>
        <v>54018.065244350633</v>
      </c>
      <c r="O337" s="1712">
        <f>+IF(COLUMNS($L337:O337)&lt;month,'2.3 Expenses'!$O$47*SUM(O316:O317,O319:O320),'2.3 Expenses'!$P$47*SUM(O316:O317,O319:O320))</f>
        <v>54018.065244350633</v>
      </c>
      <c r="P337" s="1712">
        <f>+IF(COLUMNS($L337:P337)&lt;month,'2.3 Expenses'!$O$47*SUM(P316:P317,P319:P320),'2.3 Expenses'!$P$47*SUM(P316:P317,P319:P320))</f>
        <v>54018.065244350633</v>
      </c>
      <c r="Q337" s="1712">
        <f>+IF(COLUMNS($L337:Q337)&lt;month,'2.3 Expenses'!$O$47*SUM(Q316:Q317,Q319:Q320),'2.3 Expenses'!$P$47*SUM(Q316:Q317,Q319:Q320))</f>
        <v>54018.065244350633</v>
      </c>
      <c r="R337" s="1712">
        <f>+IF(COLUMNS($L337:R337)&lt;month,'2.3 Expenses'!$O$47*SUM(R316:R317,R319:R320),'2.3 Expenses'!$P$47*SUM(R316:R317,R319:R320))</f>
        <v>54018.065244350633</v>
      </c>
      <c r="S337" s="1712">
        <f>+IF(COLUMNS($L337:S337)&lt;month,'2.3 Expenses'!$O$47*SUM(S316:S317,S319:S320),'2.3 Expenses'!$P$47*SUM(S316:S317,S319:S320))</f>
        <v>54018.065244350633</v>
      </c>
      <c r="T337" s="1712">
        <f>+IF(COLUMNS($L337:T337)&lt;month,'2.3 Expenses'!$O$47*SUM(T316:T317,T319:T320),'2.3 Expenses'!$P$47*SUM(T316:T317,T319:T320))</f>
        <v>54018.065244350633</v>
      </c>
      <c r="U337" s="1712">
        <f>+IF(COLUMNS($L337:U337)&lt;month,'2.3 Expenses'!$O$47*SUM(U316:U317,U319:U320),'2.3 Expenses'!$P$47*SUM(U316:U317,U319:U320))</f>
        <v>54018.065244350633</v>
      </c>
      <c r="V337" s="1712">
        <f>+IF(COLUMNS($L337:V337)&lt;month,'2.3 Expenses'!$O$47*SUM(V316:V317,V319:V320),'2.3 Expenses'!$P$47*SUM(V316:V317,V319:V320))</f>
        <v>55098.426549237643</v>
      </c>
      <c r="W337" s="1712">
        <f>+IF(COLUMNS($L337:W337)&lt;month,'2.3 Expenses'!$O$47*SUM(W316:W317,W319:W320),'2.3 Expenses'!$P$47*SUM(W316:W317,W319:W320))</f>
        <v>55098.426549237643</v>
      </c>
    </row>
    <row r="338" spans="1:26">
      <c r="A338" s="6" t="s">
        <v>3770</v>
      </c>
      <c r="B338" t="str">
        <f t="shared" si="16"/>
        <v>P10_11032_00494</v>
      </c>
      <c r="C338" t="str">
        <f t="shared" si="17"/>
        <v>LE_XXXX</v>
      </c>
      <c r="D338" t="s">
        <v>2886</v>
      </c>
      <c r="E338">
        <v>6800</v>
      </c>
      <c r="F338" t="s">
        <v>156</v>
      </c>
      <c r="G338" t="s">
        <v>2889</v>
      </c>
      <c r="H338" t="s">
        <v>154</v>
      </c>
      <c r="I338" t="s">
        <v>146</v>
      </c>
      <c r="J338" t="s">
        <v>147</v>
      </c>
      <c r="K338" t="str">
        <f>+"FY"&amp;RIGHT(YEAR('Hyperion Panel'!$B$9)+2,2)</f>
        <v>FY12</v>
      </c>
      <c r="L338" s="1712">
        <f>+IF(COLUMNS($L338:L338)&lt;month,'2.3 Expenses'!$O$50*SUM(L316:L317,L319:L320),'2.3 Expenses'!$P$50*SUM(L316:L317,L319:L320))</f>
        <v>20214.79507079611</v>
      </c>
      <c r="M338" s="1712">
        <f>+IF(COLUMNS($L338:M338)&lt;month,'2.3 Expenses'!$O$50*SUM(M316:M317,M319:M320),'2.3 Expenses'!$P$50*SUM(M316:M317,M319:M320))</f>
        <v>20214.79507079611</v>
      </c>
      <c r="N338" s="1712">
        <f>+IF(COLUMNS($L338:N338)&lt;month,'2.3 Expenses'!$O$50*SUM(N316:N317,N319:N320),'2.3 Expenses'!$P$50*SUM(N316:N317,N319:N320))</f>
        <v>20214.79507079611</v>
      </c>
      <c r="O338" s="1712">
        <f>+IF(COLUMNS($L338:O338)&lt;month,'2.3 Expenses'!$O$50*SUM(O316:O317,O319:O320),'2.3 Expenses'!$P$50*SUM(O316:O317,O319:O320))</f>
        <v>20214.79507079611</v>
      </c>
      <c r="P338" s="1712">
        <f>+IF(COLUMNS($L338:P338)&lt;month,'2.3 Expenses'!$O$50*SUM(P316:P317,P319:P320),'2.3 Expenses'!$P$50*SUM(P316:P317,P319:P320))</f>
        <v>20214.79507079611</v>
      </c>
      <c r="Q338" s="1712">
        <f>+IF(COLUMNS($L338:Q338)&lt;month,'2.3 Expenses'!$O$50*SUM(Q316:Q317,Q319:Q320),'2.3 Expenses'!$P$50*SUM(Q316:Q317,Q319:Q320))</f>
        <v>20214.79507079611</v>
      </c>
      <c r="R338" s="1712">
        <f>+IF(COLUMNS($L338:R338)&lt;month,'2.3 Expenses'!$O$50*SUM(R316:R317,R319:R320),'2.3 Expenses'!$P$50*SUM(R316:R317,R319:R320))</f>
        <v>20214.79507079611</v>
      </c>
      <c r="S338" s="1712">
        <f>+IF(COLUMNS($L338:S338)&lt;month,'2.3 Expenses'!$O$50*SUM(S316:S317,S319:S320),'2.3 Expenses'!$P$50*SUM(S316:S317,S319:S320))</f>
        <v>20214.79507079611</v>
      </c>
      <c r="T338" s="1712">
        <f>+IF(COLUMNS($L338:T338)&lt;month,'2.3 Expenses'!$O$50*SUM(T316:T317,T319:T320),'2.3 Expenses'!$P$50*SUM(T316:T317,T319:T320))</f>
        <v>20214.79507079611</v>
      </c>
      <c r="U338" s="1712">
        <f>+IF(COLUMNS($L338:U338)&lt;month,'2.3 Expenses'!$O$50*SUM(U316:U317,U319:U320),'2.3 Expenses'!$P$50*SUM(U316:U317,U319:U320))</f>
        <v>20214.79507079611</v>
      </c>
      <c r="V338" s="1712">
        <f>+IF(COLUMNS($L338:V338)&lt;month,'2.3 Expenses'!$O$50*SUM(V316:V317,V319:V320),'2.3 Expenses'!$P$50*SUM(V316:V317,V319:V320))</f>
        <v>20821.238922919994</v>
      </c>
      <c r="W338" s="1712">
        <f>+IF(COLUMNS($L338:W338)&lt;month,'2.3 Expenses'!$O$50*SUM(W316:W317,W319:W320),'2.3 Expenses'!$P$50*SUM(W316:W317,W319:W320))</f>
        <v>20821.238922919994</v>
      </c>
    </row>
    <row r="339" spans="1:26">
      <c r="A339" t="s">
        <v>3697</v>
      </c>
      <c r="B339" t="str">
        <f t="shared" si="16"/>
        <v>P10_11032_00494</v>
      </c>
      <c r="C339" t="str">
        <f t="shared" si="17"/>
        <v>LE_XXXX</v>
      </c>
      <c r="D339" t="s">
        <v>2886</v>
      </c>
      <c r="E339">
        <v>8600</v>
      </c>
      <c r="F339" t="s">
        <v>156</v>
      </c>
      <c r="G339" t="s">
        <v>2889</v>
      </c>
      <c r="H339" t="s">
        <v>154</v>
      </c>
      <c r="I339" t="s">
        <v>146</v>
      </c>
      <c r="J339" t="s">
        <v>147</v>
      </c>
      <c r="K339" t="str">
        <f>+"FY"&amp;RIGHT(YEAR('Hyperion Panel'!$B$9)+2,2)</f>
        <v>FY12</v>
      </c>
      <c r="L339" s="1612">
        <f>+IF(COLUMNS($L339:L339)&lt;month,'6. Market'!$AM$78/12,'6. Market'!$AN$78/12)</f>
        <v>16969.239699999998</v>
      </c>
      <c r="M339" s="1612">
        <f>+IF(COLUMNS($L339:M339)&lt;month,'6. Market'!$AM$78/12,'6. Market'!$AN$78/12)</f>
        <v>16969.239699999998</v>
      </c>
      <c r="N339" s="1612">
        <f>+IF(COLUMNS($L339:N339)&lt;month,'6. Market'!$AM$78/12,'6. Market'!$AN$78/12)</f>
        <v>16969.239699999998</v>
      </c>
      <c r="O339" s="1612">
        <f>+IF(COLUMNS($L339:O339)&lt;month,'6. Market'!$AM$78/12,'6. Market'!$AN$78/12)</f>
        <v>16969.239699999998</v>
      </c>
      <c r="P339" s="1612">
        <f>+IF(COLUMNS($L339:P339)&lt;month,'6. Market'!$AM$78/12,'6. Market'!$AN$78/12)</f>
        <v>16969.239699999998</v>
      </c>
      <c r="Q339" s="1612">
        <f>+IF(COLUMNS($L339:Q339)&lt;month,'6. Market'!$AM$78/12,'6. Market'!$AN$78/12)</f>
        <v>16969.239699999998</v>
      </c>
      <c r="R339" s="1612">
        <f>+IF(COLUMNS($L339:R339)&lt;month,'6. Market'!$AM$78/12,'6. Market'!$AN$78/12)</f>
        <v>16969.239699999998</v>
      </c>
      <c r="S339" s="1612">
        <f>+IF(COLUMNS($L339:S339)&lt;month,'6. Market'!$AM$78/12,'6. Market'!$AN$78/12)</f>
        <v>16969.239699999998</v>
      </c>
      <c r="T339" s="1612">
        <f>+IF(COLUMNS($L339:T339)&lt;month,'6. Market'!$AM$78/12,'6. Market'!$AN$78/12)</f>
        <v>16969.239699999998</v>
      </c>
      <c r="U339" s="1612">
        <f>+IF(COLUMNS($L339:U339)&lt;month,'6. Market'!$AM$78/12,'6. Market'!$AN$78/12)</f>
        <v>16969.239699999998</v>
      </c>
      <c r="V339" s="1612">
        <f>+IF(COLUMNS($L339:V339)&lt;month,'6. Market'!$AM$78/12,'6. Market'!$AN$78/12)</f>
        <v>17478.316890999999</v>
      </c>
      <c r="W339" s="1612">
        <f>+IF(COLUMNS($L339:W339)&lt;month,'6. Market'!$AM$78/12,'6. Market'!$AN$78/12)</f>
        <v>17478.316890999999</v>
      </c>
    </row>
    <row r="340" spans="1:26">
      <c r="A340" t="s">
        <v>157</v>
      </c>
      <c r="B340" t="str">
        <f t="shared" si="16"/>
        <v>P10_11032_00494</v>
      </c>
      <c r="C340" t="str">
        <f t="shared" si="17"/>
        <v>LE_XXXX</v>
      </c>
      <c r="D340" t="s">
        <v>2886</v>
      </c>
      <c r="E340">
        <v>6720</v>
      </c>
      <c r="F340" t="s">
        <v>156</v>
      </c>
      <c r="G340" t="s">
        <v>2889</v>
      </c>
      <c r="H340" t="s">
        <v>154</v>
      </c>
      <c r="I340" t="s">
        <v>146</v>
      </c>
      <c r="J340" t="s">
        <v>147</v>
      </c>
      <c r="K340" t="str">
        <f>+"FY"&amp;RIGHT(YEAR('Hyperion Panel'!$B$9)+2,2)</f>
        <v>FY12</v>
      </c>
      <c r="L340" s="1612">
        <f>+IF(COLUMNS($L340:L340)&lt;month,'6. Market'!$AM$79/12,'6. Market'!$AN$79/12)</f>
        <v>15833.32</v>
      </c>
      <c r="M340" s="1612">
        <f>+IF(COLUMNS($L340:M340)&lt;month,'6. Market'!$AM$79/12,'6. Market'!$AN$79/12)</f>
        <v>15833.32</v>
      </c>
      <c r="N340" s="1612">
        <f>+IF(COLUMNS($L340:N340)&lt;month,'6. Market'!$AM$79/12,'6. Market'!$AN$79/12)</f>
        <v>15833.32</v>
      </c>
      <c r="O340" s="1612">
        <f>+IF(COLUMNS($L340:O340)&lt;month,'6. Market'!$AM$79/12,'6. Market'!$AN$79/12)</f>
        <v>15833.32</v>
      </c>
      <c r="P340" s="1612">
        <f>+IF(COLUMNS($L340:P340)&lt;month,'6. Market'!$AM$79/12,'6. Market'!$AN$79/12)</f>
        <v>15833.32</v>
      </c>
      <c r="Q340" s="1612">
        <f>+IF(COLUMNS($L340:Q340)&lt;month,'6. Market'!$AM$79/12,'6. Market'!$AN$79/12)</f>
        <v>15833.32</v>
      </c>
      <c r="R340" s="1612">
        <f>+IF(COLUMNS($L340:R340)&lt;month,'6. Market'!$AM$79/12,'6. Market'!$AN$79/12)</f>
        <v>15833.32</v>
      </c>
      <c r="S340" s="1612">
        <f>+IF(COLUMNS($L340:S340)&lt;month,'6. Market'!$AM$79/12,'6. Market'!$AN$79/12)</f>
        <v>15833.32</v>
      </c>
      <c r="T340" s="1612">
        <f>+IF(COLUMNS($L340:T340)&lt;month,'6. Market'!$AM$79/12,'6. Market'!$AN$79/12)</f>
        <v>15833.32</v>
      </c>
      <c r="U340" s="1612">
        <f>+IF(COLUMNS($L340:U340)&lt;month,'6. Market'!$AM$79/12,'6. Market'!$AN$79/12)</f>
        <v>15833.32</v>
      </c>
      <c r="V340" s="1612">
        <f>+IF(COLUMNS($L340:V340)&lt;month,'6. Market'!$AM$79/12,'6. Market'!$AN$79/12)</f>
        <v>15833.32</v>
      </c>
      <c r="W340" s="1612">
        <f>+IF(COLUMNS($L340:W340)&lt;month,'6. Market'!$AM$79/12,'6. Market'!$AN$79/12)</f>
        <v>15833.32</v>
      </c>
    </row>
    <row r="341" spans="1:26">
      <c r="A341" t="s">
        <v>3771</v>
      </c>
      <c r="B341" t="str">
        <f t="shared" si="16"/>
        <v>P10_11032_00494</v>
      </c>
      <c r="C341" t="str">
        <f t="shared" si="17"/>
        <v>LE_XXXX</v>
      </c>
      <c r="D341" t="s">
        <v>2886</v>
      </c>
      <c r="E341">
        <v>8110</v>
      </c>
      <c r="F341" t="s">
        <v>156</v>
      </c>
      <c r="G341" t="s">
        <v>2889</v>
      </c>
      <c r="H341" t="s">
        <v>154</v>
      </c>
      <c r="I341" t="s">
        <v>146</v>
      </c>
      <c r="J341" t="s">
        <v>147</v>
      </c>
      <c r="K341" t="str">
        <f>+"FY"&amp;RIGHT(YEAR('Hyperion Panel'!$B$9)+2,2)</f>
        <v>FY12</v>
      </c>
      <c r="L341" s="1612">
        <f>+IF(COLUMNS($L341:L341)&lt;month,'6. Market'!$AM$82/12,'6. Market'!$AN$82/12)</f>
        <v>1076.0461499999999</v>
      </c>
      <c r="M341" s="1612">
        <f>+IF(COLUMNS($L341:M341)&lt;month,'6. Market'!$AM$82/12,'6. Market'!$AN$82/12)</f>
        <v>1076.0461499999999</v>
      </c>
      <c r="N341" s="1612">
        <f>+IF(COLUMNS($L341:N341)&lt;month,'6. Market'!$AM$82/12,'6. Market'!$AN$82/12)</f>
        <v>1076.0461499999999</v>
      </c>
      <c r="O341" s="1612">
        <f>+IF(COLUMNS($L341:O341)&lt;month,'6. Market'!$AM$82/12,'6. Market'!$AN$82/12)</f>
        <v>1076.0461499999999</v>
      </c>
      <c r="P341" s="1612">
        <f>+IF(COLUMNS($L341:P341)&lt;month,'6. Market'!$AM$82/12,'6. Market'!$AN$82/12)</f>
        <v>1076.0461499999999</v>
      </c>
      <c r="Q341" s="1612">
        <f>+IF(COLUMNS($L341:Q341)&lt;month,'6. Market'!$AM$82/12,'6. Market'!$AN$82/12)</f>
        <v>1076.0461499999999</v>
      </c>
      <c r="R341" s="1612">
        <f>+IF(COLUMNS($L341:R341)&lt;month,'6. Market'!$AM$82/12,'6. Market'!$AN$82/12)</f>
        <v>1076.0461499999999</v>
      </c>
      <c r="S341" s="1612">
        <f>+IF(COLUMNS($L341:S341)&lt;month,'6. Market'!$AM$82/12,'6. Market'!$AN$82/12)</f>
        <v>1076.0461499999999</v>
      </c>
      <c r="T341" s="1612">
        <f>+IF(COLUMNS($L341:T341)&lt;month,'6. Market'!$AM$82/12,'6. Market'!$AN$82/12)</f>
        <v>1076.0461499999999</v>
      </c>
      <c r="U341" s="1612">
        <f>+IF(COLUMNS($L341:U341)&lt;month,'6. Market'!$AM$82/12,'6. Market'!$AN$82/12)</f>
        <v>1076.0461499999999</v>
      </c>
      <c r="V341" s="1612">
        <f>+IF(COLUMNS($L341:V341)&lt;month,'6. Market'!$AM$82/12,'6. Market'!$AN$82/12)</f>
        <v>1108.3275345</v>
      </c>
      <c r="W341" s="1612">
        <f>+IF(COLUMNS($L341:W341)&lt;month,'6. Market'!$AM$82/12,'6. Market'!$AN$82/12)</f>
        <v>1108.3275345</v>
      </c>
    </row>
    <row r="342" spans="1:26">
      <c r="A342" s="102" t="s">
        <v>171</v>
      </c>
      <c r="B342" t="str">
        <f t="shared" si="16"/>
        <v>P10_11032_00494</v>
      </c>
      <c r="C342" s="98" t="str">
        <f t="shared" si="17"/>
        <v>LE_XXXX</v>
      </c>
      <c r="D342" s="98" t="s">
        <v>2886</v>
      </c>
      <c r="E342" s="98">
        <v>6412</v>
      </c>
      <c r="F342" s="98" t="s">
        <v>156</v>
      </c>
      <c r="G342" s="98" t="s">
        <v>2889</v>
      </c>
      <c r="H342" s="98" t="s">
        <v>154</v>
      </c>
      <c r="I342" s="98" t="s">
        <v>146</v>
      </c>
      <c r="J342" s="98" t="s">
        <v>147</v>
      </c>
      <c r="K342" t="str">
        <f>+"FY"&amp;RIGHT(YEAR('Hyperion Panel'!$B$9)+2,2)</f>
        <v>FY12</v>
      </c>
      <c r="L342" s="1712">
        <f>+IF(COLUMNS($L342:L342)&lt;month,'2.3 Expenses'!$O$57*SUM(L316:L317,L319:L320),'2.3 Expenses'!$P$57*SUM(L316:L317,L319:L320))</f>
        <v>19121.923843312405</v>
      </c>
      <c r="M342" s="1712">
        <f>+IF(COLUMNS($L342:M342)&lt;month,'2.3 Expenses'!$O$57*SUM(M316:M317,M319:M320),'2.3 Expenses'!$P$57*SUM(M316:M317,M319:M320))</f>
        <v>19121.923843312405</v>
      </c>
      <c r="N342" s="1712">
        <f>+IF(COLUMNS($L342:N342)&lt;month,'2.3 Expenses'!$O$57*SUM(N316:N317,N319:N320),'2.3 Expenses'!$P$57*SUM(N316:N317,N319:N320))</f>
        <v>19121.923843312405</v>
      </c>
      <c r="O342" s="1712">
        <f>+IF(COLUMNS($L342:O342)&lt;month,'2.3 Expenses'!$O$57*SUM(O316:O317,O319:O320),'2.3 Expenses'!$P$57*SUM(O316:O317,O319:O320))</f>
        <v>19121.923843312405</v>
      </c>
      <c r="P342" s="1712">
        <f>+IF(COLUMNS($L342:P342)&lt;month,'2.3 Expenses'!$O$57*SUM(P316:P317,P319:P320),'2.3 Expenses'!$P$57*SUM(P316:P317,P319:P320))</f>
        <v>19121.923843312405</v>
      </c>
      <c r="Q342" s="1712">
        <f>+IF(COLUMNS($L342:Q342)&lt;month,'2.3 Expenses'!$O$57*SUM(Q316:Q317,Q319:Q320),'2.3 Expenses'!$P$57*SUM(Q316:Q317,Q319:Q320))</f>
        <v>19121.923843312405</v>
      </c>
      <c r="R342" s="1712">
        <f>+IF(COLUMNS($L342:R342)&lt;month,'2.3 Expenses'!$O$57*SUM(R316:R317,R319:R320),'2.3 Expenses'!$P$57*SUM(R316:R317,R319:R320))</f>
        <v>19121.923843312405</v>
      </c>
      <c r="S342" s="1712">
        <f>+IF(COLUMNS($L342:S342)&lt;month,'2.3 Expenses'!$O$57*SUM(S316:S317,S319:S320),'2.3 Expenses'!$P$57*SUM(S316:S317,S319:S320))</f>
        <v>19121.923843312405</v>
      </c>
      <c r="T342" s="1712">
        <f>+IF(COLUMNS($L342:T342)&lt;month,'2.3 Expenses'!$O$57*SUM(T316:T317,T319:T320),'2.3 Expenses'!$P$57*SUM(T316:T317,T319:T320))</f>
        <v>19121.923843312405</v>
      </c>
      <c r="U342" s="1712">
        <f>+IF(COLUMNS($L342:U342)&lt;month,'2.3 Expenses'!$O$57*SUM(U316:U317,U319:U320),'2.3 Expenses'!$P$57*SUM(U316:U317,U319:U320))</f>
        <v>19121.923843312405</v>
      </c>
      <c r="V342" s="1712">
        <f>+IF(COLUMNS($L342:V342)&lt;month,'2.3 Expenses'!$O$57*SUM(V316:V317,V319:V320),'2.3 Expenses'!$P$57*SUM(V316:V317,V319:V320))</f>
        <v>19695.581558611779</v>
      </c>
      <c r="W342" s="1712">
        <f>+IF(COLUMNS($L342:W342)&lt;month,'2.3 Expenses'!$O$57*SUM(W316:W317,W319:W320),'2.3 Expenses'!$P$57*SUM(W316:W317,W319:W320))</f>
        <v>19695.581558611779</v>
      </c>
    </row>
    <row r="343" spans="1:26" s="3" customFormat="1">
      <c r="A343" s="1687" t="s">
        <v>730</v>
      </c>
      <c r="B343" t="str">
        <f t="shared" si="16"/>
        <v>P10_11032_00494</v>
      </c>
      <c r="C343" s="1687" t="str">
        <f>+$C$2</f>
        <v>LE_XXXX</v>
      </c>
      <c r="D343" s="1687" t="s">
        <v>2886</v>
      </c>
      <c r="E343" s="1687">
        <v>8110</v>
      </c>
      <c r="F343" s="1687" t="s">
        <v>731</v>
      </c>
      <c r="G343" s="1687" t="s">
        <v>2889</v>
      </c>
      <c r="H343" s="1687" t="s">
        <v>154</v>
      </c>
      <c r="I343" s="1687" t="s">
        <v>146</v>
      </c>
      <c r="J343" s="1687" t="s">
        <v>147</v>
      </c>
      <c r="K343" t="str">
        <f>+"FY"&amp;RIGHT(YEAR('Hyperion Panel'!$B$9)+2,2)</f>
        <v>FY12</v>
      </c>
      <c r="L343" s="1704">
        <f>+IF(COLUMNS($L343:L343)&lt;month,'6. Market'!$AM$88/12,'6. Market'!$AN$88/12)</f>
        <v>858.33333333333337</v>
      </c>
      <c r="M343" s="1704">
        <f>+IF(COLUMNS($L343:M343)&lt;month,'6. Market'!$AM$88/12,'6. Market'!$AN$88/12)</f>
        <v>858.33333333333337</v>
      </c>
      <c r="N343" s="1704">
        <f>+IF(COLUMNS($L343:N343)&lt;month,'6. Market'!$AM$88/12,'6. Market'!$AN$88/12)</f>
        <v>858.33333333333337</v>
      </c>
      <c r="O343" s="1704">
        <f>+IF(COLUMNS($L343:O343)&lt;month,'6. Market'!$AM$88/12,'6. Market'!$AN$88/12)</f>
        <v>858.33333333333337</v>
      </c>
      <c r="P343" s="1704">
        <f>+IF(COLUMNS($L343:P343)&lt;month,'6. Market'!$AM$88/12,'6. Market'!$AN$88/12)</f>
        <v>858.33333333333337</v>
      </c>
      <c r="Q343" s="1704">
        <f>+IF(COLUMNS($L343:Q343)&lt;month,'6. Market'!$AM$88/12,'6. Market'!$AN$88/12)</f>
        <v>858.33333333333337</v>
      </c>
      <c r="R343" s="1704">
        <f>+IF(COLUMNS($L343:R343)&lt;month,'6. Market'!$AM$88/12,'6. Market'!$AN$88/12)</f>
        <v>858.33333333333337</v>
      </c>
      <c r="S343" s="1704">
        <f>+IF(COLUMNS($L343:S343)&lt;month,'6. Market'!$AM$88/12,'6. Market'!$AN$88/12)</f>
        <v>858.33333333333337</v>
      </c>
      <c r="T343" s="1704">
        <f>+IF(COLUMNS($L343:T343)&lt;month,'6. Market'!$AM$88/12,'6. Market'!$AN$88/12)</f>
        <v>858.33333333333337</v>
      </c>
      <c r="U343" s="1704">
        <f>+IF(COLUMNS($L343:U343)&lt;month,'6. Market'!$AM$88/12,'6. Market'!$AN$88/12)</f>
        <v>858.33333333333337</v>
      </c>
      <c r="V343" s="1704">
        <f>+IF(COLUMNS($L343:V343)&lt;month,'6. Market'!$AM$88/12,'6. Market'!$AN$88/12)</f>
        <v>884.08333333333337</v>
      </c>
      <c r="W343" s="1704">
        <f>+IF(COLUMNS($L343:W343)&lt;month,'6. Market'!$AM$88/12,'6. Market'!$AN$88/12)</f>
        <v>884.08333333333337</v>
      </c>
    </row>
    <row r="344" spans="1:26" s="3" customFormat="1">
      <c r="A344" s="1687" t="s">
        <v>732</v>
      </c>
      <c r="B344" t="str">
        <f t="shared" si="16"/>
        <v>P10_11032_00494</v>
      </c>
      <c r="C344" s="1687" t="str">
        <f>+$C$2</f>
        <v>LE_XXXX</v>
      </c>
      <c r="D344" s="1687" t="s">
        <v>2886</v>
      </c>
      <c r="E344" s="1687"/>
      <c r="F344" s="1687" t="s">
        <v>731</v>
      </c>
      <c r="G344" s="1687" t="s">
        <v>2889</v>
      </c>
      <c r="H344" s="1687" t="s">
        <v>154</v>
      </c>
      <c r="I344" s="1687" t="s">
        <v>146</v>
      </c>
      <c r="J344" s="1687" t="s">
        <v>147</v>
      </c>
      <c r="K344" t="str">
        <f>+"FY"&amp;RIGHT(YEAR('Hyperion Panel'!$B$9)+2,2)</f>
        <v>FY12</v>
      </c>
      <c r="L344" s="1704">
        <f>+IF(COLUMNS($L344:L344)&lt;month,'6. Market'!$AM$89/12,'6. Market'!$AN$89/12)</f>
        <v>0</v>
      </c>
      <c r="M344" s="1704">
        <f>+IF(COLUMNS($L344:M344)&lt;month,'6. Market'!$AM$89/12,'6. Market'!$AN$89/12)</f>
        <v>0</v>
      </c>
      <c r="N344" s="1704">
        <f>+IF(COLUMNS($L344:N344)&lt;month,'6. Market'!$AM$89/12,'6. Market'!$AN$89/12)</f>
        <v>0</v>
      </c>
      <c r="O344" s="1704">
        <f>+IF(COLUMNS($L344:O344)&lt;month,'6. Market'!$AM$89/12,'6. Market'!$AN$89/12)</f>
        <v>0</v>
      </c>
      <c r="P344" s="1704">
        <f>+IF(COLUMNS($L344:P344)&lt;month,'6. Market'!$AM$89/12,'6. Market'!$AN$89/12)</f>
        <v>0</v>
      </c>
      <c r="Q344" s="1704">
        <f>+IF(COLUMNS($L344:Q344)&lt;month,'6. Market'!$AM$89/12,'6. Market'!$AN$89/12)</f>
        <v>0</v>
      </c>
      <c r="R344" s="1704">
        <f>+IF(COLUMNS($L344:R344)&lt;month,'6. Market'!$AM$89/12,'6. Market'!$AN$89/12)</f>
        <v>0</v>
      </c>
      <c r="S344" s="1704">
        <f>+IF(COLUMNS($L344:S344)&lt;month,'6. Market'!$AM$89/12,'6. Market'!$AN$89/12)</f>
        <v>0</v>
      </c>
      <c r="T344" s="1704">
        <f>+IF(COLUMNS($L344:T344)&lt;month,'6. Market'!$AM$89/12,'6. Market'!$AN$89/12)</f>
        <v>0</v>
      </c>
      <c r="U344" s="1704">
        <f>+IF(COLUMNS($L344:U344)&lt;month,'6. Market'!$AM$89/12,'6. Market'!$AN$89/12)</f>
        <v>0</v>
      </c>
      <c r="V344" s="1704">
        <f>+IF(COLUMNS($L344:V344)&lt;month,'6. Market'!$AM$89/12,'6. Market'!$AN$89/12)</f>
        <v>0</v>
      </c>
      <c r="W344" s="1704">
        <f>+IF(COLUMNS($L344:W344)&lt;month,'6. Market'!$AM$89/12,'6. Market'!$AN$89/12)</f>
        <v>0</v>
      </c>
    </row>
    <row r="345" spans="1:26" s="3" customFormat="1">
      <c r="A345" s="1687" t="s">
        <v>733</v>
      </c>
      <c r="B345" t="str">
        <f t="shared" si="16"/>
        <v>P10_11032_00494</v>
      </c>
      <c r="C345" s="1687" t="str">
        <f>+$C$2</f>
        <v>LE_XXXX</v>
      </c>
      <c r="D345" s="1687" t="s">
        <v>2886</v>
      </c>
      <c r="E345" s="1687"/>
      <c r="F345" s="1687" t="s">
        <v>731</v>
      </c>
      <c r="G345" s="1687" t="s">
        <v>2889</v>
      </c>
      <c r="H345" s="1687" t="s">
        <v>154</v>
      </c>
      <c r="I345" s="1687" t="s">
        <v>146</v>
      </c>
      <c r="J345" s="1687" t="s">
        <v>147</v>
      </c>
      <c r="K345" t="str">
        <f>+"FY"&amp;RIGHT(YEAR('Hyperion Panel'!$B$9)+2,2)</f>
        <v>FY12</v>
      </c>
      <c r="L345" s="1704">
        <f>+IF(COLUMNS($L345:L345)&lt;month,'6. Market'!$AM$90/12,'6. Market'!$AN$90/12)</f>
        <v>9832.7999999999993</v>
      </c>
      <c r="M345" s="1704">
        <f>+IF(COLUMNS($L345:M345)&lt;month,'6. Market'!$AM$90/12,'6. Market'!$AN$90/12)</f>
        <v>9832.7999999999993</v>
      </c>
      <c r="N345" s="1704">
        <f>+IF(COLUMNS($L345:N345)&lt;month,'6. Market'!$AM$90/12,'6. Market'!$AN$90/12)</f>
        <v>9832.7999999999993</v>
      </c>
      <c r="O345" s="1704">
        <f>+IF(COLUMNS($L345:O345)&lt;month,'6. Market'!$AM$90/12,'6. Market'!$AN$90/12)</f>
        <v>9832.7999999999993</v>
      </c>
      <c r="P345" s="1704">
        <f>+IF(COLUMNS($L345:P345)&lt;month,'6. Market'!$AM$90/12,'6. Market'!$AN$90/12)</f>
        <v>9832.7999999999993</v>
      </c>
      <c r="Q345" s="1704">
        <f>+IF(COLUMNS($L345:Q345)&lt;month,'6. Market'!$AM$90/12,'6. Market'!$AN$90/12)</f>
        <v>9832.7999999999993</v>
      </c>
      <c r="R345" s="1704">
        <f>+IF(COLUMNS($L345:R345)&lt;month,'6. Market'!$AM$90/12,'6. Market'!$AN$90/12)</f>
        <v>9832.7999999999993</v>
      </c>
      <c r="S345" s="1704">
        <f>+IF(COLUMNS($L345:S345)&lt;month,'6. Market'!$AM$90/12,'6. Market'!$AN$90/12)</f>
        <v>9832.7999999999993</v>
      </c>
      <c r="T345" s="1704">
        <f>+IF(COLUMNS($L345:T345)&lt;month,'6. Market'!$AM$90/12,'6. Market'!$AN$90/12)</f>
        <v>9832.7999999999993</v>
      </c>
      <c r="U345" s="1704">
        <f>+IF(COLUMNS($L345:U345)&lt;month,'6. Market'!$AM$90/12,'6. Market'!$AN$90/12)</f>
        <v>9832.7999999999993</v>
      </c>
      <c r="V345" s="1704">
        <f>+IF(COLUMNS($L345:V345)&lt;month,'6. Market'!$AM$90/12,'6. Market'!$AN$90/12)</f>
        <v>10029.456</v>
      </c>
      <c r="W345" s="1704">
        <f>+IF(COLUMNS($L345:W345)&lt;month,'6. Market'!$AM$90/12,'6. Market'!$AN$90/12)</f>
        <v>10029.456</v>
      </c>
    </row>
    <row r="346" spans="1:26" s="3" customFormat="1">
      <c r="A346" s="1687" t="s">
        <v>734</v>
      </c>
      <c r="B346" t="str">
        <f t="shared" si="16"/>
        <v>P10_11032_00494</v>
      </c>
      <c r="C346" s="1687" t="str">
        <f>+$C$2</f>
        <v>LE_XXXX</v>
      </c>
      <c r="D346" s="1687" t="s">
        <v>2886</v>
      </c>
      <c r="E346" s="1687">
        <v>6800</v>
      </c>
      <c r="F346" s="1687" t="s">
        <v>731</v>
      </c>
      <c r="G346" s="1687" t="s">
        <v>2889</v>
      </c>
      <c r="H346" s="1687" t="s">
        <v>154</v>
      </c>
      <c r="I346" s="1687" t="s">
        <v>146</v>
      </c>
      <c r="J346" s="1687" t="s">
        <v>147</v>
      </c>
      <c r="K346" t="str">
        <f>+"FY"&amp;RIGHT(YEAR('Hyperion Panel'!$B$9)+2,2)</f>
        <v>FY12</v>
      </c>
      <c r="L346" s="1704">
        <f>+IF(COLUMNS($L346:L346)&lt;month,'6. Market'!$AM$91/12,'6. Market'!$AN$91/12)</f>
        <v>1802.5</v>
      </c>
      <c r="M346" s="1704">
        <f>+IF(COLUMNS($L346:M346)&lt;month,'6. Market'!$AM$91/12,'6. Market'!$AN$91/12)</f>
        <v>1802.5</v>
      </c>
      <c r="N346" s="1704">
        <f>+IF(COLUMNS($L346:N346)&lt;month,'6. Market'!$AM$91/12,'6. Market'!$AN$91/12)</f>
        <v>1802.5</v>
      </c>
      <c r="O346" s="1704">
        <f>+IF(COLUMNS($L346:O346)&lt;month,'6. Market'!$AM$91/12,'6. Market'!$AN$91/12)</f>
        <v>1802.5</v>
      </c>
      <c r="P346" s="1704">
        <f>+IF(COLUMNS($L346:P346)&lt;month,'6. Market'!$AM$91/12,'6. Market'!$AN$91/12)</f>
        <v>1802.5</v>
      </c>
      <c r="Q346" s="1704">
        <f>+IF(COLUMNS($L346:Q346)&lt;month,'6. Market'!$AM$91/12,'6. Market'!$AN$91/12)</f>
        <v>1802.5</v>
      </c>
      <c r="R346" s="1704">
        <f>+IF(COLUMNS($L346:R346)&lt;month,'6. Market'!$AM$91/12,'6. Market'!$AN$91/12)</f>
        <v>1802.5</v>
      </c>
      <c r="S346" s="1704">
        <f>+IF(COLUMNS($L346:S346)&lt;month,'6. Market'!$AM$91/12,'6. Market'!$AN$91/12)</f>
        <v>1802.5</v>
      </c>
      <c r="T346" s="1704">
        <f>+IF(COLUMNS($L346:T346)&lt;month,'6. Market'!$AM$91/12,'6. Market'!$AN$91/12)</f>
        <v>1802.5</v>
      </c>
      <c r="U346" s="1704">
        <f>+IF(COLUMNS($L346:U346)&lt;month,'6. Market'!$AM$91/12,'6. Market'!$AN$91/12)</f>
        <v>1802.5</v>
      </c>
      <c r="V346" s="1704">
        <f>+IF(COLUMNS($L346:V346)&lt;month,'6. Market'!$AM$91/12,'6. Market'!$AN$91/12)</f>
        <v>1856.575</v>
      </c>
      <c r="W346" s="1704">
        <f>+IF(COLUMNS($L346:W346)&lt;month,'6. Market'!$AM$91/12,'6. Market'!$AN$91/12)</f>
        <v>1856.575</v>
      </c>
    </row>
    <row r="347" spans="1:26">
      <c r="A347" t="s">
        <v>158</v>
      </c>
      <c r="B347" t="str">
        <f t="shared" si="16"/>
        <v>P10_11032_00494</v>
      </c>
      <c r="C347" t="str">
        <f>+$C$243</f>
        <v>LE_XXXX</v>
      </c>
      <c r="D347" t="s">
        <v>2886</v>
      </c>
      <c r="E347" t="s">
        <v>159</v>
      </c>
      <c r="F347" t="s">
        <v>156</v>
      </c>
      <c r="G347" t="s">
        <v>2889</v>
      </c>
      <c r="H347" t="s">
        <v>154</v>
      </c>
      <c r="I347" t="s">
        <v>146</v>
      </c>
      <c r="J347" t="s">
        <v>147</v>
      </c>
      <c r="K347" t="str">
        <f>+"FY"&amp;RIGHT(YEAR('Hyperion Panel'!$B$9)+2,2)</f>
        <v>FY12</v>
      </c>
      <c r="L347" s="103">
        <f>'Hyperion Panel'!$C$7</f>
        <v>1</v>
      </c>
      <c r="M347" s="103">
        <f>'Hyperion Panel'!$C$7</f>
        <v>1</v>
      </c>
      <c r="N347" s="103">
        <f>'Hyperion Panel'!$C$7</f>
        <v>1</v>
      </c>
      <c r="O347" s="103">
        <f>'Hyperion Panel'!$C$7</f>
        <v>1</v>
      </c>
      <c r="P347" s="103">
        <f>'Hyperion Panel'!$C$7</f>
        <v>1</v>
      </c>
      <c r="Q347" s="103">
        <f>'Hyperion Panel'!$C$7</f>
        <v>1</v>
      </c>
      <c r="R347" s="103">
        <f>'Hyperion Panel'!$C$7</f>
        <v>1</v>
      </c>
      <c r="S347" s="103">
        <f>'Hyperion Panel'!$C$7</f>
        <v>1</v>
      </c>
      <c r="T347" s="103">
        <f>'Hyperion Panel'!$C$7</f>
        <v>1</v>
      </c>
      <c r="U347" s="103">
        <f>'Hyperion Panel'!$C$7</f>
        <v>1</v>
      </c>
      <c r="V347" s="1694">
        <f>'Hyperion Panel'!$C$7</f>
        <v>1</v>
      </c>
      <c r="W347" s="103">
        <f>'Hyperion Panel'!$C$7</f>
        <v>1</v>
      </c>
    </row>
    <row r="348" spans="1:26">
      <c r="A348" t="s">
        <v>160</v>
      </c>
      <c r="B348" t="str">
        <f t="shared" si="16"/>
        <v>P10_11032_00494</v>
      </c>
      <c r="C348" t="str">
        <f>+$C$243</f>
        <v>LE_XXXX</v>
      </c>
      <c r="D348" t="s">
        <v>2886</v>
      </c>
      <c r="E348" t="s">
        <v>161</v>
      </c>
      <c r="F348" t="s">
        <v>156</v>
      </c>
      <c r="G348" t="s">
        <v>2889</v>
      </c>
      <c r="H348" t="s">
        <v>154</v>
      </c>
      <c r="I348" t="s">
        <v>146</v>
      </c>
      <c r="J348" t="s">
        <v>147</v>
      </c>
      <c r="K348" t="str">
        <f>+"FY"&amp;RIGHT(YEAR('Hyperion Panel'!$B$9)+2,2)</f>
        <v>FY12</v>
      </c>
      <c r="L348" s="1705">
        <v>0</v>
      </c>
      <c r="M348" s="1705">
        <v>0</v>
      </c>
      <c r="N348" s="1705">
        <v>0</v>
      </c>
      <c r="O348" s="1705">
        <v>0</v>
      </c>
      <c r="P348" s="1705">
        <v>0</v>
      </c>
      <c r="Q348" s="1705">
        <v>0</v>
      </c>
      <c r="R348" s="1705">
        <v>0</v>
      </c>
      <c r="S348" s="1705">
        <v>0</v>
      </c>
      <c r="T348" s="1705">
        <v>0</v>
      </c>
      <c r="U348" s="1705">
        <v>0</v>
      </c>
      <c r="V348" s="1705">
        <v>0</v>
      </c>
      <c r="W348" s="1705">
        <v>0</v>
      </c>
    </row>
    <row r="349" spans="1:26" s="3" customFormat="1">
      <c r="A349" s="1687" t="s">
        <v>735</v>
      </c>
      <c r="B349" t="str">
        <f t="shared" si="16"/>
        <v>P10_11032_00494</v>
      </c>
      <c r="C349" s="1687"/>
      <c r="D349" s="1687"/>
      <c r="E349" s="1687"/>
      <c r="F349" s="1687"/>
      <c r="G349" s="1687"/>
      <c r="H349" s="1687"/>
      <c r="I349" s="1687"/>
      <c r="J349" s="1687"/>
      <c r="K349" t="str">
        <f>+"FY"&amp;RIGHT(YEAR('Hyperion Panel'!$B$9)+2,2)</f>
        <v>FY12</v>
      </c>
      <c r="L349" s="1705">
        <v>0</v>
      </c>
      <c r="M349" s="1705">
        <v>0</v>
      </c>
      <c r="N349" s="1705">
        <v>0</v>
      </c>
      <c r="O349" s="1705">
        <v>0</v>
      </c>
      <c r="P349" s="1705">
        <v>0</v>
      </c>
      <c r="Q349" s="1705">
        <v>0</v>
      </c>
      <c r="R349" s="1705">
        <v>0</v>
      </c>
      <c r="S349" s="1705">
        <v>0</v>
      </c>
      <c r="T349" s="1705">
        <v>0</v>
      </c>
      <c r="U349" s="1705">
        <v>0</v>
      </c>
      <c r="V349" s="1705">
        <v>0</v>
      </c>
      <c r="W349" s="1705">
        <v>0</v>
      </c>
      <c r="Y349" s="1688"/>
    </row>
    <row r="350" spans="1:26">
      <c r="L350" s="1705"/>
      <c r="M350" s="1705"/>
      <c r="N350" s="1705"/>
      <c r="O350" s="1705"/>
      <c r="P350" s="1705"/>
      <c r="Q350" s="1705"/>
      <c r="R350" s="1705"/>
      <c r="S350" s="1705"/>
      <c r="T350" s="1705"/>
      <c r="U350" s="1705"/>
      <c r="V350" s="1705"/>
      <c r="W350" s="1705"/>
    </row>
    <row r="351" spans="1:26">
      <c r="A351" s="98" t="s">
        <v>165</v>
      </c>
      <c r="B351" t="str">
        <f>+$B$243</f>
        <v>P10_11032_00494</v>
      </c>
      <c r="C351" t="str">
        <f>+$C$243</f>
        <v>LE_XXXX</v>
      </c>
      <c r="D351" t="s">
        <v>2886</v>
      </c>
      <c r="E351" t="s">
        <v>2887</v>
      </c>
      <c r="F351" t="s">
        <v>2888</v>
      </c>
      <c r="G351" t="s">
        <v>2889</v>
      </c>
      <c r="H351" t="s">
        <v>145</v>
      </c>
      <c r="I351" t="s">
        <v>146</v>
      </c>
      <c r="J351" t="s">
        <v>147</v>
      </c>
      <c r="K351" t="str">
        <f>+"FY"&amp;RIGHT(YEAR('Hyperion Panel'!$B$9)+3,2)</f>
        <v>FY13</v>
      </c>
      <c r="L351" s="1612"/>
      <c r="M351" s="1612"/>
      <c r="N351" s="1612"/>
      <c r="O351" s="1612"/>
      <c r="P351" s="1612"/>
      <c r="Q351" s="1612"/>
      <c r="R351" s="1612"/>
      <c r="S351" s="1612"/>
      <c r="T351" s="1612"/>
      <c r="U351" s="1612"/>
      <c r="V351" s="1702"/>
      <c r="W351" s="1612"/>
    </row>
    <row r="352" spans="1:26" s="98" customFormat="1" ht="12.75" customHeight="1">
      <c r="A352" s="100" t="s">
        <v>463</v>
      </c>
      <c r="L352" s="1697">
        <f>+IF(COLUMNS($L352:L352)&lt;month,VLOOKUP("Month "&amp;(COLUMNS($L352:L352)-month+13),P_After_Tx,7,FALSE)*52*3/12*(1-hemomiss),VLOOKUP("Month "&amp;(COLUMNS($L352:L352)-month+1),P_After_Tx,9,FALSE)*52*3/12*(1-hemomiss))</f>
        <v>574.08000000000004</v>
      </c>
      <c r="M352" s="1697">
        <f>+IF(COLUMNS($L352:M352)&lt;month,VLOOKUP("Month "&amp;(COLUMNS($L352:M352)-month+13),P_After_Tx,7,FALSE)*52*3/12*(1-hemomiss),VLOOKUP("Month "&amp;(COLUMNS($L352:M352)-month+1),P_After_Tx,9,FALSE)*52*3/12*(1-hemomiss))</f>
        <v>574.08000000000004</v>
      </c>
      <c r="N352" s="1697">
        <f>+IF(COLUMNS($L352:N352)&lt;month,VLOOKUP("Month "&amp;(COLUMNS($L352:N352)-month+13),P_After_Tx,7,FALSE)*52*3/12*(1-hemomiss),VLOOKUP("Month "&amp;(COLUMNS($L352:N352)-month+1),P_After_Tx,9,FALSE)*52*3/12*(1-hemomiss))</f>
        <v>574.08000000000004</v>
      </c>
      <c r="O352" s="1697">
        <f>+IF(COLUMNS($L352:O352)&lt;month,VLOOKUP("Month "&amp;(COLUMNS($L352:O352)-month+13),P_After_Tx,7,FALSE)*52*3/12*(1-hemomiss),VLOOKUP("Month "&amp;(COLUMNS($L352:O352)-month+1),P_After_Tx,9,FALSE)*52*3/12*(1-hemomiss))</f>
        <v>574.08000000000004</v>
      </c>
      <c r="P352" s="1697">
        <f>+IF(COLUMNS($L352:P352)&lt;month,VLOOKUP("Month "&amp;(COLUMNS($L352:P352)-month+13),P_After_Tx,7,FALSE)*52*3/12*(1-hemomiss),VLOOKUP("Month "&amp;(COLUMNS($L352:P352)-month+1),P_After_Tx,9,FALSE)*52*3/12*(1-hemomiss))</f>
        <v>574.08000000000004</v>
      </c>
      <c r="Q352" s="1697">
        <f>+IF(COLUMNS($L352:Q352)&lt;month,VLOOKUP("Month "&amp;(COLUMNS($L352:Q352)-month+13),P_After_Tx,7,FALSE)*52*3/12*(1-hemomiss),VLOOKUP("Month "&amp;(COLUMNS($L352:Q352)-month+1),P_After_Tx,9,FALSE)*52*3/12*(1-hemomiss))</f>
        <v>574.08000000000004</v>
      </c>
      <c r="R352" s="1697">
        <f>+IF(COLUMNS($L352:R352)&lt;month,VLOOKUP("Month "&amp;(COLUMNS($L352:R352)-month+13),P_After_Tx,7,FALSE)*52*3/12*(1-hemomiss),VLOOKUP("Month "&amp;(COLUMNS($L352:R352)-month+1),P_After_Tx,9,FALSE)*52*3/12*(1-hemomiss))</f>
        <v>574.08000000000004</v>
      </c>
      <c r="S352" s="1697">
        <f>+IF(COLUMNS($L352:S352)&lt;month,VLOOKUP("Month "&amp;(COLUMNS($L352:S352)-month+13),P_After_Tx,7,FALSE)*52*3/12*(1-hemomiss),VLOOKUP("Month "&amp;(COLUMNS($L352:S352)-month+1),P_After_Tx,9,FALSE)*52*3/12*(1-hemomiss))</f>
        <v>574.08000000000004</v>
      </c>
      <c r="T352" s="1697">
        <f>+IF(COLUMNS($L352:T352)&lt;month,VLOOKUP("Month "&amp;(COLUMNS($L352:T352)-month+13),P_After_Tx,7,FALSE)*52*3/12*(1-hemomiss),VLOOKUP("Month "&amp;(COLUMNS($L352:T352)-month+1),P_After_Tx,9,FALSE)*52*3/12*(1-hemomiss))</f>
        <v>574.08000000000004</v>
      </c>
      <c r="U352" s="1697">
        <f>+IF(COLUMNS($L352:U352)&lt;month,VLOOKUP("Month "&amp;(COLUMNS($L352:U352)-month+13),P_After_Tx,7,FALSE)*52*3/12*(1-hemomiss),VLOOKUP("Month "&amp;(COLUMNS($L352:U352)-month+1),P_After_Tx,9,FALSE)*52*3/12*(1-hemomiss))</f>
        <v>574.08000000000004</v>
      </c>
      <c r="V352" s="1700">
        <f>+IF(COLUMNS($L352:V352)&lt;month,VLOOKUP("Month "&amp;(COLUMNS($L352:V352)-month+13),P_After_Tx,7,FALSE)*52*3/12*(1-hemomiss),VLOOKUP("Month "&amp;(COLUMNS($L352:V352)-month+1),P_After_Tx,9,FALSE)*52*3/12*(1-hemomiss))</f>
        <v>574.08000000000004</v>
      </c>
      <c r="W352" s="1697">
        <f>+IF(COLUMNS($L352:W352)&lt;month,VLOOKUP("Month "&amp;(COLUMNS($L352:W352)-month+13),P_After_Tx,7,FALSE)*52*3/12*(1-hemomiss),VLOOKUP("Month "&amp;(COLUMNS($L352:W352)-month+1),P_After_Tx,9,FALSE)*52*3/12*(1-hemomiss))</f>
        <v>574.08000000000004</v>
      </c>
      <c r="Y352" s="99"/>
      <c r="Z352" s="97"/>
    </row>
    <row r="353" spans="1:26" s="98" customFormat="1" ht="12.75" customHeight="1">
      <c r="A353" s="100" t="s">
        <v>464</v>
      </c>
      <c r="L353" s="1697">
        <f>+IF(COLUMNS($L353:L353)&lt;month,VLOOKUP("Month "&amp;(COLUMNS($L353:L353)-month+13),P_After_Tx,8,FALSE)*52*3/12*(1-hemomiss),VLOOKUP("Month "&amp;(COLUMNS($L353:L353)-month+1),P_After_Tx,10,FALSE)*52*3/12*(1-hemomiss))</f>
        <v>23.92</v>
      </c>
      <c r="M353" s="1697">
        <f>+IF(COLUMNS($L353:M353)&lt;month,VLOOKUP("Month "&amp;(COLUMNS($L353:M353)-month+13),P_After_Tx,8,FALSE)*52*3/12*(1-hemomiss),VLOOKUP("Month "&amp;(COLUMNS($L353:M353)-month+1),P_After_Tx,10,FALSE)*52*3/12*(1-hemomiss))</f>
        <v>23.92</v>
      </c>
      <c r="N353" s="1697">
        <f>+IF(COLUMNS($L353:N353)&lt;month,VLOOKUP("Month "&amp;(COLUMNS($L353:N353)-month+13),P_After_Tx,8,FALSE)*52*3/12*(1-hemomiss),VLOOKUP("Month "&amp;(COLUMNS($L353:N353)-month+1),P_After_Tx,10,FALSE)*52*3/12*(1-hemomiss))</f>
        <v>23.92</v>
      </c>
      <c r="O353" s="1697">
        <f>+IF(COLUMNS($L353:O353)&lt;month,VLOOKUP("Month "&amp;(COLUMNS($L353:O353)-month+13),P_After_Tx,8,FALSE)*52*3/12*(1-hemomiss),VLOOKUP("Month "&amp;(COLUMNS($L353:O353)-month+1),P_After_Tx,10,FALSE)*52*3/12*(1-hemomiss))</f>
        <v>23.92</v>
      </c>
      <c r="P353" s="1697">
        <f>+IF(COLUMNS($L353:P353)&lt;month,VLOOKUP("Month "&amp;(COLUMNS($L353:P353)-month+13),P_After_Tx,8,FALSE)*52*3/12*(1-hemomiss),VLOOKUP("Month "&amp;(COLUMNS($L353:P353)-month+1),P_After_Tx,10,FALSE)*52*3/12*(1-hemomiss))</f>
        <v>23.92</v>
      </c>
      <c r="Q353" s="1697">
        <f>+IF(COLUMNS($L353:Q353)&lt;month,VLOOKUP("Month "&amp;(COLUMNS($L353:Q353)-month+13),P_After_Tx,8,FALSE)*52*3/12*(1-hemomiss),VLOOKUP("Month "&amp;(COLUMNS($L353:Q353)-month+1),P_After_Tx,10,FALSE)*52*3/12*(1-hemomiss))</f>
        <v>23.92</v>
      </c>
      <c r="R353" s="1697">
        <f>+IF(COLUMNS($L353:R353)&lt;month,VLOOKUP("Month "&amp;(COLUMNS($L353:R353)-month+13),P_After_Tx,8,FALSE)*52*3/12*(1-hemomiss),VLOOKUP("Month "&amp;(COLUMNS($L353:R353)-month+1),P_After_Tx,10,FALSE)*52*3/12*(1-hemomiss))</f>
        <v>23.92</v>
      </c>
      <c r="S353" s="1697">
        <f>+IF(COLUMNS($L353:S353)&lt;month,VLOOKUP("Month "&amp;(COLUMNS($L353:S353)-month+13),P_After_Tx,8,FALSE)*52*3/12*(1-hemomiss),VLOOKUP("Month "&amp;(COLUMNS($L353:S353)-month+1),P_After_Tx,10,FALSE)*52*3/12*(1-hemomiss))</f>
        <v>23.92</v>
      </c>
      <c r="T353" s="1697">
        <f>+IF(COLUMNS($L353:T353)&lt;month,VLOOKUP("Month "&amp;(COLUMNS($L353:T353)-month+13),P_After_Tx,8,FALSE)*52*3/12*(1-hemomiss),VLOOKUP("Month "&amp;(COLUMNS($L353:T353)-month+1),P_After_Tx,10,FALSE)*52*3/12*(1-hemomiss))</f>
        <v>23.92</v>
      </c>
      <c r="U353" s="1697">
        <f>+IF(COLUMNS($L353:U353)&lt;month,VLOOKUP("Month "&amp;(COLUMNS($L353:U353)-month+13),P_After_Tx,8,FALSE)*52*3/12*(1-hemomiss),VLOOKUP("Month "&amp;(COLUMNS($L353:U353)-month+1),P_After_Tx,10,FALSE)*52*3/12*(1-hemomiss))</f>
        <v>23.92</v>
      </c>
      <c r="V353" s="1700">
        <f>+IF(COLUMNS($L353:V353)&lt;month,VLOOKUP("Month "&amp;(COLUMNS($L353:V353)-month+13),P_After_Tx,8,FALSE)*52*3/12*(1-hemomiss),VLOOKUP("Month "&amp;(COLUMNS($L353:V353)-month+1),P_After_Tx,10,FALSE)*52*3/12*(1-hemomiss))</f>
        <v>23.92</v>
      </c>
      <c r="W353" s="1697">
        <f>+IF(COLUMNS($L353:W353)&lt;month,VLOOKUP("Month "&amp;(COLUMNS($L353:W353)-month+13),P_After_Tx,8,FALSE)*52*3/12*(1-hemomiss),VLOOKUP("Month "&amp;(COLUMNS($L353:W353)-month+1),P_After_Tx,10,FALSE)*52*3/12*(1-hemomiss))</f>
        <v>23.92</v>
      </c>
      <c r="Y353" s="99"/>
      <c r="Z353" s="97"/>
    </row>
    <row r="354" spans="1:26">
      <c r="A354" s="98" t="s">
        <v>162</v>
      </c>
      <c r="B354" t="str">
        <f>+$B$243</f>
        <v>P10_11032_00494</v>
      </c>
      <c r="C354" t="str">
        <f>+$C$243</f>
        <v>LE_XXXX</v>
      </c>
      <c r="D354" t="s">
        <v>2886</v>
      </c>
      <c r="E354" t="s">
        <v>149</v>
      </c>
      <c r="F354" t="s">
        <v>150</v>
      </c>
      <c r="G354" t="s">
        <v>2889</v>
      </c>
      <c r="H354" t="s">
        <v>145</v>
      </c>
      <c r="I354" t="s">
        <v>146</v>
      </c>
      <c r="J354" t="s">
        <v>147</v>
      </c>
      <c r="K354" t="str">
        <f>+"FY"&amp;RIGHT(YEAR('Hyperion Panel'!$B$9)+3,2)</f>
        <v>FY13</v>
      </c>
      <c r="L354" s="1612"/>
      <c r="M354" s="1612"/>
      <c r="N354" s="1612"/>
      <c r="O354" s="1612"/>
      <c r="P354" s="1612"/>
      <c r="Q354" s="1612"/>
      <c r="R354" s="1612"/>
      <c r="S354" s="1612"/>
      <c r="T354" s="1612"/>
      <c r="U354" s="1612"/>
      <c r="V354" s="1703"/>
      <c r="W354" s="1612"/>
    </row>
    <row r="355" spans="1:26" s="98" customFormat="1">
      <c r="A355" s="100" t="s">
        <v>463</v>
      </c>
      <c r="L355" s="1697">
        <f>+IF(COLUMNS($L355:L355)&lt;month,VLOOKUP("Month "&amp;(COLUMNS($L355:L355)-month+13),P_After_Tx,18,FALSE)*52*3/12*(1-homemiss),VLOOKUP("Month "&amp;(COLUMNS($L355:L355)-month+1),P_After_Tx,20,FALSE)*52*3/12*(1-homemiss))</f>
        <v>172.9</v>
      </c>
      <c r="M355" s="1697">
        <f>+IF(COLUMNS($L355:M355)&lt;month,VLOOKUP("Month "&amp;(COLUMNS($L355:M355)-month+13),P_After_Tx,18,FALSE)*52*3/12*(1-homemiss),VLOOKUP("Month "&amp;(COLUMNS($L355:M355)-month+1),P_After_Tx,20,FALSE)*52*3/12*(1-homemiss))</f>
        <v>172.9</v>
      </c>
      <c r="N355" s="1697">
        <f>+IF(COLUMNS($L355:N355)&lt;month,VLOOKUP("Month "&amp;(COLUMNS($L355:N355)-month+13),P_After_Tx,18,FALSE)*52*3/12*(1-homemiss),VLOOKUP("Month "&amp;(COLUMNS($L355:N355)-month+1),P_After_Tx,20,FALSE)*52*3/12*(1-homemiss))</f>
        <v>172.9</v>
      </c>
      <c r="O355" s="1697">
        <f>+IF(COLUMNS($L355:O355)&lt;month,VLOOKUP("Month "&amp;(COLUMNS($L355:O355)-month+13),P_After_Tx,18,FALSE)*52*3/12*(1-homemiss),VLOOKUP("Month "&amp;(COLUMNS($L355:O355)-month+1),P_After_Tx,20,FALSE)*52*3/12*(1-homemiss))</f>
        <v>172.9</v>
      </c>
      <c r="P355" s="1697">
        <f>+IF(COLUMNS($L355:P355)&lt;month,VLOOKUP("Month "&amp;(COLUMNS($L355:P355)-month+13),P_After_Tx,18,FALSE)*52*3/12*(1-homemiss),VLOOKUP("Month "&amp;(COLUMNS($L355:P355)-month+1),P_After_Tx,20,FALSE)*52*3/12*(1-homemiss))</f>
        <v>172.9</v>
      </c>
      <c r="Q355" s="1697">
        <f>+IF(COLUMNS($L355:Q355)&lt;month,VLOOKUP("Month "&amp;(COLUMNS($L355:Q355)-month+13),P_After_Tx,18,FALSE)*52*3/12*(1-homemiss),VLOOKUP("Month "&amp;(COLUMNS($L355:Q355)-month+1),P_After_Tx,20,FALSE)*52*3/12*(1-homemiss))</f>
        <v>172.9</v>
      </c>
      <c r="R355" s="1697">
        <f>+IF(COLUMNS($L355:R355)&lt;month,VLOOKUP("Month "&amp;(COLUMNS($L355:R355)-month+13),P_After_Tx,18,FALSE)*52*3/12*(1-homemiss),VLOOKUP("Month "&amp;(COLUMNS($L355:R355)-month+1),P_After_Tx,20,FALSE)*52*3/12*(1-homemiss))</f>
        <v>172.9</v>
      </c>
      <c r="S355" s="1697">
        <f>+IF(COLUMNS($L355:S355)&lt;month,VLOOKUP("Month "&amp;(COLUMNS($L355:S355)-month+13),P_After_Tx,18,FALSE)*52*3/12*(1-homemiss),VLOOKUP("Month "&amp;(COLUMNS($L355:S355)-month+1),P_After_Tx,20,FALSE)*52*3/12*(1-homemiss))</f>
        <v>172.9</v>
      </c>
      <c r="T355" s="1697">
        <f>+IF(COLUMNS($L355:T355)&lt;month,VLOOKUP("Month "&amp;(COLUMNS($L355:T355)-month+13),P_After_Tx,18,FALSE)*52*3/12*(1-homemiss),VLOOKUP("Month "&amp;(COLUMNS($L355:T355)-month+1),P_After_Tx,20,FALSE)*52*3/12*(1-homemiss))</f>
        <v>172.9</v>
      </c>
      <c r="U355" s="1697">
        <f>+IF(COLUMNS($L355:U355)&lt;month,VLOOKUP("Month "&amp;(COLUMNS($L355:U355)-month+13),P_After_Tx,18,FALSE)*52*3/12*(1-homemiss),VLOOKUP("Month "&amp;(COLUMNS($L355:U355)-month+1),P_After_Tx,20,FALSE)*52*3/12*(1-homemiss))</f>
        <v>172.9</v>
      </c>
      <c r="V355" s="1697">
        <f>+IF(COLUMNS($L355:V355)&lt;month,VLOOKUP("Month "&amp;(COLUMNS($L355:V355)-month+13),P_After_Tx,18,FALSE)*52*3/12*(1-homemiss),VLOOKUP("Month "&amp;(COLUMNS($L355:V355)-month+1),P_After_Tx,20,FALSE)*52*3/12*(1-homemiss))</f>
        <v>172.9</v>
      </c>
      <c r="W355" s="1697">
        <f>+IF(COLUMNS($L355:W355)&lt;month,VLOOKUP("Month "&amp;(COLUMNS($L355:W355)-month+13),P_After_Tx,18,FALSE)*52*3/12*(1-homemiss),VLOOKUP("Month "&amp;(COLUMNS($L355:W355)-month+1),P_After_Tx,20,FALSE)*52*3/12*(1-homemiss))</f>
        <v>172.9</v>
      </c>
      <c r="Y355" s="99"/>
    </row>
    <row r="356" spans="1:26" s="98" customFormat="1">
      <c r="A356" s="100" t="s">
        <v>464</v>
      </c>
      <c r="L356" s="1697">
        <f>+IF(COLUMNS($L356:L356)&lt;month,VLOOKUP("Month "&amp;(COLUMNS($L356:L356)-month+13),P_After_Tx,19,FALSE)*52*3/12*(1-homemiss),VLOOKUP("Month "&amp;(COLUMNS($L356:L356)-month+1),P_After_Tx,21,FALSE)*52*3/12*(1-homemiss))</f>
        <v>74.099999999999994</v>
      </c>
      <c r="M356" s="1697">
        <f>+IF(COLUMNS($L356:M356)&lt;month,VLOOKUP("Month "&amp;(COLUMNS($L356:M356)-month+13),P_After_Tx,19,FALSE)*52*3/12*(1-homemiss),VLOOKUP("Month "&amp;(COLUMNS($L356:M356)-month+1),P_After_Tx,21,FALSE)*52*3/12*(1-homemiss))</f>
        <v>74.099999999999994</v>
      </c>
      <c r="N356" s="1697">
        <f>+IF(COLUMNS($L356:N356)&lt;month,VLOOKUP("Month "&amp;(COLUMNS($L356:N356)-month+13),P_After_Tx,19,FALSE)*52*3/12*(1-homemiss),VLOOKUP("Month "&amp;(COLUMNS($L356:N356)-month+1),P_After_Tx,21,FALSE)*52*3/12*(1-homemiss))</f>
        <v>74.099999999999994</v>
      </c>
      <c r="O356" s="1697">
        <f>+IF(COLUMNS($L356:O356)&lt;month,VLOOKUP("Month "&amp;(COLUMNS($L356:O356)-month+13),P_After_Tx,19,FALSE)*52*3/12*(1-homemiss),VLOOKUP("Month "&amp;(COLUMNS($L356:O356)-month+1),P_After_Tx,21,FALSE)*52*3/12*(1-homemiss))</f>
        <v>74.099999999999994</v>
      </c>
      <c r="P356" s="1697">
        <f>+IF(COLUMNS($L356:P356)&lt;month,VLOOKUP("Month "&amp;(COLUMNS($L356:P356)-month+13),P_After_Tx,19,FALSE)*52*3/12*(1-homemiss),VLOOKUP("Month "&amp;(COLUMNS($L356:P356)-month+1),P_After_Tx,21,FALSE)*52*3/12*(1-homemiss))</f>
        <v>74.099999999999994</v>
      </c>
      <c r="Q356" s="1697">
        <f>+IF(COLUMNS($L356:Q356)&lt;month,VLOOKUP("Month "&amp;(COLUMNS($L356:Q356)-month+13),P_After_Tx,19,FALSE)*52*3/12*(1-homemiss),VLOOKUP("Month "&amp;(COLUMNS($L356:Q356)-month+1),P_After_Tx,21,FALSE)*52*3/12*(1-homemiss))</f>
        <v>74.099999999999994</v>
      </c>
      <c r="R356" s="1697">
        <f>+IF(COLUMNS($L356:R356)&lt;month,VLOOKUP("Month "&amp;(COLUMNS($L356:R356)-month+13),P_After_Tx,19,FALSE)*52*3/12*(1-homemiss),VLOOKUP("Month "&amp;(COLUMNS($L356:R356)-month+1),P_After_Tx,21,FALSE)*52*3/12*(1-homemiss))</f>
        <v>74.099999999999994</v>
      </c>
      <c r="S356" s="1697">
        <f>+IF(COLUMNS($L356:S356)&lt;month,VLOOKUP("Month "&amp;(COLUMNS($L356:S356)-month+13),P_After_Tx,19,FALSE)*52*3/12*(1-homemiss),VLOOKUP("Month "&amp;(COLUMNS($L356:S356)-month+1),P_After_Tx,21,FALSE)*52*3/12*(1-homemiss))</f>
        <v>74.099999999999994</v>
      </c>
      <c r="T356" s="1697">
        <f>+IF(COLUMNS($L356:T356)&lt;month,VLOOKUP("Month "&amp;(COLUMNS($L356:T356)-month+13),P_After_Tx,19,FALSE)*52*3/12*(1-homemiss),VLOOKUP("Month "&amp;(COLUMNS($L356:T356)-month+1),P_After_Tx,21,FALSE)*52*3/12*(1-homemiss))</f>
        <v>74.099999999999994</v>
      </c>
      <c r="U356" s="1697">
        <f>+IF(COLUMNS($L356:U356)&lt;month,VLOOKUP("Month "&amp;(COLUMNS($L356:U356)-month+13),P_After_Tx,19,FALSE)*52*3/12*(1-homemiss),VLOOKUP("Month "&amp;(COLUMNS($L356:U356)-month+1),P_After_Tx,21,FALSE)*52*3/12*(1-homemiss))</f>
        <v>74.099999999999994</v>
      </c>
      <c r="V356" s="1697">
        <f>+IF(COLUMNS($L356:V356)&lt;month,VLOOKUP("Month "&amp;(COLUMNS($L356:V356)-month+13),P_After_Tx,19,FALSE)*52*3/12*(1-homemiss),VLOOKUP("Month "&amp;(COLUMNS($L356:V356)-month+1),P_After_Tx,21,FALSE)*52*3/12*(1-homemiss))</f>
        <v>74.099999999999994</v>
      </c>
      <c r="W356" s="1697">
        <f>+IF(COLUMNS($L356:W356)&lt;month,VLOOKUP("Month "&amp;(COLUMNS($L356:W356)-month+13),P_After_Tx,19,FALSE)*52*3/12*(1-homemiss),VLOOKUP("Month "&amp;(COLUMNS($L356:W356)-month+1),P_After_Tx,21,FALSE)*52*3/12*(1-homemiss))</f>
        <v>74.099999999999994</v>
      </c>
      <c r="Y356" s="99"/>
    </row>
    <row r="357" spans="1:26">
      <c r="A357" s="4" t="s">
        <v>3767</v>
      </c>
      <c r="B357" s="4" t="str">
        <f>+$B$243</f>
        <v>P10_11032_00494</v>
      </c>
      <c r="C357" s="4"/>
      <c r="D357" s="4"/>
      <c r="E357" s="4"/>
      <c r="F357" s="4"/>
      <c r="G357" s="4"/>
      <c r="H357" s="4"/>
      <c r="I357" s="4"/>
      <c r="J357" s="4"/>
      <c r="K357" s="4" t="str">
        <f>+"FY"&amp;RIGHT(YEAR('Hyperion Panel'!$B$9)+3,2)</f>
        <v>FY13</v>
      </c>
      <c r="L357" s="1698"/>
      <c r="M357" s="1698"/>
      <c r="N357" s="1698"/>
      <c r="O357" s="1698"/>
      <c r="P357" s="1698"/>
      <c r="Q357" s="1698"/>
      <c r="R357" s="1698"/>
      <c r="S357" s="1698"/>
      <c r="T357" s="1698"/>
      <c r="U357" s="1698"/>
      <c r="V357" s="1699"/>
      <c r="W357" s="1698"/>
      <c r="Y357" s="99"/>
    </row>
    <row r="358" spans="1:26">
      <c r="A358" s="101" t="s">
        <v>463</v>
      </c>
      <c r="B358" s="4"/>
      <c r="C358" s="4"/>
      <c r="D358" s="4"/>
      <c r="E358" s="4"/>
      <c r="F358" s="4"/>
      <c r="G358" s="4"/>
      <c r="H358" s="4"/>
      <c r="I358" s="4"/>
      <c r="J358" s="4"/>
      <c r="K358" s="4"/>
      <c r="L358" s="1698">
        <f>+IF(COLUMNS($L358:L358)&lt;month,VLOOKUP("Month "&amp;(COLUMNS($L358:L358)-month+13),P_After_Tx,29,FALSE)*52*3/12*(1-hhdmiss),VLOOKUP("Month "&amp;(COLUMNS($L358:L358)-month+1),P_After_Tx,31,FALSE)*52*3/12*(1-hhdmiss))</f>
        <v>65</v>
      </c>
      <c r="M358" s="1698">
        <f>+IF(COLUMNS($L358:M358)&lt;month,VLOOKUP("Month "&amp;(COLUMNS($L358:M358)-month+13),P_After_Tx,29,FALSE)*52*3/12*(1-hhdmiss),VLOOKUP("Month "&amp;(COLUMNS($L358:M358)-month+1),P_After_Tx,31,FALSE)*52*3/12*(1-hhdmiss))</f>
        <v>65</v>
      </c>
      <c r="N358" s="1698">
        <f>+IF(COLUMNS($L358:N358)&lt;month,VLOOKUP("Month "&amp;(COLUMNS($L358:N358)-month+13),P_After_Tx,29,FALSE)*52*3/12*(1-hhdmiss),VLOOKUP("Month "&amp;(COLUMNS($L358:N358)-month+1),P_After_Tx,31,FALSE)*52*3/12*(1-hhdmiss))</f>
        <v>65</v>
      </c>
      <c r="O358" s="1698">
        <f>+IF(COLUMNS($L358:O358)&lt;month,VLOOKUP("Month "&amp;(COLUMNS($L358:O358)-month+13),P_After_Tx,29,FALSE)*52*3/12*(1-hhdmiss),VLOOKUP("Month "&amp;(COLUMNS($L358:O358)-month+1),P_After_Tx,31,FALSE)*52*3/12*(1-hhdmiss))</f>
        <v>65</v>
      </c>
      <c r="P358" s="1698">
        <f>+IF(COLUMNS($L358:P358)&lt;month,VLOOKUP("Month "&amp;(COLUMNS($L358:P358)-month+13),P_After_Tx,29,FALSE)*52*3/12*(1-hhdmiss),VLOOKUP("Month "&amp;(COLUMNS($L358:P358)-month+1),P_After_Tx,31,FALSE)*52*3/12*(1-hhdmiss))</f>
        <v>65</v>
      </c>
      <c r="Q358" s="1698">
        <f>+IF(COLUMNS($L358:Q358)&lt;month,VLOOKUP("Month "&amp;(COLUMNS($L358:Q358)-month+13),P_After_Tx,29,FALSE)*52*3/12*(1-hhdmiss),VLOOKUP("Month "&amp;(COLUMNS($L358:Q358)-month+1),P_After_Tx,31,FALSE)*52*3/12*(1-hhdmiss))</f>
        <v>65</v>
      </c>
      <c r="R358" s="1698">
        <f>+IF(COLUMNS($L358:R358)&lt;month,VLOOKUP("Month "&amp;(COLUMNS($L358:R358)-month+13),P_After_Tx,29,FALSE)*52*3/12*(1-hhdmiss),VLOOKUP("Month "&amp;(COLUMNS($L358:R358)-month+1),P_After_Tx,31,FALSE)*52*3/12*(1-hhdmiss))</f>
        <v>65</v>
      </c>
      <c r="S358" s="1698">
        <f>+IF(COLUMNS($L358:S358)&lt;month,VLOOKUP("Month "&amp;(COLUMNS($L358:S358)-month+13),P_After_Tx,29,FALSE)*52*3/12*(1-hhdmiss),VLOOKUP("Month "&amp;(COLUMNS($L358:S358)-month+1),P_After_Tx,31,FALSE)*52*3/12*(1-hhdmiss))</f>
        <v>65</v>
      </c>
      <c r="T358" s="1698">
        <f>+IF(COLUMNS($L358:T358)&lt;month,VLOOKUP("Month "&amp;(COLUMNS($L358:T358)-month+13),P_After_Tx,29,FALSE)*52*3/12*(1-hhdmiss),VLOOKUP("Month "&amp;(COLUMNS($L358:T358)-month+1),P_After_Tx,31,FALSE)*52*3/12*(1-hhdmiss))</f>
        <v>65</v>
      </c>
      <c r="U358" s="1698">
        <f>+IF(COLUMNS($L358:U358)&lt;month,VLOOKUP("Month "&amp;(COLUMNS($L358:U358)-month+13),P_After_Tx,29,FALSE)*52*3/12*(1-hhdmiss),VLOOKUP("Month "&amp;(COLUMNS($L358:U358)-month+1),P_After_Tx,31,FALSE)*52*3/12*(1-hhdmiss))</f>
        <v>65</v>
      </c>
      <c r="V358" s="1699">
        <f>+IF(COLUMNS($L358:V358)&lt;month,VLOOKUP("Month "&amp;(COLUMNS($L358:V358)-month+13),P_After_Tx,29,FALSE)*52*3/12*(1-hhdmiss),VLOOKUP("Month "&amp;(COLUMNS($L358:V358)-month+1),P_After_Tx,31,FALSE)*52*3/12*(1-hhdmiss))</f>
        <v>65</v>
      </c>
      <c r="W358" s="1698">
        <f>+IF(COLUMNS($L358:W358)&lt;month,VLOOKUP("Month "&amp;(COLUMNS($L358:W358)-month+13),P_After_Tx,29,FALSE)*52*3/12*(1-hhdmiss),VLOOKUP("Month "&amp;(COLUMNS($L358:W358)-month+1),P_After_Tx,31,FALSE)*52*3/12*(1-hhdmiss))</f>
        <v>65</v>
      </c>
      <c r="Y358" s="99"/>
    </row>
    <row r="359" spans="1:26">
      <c r="A359" s="101" t="s">
        <v>464</v>
      </c>
      <c r="B359" s="4"/>
      <c r="C359" s="4"/>
      <c r="D359" s="4"/>
      <c r="E359" s="4"/>
      <c r="F359" s="4"/>
      <c r="G359" s="4"/>
      <c r="H359" s="4"/>
      <c r="I359" s="4"/>
      <c r="J359" s="4"/>
      <c r="K359" s="4"/>
      <c r="L359" s="1698">
        <f>+IF(COLUMNS($L359:L359)&lt;month,VLOOKUP("Month "&amp;(COLUMNS($L359:L359)-month+13),P_After_Tx,30,FALSE)*52*4.3/12*(1-hhdmiss),VLOOKUP("Month "&amp;(COLUMNS($L359:L359)-month+1),P_After_Tx,32,FALSE)*52*4.3/12*(1-hhdmiss))</f>
        <v>0</v>
      </c>
      <c r="M359" s="1698">
        <f>+IF(COLUMNS($L359:M359)&lt;month,VLOOKUP("Month "&amp;(COLUMNS($L359:M359)-month+13),P_After_Tx,30,FALSE)*52*4.3/12*(1-hhdmiss),VLOOKUP("Month "&amp;(COLUMNS($L359:M359)-month+1),P_After_Tx,32,FALSE)*52*4.3/12*(1-hhdmiss))</f>
        <v>0</v>
      </c>
      <c r="N359" s="1698">
        <f>+IF(COLUMNS($L359:N359)&lt;month,VLOOKUP("Month "&amp;(COLUMNS($L359:N359)-month+13),P_After_Tx,30,FALSE)*52*4.3/12*(1-hhdmiss),VLOOKUP("Month "&amp;(COLUMNS($L359:N359)-month+1),P_After_Tx,32,FALSE)*52*4.3/12*(1-hhdmiss))</f>
        <v>0</v>
      </c>
      <c r="O359" s="1698">
        <f>+IF(COLUMNS($L359:O359)&lt;month,VLOOKUP("Month "&amp;(COLUMNS($L359:O359)-month+13),P_After_Tx,30,FALSE)*52*4.3/12*(1-hhdmiss),VLOOKUP("Month "&amp;(COLUMNS($L359:O359)-month+1),P_After_Tx,32,FALSE)*52*4.3/12*(1-hhdmiss))</f>
        <v>0</v>
      </c>
      <c r="P359" s="1698">
        <f>+IF(COLUMNS($L359:P359)&lt;month,VLOOKUP("Month "&amp;(COLUMNS($L359:P359)-month+13),P_After_Tx,30,FALSE)*52*4.3/12*(1-hhdmiss),VLOOKUP("Month "&amp;(COLUMNS($L359:P359)-month+1),P_After_Tx,32,FALSE)*52*4.3/12*(1-hhdmiss))</f>
        <v>0</v>
      </c>
      <c r="Q359" s="1698">
        <f>+IF(COLUMNS($L359:Q359)&lt;month,VLOOKUP("Month "&amp;(COLUMNS($L359:Q359)-month+13),P_After_Tx,30,FALSE)*52*4.3/12*(1-hhdmiss),VLOOKUP("Month "&amp;(COLUMNS($L359:Q359)-month+1),P_After_Tx,32,FALSE)*52*4.3/12*(1-hhdmiss))</f>
        <v>0</v>
      </c>
      <c r="R359" s="1698">
        <f>+IF(COLUMNS($L359:R359)&lt;month,VLOOKUP("Month "&amp;(COLUMNS($L359:R359)-month+13),P_After_Tx,30,FALSE)*52*4.3/12*(1-hhdmiss),VLOOKUP("Month "&amp;(COLUMNS($L359:R359)-month+1),P_After_Tx,32,FALSE)*52*4.3/12*(1-hhdmiss))</f>
        <v>0</v>
      </c>
      <c r="S359" s="1698">
        <f>+IF(COLUMNS($L359:S359)&lt;month,VLOOKUP("Month "&amp;(COLUMNS($L359:S359)-month+13),P_After_Tx,30,FALSE)*52*4.3/12*(1-hhdmiss),VLOOKUP("Month "&amp;(COLUMNS($L359:S359)-month+1),P_After_Tx,32,FALSE)*52*4.3/12*(1-hhdmiss))</f>
        <v>0</v>
      </c>
      <c r="T359" s="1698">
        <f>+IF(COLUMNS($L359:T359)&lt;month,VLOOKUP("Month "&amp;(COLUMNS($L359:T359)-month+13),P_After_Tx,30,FALSE)*52*4.3/12*(1-hhdmiss),VLOOKUP("Month "&amp;(COLUMNS($L359:T359)-month+1),P_After_Tx,32,FALSE)*52*4.3/12*(1-hhdmiss))</f>
        <v>0</v>
      </c>
      <c r="U359" s="1698">
        <f>+IF(COLUMNS($L359:U359)&lt;month,VLOOKUP("Month "&amp;(COLUMNS($L359:U359)-month+13),P_After_Tx,30,FALSE)*52*4.3/12*(1-hhdmiss),VLOOKUP("Month "&amp;(COLUMNS($L359:U359)-month+1),P_After_Tx,32,FALSE)*52*4.3/12*(1-hhdmiss))</f>
        <v>0</v>
      </c>
      <c r="V359" s="1698">
        <f>+IF(COLUMNS($L359:V359)&lt;month,VLOOKUP("Month "&amp;(COLUMNS($L359:V359)-month+13),P_After_Tx,30,FALSE)*52*4.3/12*(1-hhdmiss),VLOOKUP("Month "&amp;(COLUMNS($L359:V359)-month+1),P_After_Tx,32,FALSE)*52*4.3/12*(1-hhdmiss))</f>
        <v>0</v>
      </c>
      <c r="W359" s="1698">
        <f>+IF(COLUMNS($L359:W359)&lt;month,VLOOKUP("Month "&amp;(COLUMNS($L359:W359)-month+13),P_After_Tx,30,FALSE)*52*4.3/12*(1-hhdmiss),VLOOKUP("Month "&amp;(COLUMNS($L359:W359)-month+1),P_After_Tx,32,FALSE)*52*4.3/12*(1-hhdmiss))</f>
        <v>0</v>
      </c>
      <c r="Y359" s="99"/>
    </row>
    <row r="360" spans="1:26">
      <c r="A360" s="98" t="s">
        <v>163</v>
      </c>
      <c r="B360" t="str">
        <f>+$B$243</f>
        <v>P10_11032_00494</v>
      </c>
      <c r="C360" t="str">
        <f>+$C$243</f>
        <v>LE_XXXX</v>
      </c>
      <c r="D360" t="s">
        <v>2886</v>
      </c>
      <c r="E360">
        <v>3010</v>
      </c>
      <c r="F360" t="s">
        <v>2888</v>
      </c>
      <c r="G360" t="s">
        <v>2889</v>
      </c>
      <c r="H360" t="s">
        <v>145</v>
      </c>
      <c r="I360" t="s">
        <v>146</v>
      </c>
      <c r="J360" t="s">
        <v>147</v>
      </c>
      <c r="K360" t="str">
        <f>+"FY"&amp;RIGHT(YEAR('Hyperion Panel'!$B$9)+3,2)</f>
        <v>FY13</v>
      </c>
      <c r="L360" s="1612"/>
      <c r="M360" s="1612"/>
      <c r="N360" s="1612"/>
      <c r="O360" s="1612"/>
      <c r="P360" s="1612"/>
      <c r="Q360" s="1612"/>
      <c r="R360" s="1612"/>
      <c r="S360" s="1612"/>
      <c r="T360" s="1612"/>
      <c r="U360" s="1612"/>
      <c r="V360" s="1702"/>
      <c r="W360" s="1612"/>
    </row>
    <row r="361" spans="1:26" s="98" customFormat="1">
      <c r="A361" s="100" t="s">
        <v>463</v>
      </c>
      <c r="L361" s="1697">
        <f>+IF(COLUMNS($L361:L361)&lt;month,'2.1 Reimburse'!$J$14*L352,'2.1 Reimburse'!$K$14*L352)</f>
        <v>148268.1823254333</v>
      </c>
      <c r="M361" s="1697">
        <f>+IF(COLUMNS($L361:M361)&lt;month,'2.1 Reimburse'!$J$14*M352,'2.1 Reimburse'!$K$14*M352)</f>
        <v>148268.1823254333</v>
      </c>
      <c r="N361" s="1697">
        <f>+IF(COLUMNS($L361:N361)&lt;month,'2.1 Reimburse'!$J$14*N352,'2.1 Reimburse'!$K$14*N352)</f>
        <v>148268.1823254333</v>
      </c>
      <c r="O361" s="1697">
        <f>+IF(COLUMNS($L361:O361)&lt;month,'2.1 Reimburse'!$J$14*O352,'2.1 Reimburse'!$K$14*O352)</f>
        <v>148268.1823254333</v>
      </c>
      <c r="P361" s="1697">
        <f>+IF(COLUMNS($L361:P361)&lt;month,'2.1 Reimburse'!$J$14*P352,'2.1 Reimburse'!$K$14*P352)</f>
        <v>148268.1823254333</v>
      </c>
      <c r="Q361" s="1697">
        <f>+IF(COLUMNS($L361:Q361)&lt;month,'2.1 Reimburse'!$J$14*Q352,'2.1 Reimburse'!$K$14*Q352)</f>
        <v>148268.1823254333</v>
      </c>
      <c r="R361" s="1697">
        <f>+IF(COLUMNS($L361:R361)&lt;month,'2.1 Reimburse'!$J$14*R352,'2.1 Reimburse'!$K$14*R352)</f>
        <v>148268.1823254333</v>
      </c>
      <c r="S361" s="1697">
        <f>+IF(COLUMNS($L361:S361)&lt;month,'2.1 Reimburse'!$J$14*S352,'2.1 Reimburse'!$K$14*S352)</f>
        <v>148268.1823254333</v>
      </c>
      <c r="T361" s="1697">
        <f>+IF(COLUMNS($L361:T361)&lt;month,'2.1 Reimburse'!$J$14*T352,'2.1 Reimburse'!$K$14*T352)</f>
        <v>148268.1823254333</v>
      </c>
      <c r="U361" s="1697">
        <f>+IF(COLUMNS($L361:U361)&lt;month,'2.1 Reimburse'!$J$14*U352,'2.1 Reimburse'!$K$14*U352)</f>
        <v>148268.1823254333</v>
      </c>
      <c r="V361" s="1697">
        <f>+IF(COLUMNS($L361:V361)&lt;month,'2.1 Reimburse'!$J$14*V352,'2.1 Reimburse'!$K$14*V352)</f>
        <v>148268.1823254333</v>
      </c>
      <c r="W361" s="1697">
        <f>+IF(COLUMNS($L361:W361)&lt;month,'2.1 Reimburse'!$J$14*W352,'2.1 Reimburse'!$K$14*W352)</f>
        <v>148268.1823254333</v>
      </c>
      <c r="Y361" s="99" t="s">
        <v>725</v>
      </c>
      <c r="Z361" s="45" t="s">
        <v>1563</v>
      </c>
    </row>
    <row r="362" spans="1:26" s="98" customFormat="1">
      <c r="A362" s="100" t="s">
        <v>464</v>
      </c>
      <c r="L362" s="1697">
        <f>+IF(COLUMNS($L362:L362)&lt;month,'2.1 Reimburse'!$J$21*L353,'2.1 Reimburse'!$K$21*L353)</f>
        <v>25445.437493068097</v>
      </c>
      <c r="M362" s="1697">
        <f>+IF(COLUMNS($L362:M362)&lt;month,'2.1 Reimburse'!$J$21*M353,'2.1 Reimburse'!$K$21*M353)</f>
        <v>25445.437493068097</v>
      </c>
      <c r="N362" s="1697">
        <f>+IF(COLUMNS($L362:N362)&lt;month,'2.1 Reimburse'!$J$21*N353,'2.1 Reimburse'!$K$21*N353)</f>
        <v>25445.437493068097</v>
      </c>
      <c r="O362" s="1697">
        <f>+IF(COLUMNS($L362:O362)&lt;month,'2.1 Reimburse'!$J$21*O353,'2.1 Reimburse'!$K$21*O353)</f>
        <v>25445.437493068097</v>
      </c>
      <c r="P362" s="1697">
        <f>+IF(COLUMNS($L362:P362)&lt;month,'2.1 Reimburse'!$J$21*P353,'2.1 Reimburse'!$K$21*P353)</f>
        <v>25445.437493068097</v>
      </c>
      <c r="Q362" s="1697">
        <f>+IF(COLUMNS($L362:Q362)&lt;month,'2.1 Reimburse'!$J$21*Q353,'2.1 Reimburse'!$K$21*Q353)</f>
        <v>25445.437493068097</v>
      </c>
      <c r="R362" s="1697">
        <f>+IF(COLUMNS($L362:R362)&lt;month,'2.1 Reimburse'!$J$21*R353,'2.1 Reimburse'!$K$21*R353)</f>
        <v>25445.437493068097</v>
      </c>
      <c r="S362" s="1697">
        <f>+IF(COLUMNS($L362:S362)&lt;month,'2.1 Reimburse'!$J$21*S353,'2.1 Reimburse'!$K$21*S353)</f>
        <v>25445.437493068097</v>
      </c>
      <c r="T362" s="1697">
        <f>+IF(COLUMNS($L362:T362)&lt;month,'2.1 Reimburse'!$J$21*T353,'2.1 Reimburse'!$K$21*T353)</f>
        <v>25445.437493068097</v>
      </c>
      <c r="U362" s="1697">
        <f>+IF(COLUMNS($L362:U362)&lt;month,'2.1 Reimburse'!$J$21*U353,'2.1 Reimburse'!$K$21*U353)</f>
        <v>25445.437493068097</v>
      </c>
      <c r="V362" s="1697">
        <f>+IF(COLUMNS($L362:V362)&lt;month,'2.1 Reimburse'!$J$21*V353,'2.1 Reimburse'!$K$21*V353)</f>
        <v>26030.682555408661</v>
      </c>
      <c r="W362" s="1697">
        <f>+IF(COLUMNS($L362:W362)&lt;month,'2.1 Reimburse'!$J$21*W353,'2.1 Reimburse'!$K$21*W353)</f>
        <v>26030.682555408661</v>
      </c>
      <c r="Y362" s="99" t="s">
        <v>725</v>
      </c>
      <c r="Z362" s="1709" t="str">
        <f>Z361</f>
        <v>Yr3 - Yr4</v>
      </c>
    </row>
    <row r="363" spans="1:26">
      <c r="A363" s="98" t="s">
        <v>164</v>
      </c>
      <c r="B363" t="str">
        <f>+$B$243</f>
        <v>P10_11032_00494</v>
      </c>
      <c r="C363" t="str">
        <f>+$C$243</f>
        <v>LE_XXXX</v>
      </c>
      <c r="D363" t="s">
        <v>2886</v>
      </c>
      <c r="E363">
        <v>3030</v>
      </c>
      <c r="F363" t="s">
        <v>150</v>
      </c>
      <c r="G363" t="s">
        <v>2889</v>
      </c>
      <c r="H363" t="s">
        <v>145</v>
      </c>
      <c r="I363" t="s">
        <v>146</v>
      </c>
      <c r="J363" t="s">
        <v>147</v>
      </c>
      <c r="K363" t="str">
        <f>+"FY"&amp;RIGHT(YEAR('Hyperion Panel'!$B$9)+3,2)</f>
        <v>FY13</v>
      </c>
      <c r="L363" s="1612"/>
      <c r="M363" s="1612"/>
      <c r="N363" s="1612"/>
      <c r="O363" s="1612"/>
      <c r="P363" s="1612"/>
      <c r="Q363" s="1612"/>
      <c r="R363" s="1612"/>
      <c r="S363" s="1612"/>
      <c r="T363" s="1612"/>
      <c r="U363" s="1612"/>
      <c r="V363" s="1961"/>
      <c r="W363" s="1612"/>
      <c r="Z363" s="45"/>
    </row>
    <row r="364" spans="1:26" s="98" customFormat="1">
      <c r="A364" s="100" t="s">
        <v>463</v>
      </c>
      <c r="L364" s="1697">
        <f>+IF(COLUMNS($L364:L364)&lt;month,'2.1 Reimburse'!$J$23*L355,'2.1 Reimburse'!$K$23*L355)</f>
        <v>43489.791911071581</v>
      </c>
      <c r="M364" s="1697">
        <f>+IF(COLUMNS($L364:M364)&lt;month,'2.1 Reimburse'!$J$23*M355,'2.1 Reimburse'!$K$23*M355)</f>
        <v>43489.791911071581</v>
      </c>
      <c r="N364" s="1697">
        <f>+IF(COLUMNS($L364:N364)&lt;month,'2.1 Reimburse'!$J$23*N355,'2.1 Reimburse'!$K$23*N355)</f>
        <v>43489.791911071581</v>
      </c>
      <c r="O364" s="1697">
        <f>+IF(COLUMNS($L364:O364)&lt;month,'2.1 Reimburse'!$J$23*O355,'2.1 Reimburse'!$K$23*O355)</f>
        <v>43489.791911071581</v>
      </c>
      <c r="P364" s="1697">
        <f>+IF(COLUMNS($L364:P364)&lt;month,'2.1 Reimburse'!$J$23*P355,'2.1 Reimburse'!$K$23*P355)</f>
        <v>43489.791911071581</v>
      </c>
      <c r="Q364" s="1697">
        <f>+IF(COLUMNS($L364:Q364)&lt;month,'2.1 Reimburse'!$J$23*Q355,'2.1 Reimburse'!$K$23*Q355)</f>
        <v>43489.791911071581</v>
      </c>
      <c r="R364" s="1697">
        <f>+IF(COLUMNS($L364:R364)&lt;month,'2.1 Reimburse'!$J$23*R355,'2.1 Reimburse'!$K$23*R355)</f>
        <v>43489.791911071581</v>
      </c>
      <c r="S364" s="1697">
        <f>+IF(COLUMNS($L364:S364)&lt;month,'2.1 Reimburse'!$J$23*S355,'2.1 Reimburse'!$K$23*S355)</f>
        <v>43489.791911071581</v>
      </c>
      <c r="T364" s="1697">
        <f>+IF(COLUMNS($L364:T364)&lt;month,'2.1 Reimburse'!$J$23*T355,'2.1 Reimburse'!$K$23*T355)</f>
        <v>43489.791911071581</v>
      </c>
      <c r="U364" s="1697">
        <f>+IF(COLUMNS($L364:U364)&lt;month,'2.1 Reimburse'!$J$23*U355,'2.1 Reimburse'!$K$23*U355)</f>
        <v>43489.791911071581</v>
      </c>
      <c r="V364" s="1697">
        <f>+IF(COLUMNS($L364:V364)&lt;month,'2.1 Reimburse'!$J$23*V355,'2.1 Reimburse'!$K$23*V355)</f>
        <v>43489.791911071581</v>
      </c>
      <c r="W364" s="1697">
        <f>+IF(COLUMNS($L364:W364)&lt;month,'2.1 Reimburse'!$J$23*W355,'2.1 Reimburse'!$K$23*W355)</f>
        <v>43489.791911071581</v>
      </c>
      <c r="Y364" s="99" t="s">
        <v>725</v>
      </c>
      <c r="Z364" s="45" t="str">
        <f>Z361</f>
        <v>Yr3 - Yr4</v>
      </c>
    </row>
    <row r="365" spans="1:26" s="98" customFormat="1">
      <c r="A365" s="100" t="s">
        <v>464</v>
      </c>
      <c r="L365" s="1697">
        <f>+IF(COLUMNS($L365:L365)&lt;month,'2.1 Reimburse'!$J$30*L356,'2.1 Reimburse'!$K$30*L356)</f>
        <v>78825.540060047919</v>
      </c>
      <c r="M365" s="1697">
        <f>+IF(COLUMNS($L365:M365)&lt;month,'2.1 Reimburse'!$J$30*M356,'2.1 Reimburse'!$K$30*M356)</f>
        <v>78825.540060047919</v>
      </c>
      <c r="N365" s="1697">
        <f>+IF(COLUMNS($L365:N365)&lt;month,'2.1 Reimburse'!$J$30*N356,'2.1 Reimburse'!$K$30*N356)</f>
        <v>78825.540060047919</v>
      </c>
      <c r="O365" s="1697">
        <f>+IF(COLUMNS($L365:O365)&lt;month,'2.1 Reimburse'!$J$30*O356,'2.1 Reimburse'!$K$30*O356)</f>
        <v>78825.540060047919</v>
      </c>
      <c r="P365" s="1697">
        <f>+IF(COLUMNS($L365:P365)&lt;month,'2.1 Reimburse'!$J$30*P356,'2.1 Reimburse'!$K$30*P356)</f>
        <v>78825.540060047919</v>
      </c>
      <c r="Q365" s="1697">
        <f>+IF(COLUMNS($L365:Q365)&lt;month,'2.1 Reimburse'!$J$30*Q356,'2.1 Reimburse'!$K$30*Q356)</f>
        <v>78825.540060047919</v>
      </c>
      <c r="R365" s="1697">
        <f>+IF(COLUMNS($L365:R365)&lt;month,'2.1 Reimburse'!$J$30*R356,'2.1 Reimburse'!$K$30*R356)</f>
        <v>78825.540060047919</v>
      </c>
      <c r="S365" s="1697">
        <f>+IF(COLUMNS($L365:S365)&lt;month,'2.1 Reimburse'!$J$30*S356,'2.1 Reimburse'!$K$30*S356)</f>
        <v>78825.540060047919</v>
      </c>
      <c r="T365" s="1697">
        <f>+IF(COLUMNS($L365:T365)&lt;month,'2.1 Reimburse'!$J$30*T356,'2.1 Reimburse'!$K$30*T356)</f>
        <v>78825.540060047919</v>
      </c>
      <c r="U365" s="1697">
        <f>+IF(COLUMNS($L365:U365)&lt;month,'2.1 Reimburse'!$J$30*U356,'2.1 Reimburse'!$K$30*U356)</f>
        <v>78825.540060047919</v>
      </c>
      <c r="V365" s="1697">
        <f>+IF(COLUMNS($L365:V365)&lt;month,'2.1 Reimburse'!$J$30*V356,'2.1 Reimburse'!$K$30*V356)</f>
        <v>80638.527481428988</v>
      </c>
      <c r="W365" s="1697">
        <f>+IF(COLUMNS($L365:W365)&lt;month,'2.1 Reimburse'!$J$30*W356,'2.1 Reimburse'!$K$30*W356)</f>
        <v>80638.527481428988</v>
      </c>
      <c r="Y365" s="99" t="s">
        <v>725</v>
      </c>
      <c r="Z365" s="45" t="str">
        <f>Z361</f>
        <v>Yr3 - Yr4</v>
      </c>
    </row>
    <row r="366" spans="1:26">
      <c r="A366" s="4" t="s">
        <v>3768</v>
      </c>
      <c r="B366" s="4" t="str">
        <f>+$B$243</f>
        <v>P10_11032_00494</v>
      </c>
      <c r="C366" s="4"/>
      <c r="D366" s="4"/>
      <c r="E366" s="4"/>
      <c r="F366" s="4"/>
      <c r="G366" s="4"/>
      <c r="H366" s="4"/>
      <c r="I366" s="4"/>
      <c r="J366" s="4"/>
      <c r="K366" s="4" t="str">
        <f>+"FY"&amp;RIGHT(YEAR('Hyperion Panel'!$B$9)+3,2)</f>
        <v>FY13</v>
      </c>
      <c r="L366" s="1698"/>
      <c r="M366" s="1698"/>
      <c r="N366" s="1698"/>
      <c r="O366" s="1698"/>
      <c r="P366" s="1698"/>
      <c r="Q366" s="1698"/>
      <c r="R366" s="1698"/>
      <c r="S366" s="1698"/>
      <c r="T366" s="1698"/>
      <c r="U366" s="1698"/>
      <c r="V366" s="1962"/>
      <c r="W366" s="1698"/>
      <c r="Z366" s="45"/>
    </row>
    <row r="367" spans="1:26">
      <c r="A367" s="101" t="s">
        <v>463</v>
      </c>
      <c r="B367" s="4"/>
      <c r="C367" s="4"/>
      <c r="D367" s="4"/>
      <c r="E367" s="4"/>
      <c r="F367" s="4"/>
      <c r="G367" s="4"/>
      <c r="H367" s="4"/>
      <c r="I367" s="4"/>
      <c r="J367" s="4"/>
      <c r="K367" s="4"/>
      <c r="L367" s="1698">
        <f>+IF(COLUMNS($L367:L367)&lt;month,'2.1 Reimburse'!$J$32*L358,'2.1 Reimburse'!$K$32*L358)</f>
        <v>16884.753665513832</v>
      </c>
      <c r="M367" s="1698">
        <f>+IF(COLUMNS($L367:M367)&lt;month,'2.1 Reimburse'!$J$32*M358,'2.1 Reimburse'!$K$32*M358)</f>
        <v>16884.753665513832</v>
      </c>
      <c r="N367" s="1698">
        <f>+IF(COLUMNS($L367:N367)&lt;month,'2.1 Reimburse'!$J$32*N358,'2.1 Reimburse'!$K$32*N358)</f>
        <v>16884.753665513832</v>
      </c>
      <c r="O367" s="1698">
        <f>+IF(COLUMNS($L367:O367)&lt;month,'2.1 Reimburse'!$J$32*O358,'2.1 Reimburse'!$K$32*O358)</f>
        <v>16884.753665513832</v>
      </c>
      <c r="P367" s="1698">
        <f>+IF(COLUMNS($L367:P367)&lt;month,'2.1 Reimburse'!$J$32*P358,'2.1 Reimburse'!$K$32*P358)</f>
        <v>16884.753665513832</v>
      </c>
      <c r="Q367" s="1698">
        <f>+IF(COLUMNS($L367:Q367)&lt;month,'2.1 Reimburse'!$J$32*Q358,'2.1 Reimburse'!$K$32*Q358)</f>
        <v>16884.753665513832</v>
      </c>
      <c r="R367" s="1698">
        <f>+IF(COLUMNS($L367:R367)&lt;month,'2.1 Reimburse'!$J$32*R358,'2.1 Reimburse'!$K$32*R358)</f>
        <v>16884.753665513832</v>
      </c>
      <c r="S367" s="1698">
        <f>+IF(COLUMNS($L367:S367)&lt;month,'2.1 Reimburse'!$J$32*S358,'2.1 Reimburse'!$K$32*S358)</f>
        <v>16884.753665513832</v>
      </c>
      <c r="T367" s="1698">
        <f>+IF(COLUMNS($L367:T367)&lt;month,'2.1 Reimburse'!$J$32*T358,'2.1 Reimburse'!$K$32*T358)</f>
        <v>16884.753665513832</v>
      </c>
      <c r="U367" s="1698">
        <f>+IF(COLUMNS($L367:U367)&lt;month,'2.1 Reimburse'!$J$32*U358,'2.1 Reimburse'!$K$32*U358)</f>
        <v>16884.753665513832</v>
      </c>
      <c r="V367" s="1698">
        <f>+IF(COLUMNS($L367:V367)&lt;month,'2.1 Reimburse'!$J$32*V358,'2.1 Reimburse'!$K$32*V358)</f>
        <v>16884.753665513832</v>
      </c>
      <c r="W367" s="1698">
        <f>+IF(COLUMNS($L367:W367)&lt;month,'2.1 Reimburse'!$J$32*W358,'2.1 Reimburse'!$K$32*W358)</f>
        <v>16884.753665513832</v>
      </c>
      <c r="Y367" s="99" t="s">
        <v>725</v>
      </c>
      <c r="Z367" s="45" t="str">
        <f>Z361</f>
        <v>Yr3 - Yr4</v>
      </c>
    </row>
    <row r="368" spans="1:26">
      <c r="A368" s="101" t="s">
        <v>464</v>
      </c>
      <c r="B368" s="4"/>
      <c r="C368" s="4"/>
      <c r="D368" s="4"/>
      <c r="E368" s="4"/>
      <c r="F368" s="4"/>
      <c r="G368" s="4"/>
      <c r="H368" s="4"/>
      <c r="I368" s="4"/>
      <c r="J368" s="4"/>
      <c r="K368" s="4"/>
      <c r="L368" s="1698">
        <f>+IF(COLUMNS($L368:L368)&lt;month,'2.1 Reimburse'!$J$39*L359,'2.1 Reimburse'!$K$39*L359)</f>
        <v>0</v>
      </c>
      <c r="M368" s="1698">
        <f>+IF(COLUMNS($L368:M368)&lt;month,'2.1 Reimburse'!$J$39*M359,'2.1 Reimburse'!$K$39*M359)</f>
        <v>0</v>
      </c>
      <c r="N368" s="1698">
        <f>+IF(COLUMNS($L368:N368)&lt;month,'2.1 Reimburse'!$J$39*N359,'2.1 Reimburse'!$K$39*N359)</f>
        <v>0</v>
      </c>
      <c r="O368" s="1698">
        <f>+IF(COLUMNS($L368:O368)&lt;month,'2.1 Reimburse'!$J$39*O359,'2.1 Reimburse'!$K$39*O359)</f>
        <v>0</v>
      </c>
      <c r="P368" s="1698">
        <f>+IF(COLUMNS($L368:P368)&lt;month,'2.1 Reimburse'!$J$39*P359,'2.1 Reimburse'!$K$39*P359)</f>
        <v>0</v>
      </c>
      <c r="Q368" s="1698">
        <f>+IF(COLUMNS($L368:Q368)&lt;month,'2.1 Reimburse'!$J$39*Q359,'2.1 Reimburse'!$K$39*Q359)</f>
        <v>0</v>
      </c>
      <c r="R368" s="1698">
        <f>+IF(COLUMNS($L368:R368)&lt;month,'2.1 Reimburse'!$J$39*R359,'2.1 Reimburse'!$K$39*R359)</f>
        <v>0</v>
      </c>
      <c r="S368" s="1698">
        <f>+IF(COLUMNS($L368:S368)&lt;month,'2.1 Reimburse'!$J$39*S359,'2.1 Reimburse'!$K$39*S359)</f>
        <v>0</v>
      </c>
      <c r="T368" s="1698">
        <f>+IF(COLUMNS($L368:T368)&lt;month,'2.1 Reimburse'!$J$39*T359,'2.1 Reimburse'!$K$39*T359)</f>
        <v>0</v>
      </c>
      <c r="U368" s="1698">
        <f>+IF(COLUMNS($L368:U368)&lt;month,'2.1 Reimburse'!$J$39*U359,'2.1 Reimburse'!$K$39*U359)</f>
        <v>0</v>
      </c>
      <c r="V368" s="1698">
        <f>+IF(COLUMNS($L368:V368)&lt;month,'2.1 Reimburse'!$J$39*V359,'2.1 Reimburse'!$K$39*V359)</f>
        <v>0</v>
      </c>
      <c r="W368" s="1698">
        <f>+IF(COLUMNS($L368:W368)&lt;month,'2.1 Reimburse'!$J$39*W359,'2.1 Reimburse'!$K$39*W359)</f>
        <v>0</v>
      </c>
      <c r="Y368" s="99" t="s">
        <v>725</v>
      </c>
      <c r="Z368" s="45" t="str">
        <f>Z361</f>
        <v>Yr3 - Yr4</v>
      </c>
    </row>
    <row r="369" spans="1:23">
      <c r="A369" s="3" t="s">
        <v>2651</v>
      </c>
      <c r="B369" t="str">
        <f t="shared" ref="B369:B385" si="18">+$B$243</f>
        <v>P10_11032_00494</v>
      </c>
      <c r="C369" t="str">
        <f t="shared" ref="C369:C378" si="19">+$C$243</f>
        <v>LE_XXXX</v>
      </c>
      <c r="D369" t="s">
        <v>2886</v>
      </c>
      <c r="E369">
        <v>6010</v>
      </c>
      <c r="F369" t="s">
        <v>2888</v>
      </c>
      <c r="G369" t="s">
        <v>153</v>
      </c>
      <c r="H369" t="s">
        <v>154</v>
      </c>
      <c r="I369" t="s">
        <v>146</v>
      </c>
      <c r="J369" t="s">
        <v>147</v>
      </c>
      <c r="K369" t="str">
        <f>+"FY"&amp;RIGHT(YEAR('Hyperion Panel'!$B$9)+3,2)</f>
        <v>FY13</v>
      </c>
      <c r="L369" s="1697">
        <f>+IF(COLUMNS($L369:L369)&lt;month,'6. Market'!$AN$107*SUM(L352:L353,L355:L356,L358:L359),'6. Market'!$AO$107*SUM(L352:L353,L355:L356,L358:L359))</f>
        <v>41056.601707191752</v>
      </c>
      <c r="M369" s="1697">
        <f>+IF(COLUMNS($L369:M369)&lt;month,'6. Market'!$AN$107*SUM(M352:M353,M355:M356,M358:M359),'6. Market'!$AO$107*SUM(M352:M353,M355:M356,M358:M359))</f>
        <v>41056.601707191752</v>
      </c>
      <c r="N369" s="1697">
        <f>+IF(COLUMNS($L369:N369)&lt;month,'6. Market'!$AN$107*SUM(N352:N353,N355:N356,N358:N359),'6. Market'!$AO$107*SUM(N352:N353,N355:N356,N358:N359))</f>
        <v>41056.601707191752</v>
      </c>
      <c r="O369" s="1697">
        <f>+IF(COLUMNS($L369:O369)&lt;month,'6. Market'!$AN$107*SUM(O352:O353,O355:O356,O358:O359),'6. Market'!$AO$107*SUM(O352:O353,O355:O356,O358:O359))</f>
        <v>41056.601707191752</v>
      </c>
      <c r="P369" s="1697">
        <f>+IF(COLUMNS($L369:P369)&lt;month,'6. Market'!$AN$107*SUM(P352:P353,P355:P356,P358:P359),'6. Market'!$AO$107*SUM(P352:P353,P355:P356,P358:P359))</f>
        <v>41056.601707191752</v>
      </c>
      <c r="Q369" s="1697">
        <f>+IF(COLUMNS($L369:Q369)&lt;month,'6. Market'!$AN$107*SUM(Q352:Q353,Q355:Q356,Q358:Q359),'6. Market'!$AO$107*SUM(Q352:Q353,Q355:Q356,Q358:Q359))</f>
        <v>41056.601707191752</v>
      </c>
      <c r="R369" s="1697">
        <f>+IF(COLUMNS($L369:R369)&lt;month,'6. Market'!$AN$107*SUM(R352:R353,R355:R356,R358:R359),'6. Market'!$AO$107*SUM(R352:R353,R355:R356,R358:R359))</f>
        <v>41056.601707191752</v>
      </c>
      <c r="S369" s="1697">
        <f>+IF(COLUMNS($L369:S369)&lt;month,'6. Market'!$AN$107*SUM(S352:S353,S355:S356,S358:S359),'6. Market'!$AO$107*SUM(S352:S353,S355:S356,S358:S359))</f>
        <v>41056.601707191752</v>
      </c>
      <c r="T369" s="1697">
        <f>+IF(COLUMNS($L369:T369)&lt;month,'6. Market'!$AN$107*SUM(T352:T353,T355:T356,T358:T359),'6. Market'!$AO$107*SUM(T352:T353,T355:T356,T358:T359))</f>
        <v>41056.601707191752</v>
      </c>
      <c r="U369" s="1697">
        <f>+IF(COLUMNS($L369:U369)&lt;month,'6. Market'!$AN$107*SUM(U352:U353,U355:U356,U358:U359),'6. Market'!$AO$107*SUM(U352:U353,U355:U356,U358:U359))</f>
        <v>41056.601707191752</v>
      </c>
      <c r="V369" s="1697">
        <f>+IF(COLUMNS($L369:V369)&lt;month,'6. Market'!$AN$107*SUM(V352:V353,V355:V356,V358:V359),'6. Market'!$AO$107*SUM(V352:V353,V355:V356,V358:V359))</f>
        <v>42288.299758407506</v>
      </c>
      <c r="W369" s="1697">
        <f>+IF(COLUMNS($L369:W369)&lt;month,'6. Market'!$AN$107*SUM(W352:W353,W355:W356,W358:W359),'6. Market'!$AO$107*SUM(W352:W353,W355:W356,W358:W359))</f>
        <v>42288.299758407506</v>
      </c>
    </row>
    <row r="370" spans="1:23">
      <c r="A370" t="s">
        <v>2652</v>
      </c>
      <c r="B370" t="str">
        <f t="shared" si="18"/>
        <v>P10_11032_00494</v>
      </c>
      <c r="C370" t="str">
        <f t="shared" si="19"/>
        <v>LE_XXXX</v>
      </c>
      <c r="D370" t="s">
        <v>2886</v>
      </c>
      <c r="E370">
        <v>6010</v>
      </c>
      <c r="F370" t="s">
        <v>2888</v>
      </c>
      <c r="G370" t="s">
        <v>155</v>
      </c>
      <c r="H370" t="s">
        <v>154</v>
      </c>
      <c r="I370" t="s">
        <v>146</v>
      </c>
      <c r="J370" t="s">
        <v>147</v>
      </c>
      <c r="K370" t="str">
        <f>+"FY"&amp;RIGHT(YEAR('Hyperion Panel'!$B$9)+3,2)</f>
        <v>FY13</v>
      </c>
      <c r="L370" s="1612">
        <f>+IF(COLUMNS($L370:L370)&lt;month,'6. Market'!$AN$74/12,'6. Market'!$AO$74/12)</f>
        <v>15696.015500000001</v>
      </c>
      <c r="M370" s="1612">
        <f>+IF(COLUMNS($L370:M370)&lt;month,'6. Market'!$AN$74/12,'6. Market'!$AO$74/12)</f>
        <v>15696.015500000001</v>
      </c>
      <c r="N370" s="1612">
        <f>+IF(COLUMNS($L370:N370)&lt;month,'6. Market'!$AN$74/12,'6. Market'!$AO$74/12)</f>
        <v>15696.015500000001</v>
      </c>
      <c r="O370" s="1612">
        <f>+IF(COLUMNS($L370:O370)&lt;month,'6. Market'!$AN$74/12,'6. Market'!$AO$74/12)</f>
        <v>15696.015500000001</v>
      </c>
      <c r="P370" s="1612">
        <f>+IF(COLUMNS($L370:P370)&lt;month,'6. Market'!$AN$74/12,'6. Market'!$AO$74/12)</f>
        <v>15696.015500000001</v>
      </c>
      <c r="Q370" s="1612">
        <f>+IF(COLUMNS($L370:Q370)&lt;month,'6. Market'!$AN$74/12,'6. Market'!$AO$74/12)</f>
        <v>15696.015500000001</v>
      </c>
      <c r="R370" s="1612">
        <f>+IF(COLUMNS($L370:R370)&lt;month,'6. Market'!$AN$74/12,'6. Market'!$AO$74/12)</f>
        <v>15696.015500000001</v>
      </c>
      <c r="S370" s="1612">
        <f>+IF(COLUMNS($L370:S370)&lt;month,'6. Market'!$AN$74/12,'6. Market'!$AO$74/12)</f>
        <v>15696.015500000001</v>
      </c>
      <c r="T370" s="1612">
        <f>+IF(COLUMNS($L370:T370)&lt;month,'6. Market'!$AN$74/12,'6. Market'!$AO$74/12)</f>
        <v>15696.015500000001</v>
      </c>
      <c r="U370" s="1612">
        <f>+IF(COLUMNS($L370:U370)&lt;month,'6. Market'!$AN$74/12,'6. Market'!$AO$74/12)</f>
        <v>15696.015500000001</v>
      </c>
      <c r="V370" s="1612">
        <f>+IF(COLUMNS($L370:V370)&lt;month,'6. Market'!$AN$74/12,'6. Market'!$AO$74/12)</f>
        <v>16166.895965000002</v>
      </c>
      <c r="W370" s="1612">
        <f>+IF(COLUMNS($L370:W370)&lt;month,'6. Market'!$AN$74/12,'6. Market'!$AO$74/12)</f>
        <v>16166.895965000002</v>
      </c>
    </row>
    <row r="371" spans="1:23">
      <c r="A371" t="s">
        <v>2653</v>
      </c>
      <c r="B371" t="str">
        <f t="shared" si="18"/>
        <v>P10_11032_00494</v>
      </c>
      <c r="C371" t="str">
        <f t="shared" si="19"/>
        <v>LE_XXXX</v>
      </c>
      <c r="D371" t="s">
        <v>2886</v>
      </c>
      <c r="E371">
        <v>6051</v>
      </c>
      <c r="F371" t="s">
        <v>2888</v>
      </c>
      <c r="G371" t="s">
        <v>153</v>
      </c>
      <c r="H371" t="s">
        <v>154</v>
      </c>
      <c r="I371" t="s">
        <v>146</v>
      </c>
      <c r="J371" t="s">
        <v>147</v>
      </c>
      <c r="K371" t="str">
        <f>+"FY"&amp;RIGHT(YEAR('Hyperion Panel'!$B$9)+3,2)</f>
        <v>FY13</v>
      </c>
      <c r="L371" s="1612">
        <f>+IF(COLUMNS($L371:L371)&lt;month,'6. Market'!$AN$75/12,'6. Market'!$AO$75/12)</f>
        <v>20041.173750404498</v>
      </c>
      <c r="M371" s="1612">
        <f>+IF(COLUMNS($L371:M371)&lt;month,'6. Market'!$AN$75/12,'6. Market'!$AO$75/12)</f>
        <v>20041.173750404498</v>
      </c>
      <c r="N371" s="1612">
        <f>+IF(COLUMNS($L371:N371)&lt;month,'6. Market'!$AN$75/12,'6. Market'!$AO$75/12)</f>
        <v>20041.173750404498</v>
      </c>
      <c r="O371" s="1612">
        <f>+IF(COLUMNS($L371:O371)&lt;month,'6. Market'!$AN$75/12,'6. Market'!$AO$75/12)</f>
        <v>20041.173750404498</v>
      </c>
      <c r="P371" s="1612">
        <f>+IF(COLUMNS($L371:P371)&lt;month,'6. Market'!$AN$75/12,'6. Market'!$AO$75/12)</f>
        <v>20041.173750404498</v>
      </c>
      <c r="Q371" s="1612">
        <f>+IF(COLUMNS($L371:Q371)&lt;month,'6. Market'!$AN$75/12,'6. Market'!$AO$75/12)</f>
        <v>20041.173750404498</v>
      </c>
      <c r="R371" s="1612">
        <f>+IF(COLUMNS($L371:R371)&lt;month,'6. Market'!$AN$75/12,'6. Market'!$AO$75/12)</f>
        <v>20041.173750404498</v>
      </c>
      <c r="S371" s="1612">
        <f>+IF(COLUMNS($L371:S371)&lt;month,'6. Market'!$AN$75/12,'6. Market'!$AO$75/12)</f>
        <v>20041.173750404498</v>
      </c>
      <c r="T371" s="1612">
        <f>+IF(COLUMNS($L371:T371)&lt;month,'6. Market'!$AN$75/12,'6. Market'!$AO$75/12)</f>
        <v>20041.173750404498</v>
      </c>
      <c r="U371" s="1612">
        <f>+IF(COLUMNS($L371:U371)&lt;month,'6. Market'!$AN$75/12,'6. Market'!$AO$75/12)</f>
        <v>20041.173750404498</v>
      </c>
      <c r="V371" s="1612">
        <f>+IF(COLUMNS($L371:V371)&lt;month,'6. Market'!$AN$75/12,'6. Market'!$AO$75/12)</f>
        <v>20642.40896291663</v>
      </c>
      <c r="W371" s="1612">
        <f>+IF(COLUMNS($L371:W371)&lt;month,'6. Market'!$AN$75/12,'6. Market'!$AO$75/12)</f>
        <v>20642.40896291663</v>
      </c>
    </row>
    <row r="372" spans="1:23">
      <c r="A372" t="s">
        <v>2654</v>
      </c>
      <c r="B372" t="str">
        <f t="shared" si="18"/>
        <v>P10_11032_00494</v>
      </c>
      <c r="C372" t="str">
        <f t="shared" si="19"/>
        <v>LE_XXXX</v>
      </c>
      <c r="D372" t="s">
        <v>2886</v>
      </c>
      <c r="E372">
        <v>6011</v>
      </c>
      <c r="F372" t="s">
        <v>2888</v>
      </c>
      <c r="G372" t="s">
        <v>153</v>
      </c>
      <c r="H372" t="s">
        <v>154</v>
      </c>
      <c r="I372" t="s">
        <v>146</v>
      </c>
      <c r="J372" t="s">
        <v>147</v>
      </c>
      <c r="K372" t="str">
        <f>+"FY"&amp;RIGHT(YEAR('Hyperion Panel'!$B$9)+3,2)</f>
        <v>FY13</v>
      </c>
      <c r="L372" s="1612">
        <f>+IF(COLUMNS($L372:L372)&lt;month,'6. Market'!$AN$76/12,'6. Market'!$AO$76/12)</f>
        <v>0</v>
      </c>
      <c r="M372" s="1612">
        <f>+IF(COLUMNS($L372:M372)&lt;month,'6. Market'!$AN$76/12,'6. Market'!$AO$76/12)</f>
        <v>0</v>
      </c>
      <c r="N372" s="1612">
        <f>+IF(COLUMNS($L372:N372)&lt;month,'6. Market'!$AN$76/12,'6. Market'!$AO$76/12)</f>
        <v>0</v>
      </c>
      <c r="O372" s="1612">
        <f>+IF(COLUMNS($L372:O372)&lt;month,'6. Market'!$AN$76/12,'6. Market'!$AO$76/12)</f>
        <v>0</v>
      </c>
      <c r="P372" s="1612">
        <f>+IF(COLUMNS($L372:P372)&lt;month,'6. Market'!$AN$76/12,'6. Market'!$AO$76/12)</f>
        <v>0</v>
      </c>
      <c r="Q372" s="1612">
        <f>+IF(COLUMNS($L372:Q372)&lt;month,'6. Market'!$AN$76/12,'6. Market'!$AO$76/12)</f>
        <v>0</v>
      </c>
      <c r="R372" s="1612">
        <f>+IF(COLUMNS($L372:R372)&lt;month,'6. Market'!$AN$76/12,'6. Market'!$AO$76/12)</f>
        <v>0</v>
      </c>
      <c r="S372" s="1612">
        <f>+IF(COLUMNS($L372:S372)&lt;month,'6. Market'!$AN$76/12,'6. Market'!$AO$76/12)</f>
        <v>0</v>
      </c>
      <c r="T372" s="1612">
        <f>+IF(COLUMNS($L372:T372)&lt;month,'6. Market'!$AN$76/12,'6. Market'!$AO$76/12)</f>
        <v>0</v>
      </c>
      <c r="U372" s="1612">
        <f>+IF(COLUMNS($L372:U372)&lt;month,'6. Market'!$AN$76/12,'6. Market'!$AO$76/12)</f>
        <v>0</v>
      </c>
      <c r="V372" s="1612">
        <f>+IF(COLUMNS($L372:V372)&lt;month,'6. Market'!$AN$76/12,'6. Market'!$AO$76/12)</f>
        <v>0</v>
      </c>
      <c r="W372" s="1612">
        <f>+IF(COLUMNS($L372:W372)&lt;month,'6. Market'!$AN$76/12,'6. Market'!$AO$76/12)</f>
        <v>0</v>
      </c>
    </row>
    <row r="373" spans="1:23">
      <c r="A373" s="6" t="s">
        <v>3769</v>
      </c>
      <c r="B373" t="str">
        <f t="shared" si="18"/>
        <v>P10_11032_00494</v>
      </c>
      <c r="C373" t="str">
        <f t="shared" si="19"/>
        <v>LE_XXXX</v>
      </c>
      <c r="D373" t="s">
        <v>2886</v>
      </c>
      <c r="E373">
        <v>6600</v>
      </c>
      <c r="F373" t="s">
        <v>2888</v>
      </c>
      <c r="G373" t="s">
        <v>2889</v>
      </c>
      <c r="H373" t="s">
        <v>154</v>
      </c>
      <c r="I373" t="s">
        <v>146</v>
      </c>
      <c r="J373" t="s">
        <v>147</v>
      </c>
      <c r="K373" t="str">
        <f>+"FY"&amp;RIGHT(YEAR('Hyperion Panel'!$B$9)+3,2)</f>
        <v>FY13</v>
      </c>
      <c r="L373" s="1712">
        <f>+IF(COLUMNS($L373:L373)&lt;month,'2.3 Expenses'!$P$47*SUM(L352:L353,L355:L356),'2.3 Expenses'!$Q$47*SUM(L352:L353,L355:L356))</f>
        <v>55098.426549237643</v>
      </c>
      <c r="M373" s="1712">
        <f>+IF(COLUMNS($L373:M373)&lt;month,'2.3 Expenses'!$P$47*SUM(M352:M353,M355:M356),'2.3 Expenses'!$Q$47*SUM(M352:M353,M355:M356))</f>
        <v>55098.426549237643</v>
      </c>
      <c r="N373" s="1712">
        <f>+IF(COLUMNS($L373:N373)&lt;month,'2.3 Expenses'!$P$47*SUM(N352:N353,N355:N356),'2.3 Expenses'!$Q$47*SUM(N352:N353,N355:N356))</f>
        <v>55098.426549237643</v>
      </c>
      <c r="O373" s="1712">
        <f>+IF(COLUMNS($L373:O373)&lt;month,'2.3 Expenses'!$P$47*SUM(O352:O353,O355:O356),'2.3 Expenses'!$Q$47*SUM(O352:O353,O355:O356))</f>
        <v>55098.426549237643</v>
      </c>
      <c r="P373" s="1712">
        <f>+IF(COLUMNS($L373:P373)&lt;month,'2.3 Expenses'!$P$47*SUM(P352:P353,P355:P356),'2.3 Expenses'!$Q$47*SUM(P352:P353,P355:P356))</f>
        <v>55098.426549237643</v>
      </c>
      <c r="Q373" s="1712">
        <f>+IF(COLUMNS($L373:Q373)&lt;month,'2.3 Expenses'!$P$47*SUM(Q352:Q353,Q355:Q356),'2.3 Expenses'!$Q$47*SUM(Q352:Q353,Q355:Q356))</f>
        <v>55098.426549237643</v>
      </c>
      <c r="R373" s="1712">
        <f>+IF(COLUMNS($L373:R373)&lt;month,'2.3 Expenses'!$P$47*SUM(R352:R353,R355:R356),'2.3 Expenses'!$Q$47*SUM(R352:R353,R355:R356))</f>
        <v>55098.426549237643</v>
      </c>
      <c r="S373" s="1712">
        <f>+IF(COLUMNS($L373:S373)&lt;month,'2.3 Expenses'!$P$47*SUM(S352:S353,S355:S356),'2.3 Expenses'!$Q$47*SUM(S352:S353,S355:S356))</f>
        <v>55098.426549237643</v>
      </c>
      <c r="T373" s="1712">
        <f>+IF(COLUMNS($L373:T373)&lt;month,'2.3 Expenses'!$P$47*SUM(T352:T353,T355:T356),'2.3 Expenses'!$Q$47*SUM(T352:T353,T355:T356))</f>
        <v>55098.426549237643</v>
      </c>
      <c r="U373" s="1712">
        <f>+IF(COLUMNS($L373:U373)&lt;month,'2.3 Expenses'!$P$47*SUM(U352:U353,U355:U356),'2.3 Expenses'!$Q$47*SUM(U352:U353,U355:U356))</f>
        <v>55098.426549237643</v>
      </c>
      <c r="V373" s="1712">
        <f>+IF(COLUMNS($L373:V373)&lt;month,'2.3 Expenses'!$P$47*SUM(V352:V353,V355:V356),'2.3 Expenses'!$Q$47*SUM(V352:V353,V355:V356))</f>
        <v>56200.395080222406</v>
      </c>
      <c r="W373" s="1712">
        <f>+IF(COLUMNS($L373:W373)&lt;month,'2.3 Expenses'!$P$47*SUM(W352:W353,W355:W356),'2.3 Expenses'!$Q$47*SUM(W352:W353,W355:W356))</f>
        <v>56200.395080222406</v>
      </c>
    </row>
    <row r="374" spans="1:23">
      <c r="A374" s="6" t="s">
        <v>3770</v>
      </c>
      <c r="B374" t="str">
        <f t="shared" si="18"/>
        <v>P10_11032_00494</v>
      </c>
      <c r="C374" t="str">
        <f t="shared" si="19"/>
        <v>LE_XXXX</v>
      </c>
      <c r="D374" t="s">
        <v>2886</v>
      </c>
      <c r="E374">
        <v>6800</v>
      </c>
      <c r="F374" t="s">
        <v>156</v>
      </c>
      <c r="G374" t="s">
        <v>2889</v>
      </c>
      <c r="H374" t="s">
        <v>154</v>
      </c>
      <c r="I374" t="s">
        <v>146</v>
      </c>
      <c r="J374" t="s">
        <v>147</v>
      </c>
      <c r="K374" t="str">
        <f>+"FY"&amp;RIGHT(YEAR('Hyperion Panel'!$B$9)+3,2)</f>
        <v>FY13</v>
      </c>
      <c r="L374" s="1712">
        <f>+IF(COLUMNS($L374:L374)&lt;month,'2.3 Expenses'!$P$50*SUM(L352:L353,L355:L356),'2.3 Expenses'!$Q$50*SUM(L352:L353,L355:L356))</f>
        <v>20821.238922919994</v>
      </c>
      <c r="M374" s="1712">
        <f>+IF(COLUMNS($L374:M374)&lt;month,'2.3 Expenses'!$P$50*SUM(M352:M353,M355:M356),'2.3 Expenses'!$Q$50*SUM(M352:M353,M355:M356))</f>
        <v>20821.238922919994</v>
      </c>
      <c r="N374" s="1712">
        <f>+IF(COLUMNS($L374:N374)&lt;month,'2.3 Expenses'!$P$50*SUM(N352:N353,N355:N356),'2.3 Expenses'!$Q$50*SUM(N352:N353,N355:N356))</f>
        <v>20821.238922919994</v>
      </c>
      <c r="O374" s="1712">
        <f>+IF(COLUMNS($L374:O374)&lt;month,'2.3 Expenses'!$P$50*SUM(O352:O353,O355:O356),'2.3 Expenses'!$Q$50*SUM(O352:O353,O355:O356))</f>
        <v>20821.238922919994</v>
      </c>
      <c r="P374" s="1712">
        <f>+IF(COLUMNS($L374:P374)&lt;month,'2.3 Expenses'!$P$50*SUM(P352:P353,P355:P356),'2.3 Expenses'!$Q$50*SUM(P352:P353,P355:P356))</f>
        <v>20821.238922919994</v>
      </c>
      <c r="Q374" s="1712">
        <f>+IF(COLUMNS($L374:Q374)&lt;month,'2.3 Expenses'!$P$50*SUM(Q352:Q353,Q355:Q356),'2.3 Expenses'!$Q$50*SUM(Q352:Q353,Q355:Q356))</f>
        <v>20821.238922919994</v>
      </c>
      <c r="R374" s="1712">
        <f>+IF(COLUMNS($L374:R374)&lt;month,'2.3 Expenses'!$P$50*SUM(R352:R353,R355:R356),'2.3 Expenses'!$Q$50*SUM(R352:R353,R355:R356))</f>
        <v>20821.238922919994</v>
      </c>
      <c r="S374" s="1712">
        <f>+IF(COLUMNS($L374:S374)&lt;month,'2.3 Expenses'!$P$50*SUM(S352:S353,S355:S356),'2.3 Expenses'!$Q$50*SUM(S352:S353,S355:S356))</f>
        <v>20821.238922919994</v>
      </c>
      <c r="T374" s="1712">
        <f>+IF(COLUMNS($L374:T374)&lt;month,'2.3 Expenses'!$P$50*SUM(T352:T353,T355:T356),'2.3 Expenses'!$Q$50*SUM(T352:T353,T355:T356))</f>
        <v>20821.238922919994</v>
      </c>
      <c r="U374" s="1712">
        <f>+IF(COLUMNS($L374:U374)&lt;month,'2.3 Expenses'!$P$50*SUM(U352:U353,U355:U356),'2.3 Expenses'!$Q$50*SUM(U352:U353,U355:U356))</f>
        <v>20821.238922919994</v>
      </c>
      <c r="V374" s="1712">
        <f>+IF(COLUMNS($L374:V374)&lt;month,'2.3 Expenses'!$P$50*SUM(V352:V353,V355:V356),'2.3 Expenses'!$Q$50*SUM(V352:V353,V355:V356))</f>
        <v>21445.876090607595</v>
      </c>
      <c r="W374" s="1712">
        <f>+IF(COLUMNS($L374:W374)&lt;month,'2.3 Expenses'!$P$50*SUM(W352:W353,W355:W356),'2.3 Expenses'!$Q$50*SUM(W352:W353,W355:W356))</f>
        <v>21445.876090607595</v>
      </c>
    </row>
    <row r="375" spans="1:23">
      <c r="A375" t="s">
        <v>3697</v>
      </c>
      <c r="B375" t="str">
        <f t="shared" si="18"/>
        <v>P10_11032_00494</v>
      </c>
      <c r="C375" t="str">
        <f t="shared" si="19"/>
        <v>LE_XXXX</v>
      </c>
      <c r="D375" t="s">
        <v>2886</v>
      </c>
      <c r="E375">
        <v>8600</v>
      </c>
      <c r="F375" t="s">
        <v>156</v>
      </c>
      <c r="G375" t="s">
        <v>2889</v>
      </c>
      <c r="H375" t="s">
        <v>154</v>
      </c>
      <c r="I375" t="s">
        <v>146</v>
      </c>
      <c r="J375" t="s">
        <v>147</v>
      </c>
      <c r="K375" t="str">
        <f>+"FY"&amp;RIGHT(YEAR('Hyperion Panel'!$B$9)+3,2)</f>
        <v>FY13</v>
      </c>
      <c r="L375" s="1612">
        <f>+IF(COLUMNS($L375:L375)&lt;month,'6. Market'!$AN$78/12,'6. Market'!$AO$78/12)</f>
        <v>17478.316890999999</v>
      </c>
      <c r="M375" s="1612">
        <f>+IF(COLUMNS($L375:M375)&lt;month,'6. Market'!$AN$78/12,'6. Market'!$AO$78/12)</f>
        <v>17478.316890999999</v>
      </c>
      <c r="N375" s="1612">
        <f>+IF(COLUMNS($L375:N375)&lt;month,'6. Market'!$AN$78/12,'6. Market'!$AO$78/12)</f>
        <v>17478.316890999999</v>
      </c>
      <c r="O375" s="1612">
        <f>+IF(COLUMNS($L375:O375)&lt;month,'6. Market'!$AN$78/12,'6. Market'!$AO$78/12)</f>
        <v>17478.316890999999</v>
      </c>
      <c r="P375" s="1612">
        <f>+IF(COLUMNS($L375:P375)&lt;month,'6. Market'!$AN$78/12,'6. Market'!$AO$78/12)</f>
        <v>17478.316890999999</v>
      </c>
      <c r="Q375" s="1612">
        <f>+IF(COLUMNS($L375:Q375)&lt;month,'6. Market'!$AN$78/12,'6. Market'!$AO$78/12)</f>
        <v>17478.316890999999</v>
      </c>
      <c r="R375" s="1612">
        <f>+IF(COLUMNS($L375:R375)&lt;month,'6. Market'!$AN$78/12,'6. Market'!$AO$78/12)</f>
        <v>17478.316890999999</v>
      </c>
      <c r="S375" s="1612">
        <f>+IF(COLUMNS($L375:S375)&lt;month,'6. Market'!$AN$78/12,'6. Market'!$AO$78/12)</f>
        <v>17478.316890999999</v>
      </c>
      <c r="T375" s="1612">
        <f>+IF(COLUMNS($L375:T375)&lt;month,'6. Market'!$AN$78/12,'6. Market'!$AO$78/12)</f>
        <v>17478.316890999999</v>
      </c>
      <c r="U375" s="1612">
        <f>+IF(COLUMNS($L375:U375)&lt;month,'6. Market'!$AN$78/12,'6. Market'!$AO$78/12)</f>
        <v>17478.316890999999</v>
      </c>
      <c r="V375" s="1612">
        <f>+IF(COLUMNS($L375:V375)&lt;month,'6. Market'!$AN$78/12,'6. Market'!$AO$78/12)</f>
        <v>18002.666397730001</v>
      </c>
      <c r="W375" s="1612">
        <f>+IF(COLUMNS($L375:W375)&lt;month,'6. Market'!$AN$78/12,'6. Market'!$AO$78/12)</f>
        <v>18002.666397730001</v>
      </c>
    </row>
    <row r="376" spans="1:23">
      <c r="A376" t="s">
        <v>157</v>
      </c>
      <c r="B376" t="str">
        <f t="shared" si="18"/>
        <v>P10_11032_00494</v>
      </c>
      <c r="C376" t="str">
        <f t="shared" si="19"/>
        <v>LE_XXXX</v>
      </c>
      <c r="D376" t="s">
        <v>2886</v>
      </c>
      <c r="E376">
        <v>6720</v>
      </c>
      <c r="F376" t="s">
        <v>156</v>
      </c>
      <c r="G376" t="s">
        <v>2889</v>
      </c>
      <c r="H376" t="s">
        <v>154</v>
      </c>
      <c r="I376" t="s">
        <v>146</v>
      </c>
      <c r="J376" t="s">
        <v>147</v>
      </c>
      <c r="K376" t="str">
        <f>+"FY"&amp;RIGHT(YEAR('Hyperion Panel'!$B$9)+3,2)</f>
        <v>FY13</v>
      </c>
      <c r="L376" s="1612">
        <f>+IF(COLUMNS($L376:L376)&lt;month,'6. Market'!$AN$79/12,'6. Market'!$AO$79/12)</f>
        <v>15833.32</v>
      </c>
      <c r="M376" s="1612">
        <f>+IF(COLUMNS($L376:M376)&lt;month,'6. Market'!$AN$79/12,'6. Market'!$AO$79/12)</f>
        <v>15833.32</v>
      </c>
      <c r="N376" s="1612">
        <f>+IF(COLUMNS($L376:N376)&lt;month,'6. Market'!$AN$79/12,'6. Market'!$AO$79/12)</f>
        <v>15833.32</v>
      </c>
      <c r="O376" s="1612">
        <f>+IF(COLUMNS($L376:O376)&lt;month,'6. Market'!$AN$79/12,'6. Market'!$AO$79/12)</f>
        <v>15833.32</v>
      </c>
      <c r="P376" s="1612">
        <f>+IF(COLUMNS($L376:P376)&lt;month,'6. Market'!$AN$79/12,'6. Market'!$AO$79/12)</f>
        <v>15833.32</v>
      </c>
      <c r="Q376" s="1612">
        <f>+IF(COLUMNS($L376:Q376)&lt;month,'6. Market'!$AN$79/12,'6. Market'!$AO$79/12)</f>
        <v>15833.32</v>
      </c>
      <c r="R376" s="1612">
        <f>+IF(COLUMNS($L376:R376)&lt;month,'6. Market'!$AN$79/12,'6. Market'!$AO$79/12)</f>
        <v>15833.32</v>
      </c>
      <c r="S376" s="1612">
        <f>+IF(COLUMNS($L376:S376)&lt;month,'6. Market'!$AN$79/12,'6. Market'!$AO$79/12)</f>
        <v>15833.32</v>
      </c>
      <c r="T376" s="1612">
        <f>+IF(COLUMNS($L376:T376)&lt;month,'6. Market'!$AN$79/12,'6. Market'!$AO$79/12)</f>
        <v>15833.32</v>
      </c>
      <c r="U376" s="1612">
        <f>+IF(COLUMNS($L376:U376)&lt;month,'6. Market'!$AN$79/12,'6. Market'!$AO$79/12)</f>
        <v>15833.32</v>
      </c>
      <c r="V376" s="1612">
        <f>+IF(COLUMNS($L376:V376)&lt;month,'6. Market'!$AN$79/12,'6. Market'!$AO$79/12)</f>
        <v>15833.32</v>
      </c>
      <c r="W376" s="1612">
        <f>+IF(COLUMNS($L376:W376)&lt;month,'6. Market'!$AN$79/12,'6. Market'!$AO$79/12)</f>
        <v>15833.32</v>
      </c>
    </row>
    <row r="377" spans="1:23">
      <c r="A377" t="s">
        <v>3771</v>
      </c>
      <c r="B377" t="str">
        <f t="shared" si="18"/>
        <v>P10_11032_00494</v>
      </c>
      <c r="C377" t="str">
        <f t="shared" si="19"/>
        <v>LE_XXXX</v>
      </c>
      <c r="D377" t="s">
        <v>2886</v>
      </c>
      <c r="E377">
        <v>8110</v>
      </c>
      <c r="F377" t="s">
        <v>156</v>
      </c>
      <c r="G377" t="s">
        <v>2889</v>
      </c>
      <c r="H377" t="s">
        <v>154</v>
      </c>
      <c r="I377" t="s">
        <v>146</v>
      </c>
      <c r="J377" t="s">
        <v>147</v>
      </c>
      <c r="K377" t="str">
        <f>+"FY"&amp;RIGHT(YEAR('Hyperion Panel'!$B$9)+3,2)</f>
        <v>FY13</v>
      </c>
      <c r="L377" s="1612">
        <f>+IF(COLUMNS($L377:L377)&lt;month,'6. Market'!$AN$82/12,'6. Market'!$AO$82/12)</f>
        <v>1108.3275345</v>
      </c>
      <c r="M377" s="1612">
        <f>+IF(COLUMNS($L377:M377)&lt;month,'6. Market'!$AN$82/12,'6. Market'!$AO$82/12)</f>
        <v>1108.3275345</v>
      </c>
      <c r="N377" s="1612">
        <f>+IF(COLUMNS($L377:N377)&lt;month,'6. Market'!$AN$82/12,'6. Market'!$AO$82/12)</f>
        <v>1108.3275345</v>
      </c>
      <c r="O377" s="1612">
        <f>+IF(COLUMNS($L377:O377)&lt;month,'6. Market'!$AN$82/12,'6. Market'!$AO$82/12)</f>
        <v>1108.3275345</v>
      </c>
      <c r="P377" s="1612">
        <f>+IF(COLUMNS($L377:P377)&lt;month,'6. Market'!$AN$82/12,'6. Market'!$AO$82/12)</f>
        <v>1108.3275345</v>
      </c>
      <c r="Q377" s="1612">
        <f>+IF(COLUMNS($L377:Q377)&lt;month,'6. Market'!$AN$82/12,'6. Market'!$AO$82/12)</f>
        <v>1108.3275345</v>
      </c>
      <c r="R377" s="1612">
        <f>+IF(COLUMNS($L377:R377)&lt;month,'6. Market'!$AN$82/12,'6. Market'!$AO$82/12)</f>
        <v>1108.3275345</v>
      </c>
      <c r="S377" s="1612">
        <f>+IF(COLUMNS($L377:S377)&lt;month,'6. Market'!$AN$82/12,'6. Market'!$AO$82/12)</f>
        <v>1108.3275345</v>
      </c>
      <c r="T377" s="1612">
        <f>+IF(COLUMNS($L377:T377)&lt;month,'6. Market'!$AN$82/12,'6. Market'!$AO$82/12)</f>
        <v>1108.3275345</v>
      </c>
      <c r="U377" s="1612">
        <f>+IF(COLUMNS($L377:U377)&lt;month,'6. Market'!$AN$82/12,'6. Market'!$AO$82/12)</f>
        <v>1108.3275345</v>
      </c>
      <c r="V377" s="1612">
        <f>+IF(COLUMNS($L377:V377)&lt;month,'6. Market'!$AN$82/12,'6. Market'!$AO$82/12)</f>
        <v>1141.577360535</v>
      </c>
      <c r="W377" s="1612">
        <f>+IF(COLUMNS($L377:W377)&lt;month,'6. Market'!$AN$82/12,'6. Market'!$AO$82/12)</f>
        <v>1141.577360535</v>
      </c>
    </row>
    <row r="378" spans="1:23">
      <c r="A378" s="102" t="s">
        <v>171</v>
      </c>
      <c r="B378" t="str">
        <f t="shared" si="18"/>
        <v>P10_11032_00494</v>
      </c>
      <c r="C378" s="98" t="str">
        <f t="shared" si="19"/>
        <v>LE_XXXX</v>
      </c>
      <c r="D378" s="98" t="s">
        <v>2886</v>
      </c>
      <c r="E378" s="98">
        <v>6412</v>
      </c>
      <c r="F378" s="98" t="s">
        <v>156</v>
      </c>
      <c r="G378" s="98" t="s">
        <v>2889</v>
      </c>
      <c r="H378" s="98" t="s">
        <v>154</v>
      </c>
      <c r="I378" s="98" t="s">
        <v>146</v>
      </c>
      <c r="J378" s="98" t="s">
        <v>147</v>
      </c>
      <c r="K378" t="str">
        <f>+"FY"&amp;RIGHT(YEAR('Hyperion Panel'!$B$9)+3,2)</f>
        <v>FY13</v>
      </c>
      <c r="L378" s="1712">
        <f>+IF(COLUMNS($L378:L378)&lt;month,'2.3 Expenses'!$P$57*SUM(L352:L353,L355:L356),'2.3 Expenses'!$Q$57*SUM(L352:L353,L355:L356))</f>
        <v>19695.581558611779</v>
      </c>
      <c r="M378" s="1712">
        <f>+IF(COLUMNS($L378:M378)&lt;month,'2.3 Expenses'!$P$57*SUM(M352:M353,M355:M356),'2.3 Expenses'!$Q$57*SUM(M352:M353,M355:M356))</f>
        <v>19695.581558611779</v>
      </c>
      <c r="N378" s="1712">
        <f>+IF(COLUMNS($L378:N378)&lt;month,'2.3 Expenses'!$P$57*SUM(N352:N353,N355:N356),'2.3 Expenses'!$Q$57*SUM(N352:N353,N355:N356))</f>
        <v>19695.581558611779</v>
      </c>
      <c r="O378" s="1712">
        <f>+IF(COLUMNS($L378:O378)&lt;month,'2.3 Expenses'!$P$57*SUM(O352:O353,O355:O356),'2.3 Expenses'!$Q$57*SUM(O352:O353,O355:O356))</f>
        <v>19695.581558611779</v>
      </c>
      <c r="P378" s="1712">
        <f>+IF(COLUMNS($L378:P378)&lt;month,'2.3 Expenses'!$P$57*SUM(P352:P353,P355:P356),'2.3 Expenses'!$Q$57*SUM(P352:P353,P355:P356))</f>
        <v>19695.581558611779</v>
      </c>
      <c r="Q378" s="1712">
        <f>+IF(COLUMNS($L378:Q378)&lt;month,'2.3 Expenses'!$P$57*SUM(Q352:Q353,Q355:Q356),'2.3 Expenses'!$Q$57*SUM(Q352:Q353,Q355:Q356))</f>
        <v>19695.581558611779</v>
      </c>
      <c r="R378" s="1712">
        <f>+IF(COLUMNS($L378:R378)&lt;month,'2.3 Expenses'!$P$57*SUM(R352:R353,R355:R356),'2.3 Expenses'!$Q$57*SUM(R352:R353,R355:R356))</f>
        <v>19695.581558611779</v>
      </c>
      <c r="S378" s="1712">
        <f>+IF(COLUMNS($L378:S378)&lt;month,'2.3 Expenses'!$P$57*SUM(S352:S353,S355:S356),'2.3 Expenses'!$Q$57*SUM(S352:S353,S355:S356))</f>
        <v>19695.581558611779</v>
      </c>
      <c r="T378" s="1712">
        <f>+IF(COLUMNS($L378:T378)&lt;month,'2.3 Expenses'!$P$57*SUM(T352:T353,T355:T356),'2.3 Expenses'!$Q$57*SUM(T352:T353,T355:T356))</f>
        <v>19695.581558611779</v>
      </c>
      <c r="U378" s="1712">
        <f>+IF(COLUMNS($L378:U378)&lt;month,'2.3 Expenses'!$P$57*SUM(U352:U353,U355:U356),'2.3 Expenses'!$Q$57*SUM(U352:U353,U355:U356))</f>
        <v>19695.581558611779</v>
      </c>
      <c r="V378" s="1712">
        <f>+IF(COLUMNS($L378:V378)&lt;month,'2.3 Expenses'!$P$57*SUM(V352:V353,V355:V356),'2.3 Expenses'!$Q$57*SUM(V352:V353,V355:V356))</f>
        <v>20286.44900537013</v>
      </c>
      <c r="W378" s="1712">
        <f>+IF(COLUMNS($L378:W378)&lt;month,'2.3 Expenses'!$P$57*SUM(W352:W353,W355:W356),'2.3 Expenses'!$Q$57*SUM(W352:W353,W355:W356))</f>
        <v>20286.44900537013</v>
      </c>
    </row>
    <row r="379" spans="1:23" s="3" customFormat="1">
      <c r="A379" s="1687" t="s">
        <v>730</v>
      </c>
      <c r="B379" t="str">
        <f t="shared" si="18"/>
        <v>P10_11032_00494</v>
      </c>
      <c r="C379" s="1687" t="str">
        <f>+$C$2</f>
        <v>LE_XXXX</v>
      </c>
      <c r="D379" s="1687" t="s">
        <v>2886</v>
      </c>
      <c r="E379" s="1687">
        <v>8110</v>
      </c>
      <c r="F379" s="1687" t="s">
        <v>731</v>
      </c>
      <c r="G379" s="1687" t="s">
        <v>2889</v>
      </c>
      <c r="H379" s="1687" t="s">
        <v>154</v>
      </c>
      <c r="I379" s="1687" t="s">
        <v>146</v>
      </c>
      <c r="J379" s="1687" t="s">
        <v>147</v>
      </c>
      <c r="K379" t="str">
        <f>+"FY"&amp;RIGHT(YEAR('Hyperion Panel'!$B$9)+3,2)</f>
        <v>FY13</v>
      </c>
      <c r="L379" s="1704">
        <f>+IF(COLUMNS($L343:L343)&lt;month,'6. Market'!$AN$88/12,'6. Market'!$AO$88/12)</f>
        <v>884.08333333333337</v>
      </c>
      <c r="M379" s="1704">
        <f>+IF(COLUMNS($L343:M343)&lt;month,'6. Market'!$AN$88/12,'6. Market'!$AO$88/12)</f>
        <v>884.08333333333337</v>
      </c>
      <c r="N379" s="1704">
        <f>+IF(COLUMNS($L343:N343)&lt;month,'6. Market'!$AN$88/12,'6. Market'!$AO$88/12)</f>
        <v>884.08333333333337</v>
      </c>
      <c r="O379" s="1704">
        <f>+IF(COLUMNS($L343:O343)&lt;month,'6. Market'!$AN$88/12,'6. Market'!$AO$88/12)</f>
        <v>884.08333333333337</v>
      </c>
      <c r="P379" s="1704">
        <f>+IF(COLUMNS($L343:P343)&lt;month,'6. Market'!$AN$88/12,'6. Market'!$AO$88/12)</f>
        <v>884.08333333333337</v>
      </c>
      <c r="Q379" s="1704">
        <f>+IF(COLUMNS($L343:Q343)&lt;month,'6. Market'!$AN$88/12,'6. Market'!$AO$88/12)</f>
        <v>884.08333333333337</v>
      </c>
      <c r="R379" s="1704">
        <f>+IF(COLUMNS($L343:R343)&lt;month,'6. Market'!$AN$88/12,'6. Market'!$AO$88/12)</f>
        <v>884.08333333333337</v>
      </c>
      <c r="S379" s="1704">
        <f>+IF(COLUMNS($L343:S343)&lt;month,'6. Market'!$AN$88/12,'6. Market'!$AO$88/12)</f>
        <v>884.08333333333337</v>
      </c>
      <c r="T379" s="1704">
        <f>+IF(COLUMNS($L343:T343)&lt;month,'6. Market'!$AN$88/12,'6. Market'!$AO$88/12)</f>
        <v>884.08333333333337</v>
      </c>
      <c r="U379" s="1704">
        <f>+IF(COLUMNS($L343:U343)&lt;month,'6. Market'!$AN$88/12,'6. Market'!$AO$88/12)</f>
        <v>884.08333333333337</v>
      </c>
      <c r="V379" s="1704">
        <f>+IF(COLUMNS($L343:V343)&lt;month,'6. Market'!$AN$88/12,'6. Market'!$AO$88/12)</f>
        <v>910.60583333333341</v>
      </c>
      <c r="W379" s="1704">
        <f>+IF(COLUMNS($L343:W343)&lt;month,'6. Market'!$AN$88/12,'6. Market'!$AO$88/12)</f>
        <v>910.60583333333341</v>
      </c>
    </row>
    <row r="380" spans="1:23" s="3" customFormat="1">
      <c r="A380" s="1687" t="s">
        <v>732</v>
      </c>
      <c r="B380" t="str">
        <f t="shared" si="18"/>
        <v>P10_11032_00494</v>
      </c>
      <c r="C380" s="1687" t="str">
        <f>+$C$2</f>
        <v>LE_XXXX</v>
      </c>
      <c r="D380" s="1687" t="s">
        <v>2886</v>
      </c>
      <c r="E380" s="1687"/>
      <c r="F380" s="1687" t="s">
        <v>731</v>
      </c>
      <c r="G380" s="1687" t="s">
        <v>2889</v>
      </c>
      <c r="H380" s="1687" t="s">
        <v>154</v>
      </c>
      <c r="I380" s="1687" t="s">
        <v>146</v>
      </c>
      <c r="J380" s="1687" t="s">
        <v>147</v>
      </c>
      <c r="K380" t="str">
        <f>+"FY"&amp;RIGHT(YEAR('Hyperion Panel'!$B$9)+3,2)</f>
        <v>FY13</v>
      </c>
      <c r="L380" s="1704">
        <f>+IF(COLUMNS($L344:L344)&lt;month,'6. Market'!$AN$89/12,'6. Market'!$AO$89/12)</f>
        <v>0</v>
      </c>
      <c r="M380" s="1704">
        <f>+IF(COLUMNS($L344:M344)&lt;month,'6. Market'!$AN$89/12,'6. Market'!$AO$89/12)</f>
        <v>0</v>
      </c>
      <c r="N380" s="1704">
        <f>+IF(COLUMNS($L344:N344)&lt;month,'6. Market'!$AN$89/12,'6. Market'!$AO$89/12)</f>
        <v>0</v>
      </c>
      <c r="O380" s="1704">
        <f>+IF(COLUMNS($L344:O344)&lt;month,'6. Market'!$AN$89/12,'6. Market'!$AO$89/12)</f>
        <v>0</v>
      </c>
      <c r="P380" s="1704">
        <f>+IF(COLUMNS($L344:P344)&lt;month,'6. Market'!$AN$89/12,'6. Market'!$AO$89/12)</f>
        <v>0</v>
      </c>
      <c r="Q380" s="1704">
        <f>+IF(COLUMNS($L344:Q344)&lt;month,'6. Market'!$AN$89/12,'6. Market'!$AO$89/12)</f>
        <v>0</v>
      </c>
      <c r="R380" s="1704">
        <f>+IF(COLUMNS($L344:R344)&lt;month,'6. Market'!$AN$89/12,'6. Market'!$AO$89/12)</f>
        <v>0</v>
      </c>
      <c r="S380" s="1704">
        <f>+IF(COLUMNS($L344:S344)&lt;month,'6. Market'!$AN$89/12,'6. Market'!$AO$89/12)</f>
        <v>0</v>
      </c>
      <c r="T380" s="1704">
        <f>+IF(COLUMNS($L344:T344)&lt;month,'6. Market'!$AN$89/12,'6. Market'!$AO$89/12)</f>
        <v>0</v>
      </c>
      <c r="U380" s="1704">
        <f>+IF(COLUMNS($L344:U344)&lt;month,'6. Market'!$AN$89/12,'6. Market'!$AO$89/12)</f>
        <v>0</v>
      </c>
      <c r="V380" s="1704">
        <f>+IF(COLUMNS($L344:V344)&lt;month,'6. Market'!$AN$89/12,'6. Market'!$AO$89/12)</f>
        <v>0</v>
      </c>
      <c r="W380" s="1704">
        <f>+IF(COLUMNS($L344:W344)&lt;month,'6. Market'!$AN$89/12,'6. Market'!$AO$89/12)</f>
        <v>0</v>
      </c>
    </row>
    <row r="381" spans="1:23" s="3" customFormat="1">
      <c r="A381" s="1687" t="s">
        <v>733</v>
      </c>
      <c r="B381" t="str">
        <f t="shared" si="18"/>
        <v>P10_11032_00494</v>
      </c>
      <c r="C381" s="1687" t="str">
        <f>+$C$2</f>
        <v>LE_XXXX</v>
      </c>
      <c r="D381" s="1687" t="s">
        <v>2886</v>
      </c>
      <c r="E381" s="1687"/>
      <c r="F381" s="1687" t="s">
        <v>731</v>
      </c>
      <c r="G381" s="1687" t="s">
        <v>2889</v>
      </c>
      <c r="H381" s="1687" t="s">
        <v>154</v>
      </c>
      <c r="I381" s="1687" t="s">
        <v>146</v>
      </c>
      <c r="J381" s="1687" t="s">
        <v>147</v>
      </c>
      <c r="K381" t="str">
        <f>+"FY"&amp;RIGHT(YEAR('Hyperion Panel'!$B$9)+3,2)</f>
        <v>FY13</v>
      </c>
      <c r="L381" s="1704">
        <f>+IF(COLUMNS($L345:L345)&lt;month,'6. Market'!$AN$90/12,'6. Market'!$AO$90/12)</f>
        <v>10029.456</v>
      </c>
      <c r="M381" s="1704">
        <f>+IF(COLUMNS($L345:M345)&lt;month,'6. Market'!$AN$90/12,'6. Market'!$AO$90/12)</f>
        <v>10029.456</v>
      </c>
      <c r="N381" s="1704">
        <f>+IF(COLUMNS($L345:N345)&lt;month,'6. Market'!$AN$90/12,'6. Market'!$AO$90/12)</f>
        <v>10029.456</v>
      </c>
      <c r="O381" s="1704">
        <f>+IF(COLUMNS($L345:O345)&lt;month,'6. Market'!$AN$90/12,'6. Market'!$AO$90/12)</f>
        <v>10029.456</v>
      </c>
      <c r="P381" s="1704">
        <f>+IF(COLUMNS($L345:P345)&lt;month,'6. Market'!$AN$90/12,'6. Market'!$AO$90/12)</f>
        <v>10029.456</v>
      </c>
      <c r="Q381" s="1704">
        <f>+IF(COLUMNS($L345:Q345)&lt;month,'6. Market'!$AN$90/12,'6. Market'!$AO$90/12)</f>
        <v>10029.456</v>
      </c>
      <c r="R381" s="1704">
        <f>+IF(COLUMNS($L345:R345)&lt;month,'6. Market'!$AN$90/12,'6. Market'!$AO$90/12)</f>
        <v>10029.456</v>
      </c>
      <c r="S381" s="1704">
        <f>+IF(COLUMNS($L345:S345)&lt;month,'6. Market'!$AN$90/12,'6. Market'!$AO$90/12)</f>
        <v>10029.456</v>
      </c>
      <c r="T381" s="1704">
        <f>+IF(COLUMNS($L345:T345)&lt;month,'6. Market'!$AN$90/12,'6. Market'!$AO$90/12)</f>
        <v>10029.456</v>
      </c>
      <c r="U381" s="1704">
        <f>+IF(COLUMNS($L345:U345)&lt;month,'6. Market'!$AN$90/12,'6. Market'!$AO$90/12)</f>
        <v>10029.456</v>
      </c>
      <c r="V381" s="1704">
        <f>+IF(COLUMNS($L345:V345)&lt;month,'6. Market'!$AN$90/12,'6. Market'!$AO$90/12)</f>
        <v>10230.045119999999</v>
      </c>
      <c r="W381" s="1704">
        <f>+IF(COLUMNS($L345:W345)&lt;month,'6. Market'!$AN$90/12,'6. Market'!$AO$90/12)</f>
        <v>10230.045119999999</v>
      </c>
    </row>
    <row r="382" spans="1:23" s="3" customFormat="1">
      <c r="A382" s="1687" t="s">
        <v>734</v>
      </c>
      <c r="B382" t="str">
        <f t="shared" si="18"/>
        <v>P10_11032_00494</v>
      </c>
      <c r="C382" s="1687" t="str">
        <f>+$C$2</f>
        <v>LE_XXXX</v>
      </c>
      <c r="D382" s="1687" t="s">
        <v>2886</v>
      </c>
      <c r="E382" s="1687">
        <v>6800</v>
      </c>
      <c r="F382" s="1687" t="s">
        <v>731</v>
      </c>
      <c r="G382" s="1687" t="s">
        <v>2889</v>
      </c>
      <c r="H382" s="1687" t="s">
        <v>154</v>
      </c>
      <c r="I382" s="1687" t="s">
        <v>146</v>
      </c>
      <c r="J382" s="1687" t="s">
        <v>147</v>
      </c>
      <c r="K382" t="str">
        <f>+"FY"&amp;RIGHT(YEAR('Hyperion Panel'!$B$9)+3,2)</f>
        <v>FY13</v>
      </c>
      <c r="L382" s="1704">
        <f>+IF(COLUMNS($L346:L346)&lt;month,'6. Market'!$AN$91/12,'6. Market'!$AO$91/12)</f>
        <v>1856.575</v>
      </c>
      <c r="M382" s="1704">
        <f>+IF(COLUMNS($L346:M346)&lt;month,'6. Market'!$AN$91/12,'6. Market'!$AO$91/12)</f>
        <v>1856.575</v>
      </c>
      <c r="N382" s="1704">
        <f>+IF(COLUMNS($L346:N346)&lt;month,'6. Market'!$AN$91/12,'6. Market'!$AO$91/12)</f>
        <v>1856.575</v>
      </c>
      <c r="O382" s="1704">
        <f>+IF(COLUMNS($L346:O346)&lt;month,'6. Market'!$AN$91/12,'6. Market'!$AO$91/12)</f>
        <v>1856.575</v>
      </c>
      <c r="P382" s="1704">
        <f>+IF(COLUMNS($L346:P346)&lt;month,'6. Market'!$AN$91/12,'6. Market'!$AO$91/12)</f>
        <v>1856.575</v>
      </c>
      <c r="Q382" s="1704">
        <f>+IF(COLUMNS($L346:Q346)&lt;month,'6. Market'!$AN$91/12,'6. Market'!$AO$91/12)</f>
        <v>1856.575</v>
      </c>
      <c r="R382" s="1704">
        <f>+IF(COLUMNS($L346:R346)&lt;month,'6. Market'!$AN$91/12,'6. Market'!$AO$91/12)</f>
        <v>1856.575</v>
      </c>
      <c r="S382" s="1704">
        <f>+IF(COLUMNS($L346:S346)&lt;month,'6. Market'!$AN$91/12,'6. Market'!$AO$91/12)</f>
        <v>1856.575</v>
      </c>
      <c r="T382" s="1704">
        <f>+IF(COLUMNS($L346:T346)&lt;month,'6. Market'!$AN$91/12,'6. Market'!$AO$91/12)</f>
        <v>1856.575</v>
      </c>
      <c r="U382" s="1704">
        <f>+IF(COLUMNS($L346:U346)&lt;month,'6. Market'!$AN$91/12,'6. Market'!$AO$91/12)</f>
        <v>1856.575</v>
      </c>
      <c r="V382" s="1704">
        <f>+IF(COLUMNS($L346:V346)&lt;month,'6. Market'!$AN$91/12,'6. Market'!$AO$91/12)</f>
        <v>1912.27225</v>
      </c>
      <c r="W382" s="1704">
        <f>+IF(COLUMNS($L346:W346)&lt;month,'6. Market'!$AN$91/12,'6. Market'!$AO$91/12)</f>
        <v>1912.27225</v>
      </c>
    </row>
    <row r="383" spans="1:23">
      <c r="A383" t="s">
        <v>158</v>
      </c>
      <c r="B383" t="str">
        <f t="shared" si="18"/>
        <v>P10_11032_00494</v>
      </c>
      <c r="C383" t="str">
        <f>+$C$243</f>
        <v>LE_XXXX</v>
      </c>
      <c r="D383" t="s">
        <v>2886</v>
      </c>
      <c r="E383" t="s">
        <v>159</v>
      </c>
      <c r="F383" t="s">
        <v>156</v>
      </c>
      <c r="G383" t="s">
        <v>2889</v>
      </c>
      <c r="H383" t="s">
        <v>154</v>
      </c>
      <c r="I383" t="s">
        <v>146</v>
      </c>
      <c r="J383" t="s">
        <v>147</v>
      </c>
      <c r="K383" t="str">
        <f>+"FY"&amp;RIGHT(YEAR('Hyperion Panel'!$B$9)+3,2)</f>
        <v>FY13</v>
      </c>
      <c r="L383" s="103">
        <f>'Hyperion Panel'!$C$7</f>
        <v>1</v>
      </c>
      <c r="M383" s="103">
        <f>'Hyperion Panel'!$C$7</f>
        <v>1</v>
      </c>
      <c r="N383" s="103">
        <f>'Hyperion Panel'!$C$7</f>
        <v>1</v>
      </c>
      <c r="O383" s="103">
        <f>'Hyperion Panel'!$C$7</f>
        <v>1</v>
      </c>
      <c r="P383" s="103">
        <f>'Hyperion Panel'!$C$7</f>
        <v>1</v>
      </c>
      <c r="Q383" s="103">
        <f>'Hyperion Panel'!$C$7</f>
        <v>1</v>
      </c>
      <c r="R383" s="103">
        <f>'Hyperion Panel'!$C$7</f>
        <v>1</v>
      </c>
      <c r="S383" s="103">
        <f>'Hyperion Panel'!$C$7</f>
        <v>1</v>
      </c>
      <c r="T383" s="103">
        <f>'Hyperion Panel'!$C$7</f>
        <v>1</v>
      </c>
      <c r="U383" s="103">
        <f>'Hyperion Panel'!$C$7</f>
        <v>1</v>
      </c>
      <c r="V383" s="1694">
        <f>'Hyperion Panel'!$C$7</f>
        <v>1</v>
      </c>
      <c r="W383" s="103">
        <f>'Hyperion Panel'!$C$7</f>
        <v>1</v>
      </c>
    </row>
    <row r="384" spans="1:23">
      <c r="A384" t="s">
        <v>160</v>
      </c>
      <c r="B384" t="str">
        <f t="shared" si="18"/>
        <v>P10_11032_00494</v>
      </c>
      <c r="C384" t="str">
        <f>+$C$243</f>
        <v>LE_XXXX</v>
      </c>
      <c r="D384" t="s">
        <v>2886</v>
      </c>
      <c r="E384" t="s">
        <v>161</v>
      </c>
      <c r="F384" t="s">
        <v>156</v>
      </c>
      <c r="G384" t="s">
        <v>2889</v>
      </c>
      <c r="H384" t="s">
        <v>154</v>
      </c>
      <c r="I384" t="s">
        <v>146</v>
      </c>
      <c r="J384" t="s">
        <v>147</v>
      </c>
      <c r="K384" t="str">
        <f>+"FY"&amp;RIGHT(YEAR('Hyperion Panel'!$B$9)+3,2)</f>
        <v>FY13</v>
      </c>
      <c r="L384" s="1705">
        <v>0</v>
      </c>
      <c r="M384" s="1705">
        <v>0</v>
      </c>
      <c r="N384" s="1705">
        <v>0</v>
      </c>
      <c r="O384" s="1705">
        <v>0</v>
      </c>
      <c r="P384" s="1705">
        <v>0</v>
      </c>
      <c r="Q384" s="1705">
        <v>0</v>
      </c>
      <c r="R384" s="1705">
        <v>0</v>
      </c>
      <c r="S384" s="1705">
        <v>0</v>
      </c>
      <c r="T384" s="1705">
        <v>0</v>
      </c>
      <c r="U384" s="1705">
        <v>0</v>
      </c>
      <c r="V384" s="1705">
        <v>0</v>
      </c>
      <c r="W384" s="1705">
        <v>0</v>
      </c>
    </row>
    <row r="385" spans="1:26" s="3" customFormat="1">
      <c r="A385" s="1687" t="s">
        <v>735</v>
      </c>
      <c r="B385" t="str">
        <f t="shared" si="18"/>
        <v>P10_11032_00494</v>
      </c>
      <c r="C385" s="1687"/>
      <c r="D385" s="1687"/>
      <c r="E385" s="1687"/>
      <c r="F385" s="1687"/>
      <c r="G385" s="1687"/>
      <c r="H385" s="1687"/>
      <c r="I385" s="1687"/>
      <c r="J385" s="1687"/>
      <c r="K385" t="str">
        <f>+"FY"&amp;RIGHT(YEAR('Hyperion Panel'!$B$9)+3,2)</f>
        <v>FY13</v>
      </c>
      <c r="L385" s="1705">
        <v>0</v>
      </c>
      <c r="M385" s="1705">
        <v>0</v>
      </c>
      <c r="N385" s="1705">
        <v>0</v>
      </c>
      <c r="O385" s="1705">
        <v>0</v>
      </c>
      <c r="P385" s="1705">
        <v>0</v>
      </c>
      <c r="Q385" s="1705">
        <v>0</v>
      </c>
      <c r="R385" s="1705">
        <v>0</v>
      </c>
      <c r="S385" s="1705">
        <v>0</v>
      </c>
      <c r="T385" s="1705">
        <v>0</v>
      </c>
      <c r="U385" s="1705">
        <v>0</v>
      </c>
      <c r="V385" s="1705">
        <v>0</v>
      </c>
      <c r="W385" s="1705">
        <v>0</v>
      </c>
      <c r="Y385" s="1688"/>
    </row>
    <row r="386" spans="1:26">
      <c r="L386" s="104"/>
      <c r="M386" s="104"/>
      <c r="N386" s="104"/>
      <c r="O386" s="104"/>
      <c r="P386" s="104"/>
      <c r="Q386" s="104"/>
      <c r="R386" s="104"/>
      <c r="S386" s="104"/>
      <c r="T386" s="104"/>
      <c r="U386" s="104"/>
      <c r="V386" s="104"/>
      <c r="W386" s="104"/>
    </row>
    <row r="387" spans="1:26">
      <c r="A387" s="98" t="s">
        <v>165</v>
      </c>
      <c r="B387" t="str">
        <f>+$B$243</f>
        <v>P10_11032_00494</v>
      </c>
      <c r="C387" t="str">
        <f>+$C$243</f>
        <v>LE_XXXX</v>
      </c>
      <c r="D387" t="s">
        <v>2886</v>
      </c>
      <c r="E387" t="s">
        <v>2887</v>
      </c>
      <c r="F387" t="s">
        <v>2888</v>
      </c>
      <c r="G387" t="s">
        <v>2889</v>
      </c>
      <c r="H387" t="s">
        <v>145</v>
      </c>
      <c r="I387" t="s">
        <v>146</v>
      </c>
      <c r="J387" t="s">
        <v>147</v>
      </c>
      <c r="K387" t="str">
        <f>+"FY"&amp;RIGHT(YEAR('Hyperion Panel'!$B$9)+4,2)</f>
        <v>FY14</v>
      </c>
    </row>
    <row r="388" spans="1:26" s="98" customFormat="1" ht="12.75" customHeight="1">
      <c r="A388" s="100" t="s">
        <v>463</v>
      </c>
      <c r="L388" s="1697">
        <f>+IF(COLUMNS($L388:L388)&lt;month,VLOOKUP("Month "&amp;(COLUMNS($L388:L388)-month+13),P_After_Tx,9,FALSE)*52*3/12*(1-hemomiss),VLOOKUP("Month "&amp;(COLUMNS($L388:L388)-month+1),P_After_Tx,11,FALSE)*52*3/12*(1-hemomiss))</f>
        <v>574.08000000000004</v>
      </c>
      <c r="M388" s="1697">
        <f>+IF(COLUMNS($L388:M388)&lt;month,VLOOKUP("Month "&amp;(COLUMNS($L388:M388)-month+13),P_After_Tx,9,FALSE)*52*3/12*(1-hemomiss),VLOOKUP("Month "&amp;(COLUMNS($L388:M388)-month+1),P_After_Tx,11,FALSE)*52*3/12*(1-hemomiss))</f>
        <v>574.08000000000004</v>
      </c>
      <c r="N388" s="1697">
        <f>+IF(COLUMNS($L388:N388)&lt;month,VLOOKUP("Month "&amp;(COLUMNS($L388:N388)-month+13),P_After_Tx,9,FALSE)*52*3/12*(1-hemomiss),VLOOKUP("Month "&amp;(COLUMNS($L388:N388)-month+1),P_After_Tx,11,FALSE)*52*3/12*(1-hemomiss))</f>
        <v>574.08000000000004</v>
      </c>
      <c r="O388" s="1697">
        <f>+IF(COLUMNS($L388:O388)&lt;month,VLOOKUP("Month "&amp;(COLUMNS($L388:O388)-month+13),P_After_Tx,9,FALSE)*52*3/12*(1-hemomiss),VLOOKUP("Month "&amp;(COLUMNS($L388:O388)-month+1),P_After_Tx,11,FALSE)*52*3/12*(1-hemomiss))</f>
        <v>574.08000000000004</v>
      </c>
      <c r="P388" s="1697">
        <f>+IF(COLUMNS($L388:P388)&lt;month,VLOOKUP("Month "&amp;(COLUMNS($L388:P388)-month+13),P_After_Tx,9,FALSE)*52*3/12*(1-hemomiss),VLOOKUP("Month "&amp;(COLUMNS($L388:P388)-month+1),P_After_Tx,11,FALSE)*52*3/12*(1-hemomiss))</f>
        <v>574.08000000000004</v>
      </c>
      <c r="Q388" s="1697">
        <f>+IF(COLUMNS($L388:Q388)&lt;month,VLOOKUP("Month "&amp;(COLUMNS($L388:Q388)-month+13),P_After_Tx,9,FALSE)*52*3/12*(1-hemomiss),VLOOKUP("Month "&amp;(COLUMNS($L388:Q388)-month+1),P_After_Tx,11,FALSE)*52*3/12*(1-hemomiss))</f>
        <v>574.08000000000004</v>
      </c>
      <c r="R388" s="1697">
        <f>+IF(COLUMNS($L388:R388)&lt;month,VLOOKUP("Month "&amp;(COLUMNS($L388:R388)-month+13),P_After_Tx,9,FALSE)*52*3/12*(1-hemomiss),VLOOKUP("Month "&amp;(COLUMNS($L388:R388)-month+1),P_After_Tx,11,FALSE)*52*3/12*(1-hemomiss))</f>
        <v>574.08000000000004</v>
      </c>
      <c r="S388" s="1697">
        <f>+IF(COLUMNS($L388:S388)&lt;month,VLOOKUP("Month "&amp;(COLUMNS($L388:S388)-month+13),P_After_Tx,9,FALSE)*52*3/12*(1-hemomiss),VLOOKUP("Month "&amp;(COLUMNS($L388:S388)-month+1),P_After_Tx,11,FALSE)*52*3/12*(1-hemomiss))</f>
        <v>574.08000000000004</v>
      </c>
      <c r="T388" s="1697">
        <f>+IF(COLUMNS($L388:T388)&lt;month,VLOOKUP("Month "&amp;(COLUMNS($L388:T388)-month+13),P_After_Tx,9,FALSE)*52*3/12*(1-hemomiss),VLOOKUP("Month "&amp;(COLUMNS($L388:T388)-month+1),P_After_Tx,11,FALSE)*52*3/12*(1-hemomiss))</f>
        <v>574.08000000000004</v>
      </c>
      <c r="U388" s="1697">
        <f>+IF(COLUMNS($L388:U388)&lt;month,VLOOKUP("Month "&amp;(COLUMNS($L388:U388)-month+13),P_After_Tx,9,FALSE)*52*3/12*(1-hemomiss),VLOOKUP("Month "&amp;(COLUMNS($L388:U388)-month+1),P_After_Tx,11,FALSE)*52*3/12*(1-hemomiss))</f>
        <v>574.08000000000004</v>
      </c>
      <c r="V388" s="1700">
        <f>+IF(COLUMNS($L388:V388)&lt;month,VLOOKUP("Month "&amp;(COLUMNS($L388:V388)-month+13),P_After_Tx,9,FALSE)*52*3/12*(1-hemomiss),VLOOKUP("Month "&amp;(COLUMNS($L388:V388)-month+1),P_After_Tx,11,FALSE)*52*3/12*(1-hemomiss))</f>
        <v>574.08000000000004</v>
      </c>
      <c r="W388" s="1697">
        <f>+IF(COLUMNS($L388:W388)&lt;month,VLOOKUP("Month "&amp;(COLUMNS($L388:W388)-month+13),P_After_Tx,9,FALSE)*52*3/12*(1-hemomiss),VLOOKUP("Month "&amp;(COLUMNS($L388:W388)-month+1),P_After_Tx,11,FALSE)*52*3/12*(1-hemomiss))</f>
        <v>574.08000000000004</v>
      </c>
      <c r="Y388" s="99"/>
      <c r="Z388" s="97"/>
    </row>
    <row r="389" spans="1:26" s="98" customFormat="1" ht="12.75" customHeight="1">
      <c r="A389" s="100" t="s">
        <v>464</v>
      </c>
      <c r="L389" s="1697">
        <f>+IF(COLUMNS($L389:L389)&lt;month,VLOOKUP("Month "&amp;(COLUMNS($L389:L389)-month+13),P_After_Tx,10,FALSE)*52*3/12*(1-hemomiss),VLOOKUP("Month "&amp;(COLUMNS($L389:L389)-month+1),P_After_Tx,12,FALSE)*52*3/12*(1-hemomiss))</f>
        <v>23.92</v>
      </c>
      <c r="M389" s="1697">
        <f>+IF(COLUMNS($L389:M389)&lt;month,VLOOKUP("Month "&amp;(COLUMNS($L389:M389)-month+13),P_After_Tx,10,FALSE)*52*3/12*(1-hemomiss),VLOOKUP("Month "&amp;(COLUMNS($L389:M389)-month+1),P_After_Tx,12,FALSE)*52*3/12*(1-hemomiss))</f>
        <v>23.92</v>
      </c>
      <c r="N389" s="1697">
        <f>+IF(COLUMNS($L389:N389)&lt;month,VLOOKUP("Month "&amp;(COLUMNS($L389:N389)-month+13),P_After_Tx,10,FALSE)*52*3/12*(1-hemomiss),VLOOKUP("Month "&amp;(COLUMNS($L389:N389)-month+1),P_After_Tx,12,FALSE)*52*3/12*(1-hemomiss))</f>
        <v>23.92</v>
      </c>
      <c r="O389" s="1697">
        <f>+IF(COLUMNS($L389:O389)&lt;month,VLOOKUP("Month "&amp;(COLUMNS($L389:O389)-month+13),P_After_Tx,10,FALSE)*52*3/12*(1-hemomiss),VLOOKUP("Month "&amp;(COLUMNS($L389:O389)-month+1),P_After_Tx,12,FALSE)*52*3/12*(1-hemomiss))</f>
        <v>23.92</v>
      </c>
      <c r="P389" s="1697">
        <f>+IF(COLUMNS($L389:P389)&lt;month,VLOOKUP("Month "&amp;(COLUMNS($L389:P389)-month+13),P_After_Tx,10,FALSE)*52*3/12*(1-hemomiss),VLOOKUP("Month "&amp;(COLUMNS($L389:P389)-month+1),P_After_Tx,12,FALSE)*52*3/12*(1-hemomiss))</f>
        <v>23.92</v>
      </c>
      <c r="Q389" s="1697">
        <f>+IF(COLUMNS($L389:Q389)&lt;month,VLOOKUP("Month "&amp;(COLUMNS($L389:Q389)-month+13),P_After_Tx,10,FALSE)*52*3/12*(1-hemomiss),VLOOKUP("Month "&amp;(COLUMNS($L389:Q389)-month+1),P_After_Tx,12,FALSE)*52*3/12*(1-hemomiss))</f>
        <v>23.92</v>
      </c>
      <c r="R389" s="1697">
        <f>+IF(COLUMNS($L389:R389)&lt;month,VLOOKUP("Month "&amp;(COLUMNS($L389:R389)-month+13),P_After_Tx,10,FALSE)*52*3/12*(1-hemomiss),VLOOKUP("Month "&amp;(COLUMNS($L389:R389)-month+1),P_After_Tx,12,FALSE)*52*3/12*(1-hemomiss))</f>
        <v>23.92</v>
      </c>
      <c r="S389" s="1697">
        <f>+IF(COLUMNS($L389:S389)&lt;month,VLOOKUP("Month "&amp;(COLUMNS($L389:S389)-month+13),P_After_Tx,10,FALSE)*52*3/12*(1-hemomiss),VLOOKUP("Month "&amp;(COLUMNS($L389:S389)-month+1),P_After_Tx,12,FALSE)*52*3/12*(1-hemomiss))</f>
        <v>23.92</v>
      </c>
      <c r="T389" s="1697">
        <f>+IF(COLUMNS($L389:T389)&lt;month,VLOOKUP("Month "&amp;(COLUMNS($L389:T389)-month+13),P_After_Tx,10,FALSE)*52*3/12*(1-hemomiss),VLOOKUP("Month "&amp;(COLUMNS($L389:T389)-month+1),P_After_Tx,12,FALSE)*52*3/12*(1-hemomiss))</f>
        <v>23.92</v>
      </c>
      <c r="U389" s="1697">
        <f>+IF(COLUMNS($L389:U389)&lt;month,VLOOKUP("Month "&amp;(COLUMNS($L389:U389)-month+13),P_After_Tx,10,FALSE)*52*3/12*(1-hemomiss),VLOOKUP("Month "&amp;(COLUMNS($L389:U389)-month+1),P_After_Tx,12,FALSE)*52*3/12*(1-hemomiss))</f>
        <v>23.92</v>
      </c>
      <c r="V389" s="1700">
        <f>+IF(COLUMNS($L389:V389)&lt;month,VLOOKUP("Month "&amp;(COLUMNS($L389:V389)-month+13),P_After_Tx,10,FALSE)*52*3/12*(1-hemomiss),VLOOKUP("Month "&amp;(COLUMNS($L389:V389)-month+1),P_After_Tx,12,FALSE)*52*3/12*(1-hemomiss))</f>
        <v>23.92</v>
      </c>
      <c r="W389" s="1697">
        <f>+IF(COLUMNS($L389:W389)&lt;month,VLOOKUP("Month "&amp;(COLUMNS($L389:W389)-month+13),P_After_Tx,10,FALSE)*52*3/12*(1-hemomiss),VLOOKUP("Month "&amp;(COLUMNS($L389:W389)-month+1),P_After_Tx,12,FALSE)*52*3/12*(1-hemomiss))</f>
        <v>23.92</v>
      </c>
      <c r="Y389" s="99"/>
      <c r="Z389" s="97"/>
    </row>
    <row r="390" spans="1:26">
      <c r="A390" s="98" t="s">
        <v>162</v>
      </c>
      <c r="B390" t="str">
        <f>+$B$243</f>
        <v>P10_11032_00494</v>
      </c>
      <c r="C390" t="str">
        <f>+$C$243</f>
        <v>LE_XXXX</v>
      </c>
      <c r="D390" t="s">
        <v>2886</v>
      </c>
      <c r="E390" t="s">
        <v>149</v>
      </c>
      <c r="F390" t="s">
        <v>150</v>
      </c>
      <c r="G390" t="s">
        <v>2889</v>
      </c>
      <c r="H390" t="s">
        <v>145</v>
      </c>
      <c r="I390" t="s">
        <v>146</v>
      </c>
      <c r="J390" t="s">
        <v>147</v>
      </c>
      <c r="K390" t="str">
        <f>+"FY"&amp;RIGHT(YEAR('Hyperion Panel'!$B$9)+4,2)</f>
        <v>FY14</v>
      </c>
      <c r="L390" s="1612"/>
      <c r="M390" s="1612"/>
      <c r="N390" s="1612"/>
      <c r="O390" s="1612"/>
      <c r="P390" s="1612"/>
      <c r="Q390" s="1612"/>
      <c r="R390" s="1612"/>
      <c r="S390" s="1612"/>
      <c r="T390" s="1612"/>
      <c r="U390" s="1612"/>
      <c r="V390" s="1703"/>
      <c r="W390" s="1612"/>
    </row>
    <row r="391" spans="1:26" s="98" customFormat="1">
      <c r="A391" s="100" t="s">
        <v>463</v>
      </c>
      <c r="L391" s="1697">
        <f>+IF(COLUMNS($L391:L391)&lt;month,VLOOKUP("Month "&amp;(COLUMNS($L391:L391)-month+13),P_After_Tx,20,FALSE)*52*3/12*(1-homemiss),VLOOKUP("Month "&amp;(COLUMNS($L391:L391)-month+1),P_After_Tx,22,FALSE)*52*3/12*(1-homemiss))</f>
        <v>172.9</v>
      </c>
      <c r="M391" s="1697">
        <f>+IF(COLUMNS($L391:M391)&lt;month,VLOOKUP("Month "&amp;(COLUMNS($L391:M391)-month+13),P_After_Tx,20,FALSE)*52*3/12*(1-homemiss),VLOOKUP("Month "&amp;(COLUMNS($L391:M391)-month+1),P_After_Tx,22,FALSE)*52*3/12*(1-homemiss))</f>
        <v>172.9</v>
      </c>
      <c r="N391" s="1697">
        <f>+IF(COLUMNS($L391:N391)&lt;month,VLOOKUP("Month "&amp;(COLUMNS($L391:N391)-month+13),P_After_Tx,20,FALSE)*52*3/12*(1-homemiss),VLOOKUP("Month "&amp;(COLUMNS($L391:N391)-month+1),P_After_Tx,22,FALSE)*52*3/12*(1-homemiss))</f>
        <v>172.9</v>
      </c>
      <c r="O391" s="1697">
        <f>+IF(COLUMNS($L391:O391)&lt;month,VLOOKUP("Month "&amp;(COLUMNS($L391:O391)-month+13),P_After_Tx,20,FALSE)*52*3/12*(1-homemiss),VLOOKUP("Month "&amp;(COLUMNS($L391:O391)-month+1),P_After_Tx,22,FALSE)*52*3/12*(1-homemiss))</f>
        <v>172.9</v>
      </c>
      <c r="P391" s="1697">
        <f>+IF(COLUMNS($L391:P391)&lt;month,VLOOKUP("Month "&amp;(COLUMNS($L391:P391)-month+13),P_After_Tx,20,FALSE)*52*3/12*(1-homemiss),VLOOKUP("Month "&amp;(COLUMNS($L391:P391)-month+1),P_After_Tx,22,FALSE)*52*3/12*(1-homemiss))</f>
        <v>172.9</v>
      </c>
      <c r="Q391" s="1697">
        <f>+IF(COLUMNS($L391:Q391)&lt;month,VLOOKUP("Month "&amp;(COLUMNS($L391:Q391)-month+13),P_After_Tx,20,FALSE)*52*3/12*(1-homemiss),VLOOKUP("Month "&amp;(COLUMNS($L391:Q391)-month+1),P_After_Tx,22,FALSE)*52*3/12*(1-homemiss))</f>
        <v>172.9</v>
      </c>
      <c r="R391" s="1697">
        <f>+IF(COLUMNS($L391:R391)&lt;month,VLOOKUP("Month "&amp;(COLUMNS($L391:R391)-month+13),P_After_Tx,20,FALSE)*52*3/12*(1-homemiss),VLOOKUP("Month "&amp;(COLUMNS($L391:R391)-month+1),P_After_Tx,22,FALSE)*52*3/12*(1-homemiss))</f>
        <v>172.9</v>
      </c>
      <c r="S391" s="1697">
        <f>+IF(COLUMNS($L391:S391)&lt;month,VLOOKUP("Month "&amp;(COLUMNS($L391:S391)-month+13),P_After_Tx,20,FALSE)*52*3/12*(1-homemiss),VLOOKUP("Month "&amp;(COLUMNS($L391:S391)-month+1),P_After_Tx,22,FALSE)*52*3/12*(1-homemiss))</f>
        <v>172.9</v>
      </c>
      <c r="T391" s="1697">
        <f>+IF(COLUMNS($L391:T391)&lt;month,VLOOKUP("Month "&amp;(COLUMNS($L391:T391)-month+13),P_After_Tx,20,FALSE)*52*3/12*(1-homemiss),VLOOKUP("Month "&amp;(COLUMNS($L391:T391)-month+1),P_After_Tx,22,FALSE)*52*3/12*(1-homemiss))</f>
        <v>172.9</v>
      </c>
      <c r="U391" s="1697">
        <f>+IF(COLUMNS($L391:U391)&lt;month,VLOOKUP("Month "&amp;(COLUMNS($L391:U391)-month+13),P_After_Tx,20,FALSE)*52*3/12*(1-homemiss),VLOOKUP("Month "&amp;(COLUMNS($L391:U391)-month+1),P_After_Tx,22,FALSE)*52*3/12*(1-homemiss))</f>
        <v>172.9</v>
      </c>
      <c r="V391" s="1697">
        <f>+IF(COLUMNS($L391:V391)&lt;month,VLOOKUP("Month "&amp;(COLUMNS($L391:V391)-month+13),P_After_Tx,20,FALSE)*52*3/12*(1-homemiss),VLOOKUP("Month "&amp;(COLUMNS($L391:V391)-month+1),P_After_Tx,22,FALSE)*52*3/12*(1-homemiss))</f>
        <v>172.9</v>
      </c>
      <c r="W391" s="1697">
        <f>+IF(COLUMNS($L391:W391)&lt;month,VLOOKUP("Month "&amp;(COLUMNS($L391:W391)-month+13),P_After_Tx,20,FALSE)*52*3/12*(1-homemiss),VLOOKUP("Month "&amp;(COLUMNS($L391:W391)-month+1),P_After_Tx,22,FALSE)*52*3/12*(1-homemiss))</f>
        <v>172.9</v>
      </c>
      <c r="Y391" s="99"/>
    </row>
    <row r="392" spans="1:26" s="98" customFormat="1">
      <c r="A392" s="100" t="s">
        <v>464</v>
      </c>
      <c r="L392" s="1697">
        <f>+IF(COLUMNS($L392:L392)&lt;month,VLOOKUP("Month "&amp;(COLUMNS($L392:L392)-month+13),P_After_Tx,21,FALSE)*52*3/12*(1-homemiss),VLOOKUP("Month "&amp;(COLUMNS($L392:L392)-month+1),P_After_Tx,23,FALSE)*52*3/12*(1-homemiss))</f>
        <v>74.099999999999994</v>
      </c>
      <c r="M392" s="1697">
        <f>+IF(COLUMNS($L392:M392)&lt;month,VLOOKUP("Month "&amp;(COLUMNS($L392:M392)-month+13),P_After_Tx,21,FALSE)*52*3/12*(1-homemiss),VLOOKUP("Month "&amp;(COLUMNS($L392:M392)-month+1),P_After_Tx,23,FALSE)*52*3/12*(1-homemiss))</f>
        <v>74.099999999999994</v>
      </c>
      <c r="N392" s="1697">
        <f>+IF(COLUMNS($L392:N392)&lt;month,VLOOKUP("Month "&amp;(COLUMNS($L392:N392)-month+13),P_After_Tx,21,FALSE)*52*3/12*(1-homemiss),VLOOKUP("Month "&amp;(COLUMNS($L392:N392)-month+1),P_After_Tx,23,FALSE)*52*3/12*(1-homemiss))</f>
        <v>74.099999999999994</v>
      </c>
      <c r="O392" s="1697">
        <f>+IF(COLUMNS($L392:O392)&lt;month,VLOOKUP("Month "&amp;(COLUMNS($L392:O392)-month+13),P_After_Tx,21,FALSE)*52*3/12*(1-homemiss),VLOOKUP("Month "&amp;(COLUMNS($L392:O392)-month+1),P_After_Tx,23,FALSE)*52*3/12*(1-homemiss))</f>
        <v>74.099999999999994</v>
      </c>
      <c r="P392" s="1697">
        <f>+IF(COLUMNS($L392:P392)&lt;month,VLOOKUP("Month "&amp;(COLUMNS($L392:P392)-month+13),P_After_Tx,21,FALSE)*52*3/12*(1-homemiss),VLOOKUP("Month "&amp;(COLUMNS($L392:P392)-month+1),P_After_Tx,23,FALSE)*52*3/12*(1-homemiss))</f>
        <v>74.099999999999994</v>
      </c>
      <c r="Q392" s="1697">
        <f>+IF(COLUMNS($L392:Q392)&lt;month,VLOOKUP("Month "&amp;(COLUMNS($L392:Q392)-month+13),P_After_Tx,21,FALSE)*52*3/12*(1-homemiss),VLOOKUP("Month "&amp;(COLUMNS($L392:Q392)-month+1),P_After_Tx,23,FALSE)*52*3/12*(1-homemiss))</f>
        <v>74.099999999999994</v>
      </c>
      <c r="R392" s="1697">
        <f>+IF(COLUMNS($L392:R392)&lt;month,VLOOKUP("Month "&amp;(COLUMNS($L392:R392)-month+13),P_After_Tx,21,FALSE)*52*3/12*(1-homemiss),VLOOKUP("Month "&amp;(COLUMNS($L392:R392)-month+1),P_After_Tx,23,FALSE)*52*3/12*(1-homemiss))</f>
        <v>74.099999999999994</v>
      </c>
      <c r="S392" s="1697">
        <f>+IF(COLUMNS($L392:S392)&lt;month,VLOOKUP("Month "&amp;(COLUMNS($L392:S392)-month+13),P_After_Tx,21,FALSE)*52*3/12*(1-homemiss),VLOOKUP("Month "&amp;(COLUMNS($L392:S392)-month+1),P_After_Tx,23,FALSE)*52*3/12*(1-homemiss))</f>
        <v>74.099999999999994</v>
      </c>
      <c r="T392" s="1697">
        <f>+IF(COLUMNS($L392:T392)&lt;month,VLOOKUP("Month "&amp;(COLUMNS($L392:T392)-month+13),P_After_Tx,21,FALSE)*52*3/12*(1-homemiss),VLOOKUP("Month "&amp;(COLUMNS($L392:T392)-month+1),P_After_Tx,23,FALSE)*52*3/12*(1-homemiss))</f>
        <v>74.099999999999994</v>
      </c>
      <c r="U392" s="1697">
        <f>+IF(COLUMNS($L392:U392)&lt;month,VLOOKUP("Month "&amp;(COLUMNS($L392:U392)-month+13),P_After_Tx,21,FALSE)*52*3/12*(1-homemiss),VLOOKUP("Month "&amp;(COLUMNS($L392:U392)-month+1),P_After_Tx,23,FALSE)*52*3/12*(1-homemiss))</f>
        <v>74.099999999999994</v>
      </c>
      <c r="V392" s="1697">
        <f>+IF(COLUMNS($L392:V392)&lt;month,VLOOKUP("Month "&amp;(COLUMNS($L392:V392)-month+13),P_After_Tx,21,FALSE)*52*3/12*(1-homemiss),VLOOKUP("Month "&amp;(COLUMNS($L392:V392)-month+1),P_After_Tx,23,FALSE)*52*3/12*(1-homemiss))</f>
        <v>74.099999999999994</v>
      </c>
      <c r="W392" s="1697">
        <f>+IF(COLUMNS($L392:W392)&lt;month,VLOOKUP("Month "&amp;(COLUMNS($L392:W392)-month+13),P_After_Tx,21,FALSE)*52*3/12*(1-homemiss),VLOOKUP("Month "&amp;(COLUMNS($L392:W392)-month+1),P_After_Tx,23,FALSE)*52*3/12*(1-homemiss))</f>
        <v>74.099999999999994</v>
      </c>
      <c r="Y392" s="99"/>
    </row>
    <row r="393" spans="1:26">
      <c r="A393" s="4" t="s">
        <v>3767</v>
      </c>
      <c r="B393" s="4" t="str">
        <f>+$B$243</f>
        <v>P10_11032_00494</v>
      </c>
      <c r="C393" s="4"/>
      <c r="D393" s="4"/>
      <c r="E393" s="4"/>
      <c r="F393" s="4"/>
      <c r="G393" s="4"/>
      <c r="H393" s="4"/>
      <c r="I393" s="4"/>
      <c r="J393" s="4"/>
      <c r="K393" s="4" t="str">
        <f>+"FY"&amp;RIGHT(YEAR('Hyperion Panel'!$B$9)+4,2)</f>
        <v>FY14</v>
      </c>
      <c r="L393" s="1698"/>
      <c r="M393" s="1698"/>
      <c r="N393" s="1698"/>
      <c r="O393" s="1698"/>
      <c r="P393" s="1698"/>
      <c r="Q393" s="1698"/>
      <c r="R393" s="1698"/>
      <c r="S393" s="1698"/>
      <c r="T393" s="1698"/>
      <c r="U393" s="1698"/>
      <c r="V393" s="1699"/>
      <c r="W393" s="1698"/>
      <c r="Y393" s="99"/>
    </row>
    <row r="394" spans="1:26">
      <c r="A394" s="101" t="s">
        <v>463</v>
      </c>
      <c r="B394" s="4"/>
      <c r="C394" s="4"/>
      <c r="D394" s="4"/>
      <c r="E394" s="4"/>
      <c r="F394" s="4"/>
      <c r="G394" s="4"/>
      <c r="H394" s="4"/>
      <c r="I394" s="4"/>
      <c r="J394" s="4"/>
      <c r="K394" s="4"/>
      <c r="L394" s="1698">
        <f>+IF(COLUMNS($L394:L394)&lt;month,VLOOKUP("Month "&amp;(COLUMNS($L394:L394)-month+13),P_After_Tx,31,FALSE)*52*3/12*(1-hhdmiss),VLOOKUP("Month "&amp;(COLUMNS($L394:L394)-month+1),P_After_Tx,33,FALSE)*52*3/12*(1-hhdmiss))</f>
        <v>65</v>
      </c>
      <c r="M394" s="1698">
        <f>+IF(COLUMNS($L394:M394)&lt;month,VLOOKUP("Month "&amp;(COLUMNS($L394:M394)-month+13),P_After_Tx,31,FALSE)*52*3/12*(1-hhdmiss),VLOOKUP("Month "&amp;(COLUMNS($L394:M394)-month+1),P_After_Tx,33,FALSE)*52*3/12*(1-hhdmiss))</f>
        <v>65</v>
      </c>
      <c r="N394" s="1698">
        <f>+IF(COLUMNS($L394:N394)&lt;month,VLOOKUP("Month "&amp;(COLUMNS($L394:N394)-month+13),P_After_Tx,31,FALSE)*52*3/12*(1-hhdmiss),VLOOKUP("Month "&amp;(COLUMNS($L394:N394)-month+1),P_After_Tx,33,FALSE)*52*3/12*(1-hhdmiss))</f>
        <v>65</v>
      </c>
      <c r="O394" s="1698">
        <f>+IF(COLUMNS($L394:O394)&lt;month,VLOOKUP("Month "&amp;(COLUMNS($L394:O394)-month+13),P_After_Tx,31,FALSE)*52*3/12*(1-hhdmiss),VLOOKUP("Month "&amp;(COLUMNS($L394:O394)-month+1),P_After_Tx,33,FALSE)*52*3/12*(1-hhdmiss))</f>
        <v>65</v>
      </c>
      <c r="P394" s="1698">
        <f>+IF(COLUMNS($L394:P394)&lt;month,VLOOKUP("Month "&amp;(COLUMNS($L394:P394)-month+13),P_After_Tx,31,FALSE)*52*3/12*(1-hhdmiss),VLOOKUP("Month "&amp;(COLUMNS($L394:P394)-month+1),P_After_Tx,33,FALSE)*52*3/12*(1-hhdmiss))</f>
        <v>65</v>
      </c>
      <c r="Q394" s="1698">
        <f>+IF(COLUMNS($L394:Q394)&lt;month,VLOOKUP("Month "&amp;(COLUMNS($L394:Q394)-month+13),P_After_Tx,31,FALSE)*52*3/12*(1-hhdmiss),VLOOKUP("Month "&amp;(COLUMNS($L394:Q394)-month+1),P_After_Tx,33,FALSE)*52*3/12*(1-hhdmiss))</f>
        <v>65</v>
      </c>
      <c r="R394" s="1698">
        <f>+IF(COLUMNS($L394:R394)&lt;month,VLOOKUP("Month "&amp;(COLUMNS($L394:R394)-month+13),P_After_Tx,31,FALSE)*52*3/12*(1-hhdmiss),VLOOKUP("Month "&amp;(COLUMNS($L394:R394)-month+1),P_After_Tx,33,FALSE)*52*3/12*(1-hhdmiss))</f>
        <v>65</v>
      </c>
      <c r="S394" s="1698">
        <f>+IF(COLUMNS($L394:S394)&lt;month,VLOOKUP("Month "&amp;(COLUMNS($L394:S394)-month+13),P_After_Tx,31,FALSE)*52*3/12*(1-hhdmiss),VLOOKUP("Month "&amp;(COLUMNS($L394:S394)-month+1),P_After_Tx,33,FALSE)*52*3/12*(1-hhdmiss))</f>
        <v>65</v>
      </c>
      <c r="T394" s="1698">
        <f>+IF(COLUMNS($L394:T394)&lt;month,VLOOKUP("Month "&amp;(COLUMNS($L394:T394)-month+13),P_After_Tx,31,FALSE)*52*3/12*(1-hhdmiss),VLOOKUP("Month "&amp;(COLUMNS($L394:T394)-month+1),P_After_Tx,33,FALSE)*52*3/12*(1-hhdmiss))</f>
        <v>65</v>
      </c>
      <c r="U394" s="1698">
        <f>+IF(COLUMNS($L394:U394)&lt;month,VLOOKUP("Month "&amp;(COLUMNS($L394:U394)-month+13),P_After_Tx,31,FALSE)*52*3/12*(1-hhdmiss),VLOOKUP("Month "&amp;(COLUMNS($L394:U394)-month+1),P_After_Tx,33,FALSE)*52*3/12*(1-hhdmiss))</f>
        <v>65</v>
      </c>
      <c r="V394" s="1699">
        <f>+IF(COLUMNS($L394:V394)&lt;month,VLOOKUP("Month "&amp;(COLUMNS($L394:V394)-month+13),P_After_Tx,31,FALSE)*52*3/12*(1-hhdmiss),VLOOKUP("Month "&amp;(COLUMNS($L394:V394)-month+1),P_After_Tx,33,FALSE)*52*3/12*(1-hhdmiss))</f>
        <v>65</v>
      </c>
      <c r="W394" s="1698">
        <f>+IF(COLUMNS($L394:W394)&lt;month,VLOOKUP("Month "&amp;(COLUMNS($L394:W394)-month+13),P_After_Tx,31,FALSE)*52*3/12*(1-hhdmiss),VLOOKUP("Month "&amp;(COLUMNS($L394:W394)-month+1),P_After_Tx,33,FALSE)*52*3/12*(1-hhdmiss))</f>
        <v>65</v>
      </c>
      <c r="Y394" s="99"/>
    </row>
    <row r="395" spans="1:26">
      <c r="A395" s="101" t="s">
        <v>464</v>
      </c>
      <c r="B395" s="4"/>
      <c r="C395" s="4"/>
      <c r="D395" s="4"/>
      <c r="E395" s="4"/>
      <c r="F395" s="4"/>
      <c r="G395" s="4"/>
      <c r="H395" s="4"/>
      <c r="I395" s="4"/>
      <c r="J395" s="4"/>
      <c r="K395" s="4"/>
      <c r="L395" s="1698">
        <f>+IF(COLUMNS($L395:L395)&lt;month,VLOOKUP("Month "&amp;(COLUMNS($L395:L395)-month+13),P_After_Tx,32,FALSE)*52*4.3/12*(1-hhdmiss),VLOOKUP("Month "&amp;(COLUMNS($L395:L395)-month+1),P_After_Tx,34,FALSE)*52*4.3/12*(1-hhdmiss))</f>
        <v>0</v>
      </c>
      <c r="M395" s="1698">
        <f>+IF(COLUMNS($L395:M395)&lt;month,VLOOKUP("Month "&amp;(COLUMNS($L395:M395)-month+13),P_After_Tx,32,FALSE)*52*4.3/12*(1-hhdmiss),VLOOKUP("Month "&amp;(COLUMNS($L395:M395)-month+1),P_After_Tx,34,FALSE)*52*4.3/12*(1-hhdmiss))</f>
        <v>0</v>
      </c>
      <c r="N395" s="1698">
        <f>+IF(COLUMNS($L395:N395)&lt;month,VLOOKUP("Month "&amp;(COLUMNS($L395:N395)-month+13),P_After_Tx,32,FALSE)*52*4.3/12*(1-hhdmiss),VLOOKUP("Month "&amp;(COLUMNS($L395:N395)-month+1),P_After_Tx,34,FALSE)*52*4.3/12*(1-hhdmiss))</f>
        <v>0</v>
      </c>
      <c r="O395" s="1698">
        <f>+IF(COLUMNS($L395:O395)&lt;month,VLOOKUP("Month "&amp;(COLUMNS($L395:O395)-month+13),P_After_Tx,32,FALSE)*52*4.3/12*(1-hhdmiss),VLOOKUP("Month "&amp;(COLUMNS($L395:O395)-month+1),P_After_Tx,34,FALSE)*52*4.3/12*(1-hhdmiss))</f>
        <v>0</v>
      </c>
      <c r="P395" s="1698">
        <f>+IF(COLUMNS($L395:P395)&lt;month,VLOOKUP("Month "&amp;(COLUMNS($L395:P395)-month+13),P_After_Tx,32,FALSE)*52*4.3/12*(1-hhdmiss),VLOOKUP("Month "&amp;(COLUMNS($L395:P395)-month+1),P_After_Tx,34,FALSE)*52*4.3/12*(1-hhdmiss))</f>
        <v>0</v>
      </c>
      <c r="Q395" s="1698">
        <f>+IF(COLUMNS($L395:Q395)&lt;month,VLOOKUP("Month "&amp;(COLUMNS($L395:Q395)-month+13),P_After_Tx,32,FALSE)*52*4.3/12*(1-hhdmiss),VLOOKUP("Month "&amp;(COLUMNS($L395:Q395)-month+1),P_After_Tx,34,FALSE)*52*4.3/12*(1-hhdmiss))</f>
        <v>0</v>
      </c>
      <c r="R395" s="1698">
        <f>+IF(COLUMNS($L395:R395)&lt;month,VLOOKUP("Month "&amp;(COLUMNS($L395:R395)-month+13),P_After_Tx,32,FALSE)*52*4.3/12*(1-hhdmiss),VLOOKUP("Month "&amp;(COLUMNS($L395:R395)-month+1),P_After_Tx,34,FALSE)*52*4.3/12*(1-hhdmiss))</f>
        <v>0</v>
      </c>
      <c r="S395" s="1698">
        <f>+IF(COLUMNS($L395:S395)&lt;month,VLOOKUP("Month "&amp;(COLUMNS($L395:S395)-month+13),P_After_Tx,32,FALSE)*52*4.3/12*(1-hhdmiss),VLOOKUP("Month "&amp;(COLUMNS($L395:S395)-month+1),P_After_Tx,34,FALSE)*52*4.3/12*(1-hhdmiss))</f>
        <v>0</v>
      </c>
      <c r="T395" s="1698">
        <f>+IF(COLUMNS($L395:T395)&lt;month,VLOOKUP("Month "&amp;(COLUMNS($L395:T395)-month+13),P_After_Tx,32,FALSE)*52*4.3/12*(1-hhdmiss),VLOOKUP("Month "&amp;(COLUMNS($L395:T395)-month+1),P_After_Tx,34,FALSE)*52*4.3/12*(1-hhdmiss))</f>
        <v>0</v>
      </c>
      <c r="U395" s="1698">
        <f>+IF(COLUMNS($L395:U395)&lt;month,VLOOKUP("Month "&amp;(COLUMNS($L395:U395)-month+13),P_After_Tx,32,FALSE)*52*4.3/12*(1-hhdmiss),VLOOKUP("Month "&amp;(COLUMNS($L395:U395)-month+1),P_After_Tx,34,FALSE)*52*4.3/12*(1-hhdmiss))</f>
        <v>0</v>
      </c>
      <c r="V395" s="1698">
        <f>+IF(COLUMNS($L395:V395)&lt;month,VLOOKUP("Month "&amp;(COLUMNS($L395:V395)-month+13),P_After_Tx,32,FALSE)*52*4.3/12*(1-hhdmiss),VLOOKUP("Month "&amp;(COLUMNS($L395:V395)-month+1),P_After_Tx,34,FALSE)*52*4.3/12*(1-hhdmiss))</f>
        <v>0</v>
      </c>
      <c r="W395" s="1698">
        <f>+IF(COLUMNS($L395:W395)&lt;month,VLOOKUP("Month "&amp;(COLUMNS($L395:W395)-month+13),P_After_Tx,32,FALSE)*52*4.3/12*(1-hhdmiss),VLOOKUP("Month "&amp;(COLUMNS($L395:W395)-month+1),P_After_Tx,34,FALSE)*52*4.3/12*(1-hhdmiss))</f>
        <v>0</v>
      </c>
      <c r="Y395" s="99"/>
    </row>
    <row r="396" spans="1:26">
      <c r="A396" s="98" t="s">
        <v>163</v>
      </c>
      <c r="B396" t="str">
        <f>+$B$243</f>
        <v>P10_11032_00494</v>
      </c>
      <c r="C396" t="str">
        <f>+$C$243</f>
        <v>LE_XXXX</v>
      </c>
      <c r="D396" t="s">
        <v>2886</v>
      </c>
      <c r="E396">
        <v>3010</v>
      </c>
      <c r="F396" t="s">
        <v>2888</v>
      </c>
      <c r="G396" t="s">
        <v>2889</v>
      </c>
      <c r="H396" t="s">
        <v>145</v>
      </c>
      <c r="I396" t="s">
        <v>146</v>
      </c>
      <c r="J396" t="s">
        <v>147</v>
      </c>
      <c r="K396" t="str">
        <f>+"FY"&amp;RIGHT(YEAR('Hyperion Panel'!$B$9)+4,2)</f>
        <v>FY14</v>
      </c>
      <c r="L396" s="1612"/>
      <c r="M396" s="1612"/>
      <c r="N396" s="1612"/>
      <c r="O396" s="1612"/>
      <c r="P396" s="1612"/>
      <c r="Q396" s="1612"/>
      <c r="R396" s="1612"/>
      <c r="S396" s="1612"/>
      <c r="T396" s="1612"/>
      <c r="U396" s="1612"/>
      <c r="V396" s="1702"/>
      <c r="W396" s="1612"/>
    </row>
    <row r="397" spans="1:26" s="98" customFormat="1">
      <c r="A397" s="100" t="s">
        <v>463</v>
      </c>
      <c r="L397" s="1697">
        <f>+IF(COLUMNS($L397:L397)&lt;month,'2.1 Reimburse'!$K$14*L388,'2.1 Reimburse'!$L$14*L388)</f>
        <v>148268.1823254333</v>
      </c>
      <c r="M397" s="1697">
        <f>+IF(COLUMNS($L397:M397)&lt;month,'2.1 Reimburse'!$K$14*M388,'2.1 Reimburse'!$L$14*M388)</f>
        <v>148268.1823254333</v>
      </c>
      <c r="N397" s="1697">
        <f>+IF(COLUMNS($L397:N397)&lt;month,'2.1 Reimburse'!$K$14*N388,'2.1 Reimburse'!$L$14*N388)</f>
        <v>148268.1823254333</v>
      </c>
      <c r="O397" s="1697">
        <f>+IF(COLUMNS($L397:O397)&lt;month,'2.1 Reimburse'!$K$14*O388,'2.1 Reimburse'!$L$14*O388)</f>
        <v>148268.1823254333</v>
      </c>
      <c r="P397" s="1697">
        <f>+IF(COLUMNS($L397:P397)&lt;month,'2.1 Reimburse'!$K$14*P388,'2.1 Reimburse'!$L$14*P388)</f>
        <v>148268.1823254333</v>
      </c>
      <c r="Q397" s="1697">
        <f>+IF(COLUMNS($L397:Q397)&lt;month,'2.1 Reimburse'!$K$14*Q388,'2.1 Reimburse'!$L$14*Q388)</f>
        <v>148268.1823254333</v>
      </c>
      <c r="R397" s="1697">
        <f>+IF(COLUMNS($L397:R397)&lt;month,'2.1 Reimburse'!$K$14*R388,'2.1 Reimburse'!$L$14*R388)</f>
        <v>148268.1823254333</v>
      </c>
      <c r="S397" s="1697">
        <f>+IF(COLUMNS($L397:S397)&lt;month,'2.1 Reimburse'!$K$14*S388,'2.1 Reimburse'!$L$14*S388)</f>
        <v>148268.1823254333</v>
      </c>
      <c r="T397" s="1697">
        <f>+IF(COLUMNS($L397:T397)&lt;month,'2.1 Reimburse'!$K$14*T388,'2.1 Reimburse'!$L$14*T388)</f>
        <v>148268.1823254333</v>
      </c>
      <c r="U397" s="1697">
        <f>+IF(COLUMNS($L397:U397)&lt;month,'2.1 Reimburse'!$K$14*U388,'2.1 Reimburse'!$L$14*U388)</f>
        <v>148268.1823254333</v>
      </c>
      <c r="V397" s="1697">
        <f>+IF(COLUMNS($L397:V397)&lt;month,'2.1 Reimburse'!$K$14*V388,'2.1 Reimburse'!$L$14*V388)</f>
        <v>151233.54597194196</v>
      </c>
      <c r="W397" s="1697">
        <f>+IF(COLUMNS($L397:W397)&lt;month,'2.1 Reimburse'!$K$14*W388,'2.1 Reimburse'!$L$14*W388)</f>
        <v>151233.54597194196</v>
      </c>
      <c r="Y397" s="99" t="s">
        <v>725</v>
      </c>
      <c r="Z397" s="45" t="s">
        <v>1564</v>
      </c>
    </row>
    <row r="398" spans="1:26" s="98" customFormat="1">
      <c r="A398" s="100" t="s">
        <v>464</v>
      </c>
      <c r="L398" s="1697">
        <f>+IF(COLUMNS($L398:L398)&lt;month,'2.1 Reimburse'!$K$21*L389,'2.1 Reimburse'!$L$21*L389)</f>
        <v>26030.682555408661</v>
      </c>
      <c r="M398" s="1697">
        <f>+IF(COLUMNS($L398:M398)&lt;month,'2.1 Reimburse'!$K$21*M389,'2.1 Reimburse'!$L$21*M389)</f>
        <v>26030.682555408661</v>
      </c>
      <c r="N398" s="1697">
        <f>+IF(COLUMNS($L398:N398)&lt;month,'2.1 Reimburse'!$K$21*N389,'2.1 Reimburse'!$L$21*N389)</f>
        <v>26030.682555408661</v>
      </c>
      <c r="O398" s="1697">
        <f>+IF(COLUMNS($L398:O398)&lt;month,'2.1 Reimburse'!$K$21*O389,'2.1 Reimburse'!$L$21*O389)</f>
        <v>26030.682555408661</v>
      </c>
      <c r="P398" s="1697">
        <f>+IF(COLUMNS($L398:P398)&lt;month,'2.1 Reimburse'!$K$21*P389,'2.1 Reimburse'!$L$21*P389)</f>
        <v>26030.682555408661</v>
      </c>
      <c r="Q398" s="1697">
        <f>+IF(COLUMNS($L398:Q398)&lt;month,'2.1 Reimburse'!$K$21*Q389,'2.1 Reimburse'!$L$21*Q389)</f>
        <v>26030.682555408661</v>
      </c>
      <c r="R398" s="1697">
        <f>+IF(COLUMNS($L398:R398)&lt;month,'2.1 Reimburse'!$K$21*R389,'2.1 Reimburse'!$L$21*R389)</f>
        <v>26030.682555408661</v>
      </c>
      <c r="S398" s="1697">
        <f>+IF(COLUMNS($L398:S398)&lt;month,'2.1 Reimburse'!$K$21*S389,'2.1 Reimburse'!$L$21*S389)</f>
        <v>26030.682555408661</v>
      </c>
      <c r="T398" s="1697">
        <f>+IF(COLUMNS($L398:T398)&lt;month,'2.1 Reimburse'!$K$21*T389,'2.1 Reimburse'!$L$21*T389)</f>
        <v>26030.682555408661</v>
      </c>
      <c r="U398" s="1697">
        <f>+IF(COLUMNS($L398:U398)&lt;month,'2.1 Reimburse'!$K$21*U389,'2.1 Reimburse'!$L$21*U389)</f>
        <v>26030.682555408661</v>
      </c>
      <c r="V398" s="1697">
        <f>+IF(COLUMNS($L398:V398)&lt;month,'2.1 Reimburse'!$K$21*V389,'2.1 Reimburse'!$L$21*V389)</f>
        <v>26629.388254183046</v>
      </c>
      <c r="W398" s="1697">
        <f>+IF(COLUMNS($L398:W398)&lt;month,'2.1 Reimburse'!$K$21*W389,'2.1 Reimburse'!$L$21*W389)</f>
        <v>26629.388254183046</v>
      </c>
      <c r="Y398" s="99" t="s">
        <v>725</v>
      </c>
      <c r="Z398" s="1709" t="str">
        <f>Z397</f>
        <v>Yr4 - Yr5</v>
      </c>
    </row>
    <row r="399" spans="1:26">
      <c r="A399" s="98" t="s">
        <v>164</v>
      </c>
      <c r="B399" t="str">
        <f>+$B$243</f>
        <v>P10_11032_00494</v>
      </c>
      <c r="C399" t="str">
        <f>+$C$243</f>
        <v>LE_XXXX</v>
      </c>
      <c r="D399" t="s">
        <v>2886</v>
      </c>
      <c r="E399">
        <v>3030</v>
      </c>
      <c r="F399" t="s">
        <v>150</v>
      </c>
      <c r="G399" t="s">
        <v>2889</v>
      </c>
      <c r="H399" t="s">
        <v>145</v>
      </c>
      <c r="I399" t="s">
        <v>146</v>
      </c>
      <c r="J399" t="s">
        <v>147</v>
      </c>
      <c r="K399" t="str">
        <f>+"FY"&amp;RIGHT(YEAR('Hyperion Panel'!$B$9)+4,2)</f>
        <v>FY14</v>
      </c>
      <c r="L399" s="1612"/>
      <c r="M399" s="1612"/>
      <c r="N399" s="1612"/>
      <c r="O399" s="1612"/>
      <c r="P399" s="1612"/>
      <c r="Q399" s="1612"/>
      <c r="R399" s="1612"/>
      <c r="S399" s="1612"/>
      <c r="T399" s="1612"/>
      <c r="U399" s="1612"/>
      <c r="V399" s="1961"/>
      <c r="W399" s="1612"/>
      <c r="Z399" s="45"/>
    </row>
    <row r="400" spans="1:26" s="98" customFormat="1">
      <c r="A400" s="100" t="s">
        <v>463</v>
      </c>
      <c r="L400" s="1697">
        <f>+IF(COLUMNS($L400:L400)&lt;month,'2.1 Reimburse'!$K$23*L391,'2.1 Reimburse'!$L$23*L391)</f>
        <v>43489.791911071581</v>
      </c>
      <c r="M400" s="1697">
        <f>+IF(COLUMNS($L400:M400)&lt;month,'2.1 Reimburse'!$K$23*M391,'2.1 Reimburse'!$L$23*M391)</f>
        <v>43489.791911071581</v>
      </c>
      <c r="N400" s="1697">
        <f>+IF(COLUMNS($L400:N400)&lt;month,'2.1 Reimburse'!$K$23*N391,'2.1 Reimburse'!$L$23*N391)</f>
        <v>43489.791911071581</v>
      </c>
      <c r="O400" s="1697">
        <f>+IF(COLUMNS($L400:O400)&lt;month,'2.1 Reimburse'!$K$23*O391,'2.1 Reimburse'!$L$23*O391)</f>
        <v>43489.791911071581</v>
      </c>
      <c r="P400" s="1697">
        <f>+IF(COLUMNS($L400:P400)&lt;month,'2.1 Reimburse'!$K$23*P391,'2.1 Reimburse'!$L$23*P391)</f>
        <v>43489.791911071581</v>
      </c>
      <c r="Q400" s="1697">
        <f>+IF(COLUMNS($L400:Q400)&lt;month,'2.1 Reimburse'!$K$23*Q391,'2.1 Reimburse'!$L$23*Q391)</f>
        <v>43489.791911071581</v>
      </c>
      <c r="R400" s="1697">
        <f>+IF(COLUMNS($L400:R400)&lt;month,'2.1 Reimburse'!$K$23*R391,'2.1 Reimburse'!$L$23*R391)</f>
        <v>43489.791911071581</v>
      </c>
      <c r="S400" s="1697">
        <f>+IF(COLUMNS($L400:S400)&lt;month,'2.1 Reimburse'!$K$23*S391,'2.1 Reimburse'!$L$23*S391)</f>
        <v>43489.791911071581</v>
      </c>
      <c r="T400" s="1697">
        <f>+IF(COLUMNS($L400:T400)&lt;month,'2.1 Reimburse'!$K$23*T391,'2.1 Reimburse'!$L$23*T391)</f>
        <v>43489.791911071581</v>
      </c>
      <c r="U400" s="1697">
        <f>+IF(COLUMNS($L400:U400)&lt;month,'2.1 Reimburse'!$K$23*U391,'2.1 Reimburse'!$L$23*U391)</f>
        <v>43489.791911071581</v>
      </c>
      <c r="V400" s="1697">
        <f>+IF(COLUMNS($L400:V400)&lt;month,'2.1 Reimburse'!$K$23*V391,'2.1 Reimburse'!$L$23*V391)</f>
        <v>44359.587749293016</v>
      </c>
      <c r="W400" s="1697">
        <f>+IF(COLUMNS($L400:W400)&lt;month,'2.1 Reimburse'!$K$23*W391,'2.1 Reimburse'!$L$23*W391)</f>
        <v>44359.587749293016</v>
      </c>
      <c r="Y400" s="99" t="s">
        <v>725</v>
      </c>
      <c r="Z400" s="45" t="str">
        <f>Z397</f>
        <v>Yr4 - Yr5</v>
      </c>
    </row>
    <row r="401" spans="1:26" s="98" customFormat="1">
      <c r="A401" s="100" t="s">
        <v>464</v>
      </c>
      <c r="L401" s="1697">
        <f>+IF(COLUMNS($L401:L401)&lt;month,'2.1 Reimburse'!$K$30*L392,'2.1 Reimburse'!$L$30*L392)</f>
        <v>80638.527481428988</v>
      </c>
      <c r="M401" s="1697">
        <f>+IF(COLUMNS($L401:M401)&lt;month,'2.1 Reimburse'!$K$30*M392,'2.1 Reimburse'!$L$30*M392)</f>
        <v>80638.527481428988</v>
      </c>
      <c r="N401" s="1697">
        <f>+IF(COLUMNS($L401:N401)&lt;month,'2.1 Reimburse'!$K$30*N392,'2.1 Reimburse'!$L$30*N392)</f>
        <v>80638.527481428988</v>
      </c>
      <c r="O401" s="1697">
        <f>+IF(COLUMNS($L401:O401)&lt;month,'2.1 Reimburse'!$K$30*O392,'2.1 Reimburse'!$L$30*O392)</f>
        <v>80638.527481428988</v>
      </c>
      <c r="P401" s="1697">
        <f>+IF(COLUMNS($L401:P401)&lt;month,'2.1 Reimburse'!$K$30*P392,'2.1 Reimburse'!$L$30*P392)</f>
        <v>80638.527481428988</v>
      </c>
      <c r="Q401" s="1697">
        <f>+IF(COLUMNS($L401:Q401)&lt;month,'2.1 Reimburse'!$K$30*Q392,'2.1 Reimburse'!$L$30*Q392)</f>
        <v>80638.527481428988</v>
      </c>
      <c r="R401" s="1697">
        <f>+IF(COLUMNS($L401:R401)&lt;month,'2.1 Reimburse'!$K$30*R392,'2.1 Reimburse'!$L$30*R392)</f>
        <v>80638.527481428988</v>
      </c>
      <c r="S401" s="1697">
        <f>+IF(COLUMNS($L401:S401)&lt;month,'2.1 Reimburse'!$K$30*S392,'2.1 Reimburse'!$L$30*S392)</f>
        <v>80638.527481428988</v>
      </c>
      <c r="T401" s="1697">
        <f>+IF(COLUMNS($L401:T401)&lt;month,'2.1 Reimburse'!$K$30*T392,'2.1 Reimburse'!$L$30*T392)</f>
        <v>80638.527481428988</v>
      </c>
      <c r="U401" s="1697">
        <f>+IF(COLUMNS($L401:U401)&lt;month,'2.1 Reimburse'!$K$30*U392,'2.1 Reimburse'!$L$30*U392)</f>
        <v>80638.527481428988</v>
      </c>
      <c r="V401" s="1697">
        <f>+IF(COLUMNS($L401:V401)&lt;month,'2.1 Reimburse'!$K$30*V392,'2.1 Reimburse'!$L$30*V392)</f>
        <v>82493.213613501837</v>
      </c>
      <c r="W401" s="1697">
        <f>+IF(COLUMNS($L401:W401)&lt;month,'2.1 Reimburse'!$K$30*W392,'2.1 Reimburse'!$L$30*W392)</f>
        <v>82493.213613501837</v>
      </c>
      <c r="Y401" s="99" t="s">
        <v>725</v>
      </c>
      <c r="Z401" s="45" t="str">
        <f>Z397</f>
        <v>Yr4 - Yr5</v>
      </c>
    </row>
    <row r="402" spans="1:26">
      <c r="A402" s="4" t="s">
        <v>3768</v>
      </c>
      <c r="B402" s="4" t="str">
        <f>+$B$243</f>
        <v>P10_11032_00494</v>
      </c>
      <c r="C402" s="4"/>
      <c r="D402" s="4"/>
      <c r="E402" s="4"/>
      <c r="F402" s="4"/>
      <c r="G402" s="4"/>
      <c r="H402" s="4"/>
      <c r="I402" s="4"/>
      <c r="J402" s="4"/>
      <c r="K402" s="4" t="str">
        <f>+"FY"&amp;RIGHT(YEAR('Hyperion Panel'!$B$9)+4,2)</f>
        <v>FY14</v>
      </c>
      <c r="L402" s="1698"/>
      <c r="M402" s="1698"/>
      <c r="N402" s="1698"/>
      <c r="O402" s="1698"/>
      <c r="P402" s="1698"/>
      <c r="Q402" s="1698"/>
      <c r="R402" s="1698"/>
      <c r="S402" s="1698"/>
      <c r="T402" s="1698"/>
      <c r="U402" s="1698"/>
      <c r="V402" s="1962"/>
      <c r="W402" s="1698"/>
      <c r="Z402" s="45"/>
    </row>
    <row r="403" spans="1:26">
      <c r="A403" s="101" t="s">
        <v>463</v>
      </c>
      <c r="B403" s="4"/>
      <c r="C403" s="4"/>
      <c r="D403" s="4"/>
      <c r="E403" s="4"/>
      <c r="F403" s="4"/>
      <c r="G403" s="4"/>
      <c r="H403" s="4"/>
      <c r="I403" s="4"/>
      <c r="J403" s="4"/>
      <c r="K403" s="4"/>
      <c r="L403" s="1698">
        <f>+IF(COLUMNS($L403:L403)&lt;month,'2.1 Reimburse'!$K$32*L394,'2.1 Reimburse'!$L$32*L394)</f>
        <v>16884.753665513832</v>
      </c>
      <c r="M403" s="1698">
        <f>+IF(COLUMNS($L403:M403)&lt;month,'2.1 Reimburse'!$K$32*M394,'2.1 Reimburse'!$L$32*M394)</f>
        <v>16884.753665513832</v>
      </c>
      <c r="N403" s="1698">
        <f>+IF(COLUMNS($L403:N403)&lt;month,'2.1 Reimburse'!$K$32*N394,'2.1 Reimburse'!$L$32*N394)</f>
        <v>16884.753665513832</v>
      </c>
      <c r="O403" s="1698">
        <f>+IF(COLUMNS($L403:O403)&lt;month,'2.1 Reimburse'!$K$32*O394,'2.1 Reimburse'!$L$32*O394)</f>
        <v>16884.753665513832</v>
      </c>
      <c r="P403" s="1698">
        <f>+IF(COLUMNS($L403:P403)&lt;month,'2.1 Reimburse'!$K$32*P394,'2.1 Reimburse'!$L$32*P394)</f>
        <v>16884.753665513832</v>
      </c>
      <c r="Q403" s="1698">
        <f>+IF(COLUMNS($L403:Q403)&lt;month,'2.1 Reimburse'!$K$32*Q394,'2.1 Reimburse'!$L$32*Q394)</f>
        <v>16884.753665513832</v>
      </c>
      <c r="R403" s="1698">
        <f>+IF(COLUMNS($L403:R403)&lt;month,'2.1 Reimburse'!$K$32*R394,'2.1 Reimburse'!$L$32*R394)</f>
        <v>16884.753665513832</v>
      </c>
      <c r="S403" s="1698">
        <f>+IF(COLUMNS($L403:S403)&lt;month,'2.1 Reimburse'!$K$32*S394,'2.1 Reimburse'!$L$32*S394)</f>
        <v>16884.753665513832</v>
      </c>
      <c r="T403" s="1698">
        <f>+IF(COLUMNS($L403:T403)&lt;month,'2.1 Reimburse'!$K$32*T394,'2.1 Reimburse'!$L$32*T394)</f>
        <v>16884.753665513832</v>
      </c>
      <c r="U403" s="1698">
        <f>+IF(COLUMNS($L403:U403)&lt;month,'2.1 Reimburse'!$K$32*U394,'2.1 Reimburse'!$L$32*U394)</f>
        <v>16884.753665513832</v>
      </c>
      <c r="V403" s="1698">
        <f>+IF(COLUMNS($L403:V403)&lt;month,'2.1 Reimburse'!$K$32*V394,'2.1 Reimburse'!$L$32*V394)</f>
        <v>17222.44873882411</v>
      </c>
      <c r="W403" s="1698">
        <f>+IF(COLUMNS($L403:W403)&lt;month,'2.1 Reimburse'!$K$32*W394,'2.1 Reimburse'!$L$32*W394)</f>
        <v>17222.44873882411</v>
      </c>
      <c r="Y403" s="99" t="s">
        <v>725</v>
      </c>
      <c r="Z403" s="45" t="str">
        <f>Z397</f>
        <v>Yr4 - Yr5</v>
      </c>
    </row>
    <row r="404" spans="1:26">
      <c r="A404" s="101" t="s">
        <v>464</v>
      </c>
      <c r="B404" s="4"/>
      <c r="C404" s="4"/>
      <c r="D404" s="4"/>
      <c r="E404" s="4"/>
      <c r="F404" s="4"/>
      <c r="G404" s="4"/>
      <c r="H404" s="4"/>
      <c r="I404" s="4"/>
      <c r="J404" s="4"/>
      <c r="K404" s="4"/>
      <c r="L404" s="1698">
        <f>+IF(COLUMNS($L404:L404)&lt;month,'2.1 Reimburse'!$K$39*L395,'2.1 Reimburse'!$L$39*L395)</f>
        <v>0</v>
      </c>
      <c r="M404" s="1698">
        <f>+IF(COLUMNS($L404:M404)&lt;month,'2.1 Reimburse'!$K$39*M395,'2.1 Reimburse'!$L$39*M395)</f>
        <v>0</v>
      </c>
      <c r="N404" s="1698">
        <f>+IF(COLUMNS($L404:N404)&lt;month,'2.1 Reimburse'!$K$39*N395,'2.1 Reimburse'!$L$39*N395)</f>
        <v>0</v>
      </c>
      <c r="O404" s="1698">
        <f>+IF(COLUMNS($L404:O404)&lt;month,'2.1 Reimburse'!$K$39*O395,'2.1 Reimburse'!$L$39*O395)</f>
        <v>0</v>
      </c>
      <c r="P404" s="1698">
        <f>+IF(COLUMNS($L404:P404)&lt;month,'2.1 Reimburse'!$K$39*P395,'2.1 Reimburse'!$L$39*P395)</f>
        <v>0</v>
      </c>
      <c r="Q404" s="1698">
        <f>+IF(COLUMNS($L404:Q404)&lt;month,'2.1 Reimburse'!$K$39*Q395,'2.1 Reimburse'!$L$39*Q395)</f>
        <v>0</v>
      </c>
      <c r="R404" s="1698">
        <f>+IF(COLUMNS($L404:R404)&lt;month,'2.1 Reimburse'!$K$39*R395,'2.1 Reimburse'!$L$39*R395)</f>
        <v>0</v>
      </c>
      <c r="S404" s="1698">
        <f>+IF(COLUMNS($L404:S404)&lt;month,'2.1 Reimburse'!$K$39*S395,'2.1 Reimburse'!$L$39*S395)</f>
        <v>0</v>
      </c>
      <c r="T404" s="1698">
        <f>+IF(COLUMNS($L404:T404)&lt;month,'2.1 Reimburse'!$K$39*T395,'2.1 Reimburse'!$L$39*T395)</f>
        <v>0</v>
      </c>
      <c r="U404" s="1698">
        <f>+IF(COLUMNS($L404:U404)&lt;month,'2.1 Reimburse'!$K$39*U395,'2.1 Reimburse'!$L$39*U395)</f>
        <v>0</v>
      </c>
      <c r="V404" s="1698">
        <f>+IF(COLUMNS($L404:V404)&lt;month,'2.1 Reimburse'!$K$39*V395,'2.1 Reimburse'!$L$39*V395)</f>
        <v>0</v>
      </c>
      <c r="W404" s="1698">
        <f>+IF(COLUMNS($L404:W404)&lt;month,'2.1 Reimburse'!$K$39*W395,'2.1 Reimburse'!$L$39*W395)</f>
        <v>0</v>
      </c>
      <c r="Y404" s="99" t="s">
        <v>725</v>
      </c>
      <c r="Z404" s="45" t="str">
        <f>Z397</f>
        <v>Yr4 - Yr5</v>
      </c>
    </row>
    <row r="405" spans="1:26">
      <c r="A405" s="3" t="s">
        <v>2651</v>
      </c>
      <c r="B405" t="str">
        <f t="shared" ref="B405:B421" si="20">+$B$243</f>
        <v>P10_11032_00494</v>
      </c>
      <c r="C405" t="str">
        <f t="shared" ref="C405:C421" si="21">+$C$243</f>
        <v>LE_XXXX</v>
      </c>
      <c r="D405" t="s">
        <v>2886</v>
      </c>
      <c r="E405">
        <v>6010</v>
      </c>
      <c r="F405" t="s">
        <v>2888</v>
      </c>
      <c r="G405" t="s">
        <v>153</v>
      </c>
      <c r="H405" t="s">
        <v>154</v>
      </c>
      <c r="I405" t="s">
        <v>146</v>
      </c>
      <c r="J405" t="s">
        <v>147</v>
      </c>
      <c r="K405" t="str">
        <f>+"FY"&amp;RIGHT(YEAR('Hyperion Panel'!$B$9)+4,2)</f>
        <v>FY14</v>
      </c>
      <c r="L405" s="1697">
        <f>+IF(COLUMNS($L405:L405)&lt;month,'6. Market'!$AO$107*SUM(L388:L389,L391:L392,L394:L395),'6. Market'!$AP$107*SUM(L388:L389,L391:L392,L394:L395))</f>
        <v>42288.299758407506</v>
      </c>
      <c r="M405" s="1697">
        <f>+IF(COLUMNS($L405:M405)&lt;month,'6. Market'!$AO$107*SUM(M388:M389,M391:M392,M394:M395),'6. Market'!$AP$107*SUM(M388:M389,M391:M392,M394:M395))</f>
        <v>42288.299758407506</v>
      </c>
      <c r="N405" s="1697">
        <f>+IF(COLUMNS($L405:N405)&lt;month,'6. Market'!$AO$107*SUM(N388:N389,N391:N392,N394:N395),'6. Market'!$AP$107*SUM(N388:N389,N391:N392,N394:N395))</f>
        <v>42288.299758407506</v>
      </c>
      <c r="O405" s="1697">
        <f>+IF(COLUMNS($L405:O405)&lt;month,'6. Market'!$AO$107*SUM(O388:O389,O391:O392,O394:O395),'6. Market'!$AP$107*SUM(O388:O389,O391:O392,O394:O395))</f>
        <v>42288.299758407506</v>
      </c>
      <c r="P405" s="1697">
        <f>+IF(COLUMNS($L405:P405)&lt;month,'6. Market'!$AO$107*SUM(P388:P389,P391:P392,P394:P395),'6. Market'!$AP$107*SUM(P388:P389,P391:P392,P394:P395))</f>
        <v>42288.299758407506</v>
      </c>
      <c r="Q405" s="1697">
        <f>+IF(COLUMNS($L405:Q405)&lt;month,'6. Market'!$AO$107*SUM(Q388:Q389,Q391:Q392,Q394:Q395),'6. Market'!$AP$107*SUM(Q388:Q389,Q391:Q392,Q394:Q395))</f>
        <v>42288.299758407506</v>
      </c>
      <c r="R405" s="1697">
        <f>+IF(COLUMNS($L405:R405)&lt;month,'6. Market'!$AO$107*SUM(R388:R389,R391:R392,R394:R395),'6. Market'!$AP$107*SUM(R388:R389,R391:R392,R394:R395))</f>
        <v>42288.299758407506</v>
      </c>
      <c r="S405" s="1697">
        <f>+IF(COLUMNS($L405:S405)&lt;month,'6. Market'!$AO$107*SUM(S388:S389,S391:S392,S394:S395),'6. Market'!$AP$107*SUM(S388:S389,S391:S392,S394:S395))</f>
        <v>42288.299758407506</v>
      </c>
      <c r="T405" s="1697">
        <f>+IF(COLUMNS($L405:T405)&lt;month,'6. Market'!$AO$107*SUM(T388:T389,T391:T392,T394:T395),'6. Market'!$AP$107*SUM(T388:T389,T391:T392,T394:T395))</f>
        <v>42288.299758407506</v>
      </c>
      <c r="U405" s="1697">
        <f>+IF(COLUMNS($L405:U405)&lt;month,'6. Market'!$AO$107*SUM(U388:U389,U391:U392,U394:U395),'6. Market'!$AP$107*SUM(U388:U389,U391:U392,U394:U395))</f>
        <v>42288.299758407506</v>
      </c>
      <c r="V405" s="1697">
        <f>+IF(COLUMNS($L405:V405)&lt;month,'6. Market'!$AO$107*SUM(V388:V389,V391:V392,V394:V395),'6. Market'!$AP$107*SUM(V388:V389,V391:V392,V394:V395))</f>
        <v>43556.948751159733</v>
      </c>
      <c r="W405" s="1697">
        <f>+IF(COLUMNS($L405:W405)&lt;month,'6. Market'!$AO$107*SUM(W388:W389,W391:W392,W394:W395),'6. Market'!$AP$107*SUM(W388:W389,W391:W392,W394:W395))</f>
        <v>43556.948751159733</v>
      </c>
    </row>
    <row r="406" spans="1:26">
      <c r="A406" t="s">
        <v>2652</v>
      </c>
      <c r="B406" t="str">
        <f t="shared" si="20"/>
        <v>P10_11032_00494</v>
      </c>
      <c r="C406" t="str">
        <f t="shared" si="21"/>
        <v>LE_XXXX</v>
      </c>
      <c r="D406" t="s">
        <v>2886</v>
      </c>
      <c r="E406">
        <v>6010</v>
      </c>
      <c r="F406" t="s">
        <v>2888</v>
      </c>
      <c r="G406" t="s">
        <v>155</v>
      </c>
      <c r="H406" t="s">
        <v>154</v>
      </c>
      <c r="I406" t="s">
        <v>146</v>
      </c>
      <c r="J406" t="s">
        <v>147</v>
      </c>
      <c r="K406" t="str">
        <f>+"FY"&amp;RIGHT(YEAR('Hyperion Panel'!$B$9)+4,2)</f>
        <v>FY14</v>
      </c>
      <c r="L406" s="1612">
        <f>+IF(COLUMNS($L406:L406)&lt;month,'6. Market'!$AO$74/12,'6. Market'!$AP$74/12)</f>
        <v>16166.895965000002</v>
      </c>
      <c r="M406" s="1612">
        <f>+IF(COLUMNS($L406:M406)&lt;month,'6. Market'!$AO$74/12,'6. Market'!$AP$74/12)</f>
        <v>16166.895965000002</v>
      </c>
      <c r="N406" s="1612">
        <f>+IF(COLUMNS($L406:N406)&lt;month,'6. Market'!$AO$74/12,'6. Market'!$AP$74/12)</f>
        <v>16166.895965000002</v>
      </c>
      <c r="O406" s="1612">
        <f>+IF(COLUMNS($L406:O406)&lt;month,'6. Market'!$AO$74/12,'6. Market'!$AP$74/12)</f>
        <v>16166.895965000002</v>
      </c>
      <c r="P406" s="1612">
        <f>+IF(COLUMNS($L406:P406)&lt;month,'6. Market'!$AO$74/12,'6. Market'!$AP$74/12)</f>
        <v>16166.895965000002</v>
      </c>
      <c r="Q406" s="1612">
        <f>+IF(COLUMNS($L406:Q406)&lt;month,'6. Market'!$AO$74/12,'6. Market'!$AP$74/12)</f>
        <v>16166.895965000002</v>
      </c>
      <c r="R406" s="1612">
        <f>+IF(COLUMNS($L406:R406)&lt;month,'6. Market'!$AO$74/12,'6. Market'!$AP$74/12)</f>
        <v>16166.895965000002</v>
      </c>
      <c r="S406" s="1612">
        <f>+IF(COLUMNS($L406:S406)&lt;month,'6. Market'!$AO$74/12,'6. Market'!$AP$74/12)</f>
        <v>16166.895965000002</v>
      </c>
      <c r="T406" s="1612">
        <f>+IF(COLUMNS($L406:T406)&lt;month,'6. Market'!$AO$74/12,'6. Market'!$AP$74/12)</f>
        <v>16166.895965000002</v>
      </c>
      <c r="U406" s="1612">
        <f>+IF(COLUMNS($L406:U406)&lt;month,'6. Market'!$AO$74/12,'6. Market'!$AP$74/12)</f>
        <v>16166.895965000002</v>
      </c>
      <c r="V406" s="1612">
        <f>+IF(COLUMNS($L406:V406)&lt;month,'6. Market'!$AO$74/12,'6. Market'!$AP$74/12)</f>
        <v>16651.90284395</v>
      </c>
      <c r="W406" s="1612">
        <f>+IF(COLUMNS($L406:W406)&lt;month,'6. Market'!$AO$74/12,'6. Market'!$AP$74/12)</f>
        <v>16651.90284395</v>
      </c>
    </row>
    <row r="407" spans="1:26">
      <c r="A407" t="s">
        <v>2653</v>
      </c>
      <c r="B407" t="str">
        <f t="shared" si="20"/>
        <v>P10_11032_00494</v>
      </c>
      <c r="C407" t="str">
        <f t="shared" si="21"/>
        <v>LE_XXXX</v>
      </c>
      <c r="D407" t="s">
        <v>2886</v>
      </c>
      <c r="E407">
        <v>6051</v>
      </c>
      <c r="F407" t="s">
        <v>2888</v>
      </c>
      <c r="G407" t="s">
        <v>153</v>
      </c>
      <c r="H407" t="s">
        <v>154</v>
      </c>
      <c r="I407" t="s">
        <v>146</v>
      </c>
      <c r="J407" t="s">
        <v>147</v>
      </c>
      <c r="K407" t="str">
        <f>+"FY"&amp;RIGHT(YEAR('Hyperion Panel'!$B$9)+4,2)</f>
        <v>FY14</v>
      </c>
      <c r="L407" s="1612">
        <f>+IF(COLUMNS($L407:L407)&lt;month,'6. Market'!$AO$75/12,'6. Market'!$AP$75/12)</f>
        <v>20642.40896291663</v>
      </c>
      <c r="M407" s="1612">
        <f>+IF(COLUMNS($L407:M407)&lt;month,'6. Market'!$AO$75/12,'6. Market'!$AP$75/12)</f>
        <v>20642.40896291663</v>
      </c>
      <c r="N407" s="1612">
        <f>+IF(COLUMNS($L407:N407)&lt;month,'6. Market'!$AO$75/12,'6. Market'!$AP$75/12)</f>
        <v>20642.40896291663</v>
      </c>
      <c r="O407" s="1612">
        <f>+IF(COLUMNS($L407:O407)&lt;month,'6. Market'!$AO$75/12,'6. Market'!$AP$75/12)</f>
        <v>20642.40896291663</v>
      </c>
      <c r="P407" s="1612">
        <f>+IF(COLUMNS($L407:P407)&lt;month,'6. Market'!$AO$75/12,'6. Market'!$AP$75/12)</f>
        <v>20642.40896291663</v>
      </c>
      <c r="Q407" s="1612">
        <f>+IF(COLUMNS($L407:Q407)&lt;month,'6. Market'!$AO$75/12,'6. Market'!$AP$75/12)</f>
        <v>20642.40896291663</v>
      </c>
      <c r="R407" s="1612">
        <f>+IF(COLUMNS($L407:R407)&lt;month,'6. Market'!$AO$75/12,'6. Market'!$AP$75/12)</f>
        <v>20642.40896291663</v>
      </c>
      <c r="S407" s="1612">
        <f>+IF(COLUMNS($L407:S407)&lt;month,'6. Market'!$AO$75/12,'6. Market'!$AP$75/12)</f>
        <v>20642.40896291663</v>
      </c>
      <c r="T407" s="1612">
        <f>+IF(COLUMNS($L407:T407)&lt;month,'6. Market'!$AO$75/12,'6. Market'!$AP$75/12)</f>
        <v>20642.40896291663</v>
      </c>
      <c r="U407" s="1612">
        <f>+IF(COLUMNS($L407:U407)&lt;month,'6. Market'!$AO$75/12,'6. Market'!$AP$75/12)</f>
        <v>20642.40896291663</v>
      </c>
      <c r="V407" s="1612">
        <f>+IF(COLUMNS($L407:V407)&lt;month,'6. Market'!$AO$75/12,'6. Market'!$AP$75/12)</f>
        <v>21261.681231804134</v>
      </c>
      <c r="W407" s="1612">
        <f>+IF(COLUMNS($L407:W407)&lt;month,'6. Market'!$AO$75/12,'6. Market'!$AP$75/12)</f>
        <v>21261.681231804134</v>
      </c>
    </row>
    <row r="408" spans="1:26">
      <c r="A408" t="s">
        <v>2654</v>
      </c>
      <c r="B408" t="str">
        <f t="shared" si="20"/>
        <v>P10_11032_00494</v>
      </c>
      <c r="C408" t="str">
        <f t="shared" si="21"/>
        <v>LE_XXXX</v>
      </c>
      <c r="D408" t="s">
        <v>2886</v>
      </c>
      <c r="E408">
        <v>6011</v>
      </c>
      <c r="F408" t="s">
        <v>2888</v>
      </c>
      <c r="G408" t="s">
        <v>153</v>
      </c>
      <c r="H408" t="s">
        <v>154</v>
      </c>
      <c r="I408" t="s">
        <v>146</v>
      </c>
      <c r="J408" t="s">
        <v>147</v>
      </c>
      <c r="K408" t="str">
        <f>+"FY"&amp;RIGHT(YEAR('Hyperion Panel'!$B$9)+4,2)</f>
        <v>FY14</v>
      </c>
      <c r="L408" s="1612">
        <f>+IF(COLUMNS($L408:L408)&lt;month,'6. Market'!$AO$76/12,'6. Market'!$AP$76/12)</f>
        <v>0</v>
      </c>
      <c r="M408" s="1612">
        <f>+IF(COLUMNS($L408:M408)&lt;month,'6. Market'!$AO$76/12,'6. Market'!$AP$76/12)</f>
        <v>0</v>
      </c>
      <c r="N408" s="1612">
        <f>+IF(COLUMNS($L408:N408)&lt;month,'6. Market'!$AO$76/12,'6. Market'!$AP$76/12)</f>
        <v>0</v>
      </c>
      <c r="O408" s="1612">
        <f>+IF(COLUMNS($L408:O408)&lt;month,'6. Market'!$AO$76/12,'6. Market'!$AP$76/12)</f>
        <v>0</v>
      </c>
      <c r="P408" s="1612">
        <f>+IF(COLUMNS($L408:P408)&lt;month,'6. Market'!$AO$76/12,'6. Market'!$AP$76/12)</f>
        <v>0</v>
      </c>
      <c r="Q408" s="1612">
        <f>+IF(COLUMNS($L408:Q408)&lt;month,'6. Market'!$AO$76/12,'6. Market'!$AP$76/12)</f>
        <v>0</v>
      </c>
      <c r="R408" s="1612">
        <f>+IF(COLUMNS($L408:R408)&lt;month,'6. Market'!$AO$76/12,'6. Market'!$AP$76/12)</f>
        <v>0</v>
      </c>
      <c r="S408" s="1612">
        <f>+IF(COLUMNS($L408:S408)&lt;month,'6. Market'!$AO$76/12,'6. Market'!$AP$76/12)</f>
        <v>0</v>
      </c>
      <c r="T408" s="1612">
        <f>+IF(COLUMNS($L408:T408)&lt;month,'6. Market'!$AO$76/12,'6. Market'!$AP$76/12)</f>
        <v>0</v>
      </c>
      <c r="U408" s="1612">
        <f>+IF(COLUMNS($L408:U408)&lt;month,'6. Market'!$AO$76/12,'6. Market'!$AP$76/12)</f>
        <v>0</v>
      </c>
      <c r="V408" s="1612">
        <f>+IF(COLUMNS($L408:V408)&lt;month,'6. Market'!$AO$76/12,'6. Market'!$AP$76/12)</f>
        <v>0</v>
      </c>
      <c r="W408" s="1612">
        <f>+IF(COLUMNS($L408:W408)&lt;month,'6. Market'!$AO$76/12,'6. Market'!$AP$76/12)</f>
        <v>0</v>
      </c>
    </row>
    <row r="409" spans="1:26">
      <c r="A409" s="6" t="s">
        <v>3769</v>
      </c>
      <c r="B409" t="str">
        <f t="shared" si="20"/>
        <v>P10_11032_00494</v>
      </c>
      <c r="C409" t="str">
        <f t="shared" si="21"/>
        <v>LE_XXXX</v>
      </c>
      <c r="D409" t="s">
        <v>2886</v>
      </c>
      <c r="E409">
        <v>6600</v>
      </c>
      <c r="F409" t="s">
        <v>2888</v>
      </c>
      <c r="G409" t="s">
        <v>2889</v>
      </c>
      <c r="H409" t="s">
        <v>154</v>
      </c>
      <c r="I409" t="s">
        <v>146</v>
      </c>
      <c r="J409" t="s">
        <v>147</v>
      </c>
      <c r="K409" t="str">
        <f>+"FY"&amp;RIGHT(YEAR('Hyperion Panel'!$B$9)+4,2)</f>
        <v>FY14</v>
      </c>
      <c r="L409" s="1712">
        <f>+IF(COLUMNS($L409:L409)&lt;month,'2.3 Expenses'!$Q$47*SUM(L388:L389,L391:L392),'2.3 Expenses'!$R$47*SUM(L388:L389,L391:L392))</f>
        <v>56200.395080222406</v>
      </c>
      <c r="M409" s="1712">
        <f>+IF(COLUMNS($L409:M409)&lt;month,'2.3 Expenses'!$Q$47*SUM(M388:M389,M391:M392),'2.3 Expenses'!$R$47*SUM(M388:M389,M391:M392))</f>
        <v>56200.395080222406</v>
      </c>
      <c r="N409" s="1712">
        <f>+IF(COLUMNS($L409:N409)&lt;month,'2.3 Expenses'!$Q$47*SUM(N388:N389,N391:N392),'2.3 Expenses'!$R$47*SUM(N388:N389,N391:N392))</f>
        <v>56200.395080222406</v>
      </c>
      <c r="O409" s="1712">
        <f>+IF(COLUMNS($L409:O409)&lt;month,'2.3 Expenses'!$Q$47*SUM(O388:O389,O391:O392),'2.3 Expenses'!$R$47*SUM(O388:O389,O391:O392))</f>
        <v>56200.395080222406</v>
      </c>
      <c r="P409" s="1712">
        <f>+IF(COLUMNS($L409:P409)&lt;month,'2.3 Expenses'!$Q$47*SUM(P388:P389,P391:P392),'2.3 Expenses'!$R$47*SUM(P388:P389,P391:P392))</f>
        <v>56200.395080222406</v>
      </c>
      <c r="Q409" s="1712">
        <f>+IF(COLUMNS($L409:Q409)&lt;month,'2.3 Expenses'!$Q$47*SUM(Q388:Q389,Q391:Q392),'2.3 Expenses'!$R$47*SUM(Q388:Q389,Q391:Q392))</f>
        <v>56200.395080222406</v>
      </c>
      <c r="R409" s="1712">
        <f>+IF(COLUMNS($L409:R409)&lt;month,'2.3 Expenses'!$Q$47*SUM(R388:R389,R391:R392),'2.3 Expenses'!$R$47*SUM(R388:R389,R391:R392))</f>
        <v>56200.395080222406</v>
      </c>
      <c r="S409" s="1712">
        <f>+IF(COLUMNS($L409:S409)&lt;month,'2.3 Expenses'!$Q$47*SUM(S388:S389,S391:S392),'2.3 Expenses'!$R$47*SUM(S388:S389,S391:S392))</f>
        <v>56200.395080222406</v>
      </c>
      <c r="T409" s="1712">
        <f>+IF(COLUMNS($L409:T409)&lt;month,'2.3 Expenses'!$Q$47*SUM(T388:T389,T391:T392),'2.3 Expenses'!$R$47*SUM(T388:T389,T391:T392))</f>
        <v>56200.395080222406</v>
      </c>
      <c r="U409" s="1712">
        <f>+IF(COLUMNS($L409:U409)&lt;month,'2.3 Expenses'!$Q$47*SUM(U388:U389,U391:U392),'2.3 Expenses'!$R$47*SUM(U388:U389,U391:U392))</f>
        <v>56200.395080222406</v>
      </c>
      <c r="V409" s="1712">
        <f>+IF(COLUMNS($L409:V409)&lt;month,'2.3 Expenses'!$Q$47*SUM(V388:V389,V391:V392),'2.3 Expenses'!$R$47*SUM(V388:V389,V391:V392))</f>
        <v>57324.402981826854</v>
      </c>
      <c r="W409" s="1712">
        <f>+IF(COLUMNS($L409:W409)&lt;month,'2.3 Expenses'!$Q$47*SUM(W388:W389,W391:W392),'2.3 Expenses'!$R$47*SUM(W388:W389,W391:W392))</f>
        <v>57324.402981826854</v>
      </c>
    </row>
    <row r="410" spans="1:26">
      <c r="A410" s="6" t="s">
        <v>3770</v>
      </c>
      <c r="B410" t="str">
        <f t="shared" si="20"/>
        <v>P10_11032_00494</v>
      </c>
      <c r="C410" t="str">
        <f t="shared" si="21"/>
        <v>LE_XXXX</v>
      </c>
      <c r="D410" t="s">
        <v>2886</v>
      </c>
      <c r="E410">
        <v>6800</v>
      </c>
      <c r="F410" t="s">
        <v>156</v>
      </c>
      <c r="G410" t="s">
        <v>2889</v>
      </c>
      <c r="H410" t="s">
        <v>154</v>
      </c>
      <c r="I410" t="s">
        <v>146</v>
      </c>
      <c r="J410" t="s">
        <v>147</v>
      </c>
      <c r="K410" t="str">
        <f>+"FY"&amp;RIGHT(YEAR('Hyperion Panel'!$B$9)+4,2)</f>
        <v>FY14</v>
      </c>
      <c r="L410" s="1712">
        <f>+IF(COLUMNS($L410:L410)&lt;month,'2.3 Expenses'!$Q$50*SUM(L388:L389,L391:L392),'2.3 Expenses'!$R$50*SUM(L388:L389,L391:L392))</f>
        <v>21445.876090607595</v>
      </c>
      <c r="M410" s="1712">
        <f>+IF(COLUMNS($L410:M410)&lt;month,'2.3 Expenses'!$Q$50*SUM(M388:M389,M391:M392),'2.3 Expenses'!$R$50*SUM(M388:M389,M391:M392))</f>
        <v>21445.876090607595</v>
      </c>
      <c r="N410" s="1712">
        <f>+IF(COLUMNS($L410:N410)&lt;month,'2.3 Expenses'!$Q$50*SUM(N388:N389,N391:N392),'2.3 Expenses'!$R$50*SUM(N388:N389,N391:N392))</f>
        <v>21445.876090607595</v>
      </c>
      <c r="O410" s="1712">
        <f>+IF(COLUMNS($L410:O410)&lt;month,'2.3 Expenses'!$Q$50*SUM(O388:O389,O391:O392),'2.3 Expenses'!$R$50*SUM(O388:O389,O391:O392))</f>
        <v>21445.876090607595</v>
      </c>
      <c r="P410" s="1712">
        <f>+IF(COLUMNS($L410:P410)&lt;month,'2.3 Expenses'!$Q$50*SUM(P388:P389,P391:P392),'2.3 Expenses'!$R$50*SUM(P388:P389,P391:P392))</f>
        <v>21445.876090607595</v>
      </c>
      <c r="Q410" s="1712">
        <f>+IF(COLUMNS($L410:Q410)&lt;month,'2.3 Expenses'!$Q$50*SUM(Q388:Q389,Q391:Q392),'2.3 Expenses'!$R$50*SUM(Q388:Q389,Q391:Q392))</f>
        <v>21445.876090607595</v>
      </c>
      <c r="R410" s="1712">
        <f>+IF(COLUMNS($L410:R410)&lt;month,'2.3 Expenses'!$Q$50*SUM(R388:R389,R391:R392),'2.3 Expenses'!$R$50*SUM(R388:R389,R391:R392))</f>
        <v>21445.876090607595</v>
      </c>
      <c r="S410" s="1712">
        <f>+IF(COLUMNS($L410:S410)&lt;month,'2.3 Expenses'!$Q$50*SUM(S388:S389,S391:S392),'2.3 Expenses'!$R$50*SUM(S388:S389,S391:S392))</f>
        <v>21445.876090607595</v>
      </c>
      <c r="T410" s="1712">
        <f>+IF(COLUMNS($L410:T410)&lt;month,'2.3 Expenses'!$Q$50*SUM(T388:T389,T391:T392),'2.3 Expenses'!$R$50*SUM(T388:T389,T391:T392))</f>
        <v>21445.876090607595</v>
      </c>
      <c r="U410" s="1712">
        <f>+IF(COLUMNS($L410:U410)&lt;month,'2.3 Expenses'!$Q$50*SUM(U388:U389,U391:U392),'2.3 Expenses'!$R$50*SUM(U388:U389,U391:U392))</f>
        <v>21445.876090607595</v>
      </c>
      <c r="V410" s="1712">
        <f>+IF(COLUMNS($L410:V410)&lt;month,'2.3 Expenses'!$Q$50*SUM(V388:V389,V391:V392),'2.3 Expenses'!$R$50*SUM(V388:V389,V391:V392))</f>
        <v>22089.252373325824</v>
      </c>
      <c r="W410" s="1712">
        <f>+IF(COLUMNS($L410:W410)&lt;month,'2.3 Expenses'!$Q$50*SUM(W388:W389,W391:W392),'2.3 Expenses'!$R$50*SUM(W388:W389,W391:W392))</f>
        <v>22089.252373325824</v>
      </c>
    </row>
    <row r="411" spans="1:26">
      <c r="A411" t="s">
        <v>3697</v>
      </c>
      <c r="B411" t="str">
        <f t="shared" si="20"/>
        <v>P10_11032_00494</v>
      </c>
      <c r="C411" t="str">
        <f t="shared" si="21"/>
        <v>LE_XXXX</v>
      </c>
      <c r="D411" t="s">
        <v>2886</v>
      </c>
      <c r="E411">
        <v>8600</v>
      </c>
      <c r="F411" t="s">
        <v>156</v>
      </c>
      <c r="G411" t="s">
        <v>2889</v>
      </c>
      <c r="H411" t="s">
        <v>154</v>
      </c>
      <c r="I411" t="s">
        <v>146</v>
      </c>
      <c r="J411" t="s">
        <v>147</v>
      </c>
      <c r="K411" t="str">
        <f>+"FY"&amp;RIGHT(YEAR('Hyperion Panel'!$B$9)+4,2)</f>
        <v>FY14</v>
      </c>
      <c r="L411" s="1612">
        <f>+IF(COLUMNS($L411:L411)&lt;month,'6. Market'!$AO$78/12,'6. Market'!$AP$78/12)</f>
        <v>18002.666397730001</v>
      </c>
      <c r="M411" s="1612">
        <f>+IF(COLUMNS($L411:M411)&lt;month,'6. Market'!$AO$78/12,'6. Market'!$AP$78/12)</f>
        <v>18002.666397730001</v>
      </c>
      <c r="N411" s="1612">
        <f>+IF(COLUMNS($L411:N411)&lt;month,'6. Market'!$AO$78/12,'6. Market'!$AP$78/12)</f>
        <v>18002.666397730001</v>
      </c>
      <c r="O411" s="1612">
        <f>+IF(COLUMNS($L411:O411)&lt;month,'6. Market'!$AO$78/12,'6. Market'!$AP$78/12)</f>
        <v>18002.666397730001</v>
      </c>
      <c r="P411" s="1612">
        <f>+IF(COLUMNS($L411:P411)&lt;month,'6. Market'!$AO$78/12,'6. Market'!$AP$78/12)</f>
        <v>18002.666397730001</v>
      </c>
      <c r="Q411" s="1612">
        <f>+IF(COLUMNS($L411:Q411)&lt;month,'6. Market'!$AO$78/12,'6. Market'!$AP$78/12)</f>
        <v>18002.666397730001</v>
      </c>
      <c r="R411" s="1612">
        <f>+IF(COLUMNS($L411:R411)&lt;month,'6. Market'!$AO$78/12,'6. Market'!$AP$78/12)</f>
        <v>18002.666397730001</v>
      </c>
      <c r="S411" s="1612">
        <f>+IF(COLUMNS($L411:S411)&lt;month,'6. Market'!$AO$78/12,'6. Market'!$AP$78/12)</f>
        <v>18002.666397730001</v>
      </c>
      <c r="T411" s="1612">
        <f>+IF(COLUMNS($L411:T411)&lt;month,'6. Market'!$AO$78/12,'6. Market'!$AP$78/12)</f>
        <v>18002.666397730001</v>
      </c>
      <c r="U411" s="1612">
        <f>+IF(COLUMNS($L411:U411)&lt;month,'6. Market'!$AO$78/12,'6. Market'!$AP$78/12)</f>
        <v>18002.666397730001</v>
      </c>
      <c r="V411" s="1612">
        <f>+IF(COLUMNS($L411:V411)&lt;month,'6. Market'!$AO$78/12,'6. Market'!$AP$78/12)</f>
        <v>18542.746389661901</v>
      </c>
      <c r="W411" s="1612">
        <f>+IF(COLUMNS($L411:W411)&lt;month,'6. Market'!$AO$78/12,'6. Market'!$AP$78/12)</f>
        <v>18542.746389661901</v>
      </c>
    </row>
    <row r="412" spans="1:26">
      <c r="A412" t="s">
        <v>157</v>
      </c>
      <c r="B412" t="str">
        <f t="shared" si="20"/>
        <v>P10_11032_00494</v>
      </c>
      <c r="C412" t="str">
        <f t="shared" si="21"/>
        <v>LE_XXXX</v>
      </c>
      <c r="D412" t="s">
        <v>2886</v>
      </c>
      <c r="E412">
        <v>6720</v>
      </c>
      <c r="F412" t="s">
        <v>156</v>
      </c>
      <c r="G412" t="s">
        <v>2889</v>
      </c>
      <c r="H412" t="s">
        <v>154</v>
      </c>
      <c r="I412" t="s">
        <v>146</v>
      </c>
      <c r="J412" t="s">
        <v>147</v>
      </c>
      <c r="K412" t="str">
        <f>+"FY"&amp;RIGHT(YEAR('Hyperion Panel'!$B$9)+4,2)</f>
        <v>FY14</v>
      </c>
      <c r="L412" s="1612">
        <f>+IF(COLUMNS($L412:L412)&lt;month,'6. Market'!$AO$79/12,'6. Market'!$AP$79/12)</f>
        <v>15833.32</v>
      </c>
      <c r="M412" s="1612">
        <f>+IF(COLUMNS($L412:M412)&lt;month,'6. Market'!$AO$79/12,'6. Market'!$AP$79/12)</f>
        <v>15833.32</v>
      </c>
      <c r="N412" s="1612">
        <f>+IF(COLUMNS($L412:N412)&lt;month,'6. Market'!$AO$79/12,'6. Market'!$AP$79/12)</f>
        <v>15833.32</v>
      </c>
      <c r="O412" s="1612">
        <f>+IF(COLUMNS($L412:O412)&lt;month,'6. Market'!$AO$79/12,'6. Market'!$AP$79/12)</f>
        <v>15833.32</v>
      </c>
      <c r="P412" s="1612">
        <f>+IF(COLUMNS($L412:P412)&lt;month,'6. Market'!$AO$79/12,'6. Market'!$AP$79/12)</f>
        <v>15833.32</v>
      </c>
      <c r="Q412" s="1612">
        <f>+IF(COLUMNS($L412:Q412)&lt;month,'6. Market'!$AO$79/12,'6. Market'!$AP$79/12)</f>
        <v>15833.32</v>
      </c>
      <c r="R412" s="1612">
        <f>+IF(COLUMNS($L412:R412)&lt;month,'6. Market'!$AO$79/12,'6. Market'!$AP$79/12)</f>
        <v>15833.32</v>
      </c>
      <c r="S412" s="1612">
        <f>+IF(COLUMNS($L412:S412)&lt;month,'6. Market'!$AO$79/12,'6. Market'!$AP$79/12)</f>
        <v>15833.32</v>
      </c>
      <c r="T412" s="1612">
        <f>+IF(COLUMNS($L412:T412)&lt;month,'6. Market'!$AO$79/12,'6. Market'!$AP$79/12)</f>
        <v>15833.32</v>
      </c>
      <c r="U412" s="1612">
        <f>+IF(COLUMNS($L412:U412)&lt;month,'6. Market'!$AO$79/12,'6. Market'!$AP$79/12)</f>
        <v>15833.32</v>
      </c>
      <c r="V412" s="1612">
        <f>+IF(COLUMNS($L412:V412)&lt;month,'6. Market'!$AO$79/12,'6. Market'!$AP$79/12)</f>
        <v>15833.32</v>
      </c>
      <c r="W412" s="1612">
        <f>+IF(COLUMNS($L412:W412)&lt;month,'6. Market'!$AO$79/12,'6. Market'!$AP$79/12)</f>
        <v>15833.32</v>
      </c>
    </row>
    <row r="413" spans="1:26">
      <c r="A413" t="s">
        <v>3771</v>
      </c>
      <c r="B413" t="str">
        <f t="shared" si="20"/>
        <v>P10_11032_00494</v>
      </c>
      <c r="C413" t="str">
        <f t="shared" si="21"/>
        <v>LE_XXXX</v>
      </c>
      <c r="D413" t="s">
        <v>2886</v>
      </c>
      <c r="E413">
        <v>8110</v>
      </c>
      <c r="F413" t="s">
        <v>156</v>
      </c>
      <c r="G413" t="s">
        <v>2889</v>
      </c>
      <c r="H413" t="s">
        <v>154</v>
      </c>
      <c r="I413" t="s">
        <v>146</v>
      </c>
      <c r="J413" t="s">
        <v>147</v>
      </c>
      <c r="K413" t="str">
        <f>+"FY"&amp;RIGHT(YEAR('Hyperion Panel'!$B$9)+4,2)</f>
        <v>FY14</v>
      </c>
      <c r="L413" s="1612">
        <f>+IF(COLUMNS($L413:L413)&lt;month,'6. Market'!$AO$82/12,'6. Market'!$AP$82/12)</f>
        <v>1141.577360535</v>
      </c>
      <c r="M413" s="1612">
        <f>+IF(COLUMNS($L413:M413)&lt;month,'6. Market'!$AO$82/12,'6. Market'!$AP$82/12)</f>
        <v>1141.577360535</v>
      </c>
      <c r="N413" s="1612">
        <f>+IF(COLUMNS($L413:N413)&lt;month,'6. Market'!$AO$82/12,'6. Market'!$AP$82/12)</f>
        <v>1141.577360535</v>
      </c>
      <c r="O413" s="1612">
        <f>+IF(COLUMNS($L413:O413)&lt;month,'6. Market'!$AO$82/12,'6. Market'!$AP$82/12)</f>
        <v>1141.577360535</v>
      </c>
      <c r="P413" s="1612">
        <f>+IF(COLUMNS($L413:P413)&lt;month,'6. Market'!$AO$82/12,'6. Market'!$AP$82/12)</f>
        <v>1141.577360535</v>
      </c>
      <c r="Q413" s="1612">
        <f>+IF(COLUMNS($L413:Q413)&lt;month,'6. Market'!$AO$82/12,'6. Market'!$AP$82/12)</f>
        <v>1141.577360535</v>
      </c>
      <c r="R413" s="1612">
        <f>+IF(COLUMNS($L413:R413)&lt;month,'6. Market'!$AO$82/12,'6. Market'!$AP$82/12)</f>
        <v>1141.577360535</v>
      </c>
      <c r="S413" s="1612">
        <f>+IF(COLUMNS($L413:S413)&lt;month,'6. Market'!$AO$82/12,'6. Market'!$AP$82/12)</f>
        <v>1141.577360535</v>
      </c>
      <c r="T413" s="1612">
        <f>+IF(COLUMNS($L413:T413)&lt;month,'6. Market'!$AO$82/12,'6. Market'!$AP$82/12)</f>
        <v>1141.577360535</v>
      </c>
      <c r="U413" s="1612">
        <f>+IF(COLUMNS($L413:U413)&lt;month,'6. Market'!$AO$82/12,'6. Market'!$AP$82/12)</f>
        <v>1141.577360535</v>
      </c>
      <c r="V413" s="1612">
        <f>+IF(COLUMNS($L413:V413)&lt;month,'6. Market'!$AO$82/12,'6. Market'!$AP$82/12)</f>
        <v>1175.82468135105</v>
      </c>
      <c r="W413" s="1612">
        <f>+IF(COLUMNS($L413:W413)&lt;month,'6. Market'!$AO$82/12,'6. Market'!$AP$82/12)</f>
        <v>1175.82468135105</v>
      </c>
    </row>
    <row r="414" spans="1:26">
      <c r="A414" s="102" t="s">
        <v>171</v>
      </c>
      <c r="B414" t="str">
        <f t="shared" si="20"/>
        <v>P10_11032_00494</v>
      </c>
      <c r="C414" t="str">
        <f t="shared" si="21"/>
        <v>LE_XXXX</v>
      </c>
      <c r="D414" t="s">
        <v>2713</v>
      </c>
      <c r="E414">
        <v>8111</v>
      </c>
      <c r="F414" t="s">
        <v>2714</v>
      </c>
      <c r="G414" t="s">
        <v>2715</v>
      </c>
      <c r="H414" t="s">
        <v>145</v>
      </c>
      <c r="I414" t="s">
        <v>146</v>
      </c>
      <c r="J414" t="s">
        <v>147</v>
      </c>
      <c r="K414" t="str">
        <f>+"FY"&amp;RIGHT(YEAR('Hyperion Panel'!$B$9)+4,2)</f>
        <v>FY14</v>
      </c>
      <c r="L414" s="1712">
        <f>+IF(COLUMNS($L378:L378)&lt;month,'2.3 Expenses'!$Q$57*SUM(L388:L389,L391:L392),'2.3 Expenses'!$R$57*SUM(L388:L389,L391:L392))</f>
        <v>20286.44900537013</v>
      </c>
      <c r="M414" s="1712">
        <f>+IF(COLUMNS($L378:M378)&lt;month,'2.3 Expenses'!$Q$57*SUM(M388:M389,M391:M392),'2.3 Expenses'!$R$57*SUM(M388:M389,M391:M392))</f>
        <v>20286.44900537013</v>
      </c>
      <c r="N414" s="1712">
        <f>+IF(COLUMNS($L378:N378)&lt;month,'2.3 Expenses'!$Q$57*SUM(N388:N389,N391:N392),'2.3 Expenses'!$R$57*SUM(N388:N389,N391:N392))</f>
        <v>20286.44900537013</v>
      </c>
      <c r="O414" s="1712">
        <f>+IF(COLUMNS($L378:O378)&lt;month,'2.3 Expenses'!$Q$57*SUM(O388:O389,O391:O392),'2.3 Expenses'!$R$57*SUM(O388:O389,O391:O392))</f>
        <v>20286.44900537013</v>
      </c>
      <c r="P414" s="1712">
        <f>+IF(COLUMNS($L378:P378)&lt;month,'2.3 Expenses'!$Q$57*SUM(P388:P389,P391:P392),'2.3 Expenses'!$R$57*SUM(P388:P389,P391:P392))</f>
        <v>20286.44900537013</v>
      </c>
      <c r="Q414" s="1712">
        <f>+IF(COLUMNS($L378:Q378)&lt;month,'2.3 Expenses'!$Q$57*SUM(Q388:Q389,Q391:Q392),'2.3 Expenses'!$R$57*SUM(Q388:Q389,Q391:Q392))</f>
        <v>20286.44900537013</v>
      </c>
      <c r="R414" s="1712">
        <f>+IF(COLUMNS($L378:R378)&lt;month,'2.3 Expenses'!$Q$57*SUM(R388:R389,R391:R392),'2.3 Expenses'!$R$57*SUM(R388:R389,R391:R392))</f>
        <v>20286.44900537013</v>
      </c>
      <c r="S414" s="1712">
        <f>+IF(COLUMNS($L378:S378)&lt;month,'2.3 Expenses'!$Q$57*SUM(S388:S389,S391:S392),'2.3 Expenses'!$R$57*SUM(S388:S389,S391:S392))</f>
        <v>20286.44900537013</v>
      </c>
      <c r="T414" s="1712">
        <f>+IF(COLUMNS($L378:T378)&lt;month,'2.3 Expenses'!$Q$57*SUM(T388:T389,T391:T392),'2.3 Expenses'!$R$57*SUM(T388:T389,T391:T392))</f>
        <v>20286.44900537013</v>
      </c>
      <c r="U414" s="1712">
        <f>+IF(COLUMNS($L378:U378)&lt;month,'2.3 Expenses'!$Q$57*SUM(U388:U389,U391:U392),'2.3 Expenses'!$R$57*SUM(U388:U389,U391:U392))</f>
        <v>20286.44900537013</v>
      </c>
      <c r="V414" s="1712">
        <f>+IF(COLUMNS($L378:V378)&lt;month,'2.3 Expenses'!$Q$57*SUM(V388:V389,V391:V392),'2.3 Expenses'!$R$57*SUM(V388:V389,V391:V392))</f>
        <v>20895.042475531234</v>
      </c>
      <c r="W414" s="1712">
        <f>+IF(COLUMNS($L378:W378)&lt;month,'2.3 Expenses'!$Q$57*SUM(W388:W389,W391:W392),'2.3 Expenses'!$R$57*SUM(W388:W389,W391:W392))</f>
        <v>20895.042475531234</v>
      </c>
    </row>
    <row r="415" spans="1:26" s="3" customFormat="1">
      <c r="A415" s="1687" t="s">
        <v>730</v>
      </c>
      <c r="B415" t="str">
        <f t="shared" si="20"/>
        <v>P10_11032_00494</v>
      </c>
      <c r="C415" t="str">
        <f t="shared" si="21"/>
        <v>LE_XXXX</v>
      </c>
      <c r="D415" t="s">
        <v>2716</v>
      </c>
      <c r="E415">
        <v>8112</v>
      </c>
      <c r="F415" t="s">
        <v>2717</v>
      </c>
      <c r="G415" t="s">
        <v>2718</v>
      </c>
      <c r="H415" t="s">
        <v>2719</v>
      </c>
      <c r="I415" t="s">
        <v>146</v>
      </c>
      <c r="J415" t="s">
        <v>147</v>
      </c>
      <c r="K415" t="str">
        <f>+"FY"&amp;RIGHT(YEAR('Hyperion Panel'!$B$9)+4,2)</f>
        <v>FY14</v>
      </c>
      <c r="L415" s="1704">
        <f>+IF(COLUMNS($L415:L415)&lt;month,'6. Market'!$AO$88/12,'6. Market'!$AP$88/12)</f>
        <v>910.60583333333341</v>
      </c>
      <c r="M415" s="1704">
        <f>+IF(COLUMNS($L415:M415)&lt;month,'6. Market'!$AO$88/12,'6. Market'!$AP$88/12)</f>
        <v>910.60583333333341</v>
      </c>
      <c r="N415" s="1704">
        <f>+IF(COLUMNS($L415:N415)&lt;month,'6. Market'!$AO$88/12,'6. Market'!$AP$88/12)</f>
        <v>910.60583333333341</v>
      </c>
      <c r="O415" s="1704">
        <f>+IF(COLUMNS($L415:O415)&lt;month,'6. Market'!$AO$88/12,'6. Market'!$AP$88/12)</f>
        <v>910.60583333333341</v>
      </c>
      <c r="P415" s="1704">
        <f>+IF(COLUMNS($L415:P415)&lt;month,'6. Market'!$AO$88/12,'6. Market'!$AP$88/12)</f>
        <v>910.60583333333341</v>
      </c>
      <c r="Q415" s="1704">
        <f>+IF(COLUMNS($L415:Q415)&lt;month,'6. Market'!$AO$88/12,'6. Market'!$AP$88/12)</f>
        <v>910.60583333333341</v>
      </c>
      <c r="R415" s="1704">
        <f>+IF(COLUMNS($L415:R415)&lt;month,'6. Market'!$AO$88/12,'6. Market'!$AP$88/12)</f>
        <v>910.60583333333341</v>
      </c>
      <c r="S415" s="1704">
        <f>+IF(COLUMNS($L415:S415)&lt;month,'6. Market'!$AO$88/12,'6. Market'!$AP$88/12)</f>
        <v>910.60583333333341</v>
      </c>
      <c r="T415" s="1704">
        <f>+IF(COLUMNS($L415:T415)&lt;month,'6. Market'!$AO$88/12,'6. Market'!$AP$88/12)</f>
        <v>910.60583333333341</v>
      </c>
      <c r="U415" s="1704">
        <f>+IF(COLUMNS($L415:U415)&lt;month,'6. Market'!$AO$88/12,'6. Market'!$AP$88/12)</f>
        <v>910.60583333333341</v>
      </c>
      <c r="V415" s="1704">
        <f>+IF(COLUMNS($L415:V415)&lt;month,'6. Market'!$AO$88/12,'6. Market'!$AP$88/12)</f>
        <v>937.9240083333334</v>
      </c>
      <c r="W415" s="1704">
        <f>+IF(COLUMNS($L415:W415)&lt;month,'6. Market'!$AO$88/12,'6. Market'!$AP$88/12)</f>
        <v>937.9240083333334</v>
      </c>
    </row>
    <row r="416" spans="1:26" s="3" customFormat="1">
      <c r="A416" s="1687" t="s">
        <v>732</v>
      </c>
      <c r="B416" t="str">
        <f t="shared" si="20"/>
        <v>P10_11032_00494</v>
      </c>
      <c r="C416" t="str">
        <f t="shared" si="21"/>
        <v>LE_XXXX</v>
      </c>
      <c r="D416" t="s">
        <v>2720</v>
      </c>
      <c r="E416">
        <v>8113</v>
      </c>
      <c r="F416" t="s">
        <v>2721</v>
      </c>
      <c r="G416" t="s">
        <v>2722</v>
      </c>
      <c r="H416" t="s">
        <v>2723</v>
      </c>
      <c r="I416" t="s">
        <v>146</v>
      </c>
      <c r="J416" t="s">
        <v>147</v>
      </c>
      <c r="K416" t="str">
        <f>+"FY"&amp;RIGHT(YEAR('Hyperion Panel'!$B$9)+4,2)</f>
        <v>FY14</v>
      </c>
      <c r="L416" s="1704">
        <f>+IF(COLUMNS($L416:L416)&lt;month,'6. Market'!$AO$89/12,'6. Market'!$AP$89/12)</f>
        <v>0</v>
      </c>
      <c r="M416" s="1704">
        <f>+IF(COLUMNS($L416:M416)&lt;month,'6. Market'!$AO$89/12,'6. Market'!$AP$89/12)</f>
        <v>0</v>
      </c>
      <c r="N416" s="1704">
        <f>+IF(COLUMNS($L416:N416)&lt;month,'6. Market'!$AO$89/12,'6. Market'!$AP$89/12)</f>
        <v>0</v>
      </c>
      <c r="O416" s="1704">
        <f>+IF(COLUMNS($L416:O416)&lt;month,'6. Market'!$AO$89/12,'6. Market'!$AP$89/12)</f>
        <v>0</v>
      </c>
      <c r="P416" s="1704">
        <f>+IF(COLUMNS($L416:P416)&lt;month,'6. Market'!$AO$89/12,'6. Market'!$AP$89/12)</f>
        <v>0</v>
      </c>
      <c r="Q416" s="1704">
        <f>+IF(COLUMNS($L416:Q416)&lt;month,'6. Market'!$AO$89/12,'6. Market'!$AP$89/12)</f>
        <v>0</v>
      </c>
      <c r="R416" s="1704">
        <f>+IF(COLUMNS($L416:R416)&lt;month,'6. Market'!$AO$89/12,'6. Market'!$AP$89/12)</f>
        <v>0</v>
      </c>
      <c r="S416" s="1704">
        <f>+IF(COLUMNS($L416:S416)&lt;month,'6. Market'!$AO$89/12,'6. Market'!$AP$89/12)</f>
        <v>0</v>
      </c>
      <c r="T416" s="1704">
        <f>+IF(COLUMNS($L416:T416)&lt;month,'6. Market'!$AO$89/12,'6. Market'!$AP$89/12)</f>
        <v>0</v>
      </c>
      <c r="U416" s="1704">
        <f>+IF(COLUMNS($L416:U416)&lt;month,'6. Market'!$AO$89/12,'6. Market'!$AP$89/12)</f>
        <v>0</v>
      </c>
      <c r="V416" s="1704">
        <f>+IF(COLUMNS($L416:V416)&lt;month,'6. Market'!$AO$89/12,'6. Market'!$AP$89/12)</f>
        <v>0</v>
      </c>
      <c r="W416" s="1704">
        <f>+IF(COLUMNS($L416:W416)&lt;month,'6. Market'!$AO$89/12,'6. Market'!$AP$89/12)</f>
        <v>0</v>
      </c>
    </row>
    <row r="417" spans="1:26" s="3" customFormat="1">
      <c r="A417" s="1687" t="s">
        <v>733</v>
      </c>
      <c r="B417" t="str">
        <f t="shared" si="20"/>
        <v>P10_11032_00494</v>
      </c>
      <c r="C417" t="str">
        <f t="shared" si="21"/>
        <v>LE_XXXX</v>
      </c>
      <c r="D417" t="s">
        <v>2724</v>
      </c>
      <c r="E417">
        <v>8114</v>
      </c>
      <c r="F417" t="s">
        <v>2725</v>
      </c>
      <c r="G417" t="s">
        <v>2726</v>
      </c>
      <c r="H417" t="s">
        <v>2727</v>
      </c>
      <c r="I417" t="s">
        <v>146</v>
      </c>
      <c r="J417" t="s">
        <v>147</v>
      </c>
      <c r="K417" t="str">
        <f>+"FY"&amp;RIGHT(YEAR('Hyperion Panel'!$B$9)+4,2)</f>
        <v>FY14</v>
      </c>
      <c r="L417" s="1704">
        <f>+IF(COLUMNS($L417:L417)&lt;month,'6. Market'!$AO$90/12,'6. Market'!$AP$90/12)</f>
        <v>10230.045119999999</v>
      </c>
      <c r="M417" s="1704">
        <f>+IF(COLUMNS($L417:M417)&lt;month,'6. Market'!$AO$90/12,'6. Market'!$AP$90/12)</f>
        <v>10230.045119999999</v>
      </c>
      <c r="N417" s="1704">
        <f>+IF(COLUMNS($L417:N417)&lt;month,'6. Market'!$AO$90/12,'6. Market'!$AP$90/12)</f>
        <v>10230.045119999999</v>
      </c>
      <c r="O417" s="1704">
        <f>+IF(COLUMNS($L417:O417)&lt;month,'6. Market'!$AO$90/12,'6. Market'!$AP$90/12)</f>
        <v>10230.045119999999</v>
      </c>
      <c r="P417" s="1704">
        <f>+IF(COLUMNS($L417:P417)&lt;month,'6. Market'!$AO$90/12,'6. Market'!$AP$90/12)</f>
        <v>10230.045119999999</v>
      </c>
      <c r="Q417" s="1704">
        <f>+IF(COLUMNS($L417:Q417)&lt;month,'6. Market'!$AO$90/12,'6. Market'!$AP$90/12)</f>
        <v>10230.045119999999</v>
      </c>
      <c r="R417" s="1704">
        <f>+IF(COLUMNS($L417:R417)&lt;month,'6. Market'!$AO$90/12,'6. Market'!$AP$90/12)</f>
        <v>10230.045119999999</v>
      </c>
      <c r="S417" s="1704">
        <f>+IF(COLUMNS($L417:S417)&lt;month,'6. Market'!$AO$90/12,'6. Market'!$AP$90/12)</f>
        <v>10230.045119999999</v>
      </c>
      <c r="T417" s="1704">
        <f>+IF(COLUMNS($L417:T417)&lt;month,'6. Market'!$AO$90/12,'6. Market'!$AP$90/12)</f>
        <v>10230.045119999999</v>
      </c>
      <c r="U417" s="1704">
        <f>+IF(COLUMNS($L417:U417)&lt;month,'6. Market'!$AO$90/12,'6. Market'!$AP$90/12)</f>
        <v>10230.045119999999</v>
      </c>
      <c r="V417" s="1704">
        <f>+IF(COLUMNS($L417:V417)&lt;month,'6. Market'!$AO$90/12,'6. Market'!$AP$90/12)</f>
        <v>10434.6460224</v>
      </c>
      <c r="W417" s="1704">
        <f>+IF(COLUMNS($L417:W417)&lt;month,'6. Market'!$AO$90/12,'6. Market'!$AP$90/12)</f>
        <v>10434.6460224</v>
      </c>
    </row>
    <row r="418" spans="1:26" s="3" customFormat="1">
      <c r="A418" s="1687" t="s">
        <v>734</v>
      </c>
      <c r="B418" t="str">
        <f t="shared" si="20"/>
        <v>P10_11032_00494</v>
      </c>
      <c r="C418" t="str">
        <f t="shared" si="21"/>
        <v>LE_XXXX</v>
      </c>
      <c r="D418" t="s">
        <v>2728</v>
      </c>
      <c r="E418">
        <v>8115</v>
      </c>
      <c r="F418" t="s">
        <v>2729</v>
      </c>
      <c r="G418" t="s">
        <v>2730</v>
      </c>
      <c r="H418" t="s">
        <v>2731</v>
      </c>
      <c r="I418" t="s">
        <v>146</v>
      </c>
      <c r="J418" t="s">
        <v>147</v>
      </c>
      <c r="K418" t="str">
        <f>+"FY"&amp;RIGHT(YEAR('Hyperion Panel'!$B$9)+4,2)</f>
        <v>FY14</v>
      </c>
      <c r="L418" s="1704">
        <f>+IF(COLUMNS($L418:L418)&lt;month,'6. Market'!$AO$91/12,'6. Market'!$AP$91/12)</f>
        <v>1912.27225</v>
      </c>
      <c r="M418" s="1704">
        <f>+IF(COLUMNS($L418:M418)&lt;month,'6. Market'!$AO$91/12,'6. Market'!$AP$91/12)</f>
        <v>1912.27225</v>
      </c>
      <c r="N418" s="1704">
        <f>+IF(COLUMNS($L418:N418)&lt;month,'6. Market'!$AO$91/12,'6. Market'!$AP$91/12)</f>
        <v>1912.27225</v>
      </c>
      <c r="O418" s="1704">
        <f>+IF(COLUMNS($L418:O418)&lt;month,'6. Market'!$AO$91/12,'6. Market'!$AP$91/12)</f>
        <v>1912.27225</v>
      </c>
      <c r="P418" s="1704">
        <f>+IF(COLUMNS($L418:P418)&lt;month,'6. Market'!$AO$91/12,'6. Market'!$AP$91/12)</f>
        <v>1912.27225</v>
      </c>
      <c r="Q418" s="1704">
        <f>+IF(COLUMNS($L418:Q418)&lt;month,'6. Market'!$AO$91/12,'6. Market'!$AP$91/12)</f>
        <v>1912.27225</v>
      </c>
      <c r="R418" s="1704">
        <f>+IF(COLUMNS($L418:R418)&lt;month,'6. Market'!$AO$91/12,'6. Market'!$AP$91/12)</f>
        <v>1912.27225</v>
      </c>
      <c r="S418" s="1704">
        <f>+IF(COLUMNS($L418:S418)&lt;month,'6. Market'!$AO$91/12,'6. Market'!$AP$91/12)</f>
        <v>1912.27225</v>
      </c>
      <c r="T418" s="1704">
        <f>+IF(COLUMNS($L418:T418)&lt;month,'6. Market'!$AO$91/12,'6. Market'!$AP$91/12)</f>
        <v>1912.27225</v>
      </c>
      <c r="U418" s="1704">
        <f>+IF(COLUMNS($L418:U418)&lt;month,'6. Market'!$AO$91/12,'6. Market'!$AP$91/12)</f>
        <v>1912.27225</v>
      </c>
      <c r="V418" s="1704">
        <f>+IF(COLUMNS($L418:V418)&lt;month,'6. Market'!$AO$91/12,'6. Market'!$AP$91/12)</f>
        <v>1969.6404175</v>
      </c>
      <c r="W418" s="1704">
        <f>+IF(COLUMNS($L418:W418)&lt;month,'6. Market'!$AO$91/12,'6. Market'!$AP$91/12)</f>
        <v>1969.6404175</v>
      </c>
    </row>
    <row r="419" spans="1:26">
      <c r="A419" t="s">
        <v>158</v>
      </c>
      <c r="B419" t="str">
        <f t="shared" si="20"/>
        <v>P10_11032_00494</v>
      </c>
      <c r="C419" t="str">
        <f t="shared" si="21"/>
        <v>LE_XXXX</v>
      </c>
      <c r="D419" t="s">
        <v>2732</v>
      </c>
      <c r="E419">
        <v>8116</v>
      </c>
      <c r="F419" t="s">
        <v>2733</v>
      </c>
      <c r="G419" t="s">
        <v>2734</v>
      </c>
      <c r="H419" t="s">
        <v>2735</v>
      </c>
      <c r="I419" t="s">
        <v>146</v>
      </c>
      <c r="J419" t="s">
        <v>147</v>
      </c>
      <c r="K419" t="str">
        <f>+"FY"&amp;RIGHT(YEAR('Hyperion Panel'!$B$9)+4,2)</f>
        <v>FY14</v>
      </c>
      <c r="L419" s="103">
        <f>'Hyperion Panel'!$C$7</f>
        <v>1</v>
      </c>
      <c r="M419" s="103">
        <f>'Hyperion Panel'!$C$7</f>
        <v>1</v>
      </c>
      <c r="N419" s="103">
        <f>'Hyperion Panel'!$C$7</f>
        <v>1</v>
      </c>
      <c r="O419" s="103">
        <f>'Hyperion Panel'!$C$7</f>
        <v>1</v>
      </c>
      <c r="P419" s="103">
        <f>'Hyperion Panel'!$C$7</f>
        <v>1</v>
      </c>
      <c r="Q419" s="103">
        <f>'Hyperion Panel'!$C$7</f>
        <v>1</v>
      </c>
      <c r="R419" s="103">
        <f>'Hyperion Panel'!$C$7</f>
        <v>1</v>
      </c>
      <c r="S419" s="103">
        <f>'Hyperion Panel'!$C$7</f>
        <v>1</v>
      </c>
      <c r="T419" s="103">
        <f>'Hyperion Panel'!$C$7</f>
        <v>1</v>
      </c>
      <c r="U419" s="103">
        <f>'Hyperion Panel'!$C$7</f>
        <v>1</v>
      </c>
      <c r="V419" s="1694">
        <f>'Hyperion Panel'!$C$7</f>
        <v>1</v>
      </c>
      <c r="W419" s="103">
        <f>'Hyperion Panel'!$C$7</f>
        <v>1</v>
      </c>
    </row>
    <row r="420" spans="1:26">
      <c r="A420" t="s">
        <v>160</v>
      </c>
      <c r="B420" t="str">
        <f t="shared" si="20"/>
        <v>P10_11032_00494</v>
      </c>
      <c r="C420" t="str">
        <f t="shared" si="21"/>
        <v>LE_XXXX</v>
      </c>
      <c r="D420" t="s">
        <v>2736</v>
      </c>
      <c r="E420">
        <v>8117</v>
      </c>
      <c r="F420" t="s">
        <v>2737</v>
      </c>
      <c r="G420" t="s">
        <v>2738</v>
      </c>
      <c r="H420" t="s">
        <v>2739</v>
      </c>
      <c r="I420" t="s">
        <v>146</v>
      </c>
      <c r="J420" t="s">
        <v>147</v>
      </c>
      <c r="K420" t="str">
        <f>+"FY"&amp;RIGHT(YEAR('Hyperion Panel'!$B$9)+4,2)</f>
        <v>FY14</v>
      </c>
      <c r="L420" s="1705">
        <v>0</v>
      </c>
      <c r="M420" s="1705">
        <v>0</v>
      </c>
      <c r="N420" s="1705">
        <v>0</v>
      </c>
      <c r="O420" s="1705">
        <v>0</v>
      </c>
      <c r="P420" s="1705">
        <v>0</v>
      </c>
      <c r="Q420" s="1705">
        <v>0</v>
      </c>
      <c r="R420" s="1705">
        <v>0</v>
      </c>
      <c r="S420" s="1705">
        <v>0</v>
      </c>
      <c r="T420" s="1705">
        <v>0</v>
      </c>
      <c r="U420" s="1705">
        <v>0</v>
      </c>
      <c r="V420" s="1705">
        <v>0</v>
      </c>
      <c r="W420" s="1705">
        <v>0</v>
      </c>
    </row>
    <row r="421" spans="1:26" s="3" customFormat="1">
      <c r="A421" s="1687" t="s">
        <v>735</v>
      </c>
      <c r="B421" t="str">
        <f t="shared" si="20"/>
        <v>P10_11032_00494</v>
      </c>
      <c r="C421" t="str">
        <f t="shared" si="21"/>
        <v>LE_XXXX</v>
      </c>
      <c r="D421" t="s">
        <v>2740</v>
      </c>
      <c r="E421">
        <v>8118</v>
      </c>
      <c r="F421" t="s">
        <v>2741</v>
      </c>
      <c r="G421" t="s">
        <v>2742</v>
      </c>
      <c r="H421" t="s">
        <v>2743</v>
      </c>
      <c r="I421" t="s">
        <v>146</v>
      </c>
      <c r="J421" t="s">
        <v>147</v>
      </c>
      <c r="K421" t="str">
        <f>+"FY"&amp;RIGHT(YEAR('Hyperion Panel'!$B$9)+4,2)</f>
        <v>FY14</v>
      </c>
      <c r="L421" s="1705">
        <v>0</v>
      </c>
      <c r="M421" s="1705">
        <v>0</v>
      </c>
      <c r="N421" s="1705">
        <v>0</v>
      </c>
      <c r="O421" s="1705">
        <v>0</v>
      </c>
      <c r="P421" s="1705">
        <v>0</v>
      </c>
      <c r="Q421" s="1705">
        <v>0</v>
      </c>
      <c r="R421" s="1705">
        <v>0</v>
      </c>
      <c r="S421" s="1705">
        <v>0</v>
      </c>
      <c r="T421" s="1705">
        <v>0</v>
      </c>
      <c r="U421" s="1705">
        <v>0</v>
      </c>
      <c r="V421" s="1705">
        <v>0</v>
      </c>
      <c r="W421" s="1705">
        <v>0</v>
      </c>
      <c r="Y421" s="1688"/>
    </row>
    <row r="422" spans="1:26">
      <c r="L422" s="1705"/>
      <c r="M422" s="1705"/>
      <c r="N422" s="1705"/>
      <c r="O422" s="1705"/>
      <c r="P422" s="1705"/>
      <c r="Q422" s="1705"/>
      <c r="R422" s="1705"/>
      <c r="S422" s="1705"/>
      <c r="T422" s="1705"/>
      <c r="U422" s="1705"/>
      <c r="V422" s="1705"/>
      <c r="W422" s="1705"/>
    </row>
    <row r="423" spans="1:26">
      <c r="A423" s="98" t="s">
        <v>165</v>
      </c>
      <c r="B423" t="str">
        <f>+$B$243</f>
        <v>P10_11032_00494</v>
      </c>
      <c r="C423" t="str">
        <f>+$C$243</f>
        <v>LE_XXXX</v>
      </c>
      <c r="D423" t="s">
        <v>2886</v>
      </c>
      <c r="E423" t="s">
        <v>2887</v>
      </c>
      <c r="F423" t="s">
        <v>2888</v>
      </c>
      <c r="G423" t="s">
        <v>2889</v>
      </c>
      <c r="H423" t="s">
        <v>145</v>
      </c>
      <c r="I423" t="s">
        <v>146</v>
      </c>
      <c r="J423" t="s">
        <v>147</v>
      </c>
      <c r="K423" t="str">
        <f>+"FY"&amp;RIGHT(YEAR('Hyperion Panel'!$B$9)+5,2)</f>
        <v>FY15</v>
      </c>
      <c r="L423" s="1612"/>
      <c r="M423" s="1612"/>
      <c r="N423" s="1612"/>
      <c r="O423" s="1612"/>
      <c r="P423" s="1612"/>
      <c r="Q423" s="1612"/>
      <c r="R423" s="1612"/>
      <c r="S423" s="1612"/>
      <c r="T423" s="1612"/>
      <c r="U423" s="1612"/>
      <c r="V423" s="1702"/>
      <c r="W423" s="1612"/>
    </row>
    <row r="424" spans="1:26" s="98" customFormat="1" ht="12.75" customHeight="1">
      <c r="A424" s="100" t="s">
        <v>463</v>
      </c>
      <c r="L424" s="1697">
        <f>+IF(COLUMNS($L424:L424)&lt;month,VLOOKUP("Month "&amp;(COLUMNS($L424:L424)-month+13),P_After_Tx,11,FALSE)*52*3/12*(1-hemomiss),0)</f>
        <v>574.08000000000004</v>
      </c>
      <c r="M424" s="1697">
        <f>+IF(COLUMNS($L424:M424)&lt;month,VLOOKUP("Month "&amp;(COLUMNS($L424:M424)-month+13),P_After_Tx,11,FALSE)*52*3/12*(1-hemomiss),0)</f>
        <v>574.08000000000004</v>
      </c>
      <c r="N424" s="1697">
        <f>+IF(COLUMNS($L424:N424)&lt;month,VLOOKUP("Month "&amp;(COLUMNS($L424:N424)-month+13),P_After_Tx,11,FALSE)*52*3/12*(1-hemomiss),0)</f>
        <v>574.08000000000004</v>
      </c>
      <c r="O424" s="1697">
        <f>+IF(COLUMNS($L424:O424)&lt;month,VLOOKUP("Month "&amp;(COLUMNS($L424:O424)-month+13),P_After_Tx,11,FALSE)*52*3/12*(1-hemomiss),0)</f>
        <v>574.08000000000004</v>
      </c>
      <c r="P424" s="1697">
        <f>+IF(COLUMNS($L424:P424)&lt;month,VLOOKUP("Month "&amp;(COLUMNS($L424:P424)-month+13),P_After_Tx,11,FALSE)*52*3/12*(1-hemomiss),0)</f>
        <v>574.08000000000004</v>
      </c>
      <c r="Q424" s="1697">
        <f>+IF(COLUMNS($L424:Q424)&lt;month,VLOOKUP("Month "&amp;(COLUMNS($L424:Q424)-month+13),P_After_Tx,11,FALSE)*52*3/12*(1-hemomiss),0)</f>
        <v>574.08000000000004</v>
      </c>
      <c r="R424" s="1697">
        <f>+IF(COLUMNS($L424:R424)&lt;month,VLOOKUP("Month "&amp;(COLUMNS($L424:R424)-month+13),P_After_Tx,11,FALSE)*52*3/12*(1-hemomiss),0)</f>
        <v>574.08000000000004</v>
      </c>
      <c r="S424" s="1697">
        <f>+IF(COLUMNS($L424:S424)&lt;month,VLOOKUP("Month "&amp;(COLUMNS($L424:S424)-month+13),P_After_Tx,11,FALSE)*52*3/12*(1-hemomiss),0)</f>
        <v>574.08000000000004</v>
      </c>
      <c r="T424" s="1697">
        <f>+IF(COLUMNS($L424:T424)&lt;month,VLOOKUP("Month "&amp;(COLUMNS($L424:T424)-month+13),P_After_Tx,11,FALSE)*52*3/12*(1-hemomiss),0)</f>
        <v>574.08000000000004</v>
      </c>
      <c r="U424" s="1697">
        <f>+IF(COLUMNS($L424:U424)&lt;month,VLOOKUP("Month "&amp;(COLUMNS($L424:U424)-month+13),P_After_Tx,11,FALSE)*52*3/12*(1-hemomiss),0)</f>
        <v>574.08000000000004</v>
      </c>
      <c r="V424" s="1700">
        <f>+IF(COLUMNS($L424:V424)&lt;month,VLOOKUP("Month "&amp;(COLUMNS($L424:V424)-month+13),P_After_Tx,11,FALSE)*52*3/12*(1-hemomiss),0)</f>
        <v>0</v>
      </c>
      <c r="W424" s="1697">
        <f>+IF(COLUMNS($L424:W424)&lt;month,VLOOKUP("Month "&amp;(COLUMNS($L424:W424)-month+13),P_After_Tx,11,FALSE)*52*3/12*(1-hemomiss),0)</f>
        <v>0</v>
      </c>
      <c r="Y424" s="99"/>
      <c r="Z424" s="97"/>
    </row>
    <row r="425" spans="1:26" s="98" customFormat="1" ht="12.75" customHeight="1">
      <c r="A425" s="100" t="s">
        <v>464</v>
      </c>
      <c r="L425" s="1697">
        <f>+IF(COLUMNS($L425:L425)&lt;month,VLOOKUP("Month "&amp;(COLUMNS($L425:L425)-month+13),P_After_Tx,12,FALSE)*52*3/12*(1-hemomiss),0)</f>
        <v>23.92</v>
      </c>
      <c r="M425" s="1697">
        <f>+IF(COLUMNS($L425:M425)&lt;month,VLOOKUP("Month "&amp;(COLUMNS($L425:M425)-month+13),P_After_Tx,12,FALSE)*52*3/12*(1-hemomiss),0)</f>
        <v>23.92</v>
      </c>
      <c r="N425" s="1697">
        <f>+IF(COLUMNS($L425:N425)&lt;month,VLOOKUP("Month "&amp;(COLUMNS($L425:N425)-month+13),P_After_Tx,12,FALSE)*52*3/12*(1-hemomiss),0)</f>
        <v>23.92</v>
      </c>
      <c r="O425" s="1697">
        <f>+IF(COLUMNS($L425:O425)&lt;month,VLOOKUP("Month "&amp;(COLUMNS($L425:O425)-month+13),P_After_Tx,12,FALSE)*52*3/12*(1-hemomiss),0)</f>
        <v>23.92</v>
      </c>
      <c r="P425" s="1697">
        <f>+IF(COLUMNS($L425:P425)&lt;month,VLOOKUP("Month "&amp;(COLUMNS($L425:P425)-month+13),P_After_Tx,12,FALSE)*52*3/12*(1-hemomiss),0)</f>
        <v>23.92</v>
      </c>
      <c r="Q425" s="1697">
        <f>+IF(COLUMNS($L425:Q425)&lt;month,VLOOKUP("Month "&amp;(COLUMNS($L425:Q425)-month+13),P_After_Tx,12,FALSE)*52*3/12*(1-hemomiss),0)</f>
        <v>23.92</v>
      </c>
      <c r="R425" s="1697">
        <f>+IF(COLUMNS($L425:R425)&lt;month,VLOOKUP("Month "&amp;(COLUMNS($L425:R425)-month+13),P_After_Tx,12,FALSE)*52*3/12*(1-hemomiss),0)</f>
        <v>23.92</v>
      </c>
      <c r="S425" s="1697">
        <f>+IF(COLUMNS($L425:S425)&lt;month,VLOOKUP("Month "&amp;(COLUMNS($L425:S425)-month+13),P_After_Tx,12,FALSE)*52*3/12*(1-hemomiss),0)</f>
        <v>23.92</v>
      </c>
      <c r="T425" s="1697">
        <f>+IF(COLUMNS($L425:T425)&lt;month,VLOOKUP("Month "&amp;(COLUMNS($L425:T425)-month+13),P_After_Tx,12,FALSE)*52*3/12*(1-hemomiss),0)</f>
        <v>23.92</v>
      </c>
      <c r="U425" s="1697">
        <f>+IF(COLUMNS($L425:U425)&lt;month,VLOOKUP("Month "&amp;(COLUMNS($L425:U425)-month+13),P_After_Tx,12,FALSE)*52*3/12*(1-hemomiss),0)</f>
        <v>23.92</v>
      </c>
      <c r="V425" s="1700">
        <f>+IF(COLUMNS($L425:V425)&lt;month,VLOOKUP("Month "&amp;(COLUMNS($L425:V425)-month+13),P_After_Tx,12,FALSE)*52*3/12*(1-hemomiss),0)</f>
        <v>0</v>
      </c>
      <c r="W425" s="1697">
        <f>+IF(COLUMNS($L425:W425)&lt;month,VLOOKUP("Month "&amp;(COLUMNS($L425:W425)-month+13),P_After_Tx,12,FALSE)*52*3/12*(1-hemomiss),0)</f>
        <v>0</v>
      </c>
      <c r="Y425" s="99"/>
      <c r="Z425" s="97"/>
    </row>
    <row r="426" spans="1:26">
      <c r="A426" s="98" t="s">
        <v>162</v>
      </c>
      <c r="B426" t="str">
        <f>+$B$243</f>
        <v>P10_11032_00494</v>
      </c>
      <c r="C426" t="str">
        <f>+$C$243</f>
        <v>LE_XXXX</v>
      </c>
      <c r="D426" t="s">
        <v>2886</v>
      </c>
      <c r="E426" t="s">
        <v>149</v>
      </c>
      <c r="F426" t="s">
        <v>150</v>
      </c>
      <c r="G426" t="s">
        <v>2889</v>
      </c>
      <c r="H426" t="s">
        <v>145</v>
      </c>
      <c r="I426" t="s">
        <v>146</v>
      </c>
      <c r="J426" t="s">
        <v>147</v>
      </c>
      <c r="K426" t="str">
        <f>+"FY"&amp;RIGHT(YEAR('Hyperion Panel'!$B$9)+5,2)</f>
        <v>FY15</v>
      </c>
      <c r="L426" s="1612"/>
      <c r="M426" s="1612"/>
      <c r="N426" s="1612"/>
      <c r="O426" s="1612"/>
      <c r="P426" s="1612"/>
      <c r="Q426" s="1612"/>
      <c r="R426" s="1612"/>
      <c r="S426" s="1612"/>
      <c r="T426" s="1612"/>
      <c r="U426" s="1612"/>
      <c r="V426" s="1703"/>
      <c r="W426" s="1612"/>
    </row>
    <row r="427" spans="1:26" s="98" customFormat="1">
      <c r="A427" s="100" t="s">
        <v>463</v>
      </c>
      <c r="L427" s="1697">
        <f>+IF(COLUMNS($L427:L427)&lt;month,VLOOKUP("Month "&amp;(COLUMNS($L427:L427)-month+13),P_After_Tx,22,FALSE)*52*3/12*(1-homemiss),0)</f>
        <v>172.9</v>
      </c>
      <c r="M427" s="1697">
        <f>+IF(COLUMNS($L427:M427)&lt;month,VLOOKUP("Month "&amp;(COLUMNS($L427:M427)-month+13),P_After_Tx,22,FALSE)*52*3/12*(1-homemiss),0)</f>
        <v>172.9</v>
      </c>
      <c r="N427" s="1697">
        <f>+IF(COLUMNS($L427:N427)&lt;month,VLOOKUP("Month "&amp;(COLUMNS($L427:N427)-month+13),P_After_Tx,22,FALSE)*52*3/12*(1-homemiss),0)</f>
        <v>172.9</v>
      </c>
      <c r="O427" s="1697">
        <f>+IF(COLUMNS($L427:O427)&lt;month,VLOOKUP("Month "&amp;(COLUMNS($L427:O427)-month+13),P_After_Tx,22,FALSE)*52*3/12*(1-homemiss),0)</f>
        <v>172.9</v>
      </c>
      <c r="P427" s="1697">
        <f>+IF(COLUMNS($L427:P427)&lt;month,VLOOKUP("Month "&amp;(COLUMNS($L427:P427)-month+13),P_After_Tx,22,FALSE)*52*3/12*(1-homemiss),0)</f>
        <v>172.9</v>
      </c>
      <c r="Q427" s="1697">
        <f>+IF(COLUMNS($L427:Q427)&lt;month,VLOOKUP("Month "&amp;(COLUMNS($L427:Q427)-month+13),P_After_Tx,22,FALSE)*52*3/12*(1-homemiss),0)</f>
        <v>172.9</v>
      </c>
      <c r="R427" s="1697">
        <f>+IF(COLUMNS($L427:R427)&lt;month,VLOOKUP("Month "&amp;(COLUMNS($L427:R427)-month+13),P_After_Tx,22,FALSE)*52*3/12*(1-homemiss),0)</f>
        <v>172.9</v>
      </c>
      <c r="S427" s="1697">
        <f>+IF(COLUMNS($L427:S427)&lt;month,VLOOKUP("Month "&amp;(COLUMNS($L427:S427)-month+13),P_After_Tx,22,FALSE)*52*3/12*(1-homemiss),0)</f>
        <v>172.9</v>
      </c>
      <c r="T427" s="1697">
        <f>+IF(COLUMNS($L427:T427)&lt;month,VLOOKUP("Month "&amp;(COLUMNS($L427:T427)-month+13),P_After_Tx,22,FALSE)*52*3/12*(1-homemiss),0)</f>
        <v>172.9</v>
      </c>
      <c r="U427" s="1697">
        <f>+IF(COLUMNS($L427:U427)&lt;month,VLOOKUP("Month "&amp;(COLUMNS($L427:U427)-month+13),P_After_Tx,22,FALSE)*52*3/12*(1-homemiss),0)</f>
        <v>172.9</v>
      </c>
      <c r="V427" s="1697">
        <f>+IF(COLUMNS($L427:V427)&lt;month,VLOOKUP("Month "&amp;(COLUMNS($L427:V427)-month+13),P_After_Tx,22,FALSE)*52*3/12*(1-homemiss),0)</f>
        <v>0</v>
      </c>
      <c r="W427" s="1697">
        <f>+IF(COLUMNS($L427:W427)&lt;month,VLOOKUP("Month "&amp;(COLUMNS($L427:W427)-month+13),P_After_Tx,22,FALSE)*52*3/12*(1-homemiss),0)</f>
        <v>0</v>
      </c>
      <c r="Y427" s="99"/>
    </row>
    <row r="428" spans="1:26" s="98" customFormat="1">
      <c r="A428" s="100" t="s">
        <v>464</v>
      </c>
      <c r="L428" s="1697">
        <f>+IF(COLUMNS($L428:L428)&lt;month,VLOOKUP("Month "&amp;(COLUMNS($L428:L428)-month+13),P_After_Tx,23,FALSE)*52*3/12*(1-homemiss),0)</f>
        <v>74.099999999999994</v>
      </c>
      <c r="M428" s="1697">
        <f>+IF(COLUMNS($L428:M428)&lt;month,VLOOKUP("Month "&amp;(COLUMNS($L428:M428)-month+13),P_After_Tx,23,FALSE)*52*3/12*(1-homemiss),0)</f>
        <v>74.099999999999994</v>
      </c>
      <c r="N428" s="1697">
        <f>+IF(COLUMNS($L428:N428)&lt;month,VLOOKUP("Month "&amp;(COLUMNS($L428:N428)-month+13),P_After_Tx,23,FALSE)*52*3/12*(1-homemiss),0)</f>
        <v>74.099999999999994</v>
      </c>
      <c r="O428" s="1697">
        <f>+IF(COLUMNS($L428:O428)&lt;month,VLOOKUP("Month "&amp;(COLUMNS($L428:O428)-month+13),P_After_Tx,23,FALSE)*52*3/12*(1-homemiss),0)</f>
        <v>74.099999999999994</v>
      </c>
      <c r="P428" s="1697">
        <f>+IF(COLUMNS($L428:P428)&lt;month,VLOOKUP("Month "&amp;(COLUMNS($L428:P428)-month+13),P_After_Tx,23,FALSE)*52*3/12*(1-homemiss),0)</f>
        <v>74.099999999999994</v>
      </c>
      <c r="Q428" s="1697">
        <f>+IF(COLUMNS($L428:Q428)&lt;month,VLOOKUP("Month "&amp;(COLUMNS($L428:Q428)-month+13),P_After_Tx,23,FALSE)*52*3/12*(1-homemiss),0)</f>
        <v>74.099999999999994</v>
      </c>
      <c r="R428" s="1697">
        <f>+IF(COLUMNS($L428:R428)&lt;month,VLOOKUP("Month "&amp;(COLUMNS($L428:R428)-month+13),P_After_Tx,23,FALSE)*52*3/12*(1-homemiss),0)</f>
        <v>74.099999999999994</v>
      </c>
      <c r="S428" s="1697">
        <f>+IF(COLUMNS($L428:S428)&lt;month,VLOOKUP("Month "&amp;(COLUMNS($L428:S428)-month+13),P_After_Tx,23,FALSE)*52*3/12*(1-homemiss),0)</f>
        <v>74.099999999999994</v>
      </c>
      <c r="T428" s="1697">
        <f>+IF(COLUMNS($L428:T428)&lt;month,VLOOKUP("Month "&amp;(COLUMNS($L428:T428)-month+13),P_After_Tx,23,FALSE)*52*3/12*(1-homemiss),0)</f>
        <v>74.099999999999994</v>
      </c>
      <c r="U428" s="1697">
        <f>+IF(COLUMNS($L428:U428)&lt;month,VLOOKUP("Month "&amp;(COLUMNS($L428:U428)-month+13),P_After_Tx,23,FALSE)*52*3/12*(1-homemiss),0)</f>
        <v>74.099999999999994</v>
      </c>
      <c r="V428" s="1697">
        <f>+IF(COLUMNS($L428:V428)&lt;month,VLOOKUP("Month "&amp;(COLUMNS($L428:V428)-month+13),P_After_Tx,23,FALSE)*52*3/12*(1-homemiss),0)</f>
        <v>0</v>
      </c>
      <c r="W428" s="1697">
        <f>+IF(COLUMNS($L428:W428)&lt;month,VLOOKUP("Month "&amp;(COLUMNS($L428:W428)-month+13),P_After_Tx,23,FALSE)*52*3/12*(1-homemiss),0)</f>
        <v>0</v>
      </c>
      <c r="Y428" s="99"/>
    </row>
    <row r="429" spans="1:26">
      <c r="A429" s="4" t="s">
        <v>3767</v>
      </c>
      <c r="B429" s="4" t="str">
        <f>+$B$243</f>
        <v>P10_11032_00494</v>
      </c>
      <c r="C429" s="4"/>
      <c r="D429" s="4"/>
      <c r="E429" s="4"/>
      <c r="F429" s="4"/>
      <c r="G429" s="4"/>
      <c r="H429" s="4"/>
      <c r="I429" s="4"/>
      <c r="J429" s="4"/>
      <c r="K429" s="4" t="str">
        <f>+"FY"&amp;RIGHT(YEAR('Hyperion Panel'!$B$9)+5,2)</f>
        <v>FY15</v>
      </c>
      <c r="L429" s="1698"/>
      <c r="M429" s="1698"/>
      <c r="N429" s="1698"/>
      <c r="O429" s="1698"/>
      <c r="P429" s="1698"/>
      <c r="Q429" s="1698"/>
      <c r="R429" s="1698"/>
      <c r="S429" s="1698"/>
      <c r="T429" s="1698"/>
      <c r="U429" s="1698"/>
      <c r="V429" s="1699"/>
      <c r="W429" s="1698"/>
      <c r="Y429" s="99"/>
    </row>
    <row r="430" spans="1:26">
      <c r="A430" s="101" t="s">
        <v>463</v>
      </c>
      <c r="B430" s="4"/>
      <c r="C430" s="4"/>
      <c r="D430" s="4"/>
      <c r="E430" s="4"/>
      <c r="F430" s="4"/>
      <c r="G430" s="4"/>
      <c r="H430" s="4"/>
      <c r="I430" s="4"/>
      <c r="J430" s="4"/>
      <c r="K430" s="4"/>
      <c r="L430" s="1698">
        <f>+IF(COLUMNS($L430:L430)&lt;month,VLOOKUP("Month "&amp;(COLUMNS($L430:L430)-month+13),P_After_Tx,33,FALSE)*52*3/12*(1-hhdmiss),0)</f>
        <v>65</v>
      </c>
      <c r="M430" s="1698">
        <f>+IF(COLUMNS($L430:M430)&lt;month,VLOOKUP("Month "&amp;(COLUMNS($L430:M430)-month+13),P_After_Tx,33,FALSE)*52*3/12*(1-hhdmiss),0)</f>
        <v>65</v>
      </c>
      <c r="N430" s="1698">
        <f>+IF(COLUMNS($L430:N430)&lt;month,VLOOKUP("Month "&amp;(COLUMNS($L430:N430)-month+13),P_After_Tx,33,FALSE)*52*3/12*(1-hhdmiss),0)</f>
        <v>65</v>
      </c>
      <c r="O430" s="1698">
        <f>+IF(COLUMNS($L430:O430)&lt;month,VLOOKUP("Month "&amp;(COLUMNS($L430:O430)-month+13),P_After_Tx,33,FALSE)*52*3/12*(1-hhdmiss),0)</f>
        <v>65</v>
      </c>
      <c r="P430" s="1698">
        <f>+IF(COLUMNS($L430:P430)&lt;month,VLOOKUP("Month "&amp;(COLUMNS($L430:P430)-month+13),P_After_Tx,33,FALSE)*52*3/12*(1-hhdmiss),0)</f>
        <v>65</v>
      </c>
      <c r="Q430" s="1698">
        <f>+IF(COLUMNS($L430:Q430)&lt;month,VLOOKUP("Month "&amp;(COLUMNS($L430:Q430)-month+13),P_After_Tx,33,FALSE)*52*3/12*(1-hhdmiss),0)</f>
        <v>65</v>
      </c>
      <c r="R430" s="1698">
        <f>+IF(COLUMNS($L430:R430)&lt;month,VLOOKUP("Month "&amp;(COLUMNS($L430:R430)-month+13),P_After_Tx,33,FALSE)*52*3/12*(1-hhdmiss),0)</f>
        <v>65</v>
      </c>
      <c r="S430" s="1698">
        <f>+IF(COLUMNS($L430:S430)&lt;month,VLOOKUP("Month "&amp;(COLUMNS($L430:S430)-month+13),P_After_Tx,33,FALSE)*52*3/12*(1-hhdmiss),0)</f>
        <v>65</v>
      </c>
      <c r="T430" s="1698">
        <f>+IF(COLUMNS($L430:T430)&lt;month,VLOOKUP("Month "&amp;(COLUMNS($L430:T430)-month+13),P_After_Tx,33,FALSE)*52*3/12*(1-hhdmiss),0)</f>
        <v>65</v>
      </c>
      <c r="U430" s="1698">
        <f>+IF(COLUMNS($L430:U430)&lt;month,VLOOKUP("Month "&amp;(COLUMNS($L430:U430)-month+13),P_After_Tx,33,FALSE)*52*3/12*(1-hhdmiss),0)</f>
        <v>65</v>
      </c>
      <c r="V430" s="1699">
        <f>+IF(COLUMNS($L430:V430)&lt;month,VLOOKUP("Month "&amp;(COLUMNS($L430:V430)-month+13),P_After_Tx,33,FALSE)*52*3/12*(1-hhdmiss),0)</f>
        <v>0</v>
      </c>
      <c r="W430" s="1698">
        <f>+IF(COLUMNS($L430:W430)&lt;month,VLOOKUP("Month "&amp;(COLUMNS($L430:W430)-month+13),P_After_Tx,33,FALSE)*52*3/12*(1-hhdmiss),0)</f>
        <v>0</v>
      </c>
      <c r="Y430" s="99"/>
    </row>
    <row r="431" spans="1:26">
      <c r="A431" s="101" t="s">
        <v>464</v>
      </c>
      <c r="B431" s="4"/>
      <c r="C431" s="4"/>
      <c r="D431" s="4"/>
      <c r="E431" s="4"/>
      <c r="F431" s="4"/>
      <c r="G431" s="4"/>
      <c r="H431" s="4"/>
      <c r="I431" s="4"/>
      <c r="J431" s="4"/>
      <c r="K431" s="4"/>
      <c r="L431" s="1698">
        <f>+IF(COLUMNS($L431:L431)&lt;month,VLOOKUP("Month "&amp;(COLUMNS($L431:L431)-month+13),P_After_Tx,34,FALSE)*52*4.3/12*(1-hhdmiss),0)</f>
        <v>0</v>
      </c>
      <c r="M431" s="1698">
        <f>+IF(COLUMNS($L431:M431)&lt;month,VLOOKUP("Month "&amp;(COLUMNS($L431:M431)-month+13),P_After_Tx,34,FALSE)*52*4.3/12*(1-hhdmiss),0)</f>
        <v>0</v>
      </c>
      <c r="N431" s="1698">
        <f>+IF(COLUMNS($L431:N431)&lt;month,VLOOKUP("Month "&amp;(COLUMNS($L431:N431)-month+13),P_After_Tx,34,FALSE)*52*4.3/12*(1-hhdmiss),0)</f>
        <v>0</v>
      </c>
      <c r="O431" s="1698">
        <f>+IF(COLUMNS($L431:O431)&lt;month,VLOOKUP("Month "&amp;(COLUMNS($L431:O431)-month+13),P_After_Tx,34,FALSE)*52*4.3/12*(1-hhdmiss),0)</f>
        <v>0</v>
      </c>
      <c r="P431" s="1698">
        <f>+IF(COLUMNS($L431:P431)&lt;month,VLOOKUP("Month "&amp;(COLUMNS($L431:P431)-month+13),P_After_Tx,34,FALSE)*52*4.3/12*(1-hhdmiss),0)</f>
        <v>0</v>
      </c>
      <c r="Q431" s="1698">
        <f>+IF(COLUMNS($L431:Q431)&lt;month,VLOOKUP("Month "&amp;(COLUMNS($L431:Q431)-month+13),P_After_Tx,34,FALSE)*52*4.3/12*(1-hhdmiss),0)</f>
        <v>0</v>
      </c>
      <c r="R431" s="1698">
        <f>+IF(COLUMNS($L431:R431)&lt;month,VLOOKUP("Month "&amp;(COLUMNS($L431:R431)-month+13),P_After_Tx,34,FALSE)*52*4.3/12*(1-hhdmiss),0)</f>
        <v>0</v>
      </c>
      <c r="S431" s="1698">
        <f>+IF(COLUMNS($L431:S431)&lt;month,VLOOKUP("Month "&amp;(COLUMNS($L431:S431)-month+13),P_After_Tx,34,FALSE)*52*4.3/12*(1-hhdmiss),0)</f>
        <v>0</v>
      </c>
      <c r="T431" s="1698">
        <f>+IF(COLUMNS($L431:T431)&lt;month,VLOOKUP("Month "&amp;(COLUMNS($L431:T431)-month+13),P_After_Tx,34,FALSE)*52*4.3/12*(1-hhdmiss),0)</f>
        <v>0</v>
      </c>
      <c r="U431" s="1698">
        <f>+IF(COLUMNS($L431:U431)&lt;month,VLOOKUP("Month "&amp;(COLUMNS($L431:U431)-month+13),P_After_Tx,34,FALSE)*52*4.3/12*(1-hhdmiss),0)</f>
        <v>0</v>
      </c>
      <c r="V431" s="1698">
        <f>+IF(COLUMNS($L431:V431)&lt;month,VLOOKUP("Month "&amp;(COLUMNS($L431:V431)-month+13),P_After_Tx,34,FALSE)*52*4.3/12*(1-hhdmiss),0)</f>
        <v>0</v>
      </c>
      <c r="W431" s="1698">
        <f>+IF(COLUMNS($L431:W431)&lt;month,VLOOKUP("Month "&amp;(COLUMNS($L431:W431)-month+13),P_After_Tx,34,FALSE)*52*4.3/12*(1-hhdmiss),0)</f>
        <v>0</v>
      </c>
      <c r="Y431" s="99"/>
    </row>
    <row r="432" spans="1:26">
      <c r="A432" s="98" t="s">
        <v>163</v>
      </c>
      <c r="B432" t="str">
        <f>+$B$243</f>
        <v>P10_11032_00494</v>
      </c>
      <c r="C432" t="str">
        <f>+$C$243</f>
        <v>LE_XXXX</v>
      </c>
      <c r="D432" t="s">
        <v>2886</v>
      </c>
      <c r="E432">
        <v>3010</v>
      </c>
      <c r="F432" t="s">
        <v>2888</v>
      </c>
      <c r="G432" t="s">
        <v>2889</v>
      </c>
      <c r="H432" t="s">
        <v>145</v>
      </c>
      <c r="I432" t="s">
        <v>146</v>
      </c>
      <c r="J432" t="s">
        <v>147</v>
      </c>
      <c r="K432" t="str">
        <f>+"FY"&amp;RIGHT(YEAR('Hyperion Panel'!$B$9)+5,2)</f>
        <v>FY15</v>
      </c>
      <c r="L432" s="1612"/>
      <c r="M432" s="1612"/>
      <c r="N432" s="1612"/>
      <c r="O432" s="1612"/>
      <c r="P432" s="1612"/>
      <c r="Q432" s="1612"/>
      <c r="R432" s="1612"/>
      <c r="S432" s="1612"/>
      <c r="T432" s="1612"/>
      <c r="U432" s="1612"/>
      <c r="V432" s="1702"/>
      <c r="W432" s="1612"/>
    </row>
    <row r="433" spans="1:26" s="98" customFormat="1">
      <c r="A433" s="100" t="s">
        <v>463</v>
      </c>
      <c r="L433" s="1697">
        <f>+IF(COLUMNS($L433:L433)&lt;month,'2.1 Reimburse'!$L$14*L424,0)</f>
        <v>151233.54597194196</v>
      </c>
      <c r="M433" s="1697">
        <f>+IF(COLUMNS($L433:M433)&lt;month,'2.1 Reimburse'!$L$14*M424,0)</f>
        <v>151233.54597194196</v>
      </c>
      <c r="N433" s="1697">
        <f>+IF(COLUMNS($L433:N433)&lt;month,'2.1 Reimburse'!$L$14*N424,0)</f>
        <v>151233.54597194196</v>
      </c>
      <c r="O433" s="1697">
        <f>+IF(COLUMNS($L433:O433)&lt;month,'2.1 Reimburse'!$L$14*O424,0)</f>
        <v>151233.54597194196</v>
      </c>
      <c r="P433" s="1697">
        <f>+IF(COLUMNS($L433:P433)&lt;month,'2.1 Reimburse'!$L$14*P424,0)</f>
        <v>151233.54597194196</v>
      </c>
      <c r="Q433" s="1697">
        <f>+IF(COLUMNS($L433:Q433)&lt;month,'2.1 Reimburse'!$L$14*Q424,0)</f>
        <v>151233.54597194196</v>
      </c>
      <c r="R433" s="1697">
        <f>+IF(COLUMNS($L433:R433)&lt;month,'2.1 Reimburse'!$L$14*R424,0)</f>
        <v>151233.54597194196</v>
      </c>
      <c r="S433" s="1697">
        <f>+IF(COLUMNS($L433:S433)&lt;month,'2.1 Reimburse'!$L$14*S424,0)</f>
        <v>151233.54597194196</v>
      </c>
      <c r="T433" s="1697">
        <f>+IF(COLUMNS($L433:T433)&lt;month,'2.1 Reimburse'!$L$14*T424,0)</f>
        <v>151233.54597194196</v>
      </c>
      <c r="U433" s="1697">
        <f>+IF(COLUMNS($L433:U433)&lt;month,'2.1 Reimburse'!$L$14*U424,0)</f>
        <v>151233.54597194196</v>
      </c>
      <c r="V433" s="1697">
        <f>+IF(COLUMNS($L433:V433)&lt;month,'2.1 Reimburse'!$L$14*V424,0)</f>
        <v>0</v>
      </c>
      <c r="W433" s="1697">
        <f>+IF(COLUMNS($L433:W433)&lt;month,'2.1 Reimburse'!$L$14*W424,0)</f>
        <v>0</v>
      </c>
      <c r="Y433" s="99" t="s">
        <v>725</v>
      </c>
      <c r="Z433" s="45" t="s">
        <v>1565</v>
      </c>
    </row>
    <row r="434" spans="1:26" s="98" customFormat="1">
      <c r="A434" s="100" t="s">
        <v>464</v>
      </c>
      <c r="L434" s="1697">
        <f>+IF(COLUMNS($L434:L434)&lt;month,'2.1 Reimburse'!$L$21*L425,0)</f>
        <v>26629.388254183046</v>
      </c>
      <c r="M434" s="1697">
        <f>+IF(COLUMNS($L434:M434)&lt;month,'2.1 Reimburse'!$L$21*M425,0)</f>
        <v>26629.388254183046</v>
      </c>
      <c r="N434" s="1697">
        <f>+IF(COLUMNS($L434:N434)&lt;month,'2.1 Reimburse'!$L$21*N425,0)</f>
        <v>26629.388254183046</v>
      </c>
      <c r="O434" s="1697">
        <f>+IF(COLUMNS($L434:O434)&lt;month,'2.1 Reimburse'!$L$21*O425,0)</f>
        <v>26629.388254183046</v>
      </c>
      <c r="P434" s="1697">
        <f>+IF(COLUMNS($L434:P434)&lt;month,'2.1 Reimburse'!$L$21*P425,0)</f>
        <v>26629.388254183046</v>
      </c>
      <c r="Q434" s="1697">
        <f>+IF(COLUMNS($L434:Q434)&lt;month,'2.1 Reimburse'!$L$21*Q425,0)</f>
        <v>26629.388254183046</v>
      </c>
      <c r="R434" s="1697">
        <f>+IF(COLUMNS($L434:R434)&lt;month,'2.1 Reimburse'!$L$21*R425,0)</f>
        <v>26629.388254183046</v>
      </c>
      <c r="S434" s="1697">
        <f>+IF(COLUMNS($L434:S434)&lt;month,'2.1 Reimburse'!$L$21*S425,0)</f>
        <v>26629.388254183046</v>
      </c>
      <c r="T434" s="1697">
        <f>+IF(COLUMNS($L434:T434)&lt;month,'2.1 Reimburse'!$L$21*T425,0)</f>
        <v>26629.388254183046</v>
      </c>
      <c r="U434" s="1697">
        <f>+IF(COLUMNS($L434:U434)&lt;month,'2.1 Reimburse'!$L$21*U425,0)</f>
        <v>26629.388254183046</v>
      </c>
      <c r="V434" s="1697">
        <f>+IF(COLUMNS($L434:V434)&lt;month,'2.1 Reimburse'!$L$21*V425,0)</f>
        <v>0</v>
      </c>
      <c r="W434" s="1697">
        <f>+IF(COLUMNS($L434:W434)&lt;month,'2.1 Reimburse'!$L$21*W425,0)</f>
        <v>0</v>
      </c>
      <c r="Y434" s="99" t="s">
        <v>725</v>
      </c>
      <c r="Z434" s="1709" t="str">
        <f>Z433</f>
        <v>Yr5</v>
      </c>
    </row>
    <row r="435" spans="1:26">
      <c r="A435" s="98" t="s">
        <v>164</v>
      </c>
      <c r="B435" t="str">
        <f>+$B$243</f>
        <v>P10_11032_00494</v>
      </c>
      <c r="C435" t="str">
        <f>+$C$243</f>
        <v>LE_XXXX</v>
      </c>
      <c r="D435" t="s">
        <v>2886</v>
      </c>
      <c r="E435">
        <v>3030</v>
      </c>
      <c r="F435" t="s">
        <v>150</v>
      </c>
      <c r="G435" t="s">
        <v>2889</v>
      </c>
      <c r="H435" t="s">
        <v>145</v>
      </c>
      <c r="I435" t="s">
        <v>146</v>
      </c>
      <c r="J435" t="s">
        <v>147</v>
      </c>
      <c r="K435" t="str">
        <f>+"FY"&amp;RIGHT(YEAR('Hyperion Panel'!$B$9)+5,2)</f>
        <v>FY15</v>
      </c>
      <c r="L435" s="1612"/>
      <c r="M435" s="1612"/>
      <c r="N435" s="1612"/>
      <c r="O435" s="1612"/>
      <c r="P435" s="1612"/>
      <c r="Q435" s="1612"/>
      <c r="R435" s="1612"/>
      <c r="S435" s="1612"/>
      <c r="T435" s="1612"/>
      <c r="U435" s="1612"/>
      <c r="V435" s="1961"/>
      <c r="W435" s="1612"/>
      <c r="Z435" s="45"/>
    </row>
    <row r="436" spans="1:26" s="98" customFormat="1">
      <c r="A436" s="100" t="s">
        <v>463</v>
      </c>
      <c r="L436" s="1697">
        <f>+IF(COLUMNS($L436:L436)&lt;month,'2.1 Reimburse'!$L$23*L427,0)</f>
        <v>44359.587749293016</v>
      </c>
      <c r="M436" s="1697">
        <f>+IF(COLUMNS($L436:M436)&lt;month,'2.1 Reimburse'!$L$23*M427,0)</f>
        <v>44359.587749293016</v>
      </c>
      <c r="N436" s="1697">
        <f>+IF(COLUMNS($L436:N436)&lt;month,'2.1 Reimburse'!$L$23*N427,0)</f>
        <v>44359.587749293016</v>
      </c>
      <c r="O436" s="1697">
        <f>+IF(COLUMNS($L436:O436)&lt;month,'2.1 Reimburse'!$L$23*O427,0)</f>
        <v>44359.587749293016</v>
      </c>
      <c r="P436" s="1697">
        <f>+IF(COLUMNS($L436:P436)&lt;month,'2.1 Reimburse'!$L$23*P427,0)</f>
        <v>44359.587749293016</v>
      </c>
      <c r="Q436" s="1697">
        <f>+IF(COLUMNS($L436:Q436)&lt;month,'2.1 Reimburse'!$L$23*Q427,0)</f>
        <v>44359.587749293016</v>
      </c>
      <c r="R436" s="1697">
        <f>+IF(COLUMNS($L436:R436)&lt;month,'2.1 Reimburse'!$L$23*R427,0)</f>
        <v>44359.587749293016</v>
      </c>
      <c r="S436" s="1697">
        <f>+IF(COLUMNS($L436:S436)&lt;month,'2.1 Reimburse'!$L$23*S427,0)</f>
        <v>44359.587749293016</v>
      </c>
      <c r="T436" s="1697">
        <f>+IF(COLUMNS($L436:T436)&lt;month,'2.1 Reimburse'!$L$23*T427,0)</f>
        <v>44359.587749293016</v>
      </c>
      <c r="U436" s="1697">
        <f>+IF(COLUMNS($L436:U436)&lt;month,'2.1 Reimburse'!$L$23*U427,0)</f>
        <v>44359.587749293016</v>
      </c>
      <c r="V436" s="1697">
        <f>+IF(COLUMNS($L436:V436)&lt;month,'2.1 Reimburse'!$L$23*V427,0)</f>
        <v>0</v>
      </c>
      <c r="W436" s="1697">
        <f>+IF(COLUMNS($L436:W436)&lt;month,'2.1 Reimburse'!$L$23*W427,0)</f>
        <v>0</v>
      </c>
      <c r="Y436" s="99" t="s">
        <v>725</v>
      </c>
      <c r="Z436" s="45" t="str">
        <f>Z433</f>
        <v>Yr5</v>
      </c>
    </row>
    <row r="437" spans="1:26" s="98" customFormat="1">
      <c r="A437" s="100" t="s">
        <v>464</v>
      </c>
      <c r="L437" s="1697">
        <f>+IF(COLUMNS($L437:L437)&lt;month,'2.1 Reimburse'!$L$30*L428,0)</f>
        <v>82493.213613501837</v>
      </c>
      <c r="M437" s="1697">
        <f>+IF(COLUMNS($L437:M437)&lt;month,'2.1 Reimburse'!$L$30*M428,0)</f>
        <v>82493.213613501837</v>
      </c>
      <c r="N437" s="1697">
        <f>+IF(COLUMNS($L437:N437)&lt;month,'2.1 Reimburse'!$L$30*N428,0)</f>
        <v>82493.213613501837</v>
      </c>
      <c r="O437" s="1697">
        <f>+IF(COLUMNS($L437:O437)&lt;month,'2.1 Reimburse'!$L$30*O428,0)</f>
        <v>82493.213613501837</v>
      </c>
      <c r="P437" s="1697">
        <f>+IF(COLUMNS($L437:P437)&lt;month,'2.1 Reimburse'!$L$30*P428,0)</f>
        <v>82493.213613501837</v>
      </c>
      <c r="Q437" s="1697">
        <f>+IF(COLUMNS($L437:Q437)&lt;month,'2.1 Reimburse'!$L$30*Q428,0)</f>
        <v>82493.213613501837</v>
      </c>
      <c r="R437" s="1697">
        <f>+IF(COLUMNS($L437:R437)&lt;month,'2.1 Reimburse'!$L$30*R428,0)</f>
        <v>82493.213613501837</v>
      </c>
      <c r="S437" s="1697">
        <f>+IF(COLUMNS($L437:S437)&lt;month,'2.1 Reimburse'!$L$30*S428,0)</f>
        <v>82493.213613501837</v>
      </c>
      <c r="T437" s="1697">
        <f>+IF(COLUMNS($L437:T437)&lt;month,'2.1 Reimburse'!$L$30*T428,0)</f>
        <v>82493.213613501837</v>
      </c>
      <c r="U437" s="1697">
        <f>+IF(COLUMNS($L437:U437)&lt;month,'2.1 Reimburse'!$L$30*U428,0)</f>
        <v>82493.213613501837</v>
      </c>
      <c r="V437" s="1697">
        <f>+IF(COLUMNS($L437:V437)&lt;month,'2.1 Reimburse'!$L$30*V428,0)</f>
        <v>0</v>
      </c>
      <c r="W437" s="1697">
        <f>+IF(COLUMNS($L437:W437)&lt;month,'2.1 Reimburse'!$L$30*W428,0)</f>
        <v>0</v>
      </c>
      <c r="Y437" s="99" t="s">
        <v>725</v>
      </c>
      <c r="Z437" s="45" t="str">
        <f>Z433</f>
        <v>Yr5</v>
      </c>
    </row>
    <row r="438" spans="1:26">
      <c r="A438" s="4" t="s">
        <v>3768</v>
      </c>
      <c r="B438" s="4" t="str">
        <f>+$B$243</f>
        <v>P10_11032_00494</v>
      </c>
      <c r="C438" s="4"/>
      <c r="D438" s="4"/>
      <c r="E438" s="4"/>
      <c r="F438" s="4"/>
      <c r="G438" s="4"/>
      <c r="H438" s="4"/>
      <c r="I438" s="4"/>
      <c r="J438" s="4"/>
      <c r="K438" s="4" t="str">
        <f>+"FY"&amp;RIGHT(YEAR('Hyperion Panel'!$B$9)+5,2)</f>
        <v>FY15</v>
      </c>
      <c r="L438" s="1698"/>
      <c r="M438" s="1698"/>
      <c r="N438" s="1698"/>
      <c r="O438" s="1698"/>
      <c r="P438" s="1698"/>
      <c r="Q438" s="1698"/>
      <c r="R438" s="1698"/>
      <c r="S438" s="1698"/>
      <c r="T438" s="1698"/>
      <c r="U438" s="1698"/>
      <c r="V438" s="1962"/>
      <c r="W438" s="1698"/>
      <c r="Z438" s="45"/>
    </row>
    <row r="439" spans="1:26">
      <c r="A439" s="101" t="s">
        <v>463</v>
      </c>
      <c r="B439" s="4"/>
      <c r="C439" s="4"/>
      <c r="D439" s="4"/>
      <c r="E439" s="4"/>
      <c r="F439" s="4"/>
      <c r="G439" s="4"/>
      <c r="H439" s="4"/>
      <c r="I439" s="4"/>
      <c r="J439" s="4"/>
      <c r="K439" s="4"/>
      <c r="L439" s="1698">
        <f>+IF(COLUMNS($L439:L439)&lt;month,'2.1 Reimburse'!$L$32*L430,0)</f>
        <v>17222.44873882411</v>
      </c>
      <c r="M439" s="1698">
        <f>+IF(COLUMNS($L439:M439)&lt;month,'2.1 Reimburse'!$L$32*M430,0)</f>
        <v>17222.44873882411</v>
      </c>
      <c r="N439" s="1698">
        <f>+IF(COLUMNS($L439:N439)&lt;month,'2.1 Reimburse'!$L$32*N430,0)</f>
        <v>17222.44873882411</v>
      </c>
      <c r="O439" s="1698">
        <f>+IF(COLUMNS($L439:O439)&lt;month,'2.1 Reimburse'!$L$32*O430,0)</f>
        <v>17222.44873882411</v>
      </c>
      <c r="P439" s="1698">
        <f>+IF(COLUMNS($L439:P439)&lt;month,'2.1 Reimburse'!$L$32*P430,0)</f>
        <v>17222.44873882411</v>
      </c>
      <c r="Q439" s="1698">
        <f>+IF(COLUMNS($L439:Q439)&lt;month,'2.1 Reimburse'!$L$32*Q430,0)</f>
        <v>17222.44873882411</v>
      </c>
      <c r="R439" s="1698">
        <f>+IF(COLUMNS($L439:R439)&lt;month,'2.1 Reimburse'!$L$32*R430,0)</f>
        <v>17222.44873882411</v>
      </c>
      <c r="S439" s="1698">
        <f>+IF(COLUMNS($L439:S439)&lt;month,'2.1 Reimburse'!$L$32*S430,0)</f>
        <v>17222.44873882411</v>
      </c>
      <c r="T439" s="1698">
        <f>+IF(COLUMNS($L439:T439)&lt;month,'2.1 Reimburse'!$L$32*T430,0)</f>
        <v>17222.44873882411</v>
      </c>
      <c r="U439" s="1698">
        <f>+IF(COLUMNS($L439:U439)&lt;month,'2.1 Reimburse'!$L$32*U430,0)</f>
        <v>17222.44873882411</v>
      </c>
      <c r="V439" s="1698">
        <f>+IF(COLUMNS($L439:V439)&lt;month,'2.1 Reimburse'!$L$32*V430,0)</f>
        <v>0</v>
      </c>
      <c r="W439" s="1698">
        <f>+IF(COLUMNS($L439:W439)&lt;month,'2.1 Reimburse'!$L$32*W430,0)</f>
        <v>0</v>
      </c>
      <c r="Y439" s="99" t="s">
        <v>725</v>
      </c>
      <c r="Z439" s="45" t="str">
        <f>Z433</f>
        <v>Yr5</v>
      </c>
    </row>
    <row r="440" spans="1:26">
      <c r="A440" s="101" t="s">
        <v>464</v>
      </c>
      <c r="B440" s="4"/>
      <c r="C440" s="4"/>
      <c r="D440" s="4"/>
      <c r="E440" s="4"/>
      <c r="F440" s="4"/>
      <c r="G440" s="4"/>
      <c r="H440" s="4"/>
      <c r="I440" s="4"/>
      <c r="J440" s="4"/>
      <c r="K440" s="4"/>
      <c r="L440" s="1698">
        <f>+IF(COLUMNS($L440:L440)&lt;month,'2.1 Reimburse'!$L$39*L431,0)</f>
        <v>0</v>
      </c>
      <c r="M440" s="1698">
        <f>+IF(COLUMNS($L440:M440)&lt;month,'2.1 Reimburse'!$L$39*M431,0)</f>
        <v>0</v>
      </c>
      <c r="N440" s="1698">
        <f>+IF(COLUMNS($L440:N440)&lt;month,'2.1 Reimburse'!$L$39*N431,0)</f>
        <v>0</v>
      </c>
      <c r="O440" s="1698">
        <f>+IF(COLUMNS($L440:O440)&lt;month,'2.1 Reimburse'!$L$39*O431,0)</f>
        <v>0</v>
      </c>
      <c r="P440" s="1698">
        <f>+IF(COLUMNS($L440:P440)&lt;month,'2.1 Reimburse'!$L$39*P431,0)</f>
        <v>0</v>
      </c>
      <c r="Q440" s="1698">
        <f>+IF(COLUMNS($L440:Q440)&lt;month,'2.1 Reimburse'!$L$39*Q431,0)</f>
        <v>0</v>
      </c>
      <c r="R440" s="1698">
        <f>+IF(COLUMNS($L440:R440)&lt;month,'2.1 Reimburse'!$L$39*R431,0)</f>
        <v>0</v>
      </c>
      <c r="S440" s="1698">
        <f>+IF(COLUMNS($L440:S440)&lt;month,'2.1 Reimburse'!$L$39*S431,0)</f>
        <v>0</v>
      </c>
      <c r="T440" s="1698">
        <f>+IF(COLUMNS($L440:T440)&lt;month,'2.1 Reimburse'!$L$39*T431,0)</f>
        <v>0</v>
      </c>
      <c r="U440" s="1698">
        <f>+IF(COLUMNS($L440:U440)&lt;month,'2.1 Reimburse'!$L$39*U431,0)</f>
        <v>0</v>
      </c>
      <c r="V440" s="1698">
        <f>+IF(COLUMNS($L440:V440)&lt;month,'2.1 Reimburse'!$L$39*V431,0)</f>
        <v>0</v>
      </c>
      <c r="W440" s="1698">
        <f>+IF(COLUMNS($L440:W440)&lt;month,'2.1 Reimburse'!$L$39*W431,0)</f>
        <v>0</v>
      </c>
      <c r="Y440" s="99" t="s">
        <v>725</v>
      </c>
      <c r="Z440" s="45" t="str">
        <f>Z433</f>
        <v>Yr5</v>
      </c>
    </row>
    <row r="441" spans="1:26">
      <c r="A441" s="3" t="s">
        <v>2651</v>
      </c>
      <c r="B441" t="str">
        <f t="shared" ref="B441:B457" si="22">+$B$243</f>
        <v>P10_11032_00494</v>
      </c>
      <c r="C441" t="str">
        <f t="shared" ref="C441:C450" si="23">+$C$243</f>
        <v>LE_XXXX</v>
      </c>
      <c r="D441" t="s">
        <v>2886</v>
      </c>
      <c r="E441">
        <v>6010</v>
      </c>
      <c r="F441" t="s">
        <v>2888</v>
      </c>
      <c r="G441" t="s">
        <v>153</v>
      </c>
      <c r="H441" t="s">
        <v>154</v>
      </c>
      <c r="I441" t="s">
        <v>146</v>
      </c>
      <c r="J441" t="s">
        <v>147</v>
      </c>
      <c r="K441" t="str">
        <f>+"FY"&amp;RIGHT(YEAR('Hyperion Panel'!$B$9)+5,2)</f>
        <v>FY15</v>
      </c>
      <c r="L441" s="1697">
        <f>+IF(COLUMNS($L441:L441)&lt;month,'6. Market'!$AP$107*SUM(L424:L425,L427:L428,L430:L431),0)</f>
        <v>43556.948751159733</v>
      </c>
      <c r="M441" s="1697">
        <f>+IF(COLUMNS($L441:M441)&lt;month,'6. Market'!$AP$107*SUM(M424:M425,M427:M428,M430:M431),0)</f>
        <v>43556.948751159733</v>
      </c>
      <c r="N441" s="1697">
        <f>+IF(COLUMNS($L441:N441)&lt;month,'6. Market'!$AP$107*SUM(N424:N425,N427:N428,N430:N431),0)</f>
        <v>43556.948751159733</v>
      </c>
      <c r="O441" s="1697">
        <f>+IF(COLUMNS($L441:O441)&lt;month,'6. Market'!$AP$107*SUM(O424:O425,O427:O428,O430:O431),0)</f>
        <v>43556.948751159733</v>
      </c>
      <c r="P441" s="1697">
        <f>+IF(COLUMNS($L441:P441)&lt;month,'6. Market'!$AP$107*SUM(P424:P425,P427:P428,P430:P431),0)</f>
        <v>43556.948751159733</v>
      </c>
      <c r="Q441" s="1697">
        <f>+IF(COLUMNS($L441:Q441)&lt;month,'6. Market'!$AP$107*SUM(Q424:Q425,Q427:Q428,Q430:Q431),0)</f>
        <v>43556.948751159733</v>
      </c>
      <c r="R441" s="1697">
        <f>+IF(COLUMNS($L441:R441)&lt;month,'6. Market'!$AP$107*SUM(R424:R425,R427:R428,R430:R431),0)</f>
        <v>43556.948751159733</v>
      </c>
      <c r="S441" s="1697">
        <f>+IF(COLUMNS($L441:S441)&lt;month,'6. Market'!$AP$107*SUM(S424:S425,S427:S428,S430:S431),0)</f>
        <v>43556.948751159733</v>
      </c>
      <c r="T441" s="1697">
        <f>+IF(COLUMNS($L441:T441)&lt;month,'6. Market'!$AP$107*SUM(T424:T425,T427:T428,T430:T431),0)</f>
        <v>43556.948751159733</v>
      </c>
      <c r="U441" s="1697">
        <f>+IF(COLUMNS($L441:U441)&lt;month,'6. Market'!$AP$107*SUM(U424:U425,U427:U428,U430:U431),0)</f>
        <v>43556.948751159733</v>
      </c>
      <c r="V441" s="1697">
        <f>+IF(COLUMNS($L441:V441)&lt;month,'6. Market'!$AP$107*SUM(V424:V425,V427:V428,V430:V431),0)</f>
        <v>0</v>
      </c>
      <c r="W441" s="1697">
        <f>+IF(COLUMNS($L441:W441)&lt;month,'6. Market'!$AP$107*SUM(W424:W425,W427:W428,W430:W431),0)</f>
        <v>0</v>
      </c>
    </row>
    <row r="442" spans="1:26">
      <c r="A442" t="s">
        <v>2652</v>
      </c>
      <c r="B442" t="str">
        <f t="shared" si="22"/>
        <v>P10_11032_00494</v>
      </c>
      <c r="C442" t="str">
        <f t="shared" si="23"/>
        <v>LE_XXXX</v>
      </c>
      <c r="D442" t="s">
        <v>2886</v>
      </c>
      <c r="E442">
        <v>6010</v>
      </c>
      <c r="F442" t="s">
        <v>2888</v>
      </c>
      <c r="G442" t="s">
        <v>155</v>
      </c>
      <c r="H442" t="s">
        <v>154</v>
      </c>
      <c r="I442" t="s">
        <v>146</v>
      </c>
      <c r="J442" t="s">
        <v>147</v>
      </c>
      <c r="K442" t="str">
        <f>+"FY"&amp;RIGHT(YEAR('Hyperion Panel'!$B$9)+5,2)</f>
        <v>FY15</v>
      </c>
      <c r="L442" s="1612">
        <f>+IF(COLUMNS($L442:L442)&lt;month,'6. Market'!$AP$74/12,0)</f>
        <v>16651.90284395</v>
      </c>
      <c r="M442" s="1612">
        <f>+IF(COLUMNS($L442:M442)&lt;month,'6. Market'!$AP$74/12,0)</f>
        <v>16651.90284395</v>
      </c>
      <c r="N442" s="1612">
        <f>+IF(COLUMNS($L442:N442)&lt;month,'6. Market'!$AP$74/12,0)</f>
        <v>16651.90284395</v>
      </c>
      <c r="O442" s="1612">
        <f>+IF(COLUMNS($L442:O442)&lt;month,'6. Market'!$AP$74/12,0)</f>
        <v>16651.90284395</v>
      </c>
      <c r="P442" s="1612">
        <f>+IF(COLUMNS($L442:P442)&lt;month,'6. Market'!$AP$74/12,0)</f>
        <v>16651.90284395</v>
      </c>
      <c r="Q442" s="1612">
        <f>+IF(COLUMNS($L442:Q442)&lt;month,'6. Market'!$AP$74/12,0)</f>
        <v>16651.90284395</v>
      </c>
      <c r="R442" s="1612">
        <f>+IF(COLUMNS($L442:R442)&lt;month,'6. Market'!$AP$74/12,0)</f>
        <v>16651.90284395</v>
      </c>
      <c r="S442" s="1612">
        <f>+IF(COLUMNS($L442:S442)&lt;month,'6. Market'!$AP$74/12,0)</f>
        <v>16651.90284395</v>
      </c>
      <c r="T442" s="1612">
        <f>+IF(COLUMNS($L442:T442)&lt;month,'6. Market'!$AP$74/12,0)</f>
        <v>16651.90284395</v>
      </c>
      <c r="U442" s="1612">
        <f>+IF(COLUMNS($L442:U442)&lt;month,'6. Market'!$AP$74/12,0)</f>
        <v>16651.90284395</v>
      </c>
      <c r="V442" s="1612">
        <f>+IF(COLUMNS($L442:V442)&lt;month,'6. Market'!$AP$74/12,0)</f>
        <v>0</v>
      </c>
      <c r="W442" s="1612">
        <f>+IF(COLUMNS($L442:W442)&lt;month,'6. Market'!$AP$74/12,0)</f>
        <v>0</v>
      </c>
    </row>
    <row r="443" spans="1:26">
      <c r="A443" t="s">
        <v>2653</v>
      </c>
      <c r="B443" t="str">
        <f t="shared" si="22"/>
        <v>P10_11032_00494</v>
      </c>
      <c r="C443" t="str">
        <f t="shared" si="23"/>
        <v>LE_XXXX</v>
      </c>
      <c r="D443" t="s">
        <v>2886</v>
      </c>
      <c r="E443">
        <v>6051</v>
      </c>
      <c r="F443" t="s">
        <v>2888</v>
      </c>
      <c r="G443" t="s">
        <v>153</v>
      </c>
      <c r="H443" t="s">
        <v>154</v>
      </c>
      <c r="I443" t="s">
        <v>146</v>
      </c>
      <c r="J443" t="s">
        <v>147</v>
      </c>
      <c r="K443" t="str">
        <f>+"FY"&amp;RIGHT(YEAR('Hyperion Panel'!$B$9)+5,2)</f>
        <v>FY15</v>
      </c>
      <c r="L443" s="1612">
        <f>+IF(COLUMNS($L443:L443)&lt;month,'6. Market'!$AP$75/12,0)</f>
        <v>21261.681231804134</v>
      </c>
      <c r="M443" s="1612">
        <f>+IF(COLUMNS($L443:M443)&lt;month,'6. Market'!$AP$75/12,0)</f>
        <v>21261.681231804134</v>
      </c>
      <c r="N443" s="1612">
        <f>+IF(COLUMNS($L443:N443)&lt;month,'6. Market'!$AP$75/12,0)</f>
        <v>21261.681231804134</v>
      </c>
      <c r="O443" s="1612">
        <f>+IF(COLUMNS($L443:O443)&lt;month,'6. Market'!$AP$75/12,0)</f>
        <v>21261.681231804134</v>
      </c>
      <c r="P443" s="1612">
        <f>+IF(COLUMNS($L443:P443)&lt;month,'6. Market'!$AP$75/12,0)</f>
        <v>21261.681231804134</v>
      </c>
      <c r="Q443" s="1612">
        <f>+IF(COLUMNS($L443:Q443)&lt;month,'6. Market'!$AP$75/12,0)</f>
        <v>21261.681231804134</v>
      </c>
      <c r="R443" s="1612">
        <f>+IF(COLUMNS($L443:R443)&lt;month,'6. Market'!$AP$75/12,0)</f>
        <v>21261.681231804134</v>
      </c>
      <c r="S443" s="1612">
        <f>+IF(COLUMNS($L443:S443)&lt;month,'6. Market'!$AP$75/12,0)</f>
        <v>21261.681231804134</v>
      </c>
      <c r="T443" s="1612">
        <f>+IF(COLUMNS($L443:T443)&lt;month,'6. Market'!$AP$75/12,0)</f>
        <v>21261.681231804134</v>
      </c>
      <c r="U443" s="1612">
        <f>+IF(COLUMNS($L443:U443)&lt;month,'6. Market'!$AP$75/12,0)</f>
        <v>21261.681231804134</v>
      </c>
      <c r="V443" s="1612">
        <f>+IF(COLUMNS($L443:V443)&lt;month,'6. Market'!$AP$75/12,0)</f>
        <v>0</v>
      </c>
      <c r="W443" s="1612">
        <f>+IF(COLUMNS($L443:W443)&lt;month,'6. Market'!$AP$75/12,0)</f>
        <v>0</v>
      </c>
    </row>
    <row r="444" spans="1:26">
      <c r="A444" t="s">
        <v>2654</v>
      </c>
      <c r="B444" t="str">
        <f t="shared" si="22"/>
        <v>P10_11032_00494</v>
      </c>
      <c r="C444" t="str">
        <f t="shared" si="23"/>
        <v>LE_XXXX</v>
      </c>
      <c r="D444" t="s">
        <v>2886</v>
      </c>
      <c r="E444">
        <v>6011</v>
      </c>
      <c r="F444" t="s">
        <v>2888</v>
      </c>
      <c r="G444" t="s">
        <v>153</v>
      </c>
      <c r="H444" t="s">
        <v>154</v>
      </c>
      <c r="I444" t="s">
        <v>146</v>
      </c>
      <c r="J444" t="s">
        <v>147</v>
      </c>
      <c r="K444" t="str">
        <f>+"FY"&amp;RIGHT(YEAR('Hyperion Panel'!$B$9)+5,2)</f>
        <v>FY15</v>
      </c>
      <c r="L444" s="1612">
        <f>+IF(COLUMNS($L444:L444)&lt;month,'6. Market'!$AP$76/12,0)</f>
        <v>0</v>
      </c>
      <c r="M444" s="1612">
        <f>+IF(COLUMNS($L444:M444)&lt;month,'6. Market'!$AP$76/12,0)</f>
        <v>0</v>
      </c>
      <c r="N444" s="1612">
        <f>+IF(COLUMNS($L444:N444)&lt;month,'6. Market'!$AP$76/12,0)</f>
        <v>0</v>
      </c>
      <c r="O444" s="1612">
        <f>+IF(COLUMNS($L444:O444)&lt;month,'6. Market'!$AP$76/12,0)</f>
        <v>0</v>
      </c>
      <c r="P444" s="1612">
        <f>+IF(COLUMNS($L444:P444)&lt;month,'6. Market'!$AP$76/12,0)</f>
        <v>0</v>
      </c>
      <c r="Q444" s="1612">
        <f>+IF(COLUMNS($L444:Q444)&lt;month,'6. Market'!$AP$76/12,0)</f>
        <v>0</v>
      </c>
      <c r="R444" s="1612">
        <f>+IF(COLUMNS($L444:R444)&lt;month,'6. Market'!$AP$76/12,0)</f>
        <v>0</v>
      </c>
      <c r="S444" s="1612">
        <f>+IF(COLUMNS($L444:S444)&lt;month,'6. Market'!$AP$76/12,0)</f>
        <v>0</v>
      </c>
      <c r="T444" s="1612">
        <f>+IF(COLUMNS($L444:T444)&lt;month,'6. Market'!$AP$76/12,0)</f>
        <v>0</v>
      </c>
      <c r="U444" s="1612">
        <f>+IF(COLUMNS($L444:U444)&lt;month,'6. Market'!$AP$76/12,0)</f>
        <v>0</v>
      </c>
      <c r="V444" s="1612">
        <f>+IF(COLUMNS($L444:V444)&lt;month,'6. Market'!$AP$76/12,0)</f>
        <v>0</v>
      </c>
      <c r="W444" s="1612">
        <f>+IF(COLUMNS($L444:W444)&lt;month,'6. Market'!$AP$76/12,0)</f>
        <v>0</v>
      </c>
    </row>
    <row r="445" spans="1:26">
      <c r="A445" s="6" t="s">
        <v>3769</v>
      </c>
      <c r="B445" t="str">
        <f t="shared" si="22"/>
        <v>P10_11032_00494</v>
      </c>
      <c r="C445" t="str">
        <f t="shared" si="23"/>
        <v>LE_XXXX</v>
      </c>
      <c r="D445" t="s">
        <v>2886</v>
      </c>
      <c r="E445">
        <v>6600</v>
      </c>
      <c r="F445" t="s">
        <v>2888</v>
      </c>
      <c r="G445" t="s">
        <v>2889</v>
      </c>
      <c r="H445" t="s">
        <v>154</v>
      </c>
      <c r="I445" t="s">
        <v>146</v>
      </c>
      <c r="J445" t="s">
        <v>147</v>
      </c>
      <c r="K445" t="str">
        <f>+"FY"&amp;RIGHT(YEAR('Hyperion Panel'!$B$9)+5,2)</f>
        <v>FY15</v>
      </c>
      <c r="L445" s="1712">
        <f>+IF(COLUMNS($L445:L445)&lt;month,'2.3 Expenses'!$R$47*SUM(L424:L425,L427:L428),0)</f>
        <v>57324.402981826854</v>
      </c>
      <c r="M445" s="1712">
        <f>+IF(COLUMNS($L445:M445)&lt;month,'2.3 Expenses'!$R$47*SUM(M424:M425,M427:M428),0)</f>
        <v>57324.402981826854</v>
      </c>
      <c r="N445" s="1712">
        <f>+IF(COLUMNS($L445:N445)&lt;month,'2.3 Expenses'!$R$47*SUM(N424:N425,N427:N428),0)</f>
        <v>57324.402981826854</v>
      </c>
      <c r="O445" s="1712">
        <f>+IF(COLUMNS($L445:O445)&lt;month,'2.3 Expenses'!$R$47*SUM(O424:O425,O427:O428),0)</f>
        <v>57324.402981826854</v>
      </c>
      <c r="P445" s="1712">
        <f>+IF(COLUMNS($L445:P445)&lt;month,'2.3 Expenses'!$R$47*SUM(P424:P425,P427:P428),0)</f>
        <v>57324.402981826854</v>
      </c>
      <c r="Q445" s="1712">
        <f>+IF(COLUMNS($L445:Q445)&lt;month,'2.3 Expenses'!$R$47*SUM(Q424:Q425,Q427:Q428),0)</f>
        <v>57324.402981826854</v>
      </c>
      <c r="R445" s="1712">
        <f>+IF(COLUMNS($L445:R445)&lt;month,'2.3 Expenses'!$R$47*SUM(R424:R425,R427:R428),0)</f>
        <v>57324.402981826854</v>
      </c>
      <c r="S445" s="1712">
        <f>+IF(COLUMNS($L445:S445)&lt;month,'2.3 Expenses'!$R$47*SUM(S424:S425,S427:S428),0)</f>
        <v>57324.402981826854</v>
      </c>
      <c r="T445" s="1712">
        <f>+IF(COLUMNS($L445:T445)&lt;month,'2.3 Expenses'!$R$47*SUM(T424:T425,T427:T428),0)</f>
        <v>57324.402981826854</v>
      </c>
      <c r="U445" s="1712">
        <f>+IF(COLUMNS($L445:U445)&lt;month,'2.3 Expenses'!$R$47*SUM(U424:U425,U427:U428),0)</f>
        <v>57324.402981826854</v>
      </c>
      <c r="V445" s="1712">
        <f>+IF(COLUMNS($L445:V445)&lt;month,'2.3 Expenses'!$R$47*SUM(V424:V425,V427:V428),0)</f>
        <v>0</v>
      </c>
      <c r="W445" s="1712">
        <f>+IF(COLUMNS($L445:W445)&lt;month,'2.3 Expenses'!$R$47*SUM(W424:W425,W427:W428),0)</f>
        <v>0</v>
      </c>
    </row>
    <row r="446" spans="1:26">
      <c r="A446" s="6" t="s">
        <v>3770</v>
      </c>
      <c r="B446" t="str">
        <f t="shared" si="22"/>
        <v>P10_11032_00494</v>
      </c>
      <c r="C446" t="str">
        <f t="shared" si="23"/>
        <v>LE_XXXX</v>
      </c>
      <c r="D446" t="s">
        <v>2886</v>
      </c>
      <c r="E446">
        <v>6800</v>
      </c>
      <c r="F446" t="s">
        <v>156</v>
      </c>
      <c r="G446" t="s">
        <v>2889</v>
      </c>
      <c r="H446" t="s">
        <v>154</v>
      </c>
      <c r="I446" t="s">
        <v>146</v>
      </c>
      <c r="J446" t="s">
        <v>147</v>
      </c>
      <c r="K446" t="str">
        <f>+"FY"&amp;RIGHT(YEAR('Hyperion Panel'!$B$9)+5,2)</f>
        <v>FY15</v>
      </c>
      <c r="L446" s="1712">
        <f>+IF(COLUMNS($L446:L446)&lt;month,'2.3 Expenses'!$R$50*SUM(L424:L425,L427:L428),0)</f>
        <v>22089.252373325824</v>
      </c>
      <c r="M446" s="1712">
        <f>+IF(COLUMNS($L446:M446)&lt;month,'2.3 Expenses'!$R$50*SUM(M424:M425,M427:M428),0)</f>
        <v>22089.252373325824</v>
      </c>
      <c r="N446" s="1712">
        <f>+IF(COLUMNS($L446:N446)&lt;month,'2.3 Expenses'!$R$50*SUM(N424:N425,N427:N428),0)</f>
        <v>22089.252373325824</v>
      </c>
      <c r="O446" s="1712">
        <f>+IF(COLUMNS($L446:O446)&lt;month,'2.3 Expenses'!$R$50*SUM(O424:O425,O427:O428),0)</f>
        <v>22089.252373325824</v>
      </c>
      <c r="P446" s="1712">
        <f>+IF(COLUMNS($L446:P446)&lt;month,'2.3 Expenses'!$R$50*SUM(P424:P425,P427:P428),0)</f>
        <v>22089.252373325824</v>
      </c>
      <c r="Q446" s="1712">
        <f>+IF(COLUMNS($L446:Q446)&lt;month,'2.3 Expenses'!$R$50*SUM(Q424:Q425,Q427:Q428),0)</f>
        <v>22089.252373325824</v>
      </c>
      <c r="R446" s="1712">
        <f>+IF(COLUMNS($L446:R446)&lt;month,'2.3 Expenses'!$R$50*SUM(R424:R425,R427:R428),0)</f>
        <v>22089.252373325824</v>
      </c>
      <c r="S446" s="1712">
        <f>+IF(COLUMNS($L446:S446)&lt;month,'2.3 Expenses'!$R$50*SUM(S424:S425,S427:S428),0)</f>
        <v>22089.252373325824</v>
      </c>
      <c r="T446" s="1712">
        <f>+IF(COLUMNS($L446:T446)&lt;month,'2.3 Expenses'!$R$50*SUM(T424:T425,T427:T428),0)</f>
        <v>22089.252373325824</v>
      </c>
      <c r="U446" s="1712">
        <f>+IF(COLUMNS($L446:U446)&lt;month,'2.3 Expenses'!$R$50*SUM(U424:U425,U427:U428),0)</f>
        <v>22089.252373325824</v>
      </c>
      <c r="V446" s="1712">
        <f>+IF(COLUMNS($L446:V446)&lt;month,'2.3 Expenses'!$R$50*SUM(V424:V425,V427:V428),0)</f>
        <v>0</v>
      </c>
      <c r="W446" s="1712">
        <f>+IF(COLUMNS($L446:W446)&lt;month,'2.3 Expenses'!$R$50*SUM(W424:W425,W427:W428),0)</f>
        <v>0</v>
      </c>
    </row>
    <row r="447" spans="1:26">
      <c r="A447" t="s">
        <v>3697</v>
      </c>
      <c r="B447" t="str">
        <f t="shared" si="22"/>
        <v>P10_11032_00494</v>
      </c>
      <c r="C447" t="str">
        <f t="shared" si="23"/>
        <v>LE_XXXX</v>
      </c>
      <c r="D447" t="s">
        <v>2886</v>
      </c>
      <c r="E447">
        <v>8600</v>
      </c>
      <c r="F447" t="s">
        <v>156</v>
      </c>
      <c r="G447" t="s">
        <v>2889</v>
      </c>
      <c r="H447" t="s">
        <v>154</v>
      </c>
      <c r="I447" t="s">
        <v>146</v>
      </c>
      <c r="J447" t="s">
        <v>147</v>
      </c>
      <c r="K447" t="str">
        <f>+"FY"&amp;RIGHT(YEAR('Hyperion Panel'!$B$9)+5,2)</f>
        <v>FY15</v>
      </c>
      <c r="L447" s="1612">
        <f>+IF(COLUMNS($L447:L447)&lt;month,'6. Market'!$AP$78/12,0)</f>
        <v>18542.746389661901</v>
      </c>
      <c r="M447" s="1612">
        <f>+IF(COLUMNS($L447:M447)&lt;month,'6. Market'!$AP$78/12,0)</f>
        <v>18542.746389661901</v>
      </c>
      <c r="N447" s="1612">
        <f>+IF(COLUMNS($L447:N447)&lt;month,'6. Market'!$AP$78/12,0)</f>
        <v>18542.746389661901</v>
      </c>
      <c r="O447" s="1612">
        <f>+IF(COLUMNS($L447:O447)&lt;month,'6. Market'!$AP$78/12,0)</f>
        <v>18542.746389661901</v>
      </c>
      <c r="P447" s="1612">
        <f>+IF(COLUMNS($L447:P447)&lt;month,'6. Market'!$AP$78/12,0)</f>
        <v>18542.746389661901</v>
      </c>
      <c r="Q447" s="1612">
        <f>+IF(COLUMNS($L447:Q447)&lt;month,'6. Market'!$AP$78/12,0)</f>
        <v>18542.746389661901</v>
      </c>
      <c r="R447" s="1612">
        <f>+IF(COLUMNS($L447:R447)&lt;month,'6. Market'!$AP$78/12,0)</f>
        <v>18542.746389661901</v>
      </c>
      <c r="S447" s="1612">
        <f>+IF(COLUMNS($L447:S447)&lt;month,'6. Market'!$AP$78/12,0)</f>
        <v>18542.746389661901</v>
      </c>
      <c r="T447" s="1612">
        <f>+IF(COLUMNS($L447:T447)&lt;month,'6. Market'!$AP$78/12,0)</f>
        <v>18542.746389661901</v>
      </c>
      <c r="U447" s="1612">
        <f>+IF(COLUMNS($L447:U447)&lt;month,'6. Market'!$AP$78/12,0)</f>
        <v>18542.746389661901</v>
      </c>
      <c r="V447" s="1612">
        <f>+IF(COLUMNS($L447:V447)&lt;month,'6. Market'!$AP$78/12,0)</f>
        <v>0</v>
      </c>
      <c r="W447" s="1612">
        <f>+IF(COLUMNS($L447:W447)&lt;month,'6. Market'!$AP$78/12,0)</f>
        <v>0</v>
      </c>
    </row>
    <row r="448" spans="1:26">
      <c r="A448" t="s">
        <v>157</v>
      </c>
      <c r="B448" t="str">
        <f t="shared" si="22"/>
        <v>P10_11032_00494</v>
      </c>
      <c r="C448" t="str">
        <f t="shared" si="23"/>
        <v>LE_XXXX</v>
      </c>
      <c r="D448" t="s">
        <v>2886</v>
      </c>
      <c r="E448">
        <v>6720</v>
      </c>
      <c r="F448" t="s">
        <v>156</v>
      </c>
      <c r="G448" t="s">
        <v>2889</v>
      </c>
      <c r="H448" t="s">
        <v>154</v>
      </c>
      <c r="I448" t="s">
        <v>146</v>
      </c>
      <c r="J448" t="s">
        <v>147</v>
      </c>
      <c r="K448" t="str">
        <f>+"FY"&amp;RIGHT(YEAR('Hyperion Panel'!$B$9)+5,2)</f>
        <v>FY15</v>
      </c>
      <c r="L448" s="1612">
        <f>+IF(COLUMNS($L448:L448)&lt;month,'6. Market'!$AP$79/12,0)</f>
        <v>15833.32</v>
      </c>
      <c r="M448" s="1612">
        <f>+IF(COLUMNS($L448:M448)&lt;month,'6. Market'!$AP$79/12,0)</f>
        <v>15833.32</v>
      </c>
      <c r="N448" s="1612">
        <f>+IF(COLUMNS($L448:N448)&lt;month,'6. Market'!$AP$79/12,0)</f>
        <v>15833.32</v>
      </c>
      <c r="O448" s="1612">
        <f>+IF(COLUMNS($L448:O448)&lt;month,'6. Market'!$AP$79/12,0)</f>
        <v>15833.32</v>
      </c>
      <c r="P448" s="1612">
        <f>+IF(COLUMNS($L448:P448)&lt;month,'6. Market'!$AP$79/12,0)</f>
        <v>15833.32</v>
      </c>
      <c r="Q448" s="1612">
        <f>+IF(COLUMNS($L448:Q448)&lt;month,'6. Market'!$AP$79/12,0)</f>
        <v>15833.32</v>
      </c>
      <c r="R448" s="1612">
        <f>+IF(COLUMNS($L448:R448)&lt;month,'6. Market'!$AP$79/12,0)</f>
        <v>15833.32</v>
      </c>
      <c r="S448" s="1612">
        <f>+IF(COLUMNS($L448:S448)&lt;month,'6. Market'!$AP$79/12,0)</f>
        <v>15833.32</v>
      </c>
      <c r="T448" s="1612">
        <f>+IF(COLUMNS($L448:T448)&lt;month,'6. Market'!$AP$79/12,0)</f>
        <v>15833.32</v>
      </c>
      <c r="U448" s="1612">
        <f>+IF(COLUMNS($L448:U448)&lt;month,'6. Market'!$AP$79/12,0)</f>
        <v>15833.32</v>
      </c>
      <c r="V448" s="1612">
        <f>+IF(COLUMNS($L448:V448)&lt;month,'6. Market'!$AP$79/12,0)</f>
        <v>0</v>
      </c>
      <c r="W448" s="1612">
        <f>+IF(COLUMNS($L448:W448)&lt;month,'6. Market'!$AP$79/12,0)</f>
        <v>0</v>
      </c>
    </row>
    <row r="449" spans="1:26">
      <c r="A449" t="s">
        <v>3771</v>
      </c>
      <c r="B449" t="str">
        <f t="shared" si="22"/>
        <v>P10_11032_00494</v>
      </c>
      <c r="C449" t="str">
        <f t="shared" si="23"/>
        <v>LE_XXXX</v>
      </c>
      <c r="D449" t="s">
        <v>2886</v>
      </c>
      <c r="E449">
        <v>8110</v>
      </c>
      <c r="F449" t="s">
        <v>156</v>
      </c>
      <c r="G449" t="s">
        <v>2889</v>
      </c>
      <c r="H449" t="s">
        <v>154</v>
      </c>
      <c r="I449" t="s">
        <v>146</v>
      </c>
      <c r="J449" t="s">
        <v>147</v>
      </c>
      <c r="K449" t="str">
        <f>+"FY"&amp;RIGHT(YEAR('Hyperion Panel'!$B$9)+5,2)</f>
        <v>FY15</v>
      </c>
      <c r="L449" s="1612">
        <f>+IF(COLUMNS($L449:L449)&lt;month,'6. Market'!$AP$82/12,0)</f>
        <v>1175.82468135105</v>
      </c>
      <c r="M449" s="1612">
        <f>+IF(COLUMNS($L449:M449)&lt;month,'6. Market'!$AP$82/12,0)</f>
        <v>1175.82468135105</v>
      </c>
      <c r="N449" s="1612">
        <f>+IF(COLUMNS($L449:N449)&lt;month,'6. Market'!$AP$82/12,0)</f>
        <v>1175.82468135105</v>
      </c>
      <c r="O449" s="1612">
        <f>+IF(COLUMNS($L449:O449)&lt;month,'6. Market'!$AP$82/12,0)</f>
        <v>1175.82468135105</v>
      </c>
      <c r="P449" s="1612">
        <f>+IF(COLUMNS($L449:P449)&lt;month,'6. Market'!$AP$82/12,0)</f>
        <v>1175.82468135105</v>
      </c>
      <c r="Q449" s="1612">
        <f>+IF(COLUMNS($L449:Q449)&lt;month,'6. Market'!$AP$82/12,0)</f>
        <v>1175.82468135105</v>
      </c>
      <c r="R449" s="1612">
        <f>+IF(COLUMNS($L449:R449)&lt;month,'6. Market'!$AP$82/12,0)</f>
        <v>1175.82468135105</v>
      </c>
      <c r="S449" s="1612">
        <f>+IF(COLUMNS($L449:S449)&lt;month,'6. Market'!$AP$82/12,0)</f>
        <v>1175.82468135105</v>
      </c>
      <c r="T449" s="1612">
        <f>+IF(COLUMNS($L449:T449)&lt;month,'6. Market'!$AP$82/12,0)</f>
        <v>1175.82468135105</v>
      </c>
      <c r="U449" s="1612">
        <f>+IF(COLUMNS($L449:U449)&lt;month,'6. Market'!$AP$82/12,0)</f>
        <v>1175.82468135105</v>
      </c>
      <c r="V449" s="1612">
        <f>+IF(COLUMNS($L449:V449)&lt;month,'6. Market'!$AP$82/12,0)</f>
        <v>0</v>
      </c>
      <c r="W449" s="1612">
        <f>+IF(COLUMNS($L449:W449)&lt;month,'6. Market'!$AP$82/12,0)</f>
        <v>0</v>
      </c>
    </row>
    <row r="450" spans="1:26">
      <c r="A450" s="102" t="s">
        <v>171</v>
      </c>
      <c r="B450" t="str">
        <f t="shared" si="22"/>
        <v>P10_11032_00494</v>
      </c>
      <c r="C450" s="98" t="str">
        <f t="shared" si="23"/>
        <v>LE_XXXX</v>
      </c>
      <c r="D450" s="98" t="s">
        <v>2886</v>
      </c>
      <c r="E450" s="98">
        <v>6412</v>
      </c>
      <c r="F450" s="98" t="s">
        <v>156</v>
      </c>
      <c r="G450" s="98" t="s">
        <v>2889</v>
      </c>
      <c r="H450" s="98" t="s">
        <v>154</v>
      </c>
      <c r="I450" s="98" t="s">
        <v>146</v>
      </c>
      <c r="J450" s="98" t="s">
        <v>147</v>
      </c>
      <c r="K450" t="str">
        <f>+"FY"&amp;RIGHT(YEAR('Hyperion Panel'!$B$9)+5,2)</f>
        <v>FY15</v>
      </c>
      <c r="L450" s="1712">
        <f>+IF(COLUMNS($L446:L446)&lt;month,'2.3 Expenses'!$R$57*SUM(L424:L425,L427:L428),0)</f>
        <v>20895.042475531234</v>
      </c>
      <c r="M450" s="1712">
        <f>+IF(COLUMNS($L446:M446)&lt;month,'2.3 Expenses'!$R$57*SUM(M424:M425,M427:M428),0)</f>
        <v>20895.042475531234</v>
      </c>
      <c r="N450" s="1712">
        <f>+IF(COLUMNS($L446:N446)&lt;month,'2.3 Expenses'!$R$57*SUM(N424:N425,N427:N428),0)</f>
        <v>20895.042475531234</v>
      </c>
      <c r="O450" s="1712">
        <f>+IF(COLUMNS($L446:O446)&lt;month,'2.3 Expenses'!$R$57*SUM(O424:O425,O427:O428),0)</f>
        <v>20895.042475531234</v>
      </c>
      <c r="P450" s="1712">
        <f>+IF(COLUMNS($L446:P446)&lt;month,'2.3 Expenses'!$R$57*SUM(P424:P425,P427:P428),0)</f>
        <v>20895.042475531234</v>
      </c>
      <c r="Q450" s="1712">
        <f>+IF(COLUMNS($L446:Q446)&lt;month,'2.3 Expenses'!$R$57*SUM(Q424:Q425,Q427:Q428),0)</f>
        <v>20895.042475531234</v>
      </c>
      <c r="R450" s="1712">
        <f>+IF(COLUMNS($L446:R446)&lt;month,'2.3 Expenses'!$R$57*SUM(R424:R425,R427:R428),0)</f>
        <v>20895.042475531234</v>
      </c>
      <c r="S450" s="1712">
        <f>+IF(COLUMNS($L446:S446)&lt;month,'2.3 Expenses'!$R$57*SUM(S424:S425,S427:S428),0)</f>
        <v>20895.042475531234</v>
      </c>
      <c r="T450" s="1712">
        <f>+IF(COLUMNS($L446:T446)&lt;month,'2.3 Expenses'!$R$57*SUM(T424:T425,T427:T428),0)</f>
        <v>20895.042475531234</v>
      </c>
      <c r="U450" s="1712">
        <f>+IF(COLUMNS($L446:U446)&lt;month,'2.3 Expenses'!$R$57*SUM(U424:U425,U427:U428),0)</f>
        <v>20895.042475531234</v>
      </c>
      <c r="V450" s="1712">
        <f>+IF(COLUMNS($L446:V446)&lt;month,'2.3 Expenses'!$R$57*SUM(V424:V425,V427:V428),0)</f>
        <v>0</v>
      </c>
      <c r="W450" s="1712">
        <f>+IF(COLUMNS($L446:W446)&lt;month,'2.3 Expenses'!$R$57*SUM(W424:W425,W427:W428),0)</f>
        <v>0</v>
      </c>
    </row>
    <row r="451" spans="1:26" s="3" customFormat="1">
      <c r="A451" s="1687" t="s">
        <v>730</v>
      </c>
      <c r="B451" t="str">
        <f t="shared" si="22"/>
        <v>P10_11032_00494</v>
      </c>
      <c r="C451" s="1687" t="str">
        <f>+$C$2</f>
        <v>LE_XXXX</v>
      </c>
      <c r="D451" s="1687" t="s">
        <v>2886</v>
      </c>
      <c r="E451" s="1687">
        <v>8110</v>
      </c>
      <c r="F451" s="1687" t="s">
        <v>731</v>
      </c>
      <c r="G451" s="1687" t="s">
        <v>2889</v>
      </c>
      <c r="H451" s="1687" t="s">
        <v>154</v>
      </c>
      <c r="I451" s="1687" t="s">
        <v>146</v>
      </c>
      <c r="J451" s="1687" t="s">
        <v>147</v>
      </c>
      <c r="K451" t="str">
        <f>+"FY"&amp;RIGHT(YEAR('Hyperion Panel'!$B$9)+5,2)</f>
        <v>FY15</v>
      </c>
      <c r="L451" s="1704">
        <f>+IF(COLUMNS($L451:L451)&lt;month,'6. Market'!$AP$88/12,0)</f>
        <v>937.9240083333334</v>
      </c>
      <c r="M451" s="1704">
        <f>+IF(COLUMNS($L451:M451)&lt;month,'6. Market'!$AP$88/12,0)</f>
        <v>937.9240083333334</v>
      </c>
      <c r="N451" s="1704">
        <f>+IF(COLUMNS($L451:N451)&lt;month,'6. Market'!$AP$88/12,0)</f>
        <v>937.9240083333334</v>
      </c>
      <c r="O451" s="1704">
        <f>+IF(COLUMNS($L451:O451)&lt;month,'6. Market'!$AP$88/12,0)</f>
        <v>937.9240083333334</v>
      </c>
      <c r="P451" s="1704">
        <f>+IF(COLUMNS($L451:P451)&lt;month,'6. Market'!$AP$88/12,0)</f>
        <v>937.9240083333334</v>
      </c>
      <c r="Q451" s="1704">
        <f>+IF(COLUMNS($L451:Q451)&lt;month,'6. Market'!$AP$88/12,0)</f>
        <v>937.9240083333334</v>
      </c>
      <c r="R451" s="1704">
        <f>+IF(COLUMNS($L451:R451)&lt;month,'6. Market'!$AP$88/12,0)</f>
        <v>937.9240083333334</v>
      </c>
      <c r="S451" s="1704">
        <f>+IF(COLUMNS($L451:S451)&lt;month,'6. Market'!$AP$88/12,0)</f>
        <v>937.9240083333334</v>
      </c>
      <c r="T451" s="1704">
        <f>+IF(COLUMNS($L451:T451)&lt;month,'6. Market'!$AP$88/12,0)</f>
        <v>937.9240083333334</v>
      </c>
      <c r="U451" s="1704">
        <f>+IF(COLUMNS($L451:U451)&lt;month,'6. Market'!$AP$88/12,0)</f>
        <v>937.9240083333334</v>
      </c>
      <c r="V451" s="1704">
        <f>+IF(COLUMNS($L451:V451)&lt;month,'6. Market'!$AP$88/12,0)</f>
        <v>0</v>
      </c>
      <c r="W451" s="1704">
        <f>+IF(COLUMNS($L451:W451)&lt;month,'6. Market'!$AP$88/12,0)</f>
        <v>0</v>
      </c>
      <c r="Y451" s="45"/>
    </row>
    <row r="452" spans="1:26" s="3" customFormat="1">
      <c r="A452" s="1687" t="s">
        <v>732</v>
      </c>
      <c r="B452" t="str">
        <f t="shared" si="22"/>
        <v>P10_11032_00494</v>
      </c>
      <c r="C452" s="1687" t="str">
        <f>+$C$2</f>
        <v>LE_XXXX</v>
      </c>
      <c r="D452" s="1687" t="s">
        <v>2886</v>
      </c>
      <c r="E452" s="1687"/>
      <c r="F452" s="1687" t="s">
        <v>731</v>
      </c>
      <c r="G452" s="1687" t="s">
        <v>2889</v>
      </c>
      <c r="H452" s="1687" t="s">
        <v>154</v>
      </c>
      <c r="I452" s="1687" t="s">
        <v>146</v>
      </c>
      <c r="J452" s="1687" t="s">
        <v>147</v>
      </c>
      <c r="K452" t="str">
        <f>+"FY"&amp;RIGHT(YEAR('Hyperion Panel'!$B$9)+5,2)</f>
        <v>FY15</v>
      </c>
      <c r="L452" s="1704">
        <f>+IF(COLUMNS($L452:L452)&lt;month,'6. Market'!$AP$89/12,0)</f>
        <v>0</v>
      </c>
      <c r="M452" s="1704">
        <f>+IF(COLUMNS($L452:M452)&lt;month,'6. Market'!$AP$89/12,0)</f>
        <v>0</v>
      </c>
      <c r="N452" s="1704">
        <f>+IF(COLUMNS($L452:N452)&lt;month,'6. Market'!$AP$89/12,0)</f>
        <v>0</v>
      </c>
      <c r="O452" s="1704">
        <f>+IF(COLUMNS($L452:O452)&lt;month,'6. Market'!$AP$89/12,0)</f>
        <v>0</v>
      </c>
      <c r="P452" s="1704">
        <f>+IF(COLUMNS($L452:P452)&lt;month,'6. Market'!$AP$89/12,0)</f>
        <v>0</v>
      </c>
      <c r="Q452" s="1704">
        <f>+IF(COLUMNS($L452:Q452)&lt;month,'6. Market'!$AP$89/12,0)</f>
        <v>0</v>
      </c>
      <c r="R452" s="1704">
        <f>+IF(COLUMNS($L452:R452)&lt;month,'6. Market'!$AP$89/12,0)</f>
        <v>0</v>
      </c>
      <c r="S452" s="1704">
        <f>+IF(COLUMNS($L452:S452)&lt;month,'6. Market'!$AP$89/12,0)</f>
        <v>0</v>
      </c>
      <c r="T452" s="1704">
        <f>+IF(COLUMNS($L452:T452)&lt;month,'6. Market'!$AP$89/12,0)</f>
        <v>0</v>
      </c>
      <c r="U452" s="1704">
        <f>+IF(COLUMNS($L452:U452)&lt;month,'6. Market'!$AP$89/12,0)</f>
        <v>0</v>
      </c>
      <c r="V452" s="1704">
        <f>+IF(COLUMNS($L452:V452)&lt;month,'6. Market'!$AP$89/12,0)</f>
        <v>0</v>
      </c>
      <c r="W452" s="1704">
        <f>+IF(COLUMNS($L452:W452)&lt;month,'6. Market'!$AP$89/12,0)</f>
        <v>0</v>
      </c>
      <c r="Y452" s="45"/>
    </row>
    <row r="453" spans="1:26" s="3" customFormat="1">
      <c r="A453" s="1687" t="s">
        <v>733</v>
      </c>
      <c r="B453" t="str">
        <f t="shared" si="22"/>
        <v>P10_11032_00494</v>
      </c>
      <c r="C453" s="1687" t="str">
        <f>+$C$2</f>
        <v>LE_XXXX</v>
      </c>
      <c r="D453" s="1687" t="s">
        <v>2886</v>
      </c>
      <c r="E453" s="1687"/>
      <c r="F453" s="1687" t="s">
        <v>731</v>
      </c>
      <c r="G453" s="1687" t="s">
        <v>2889</v>
      </c>
      <c r="H453" s="1687" t="s">
        <v>154</v>
      </c>
      <c r="I453" s="1687" t="s">
        <v>146</v>
      </c>
      <c r="J453" s="1687" t="s">
        <v>147</v>
      </c>
      <c r="K453" t="str">
        <f>+"FY"&amp;RIGHT(YEAR('Hyperion Panel'!$B$9)+5,2)</f>
        <v>FY15</v>
      </c>
      <c r="L453" s="1704">
        <f>+IF(COLUMNS($L453:L453)&lt;month,'6. Market'!$AP$90/12,0)</f>
        <v>10434.6460224</v>
      </c>
      <c r="M453" s="1704">
        <f>+IF(COLUMNS($L453:M453)&lt;month,'6. Market'!$AP$90/12,0)</f>
        <v>10434.6460224</v>
      </c>
      <c r="N453" s="1704">
        <f>+IF(COLUMNS($L453:N453)&lt;month,'6. Market'!$AP$90/12,0)</f>
        <v>10434.6460224</v>
      </c>
      <c r="O453" s="1704">
        <f>+IF(COLUMNS($L453:O453)&lt;month,'6. Market'!$AP$90/12,0)</f>
        <v>10434.6460224</v>
      </c>
      <c r="P453" s="1704">
        <f>+IF(COLUMNS($L453:P453)&lt;month,'6. Market'!$AP$90/12,0)</f>
        <v>10434.6460224</v>
      </c>
      <c r="Q453" s="1704">
        <f>+IF(COLUMNS($L453:Q453)&lt;month,'6. Market'!$AP$90/12,0)</f>
        <v>10434.6460224</v>
      </c>
      <c r="R453" s="1704">
        <f>+IF(COLUMNS($L453:R453)&lt;month,'6. Market'!$AP$90/12,0)</f>
        <v>10434.6460224</v>
      </c>
      <c r="S453" s="1704">
        <f>+IF(COLUMNS($L453:S453)&lt;month,'6. Market'!$AP$90/12,0)</f>
        <v>10434.6460224</v>
      </c>
      <c r="T453" s="1704">
        <f>+IF(COLUMNS($L453:T453)&lt;month,'6. Market'!$AP$90/12,0)</f>
        <v>10434.6460224</v>
      </c>
      <c r="U453" s="1704">
        <f>+IF(COLUMNS($L453:U453)&lt;month,'6. Market'!$AP$90/12,0)</f>
        <v>10434.6460224</v>
      </c>
      <c r="V453" s="1704">
        <f>+IF(COLUMNS($L453:V453)&lt;month,'6. Market'!$AP$90/12,0)</f>
        <v>0</v>
      </c>
      <c r="W453" s="1704">
        <f>+IF(COLUMNS($L453:W453)&lt;month,'6. Market'!$AP$90/12,0)</f>
        <v>0</v>
      </c>
      <c r="Y453" s="45"/>
    </row>
    <row r="454" spans="1:26" s="3" customFormat="1">
      <c r="A454" s="1687" t="s">
        <v>734</v>
      </c>
      <c r="B454" t="str">
        <f t="shared" si="22"/>
        <v>P10_11032_00494</v>
      </c>
      <c r="C454" s="1687" t="str">
        <f>+$C$2</f>
        <v>LE_XXXX</v>
      </c>
      <c r="D454" s="1687" t="s">
        <v>2886</v>
      </c>
      <c r="E454" s="1687">
        <v>6800</v>
      </c>
      <c r="F454" s="1687" t="s">
        <v>731</v>
      </c>
      <c r="G454" s="1687" t="s">
        <v>2889</v>
      </c>
      <c r="H454" s="1687" t="s">
        <v>154</v>
      </c>
      <c r="I454" s="1687" t="s">
        <v>146</v>
      </c>
      <c r="J454" s="1687" t="s">
        <v>147</v>
      </c>
      <c r="K454" t="str">
        <f>+"FY"&amp;RIGHT(YEAR('Hyperion Panel'!$B$9)+5,2)</f>
        <v>FY15</v>
      </c>
      <c r="L454" s="1704">
        <f>+IF(COLUMNS($L454:L454)&lt;month,'6. Market'!$AP$91/12,0)</f>
        <v>1969.6404175</v>
      </c>
      <c r="M454" s="1704">
        <f>+IF(COLUMNS($L454:M454)&lt;month,'6. Market'!$AP$91/12,0)</f>
        <v>1969.6404175</v>
      </c>
      <c r="N454" s="1704">
        <f>+IF(COLUMNS($L454:N454)&lt;month,'6. Market'!$AP$91/12,0)</f>
        <v>1969.6404175</v>
      </c>
      <c r="O454" s="1704">
        <f>+IF(COLUMNS($L454:O454)&lt;month,'6. Market'!$AP$91/12,0)</f>
        <v>1969.6404175</v>
      </c>
      <c r="P454" s="1704">
        <f>+IF(COLUMNS($L454:P454)&lt;month,'6. Market'!$AP$91/12,0)</f>
        <v>1969.6404175</v>
      </c>
      <c r="Q454" s="1704">
        <f>+IF(COLUMNS($L454:Q454)&lt;month,'6. Market'!$AP$91/12,0)</f>
        <v>1969.6404175</v>
      </c>
      <c r="R454" s="1704">
        <f>+IF(COLUMNS($L454:R454)&lt;month,'6. Market'!$AP$91/12,0)</f>
        <v>1969.6404175</v>
      </c>
      <c r="S454" s="1704">
        <f>+IF(COLUMNS($L454:S454)&lt;month,'6. Market'!$AP$91/12,0)</f>
        <v>1969.6404175</v>
      </c>
      <c r="T454" s="1704">
        <f>+IF(COLUMNS($L454:T454)&lt;month,'6. Market'!$AP$91/12,0)</f>
        <v>1969.6404175</v>
      </c>
      <c r="U454" s="1704">
        <f>+IF(COLUMNS($L454:U454)&lt;month,'6. Market'!$AP$91/12,0)</f>
        <v>1969.6404175</v>
      </c>
      <c r="V454" s="1704">
        <f>+IF(COLUMNS($L454:V454)&lt;month,'6. Market'!$AP$91/12,0)</f>
        <v>0</v>
      </c>
      <c r="W454" s="1704">
        <f>+IF(COLUMNS($L454:W454)&lt;month,'6. Market'!$AP$91/12,0)</f>
        <v>0</v>
      </c>
      <c r="Y454" s="45"/>
    </row>
    <row r="455" spans="1:26">
      <c r="A455" t="s">
        <v>158</v>
      </c>
      <c r="B455" t="str">
        <f t="shared" si="22"/>
        <v>P10_11032_00494</v>
      </c>
      <c r="C455" t="str">
        <f>+$C$243</f>
        <v>LE_XXXX</v>
      </c>
      <c r="D455" t="s">
        <v>2886</v>
      </c>
      <c r="E455" t="s">
        <v>159</v>
      </c>
      <c r="F455" t="s">
        <v>156</v>
      </c>
      <c r="G455" t="s">
        <v>2889</v>
      </c>
      <c r="H455" t="s">
        <v>154</v>
      </c>
      <c r="I455" t="s">
        <v>146</v>
      </c>
      <c r="J455" t="s">
        <v>147</v>
      </c>
      <c r="K455" t="str">
        <f>+"FY"&amp;RIGHT(YEAR('Hyperion Panel'!$B$9)+5,2)</f>
        <v>FY15</v>
      </c>
      <c r="L455" s="103">
        <f>'Hyperion Panel'!$C$7</f>
        <v>1</v>
      </c>
      <c r="M455" s="103">
        <f>'Hyperion Panel'!$C$7</f>
        <v>1</v>
      </c>
      <c r="N455" s="103">
        <f>'Hyperion Panel'!$C$7</f>
        <v>1</v>
      </c>
      <c r="O455" s="103">
        <f>'Hyperion Panel'!$C$7</f>
        <v>1</v>
      </c>
      <c r="P455" s="103">
        <f>'Hyperion Panel'!$C$7</f>
        <v>1</v>
      </c>
      <c r="Q455" s="103">
        <f>'Hyperion Panel'!$C$7</f>
        <v>1</v>
      </c>
      <c r="R455" s="103">
        <f>'Hyperion Panel'!$C$7</f>
        <v>1</v>
      </c>
      <c r="S455" s="103">
        <f>'Hyperion Panel'!$C$7</f>
        <v>1</v>
      </c>
      <c r="T455" s="103">
        <f>'Hyperion Panel'!$C$7</f>
        <v>1</v>
      </c>
      <c r="U455" s="103">
        <f>'Hyperion Panel'!$C$7</f>
        <v>1</v>
      </c>
      <c r="V455" s="1694">
        <f>'Hyperion Panel'!$C$7</f>
        <v>1</v>
      </c>
      <c r="W455" s="103">
        <f>'Hyperion Panel'!$C$7</f>
        <v>1</v>
      </c>
    </row>
    <row r="456" spans="1:26">
      <c r="A456" t="s">
        <v>160</v>
      </c>
      <c r="B456" t="str">
        <f t="shared" si="22"/>
        <v>P10_11032_00494</v>
      </c>
      <c r="C456" t="str">
        <f>+$C$243</f>
        <v>LE_XXXX</v>
      </c>
      <c r="D456" t="s">
        <v>2886</v>
      </c>
      <c r="E456" t="s">
        <v>161</v>
      </c>
      <c r="F456" t="s">
        <v>156</v>
      </c>
      <c r="G456" t="s">
        <v>2889</v>
      </c>
      <c r="H456" t="s">
        <v>154</v>
      </c>
      <c r="I456" t="s">
        <v>146</v>
      </c>
      <c r="J456" t="s">
        <v>147</v>
      </c>
      <c r="K456" t="str">
        <f>+"FY"&amp;RIGHT(YEAR('Hyperion Panel'!$B$9)+5,2)</f>
        <v>FY15</v>
      </c>
      <c r="L456" s="1705">
        <v>0</v>
      </c>
      <c r="M456" s="1705">
        <v>0</v>
      </c>
      <c r="N456" s="1705">
        <v>0</v>
      </c>
      <c r="O456" s="1705">
        <v>0</v>
      </c>
      <c r="P456" s="1705">
        <v>0</v>
      </c>
      <c r="Q456" s="1705">
        <v>0</v>
      </c>
      <c r="R456" s="1705">
        <v>0</v>
      </c>
      <c r="S456" s="1705">
        <v>0</v>
      </c>
      <c r="T456" s="1705">
        <v>0</v>
      </c>
      <c r="U456" s="1705">
        <v>0</v>
      </c>
      <c r="V456" s="1705">
        <v>0</v>
      </c>
      <c r="W456" s="1705">
        <v>0</v>
      </c>
    </row>
    <row r="457" spans="1:26" s="3" customFormat="1">
      <c r="A457" s="1687" t="s">
        <v>735</v>
      </c>
      <c r="B457" t="str">
        <f t="shared" si="22"/>
        <v>P10_11032_00494</v>
      </c>
      <c r="C457" s="1687"/>
      <c r="D457" s="1687"/>
      <c r="E457" s="1687"/>
      <c r="F457" s="1687"/>
      <c r="G457" s="1687"/>
      <c r="H457" s="1687"/>
      <c r="I457" s="1687"/>
      <c r="J457" s="1687"/>
      <c r="K457" t="str">
        <f>+"FY"&amp;RIGHT(YEAR('Hyperion Panel'!$B$9)+5,2)</f>
        <v>FY15</v>
      </c>
      <c r="L457" s="1705">
        <v>0</v>
      </c>
      <c r="M457" s="1705">
        <v>0</v>
      </c>
      <c r="N457" s="1705">
        <v>0</v>
      </c>
      <c r="O457" s="1705">
        <v>0</v>
      </c>
      <c r="P457" s="1705">
        <v>0</v>
      </c>
      <c r="Q457" s="1705">
        <v>0</v>
      </c>
      <c r="R457" s="1705">
        <v>0</v>
      </c>
      <c r="S457" s="1705">
        <v>0</v>
      </c>
      <c r="T457" s="1705">
        <v>0</v>
      </c>
      <c r="U457" s="1705">
        <v>0</v>
      </c>
      <c r="V457" s="1705">
        <v>0</v>
      </c>
      <c r="W457" s="1705">
        <v>0</v>
      </c>
      <c r="Y457" s="1688"/>
    </row>
    <row r="458" spans="1:26">
      <c r="L458" s="1612"/>
      <c r="M458" s="1612"/>
      <c r="N458" s="1612"/>
      <c r="O458" s="1612"/>
      <c r="P458" s="1612"/>
      <c r="Q458" s="1612"/>
      <c r="R458" s="1612"/>
      <c r="S458" s="1612"/>
      <c r="T458" s="1612"/>
      <c r="U458" s="1612"/>
      <c r="V458" s="1702"/>
      <c r="W458" s="1612"/>
    </row>
    <row r="459" spans="1:26">
      <c r="L459" s="1612"/>
      <c r="M459" s="1612"/>
      <c r="N459" s="1612"/>
      <c r="O459" s="1612"/>
      <c r="P459" s="1612"/>
      <c r="Q459" s="1612"/>
      <c r="R459" s="1612"/>
      <c r="S459" s="1612"/>
      <c r="T459" s="1612"/>
      <c r="U459" s="1612"/>
      <c r="V459" s="1702"/>
      <c r="W459" s="1612"/>
    </row>
    <row r="460" spans="1:26">
      <c r="A460" s="98" t="s">
        <v>165</v>
      </c>
      <c r="B460" s="98" t="str">
        <f>+"X"&amp;RIGHT(YEAR('Hyperion Panel'!$B$9),2)&amp;"_"&amp;IF(LEN('Hyperion Panel'!$B$6)&lt;4,0,"")&amp;'Hyperion Panel'!$B$6&amp;"_"&amp;IF(LEN('Hyperion Panel'!$C$6)&lt;4,0,"")&amp;'Hyperion Panel'!$C$6</f>
        <v>X10_11032_00494</v>
      </c>
      <c r="C460" t="str">
        <f>+$C$2</f>
        <v>LE_XXXX</v>
      </c>
      <c r="D460" t="s">
        <v>2886</v>
      </c>
      <c r="E460" t="s">
        <v>2887</v>
      </c>
      <c r="F460" t="s">
        <v>2888</v>
      </c>
      <c r="G460" t="s">
        <v>2889</v>
      </c>
      <c r="H460" t="s">
        <v>145</v>
      </c>
      <c r="I460" t="s">
        <v>146</v>
      </c>
      <c r="J460" t="s">
        <v>147</v>
      </c>
      <c r="K460" t="str">
        <f>+"FY"&amp;RIGHT(YEAR('Hyperion Panel'!$B$9),2)</f>
        <v>FY10</v>
      </c>
      <c r="L460" s="1612"/>
      <c r="M460" s="1612"/>
      <c r="N460" s="1612"/>
      <c r="O460" s="1612"/>
      <c r="P460" s="1612"/>
      <c r="Q460" s="1612"/>
      <c r="R460" s="1612"/>
      <c r="S460" s="1612"/>
      <c r="T460" s="1612"/>
      <c r="U460" s="1612"/>
      <c r="V460" s="1702"/>
      <c r="W460" s="1612"/>
    </row>
    <row r="461" spans="1:26" s="98" customFormat="1" ht="12.75" customHeight="1">
      <c r="A461" s="100" t="s">
        <v>463</v>
      </c>
      <c r="L461" s="1697">
        <f>+IF(COLUMNS($L461:L461)&lt;month,0,VLOOKUP("Month "&amp;(COLUMNS($L461:L461)-month+1),X_baseline_Tx,3,FALSE)*52*3/12*(1-hemomiss))</f>
        <v>0</v>
      </c>
      <c r="M461" s="1697">
        <f>+IF(COLUMNS($L461:M461)&lt;month,0,VLOOKUP("Month "&amp;(COLUMNS($L461:M461)-month+1),X_baseline_Tx,3,FALSE)*52*3/12*(1-hemomiss))</f>
        <v>0</v>
      </c>
      <c r="N461" s="1697">
        <f>+IF(COLUMNS($L461:N461)&lt;month,0,VLOOKUP("Month "&amp;(COLUMNS($L461:N461)-month+1),X_baseline_Tx,3,FALSE)*52*3/12*(1-hemomiss))</f>
        <v>0</v>
      </c>
      <c r="O461" s="1697">
        <f>+IF(COLUMNS($L461:O461)&lt;month,0,VLOOKUP("Month "&amp;(COLUMNS($L461:O461)-month+1),X_baseline_Tx,3,FALSE)*52*3/12*(1-hemomiss))</f>
        <v>0</v>
      </c>
      <c r="P461" s="1697">
        <f>+IF(COLUMNS($L461:P461)&lt;month,0,VLOOKUP("Month "&amp;(COLUMNS($L461:P461)-month+1),X_baseline_Tx,3,FALSE)*52*3/12*(1-hemomiss))</f>
        <v>0</v>
      </c>
      <c r="Q461" s="1697">
        <f>+IF(COLUMNS($L461:Q461)&lt;month,0,VLOOKUP("Month "&amp;(COLUMNS($L461:Q461)-month+1),X_baseline_Tx,3,FALSE)*52*3/12*(1-hemomiss))</f>
        <v>0</v>
      </c>
      <c r="R461" s="1697">
        <f>+IF(COLUMNS($L461:R461)&lt;month,0,VLOOKUP("Month "&amp;(COLUMNS($L461:R461)-month+1),X_baseline_Tx,3,FALSE)*52*3/12*(1-hemomiss))</f>
        <v>0</v>
      </c>
      <c r="S461" s="1697">
        <f>+IF(COLUMNS($L461:S461)&lt;month,0,VLOOKUP("Month "&amp;(COLUMNS($L461:S461)-month+1),X_baseline_Tx,3,FALSE)*52*3/12*(1-hemomiss))</f>
        <v>0</v>
      </c>
      <c r="T461" s="1697">
        <f>+IF(COLUMNS($L461:T461)&lt;month,0,VLOOKUP("Month "&amp;(COLUMNS($L461:T461)-month+1),X_baseline_Tx,3,FALSE)*52*3/12*(1-hemomiss))</f>
        <v>0</v>
      </c>
      <c r="U461" s="1697">
        <f>+IF(COLUMNS($L461:U461)&lt;month,0,VLOOKUP("Month "&amp;(COLUMNS($L461:U461)-month+1),X_baseline_Tx,3,FALSE)*52*3/12*(1-hemomiss))</f>
        <v>0</v>
      </c>
      <c r="V461" s="1700">
        <f>+IF(COLUMNS($L461:V461)&lt;month,0,VLOOKUP("Month "&amp;(COLUMNS($L461:V461)-month+1),X_baseline_Tx,3,FALSE)*52*3/12*(1-hemomiss))</f>
        <v>574.08000000000004</v>
      </c>
      <c r="W461" s="1697">
        <f>+IF(COLUMNS($L461:W461)&lt;month,0,VLOOKUP("Month "&amp;(COLUMNS($L461:W461)-month+1),X_baseline_Tx,3,FALSE)*52*3/12*(1-hemomiss))</f>
        <v>574.08000000000004</v>
      </c>
      <c r="Y461" s="99"/>
      <c r="Z461" s="97"/>
    </row>
    <row r="462" spans="1:26" s="98" customFormat="1" ht="12.75" customHeight="1">
      <c r="A462" s="100" t="s">
        <v>464</v>
      </c>
      <c r="L462" s="1697">
        <f>+IF(COLUMNS($L462:L462)&lt;month,0,VLOOKUP("Month "&amp;(COLUMNS($L462:L462)-month+1),X_baseline_Tx,4,FALSE)*52*3/12*(1-hemomiss))</f>
        <v>0</v>
      </c>
      <c r="M462" s="1697">
        <f>+IF(COLUMNS($L462:M462)&lt;month,0,VLOOKUP("Month "&amp;(COLUMNS($L462:M462)-month+1),X_baseline_Tx,4,FALSE)*52*3/12*(1-hemomiss))</f>
        <v>0</v>
      </c>
      <c r="N462" s="1697">
        <f>+IF(COLUMNS($L462:N462)&lt;month,0,VLOOKUP("Month "&amp;(COLUMNS($L462:N462)-month+1),X_baseline_Tx,4,FALSE)*52*3/12*(1-hemomiss))</f>
        <v>0</v>
      </c>
      <c r="O462" s="1697">
        <f>+IF(COLUMNS($L462:O462)&lt;month,0,VLOOKUP("Month "&amp;(COLUMNS($L462:O462)-month+1),X_baseline_Tx,4,FALSE)*52*3/12*(1-hemomiss))</f>
        <v>0</v>
      </c>
      <c r="P462" s="1697">
        <f>+IF(COLUMNS($L462:P462)&lt;month,0,VLOOKUP("Month "&amp;(COLUMNS($L462:P462)-month+1),X_baseline_Tx,4,FALSE)*52*3/12*(1-hemomiss))</f>
        <v>0</v>
      </c>
      <c r="Q462" s="1697">
        <f>+IF(COLUMNS($L462:Q462)&lt;month,0,VLOOKUP("Month "&amp;(COLUMNS($L462:Q462)-month+1),X_baseline_Tx,4,FALSE)*52*3/12*(1-hemomiss))</f>
        <v>0</v>
      </c>
      <c r="R462" s="1697">
        <f>+IF(COLUMNS($L462:R462)&lt;month,0,VLOOKUP("Month "&amp;(COLUMNS($L462:R462)-month+1),X_baseline_Tx,4,FALSE)*52*3/12*(1-hemomiss))</f>
        <v>0</v>
      </c>
      <c r="S462" s="1697">
        <f>+IF(COLUMNS($L462:S462)&lt;month,0,VLOOKUP("Month "&amp;(COLUMNS($L462:S462)-month+1),X_baseline_Tx,4,FALSE)*52*3/12*(1-hemomiss))</f>
        <v>0</v>
      </c>
      <c r="T462" s="1697">
        <f>+IF(COLUMNS($L462:T462)&lt;month,0,VLOOKUP("Month "&amp;(COLUMNS($L462:T462)-month+1),X_baseline_Tx,4,FALSE)*52*3/12*(1-hemomiss))</f>
        <v>0</v>
      </c>
      <c r="U462" s="1697">
        <f>+IF(COLUMNS($L462:U462)&lt;month,0,VLOOKUP("Month "&amp;(COLUMNS($L462:U462)-month+1),X_baseline_Tx,4,FALSE)*52*3/12*(1-hemomiss))</f>
        <v>0</v>
      </c>
      <c r="V462" s="1700">
        <f>+IF(COLUMNS($L462:V462)&lt;month,0,VLOOKUP("Month "&amp;(COLUMNS($L462:V462)-month+1),X_baseline_Tx,4,FALSE)*52*3/12*(1-hemomiss))</f>
        <v>23.92</v>
      </c>
      <c r="W462" s="1697">
        <f>+IF(COLUMNS($L462:W462)&lt;month,0,VLOOKUP("Month "&amp;(COLUMNS($L462:W462)-month+1),X_baseline_Tx,4,FALSE)*52*3/12*(1-hemomiss))</f>
        <v>23.92</v>
      </c>
      <c r="Y462" s="99"/>
      <c r="Z462" s="97"/>
    </row>
    <row r="463" spans="1:26">
      <c r="A463" s="98" t="s">
        <v>162</v>
      </c>
      <c r="B463" t="str">
        <f>+$B$460</f>
        <v>X10_11032_00494</v>
      </c>
      <c r="C463" t="str">
        <f>+$C$460</f>
        <v>LE_XXXX</v>
      </c>
      <c r="D463" t="s">
        <v>2886</v>
      </c>
      <c r="E463" t="s">
        <v>149</v>
      </c>
      <c r="F463" t="s">
        <v>150</v>
      </c>
      <c r="G463" t="s">
        <v>2889</v>
      </c>
      <c r="H463" t="s">
        <v>145</v>
      </c>
      <c r="I463" t="s">
        <v>146</v>
      </c>
      <c r="J463" t="s">
        <v>147</v>
      </c>
      <c r="K463" t="str">
        <f>+"FY"&amp;RIGHT(YEAR('Hyperion Panel'!$B$9),2)</f>
        <v>FY10</v>
      </c>
      <c r="L463" s="1612"/>
      <c r="M463" s="1612"/>
      <c r="N463" s="1612"/>
      <c r="O463" s="1612"/>
      <c r="P463" s="1612"/>
      <c r="Q463" s="1612"/>
      <c r="R463" s="1612"/>
      <c r="S463" s="1612"/>
      <c r="T463" s="1612"/>
      <c r="U463" s="1612"/>
      <c r="V463" s="1703"/>
      <c r="W463" s="1612"/>
    </row>
    <row r="464" spans="1:26" s="98" customFormat="1">
      <c r="A464" s="100" t="s">
        <v>463</v>
      </c>
      <c r="L464" s="1697">
        <f>+IF(COLUMNS($L464:L464)&lt;month,0,VLOOKUP("Month "&amp;(COLUMNS($L464:L464)-month+1),X_baseline_Tx,14,FALSE)*52*3/12*(1-homemiss))</f>
        <v>0</v>
      </c>
      <c r="M464" s="1697">
        <f>+IF(COLUMNS($L464:M464)&lt;month,0,VLOOKUP("Month "&amp;(COLUMNS($L464:M464)-month+1),X_baseline_Tx,14,FALSE)*52*3/12*(1-homemiss))</f>
        <v>0</v>
      </c>
      <c r="N464" s="1697">
        <f>+IF(COLUMNS($L464:N464)&lt;month,0,VLOOKUP("Month "&amp;(COLUMNS($L464:N464)-month+1),X_baseline_Tx,14,FALSE)*52*3/12*(1-homemiss))</f>
        <v>0</v>
      </c>
      <c r="O464" s="1697">
        <f>+IF(COLUMNS($L464:O464)&lt;month,0,VLOOKUP("Month "&amp;(COLUMNS($L464:O464)-month+1),X_baseline_Tx,14,FALSE)*52*3/12*(1-homemiss))</f>
        <v>0</v>
      </c>
      <c r="P464" s="1697">
        <f>+IF(COLUMNS($L464:P464)&lt;month,0,VLOOKUP("Month "&amp;(COLUMNS($L464:P464)-month+1),X_baseline_Tx,14,FALSE)*52*3/12*(1-homemiss))</f>
        <v>0</v>
      </c>
      <c r="Q464" s="1697">
        <f>+IF(COLUMNS($L464:Q464)&lt;month,0,VLOOKUP("Month "&amp;(COLUMNS($L464:Q464)-month+1),X_baseline_Tx,14,FALSE)*52*3/12*(1-homemiss))</f>
        <v>0</v>
      </c>
      <c r="R464" s="1697">
        <f>+IF(COLUMNS($L464:R464)&lt;month,0,VLOOKUP("Month "&amp;(COLUMNS($L464:R464)-month+1),X_baseline_Tx,14,FALSE)*52*3/12*(1-homemiss))</f>
        <v>0</v>
      </c>
      <c r="S464" s="1697">
        <f>+IF(COLUMNS($L464:S464)&lt;month,0,VLOOKUP("Month "&amp;(COLUMNS($L464:S464)-month+1),X_baseline_Tx,14,FALSE)*52*3/12*(1-homemiss))</f>
        <v>0</v>
      </c>
      <c r="T464" s="1697">
        <f>+IF(COLUMNS($L464:T464)&lt;month,0,VLOOKUP("Month "&amp;(COLUMNS($L464:T464)-month+1),X_baseline_Tx,14,FALSE)*52*3/12*(1-homemiss))</f>
        <v>0</v>
      </c>
      <c r="U464" s="1697">
        <f>+IF(COLUMNS($L464:U464)&lt;month,0,VLOOKUP("Month "&amp;(COLUMNS($L464:U464)-month+1),X_baseline_Tx,14,FALSE)*52*3/12*(1-homemiss))</f>
        <v>0</v>
      </c>
      <c r="V464" s="1697">
        <f>+IF(COLUMNS($L464:V464)&lt;month,0,VLOOKUP("Month "&amp;(COLUMNS($L464:V464)-month+1),X_baseline_Tx,14,FALSE)*52*3/12*(1-homemiss))</f>
        <v>172.9</v>
      </c>
      <c r="W464" s="1697">
        <f>+IF(COLUMNS($L464:W464)&lt;month,0,VLOOKUP("Month "&amp;(COLUMNS($L464:W464)-month+1),X_baseline_Tx,14,FALSE)*52*3/12*(1-homemiss))</f>
        <v>172.9</v>
      </c>
      <c r="Y464" s="99"/>
    </row>
    <row r="465" spans="1:26" s="98" customFormat="1">
      <c r="A465" s="100" t="s">
        <v>464</v>
      </c>
      <c r="L465" s="1697">
        <f>+IF(COLUMNS($L465:L465)&lt;month,0,VLOOKUP("Month "&amp;(COLUMNS($L465:L465)-month+1),X_baseline_Tx,15,FALSE)*52*3/12*(1-homemiss))</f>
        <v>0</v>
      </c>
      <c r="M465" s="1697">
        <f>+IF(COLUMNS($L465:M465)&lt;month,0,VLOOKUP("Month "&amp;(COLUMNS($L465:M465)-month+1),X_baseline_Tx,15,FALSE)*52*3/12*(1-homemiss))</f>
        <v>0</v>
      </c>
      <c r="N465" s="1697">
        <f>+IF(COLUMNS($L465:N465)&lt;month,0,VLOOKUP("Month "&amp;(COLUMNS($L465:N465)-month+1),X_baseline_Tx,15,FALSE)*52*3/12*(1-homemiss))</f>
        <v>0</v>
      </c>
      <c r="O465" s="1697">
        <f>+IF(COLUMNS($L465:O465)&lt;month,0,VLOOKUP("Month "&amp;(COLUMNS($L465:O465)-month+1),X_baseline_Tx,15,FALSE)*52*3/12*(1-homemiss))</f>
        <v>0</v>
      </c>
      <c r="P465" s="1697">
        <f>+IF(COLUMNS($L465:P465)&lt;month,0,VLOOKUP("Month "&amp;(COLUMNS($L465:P465)-month+1),X_baseline_Tx,15,FALSE)*52*3/12*(1-homemiss))</f>
        <v>0</v>
      </c>
      <c r="Q465" s="1697">
        <f>+IF(COLUMNS($L465:Q465)&lt;month,0,VLOOKUP("Month "&amp;(COLUMNS($L465:Q465)-month+1),X_baseline_Tx,15,FALSE)*52*3/12*(1-homemiss))</f>
        <v>0</v>
      </c>
      <c r="R465" s="1697">
        <f>+IF(COLUMNS($L465:R465)&lt;month,0,VLOOKUP("Month "&amp;(COLUMNS($L465:R465)-month+1),X_baseline_Tx,15,FALSE)*52*3/12*(1-homemiss))</f>
        <v>0</v>
      </c>
      <c r="S465" s="1697">
        <f>+IF(COLUMNS($L465:S465)&lt;month,0,VLOOKUP("Month "&amp;(COLUMNS($L465:S465)-month+1),X_baseline_Tx,15,FALSE)*52*3/12*(1-homemiss))</f>
        <v>0</v>
      </c>
      <c r="T465" s="1697">
        <f>+IF(COLUMNS($L465:T465)&lt;month,0,VLOOKUP("Month "&amp;(COLUMNS($L465:T465)-month+1),X_baseline_Tx,15,FALSE)*52*3/12*(1-homemiss))</f>
        <v>0</v>
      </c>
      <c r="U465" s="1697">
        <f>+IF(COLUMNS($L465:U465)&lt;month,0,VLOOKUP("Month "&amp;(COLUMNS($L465:U465)-month+1),X_baseline_Tx,15,FALSE)*52*3/12*(1-homemiss))</f>
        <v>0</v>
      </c>
      <c r="V465" s="1697">
        <f>+IF(COLUMNS($L465:V465)&lt;month,0,VLOOKUP("Month "&amp;(COLUMNS($L465:V465)-month+1),X_baseline_Tx,15,FALSE)*52*3/12*(1-homemiss))</f>
        <v>74.099999999999994</v>
      </c>
      <c r="W465" s="1697">
        <f>+IF(COLUMNS($L465:W465)&lt;month,0,VLOOKUP("Month "&amp;(COLUMNS($L465:W465)-month+1),X_baseline_Tx,15,FALSE)*52*3/12*(1-homemiss))</f>
        <v>74.099999999999994</v>
      </c>
      <c r="Y465" s="99"/>
    </row>
    <row r="466" spans="1:26">
      <c r="A466" s="4" t="s">
        <v>3767</v>
      </c>
      <c r="B466" s="4" t="str">
        <f>+$B$460</f>
        <v>X10_11032_00494</v>
      </c>
      <c r="C466" s="4"/>
      <c r="D466" s="4"/>
      <c r="E466" s="4"/>
      <c r="F466" s="4"/>
      <c r="G466" s="4"/>
      <c r="H466" s="4"/>
      <c r="I466" s="4"/>
      <c r="J466" s="4"/>
      <c r="K466" s="4" t="str">
        <f>+"FY"&amp;RIGHT(YEAR('Hyperion Panel'!$B$9),2)</f>
        <v>FY10</v>
      </c>
      <c r="L466" s="1698"/>
      <c r="M466" s="1698"/>
      <c r="N466" s="1698"/>
      <c r="O466" s="1698"/>
      <c r="P466" s="1698"/>
      <c r="Q466" s="1698"/>
      <c r="R466" s="1698"/>
      <c r="S466" s="1698"/>
      <c r="T466" s="1698"/>
      <c r="U466" s="1698"/>
      <c r="V466" s="1699"/>
      <c r="W466" s="1698"/>
      <c r="Y466" s="99"/>
    </row>
    <row r="467" spans="1:26">
      <c r="A467" s="101" t="s">
        <v>463</v>
      </c>
      <c r="B467" s="4"/>
      <c r="C467" s="4"/>
      <c r="D467" s="4"/>
      <c r="E467" s="4"/>
      <c r="F467" s="4"/>
      <c r="G467" s="4"/>
      <c r="H467" s="4"/>
      <c r="I467" s="4"/>
      <c r="J467" s="4"/>
      <c r="K467" s="4"/>
      <c r="L467" s="1698">
        <f>+IF(COLUMNS($L467:L467)&lt;month,0,VLOOKUP("Month "&amp;(COLUMNS($L467:L467)-month+1),X_baseline_Tx,25,FALSE)*52*3/12*(1-hhdmiss))</f>
        <v>0</v>
      </c>
      <c r="M467" s="1698">
        <f>+IF(COLUMNS($L467:M467)&lt;month,0,VLOOKUP("Month "&amp;(COLUMNS($L467:M467)-month+1),X_baseline_Tx,25,FALSE)*52*3/12*(1-hhdmiss))</f>
        <v>0</v>
      </c>
      <c r="N467" s="1698">
        <f>+IF(COLUMNS($L467:N467)&lt;month,0,VLOOKUP("Month "&amp;(COLUMNS($L467:N467)-month+1),X_baseline_Tx,25,FALSE)*52*3/12*(1-hhdmiss))</f>
        <v>0</v>
      </c>
      <c r="O467" s="1698">
        <f>+IF(COLUMNS($L467:O467)&lt;month,0,VLOOKUP("Month "&amp;(COLUMNS($L467:O467)-month+1),X_baseline_Tx,25,FALSE)*52*3/12*(1-hhdmiss))</f>
        <v>0</v>
      </c>
      <c r="P467" s="1698">
        <f>+IF(COLUMNS($L467:P467)&lt;month,0,VLOOKUP("Month "&amp;(COLUMNS($L467:P467)-month+1),X_baseline_Tx,25,FALSE)*52*3/12*(1-hhdmiss))</f>
        <v>0</v>
      </c>
      <c r="Q467" s="1698">
        <f>+IF(COLUMNS($L467:Q467)&lt;month,0,VLOOKUP("Month "&amp;(COLUMNS($L467:Q467)-month+1),X_baseline_Tx,25,FALSE)*52*3/12*(1-hhdmiss))</f>
        <v>0</v>
      </c>
      <c r="R467" s="1698">
        <f>+IF(COLUMNS($L467:R467)&lt;month,0,VLOOKUP("Month "&amp;(COLUMNS($L467:R467)-month+1),X_baseline_Tx,25,FALSE)*52*3/12*(1-hhdmiss))</f>
        <v>0</v>
      </c>
      <c r="S467" s="1698">
        <f>+IF(COLUMNS($L467:S467)&lt;month,0,VLOOKUP("Month "&amp;(COLUMNS($L467:S467)-month+1),X_baseline_Tx,25,FALSE)*52*3/12*(1-hhdmiss))</f>
        <v>0</v>
      </c>
      <c r="T467" s="1698">
        <f>+IF(COLUMNS($L467:T467)&lt;month,0,VLOOKUP("Month "&amp;(COLUMNS($L467:T467)-month+1),X_baseline_Tx,25,FALSE)*52*3/12*(1-hhdmiss))</f>
        <v>0</v>
      </c>
      <c r="U467" s="1698">
        <f>+IF(COLUMNS($L467:U467)&lt;month,0,VLOOKUP("Month "&amp;(COLUMNS($L467:U467)-month+1),X_baseline_Tx,25,FALSE)*52*3/12*(1-hhdmiss))</f>
        <v>0</v>
      </c>
      <c r="V467" s="1699">
        <f>+IF(COLUMNS($L467:V467)&lt;month,0,VLOOKUP("Month "&amp;(COLUMNS($L467:V467)-month+1),X_baseline_Tx,25,FALSE)*52*3/12*(1-hhdmiss))</f>
        <v>65</v>
      </c>
      <c r="W467" s="1698">
        <f>+IF(COLUMNS($L467:W467)&lt;month,0,VLOOKUP("Month "&amp;(COLUMNS($L467:W467)-month+1),X_baseline_Tx,25,FALSE)*52*3/12*(1-hhdmiss))</f>
        <v>65</v>
      </c>
      <c r="Y467" s="99"/>
    </row>
    <row r="468" spans="1:26">
      <c r="A468" s="101" t="s">
        <v>464</v>
      </c>
      <c r="B468" s="4"/>
      <c r="C468" s="4"/>
      <c r="D468" s="4"/>
      <c r="E468" s="4"/>
      <c r="F468" s="4"/>
      <c r="G468" s="4"/>
      <c r="H468" s="4"/>
      <c r="I468" s="4"/>
      <c r="J468" s="4"/>
      <c r="K468" s="4"/>
      <c r="L468" s="1698">
        <f>+IF(COLUMNS($L468:L468)&lt;month,0,VLOOKUP("Month "&amp;(COLUMNS($L468:L468)-month+1),X_baseline_Tx,26,FALSE)*52*4.3/12*(1-hhdmiss))</f>
        <v>0</v>
      </c>
      <c r="M468" s="1698">
        <f>+IF(COLUMNS($L468:M468)&lt;month,0,VLOOKUP("Month "&amp;(COLUMNS($L468:M468)-month+1),X_baseline_Tx,26,FALSE)*52*4.3/12*(1-hhdmiss))</f>
        <v>0</v>
      </c>
      <c r="N468" s="1698">
        <f>+IF(COLUMNS($L468:N468)&lt;month,0,VLOOKUP("Month "&amp;(COLUMNS($L468:N468)-month+1),X_baseline_Tx,26,FALSE)*52*4.3/12*(1-hhdmiss))</f>
        <v>0</v>
      </c>
      <c r="O468" s="1698">
        <f>+IF(COLUMNS($L468:O468)&lt;month,0,VLOOKUP("Month "&amp;(COLUMNS($L468:O468)-month+1),X_baseline_Tx,26,FALSE)*52*4.3/12*(1-hhdmiss))</f>
        <v>0</v>
      </c>
      <c r="P468" s="1698">
        <f>+IF(COLUMNS($L468:P468)&lt;month,0,VLOOKUP("Month "&amp;(COLUMNS($L468:P468)-month+1),X_baseline_Tx,26,FALSE)*52*4.3/12*(1-hhdmiss))</f>
        <v>0</v>
      </c>
      <c r="Q468" s="1698">
        <f>+IF(COLUMNS($L468:Q468)&lt;month,0,VLOOKUP("Month "&amp;(COLUMNS($L468:Q468)-month+1),X_baseline_Tx,26,FALSE)*52*4.3/12*(1-hhdmiss))</f>
        <v>0</v>
      </c>
      <c r="R468" s="1698">
        <f>+IF(COLUMNS($L468:R468)&lt;month,0,VLOOKUP("Month "&amp;(COLUMNS($L468:R468)-month+1),X_baseline_Tx,26,FALSE)*52*4.3/12*(1-hhdmiss))</f>
        <v>0</v>
      </c>
      <c r="S468" s="1698">
        <f>+IF(COLUMNS($L468:S468)&lt;month,0,VLOOKUP("Month "&amp;(COLUMNS($L468:S468)-month+1),X_baseline_Tx,26,FALSE)*52*4.3/12*(1-hhdmiss))</f>
        <v>0</v>
      </c>
      <c r="T468" s="1698">
        <f>+IF(COLUMNS($L468:T468)&lt;month,0,VLOOKUP("Month "&amp;(COLUMNS($L468:T468)-month+1),X_baseline_Tx,26,FALSE)*52*4.3/12*(1-hhdmiss))</f>
        <v>0</v>
      </c>
      <c r="U468" s="1698">
        <f>+IF(COLUMNS($L468:U468)&lt;month,0,VLOOKUP("Month "&amp;(COLUMNS($L468:U468)-month+1),X_baseline_Tx,26,FALSE)*52*4.3/12*(1-hhdmiss))</f>
        <v>0</v>
      </c>
      <c r="V468" s="1698">
        <f>+IF(COLUMNS($L468:V468)&lt;month,0,VLOOKUP("Month "&amp;(COLUMNS($L468:V468)-month+1),X_baseline_Tx,26,FALSE)*52*4.3/12*(1-hhdmiss))</f>
        <v>0</v>
      </c>
      <c r="W468" s="1698">
        <f>+IF(COLUMNS($L468:W468)&lt;month,0,VLOOKUP("Month "&amp;(COLUMNS($L468:W468)-month+1),X_baseline_Tx,26,FALSE)*52*4.3/12*(1-hhdmiss))</f>
        <v>0</v>
      </c>
      <c r="Y468" s="99"/>
    </row>
    <row r="469" spans="1:26">
      <c r="A469" s="98" t="s">
        <v>163</v>
      </c>
      <c r="B469" t="str">
        <f>+$B$460</f>
        <v>X10_11032_00494</v>
      </c>
      <c r="C469" t="str">
        <f>+$C$460</f>
        <v>LE_XXXX</v>
      </c>
      <c r="D469" t="s">
        <v>2886</v>
      </c>
      <c r="E469">
        <v>3010</v>
      </c>
      <c r="F469" t="s">
        <v>2888</v>
      </c>
      <c r="G469" t="s">
        <v>2889</v>
      </c>
      <c r="H469" t="s">
        <v>145</v>
      </c>
      <c r="I469" t="s">
        <v>146</v>
      </c>
      <c r="J469" t="s">
        <v>147</v>
      </c>
      <c r="K469" t="str">
        <f>+"FY"&amp;RIGHT(YEAR('Hyperion Panel'!$B$9),2)</f>
        <v>FY10</v>
      </c>
      <c r="L469" s="1612"/>
      <c r="M469" s="1612"/>
      <c r="N469" s="1612"/>
      <c r="O469" s="1612"/>
      <c r="P469" s="1612"/>
      <c r="Q469" s="1612"/>
      <c r="R469" s="1612"/>
      <c r="S469" s="1612"/>
      <c r="T469" s="1612"/>
      <c r="U469" s="1612"/>
      <c r="V469" s="1702"/>
      <c r="W469" s="1612"/>
    </row>
    <row r="470" spans="1:26" s="98" customFormat="1">
      <c r="A470" s="100" t="s">
        <v>463</v>
      </c>
      <c r="L470" s="1697">
        <f>L461*'6. Market'!$J$15</f>
        <v>0</v>
      </c>
      <c r="M470" s="1697">
        <f>M461*'6. Market'!$J$15</f>
        <v>0</v>
      </c>
      <c r="N470" s="1697">
        <f>N461*'6. Market'!$J$15</f>
        <v>0</v>
      </c>
      <c r="O470" s="1697">
        <f>O461*'6. Market'!$J$15</f>
        <v>0</v>
      </c>
      <c r="P470" s="1697">
        <f>P461*'6. Market'!$J$15</f>
        <v>0</v>
      </c>
      <c r="Q470" s="1697">
        <f>Q461*'6. Market'!$J$15</f>
        <v>0</v>
      </c>
      <c r="R470" s="1697">
        <f>R461*'6. Market'!$J$15</f>
        <v>0</v>
      </c>
      <c r="S470" s="1697">
        <f>S461*'6. Market'!$J$15</f>
        <v>0</v>
      </c>
      <c r="T470" s="1697">
        <f>T461*'6. Market'!$J$15</f>
        <v>0</v>
      </c>
      <c r="U470" s="1697">
        <f>U461*'6. Market'!$J$15</f>
        <v>0</v>
      </c>
      <c r="V470" s="1700">
        <f>V461*'6. Market'!$J$15</f>
        <v>148639.78177988299</v>
      </c>
      <c r="W470" s="1697">
        <f>W461*'6. Market'!$J$15</f>
        <v>148639.78177988299</v>
      </c>
      <c r="Y470" s="99"/>
      <c r="Z470" s="97"/>
    </row>
    <row r="471" spans="1:26" s="98" customFormat="1">
      <c r="A471" s="100" t="s">
        <v>464</v>
      </c>
      <c r="L471" s="1697">
        <f>L462*'6. Market'!$J$23</f>
        <v>0</v>
      </c>
      <c r="M471" s="1697">
        <f>M462*'6. Market'!$J$23</f>
        <v>0</v>
      </c>
      <c r="N471" s="1697">
        <f>N462*'6. Market'!$J$23</f>
        <v>0</v>
      </c>
      <c r="O471" s="1697">
        <f>O462*'6. Market'!$J$23</f>
        <v>0</v>
      </c>
      <c r="P471" s="1697">
        <f>P462*'6. Market'!$J$23</f>
        <v>0</v>
      </c>
      <c r="Q471" s="1697">
        <f>Q462*'6. Market'!$J$23</f>
        <v>0</v>
      </c>
      <c r="R471" s="1697">
        <f>R462*'6. Market'!$J$23</f>
        <v>0</v>
      </c>
      <c r="S471" s="1697">
        <f>S462*'6. Market'!$J$23</f>
        <v>0</v>
      </c>
      <c r="T471" s="1697">
        <f>T462*'6. Market'!$J$23</f>
        <v>0</v>
      </c>
      <c r="U471" s="1697">
        <f>U462*'6. Market'!$J$23</f>
        <v>0</v>
      </c>
      <c r="V471" s="1700">
        <f>V462*'6. Market'!$J$23</f>
        <v>24314.125545558796</v>
      </c>
      <c r="W471" s="1697">
        <f>W462*'6. Market'!$J$23</f>
        <v>24314.125545558796</v>
      </c>
      <c r="Y471" s="99"/>
      <c r="Z471" s="97"/>
    </row>
    <row r="472" spans="1:26">
      <c r="A472" s="98" t="s">
        <v>164</v>
      </c>
      <c r="B472" t="str">
        <f>+$B$460</f>
        <v>X10_11032_00494</v>
      </c>
      <c r="C472" t="str">
        <f>+$C$460</f>
        <v>LE_XXXX</v>
      </c>
      <c r="D472" t="s">
        <v>2886</v>
      </c>
      <c r="E472">
        <v>3030</v>
      </c>
      <c r="F472" t="s">
        <v>150</v>
      </c>
      <c r="G472" t="s">
        <v>2889</v>
      </c>
      <c r="H472" t="s">
        <v>145</v>
      </c>
      <c r="I472" t="s">
        <v>146</v>
      </c>
      <c r="J472" t="s">
        <v>147</v>
      </c>
      <c r="K472" t="str">
        <f>+"FY"&amp;RIGHT(YEAR('Hyperion Panel'!$B$9),2)</f>
        <v>FY10</v>
      </c>
      <c r="L472" s="1612"/>
      <c r="M472" s="1612"/>
      <c r="N472" s="1612"/>
      <c r="O472" s="1612"/>
      <c r="P472" s="1612"/>
      <c r="Q472" s="1612"/>
      <c r="R472" s="1612"/>
      <c r="S472" s="1612"/>
      <c r="T472" s="1612"/>
      <c r="U472" s="1612"/>
      <c r="V472" s="1703"/>
      <c r="W472" s="1612"/>
    </row>
    <row r="473" spans="1:26" s="98" customFormat="1">
      <c r="A473" s="100" t="s">
        <v>463</v>
      </c>
      <c r="L473" s="1697">
        <f>L464*'6. Market'!$J$32</f>
        <v>0</v>
      </c>
      <c r="M473" s="1697">
        <f>M464*'6. Market'!$J$32</f>
        <v>0</v>
      </c>
      <c r="N473" s="1697">
        <f>N464*'6. Market'!$J$32</f>
        <v>0</v>
      </c>
      <c r="O473" s="1697">
        <f>O464*'6. Market'!$J$32</f>
        <v>0</v>
      </c>
      <c r="P473" s="1697">
        <f>P464*'6. Market'!$J$32</f>
        <v>0</v>
      </c>
      <c r="Q473" s="1697">
        <f>Q464*'6. Market'!$J$32</f>
        <v>0</v>
      </c>
      <c r="R473" s="1697">
        <f>R464*'6. Market'!$J$32</f>
        <v>0</v>
      </c>
      <c r="S473" s="1697">
        <f>S464*'6. Market'!$J$32</f>
        <v>0</v>
      </c>
      <c r="T473" s="1697">
        <f>T464*'6. Market'!$J$32</f>
        <v>0</v>
      </c>
      <c r="U473" s="1697">
        <f>U464*'6. Market'!$J$32</f>
        <v>0</v>
      </c>
      <c r="V473" s="1697">
        <f>V464*'6. Market'!$J$32</f>
        <v>43598.788883279769</v>
      </c>
      <c r="W473" s="1697">
        <f>W464*'6. Market'!$J$32</f>
        <v>43598.788883279769</v>
      </c>
      <c r="Y473" s="99"/>
    </row>
    <row r="474" spans="1:26" s="98" customFormat="1">
      <c r="A474" s="100" t="s">
        <v>464</v>
      </c>
      <c r="L474" s="1697">
        <f>L465*'6. Market'!$J$40</f>
        <v>0</v>
      </c>
      <c r="M474" s="1697">
        <f>M465*'6. Market'!$J$40</f>
        <v>0</v>
      </c>
      <c r="N474" s="1697">
        <f>N465*'6. Market'!$J$40</f>
        <v>0</v>
      </c>
      <c r="O474" s="1697">
        <f>O465*'6. Market'!$J$40</f>
        <v>0</v>
      </c>
      <c r="P474" s="1697">
        <f>P465*'6. Market'!$J$40</f>
        <v>0</v>
      </c>
      <c r="Q474" s="1697">
        <f>Q465*'6. Market'!$J$40</f>
        <v>0</v>
      </c>
      <c r="R474" s="1697">
        <f>R465*'6. Market'!$J$40</f>
        <v>0</v>
      </c>
      <c r="S474" s="1697">
        <f>S465*'6. Market'!$J$40</f>
        <v>0</v>
      </c>
      <c r="T474" s="1697">
        <f>T465*'6. Market'!$J$40</f>
        <v>0</v>
      </c>
      <c r="U474" s="1697">
        <f>U465*'6. Market'!$J$40</f>
        <v>0</v>
      </c>
      <c r="V474" s="1697">
        <f>V465*'6. Market'!$J$40</f>
        <v>75320.932396568009</v>
      </c>
      <c r="W474" s="1697">
        <f>W465*'6. Market'!$J$40</f>
        <v>75320.932396568009</v>
      </c>
      <c r="Y474" s="99"/>
    </row>
    <row r="475" spans="1:26">
      <c r="A475" s="4" t="s">
        <v>3768</v>
      </c>
      <c r="B475" s="4" t="str">
        <f>+$B$460</f>
        <v>X10_11032_00494</v>
      </c>
      <c r="C475" s="4"/>
      <c r="D475" s="4"/>
      <c r="E475" s="4"/>
      <c r="F475" s="4"/>
      <c r="G475" s="4"/>
      <c r="H475" s="4"/>
      <c r="I475" s="4"/>
      <c r="J475" s="4"/>
      <c r="K475" s="4" t="str">
        <f>+"FY"&amp;RIGHT(YEAR('Hyperion Panel'!$B$9),2)</f>
        <v>FY10</v>
      </c>
      <c r="L475" s="1698"/>
      <c r="M475" s="1698"/>
      <c r="N475" s="1698"/>
      <c r="O475" s="1698"/>
      <c r="P475" s="1698"/>
      <c r="Q475" s="1698"/>
      <c r="R475" s="1698"/>
      <c r="S475" s="1698"/>
      <c r="T475" s="1698"/>
      <c r="U475" s="1698"/>
      <c r="V475" s="1699"/>
      <c r="W475" s="1698"/>
    </row>
    <row r="476" spans="1:26">
      <c r="A476" s="101" t="s">
        <v>463</v>
      </c>
      <c r="B476" s="4"/>
      <c r="C476" s="4"/>
      <c r="D476" s="4"/>
      <c r="E476" s="4"/>
      <c r="F476" s="4"/>
      <c r="G476" s="4"/>
      <c r="H476" s="4"/>
      <c r="I476" s="4"/>
      <c r="J476" s="4"/>
      <c r="K476" s="4"/>
      <c r="L476" s="1698">
        <f>L467*'6. Market'!$J$49</f>
        <v>0</v>
      </c>
      <c r="M476" s="1698">
        <f>M467*'6. Market'!$J$49</f>
        <v>0</v>
      </c>
      <c r="N476" s="1698">
        <f>N467*'6. Market'!$J$49</f>
        <v>0</v>
      </c>
      <c r="O476" s="1698">
        <f>O467*'6. Market'!$J$49</f>
        <v>0</v>
      </c>
      <c r="P476" s="1698">
        <f>P467*'6. Market'!$J$49</f>
        <v>0</v>
      </c>
      <c r="Q476" s="1698">
        <f>Q467*'6. Market'!$J$49</f>
        <v>0</v>
      </c>
      <c r="R476" s="1698">
        <f>R467*'6. Market'!$J$49</f>
        <v>0</v>
      </c>
      <c r="S476" s="1698">
        <f>S467*'6. Market'!$J$49</f>
        <v>0</v>
      </c>
      <c r="T476" s="1698">
        <f>T467*'6. Market'!$J$49</f>
        <v>0</v>
      </c>
      <c r="U476" s="1698">
        <f>U467*'6. Market'!$J$49</f>
        <v>0</v>
      </c>
      <c r="V476" s="1699">
        <f>V467*'6. Market'!$J$49</f>
        <v>16927.071343873515</v>
      </c>
      <c r="W476" s="1698">
        <f>W467*'6. Market'!$J$49</f>
        <v>16927.071343873515</v>
      </c>
      <c r="Y476" s="99"/>
    </row>
    <row r="477" spans="1:26">
      <c r="A477" s="101" t="s">
        <v>464</v>
      </c>
      <c r="B477" s="4"/>
      <c r="C477" s="4"/>
      <c r="D477" s="4"/>
      <c r="E477" s="4"/>
      <c r="F477" s="4"/>
      <c r="G477" s="4"/>
      <c r="H477" s="4"/>
      <c r="I477" s="4"/>
      <c r="J477" s="4"/>
      <c r="K477" s="4"/>
      <c r="L477" s="1698">
        <f>L468*'6. Market'!$J$57</f>
        <v>0</v>
      </c>
      <c r="M477" s="1698">
        <f>M468*'6. Market'!$J$57</f>
        <v>0</v>
      </c>
      <c r="N477" s="1698">
        <f>N468*'6. Market'!$J$57</f>
        <v>0</v>
      </c>
      <c r="O477" s="1698">
        <f>O468*'6. Market'!$J$57</f>
        <v>0</v>
      </c>
      <c r="P477" s="1698">
        <f>P468*'6. Market'!$J$57</f>
        <v>0</v>
      </c>
      <c r="Q477" s="1698">
        <f>Q468*'6. Market'!$J$57</f>
        <v>0</v>
      </c>
      <c r="R477" s="1698">
        <f>R468*'6. Market'!$J$57</f>
        <v>0</v>
      </c>
      <c r="S477" s="1698">
        <f>S468*'6. Market'!$J$57</f>
        <v>0</v>
      </c>
      <c r="T477" s="1698">
        <f>T468*'6. Market'!$J$57</f>
        <v>0</v>
      </c>
      <c r="U477" s="1698">
        <f>U468*'6. Market'!$J$57</f>
        <v>0</v>
      </c>
      <c r="V477" s="1699">
        <f>V468*'6. Market'!$J$57</f>
        <v>0</v>
      </c>
      <c r="W477" s="1698">
        <f>W468*'6. Market'!$J$57</f>
        <v>0</v>
      </c>
      <c r="Y477" s="99"/>
    </row>
    <row r="478" spans="1:26">
      <c r="A478" s="3" t="s">
        <v>2651</v>
      </c>
      <c r="B478" t="str">
        <f t="shared" ref="B478:B494" si="24">+$B$460</f>
        <v>X10_11032_00494</v>
      </c>
      <c r="C478" t="str">
        <f t="shared" ref="C478:C487" si="25">+$C$460</f>
        <v>LE_XXXX</v>
      </c>
      <c r="D478" t="s">
        <v>2886</v>
      </c>
      <c r="E478">
        <v>6010</v>
      </c>
      <c r="F478" t="s">
        <v>2888</v>
      </c>
      <c r="G478" t="s">
        <v>153</v>
      </c>
      <c r="H478" t="s">
        <v>154</v>
      </c>
      <c r="I478" t="s">
        <v>146</v>
      </c>
      <c r="J478" t="s">
        <v>147</v>
      </c>
      <c r="K478" t="str">
        <f>+"FY"&amp;RIGHT(YEAR('Hyperion Panel'!$B$9),2)</f>
        <v>FY10</v>
      </c>
      <c r="L478" s="1697">
        <f>'6. Market'!$J$107*SUM(L461:L462,L464:L465,L467:L468)</f>
        <v>0</v>
      </c>
      <c r="M478" s="1697">
        <f>'6. Market'!$J$107*SUM(M461:M462,M464:M465,M467:M468)</f>
        <v>0</v>
      </c>
      <c r="N478" s="1697">
        <f>'6. Market'!$J$107*SUM(N461:N462,N464:N465,N467:N468)</f>
        <v>0</v>
      </c>
      <c r="O478" s="1697">
        <f>'6. Market'!$J$107*SUM(O461:O462,O464:O465,O467:O468)</f>
        <v>0</v>
      </c>
      <c r="P478" s="1697">
        <f>'6. Market'!$J$107*SUM(P461:P462,P464:P465,P467:P468)</f>
        <v>0</v>
      </c>
      <c r="Q478" s="1697">
        <f>'6. Market'!$J$107*SUM(Q461:Q462,Q464:Q465,Q467:Q468)</f>
        <v>0</v>
      </c>
      <c r="R478" s="1697">
        <f>'6. Market'!$J$107*SUM(R461:R462,R464:R465,R467:R468)</f>
        <v>0</v>
      </c>
      <c r="S478" s="1697">
        <f>'6. Market'!$J$107*SUM(S461:S462,S464:S465,S467:S468)</f>
        <v>0</v>
      </c>
      <c r="T478" s="1697">
        <f>'6. Market'!$J$107*SUM(T461:T462,T464:T465,T467:T468)</f>
        <v>0</v>
      </c>
      <c r="U478" s="1697">
        <f>'6. Market'!$J$107*SUM(U461:U462,U464:U465,U467:U468)</f>
        <v>0</v>
      </c>
      <c r="V478" s="1700">
        <f>'6. Market'!$J$107*SUM(V461:V462,V464:V465,V467:V468)</f>
        <v>38699.784812132857</v>
      </c>
      <c r="W478" s="1697">
        <f>'6. Market'!$J$107*SUM(W461:W462,W464:W465,W467:W468)</f>
        <v>38699.784812132857</v>
      </c>
    </row>
    <row r="479" spans="1:26">
      <c r="A479" t="s">
        <v>2652</v>
      </c>
      <c r="B479" t="str">
        <f t="shared" si="24"/>
        <v>X10_11032_00494</v>
      </c>
      <c r="C479" t="str">
        <f t="shared" si="25"/>
        <v>LE_XXXX</v>
      </c>
      <c r="D479" t="s">
        <v>2886</v>
      </c>
      <c r="E479">
        <v>6010</v>
      </c>
      <c r="F479" t="s">
        <v>2888</v>
      </c>
      <c r="G479" t="s">
        <v>155</v>
      </c>
      <c r="H479" t="s">
        <v>154</v>
      </c>
      <c r="I479" t="s">
        <v>146</v>
      </c>
      <c r="J479" t="s">
        <v>147</v>
      </c>
      <c r="K479" t="str">
        <f>+"FY"&amp;RIGHT(YEAR('Hyperion Panel'!$B$9),2)</f>
        <v>FY10</v>
      </c>
      <c r="L479" s="1612">
        <f>+IF(COLUMNS($L479:L479)&lt;month,0,'6. Market'!$J$74/12)</f>
        <v>0</v>
      </c>
      <c r="M479" s="1612">
        <f>+IF(COLUMNS($L479:M479)&lt;month,0,'6. Market'!$J$74/12)</f>
        <v>0</v>
      </c>
      <c r="N479" s="1612">
        <f>+IF(COLUMNS($L479:N479)&lt;month,0,'6. Market'!$J$74/12)</f>
        <v>0</v>
      </c>
      <c r="O479" s="1612">
        <f>+IF(COLUMNS($L479:O479)&lt;month,0,'6. Market'!$J$74/12)</f>
        <v>0</v>
      </c>
      <c r="P479" s="1612">
        <f>+IF(COLUMNS($L479:P479)&lt;month,0,'6. Market'!$J$74/12)</f>
        <v>0</v>
      </c>
      <c r="Q479" s="1612">
        <f>+IF(COLUMNS($L479:Q479)&lt;month,0,'6. Market'!$J$74/12)</f>
        <v>0</v>
      </c>
      <c r="R479" s="1612">
        <f>+IF(COLUMNS($L479:R479)&lt;month,0,'6. Market'!$J$74/12)</f>
        <v>0</v>
      </c>
      <c r="S479" s="1612">
        <f>+IF(COLUMNS($L479:S479)&lt;month,0,'6. Market'!$J$74/12)</f>
        <v>0</v>
      </c>
      <c r="T479" s="1612">
        <f>+IF(COLUMNS($L479:T479)&lt;month,0,'6. Market'!$J$74/12)</f>
        <v>0</v>
      </c>
      <c r="U479" s="1612">
        <f>+IF(COLUMNS($L479:U479)&lt;month,0,'6. Market'!$J$74/12)</f>
        <v>0</v>
      </c>
      <c r="V479" s="1703">
        <f>+IF(COLUMNS($L479:V479)&lt;month,0,'6. Market'!$J$74/12)</f>
        <v>14795</v>
      </c>
      <c r="W479" s="1612">
        <f>+IF(COLUMNS($L479:W479)&lt;month,0,'6. Market'!$J$74/12)</f>
        <v>14795</v>
      </c>
    </row>
    <row r="480" spans="1:26">
      <c r="A480" t="s">
        <v>2653</v>
      </c>
      <c r="B480" t="str">
        <f t="shared" si="24"/>
        <v>X10_11032_00494</v>
      </c>
      <c r="C480" t="str">
        <f t="shared" si="25"/>
        <v>LE_XXXX</v>
      </c>
      <c r="D480" t="s">
        <v>2886</v>
      </c>
      <c r="E480">
        <v>6051</v>
      </c>
      <c r="F480" t="s">
        <v>2888</v>
      </c>
      <c r="G480" t="s">
        <v>153</v>
      </c>
      <c r="H480" t="s">
        <v>154</v>
      </c>
      <c r="I480" t="s">
        <v>146</v>
      </c>
      <c r="J480" t="s">
        <v>147</v>
      </c>
      <c r="K480" t="str">
        <f>+"FY"&amp;RIGHT(YEAR('Hyperion Panel'!$B$9),2)</f>
        <v>FY10</v>
      </c>
      <c r="L480" s="1612">
        <f>+IF(COLUMNS($L480:L480)&lt;month,0,'6. Market'!$J$75/12)</f>
        <v>0</v>
      </c>
      <c r="M480" s="1612">
        <f>+IF(COLUMNS($L480:M480)&lt;month,0,'6. Market'!$J$75/12)</f>
        <v>0</v>
      </c>
      <c r="N480" s="1612">
        <f>+IF(COLUMNS($L480:N480)&lt;month,0,'6. Market'!$J$75/12)</f>
        <v>0</v>
      </c>
      <c r="O480" s="1612">
        <f>+IF(COLUMNS($L480:O480)&lt;month,0,'6. Market'!$J$75/12)</f>
        <v>0</v>
      </c>
      <c r="P480" s="1612">
        <f>+IF(COLUMNS($L480:P480)&lt;month,0,'6. Market'!$J$75/12)</f>
        <v>0</v>
      </c>
      <c r="Q480" s="1612">
        <f>+IF(COLUMNS($L480:Q480)&lt;month,0,'6. Market'!$J$75/12)</f>
        <v>0</v>
      </c>
      <c r="R480" s="1612">
        <f>+IF(COLUMNS($L480:R480)&lt;month,0,'6. Market'!$J$75/12)</f>
        <v>0</v>
      </c>
      <c r="S480" s="1612">
        <f>+IF(COLUMNS($L480:S480)&lt;month,0,'6. Market'!$J$75/12)</f>
        <v>0</v>
      </c>
      <c r="T480" s="1612">
        <f>+IF(COLUMNS($L480:T480)&lt;month,0,'6. Market'!$J$75/12)</f>
        <v>0</v>
      </c>
      <c r="U480" s="1612">
        <f>+IF(COLUMNS($L480:U480)&lt;month,0,'6. Market'!$J$75/12)</f>
        <v>0</v>
      </c>
      <c r="V480" s="1703">
        <f>+IF(COLUMNS($L480:V480)&lt;month,0,'6. Market'!$J$75/12)</f>
        <v>18890.728391370059</v>
      </c>
      <c r="W480" s="1612">
        <f>+IF(COLUMNS($L480:W480)&lt;month,0,'6. Market'!$J$75/12)</f>
        <v>18890.728391370059</v>
      </c>
    </row>
    <row r="481" spans="1:25">
      <c r="A481" t="s">
        <v>2654</v>
      </c>
      <c r="B481" t="str">
        <f t="shared" si="24"/>
        <v>X10_11032_00494</v>
      </c>
      <c r="C481" t="str">
        <f t="shared" si="25"/>
        <v>LE_XXXX</v>
      </c>
      <c r="D481" t="s">
        <v>2886</v>
      </c>
      <c r="E481">
        <v>6011</v>
      </c>
      <c r="F481" t="s">
        <v>2888</v>
      </c>
      <c r="G481" t="s">
        <v>153</v>
      </c>
      <c r="H481" t="s">
        <v>154</v>
      </c>
      <c r="I481" t="s">
        <v>146</v>
      </c>
      <c r="J481" t="s">
        <v>147</v>
      </c>
      <c r="K481" t="str">
        <f>+"FY"&amp;RIGHT(YEAR('Hyperion Panel'!$B$9),2)</f>
        <v>FY10</v>
      </c>
      <c r="L481" s="1612">
        <f>+IF(COLUMNS($L481:L481)&lt;month,0,'6. Market'!$J$76/12)</f>
        <v>0</v>
      </c>
      <c r="M481" s="1612">
        <f>+IF(COLUMNS($L481:M481)&lt;month,0,'6. Market'!$J$76/12)</f>
        <v>0</v>
      </c>
      <c r="N481" s="1612">
        <f>+IF(COLUMNS($L481:N481)&lt;month,0,'6. Market'!$J$76/12)</f>
        <v>0</v>
      </c>
      <c r="O481" s="1612">
        <f>+IF(COLUMNS($L481:O481)&lt;month,0,'6. Market'!$J$76/12)</f>
        <v>0</v>
      </c>
      <c r="P481" s="1612">
        <f>+IF(COLUMNS($L481:P481)&lt;month,0,'6. Market'!$J$76/12)</f>
        <v>0</v>
      </c>
      <c r="Q481" s="1612">
        <f>+IF(COLUMNS($L481:Q481)&lt;month,0,'6. Market'!$J$76/12)</f>
        <v>0</v>
      </c>
      <c r="R481" s="1612">
        <f>+IF(COLUMNS($L481:R481)&lt;month,0,'6. Market'!$J$76/12)</f>
        <v>0</v>
      </c>
      <c r="S481" s="1612">
        <f>+IF(COLUMNS($L481:S481)&lt;month,0,'6. Market'!$J$76/12)</f>
        <v>0</v>
      </c>
      <c r="T481" s="1612">
        <f>+IF(COLUMNS($L481:T481)&lt;month,0,'6. Market'!$J$76/12)</f>
        <v>0</v>
      </c>
      <c r="U481" s="1612">
        <f>+IF(COLUMNS($L481:U481)&lt;month,0,'6. Market'!$J$76/12)</f>
        <v>0</v>
      </c>
      <c r="V481" s="1703">
        <f>+IF(COLUMNS($L481:V481)&lt;month,0,'6. Market'!$J$76/12)</f>
        <v>0</v>
      </c>
      <c r="W481" s="1612">
        <f>+IF(COLUMNS($L481:W481)&lt;month,0,'6. Market'!$J$76/12)</f>
        <v>0</v>
      </c>
    </row>
    <row r="482" spans="1:25">
      <c r="A482" s="6" t="s">
        <v>3769</v>
      </c>
      <c r="B482" t="str">
        <f t="shared" si="24"/>
        <v>X10_11032_00494</v>
      </c>
      <c r="C482" t="str">
        <f t="shared" si="25"/>
        <v>LE_XXXX</v>
      </c>
      <c r="D482" t="s">
        <v>2886</v>
      </c>
      <c r="E482">
        <v>6600</v>
      </c>
      <c r="F482" t="s">
        <v>2888</v>
      </c>
      <c r="G482" t="s">
        <v>2889</v>
      </c>
      <c r="H482" t="s">
        <v>154</v>
      </c>
      <c r="I482" t="s">
        <v>146</v>
      </c>
      <c r="J482" t="s">
        <v>147</v>
      </c>
      <c r="K482" t="str">
        <f>+"FY"&amp;RIGHT(YEAR('Hyperion Panel'!$B$9),2)</f>
        <v>FY10</v>
      </c>
      <c r="L482" s="1697">
        <f>'6. Market'!$J$114*SUM(L461:L462,L464:L465)</f>
        <v>0</v>
      </c>
      <c r="M482" s="1697">
        <f>'6. Market'!$J$114*SUM(M461:M462,M464:M465)</f>
        <v>0</v>
      </c>
      <c r="N482" s="1697">
        <f>'6. Market'!$J$114*SUM(N461:N462,N464:N465)</f>
        <v>0</v>
      </c>
      <c r="O482" s="1697">
        <f>'6. Market'!$J$114*SUM(O461:O462,O464:O465)</f>
        <v>0</v>
      </c>
      <c r="P482" s="1697">
        <f>'6. Market'!$J$114*SUM(P461:P462,P464:P465)</f>
        <v>0</v>
      </c>
      <c r="Q482" s="1697">
        <f>'6. Market'!$J$114*SUM(Q461:Q462,Q464:Q465)</f>
        <v>0</v>
      </c>
      <c r="R482" s="1697">
        <f>'6. Market'!$J$114*SUM(R461:R462,R464:R465)</f>
        <v>0</v>
      </c>
      <c r="S482" s="1697">
        <f>'6. Market'!$J$114*SUM(S461:S462,S464:S465)</f>
        <v>0</v>
      </c>
      <c r="T482" s="1697">
        <f>'6. Market'!$J$114*SUM(T461:T462,T464:T465)</f>
        <v>0</v>
      </c>
      <c r="U482" s="1697">
        <f>'6. Market'!$J$114*SUM(U461:U462,U464:U465)</f>
        <v>0</v>
      </c>
      <c r="V482" s="1697">
        <f>'6. Market'!$J$114*SUM(V461:V462,V464:V465)</f>
        <v>52958.887494461407</v>
      </c>
      <c r="W482" s="1697">
        <f>'6. Market'!$J$114*SUM(W461:W462,W464:W465)</f>
        <v>52958.887494461407</v>
      </c>
    </row>
    <row r="483" spans="1:25">
      <c r="A483" s="6" t="s">
        <v>3770</v>
      </c>
      <c r="B483" t="str">
        <f t="shared" si="24"/>
        <v>X10_11032_00494</v>
      </c>
      <c r="C483" t="str">
        <f t="shared" si="25"/>
        <v>LE_XXXX</v>
      </c>
      <c r="D483" t="s">
        <v>2886</v>
      </c>
      <c r="E483">
        <v>6800</v>
      </c>
      <c r="F483" t="s">
        <v>156</v>
      </c>
      <c r="G483" t="s">
        <v>2889</v>
      </c>
      <c r="H483" t="s">
        <v>154</v>
      </c>
      <c r="I483" t="s">
        <v>146</v>
      </c>
      <c r="J483" t="s">
        <v>147</v>
      </c>
      <c r="K483" t="str">
        <f>+"FY"&amp;RIGHT(YEAR('Hyperion Panel'!$B$9),2)</f>
        <v>FY10</v>
      </c>
      <c r="L483" s="1697">
        <f>'6. Market'!$J$118*SUM(L461:L462,L464:L465)</f>
        <v>0</v>
      </c>
      <c r="M483" s="1697">
        <f>'6. Market'!$J$118*SUM(M461:M462,M464:M465)</f>
        <v>0</v>
      </c>
      <c r="N483" s="1697">
        <f>'6. Market'!$J$118*SUM(N461:N462,N464:N465)</f>
        <v>0</v>
      </c>
      <c r="O483" s="1697">
        <f>'6. Market'!$J$118*SUM(O461:O462,O464:O465)</f>
        <v>0</v>
      </c>
      <c r="P483" s="1697">
        <f>'6. Market'!$J$118*SUM(P461:P462,P464:P465)</f>
        <v>0</v>
      </c>
      <c r="Q483" s="1697">
        <f>'6. Market'!$J$118*SUM(Q461:Q462,Q464:Q465)</f>
        <v>0</v>
      </c>
      <c r="R483" s="1697">
        <f>'6. Market'!$J$118*SUM(R461:R462,R464:R465)</f>
        <v>0</v>
      </c>
      <c r="S483" s="1697">
        <f>'6. Market'!$J$118*SUM(S461:S462,S464:S465)</f>
        <v>0</v>
      </c>
      <c r="T483" s="1697">
        <f>'6. Market'!$J$118*SUM(T461:T462,T464:T465)</f>
        <v>0</v>
      </c>
      <c r="U483" s="1697">
        <f>'6. Market'!$J$118*SUM(U461:U462,U464:U465)</f>
        <v>0</v>
      </c>
      <c r="V483" s="1697">
        <f>'6. Market'!$J$118*SUM(V461:V462,V464:V465)</f>
        <v>19626.014631840881</v>
      </c>
      <c r="W483" s="1697">
        <f>'6. Market'!$J$118*SUM(W461:W462,W464:W465)</f>
        <v>19626.014631840881</v>
      </c>
    </row>
    <row r="484" spans="1:25">
      <c r="A484" t="s">
        <v>3697</v>
      </c>
      <c r="B484" t="str">
        <f t="shared" si="24"/>
        <v>X10_11032_00494</v>
      </c>
      <c r="C484" t="str">
        <f t="shared" si="25"/>
        <v>LE_XXXX</v>
      </c>
      <c r="D484" t="s">
        <v>2886</v>
      </c>
      <c r="E484">
        <v>8600</v>
      </c>
      <c r="F484" t="s">
        <v>156</v>
      </c>
      <c r="G484" t="s">
        <v>2889</v>
      </c>
      <c r="H484" t="s">
        <v>154</v>
      </c>
      <c r="I484" t="s">
        <v>146</v>
      </c>
      <c r="J484" t="s">
        <v>147</v>
      </c>
      <c r="K484" t="str">
        <f>+"FY"&amp;RIGHT(YEAR('Hyperion Panel'!$B$9),2)</f>
        <v>FY10</v>
      </c>
      <c r="L484" s="1612">
        <f>+IF(COLUMNS($L484:L484)&lt;month,0,'6. Market'!$J$78/12)</f>
        <v>0</v>
      </c>
      <c r="M484" s="1612">
        <f>+IF(COLUMNS($L484:M484)&lt;month,0,'6. Market'!$J$78/12)</f>
        <v>0</v>
      </c>
      <c r="N484" s="1612">
        <f>+IF(COLUMNS($L484:N484)&lt;month,0,'6. Market'!$J$78/12)</f>
        <v>0</v>
      </c>
      <c r="O484" s="1612">
        <f>+IF(COLUMNS($L484:O484)&lt;month,0,'6. Market'!$J$78/12)</f>
        <v>0</v>
      </c>
      <c r="P484" s="1612">
        <f>+IF(COLUMNS($L484:P484)&lt;month,0,'6. Market'!$J$78/12)</f>
        <v>0</v>
      </c>
      <c r="Q484" s="1612">
        <f>+IF(COLUMNS($L484:Q484)&lt;month,0,'6. Market'!$J$78/12)</f>
        <v>0</v>
      </c>
      <c r="R484" s="1612">
        <f>+IF(COLUMNS($L484:R484)&lt;month,0,'6. Market'!$J$78/12)</f>
        <v>0</v>
      </c>
      <c r="S484" s="1612">
        <f>+IF(COLUMNS($L484:S484)&lt;month,0,'6. Market'!$J$78/12)</f>
        <v>0</v>
      </c>
      <c r="T484" s="1612">
        <f>+IF(COLUMNS($L484:T484)&lt;month,0,'6. Market'!$J$78/12)</f>
        <v>0</v>
      </c>
      <c r="U484" s="1612">
        <f>+IF(COLUMNS($L484:U484)&lt;month,0,'6. Market'!$J$78/12)</f>
        <v>0</v>
      </c>
      <c r="V484" s="1702">
        <f>+IF(COLUMNS($L484:V484)&lt;month,0,'6. Market'!$J$78/12)</f>
        <v>16474.989999999998</v>
      </c>
      <c r="W484" s="1612">
        <f>+IF(COLUMNS($L484:W484)&lt;month,0,'6. Market'!$J$78/12)</f>
        <v>16474.989999999998</v>
      </c>
    </row>
    <row r="485" spans="1:25">
      <c r="A485" t="s">
        <v>157</v>
      </c>
      <c r="B485" t="str">
        <f t="shared" si="24"/>
        <v>X10_11032_00494</v>
      </c>
      <c r="C485" t="str">
        <f t="shared" si="25"/>
        <v>LE_XXXX</v>
      </c>
      <c r="D485" t="s">
        <v>2886</v>
      </c>
      <c r="E485">
        <v>6720</v>
      </c>
      <c r="F485" t="s">
        <v>156</v>
      </c>
      <c r="G485" t="s">
        <v>2889</v>
      </c>
      <c r="H485" t="s">
        <v>154</v>
      </c>
      <c r="I485" t="s">
        <v>146</v>
      </c>
      <c r="J485" t="s">
        <v>147</v>
      </c>
      <c r="K485" t="str">
        <f>+"FY"&amp;RIGHT(YEAR('Hyperion Panel'!$B$9),2)</f>
        <v>FY10</v>
      </c>
      <c r="L485" s="1612">
        <f>+IF(COLUMNS($L485:L485)&lt;month,0,'6. Market'!$J$79/12)</f>
        <v>0</v>
      </c>
      <c r="M485" s="1612">
        <f>+IF(COLUMNS($L485:M485)&lt;month,0,'6. Market'!$J$79/12)</f>
        <v>0</v>
      </c>
      <c r="N485" s="1612">
        <f>+IF(COLUMNS($L485:N485)&lt;month,0,'6. Market'!$J$79/12)</f>
        <v>0</v>
      </c>
      <c r="O485" s="1612">
        <f>+IF(COLUMNS($L485:O485)&lt;month,0,'6. Market'!$J$79/12)</f>
        <v>0</v>
      </c>
      <c r="P485" s="1612">
        <f>+IF(COLUMNS($L485:P485)&lt;month,0,'6. Market'!$J$79/12)</f>
        <v>0</v>
      </c>
      <c r="Q485" s="1612">
        <f>+IF(COLUMNS($L485:Q485)&lt;month,0,'6. Market'!$J$79/12)</f>
        <v>0</v>
      </c>
      <c r="R485" s="1612">
        <f>+IF(COLUMNS($L485:R485)&lt;month,0,'6. Market'!$J$79/12)</f>
        <v>0</v>
      </c>
      <c r="S485" s="1612">
        <f>+IF(COLUMNS($L485:S485)&lt;month,0,'6. Market'!$J$79/12)</f>
        <v>0</v>
      </c>
      <c r="T485" s="1612">
        <f>+IF(COLUMNS($L485:T485)&lt;month,0,'6. Market'!$J$79/12)</f>
        <v>0</v>
      </c>
      <c r="U485" s="1612">
        <f>+IF(COLUMNS($L485:U485)&lt;month,0,'6. Market'!$J$79/12)</f>
        <v>0</v>
      </c>
      <c r="V485" s="1702">
        <f>+IF(COLUMNS($L485:V485)&lt;month,0,'6. Market'!$J$79/12)</f>
        <v>15833.32</v>
      </c>
      <c r="W485" s="1612">
        <f>+IF(COLUMNS($L485:W485)&lt;month,0,'6. Market'!$J$79/12)</f>
        <v>15833.32</v>
      </c>
    </row>
    <row r="486" spans="1:25">
      <c r="A486" t="s">
        <v>3771</v>
      </c>
      <c r="B486" t="str">
        <f t="shared" si="24"/>
        <v>X10_11032_00494</v>
      </c>
      <c r="C486" t="str">
        <f t="shared" si="25"/>
        <v>LE_XXXX</v>
      </c>
      <c r="D486" t="s">
        <v>2886</v>
      </c>
      <c r="E486">
        <v>8110</v>
      </c>
      <c r="F486" t="s">
        <v>156</v>
      </c>
      <c r="G486" t="s">
        <v>2889</v>
      </c>
      <c r="H486" t="s">
        <v>154</v>
      </c>
      <c r="I486" t="s">
        <v>146</v>
      </c>
      <c r="J486" t="s">
        <v>147</v>
      </c>
      <c r="K486" t="str">
        <f>+"FY"&amp;RIGHT(YEAR('Hyperion Panel'!$B$9),2)</f>
        <v>FY10</v>
      </c>
      <c r="L486" s="1612">
        <f>+IF(COLUMNS($L486:L486)&lt;month,0,'6. Market'!$J$82/12)</f>
        <v>0</v>
      </c>
      <c r="M486" s="1612">
        <f>+IF(COLUMNS($L486:M486)&lt;month,0,'6. Market'!$J$82/12)</f>
        <v>0</v>
      </c>
      <c r="N486" s="1612">
        <f>+IF(COLUMNS($L486:N486)&lt;month,0,'6. Market'!$J$82/12)</f>
        <v>0</v>
      </c>
      <c r="O486" s="1612">
        <f>+IF(COLUMNS($L486:O486)&lt;month,0,'6. Market'!$J$82/12)</f>
        <v>0</v>
      </c>
      <c r="P486" s="1612">
        <f>+IF(COLUMNS($L486:P486)&lt;month,0,'6. Market'!$J$82/12)</f>
        <v>0</v>
      </c>
      <c r="Q486" s="1612">
        <f>+IF(COLUMNS($L486:Q486)&lt;month,0,'6. Market'!$J$82/12)</f>
        <v>0</v>
      </c>
      <c r="R486" s="1612">
        <f>+IF(COLUMNS($L486:R486)&lt;month,0,'6. Market'!$J$82/12)</f>
        <v>0</v>
      </c>
      <c r="S486" s="1612">
        <f>+IF(COLUMNS($L486:S486)&lt;month,0,'6. Market'!$J$82/12)</f>
        <v>0</v>
      </c>
      <c r="T486" s="1612">
        <f>+IF(COLUMNS($L486:T486)&lt;month,0,'6. Market'!$J$82/12)</f>
        <v>0</v>
      </c>
      <c r="U486" s="1612">
        <f>+IF(COLUMNS($L486:U486)&lt;month,0,'6. Market'!$J$82/12)</f>
        <v>0</v>
      </c>
      <c r="V486" s="1702">
        <f>+IF(COLUMNS($L486:V486)&lt;month,0,'6. Market'!$J$82/12)</f>
        <v>1044.7049999999999</v>
      </c>
      <c r="W486" s="1612">
        <f>+IF(COLUMNS($L486:W486)&lt;month,0,'6. Market'!$J$82/12)</f>
        <v>1044.7049999999999</v>
      </c>
    </row>
    <row r="487" spans="1:25">
      <c r="A487" s="102" t="s">
        <v>171</v>
      </c>
      <c r="B487" t="str">
        <f t="shared" si="24"/>
        <v>X10_11032_00494</v>
      </c>
      <c r="C487" s="98" t="str">
        <f t="shared" si="25"/>
        <v>LE_XXXX</v>
      </c>
      <c r="D487" s="98" t="s">
        <v>2886</v>
      </c>
      <c r="E487" s="98">
        <v>6412</v>
      </c>
      <c r="F487" s="98" t="s">
        <v>156</v>
      </c>
      <c r="G487" s="98" t="s">
        <v>2889</v>
      </c>
      <c r="H487" s="98" t="s">
        <v>154</v>
      </c>
      <c r="I487" s="98" t="s">
        <v>146</v>
      </c>
      <c r="J487" s="98" t="s">
        <v>147</v>
      </c>
      <c r="K487" t="str">
        <f>+"FY"&amp;RIGHT(YEAR('Hyperion Panel'!$B$9),2)</f>
        <v>FY10</v>
      </c>
      <c r="L487" s="1697">
        <f>+IF(COLUMNS($L487:L487)&lt;month,0,'6. Market'!$J$117*SUM(L461:L462,L464:L465))</f>
        <v>0</v>
      </c>
      <c r="M487" s="1697">
        <f>+IF(COLUMNS($L487:M487)&lt;month,0,'6. Market'!$J$117*SUM(M461:M462,M464:M465))</f>
        <v>0</v>
      </c>
      <c r="N487" s="1697">
        <f>+IF(COLUMNS($L487:N487)&lt;month,0,'6. Market'!$J$117*SUM(N461:N462,N464:N465))</f>
        <v>0</v>
      </c>
      <c r="O487" s="1697">
        <f>+IF(COLUMNS($L487:O487)&lt;month,0,'6. Market'!$J$117*SUM(O461:O462,O464:O465))</f>
        <v>0</v>
      </c>
      <c r="P487" s="1697">
        <f>+IF(COLUMNS($L487:P487)&lt;month,0,'6. Market'!$J$117*SUM(P461:P462,P464:P465))</f>
        <v>0</v>
      </c>
      <c r="Q487" s="1697">
        <f>+IF(COLUMNS($L487:Q487)&lt;month,0,'6. Market'!$J$117*SUM(Q461:Q462,Q464:Q465))</f>
        <v>0</v>
      </c>
      <c r="R487" s="1697">
        <f>+IF(COLUMNS($L487:R487)&lt;month,0,'6. Market'!$J$117*SUM(R461:R462,R464:R465))</f>
        <v>0</v>
      </c>
      <c r="S487" s="1697">
        <f>+IF(COLUMNS($L487:S487)&lt;month,0,'6. Market'!$J$117*SUM(S461:S462,S464:S465))</f>
        <v>0</v>
      </c>
      <c r="T487" s="1697">
        <f>+IF(COLUMNS($L487:T487)&lt;month,0,'6. Market'!$J$117*SUM(T461:T462,T464:T465))</f>
        <v>0</v>
      </c>
      <c r="U487" s="1697">
        <f>+IF(COLUMNS($L487:U487)&lt;month,0,'6. Market'!$J$117*SUM(U461:U462,U464:U465))</f>
        <v>0</v>
      </c>
      <c r="V487" s="1700">
        <f>+IF(COLUMNS($L487:V487)&lt;month,0,'6. Market'!$J$117*SUM(V461:V462,V464:V465))</f>
        <v>18564.974605157677</v>
      </c>
      <c r="W487" s="1697">
        <f>+IF(COLUMNS($L487:W487)&lt;month,0,'6. Market'!$J$117*SUM(W461:W462,W464:W465))</f>
        <v>18564.974605157677</v>
      </c>
    </row>
    <row r="488" spans="1:25" s="3" customFormat="1">
      <c r="A488" s="1687" t="s">
        <v>730</v>
      </c>
      <c r="B488" t="str">
        <f t="shared" si="24"/>
        <v>X10_11032_00494</v>
      </c>
      <c r="C488" s="1687" t="str">
        <f>+$C$2</f>
        <v>LE_XXXX</v>
      </c>
      <c r="D488" s="1687" t="s">
        <v>2886</v>
      </c>
      <c r="E488" s="1687">
        <v>8110</v>
      </c>
      <c r="F488" s="1687" t="s">
        <v>731</v>
      </c>
      <c r="G488" s="1687" t="s">
        <v>2889</v>
      </c>
      <c r="H488" s="1687" t="s">
        <v>154</v>
      </c>
      <c r="I488" s="1687" t="s">
        <v>146</v>
      </c>
      <c r="J488" s="1687" t="s">
        <v>147</v>
      </c>
      <c r="K488" t="str">
        <f>+"FY"&amp;RIGHT(YEAR('Hyperion Panel'!$B$9),2)</f>
        <v>FY10</v>
      </c>
      <c r="L488" s="1704">
        <f>+IF(COLUMNS($L488:L488)&lt;month,0,'6. Market'!$J$88/12)</f>
        <v>0</v>
      </c>
      <c r="M488" s="1704">
        <f>+IF(COLUMNS($L488:M488)&lt;month,0,'6. Market'!$J$88/12)</f>
        <v>0</v>
      </c>
      <c r="N488" s="1704">
        <f>+IF(COLUMNS($L488:N488)&lt;month,0,'6. Market'!$J$88/12)</f>
        <v>0</v>
      </c>
      <c r="O488" s="1704">
        <f>+IF(COLUMNS($L488:O488)&lt;month,0,'6. Market'!$J$88/12)</f>
        <v>0</v>
      </c>
      <c r="P488" s="1704">
        <f>+IF(COLUMNS($L488:P488)&lt;month,0,'6. Market'!$J$88/12)</f>
        <v>0</v>
      </c>
      <c r="Q488" s="1704">
        <f>+IF(COLUMNS($L488:Q488)&lt;month,0,'6. Market'!$J$88/12)</f>
        <v>0</v>
      </c>
      <c r="R488" s="1704">
        <f>+IF(COLUMNS($L488:R488)&lt;month,0,'6. Market'!$J$88/12)</f>
        <v>0</v>
      </c>
      <c r="S488" s="1704">
        <f>+IF(COLUMNS($L488:S488)&lt;month,0,'6. Market'!$J$88/12)</f>
        <v>0</v>
      </c>
      <c r="T488" s="1704">
        <f>+IF(COLUMNS($L488:T488)&lt;month,0,'6. Market'!$J$88/12)</f>
        <v>0</v>
      </c>
      <c r="U488" s="1704">
        <f>+IF(COLUMNS($L488:U488)&lt;month,0,'6. Market'!$J$88/12)</f>
        <v>0</v>
      </c>
      <c r="V488" s="1704">
        <f>+IF(COLUMNS($L488:V488)&lt;month,0,'6. Market'!$J$88/12)</f>
        <v>833.33333333333337</v>
      </c>
      <c r="W488" s="1704">
        <f>+IF(COLUMNS($L488:W488)&lt;month,0,'6. Market'!$J$88/12)</f>
        <v>833.33333333333337</v>
      </c>
    </row>
    <row r="489" spans="1:25" s="3" customFormat="1">
      <c r="A489" s="1687" t="s">
        <v>732</v>
      </c>
      <c r="B489" t="str">
        <f t="shared" si="24"/>
        <v>X10_11032_00494</v>
      </c>
      <c r="C489" s="1687" t="str">
        <f>+$C$2</f>
        <v>LE_XXXX</v>
      </c>
      <c r="D489" s="1687" t="s">
        <v>2886</v>
      </c>
      <c r="E489" s="1687"/>
      <c r="F489" s="1687" t="s">
        <v>731</v>
      </c>
      <c r="G489" s="1687" t="s">
        <v>2889</v>
      </c>
      <c r="H489" s="1687" t="s">
        <v>154</v>
      </c>
      <c r="I489" s="1687" t="s">
        <v>146</v>
      </c>
      <c r="J489" s="1687" t="s">
        <v>147</v>
      </c>
      <c r="K489" t="str">
        <f>+"FY"&amp;RIGHT(YEAR('Hyperion Panel'!$B$9),2)</f>
        <v>FY10</v>
      </c>
      <c r="L489" s="1704">
        <f>+IF(COLUMNS($L489:L489)&lt;month,0,'6. Market'!$J$89/12)</f>
        <v>0</v>
      </c>
      <c r="M489" s="1704">
        <f>+IF(COLUMNS($L489:M489)&lt;month,0,'6. Market'!$J$89/12)</f>
        <v>0</v>
      </c>
      <c r="N489" s="1704">
        <f>+IF(COLUMNS($L489:N489)&lt;month,0,'6. Market'!$J$89/12)</f>
        <v>0</v>
      </c>
      <c r="O489" s="1704">
        <f>+IF(COLUMNS($L489:O489)&lt;month,0,'6. Market'!$J$89/12)</f>
        <v>0</v>
      </c>
      <c r="P489" s="1704">
        <f>+IF(COLUMNS($L489:P489)&lt;month,0,'6. Market'!$J$89/12)</f>
        <v>0</v>
      </c>
      <c r="Q489" s="1704">
        <f>+IF(COLUMNS($L489:Q489)&lt;month,0,'6. Market'!$J$89/12)</f>
        <v>0</v>
      </c>
      <c r="R489" s="1704">
        <f>+IF(COLUMNS($L489:R489)&lt;month,0,'6. Market'!$J$89/12)</f>
        <v>0</v>
      </c>
      <c r="S489" s="1704">
        <f>+IF(COLUMNS($L489:S489)&lt;month,0,'6. Market'!$J$89/12)</f>
        <v>0</v>
      </c>
      <c r="T489" s="1704">
        <f>+IF(COLUMNS($L489:T489)&lt;month,0,'6. Market'!$J$89/12)</f>
        <v>0</v>
      </c>
      <c r="U489" s="1704">
        <f>+IF(COLUMNS($L489:U489)&lt;month,0,'6. Market'!$J$89/12)</f>
        <v>0</v>
      </c>
      <c r="V489" s="1704">
        <f>+IF(COLUMNS($L489:V489)&lt;month,0,'6. Market'!$J$89/12)</f>
        <v>0</v>
      </c>
      <c r="W489" s="1704">
        <f>+IF(COLUMNS($L489:W489)&lt;month,0,'6. Market'!$J$89/12)</f>
        <v>0</v>
      </c>
    </row>
    <row r="490" spans="1:25" s="3" customFormat="1">
      <c r="A490" s="1687" t="s">
        <v>733</v>
      </c>
      <c r="B490" t="str">
        <f t="shared" si="24"/>
        <v>X10_11032_00494</v>
      </c>
      <c r="C490" s="1687" t="str">
        <f>+$C$2</f>
        <v>LE_XXXX</v>
      </c>
      <c r="D490" s="1687" t="s">
        <v>2886</v>
      </c>
      <c r="E490" s="1687"/>
      <c r="F490" s="1687" t="s">
        <v>731</v>
      </c>
      <c r="G490" s="1687" t="s">
        <v>2889</v>
      </c>
      <c r="H490" s="1687" t="s">
        <v>154</v>
      </c>
      <c r="I490" s="1687" t="s">
        <v>146</v>
      </c>
      <c r="J490" s="1687" t="s">
        <v>147</v>
      </c>
      <c r="K490" t="str">
        <f>+"FY"&amp;RIGHT(YEAR('Hyperion Panel'!$B$9),2)</f>
        <v>FY10</v>
      </c>
      <c r="L490" s="1704">
        <f>+IF(COLUMNS($L490:L490)&lt;month,0,'6. Market'!$J$90/12)</f>
        <v>0</v>
      </c>
      <c r="M490" s="1704">
        <f>+IF(COLUMNS($L490:M490)&lt;month,0,'6. Market'!$J$90/12)</f>
        <v>0</v>
      </c>
      <c r="N490" s="1704">
        <f>+IF(COLUMNS($L490:N490)&lt;month,0,'6. Market'!$J$90/12)</f>
        <v>0</v>
      </c>
      <c r="O490" s="1704">
        <f>+IF(COLUMNS($L490:O490)&lt;month,0,'6. Market'!$J$90/12)</f>
        <v>0</v>
      </c>
      <c r="P490" s="1704">
        <f>+IF(COLUMNS($L490:P490)&lt;month,0,'6. Market'!$J$90/12)</f>
        <v>0</v>
      </c>
      <c r="Q490" s="1704">
        <f>+IF(COLUMNS($L490:Q490)&lt;month,0,'6. Market'!$J$90/12)</f>
        <v>0</v>
      </c>
      <c r="R490" s="1704">
        <f>+IF(COLUMNS($L490:R490)&lt;month,0,'6. Market'!$J$90/12)</f>
        <v>0</v>
      </c>
      <c r="S490" s="1704">
        <f>+IF(COLUMNS($L490:S490)&lt;month,0,'6. Market'!$J$90/12)</f>
        <v>0</v>
      </c>
      <c r="T490" s="1704">
        <f>+IF(COLUMNS($L490:T490)&lt;month,0,'6. Market'!$J$90/12)</f>
        <v>0</v>
      </c>
      <c r="U490" s="1704">
        <f>+IF(COLUMNS($L490:U490)&lt;month,0,'6. Market'!$J$90/12)</f>
        <v>0</v>
      </c>
      <c r="V490" s="1704">
        <f>+IF(COLUMNS($L490:V490)&lt;month,0,'6. Market'!$J$90/12)</f>
        <v>9640</v>
      </c>
      <c r="W490" s="1704">
        <f>+IF(COLUMNS($L490:W490)&lt;month,0,'6. Market'!$J$90/12)</f>
        <v>9640</v>
      </c>
    </row>
    <row r="491" spans="1:25" s="3" customFormat="1">
      <c r="A491" s="1687" t="s">
        <v>734</v>
      </c>
      <c r="B491" t="str">
        <f t="shared" si="24"/>
        <v>X10_11032_00494</v>
      </c>
      <c r="C491" s="1687" t="str">
        <f>+$C$2</f>
        <v>LE_XXXX</v>
      </c>
      <c r="D491" s="1687" t="s">
        <v>2886</v>
      </c>
      <c r="E491" s="1687">
        <v>6800</v>
      </c>
      <c r="F491" s="1687" t="s">
        <v>731</v>
      </c>
      <c r="G491" s="1687" t="s">
        <v>2889</v>
      </c>
      <c r="H491" s="1687" t="s">
        <v>154</v>
      </c>
      <c r="I491" s="1687" t="s">
        <v>146</v>
      </c>
      <c r="J491" s="1687" t="s">
        <v>147</v>
      </c>
      <c r="K491" t="str">
        <f>+"FY"&amp;RIGHT(YEAR('Hyperion Panel'!$B$9),2)</f>
        <v>FY10</v>
      </c>
      <c r="L491" s="1704">
        <f>+IF(COLUMNS($L491:L491)&lt;month,0,'6. Market'!$J$91/12)</f>
        <v>0</v>
      </c>
      <c r="M491" s="1704">
        <f>+IF(COLUMNS($L491:M491)&lt;month,0,'6. Market'!$J$91/12)</f>
        <v>0</v>
      </c>
      <c r="N491" s="1704">
        <f>+IF(COLUMNS($L491:N491)&lt;month,0,'6. Market'!$J$91/12)</f>
        <v>0</v>
      </c>
      <c r="O491" s="1704">
        <f>+IF(COLUMNS($L491:O491)&lt;month,0,'6. Market'!$J$91/12)</f>
        <v>0</v>
      </c>
      <c r="P491" s="1704">
        <f>+IF(COLUMNS($L491:P491)&lt;month,0,'6. Market'!$J$91/12)</f>
        <v>0</v>
      </c>
      <c r="Q491" s="1704">
        <f>+IF(COLUMNS($L491:Q491)&lt;month,0,'6. Market'!$J$91/12)</f>
        <v>0</v>
      </c>
      <c r="R491" s="1704">
        <f>+IF(COLUMNS($L491:R491)&lt;month,0,'6. Market'!$J$91/12)</f>
        <v>0</v>
      </c>
      <c r="S491" s="1704">
        <f>+IF(COLUMNS($L491:S491)&lt;month,0,'6. Market'!$J$91/12)</f>
        <v>0</v>
      </c>
      <c r="T491" s="1704">
        <f>+IF(COLUMNS($L491:T491)&lt;month,0,'6. Market'!$J$91/12)</f>
        <v>0</v>
      </c>
      <c r="U491" s="1704">
        <f>+IF(COLUMNS($L491:U491)&lt;month,0,'6. Market'!$J$91/12)</f>
        <v>0</v>
      </c>
      <c r="V491" s="1704">
        <f>+IF(COLUMNS($L491:V491)&lt;month,0,'6. Market'!$J$91/12)</f>
        <v>1750</v>
      </c>
      <c r="W491" s="1704">
        <f>+IF(COLUMNS($L491:W491)&lt;month,0,'6. Market'!$J$91/12)</f>
        <v>1750</v>
      </c>
    </row>
    <row r="492" spans="1:25">
      <c r="A492" t="s">
        <v>158</v>
      </c>
      <c r="B492" t="str">
        <f t="shared" si="24"/>
        <v>X10_11032_00494</v>
      </c>
      <c r="C492" t="str">
        <f>+$C$460</f>
        <v>LE_XXXX</v>
      </c>
      <c r="D492" t="s">
        <v>2886</v>
      </c>
      <c r="E492" t="s">
        <v>159</v>
      </c>
      <c r="F492" t="s">
        <v>156</v>
      </c>
      <c r="G492" t="s">
        <v>2889</v>
      </c>
      <c r="H492" t="s">
        <v>154</v>
      </c>
      <c r="I492" t="s">
        <v>146</v>
      </c>
      <c r="J492" t="s">
        <v>147</v>
      </c>
      <c r="K492" t="str">
        <f>+"FY"&amp;RIGHT(YEAR('Hyperion Panel'!$B$9),2)</f>
        <v>FY10</v>
      </c>
      <c r="L492" s="103">
        <f>'Hyperion Panel'!$C$7</f>
        <v>1</v>
      </c>
      <c r="M492" s="103">
        <f>'Hyperion Panel'!$C$7</f>
        <v>1</v>
      </c>
      <c r="N492" s="103">
        <f>'Hyperion Panel'!$C$7</f>
        <v>1</v>
      </c>
      <c r="O492" s="103">
        <f>'Hyperion Panel'!$C$7</f>
        <v>1</v>
      </c>
      <c r="P492" s="103">
        <f>'Hyperion Panel'!$C$7</f>
        <v>1</v>
      </c>
      <c r="Q492" s="103">
        <f>'Hyperion Panel'!$C$7</f>
        <v>1</v>
      </c>
      <c r="R492" s="103">
        <f>'Hyperion Panel'!$C$7</f>
        <v>1</v>
      </c>
      <c r="S492" s="103">
        <f>'Hyperion Panel'!$C$7</f>
        <v>1</v>
      </c>
      <c r="T492" s="103">
        <f>'Hyperion Panel'!$C$7</f>
        <v>1</v>
      </c>
      <c r="U492" s="103">
        <f>'Hyperion Panel'!$C$7</f>
        <v>1</v>
      </c>
      <c r="V492" s="1694">
        <f>'Hyperion Panel'!$C$7</f>
        <v>1</v>
      </c>
      <c r="W492" s="103">
        <f>'Hyperion Panel'!$C$7</f>
        <v>1</v>
      </c>
    </row>
    <row r="493" spans="1:25">
      <c r="A493" t="s">
        <v>160</v>
      </c>
      <c r="B493" t="str">
        <f t="shared" si="24"/>
        <v>X10_11032_00494</v>
      </c>
      <c r="C493" t="str">
        <f>+$C$460</f>
        <v>LE_XXXX</v>
      </c>
      <c r="D493" t="s">
        <v>2886</v>
      </c>
      <c r="E493" t="s">
        <v>161</v>
      </c>
      <c r="F493" t="s">
        <v>156</v>
      </c>
      <c r="G493" t="s">
        <v>2889</v>
      </c>
      <c r="H493" t="s">
        <v>154</v>
      </c>
      <c r="I493" t="s">
        <v>146</v>
      </c>
      <c r="J493" t="s">
        <v>147</v>
      </c>
      <c r="K493" t="str">
        <f>+"FY"&amp;RIGHT(YEAR('Hyperion Panel'!$B$9),2)</f>
        <v>FY10</v>
      </c>
      <c r="L493" s="1705">
        <v>0</v>
      </c>
      <c r="M493" s="1705">
        <v>0</v>
      </c>
      <c r="N493" s="1705">
        <v>0</v>
      </c>
      <c r="O493" s="1705">
        <v>0</v>
      </c>
      <c r="P493" s="1705">
        <v>0</v>
      </c>
      <c r="Q493" s="1705">
        <v>0</v>
      </c>
      <c r="R493" s="1705">
        <v>0</v>
      </c>
      <c r="S493" s="1705">
        <v>0</v>
      </c>
      <c r="T493" s="1705">
        <v>0</v>
      </c>
      <c r="U493" s="1705">
        <v>0</v>
      </c>
      <c r="V493" s="1705">
        <v>0</v>
      </c>
      <c r="W493" s="1705">
        <v>0</v>
      </c>
    </row>
    <row r="494" spans="1:25" s="3" customFormat="1">
      <c r="A494" s="1687" t="s">
        <v>735</v>
      </c>
      <c r="B494" t="str">
        <f t="shared" si="24"/>
        <v>X10_11032_00494</v>
      </c>
      <c r="C494" s="1687"/>
      <c r="D494" s="1687"/>
      <c r="E494" s="1687"/>
      <c r="F494" s="1687"/>
      <c r="G494" s="1687"/>
      <c r="H494" s="1687"/>
      <c r="I494" s="1687"/>
      <c r="J494" s="1687"/>
      <c r="K494" t="str">
        <f>+"FY"&amp;RIGHT(YEAR('Hyperion Panel'!$B$9),2)</f>
        <v>FY10</v>
      </c>
      <c r="L494" s="1705">
        <v>0</v>
      </c>
      <c r="M494" s="1705">
        <v>0</v>
      </c>
      <c r="N494" s="1705">
        <v>0</v>
      </c>
      <c r="O494" s="1705">
        <v>0</v>
      </c>
      <c r="P494" s="1705">
        <v>0</v>
      </c>
      <c r="Q494" s="1705">
        <v>0</v>
      </c>
      <c r="R494" s="1705">
        <v>0</v>
      </c>
      <c r="S494" s="1705">
        <v>0</v>
      </c>
      <c r="T494" s="1705">
        <v>0</v>
      </c>
      <c r="U494" s="1705">
        <v>0</v>
      </c>
      <c r="V494" s="1705">
        <v>0</v>
      </c>
      <c r="W494" s="1705">
        <v>0</v>
      </c>
      <c r="Y494" s="1688"/>
    </row>
    <row r="495" spans="1:25">
      <c r="L495" s="1612"/>
      <c r="M495" s="1612"/>
      <c r="N495" s="1612"/>
      <c r="O495" s="1612"/>
      <c r="P495" s="1612"/>
      <c r="Q495" s="1612"/>
      <c r="R495" s="1612"/>
      <c r="S495" s="1612"/>
      <c r="T495" s="1612"/>
      <c r="U495" s="1612"/>
      <c r="V495" s="1702"/>
      <c r="W495" s="1612"/>
    </row>
    <row r="496" spans="1:25">
      <c r="A496" s="98" t="s">
        <v>165</v>
      </c>
      <c r="B496" t="str">
        <f>+$B$460</f>
        <v>X10_11032_00494</v>
      </c>
      <c r="C496" t="str">
        <f>+$C$460</f>
        <v>LE_XXXX</v>
      </c>
      <c r="D496" t="s">
        <v>2886</v>
      </c>
      <c r="E496" t="s">
        <v>2887</v>
      </c>
      <c r="F496" t="s">
        <v>2888</v>
      </c>
      <c r="G496" t="s">
        <v>2889</v>
      </c>
      <c r="H496" t="s">
        <v>145</v>
      </c>
      <c r="I496" t="s">
        <v>146</v>
      </c>
      <c r="J496" t="s">
        <v>147</v>
      </c>
      <c r="K496" t="str">
        <f>+"FY"&amp;RIGHT(YEAR('Hyperion Panel'!$B$9)+1,2)</f>
        <v>FY11</v>
      </c>
      <c r="L496" s="1612"/>
      <c r="M496" s="1612"/>
      <c r="N496" s="1612"/>
      <c r="O496" s="1612"/>
      <c r="P496" s="1612"/>
      <c r="Q496" s="1612"/>
      <c r="R496" s="1612"/>
      <c r="S496" s="1612"/>
      <c r="T496" s="1612"/>
      <c r="U496" s="1612"/>
      <c r="V496" s="1702"/>
      <c r="W496" s="1612"/>
    </row>
    <row r="497" spans="1:26" s="98" customFormat="1" ht="12.75" customHeight="1">
      <c r="A497" s="100" t="s">
        <v>463</v>
      </c>
      <c r="L497" s="1697">
        <f>+IF(COLUMNS($L497:L497)&lt;month,VLOOKUP("Month "&amp;(COLUMNS($L497:L497)-month+13),X_baseline_Tx,3,FALSE)*52*3/12*(1-hemomiss),VLOOKUP("Month "&amp;(COLUMNS($L497:L497)-month+1),X_baseline_Tx,5,FALSE)*52*3/12*(1-hemomiss))</f>
        <v>574.08000000000004</v>
      </c>
      <c r="M497" s="1697">
        <f>+IF(COLUMNS($L497:M497)&lt;month,VLOOKUP("Month "&amp;(COLUMNS($L497:M497)-month+13),X_baseline_Tx,3,FALSE)*52*3/12*(1-hemomiss),VLOOKUP("Month "&amp;(COLUMNS($L497:M497)-month+1),X_baseline_Tx,5,FALSE)*52*3/12*(1-hemomiss))</f>
        <v>574.08000000000004</v>
      </c>
      <c r="N497" s="1697">
        <f>+IF(COLUMNS($L497:N497)&lt;month,VLOOKUP("Month "&amp;(COLUMNS($L497:N497)-month+13),X_baseline_Tx,3,FALSE)*52*3/12*(1-hemomiss),VLOOKUP("Month "&amp;(COLUMNS($L497:N497)-month+1),X_baseline_Tx,5,FALSE)*52*3/12*(1-hemomiss))</f>
        <v>574.08000000000004</v>
      </c>
      <c r="O497" s="1697">
        <f>+IF(COLUMNS($L497:O497)&lt;month,VLOOKUP("Month "&amp;(COLUMNS($L497:O497)-month+13),X_baseline_Tx,3,FALSE)*52*3/12*(1-hemomiss),VLOOKUP("Month "&amp;(COLUMNS($L497:O497)-month+1),X_baseline_Tx,5,FALSE)*52*3/12*(1-hemomiss))</f>
        <v>574.08000000000004</v>
      </c>
      <c r="P497" s="1697">
        <f>+IF(COLUMNS($L497:P497)&lt;month,VLOOKUP("Month "&amp;(COLUMNS($L497:P497)-month+13),X_baseline_Tx,3,FALSE)*52*3/12*(1-hemomiss),VLOOKUP("Month "&amp;(COLUMNS($L497:P497)-month+1),X_baseline_Tx,5,FALSE)*52*3/12*(1-hemomiss))</f>
        <v>574.08000000000004</v>
      </c>
      <c r="Q497" s="1697">
        <f>+IF(COLUMNS($L497:Q497)&lt;month,VLOOKUP("Month "&amp;(COLUMNS($L497:Q497)-month+13),X_baseline_Tx,3,FALSE)*52*3/12*(1-hemomiss),VLOOKUP("Month "&amp;(COLUMNS($L497:Q497)-month+1),X_baseline_Tx,5,FALSE)*52*3/12*(1-hemomiss))</f>
        <v>574.08000000000004</v>
      </c>
      <c r="R497" s="1697">
        <f>+IF(COLUMNS($L497:R497)&lt;month,VLOOKUP("Month "&amp;(COLUMNS($L497:R497)-month+13),X_baseline_Tx,3,FALSE)*52*3/12*(1-hemomiss),VLOOKUP("Month "&amp;(COLUMNS($L497:R497)-month+1),X_baseline_Tx,5,FALSE)*52*3/12*(1-hemomiss))</f>
        <v>574.08000000000004</v>
      </c>
      <c r="S497" s="1697">
        <f>+IF(COLUMNS($L497:S497)&lt;month,VLOOKUP("Month "&amp;(COLUMNS($L497:S497)-month+13),X_baseline_Tx,3,FALSE)*52*3/12*(1-hemomiss),VLOOKUP("Month "&amp;(COLUMNS($L497:S497)-month+1),X_baseline_Tx,5,FALSE)*52*3/12*(1-hemomiss))</f>
        <v>574.08000000000004</v>
      </c>
      <c r="T497" s="1697">
        <f>+IF(COLUMNS($L497:T497)&lt;month,VLOOKUP("Month "&amp;(COLUMNS($L497:T497)-month+13),X_baseline_Tx,3,FALSE)*52*3/12*(1-hemomiss),VLOOKUP("Month "&amp;(COLUMNS($L497:T497)-month+1),X_baseline_Tx,5,FALSE)*52*3/12*(1-hemomiss))</f>
        <v>574.08000000000004</v>
      </c>
      <c r="U497" s="1697">
        <f>+IF(COLUMNS($L497:U497)&lt;month,VLOOKUP("Month "&amp;(COLUMNS($L497:U497)-month+13),X_baseline_Tx,3,FALSE)*52*3/12*(1-hemomiss),VLOOKUP("Month "&amp;(COLUMNS($L497:U497)-month+1),X_baseline_Tx,5,FALSE)*52*3/12*(1-hemomiss))</f>
        <v>574.08000000000004</v>
      </c>
      <c r="V497" s="1700">
        <f>+IF(COLUMNS($L497:V497)&lt;month,VLOOKUP("Month "&amp;(COLUMNS($L497:V497)-month+13),X_baseline_Tx,3,FALSE)*52*3/12*(1-hemomiss),VLOOKUP("Month "&amp;(COLUMNS($L497:V497)-month+1),X_baseline_Tx,5,FALSE)*52*3/12*(1-hemomiss))</f>
        <v>574.08000000000004</v>
      </c>
      <c r="W497" s="1697">
        <f>+IF(COLUMNS($L497:W497)&lt;month,VLOOKUP("Month "&amp;(COLUMNS($L497:W497)-month+13),X_baseline_Tx,3,FALSE)*52*3/12*(1-hemomiss),VLOOKUP("Month "&amp;(COLUMNS($L497:W497)-month+1),X_baseline_Tx,5,FALSE)*52*3/12*(1-hemomiss))</f>
        <v>574.08000000000004</v>
      </c>
      <c r="Y497" s="99"/>
      <c r="Z497" s="97"/>
    </row>
    <row r="498" spans="1:26" s="98" customFormat="1" ht="12.75" customHeight="1">
      <c r="A498" s="100" t="s">
        <v>464</v>
      </c>
      <c r="L498" s="1697">
        <f>+IF(COLUMNS($L498:L498)&lt;month,VLOOKUP("Month "&amp;(COLUMNS($L498:L498)-month+13),X_baseline_Tx,4,FALSE)*52*3/12*(1-hemomiss),VLOOKUP("Month "&amp;(COLUMNS($L498:L498)-month+1),X_baseline_Tx,6,FALSE)*52*3/12*(1-hemomiss))</f>
        <v>23.92</v>
      </c>
      <c r="M498" s="1697">
        <f>+IF(COLUMNS($L498:M498)&lt;month,VLOOKUP("Month "&amp;(COLUMNS($L498:M498)-month+13),X_baseline_Tx,4,FALSE)*52*3/12*(1-hemomiss),VLOOKUP("Month "&amp;(COLUMNS($L498:M498)-month+1),X_baseline_Tx,6,FALSE)*52*3/12*(1-hemomiss))</f>
        <v>23.92</v>
      </c>
      <c r="N498" s="1697">
        <f>+IF(COLUMNS($L498:N498)&lt;month,VLOOKUP("Month "&amp;(COLUMNS($L498:N498)-month+13),X_baseline_Tx,4,FALSE)*52*3/12*(1-hemomiss),VLOOKUP("Month "&amp;(COLUMNS($L498:N498)-month+1),X_baseline_Tx,6,FALSE)*52*3/12*(1-hemomiss))</f>
        <v>23.92</v>
      </c>
      <c r="O498" s="1697">
        <f>+IF(COLUMNS($L498:O498)&lt;month,VLOOKUP("Month "&amp;(COLUMNS($L498:O498)-month+13),X_baseline_Tx,4,FALSE)*52*3/12*(1-hemomiss),VLOOKUP("Month "&amp;(COLUMNS($L498:O498)-month+1),X_baseline_Tx,6,FALSE)*52*3/12*(1-hemomiss))</f>
        <v>23.92</v>
      </c>
      <c r="P498" s="1697">
        <f>+IF(COLUMNS($L498:P498)&lt;month,VLOOKUP("Month "&amp;(COLUMNS($L498:P498)-month+13),X_baseline_Tx,4,FALSE)*52*3/12*(1-hemomiss),VLOOKUP("Month "&amp;(COLUMNS($L498:P498)-month+1),X_baseline_Tx,6,FALSE)*52*3/12*(1-hemomiss))</f>
        <v>23.92</v>
      </c>
      <c r="Q498" s="1697">
        <f>+IF(COLUMNS($L498:Q498)&lt;month,VLOOKUP("Month "&amp;(COLUMNS($L498:Q498)-month+13),X_baseline_Tx,4,FALSE)*52*3/12*(1-hemomiss),VLOOKUP("Month "&amp;(COLUMNS($L498:Q498)-month+1),X_baseline_Tx,6,FALSE)*52*3/12*(1-hemomiss))</f>
        <v>23.92</v>
      </c>
      <c r="R498" s="1697">
        <f>+IF(COLUMNS($L498:R498)&lt;month,VLOOKUP("Month "&amp;(COLUMNS($L498:R498)-month+13),X_baseline_Tx,4,FALSE)*52*3/12*(1-hemomiss),VLOOKUP("Month "&amp;(COLUMNS($L498:R498)-month+1),X_baseline_Tx,6,FALSE)*52*3/12*(1-hemomiss))</f>
        <v>23.92</v>
      </c>
      <c r="S498" s="1697">
        <f>+IF(COLUMNS($L498:S498)&lt;month,VLOOKUP("Month "&amp;(COLUMNS($L498:S498)-month+13),X_baseline_Tx,4,FALSE)*52*3/12*(1-hemomiss),VLOOKUP("Month "&amp;(COLUMNS($L498:S498)-month+1),X_baseline_Tx,6,FALSE)*52*3/12*(1-hemomiss))</f>
        <v>23.92</v>
      </c>
      <c r="T498" s="1697">
        <f>+IF(COLUMNS($L498:T498)&lt;month,VLOOKUP("Month "&amp;(COLUMNS($L498:T498)-month+13),X_baseline_Tx,4,FALSE)*52*3/12*(1-hemomiss),VLOOKUP("Month "&amp;(COLUMNS($L498:T498)-month+1),X_baseline_Tx,6,FALSE)*52*3/12*(1-hemomiss))</f>
        <v>23.92</v>
      </c>
      <c r="U498" s="1697">
        <f>+IF(COLUMNS($L498:U498)&lt;month,VLOOKUP("Month "&amp;(COLUMNS($L498:U498)-month+13),X_baseline_Tx,4,FALSE)*52*3/12*(1-hemomiss),VLOOKUP("Month "&amp;(COLUMNS($L498:U498)-month+1),X_baseline_Tx,6,FALSE)*52*3/12*(1-hemomiss))</f>
        <v>23.92</v>
      </c>
      <c r="V498" s="1700">
        <f>+IF(COLUMNS($L498:V498)&lt;month,VLOOKUP("Month "&amp;(COLUMNS($L498:V498)-month+13),X_baseline_Tx,4,FALSE)*52*3/12*(1-hemomiss),VLOOKUP("Month "&amp;(COLUMNS($L498:V498)-month+1),X_baseline_Tx,6,FALSE)*52*3/12*(1-hemomiss))</f>
        <v>23.92</v>
      </c>
      <c r="W498" s="1697">
        <f>+IF(COLUMNS($L498:W498)&lt;month,VLOOKUP("Month "&amp;(COLUMNS($L498:W498)-month+13),X_baseline_Tx,4,FALSE)*52*3/12*(1-hemomiss),VLOOKUP("Month "&amp;(COLUMNS($L498:W498)-month+1),X_baseline_Tx,6,FALSE)*52*3/12*(1-hemomiss))</f>
        <v>23.92</v>
      </c>
      <c r="Y498" s="99"/>
      <c r="Z498" s="97"/>
    </row>
    <row r="499" spans="1:26">
      <c r="A499" s="98" t="s">
        <v>162</v>
      </c>
      <c r="B499" t="str">
        <f>+$B$460</f>
        <v>X10_11032_00494</v>
      </c>
      <c r="C499" t="str">
        <f>+$C$460</f>
        <v>LE_XXXX</v>
      </c>
      <c r="D499" t="s">
        <v>2886</v>
      </c>
      <c r="E499" t="s">
        <v>149</v>
      </c>
      <c r="F499" t="s">
        <v>150</v>
      </c>
      <c r="G499" t="s">
        <v>2889</v>
      </c>
      <c r="H499" t="s">
        <v>145</v>
      </c>
      <c r="I499" t="s">
        <v>146</v>
      </c>
      <c r="J499" t="s">
        <v>147</v>
      </c>
      <c r="K499" t="str">
        <f>+"FY"&amp;RIGHT(YEAR('Hyperion Panel'!$B$9)+1,2)</f>
        <v>FY11</v>
      </c>
      <c r="L499" s="1612"/>
      <c r="M499" s="1612"/>
      <c r="N499" s="1612"/>
      <c r="O499" s="1612"/>
      <c r="P499" s="1612"/>
      <c r="Q499" s="1612"/>
      <c r="R499" s="1612"/>
      <c r="S499" s="1612"/>
      <c r="T499" s="1612"/>
      <c r="U499" s="1612"/>
      <c r="V499" s="1703"/>
      <c r="W499" s="1612"/>
    </row>
    <row r="500" spans="1:26" s="98" customFormat="1">
      <c r="A500" s="100" t="s">
        <v>463</v>
      </c>
      <c r="L500" s="1697">
        <f>+IF(COLUMNS($L500:L500)&lt;month,VLOOKUP("Month "&amp;(COLUMNS($L500:L500)-month+13),X_baseline_Tx,14,FALSE)*52*3/12*(1-homemiss),VLOOKUP("Month "&amp;(COLUMNS($L500:L500)-month+1),X_baseline_Tx,16,FALSE)*52*3/12*(1-homemiss))</f>
        <v>172.9</v>
      </c>
      <c r="M500" s="1697">
        <f>+IF(COLUMNS($L500:M500)&lt;month,VLOOKUP("Month "&amp;(COLUMNS($L500:M500)-month+13),X_baseline_Tx,14,FALSE)*52*3/12*(1-homemiss),VLOOKUP("Month "&amp;(COLUMNS($L500:M500)-month+1),X_baseline_Tx,16,FALSE)*52*3/12*(1-homemiss))</f>
        <v>172.9</v>
      </c>
      <c r="N500" s="1697">
        <f>+IF(COLUMNS($L500:N500)&lt;month,VLOOKUP("Month "&amp;(COLUMNS($L500:N500)-month+13),X_baseline_Tx,14,FALSE)*52*3/12*(1-homemiss),VLOOKUP("Month "&amp;(COLUMNS($L500:N500)-month+1),X_baseline_Tx,16,FALSE)*52*3/12*(1-homemiss))</f>
        <v>172.9</v>
      </c>
      <c r="O500" s="1697">
        <f>+IF(COLUMNS($L500:O500)&lt;month,VLOOKUP("Month "&amp;(COLUMNS($L500:O500)-month+13),X_baseline_Tx,14,FALSE)*52*3/12*(1-homemiss),VLOOKUP("Month "&amp;(COLUMNS($L500:O500)-month+1),X_baseline_Tx,16,FALSE)*52*3/12*(1-homemiss))</f>
        <v>172.9</v>
      </c>
      <c r="P500" s="1697">
        <f>+IF(COLUMNS($L500:P500)&lt;month,VLOOKUP("Month "&amp;(COLUMNS($L500:P500)-month+13),X_baseline_Tx,14,FALSE)*52*3/12*(1-homemiss),VLOOKUP("Month "&amp;(COLUMNS($L500:P500)-month+1),X_baseline_Tx,16,FALSE)*52*3/12*(1-homemiss))</f>
        <v>172.9</v>
      </c>
      <c r="Q500" s="1697">
        <f>+IF(COLUMNS($L500:Q500)&lt;month,VLOOKUP("Month "&amp;(COLUMNS($L500:Q500)-month+13),X_baseline_Tx,14,FALSE)*52*3/12*(1-homemiss),VLOOKUP("Month "&amp;(COLUMNS($L500:Q500)-month+1),X_baseline_Tx,16,FALSE)*52*3/12*(1-homemiss))</f>
        <v>172.9</v>
      </c>
      <c r="R500" s="1697">
        <f>+IF(COLUMNS($L500:R500)&lt;month,VLOOKUP("Month "&amp;(COLUMNS($L500:R500)-month+13),X_baseline_Tx,14,FALSE)*52*3/12*(1-homemiss),VLOOKUP("Month "&amp;(COLUMNS($L500:R500)-month+1),X_baseline_Tx,16,FALSE)*52*3/12*(1-homemiss))</f>
        <v>172.9</v>
      </c>
      <c r="S500" s="1697">
        <f>+IF(COLUMNS($L500:S500)&lt;month,VLOOKUP("Month "&amp;(COLUMNS($L500:S500)-month+13),X_baseline_Tx,14,FALSE)*52*3/12*(1-homemiss),VLOOKUP("Month "&amp;(COLUMNS($L500:S500)-month+1),X_baseline_Tx,16,FALSE)*52*3/12*(1-homemiss))</f>
        <v>172.9</v>
      </c>
      <c r="T500" s="1697">
        <f>+IF(COLUMNS($L500:T500)&lt;month,VLOOKUP("Month "&amp;(COLUMNS($L500:T500)-month+13),X_baseline_Tx,14,FALSE)*52*3/12*(1-homemiss),VLOOKUP("Month "&amp;(COLUMNS($L500:T500)-month+1),X_baseline_Tx,16,FALSE)*52*3/12*(1-homemiss))</f>
        <v>172.9</v>
      </c>
      <c r="U500" s="1697">
        <f>+IF(COLUMNS($L500:U500)&lt;month,VLOOKUP("Month "&amp;(COLUMNS($L500:U500)-month+13),X_baseline_Tx,14,FALSE)*52*3/12*(1-homemiss),VLOOKUP("Month "&amp;(COLUMNS($L500:U500)-month+1),X_baseline_Tx,16,FALSE)*52*3/12*(1-homemiss))</f>
        <v>172.9</v>
      </c>
      <c r="V500" s="1697">
        <f>+IF(COLUMNS($L500:V500)&lt;month,VLOOKUP("Month "&amp;(COLUMNS($L500:V500)-month+13),X_baseline_Tx,14,FALSE)*52*3/12*(1-homemiss),VLOOKUP("Month "&amp;(COLUMNS($L500:V500)-month+1),X_baseline_Tx,16,FALSE)*52*3/12*(1-homemiss))</f>
        <v>172.9</v>
      </c>
      <c r="W500" s="1697">
        <f>+IF(COLUMNS($L500:W500)&lt;month,VLOOKUP("Month "&amp;(COLUMNS($L500:W500)-month+13),X_baseline_Tx,14,FALSE)*52*3/12*(1-homemiss),VLOOKUP("Month "&amp;(COLUMNS($L500:W500)-month+1),X_baseline_Tx,16,FALSE)*52*3/12*(1-homemiss))</f>
        <v>172.9</v>
      </c>
      <c r="Y500" s="99"/>
    </row>
    <row r="501" spans="1:26" s="98" customFormat="1">
      <c r="A501" s="100" t="s">
        <v>464</v>
      </c>
      <c r="L501" s="1697">
        <f>+IF(COLUMNS($L501:L501)&lt;month,VLOOKUP("Month "&amp;(COLUMNS($L501:L501)-month+13),X_baseline_Tx,15,FALSE)*52*3/12*(1-homemiss),VLOOKUP("Month "&amp;(COLUMNS($L501:L501)-month+1),X_baseline_Tx,17,FALSE)*52*3/12*(1-homemiss))</f>
        <v>74.099999999999994</v>
      </c>
      <c r="M501" s="1697">
        <f>+IF(COLUMNS($L501:M501)&lt;month,VLOOKUP("Month "&amp;(COLUMNS($L501:M501)-month+13),X_baseline_Tx,15,FALSE)*52*3/12*(1-homemiss),VLOOKUP("Month "&amp;(COLUMNS($L501:M501)-month+1),X_baseline_Tx,17,FALSE)*52*3/12*(1-homemiss))</f>
        <v>74.099999999999994</v>
      </c>
      <c r="N501" s="1697">
        <f>+IF(COLUMNS($L501:N501)&lt;month,VLOOKUP("Month "&amp;(COLUMNS($L501:N501)-month+13),X_baseline_Tx,15,FALSE)*52*3/12*(1-homemiss),VLOOKUP("Month "&amp;(COLUMNS($L501:N501)-month+1),X_baseline_Tx,17,FALSE)*52*3/12*(1-homemiss))</f>
        <v>74.099999999999994</v>
      </c>
      <c r="O501" s="1697">
        <f>+IF(COLUMNS($L501:O501)&lt;month,VLOOKUP("Month "&amp;(COLUMNS($L501:O501)-month+13),X_baseline_Tx,15,FALSE)*52*3/12*(1-homemiss),VLOOKUP("Month "&amp;(COLUMNS($L501:O501)-month+1),X_baseline_Tx,17,FALSE)*52*3/12*(1-homemiss))</f>
        <v>74.099999999999994</v>
      </c>
      <c r="P501" s="1697">
        <f>+IF(COLUMNS($L501:P501)&lt;month,VLOOKUP("Month "&amp;(COLUMNS($L501:P501)-month+13),X_baseline_Tx,15,FALSE)*52*3/12*(1-homemiss),VLOOKUP("Month "&amp;(COLUMNS($L501:P501)-month+1),X_baseline_Tx,17,FALSE)*52*3/12*(1-homemiss))</f>
        <v>74.099999999999994</v>
      </c>
      <c r="Q501" s="1697">
        <f>+IF(COLUMNS($L501:Q501)&lt;month,VLOOKUP("Month "&amp;(COLUMNS($L501:Q501)-month+13),X_baseline_Tx,15,FALSE)*52*3/12*(1-homemiss),VLOOKUP("Month "&amp;(COLUMNS($L501:Q501)-month+1),X_baseline_Tx,17,FALSE)*52*3/12*(1-homemiss))</f>
        <v>74.099999999999994</v>
      </c>
      <c r="R501" s="1697">
        <f>+IF(COLUMNS($L501:R501)&lt;month,VLOOKUP("Month "&amp;(COLUMNS($L501:R501)-month+13),X_baseline_Tx,15,FALSE)*52*3/12*(1-homemiss),VLOOKUP("Month "&amp;(COLUMNS($L501:R501)-month+1),X_baseline_Tx,17,FALSE)*52*3/12*(1-homemiss))</f>
        <v>74.099999999999994</v>
      </c>
      <c r="S501" s="1697">
        <f>+IF(COLUMNS($L501:S501)&lt;month,VLOOKUP("Month "&amp;(COLUMNS($L501:S501)-month+13),X_baseline_Tx,15,FALSE)*52*3/12*(1-homemiss),VLOOKUP("Month "&amp;(COLUMNS($L501:S501)-month+1),X_baseline_Tx,17,FALSE)*52*3/12*(1-homemiss))</f>
        <v>74.099999999999994</v>
      </c>
      <c r="T501" s="1697">
        <f>+IF(COLUMNS($L501:T501)&lt;month,VLOOKUP("Month "&amp;(COLUMNS($L501:T501)-month+13),X_baseline_Tx,15,FALSE)*52*3/12*(1-homemiss),VLOOKUP("Month "&amp;(COLUMNS($L501:T501)-month+1),X_baseline_Tx,17,FALSE)*52*3/12*(1-homemiss))</f>
        <v>74.099999999999994</v>
      </c>
      <c r="U501" s="1697">
        <f>+IF(COLUMNS($L501:U501)&lt;month,VLOOKUP("Month "&amp;(COLUMNS($L501:U501)-month+13),X_baseline_Tx,15,FALSE)*52*3/12*(1-homemiss),VLOOKUP("Month "&amp;(COLUMNS($L501:U501)-month+1),X_baseline_Tx,17,FALSE)*52*3/12*(1-homemiss))</f>
        <v>74.099999999999994</v>
      </c>
      <c r="V501" s="1697">
        <f>+IF(COLUMNS($L501:V501)&lt;month,VLOOKUP("Month "&amp;(COLUMNS($L501:V501)-month+13),X_baseline_Tx,15,FALSE)*52*3/12*(1-homemiss),VLOOKUP("Month "&amp;(COLUMNS($L501:V501)-month+1),X_baseline_Tx,17,FALSE)*52*3/12*(1-homemiss))</f>
        <v>74.099999999999994</v>
      </c>
      <c r="W501" s="1697">
        <f>+IF(COLUMNS($L501:W501)&lt;month,VLOOKUP("Month "&amp;(COLUMNS($L501:W501)-month+13),X_baseline_Tx,15,FALSE)*52*3/12*(1-homemiss),VLOOKUP("Month "&amp;(COLUMNS($L501:W501)-month+1),X_baseline_Tx,17,FALSE)*52*3/12*(1-homemiss))</f>
        <v>74.099999999999994</v>
      </c>
      <c r="Y501" s="99"/>
    </row>
    <row r="502" spans="1:26">
      <c r="A502" s="4" t="s">
        <v>3767</v>
      </c>
      <c r="B502" s="4" t="str">
        <f>+$B$460</f>
        <v>X10_11032_00494</v>
      </c>
      <c r="C502" s="4"/>
      <c r="D502" s="4"/>
      <c r="E502" s="4"/>
      <c r="F502" s="4"/>
      <c r="G502" s="4"/>
      <c r="H502" s="4"/>
      <c r="I502" s="4"/>
      <c r="J502" s="4"/>
      <c r="K502" s="4" t="str">
        <f>+"FY"&amp;RIGHT(YEAR('Hyperion Panel'!$B$9)+1,2)</f>
        <v>FY11</v>
      </c>
      <c r="L502" s="1698"/>
      <c r="M502" s="1698"/>
      <c r="N502" s="1698"/>
      <c r="O502" s="1698"/>
      <c r="P502" s="1698"/>
      <c r="Q502" s="1698"/>
      <c r="R502" s="1698"/>
      <c r="S502" s="1698"/>
      <c r="T502" s="1698"/>
      <c r="U502" s="1698"/>
      <c r="V502" s="1699"/>
      <c r="W502" s="1698"/>
      <c r="Y502" s="99"/>
    </row>
    <row r="503" spans="1:26">
      <c r="A503" s="101" t="s">
        <v>463</v>
      </c>
      <c r="B503" s="4"/>
      <c r="C503" s="4"/>
      <c r="D503" s="4"/>
      <c r="E503" s="4"/>
      <c r="F503" s="4"/>
      <c r="G503" s="4"/>
      <c r="H503" s="4"/>
      <c r="I503" s="4"/>
      <c r="J503" s="4"/>
      <c r="K503" s="4"/>
      <c r="L503" s="1698">
        <f>+IF(COLUMNS($L503:L503)&lt;month,VLOOKUP("Month "&amp;(COLUMNS($L503:L503)-month+13),X_baseline_Tx,25,FALSE)*52*3/12*(1-hhdmiss),VLOOKUP("Month "&amp;(COLUMNS($L503:L503)-month+1),X_baseline_Tx,27,FALSE)*52*3/12*(1-hhdmiss))</f>
        <v>65</v>
      </c>
      <c r="M503" s="1698">
        <f>+IF(COLUMNS($L503:M503)&lt;month,VLOOKUP("Month "&amp;(COLUMNS($L503:M503)-month+13),X_baseline_Tx,25,FALSE)*52*3/12*(1-hhdmiss),VLOOKUP("Month "&amp;(COLUMNS($L503:M503)-month+1),X_baseline_Tx,27,FALSE)*52*3/12*(1-hhdmiss))</f>
        <v>65</v>
      </c>
      <c r="N503" s="1698">
        <f>+IF(COLUMNS($L503:N503)&lt;month,VLOOKUP("Month "&amp;(COLUMNS($L503:N503)-month+13),X_baseline_Tx,25,FALSE)*52*3/12*(1-hhdmiss),VLOOKUP("Month "&amp;(COLUMNS($L503:N503)-month+1),X_baseline_Tx,27,FALSE)*52*3/12*(1-hhdmiss))</f>
        <v>65</v>
      </c>
      <c r="O503" s="1698">
        <f>+IF(COLUMNS($L503:O503)&lt;month,VLOOKUP("Month "&amp;(COLUMNS($L503:O503)-month+13),X_baseline_Tx,25,FALSE)*52*3/12*(1-hhdmiss),VLOOKUP("Month "&amp;(COLUMNS($L503:O503)-month+1),X_baseline_Tx,27,FALSE)*52*3/12*(1-hhdmiss))</f>
        <v>65</v>
      </c>
      <c r="P503" s="1698">
        <f>+IF(COLUMNS($L503:P503)&lt;month,VLOOKUP("Month "&amp;(COLUMNS($L503:P503)-month+13),X_baseline_Tx,25,FALSE)*52*3/12*(1-hhdmiss),VLOOKUP("Month "&amp;(COLUMNS($L503:P503)-month+1),X_baseline_Tx,27,FALSE)*52*3/12*(1-hhdmiss))</f>
        <v>65</v>
      </c>
      <c r="Q503" s="1698">
        <f>+IF(COLUMNS($L503:Q503)&lt;month,VLOOKUP("Month "&amp;(COLUMNS($L503:Q503)-month+13),X_baseline_Tx,25,FALSE)*52*3/12*(1-hhdmiss),VLOOKUP("Month "&amp;(COLUMNS($L503:Q503)-month+1),X_baseline_Tx,27,FALSE)*52*3/12*(1-hhdmiss))</f>
        <v>65</v>
      </c>
      <c r="R503" s="1698">
        <f>+IF(COLUMNS($L503:R503)&lt;month,VLOOKUP("Month "&amp;(COLUMNS($L503:R503)-month+13),X_baseline_Tx,25,FALSE)*52*3/12*(1-hhdmiss),VLOOKUP("Month "&amp;(COLUMNS($L503:R503)-month+1),X_baseline_Tx,27,FALSE)*52*3/12*(1-hhdmiss))</f>
        <v>65</v>
      </c>
      <c r="S503" s="1698">
        <f>+IF(COLUMNS($L503:S503)&lt;month,VLOOKUP("Month "&amp;(COLUMNS($L503:S503)-month+13),X_baseline_Tx,25,FALSE)*52*3/12*(1-hhdmiss),VLOOKUP("Month "&amp;(COLUMNS($L503:S503)-month+1),X_baseline_Tx,27,FALSE)*52*3/12*(1-hhdmiss))</f>
        <v>65</v>
      </c>
      <c r="T503" s="1698">
        <f>+IF(COLUMNS($L503:T503)&lt;month,VLOOKUP("Month "&amp;(COLUMNS($L503:T503)-month+13),X_baseline_Tx,25,FALSE)*52*3/12*(1-hhdmiss),VLOOKUP("Month "&amp;(COLUMNS($L503:T503)-month+1),X_baseline_Tx,27,FALSE)*52*3/12*(1-hhdmiss))</f>
        <v>65</v>
      </c>
      <c r="U503" s="1698">
        <f>+IF(COLUMNS($L503:U503)&lt;month,VLOOKUP("Month "&amp;(COLUMNS($L503:U503)-month+13),X_baseline_Tx,25,FALSE)*52*3/12*(1-hhdmiss),VLOOKUP("Month "&amp;(COLUMNS($L503:U503)-month+1),X_baseline_Tx,27,FALSE)*52*3/12*(1-hhdmiss))</f>
        <v>65</v>
      </c>
      <c r="V503" s="1699">
        <f>+IF(COLUMNS($L503:V503)&lt;month,VLOOKUP("Month "&amp;(COLUMNS($L503:V503)-month+13),X_baseline_Tx,25,FALSE)*52*3/12*(1-hhdmiss),VLOOKUP("Month "&amp;(COLUMNS($L503:V503)-month+1),X_baseline_Tx,27,FALSE)*52*3/12*(1-hhdmiss))</f>
        <v>65</v>
      </c>
      <c r="W503" s="1698">
        <f>+IF(COLUMNS($L503:W503)&lt;month,VLOOKUP("Month "&amp;(COLUMNS($L503:W503)-month+13),X_baseline_Tx,25,FALSE)*52*3/12*(1-hhdmiss),VLOOKUP("Month "&amp;(COLUMNS($L503:W503)-month+1),X_baseline_Tx,27,FALSE)*52*3/12*(1-hhdmiss))</f>
        <v>65</v>
      </c>
      <c r="Y503" s="99"/>
    </row>
    <row r="504" spans="1:26">
      <c r="A504" s="101" t="s">
        <v>464</v>
      </c>
      <c r="B504" s="4"/>
      <c r="C504" s="4"/>
      <c r="D504" s="4"/>
      <c r="E504" s="4"/>
      <c r="F504" s="4"/>
      <c r="G504" s="4"/>
      <c r="H504" s="4"/>
      <c r="I504" s="4"/>
      <c r="J504" s="4"/>
      <c r="K504" s="4"/>
      <c r="L504" s="1698">
        <f>+IF(COLUMNS($L504:L504)&lt;month,VLOOKUP("Month "&amp;(COLUMNS($L504:L504)-month+13),X_baseline_Tx,26,FALSE)*52*4.3/12*(1-hhdmiss),VLOOKUP("Month "&amp;(COLUMNS($L504:L504)-month+1),X_baseline_Tx,28,FALSE)*52*4.3/12*(1-hhdmiss))</f>
        <v>0</v>
      </c>
      <c r="M504" s="1698">
        <f>+IF(COLUMNS($L504:M504)&lt;month,VLOOKUP("Month "&amp;(COLUMNS($L504:M504)-month+13),X_baseline_Tx,26,FALSE)*52*4.3/12*(1-hhdmiss),VLOOKUP("Month "&amp;(COLUMNS($L504:M504)-month+1),X_baseline_Tx,28,FALSE)*52*4.3/12*(1-hhdmiss))</f>
        <v>0</v>
      </c>
      <c r="N504" s="1698">
        <f>+IF(COLUMNS($L504:N504)&lt;month,VLOOKUP("Month "&amp;(COLUMNS($L504:N504)-month+13),X_baseline_Tx,26,FALSE)*52*4.3/12*(1-hhdmiss),VLOOKUP("Month "&amp;(COLUMNS($L504:N504)-month+1),X_baseline_Tx,28,FALSE)*52*4.3/12*(1-hhdmiss))</f>
        <v>0</v>
      </c>
      <c r="O504" s="1698">
        <f>+IF(COLUMNS($L504:O504)&lt;month,VLOOKUP("Month "&amp;(COLUMNS($L504:O504)-month+13),X_baseline_Tx,26,FALSE)*52*4.3/12*(1-hhdmiss),VLOOKUP("Month "&amp;(COLUMNS($L504:O504)-month+1),X_baseline_Tx,28,FALSE)*52*4.3/12*(1-hhdmiss))</f>
        <v>0</v>
      </c>
      <c r="P504" s="1698">
        <f>+IF(COLUMNS($L504:P504)&lt;month,VLOOKUP("Month "&amp;(COLUMNS($L504:P504)-month+13),X_baseline_Tx,26,FALSE)*52*4.3/12*(1-hhdmiss),VLOOKUP("Month "&amp;(COLUMNS($L504:P504)-month+1),X_baseline_Tx,28,FALSE)*52*4.3/12*(1-hhdmiss))</f>
        <v>0</v>
      </c>
      <c r="Q504" s="1698">
        <f>+IF(COLUMNS($L504:Q504)&lt;month,VLOOKUP("Month "&amp;(COLUMNS($L504:Q504)-month+13),X_baseline_Tx,26,FALSE)*52*4.3/12*(1-hhdmiss),VLOOKUP("Month "&amp;(COLUMNS($L504:Q504)-month+1),X_baseline_Tx,28,FALSE)*52*4.3/12*(1-hhdmiss))</f>
        <v>0</v>
      </c>
      <c r="R504" s="1698">
        <f>+IF(COLUMNS($L504:R504)&lt;month,VLOOKUP("Month "&amp;(COLUMNS($L504:R504)-month+13),X_baseline_Tx,26,FALSE)*52*4.3/12*(1-hhdmiss),VLOOKUP("Month "&amp;(COLUMNS($L504:R504)-month+1),X_baseline_Tx,28,FALSE)*52*4.3/12*(1-hhdmiss))</f>
        <v>0</v>
      </c>
      <c r="S504" s="1698">
        <f>+IF(COLUMNS($L504:S504)&lt;month,VLOOKUP("Month "&amp;(COLUMNS($L504:S504)-month+13),X_baseline_Tx,26,FALSE)*52*4.3/12*(1-hhdmiss),VLOOKUP("Month "&amp;(COLUMNS($L504:S504)-month+1),X_baseline_Tx,28,FALSE)*52*4.3/12*(1-hhdmiss))</f>
        <v>0</v>
      </c>
      <c r="T504" s="1698">
        <f>+IF(COLUMNS($L504:T504)&lt;month,VLOOKUP("Month "&amp;(COLUMNS($L504:T504)-month+13),X_baseline_Tx,26,FALSE)*52*4.3/12*(1-hhdmiss),VLOOKUP("Month "&amp;(COLUMNS($L504:T504)-month+1),X_baseline_Tx,28,FALSE)*52*4.3/12*(1-hhdmiss))</f>
        <v>0</v>
      </c>
      <c r="U504" s="1698">
        <f>+IF(COLUMNS($L504:U504)&lt;month,VLOOKUP("Month "&amp;(COLUMNS($L504:U504)-month+13),X_baseline_Tx,26,FALSE)*52*4.3/12*(1-hhdmiss),VLOOKUP("Month "&amp;(COLUMNS($L504:U504)-month+1),X_baseline_Tx,28,FALSE)*52*4.3/12*(1-hhdmiss))</f>
        <v>0</v>
      </c>
      <c r="V504" s="1698">
        <f>+IF(COLUMNS($L504:V504)&lt;month,VLOOKUP("Month "&amp;(COLUMNS($L504:V504)-month+13),X_baseline_Tx,26,FALSE)*52*4.3/12*(1-hhdmiss),VLOOKUP("Month "&amp;(COLUMNS($L504:V504)-month+1),X_baseline_Tx,28,FALSE)*52*4.3/12*(1-hhdmiss))</f>
        <v>0</v>
      </c>
      <c r="W504" s="1698">
        <f>+IF(COLUMNS($L504:W504)&lt;month,VLOOKUP("Month "&amp;(COLUMNS($L504:W504)-month+13),X_baseline_Tx,26,FALSE)*52*4.3/12*(1-hhdmiss),VLOOKUP("Month "&amp;(COLUMNS($L504:W504)-month+1),X_baseline_Tx,28,FALSE)*52*4.3/12*(1-hhdmiss))</f>
        <v>0</v>
      </c>
      <c r="Y504" s="99"/>
    </row>
    <row r="505" spans="1:26">
      <c r="A505" s="98" t="s">
        <v>163</v>
      </c>
      <c r="B505" t="str">
        <f>+$B$460</f>
        <v>X10_11032_00494</v>
      </c>
      <c r="C505" t="str">
        <f>+$C$460</f>
        <v>LE_XXXX</v>
      </c>
      <c r="D505" t="s">
        <v>2886</v>
      </c>
      <c r="E505">
        <v>3010</v>
      </c>
      <c r="F505" t="s">
        <v>2888</v>
      </c>
      <c r="G505" t="s">
        <v>2889</v>
      </c>
      <c r="H505" t="s">
        <v>145</v>
      </c>
      <c r="I505" t="s">
        <v>146</v>
      </c>
      <c r="J505" t="s">
        <v>147</v>
      </c>
      <c r="K505" t="str">
        <f>+"FY"&amp;RIGHT(YEAR('Hyperion Panel'!$B$9)+1,2)</f>
        <v>FY11</v>
      </c>
      <c r="L505" s="1612"/>
      <c r="M505" s="1612"/>
      <c r="N505" s="1612"/>
      <c r="O505" s="1612"/>
      <c r="P505" s="1612"/>
      <c r="Q505" s="1612"/>
      <c r="R505" s="1612"/>
      <c r="S505" s="1612"/>
      <c r="T505" s="1612"/>
      <c r="U505" s="1612"/>
      <c r="V505" s="1702"/>
      <c r="W505" s="1612"/>
    </row>
    <row r="506" spans="1:26" s="98" customFormat="1">
      <c r="A506" s="100" t="s">
        <v>463</v>
      </c>
      <c r="L506" s="1697">
        <f>+IF(COLUMNS($L506:L506)&lt;month,'6. Market'!$J$15*L497,'6. Market'!$K$15*L497)</f>
        <v>148639.78177988299</v>
      </c>
      <c r="M506" s="1697">
        <f>+IF(COLUMNS($L506:M506)&lt;month,'6. Market'!$J$15*M497,'6. Market'!$K$15*M497)</f>
        <v>148639.78177988299</v>
      </c>
      <c r="N506" s="1697">
        <f>+IF(COLUMNS($L506:N506)&lt;month,'6. Market'!$J$15*N497,'6. Market'!$K$15*N497)</f>
        <v>148639.78177988299</v>
      </c>
      <c r="O506" s="1697">
        <f>+IF(COLUMNS($L506:O506)&lt;month,'6. Market'!$J$15*O497,'6. Market'!$K$15*O497)</f>
        <v>148639.78177988299</v>
      </c>
      <c r="P506" s="1697">
        <f>+IF(COLUMNS($L506:P506)&lt;month,'6. Market'!$J$15*P497,'6. Market'!$K$15*P497)</f>
        <v>148639.78177988299</v>
      </c>
      <c r="Q506" s="1697">
        <f>+IF(COLUMNS($L506:Q506)&lt;month,'6. Market'!$J$15*Q497,'6. Market'!$K$15*Q497)</f>
        <v>148639.78177988299</v>
      </c>
      <c r="R506" s="1697">
        <f>+IF(COLUMNS($L506:R506)&lt;month,'6. Market'!$J$15*R497,'6. Market'!$K$15*R497)</f>
        <v>148639.78177988299</v>
      </c>
      <c r="S506" s="1697">
        <f>+IF(COLUMNS($L506:S506)&lt;month,'6. Market'!$J$15*S497,'6. Market'!$K$15*S497)</f>
        <v>148639.78177988299</v>
      </c>
      <c r="T506" s="1697">
        <f>+IF(COLUMNS($L506:T506)&lt;month,'6. Market'!$J$15*T497,'6. Market'!$K$15*T497)</f>
        <v>148639.78177988299</v>
      </c>
      <c r="U506" s="1697">
        <f>+IF(COLUMNS($L506:U506)&lt;month,'6. Market'!$J$15*U497,'6. Market'!$K$15*U497)</f>
        <v>148639.78177988299</v>
      </c>
      <c r="V506" s="1700">
        <f>+IF(COLUMNS($L506:V506)&lt;month,'6. Market'!$J$15*V497,'6. Market'!$K$15*V497)</f>
        <v>148268.1823254333</v>
      </c>
      <c r="W506" s="1697">
        <f>+IF(COLUMNS($L506:W506)&lt;month,'6. Market'!$J$15*W497,'6. Market'!$K$15*W497)</f>
        <v>148268.1823254333</v>
      </c>
      <c r="Y506" s="99"/>
      <c r="Z506" s="97"/>
    </row>
    <row r="507" spans="1:26" s="98" customFormat="1">
      <c r="A507" s="100" t="s">
        <v>464</v>
      </c>
      <c r="L507" s="1697">
        <f>+IF(COLUMNS($L507:L507)&lt;month,'6. Market'!$J$23*L498,'6. Market'!$K$23*L498)</f>
        <v>24314.125545558796</v>
      </c>
      <c r="M507" s="1697">
        <f>+IF(COLUMNS($L507:M507)&lt;month,'6. Market'!$J$23*M498,'6. Market'!$K$23*M498)</f>
        <v>24314.125545558796</v>
      </c>
      <c r="N507" s="1697">
        <f>+IF(COLUMNS($L507:N507)&lt;month,'6. Market'!$J$23*N498,'6. Market'!$K$23*N498)</f>
        <v>24314.125545558796</v>
      </c>
      <c r="O507" s="1697">
        <f>+IF(COLUMNS($L507:O507)&lt;month,'6. Market'!$J$23*O498,'6. Market'!$K$23*O498)</f>
        <v>24314.125545558796</v>
      </c>
      <c r="P507" s="1697">
        <f>+IF(COLUMNS($L507:P507)&lt;month,'6. Market'!$J$23*P498,'6. Market'!$K$23*P498)</f>
        <v>24314.125545558796</v>
      </c>
      <c r="Q507" s="1697">
        <f>+IF(COLUMNS($L507:Q507)&lt;month,'6. Market'!$J$23*Q498,'6. Market'!$K$23*Q498)</f>
        <v>24314.125545558796</v>
      </c>
      <c r="R507" s="1697">
        <f>+IF(COLUMNS($L507:R507)&lt;month,'6. Market'!$J$23*R498,'6. Market'!$K$23*R498)</f>
        <v>24314.125545558796</v>
      </c>
      <c r="S507" s="1697">
        <f>+IF(COLUMNS($L507:S507)&lt;month,'6. Market'!$J$23*S498,'6. Market'!$K$23*S498)</f>
        <v>24314.125545558796</v>
      </c>
      <c r="T507" s="1697">
        <f>+IF(COLUMNS($L507:T507)&lt;month,'6. Market'!$J$23*T498,'6. Market'!$K$23*T498)</f>
        <v>24314.125545558796</v>
      </c>
      <c r="U507" s="1697">
        <f>+IF(COLUMNS($L507:U507)&lt;month,'6. Market'!$J$23*U498,'6. Market'!$K$23*U498)</f>
        <v>24314.125545558796</v>
      </c>
      <c r="V507" s="1700">
        <f>+IF(COLUMNS($L507:V507)&lt;month,'6. Market'!$J$23*V498,'6. Market'!$K$23*V498)</f>
        <v>24873.350433106643</v>
      </c>
      <c r="W507" s="1697">
        <f>+IF(COLUMNS($L507:W507)&lt;month,'6. Market'!$J$23*W498,'6. Market'!$K$23*W498)</f>
        <v>24873.350433106643</v>
      </c>
      <c r="Y507" s="99"/>
      <c r="Z507" s="97"/>
    </row>
    <row r="508" spans="1:26">
      <c r="A508" s="98" t="s">
        <v>164</v>
      </c>
      <c r="B508" t="str">
        <f>+$B$460</f>
        <v>X10_11032_00494</v>
      </c>
      <c r="C508" t="str">
        <f>+$C$460</f>
        <v>LE_XXXX</v>
      </c>
      <c r="D508" t="s">
        <v>2886</v>
      </c>
      <c r="E508">
        <v>3030</v>
      </c>
      <c r="F508" t="s">
        <v>150</v>
      </c>
      <c r="G508" t="s">
        <v>2889</v>
      </c>
      <c r="H508" t="s">
        <v>145</v>
      </c>
      <c r="I508" t="s">
        <v>146</v>
      </c>
      <c r="J508" t="s">
        <v>147</v>
      </c>
      <c r="K508" t="str">
        <f>+"FY"&amp;RIGHT(YEAR('Hyperion Panel'!$B$9)+1,2)</f>
        <v>FY11</v>
      </c>
      <c r="L508" s="1612"/>
      <c r="M508" s="1612"/>
      <c r="N508" s="1612"/>
      <c r="O508" s="1612"/>
      <c r="P508" s="1612"/>
      <c r="Q508" s="1612"/>
      <c r="R508" s="1612"/>
      <c r="S508" s="1612"/>
      <c r="T508" s="1612"/>
      <c r="U508" s="1612"/>
      <c r="V508" s="1703"/>
      <c r="W508" s="1612"/>
    </row>
    <row r="509" spans="1:26" s="98" customFormat="1">
      <c r="A509" s="100" t="s">
        <v>463</v>
      </c>
      <c r="L509" s="1697">
        <f>+IF(COLUMNS($L509:L509)&lt;month,'6. Market'!$J$32*L500,'6. Market'!$K$32*L500)</f>
        <v>43598.788883279769</v>
      </c>
      <c r="M509" s="1697">
        <f>+IF(COLUMNS($L509:M509)&lt;month,'6. Market'!$J$32*M500,'6. Market'!$K$32*M500)</f>
        <v>43598.788883279769</v>
      </c>
      <c r="N509" s="1697">
        <f>+IF(COLUMNS($L509:N509)&lt;month,'6. Market'!$J$32*N500,'6. Market'!$K$32*N500)</f>
        <v>43598.788883279769</v>
      </c>
      <c r="O509" s="1697">
        <f>+IF(COLUMNS($L509:O509)&lt;month,'6. Market'!$J$32*O500,'6. Market'!$K$32*O500)</f>
        <v>43598.788883279769</v>
      </c>
      <c r="P509" s="1697">
        <f>+IF(COLUMNS($L509:P509)&lt;month,'6. Market'!$J$32*P500,'6. Market'!$K$32*P500)</f>
        <v>43598.788883279769</v>
      </c>
      <c r="Q509" s="1697">
        <f>+IF(COLUMNS($L509:Q509)&lt;month,'6. Market'!$J$32*Q500,'6. Market'!$K$32*Q500)</f>
        <v>43598.788883279769</v>
      </c>
      <c r="R509" s="1697">
        <f>+IF(COLUMNS($L509:R509)&lt;month,'6. Market'!$J$32*R500,'6. Market'!$K$32*R500)</f>
        <v>43598.788883279769</v>
      </c>
      <c r="S509" s="1697">
        <f>+IF(COLUMNS($L509:S509)&lt;month,'6. Market'!$J$32*S500,'6. Market'!$K$32*S500)</f>
        <v>43598.788883279769</v>
      </c>
      <c r="T509" s="1697">
        <f>+IF(COLUMNS($L509:T509)&lt;month,'6. Market'!$J$32*T500,'6. Market'!$K$32*T500)</f>
        <v>43598.788883279769</v>
      </c>
      <c r="U509" s="1697">
        <f>+IF(COLUMNS($L509:U509)&lt;month,'6. Market'!$J$32*U500,'6. Market'!$K$32*U500)</f>
        <v>43598.788883279769</v>
      </c>
      <c r="V509" s="1697">
        <f>+IF(COLUMNS($L509:V509)&lt;month,'6. Market'!$J$32*V500,'6. Market'!$K$32*V500)</f>
        <v>43489.791911071581</v>
      </c>
      <c r="W509" s="1697">
        <f>+IF(COLUMNS($L509:W509)&lt;month,'6. Market'!$J$32*W500,'6. Market'!$K$32*W500)</f>
        <v>43489.791911071581</v>
      </c>
      <c r="Y509" s="99"/>
    </row>
    <row r="510" spans="1:26" s="98" customFormat="1">
      <c r="A510" s="100" t="s">
        <v>464</v>
      </c>
      <c r="L510" s="1697">
        <f>+IF(COLUMNS($L510:L510)&lt;month,'6. Market'!$J$40*L501,'6. Market'!$K$40*L501)</f>
        <v>75320.932396568009</v>
      </c>
      <c r="M510" s="1697">
        <f>+IF(COLUMNS($L510:M510)&lt;month,'6. Market'!$J$40*M501,'6. Market'!$K$40*M501)</f>
        <v>75320.932396568009</v>
      </c>
      <c r="N510" s="1697">
        <f>+IF(COLUMNS($L510:N510)&lt;month,'6. Market'!$J$40*N501,'6. Market'!$K$40*N501)</f>
        <v>75320.932396568009</v>
      </c>
      <c r="O510" s="1697">
        <f>+IF(COLUMNS($L510:O510)&lt;month,'6. Market'!$J$40*O501,'6. Market'!$K$40*O501)</f>
        <v>75320.932396568009</v>
      </c>
      <c r="P510" s="1697">
        <f>+IF(COLUMNS($L510:P510)&lt;month,'6. Market'!$J$40*P501,'6. Market'!$K$40*P501)</f>
        <v>75320.932396568009</v>
      </c>
      <c r="Q510" s="1697">
        <f>+IF(COLUMNS($L510:Q510)&lt;month,'6. Market'!$J$40*Q501,'6. Market'!$K$40*Q501)</f>
        <v>75320.932396568009</v>
      </c>
      <c r="R510" s="1697">
        <f>+IF(COLUMNS($L510:R510)&lt;month,'6. Market'!$J$40*R501,'6. Market'!$K$40*R501)</f>
        <v>75320.932396568009</v>
      </c>
      <c r="S510" s="1697">
        <f>+IF(COLUMNS($L510:S510)&lt;month,'6. Market'!$J$40*S501,'6. Market'!$K$40*S501)</f>
        <v>75320.932396568009</v>
      </c>
      <c r="T510" s="1697">
        <f>+IF(COLUMNS($L510:T510)&lt;month,'6. Market'!$J$40*T501,'6. Market'!$K$40*T501)</f>
        <v>75320.932396568009</v>
      </c>
      <c r="U510" s="1697">
        <f>+IF(COLUMNS($L510:U510)&lt;month,'6. Market'!$J$40*U501,'6. Market'!$K$40*U501)</f>
        <v>75320.932396568009</v>
      </c>
      <c r="V510" s="1697">
        <f>+IF(COLUMNS($L510:V510)&lt;month,'6. Market'!$J$40*V501,'6. Market'!$K$40*V501)</f>
        <v>77053.313841689058</v>
      </c>
      <c r="W510" s="1697">
        <f>+IF(COLUMNS($L510:W510)&lt;month,'6. Market'!$J$40*W501,'6. Market'!$K$40*W501)</f>
        <v>77053.313841689058</v>
      </c>
      <c r="Y510" s="99"/>
    </row>
    <row r="511" spans="1:26">
      <c r="A511" s="4" t="s">
        <v>3768</v>
      </c>
      <c r="B511" s="4" t="str">
        <f>+$B$460</f>
        <v>X10_11032_00494</v>
      </c>
      <c r="C511" s="4"/>
      <c r="D511" s="4"/>
      <c r="E511" s="4"/>
      <c r="F511" s="4"/>
      <c r="G511" s="4"/>
      <c r="H511" s="4"/>
      <c r="I511" s="4"/>
      <c r="J511" s="4"/>
      <c r="K511" s="4" t="str">
        <f>+"FY"&amp;RIGHT(YEAR('Hyperion Panel'!$B$9)+1,2)</f>
        <v>FY11</v>
      </c>
      <c r="L511" s="1698"/>
      <c r="M511" s="1698"/>
      <c r="N511" s="1698"/>
      <c r="O511" s="1698"/>
      <c r="P511" s="1698"/>
      <c r="Q511" s="1698"/>
      <c r="R511" s="1698"/>
      <c r="S511" s="1698"/>
      <c r="T511" s="1698"/>
      <c r="U511" s="1698"/>
      <c r="V511" s="1699"/>
      <c r="W511" s="1698"/>
    </row>
    <row r="512" spans="1:26">
      <c r="A512" s="101" t="s">
        <v>463</v>
      </c>
      <c r="B512" s="4"/>
      <c r="C512" s="4"/>
      <c r="D512" s="4"/>
      <c r="E512" s="4"/>
      <c r="F512" s="4"/>
      <c r="G512" s="4"/>
      <c r="H512" s="4"/>
      <c r="I512" s="4"/>
      <c r="J512" s="4"/>
      <c r="K512" s="4"/>
      <c r="L512" s="1698">
        <f>+IF(COLUMNS($L512:L512)&lt;month,'6. Market'!$J$49*L503,'6. Market'!$K$49*L503)</f>
        <v>16927.071343873515</v>
      </c>
      <c r="M512" s="1698">
        <f>+IF(COLUMNS($L512:M512)&lt;month,'6. Market'!$J$49*M503,'6. Market'!$K$49*M503)</f>
        <v>16927.071343873515</v>
      </c>
      <c r="N512" s="1698">
        <f>+IF(COLUMNS($L512:N512)&lt;month,'6. Market'!$J$49*N503,'6. Market'!$K$49*N503)</f>
        <v>16927.071343873515</v>
      </c>
      <c r="O512" s="1698">
        <f>+IF(COLUMNS($L512:O512)&lt;month,'6. Market'!$J$49*O503,'6. Market'!$K$49*O503)</f>
        <v>16927.071343873515</v>
      </c>
      <c r="P512" s="1698">
        <f>+IF(COLUMNS($L512:P512)&lt;month,'6. Market'!$J$49*P503,'6. Market'!$K$49*P503)</f>
        <v>16927.071343873515</v>
      </c>
      <c r="Q512" s="1698">
        <f>+IF(COLUMNS($L512:Q512)&lt;month,'6. Market'!$J$49*Q503,'6. Market'!$K$49*Q503)</f>
        <v>16927.071343873515</v>
      </c>
      <c r="R512" s="1698">
        <f>+IF(COLUMNS($L512:R512)&lt;month,'6. Market'!$J$49*R503,'6. Market'!$K$49*R503)</f>
        <v>16927.071343873515</v>
      </c>
      <c r="S512" s="1698">
        <f>+IF(COLUMNS($L512:S512)&lt;month,'6. Market'!$J$49*S503,'6. Market'!$K$49*S503)</f>
        <v>16927.071343873515</v>
      </c>
      <c r="T512" s="1698">
        <f>+IF(COLUMNS($L512:T512)&lt;month,'6. Market'!$J$49*T503,'6. Market'!$K$49*T503)</f>
        <v>16927.071343873515</v>
      </c>
      <c r="U512" s="1698">
        <f>+IF(COLUMNS($L512:U512)&lt;month,'6. Market'!$J$49*U503,'6. Market'!$K$49*U503)</f>
        <v>16927.071343873515</v>
      </c>
      <c r="V512" s="1699">
        <f>+IF(COLUMNS($L512:V512)&lt;month,'6. Market'!$J$49*V503,'6. Market'!$K$49*V503)</f>
        <v>16884.753665513832</v>
      </c>
      <c r="W512" s="1698">
        <f>+IF(COLUMNS($L512:W512)&lt;month,'6. Market'!$J$49*W503,'6. Market'!$K$49*W503)</f>
        <v>16884.753665513832</v>
      </c>
      <c r="Y512" s="99"/>
    </row>
    <row r="513" spans="1:25">
      <c r="A513" s="101" t="s">
        <v>464</v>
      </c>
      <c r="B513" s="4"/>
      <c r="C513" s="4"/>
      <c r="D513" s="4"/>
      <c r="E513" s="4"/>
      <c r="F513" s="4"/>
      <c r="G513" s="4"/>
      <c r="H513" s="4"/>
      <c r="I513" s="4"/>
      <c r="J513" s="4"/>
      <c r="K513" s="4"/>
      <c r="L513" s="1698">
        <f>+IF(COLUMNS($L513:L513)&lt;month,'6. Market'!$J$57*L504,'6. Market'!$K$57*L504)</f>
        <v>0</v>
      </c>
      <c r="M513" s="1698">
        <f>+IF(COLUMNS($L513:M513)&lt;month,'6. Market'!$J$57*M504,'6. Market'!$K$57*M504)</f>
        <v>0</v>
      </c>
      <c r="N513" s="1698">
        <f>+IF(COLUMNS($L513:N513)&lt;month,'6. Market'!$J$57*N504,'6. Market'!$K$57*N504)</f>
        <v>0</v>
      </c>
      <c r="O513" s="1698">
        <f>+IF(COLUMNS($L513:O513)&lt;month,'6. Market'!$J$57*O504,'6. Market'!$K$57*O504)</f>
        <v>0</v>
      </c>
      <c r="P513" s="1698">
        <f>+IF(COLUMNS($L513:P513)&lt;month,'6. Market'!$J$57*P504,'6. Market'!$K$57*P504)</f>
        <v>0</v>
      </c>
      <c r="Q513" s="1698">
        <f>+IF(COLUMNS($L513:Q513)&lt;month,'6. Market'!$J$57*Q504,'6. Market'!$K$57*Q504)</f>
        <v>0</v>
      </c>
      <c r="R513" s="1698">
        <f>+IF(COLUMNS($L513:R513)&lt;month,'6. Market'!$J$57*R504,'6. Market'!$K$57*R504)</f>
        <v>0</v>
      </c>
      <c r="S513" s="1698">
        <f>+IF(COLUMNS($L513:S513)&lt;month,'6. Market'!$J$57*S504,'6. Market'!$K$57*S504)</f>
        <v>0</v>
      </c>
      <c r="T513" s="1698">
        <f>+IF(COLUMNS($L513:T513)&lt;month,'6. Market'!$J$57*T504,'6. Market'!$K$57*T504)</f>
        <v>0</v>
      </c>
      <c r="U513" s="1698">
        <f>+IF(COLUMNS($L513:U513)&lt;month,'6. Market'!$J$57*U504,'6. Market'!$K$57*U504)</f>
        <v>0</v>
      </c>
      <c r="V513" s="1699">
        <f>+IF(COLUMNS($L513:V513)&lt;month,'6. Market'!$J$57*V504,'6. Market'!$K$57*V504)</f>
        <v>0</v>
      </c>
      <c r="W513" s="1698">
        <f>+IF(COLUMNS($L513:W513)&lt;month,'6. Market'!$J$57*W504,'6. Market'!$K$57*W504)</f>
        <v>0</v>
      </c>
      <c r="Y513" s="99"/>
    </row>
    <row r="514" spans="1:25">
      <c r="A514" s="3" t="s">
        <v>2651</v>
      </c>
      <c r="B514" t="str">
        <f t="shared" ref="B514:B529" si="26">+$B$460</f>
        <v>X10_11032_00494</v>
      </c>
      <c r="C514" t="str">
        <f t="shared" ref="C514:C523" si="27">+$C$460</f>
        <v>LE_XXXX</v>
      </c>
      <c r="D514" t="s">
        <v>2886</v>
      </c>
      <c r="E514">
        <v>6010</v>
      </c>
      <c r="F514" t="s">
        <v>2888</v>
      </c>
      <c r="G514" t="s">
        <v>153</v>
      </c>
      <c r="H514" t="s">
        <v>154</v>
      </c>
      <c r="I514" t="s">
        <v>146</v>
      </c>
      <c r="J514" t="s">
        <v>147</v>
      </c>
      <c r="K514" t="str">
        <f>+"FY"&amp;RIGHT(YEAR('Hyperion Panel'!$B$9)+1,2)</f>
        <v>FY11</v>
      </c>
      <c r="L514" s="1697">
        <f>+IF(COLUMNS($L514:L514)&lt;month,'6. Market'!$J$107*SUM(L497:L498,L500:L501,L503:L504),'6. Market'!$K$107*SUM(L497:L498,L500:L501,L503:L504))</f>
        <v>38699.784812132857</v>
      </c>
      <c r="M514" s="1697">
        <f>+IF(COLUMNS($L514:M514)&lt;month,'6. Market'!$J$107*SUM(M497:M498,M500:M501,M503:M504),'6. Market'!$K$107*SUM(M497:M498,M500:M501,M503:M504))</f>
        <v>38699.784812132857</v>
      </c>
      <c r="N514" s="1697">
        <f>+IF(COLUMNS($L514:N514)&lt;month,'6. Market'!$J$107*SUM(N497:N498,N500:N501,N503:N504),'6. Market'!$K$107*SUM(N497:N498,N500:N501,N503:N504))</f>
        <v>38699.784812132857</v>
      </c>
      <c r="O514" s="1697">
        <f>+IF(COLUMNS($L514:O514)&lt;month,'6. Market'!$J$107*SUM(O497:O498,O500:O501,O503:O504),'6. Market'!$K$107*SUM(O497:O498,O500:O501,O503:O504))</f>
        <v>38699.784812132857</v>
      </c>
      <c r="P514" s="1697">
        <f>+IF(COLUMNS($L514:P514)&lt;month,'6. Market'!$J$107*SUM(P497:P498,P500:P501,P503:P504),'6. Market'!$K$107*SUM(P497:P498,P500:P501,P503:P504))</f>
        <v>38699.784812132857</v>
      </c>
      <c r="Q514" s="1697">
        <f>+IF(COLUMNS($L514:Q514)&lt;month,'6. Market'!$J$107*SUM(Q497:Q498,Q500:Q501,Q503:Q504),'6. Market'!$K$107*SUM(Q497:Q498,Q500:Q501,Q503:Q504))</f>
        <v>38699.784812132857</v>
      </c>
      <c r="R514" s="1697">
        <f>+IF(COLUMNS($L514:R514)&lt;month,'6. Market'!$J$107*SUM(R497:R498,R500:R501,R503:R504),'6. Market'!$K$107*SUM(R497:R498,R500:R501,R503:R504))</f>
        <v>38699.784812132857</v>
      </c>
      <c r="S514" s="1697">
        <f>+IF(COLUMNS($L514:S514)&lt;month,'6. Market'!$J$107*SUM(S497:S498,S500:S501,S503:S504),'6. Market'!$K$107*SUM(S497:S498,S500:S501,S503:S504))</f>
        <v>38699.784812132857</v>
      </c>
      <c r="T514" s="1697">
        <f>+IF(COLUMNS($L514:T514)&lt;month,'6. Market'!$J$107*SUM(T497:T498,T500:T501,T503:T504),'6. Market'!$K$107*SUM(T497:T498,T500:T501,T503:T504))</f>
        <v>38699.784812132857</v>
      </c>
      <c r="U514" s="1697">
        <f>+IF(COLUMNS($L514:U514)&lt;month,'6. Market'!$J$107*SUM(U497:U498,U500:U501,U503:U504),'6. Market'!$K$107*SUM(U497:U498,U500:U501,U503:U504))</f>
        <v>38699.784812132857</v>
      </c>
      <c r="V514" s="1700">
        <f>+IF(COLUMNS($L514:V514)&lt;month,'6. Market'!$J$107*SUM(V497:V498,V500:V501,V503:V504),'6. Market'!$K$107*SUM(V497:V498,V500:V501,V503:V504))</f>
        <v>39860.778356496841</v>
      </c>
      <c r="W514" s="1697">
        <f>+IF(COLUMNS($L514:W514)&lt;month,'6. Market'!$J$107*SUM(W497:W498,W500:W501,W503:W504),'6. Market'!$K$107*SUM(W497:W498,W500:W501,W503:W504))</f>
        <v>39860.778356496841</v>
      </c>
    </row>
    <row r="515" spans="1:25">
      <c r="A515" t="s">
        <v>2652</v>
      </c>
      <c r="B515" t="str">
        <f t="shared" si="26"/>
        <v>X10_11032_00494</v>
      </c>
      <c r="C515" t="str">
        <f t="shared" si="27"/>
        <v>LE_XXXX</v>
      </c>
      <c r="D515" t="s">
        <v>2886</v>
      </c>
      <c r="E515">
        <v>6010</v>
      </c>
      <c r="F515" t="s">
        <v>2888</v>
      </c>
      <c r="G515" t="s">
        <v>155</v>
      </c>
      <c r="H515" t="s">
        <v>154</v>
      </c>
      <c r="I515" t="s">
        <v>146</v>
      </c>
      <c r="J515" t="s">
        <v>147</v>
      </c>
      <c r="K515" t="str">
        <f>+"FY"&amp;RIGHT(YEAR('Hyperion Panel'!$B$9)+1,2)</f>
        <v>FY11</v>
      </c>
      <c r="L515" s="1612">
        <f>+IF(COLUMNS($L515:L515)&lt;month,'6. Market'!$J$74/12,'6. Market'!$K$74/12)</f>
        <v>14795</v>
      </c>
      <c r="M515" s="1612">
        <f>+IF(COLUMNS($L515:M515)&lt;month,'6. Market'!$J$74/12,'6. Market'!$K$74/12)</f>
        <v>14795</v>
      </c>
      <c r="N515" s="1612">
        <f>+IF(COLUMNS($L515:N515)&lt;month,'6. Market'!$J$74/12,'6. Market'!$K$74/12)</f>
        <v>14795</v>
      </c>
      <c r="O515" s="1612">
        <f>+IF(COLUMNS($L515:O515)&lt;month,'6. Market'!$J$74/12,'6. Market'!$K$74/12)</f>
        <v>14795</v>
      </c>
      <c r="P515" s="1612">
        <f>+IF(COLUMNS($L515:P515)&lt;month,'6. Market'!$J$74/12,'6. Market'!$K$74/12)</f>
        <v>14795</v>
      </c>
      <c r="Q515" s="1612">
        <f>+IF(COLUMNS($L515:Q515)&lt;month,'6. Market'!$J$74/12,'6. Market'!$K$74/12)</f>
        <v>14795</v>
      </c>
      <c r="R515" s="1612">
        <f>+IF(COLUMNS($L515:R515)&lt;month,'6. Market'!$J$74/12,'6. Market'!$K$74/12)</f>
        <v>14795</v>
      </c>
      <c r="S515" s="1612">
        <f>+IF(COLUMNS($L515:S515)&lt;month,'6. Market'!$J$74/12,'6. Market'!$K$74/12)</f>
        <v>14795</v>
      </c>
      <c r="T515" s="1612">
        <f>+IF(COLUMNS($L515:T515)&lt;month,'6. Market'!$J$74/12,'6. Market'!$K$74/12)</f>
        <v>14795</v>
      </c>
      <c r="U515" s="1612">
        <f>+IF(COLUMNS($L515:U515)&lt;month,'6. Market'!$J$74/12,'6. Market'!$K$74/12)</f>
        <v>14795</v>
      </c>
      <c r="V515" s="1703">
        <f>+IF(COLUMNS($L515:V515)&lt;month,'6. Market'!$J$74/12,'6. Market'!$K$74/12)</f>
        <v>15238.85</v>
      </c>
      <c r="W515" s="1612">
        <f>+IF(COLUMNS($L515:W515)&lt;month,'6. Market'!$J$74/12,'6. Market'!$K$74/12)</f>
        <v>15238.85</v>
      </c>
    </row>
    <row r="516" spans="1:25">
      <c r="A516" t="s">
        <v>2653</v>
      </c>
      <c r="B516" t="str">
        <f t="shared" si="26"/>
        <v>X10_11032_00494</v>
      </c>
      <c r="C516" t="str">
        <f t="shared" si="27"/>
        <v>LE_XXXX</v>
      </c>
      <c r="D516" t="s">
        <v>2886</v>
      </c>
      <c r="E516">
        <v>6051</v>
      </c>
      <c r="F516" t="s">
        <v>2888</v>
      </c>
      <c r="G516" t="s">
        <v>153</v>
      </c>
      <c r="H516" t="s">
        <v>154</v>
      </c>
      <c r="I516" t="s">
        <v>146</v>
      </c>
      <c r="J516" t="s">
        <v>147</v>
      </c>
      <c r="K516" t="str">
        <f>+"FY"&amp;RIGHT(YEAR('Hyperion Panel'!$B$9)+1,2)</f>
        <v>FY11</v>
      </c>
      <c r="L516" s="1612">
        <f>+IF(COLUMNS($L516:L516)&lt;month,'6. Market'!$J$75/12,'6. Market'!$K$75/12)</f>
        <v>18890.728391370059</v>
      </c>
      <c r="M516" s="1612">
        <f>+IF(COLUMNS($L516:M516)&lt;month,'6. Market'!$J$75/12,'6. Market'!$K$75/12)</f>
        <v>18890.728391370059</v>
      </c>
      <c r="N516" s="1612">
        <f>+IF(COLUMNS($L516:N516)&lt;month,'6. Market'!$J$75/12,'6. Market'!$K$75/12)</f>
        <v>18890.728391370059</v>
      </c>
      <c r="O516" s="1612">
        <f>+IF(COLUMNS($L516:O516)&lt;month,'6. Market'!$J$75/12,'6. Market'!$K$75/12)</f>
        <v>18890.728391370059</v>
      </c>
      <c r="P516" s="1612">
        <f>+IF(COLUMNS($L516:P516)&lt;month,'6. Market'!$J$75/12,'6. Market'!$K$75/12)</f>
        <v>18890.728391370059</v>
      </c>
      <c r="Q516" s="1612">
        <f>+IF(COLUMNS($L516:Q516)&lt;month,'6. Market'!$J$75/12,'6. Market'!$K$75/12)</f>
        <v>18890.728391370059</v>
      </c>
      <c r="R516" s="1612">
        <f>+IF(COLUMNS($L516:R516)&lt;month,'6. Market'!$J$75/12,'6. Market'!$K$75/12)</f>
        <v>18890.728391370059</v>
      </c>
      <c r="S516" s="1612">
        <f>+IF(COLUMNS($L516:S516)&lt;month,'6. Market'!$J$75/12,'6. Market'!$K$75/12)</f>
        <v>18890.728391370059</v>
      </c>
      <c r="T516" s="1612">
        <f>+IF(COLUMNS($L516:T516)&lt;month,'6. Market'!$J$75/12,'6. Market'!$K$75/12)</f>
        <v>18890.728391370059</v>
      </c>
      <c r="U516" s="1612">
        <f>+IF(COLUMNS($L516:U516)&lt;month,'6. Market'!$J$75/12,'6. Market'!$K$75/12)</f>
        <v>18890.728391370059</v>
      </c>
      <c r="V516" s="1703">
        <f>+IF(COLUMNS($L516:V516)&lt;month,'6. Market'!$J$75/12,'6. Market'!$K$75/12)</f>
        <v>19457.450243111161</v>
      </c>
      <c r="W516" s="1612">
        <f>+IF(COLUMNS($L516:W516)&lt;month,'6. Market'!$J$75/12,'6. Market'!$K$75/12)</f>
        <v>19457.450243111161</v>
      </c>
    </row>
    <row r="517" spans="1:25">
      <c r="A517" t="s">
        <v>2654</v>
      </c>
      <c r="B517" t="str">
        <f t="shared" si="26"/>
        <v>X10_11032_00494</v>
      </c>
      <c r="C517" t="str">
        <f t="shared" si="27"/>
        <v>LE_XXXX</v>
      </c>
      <c r="D517" t="s">
        <v>2886</v>
      </c>
      <c r="E517">
        <v>6011</v>
      </c>
      <c r="F517" t="s">
        <v>2888</v>
      </c>
      <c r="G517" t="s">
        <v>153</v>
      </c>
      <c r="H517" t="s">
        <v>154</v>
      </c>
      <c r="I517" t="s">
        <v>146</v>
      </c>
      <c r="J517" t="s">
        <v>147</v>
      </c>
      <c r="K517" t="str">
        <f>+"FY"&amp;RIGHT(YEAR('Hyperion Panel'!$B$9)+1,2)</f>
        <v>FY11</v>
      </c>
      <c r="L517" s="1612">
        <f>+IF(COLUMNS($L517:L517)&lt;month,'6. Market'!$J$76/12,'6. Market'!$K$76/12)</f>
        <v>0</v>
      </c>
      <c r="M517" s="1612">
        <f>+IF(COLUMNS($L517:M517)&lt;month,'6. Market'!$J$76/12,'6. Market'!$K$76/12)</f>
        <v>0</v>
      </c>
      <c r="N517" s="1612">
        <f>+IF(COLUMNS($L517:N517)&lt;month,'6. Market'!$J$76/12,'6. Market'!$K$76/12)</f>
        <v>0</v>
      </c>
      <c r="O517" s="1612">
        <f>+IF(COLUMNS($L517:O517)&lt;month,'6. Market'!$J$76/12,'6. Market'!$K$76/12)</f>
        <v>0</v>
      </c>
      <c r="P517" s="1612">
        <f>+IF(COLUMNS($L517:P517)&lt;month,'6. Market'!$J$76/12,'6. Market'!$K$76/12)</f>
        <v>0</v>
      </c>
      <c r="Q517" s="1612">
        <f>+IF(COLUMNS($L517:Q517)&lt;month,'6. Market'!$J$76/12,'6. Market'!$K$76/12)</f>
        <v>0</v>
      </c>
      <c r="R517" s="1612">
        <f>+IF(COLUMNS($L517:R517)&lt;month,'6. Market'!$J$76/12,'6. Market'!$K$76/12)</f>
        <v>0</v>
      </c>
      <c r="S517" s="1612">
        <f>+IF(COLUMNS($L517:S517)&lt;month,'6. Market'!$J$76/12,'6. Market'!$K$76/12)</f>
        <v>0</v>
      </c>
      <c r="T517" s="1612">
        <f>+IF(COLUMNS($L517:T517)&lt;month,'6. Market'!$J$76/12,'6. Market'!$K$76/12)</f>
        <v>0</v>
      </c>
      <c r="U517" s="1612">
        <f>+IF(COLUMNS($L517:U517)&lt;month,'6. Market'!$J$76/12,'6. Market'!$K$76/12)</f>
        <v>0</v>
      </c>
      <c r="V517" s="1703">
        <f>+IF(COLUMNS($L517:V517)&lt;month,'6. Market'!$J$76/12,'6. Market'!$K$76/12)</f>
        <v>0</v>
      </c>
      <c r="W517" s="1612">
        <f>+IF(COLUMNS($L517:W517)&lt;month,'6. Market'!$J$76/12,'6. Market'!$K$76/12)</f>
        <v>0</v>
      </c>
    </row>
    <row r="518" spans="1:25">
      <c r="A518" s="6" t="s">
        <v>3769</v>
      </c>
      <c r="B518" t="str">
        <f t="shared" si="26"/>
        <v>X10_11032_00494</v>
      </c>
      <c r="C518" t="str">
        <f t="shared" si="27"/>
        <v>LE_XXXX</v>
      </c>
      <c r="D518" t="s">
        <v>2886</v>
      </c>
      <c r="E518">
        <v>6600</v>
      </c>
      <c r="F518" t="s">
        <v>2888</v>
      </c>
      <c r="G518" t="s">
        <v>2889</v>
      </c>
      <c r="H518" t="s">
        <v>154</v>
      </c>
      <c r="I518" t="s">
        <v>146</v>
      </c>
      <c r="J518" t="s">
        <v>147</v>
      </c>
      <c r="K518" t="str">
        <f>+"FY"&amp;RIGHT(YEAR('Hyperion Panel'!$B$9)+1,2)</f>
        <v>FY11</v>
      </c>
      <c r="L518" s="1697">
        <f>+IF(COLUMNS($L518:L518)&lt;month,'6. Market'!$J$114*SUM(L497:L498,L500:L501),'6. Market'!$K$114*SUM(L497:L498,L500:L501))</f>
        <v>52958.887494461407</v>
      </c>
      <c r="M518" s="1697">
        <f>+IF(COLUMNS($L518:M518)&lt;month,'6. Market'!$J$114*SUM(M497:M498,M500:M501),'6. Market'!$K$114*SUM(M497:M498,M500:M501))</f>
        <v>52958.887494461407</v>
      </c>
      <c r="N518" s="1697">
        <f>+IF(COLUMNS($L518:N518)&lt;month,'6. Market'!$J$114*SUM(N497:N498,N500:N501),'6. Market'!$K$114*SUM(N497:N498,N500:N501))</f>
        <v>52958.887494461407</v>
      </c>
      <c r="O518" s="1697">
        <f>+IF(COLUMNS($L518:O518)&lt;month,'6. Market'!$J$114*SUM(O497:O498,O500:O501),'6. Market'!$K$114*SUM(O497:O498,O500:O501))</f>
        <v>52958.887494461407</v>
      </c>
      <c r="P518" s="1697">
        <f>+IF(COLUMNS($L518:P518)&lt;month,'6. Market'!$J$114*SUM(P497:P498,P500:P501),'6. Market'!$K$114*SUM(P497:P498,P500:P501))</f>
        <v>52958.887494461407</v>
      </c>
      <c r="Q518" s="1697">
        <f>+IF(COLUMNS($L518:Q518)&lt;month,'6. Market'!$J$114*SUM(Q497:Q498,Q500:Q501),'6. Market'!$K$114*SUM(Q497:Q498,Q500:Q501))</f>
        <v>52958.887494461407</v>
      </c>
      <c r="R518" s="1697">
        <f>+IF(COLUMNS($L518:R518)&lt;month,'6. Market'!$J$114*SUM(R497:R498,R500:R501),'6. Market'!$K$114*SUM(R497:R498,R500:R501))</f>
        <v>52958.887494461407</v>
      </c>
      <c r="S518" s="1697">
        <f>+IF(COLUMNS($L518:S518)&lt;month,'6. Market'!$J$114*SUM(S497:S498,S500:S501),'6. Market'!$K$114*SUM(S497:S498,S500:S501))</f>
        <v>52958.887494461407</v>
      </c>
      <c r="T518" s="1697">
        <f>+IF(COLUMNS($L518:T518)&lt;month,'6. Market'!$J$114*SUM(T497:T498,T500:T501),'6. Market'!$K$114*SUM(T497:T498,T500:T501))</f>
        <v>52958.887494461407</v>
      </c>
      <c r="U518" s="1697">
        <f>+IF(COLUMNS($L518:U518)&lt;month,'6. Market'!$J$114*SUM(U497:U498,U500:U501),'6. Market'!$K$114*SUM(U497:U498,U500:U501))</f>
        <v>52958.887494461407</v>
      </c>
      <c r="V518" s="1697">
        <f>+IF(COLUMNS($L518:V518)&lt;month,'6. Market'!$J$114*SUM(V497:V498,V500:V501),'6. Market'!$K$114*SUM(V497:V498,V500:V501))</f>
        <v>54018.065244350641</v>
      </c>
      <c r="W518" s="1697">
        <f>+IF(COLUMNS($L518:W518)&lt;month,'6. Market'!$J$114*SUM(W497:W498,W500:W501),'6. Market'!$K$114*SUM(W497:W498,W500:W501))</f>
        <v>54018.065244350641</v>
      </c>
    </row>
    <row r="519" spans="1:25">
      <c r="A519" s="6" t="s">
        <v>3770</v>
      </c>
      <c r="B519" t="str">
        <f t="shared" si="26"/>
        <v>X10_11032_00494</v>
      </c>
      <c r="C519" t="str">
        <f t="shared" si="27"/>
        <v>LE_XXXX</v>
      </c>
      <c r="D519" t="s">
        <v>2886</v>
      </c>
      <c r="E519">
        <v>6800</v>
      </c>
      <c r="F519" t="s">
        <v>156</v>
      </c>
      <c r="G519" t="s">
        <v>2889</v>
      </c>
      <c r="H519" t="s">
        <v>154</v>
      </c>
      <c r="I519" t="s">
        <v>146</v>
      </c>
      <c r="J519" t="s">
        <v>147</v>
      </c>
      <c r="K519" t="str">
        <f>+"FY"&amp;RIGHT(YEAR('Hyperion Panel'!$B$9)+1,2)</f>
        <v>FY11</v>
      </c>
      <c r="L519" s="1697">
        <f>+IF(COLUMNS($L519:L519)&lt;month,'6. Market'!$J$118*SUM(L497:L498,L500:L501),'6. Market'!$K$118*SUM(L497:L498,L500:L501))</f>
        <v>19626.014631840881</v>
      </c>
      <c r="M519" s="1697">
        <f>+IF(COLUMNS($L519:M519)&lt;month,'6. Market'!$J$118*SUM(M497:M498,M500:M501),'6. Market'!$K$118*SUM(M497:M498,M500:M501))</f>
        <v>19626.014631840881</v>
      </c>
      <c r="N519" s="1697">
        <f>+IF(COLUMNS($L519:N519)&lt;month,'6. Market'!$J$118*SUM(N497:N498,N500:N501),'6. Market'!$K$118*SUM(N497:N498,N500:N501))</f>
        <v>19626.014631840881</v>
      </c>
      <c r="O519" s="1697">
        <f>+IF(COLUMNS($L519:O519)&lt;month,'6. Market'!$J$118*SUM(O497:O498,O500:O501),'6. Market'!$K$118*SUM(O497:O498,O500:O501))</f>
        <v>19626.014631840881</v>
      </c>
      <c r="P519" s="1697">
        <f>+IF(COLUMNS($L519:P519)&lt;month,'6. Market'!$J$118*SUM(P497:P498,P500:P501),'6. Market'!$K$118*SUM(P497:P498,P500:P501))</f>
        <v>19626.014631840881</v>
      </c>
      <c r="Q519" s="1697">
        <f>+IF(COLUMNS($L519:Q519)&lt;month,'6. Market'!$J$118*SUM(Q497:Q498,Q500:Q501),'6. Market'!$K$118*SUM(Q497:Q498,Q500:Q501))</f>
        <v>19626.014631840881</v>
      </c>
      <c r="R519" s="1697">
        <f>+IF(COLUMNS($L519:R519)&lt;month,'6. Market'!$J$118*SUM(R497:R498,R500:R501),'6. Market'!$K$118*SUM(R497:R498,R500:R501))</f>
        <v>19626.014631840881</v>
      </c>
      <c r="S519" s="1697">
        <f>+IF(COLUMNS($L519:S519)&lt;month,'6. Market'!$J$118*SUM(S497:S498,S500:S501),'6. Market'!$K$118*SUM(S497:S498,S500:S501))</f>
        <v>19626.014631840881</v>
      </c>
      <c r="T519" s="1697">
        <f>+IF(COLUMNS($L519:T519)&lt;month,'6. Market'!$J$118*SUM(T497:T498,T500:T501),'6. Market'!$K$118*SUM(T497:T498,T500:T501))</f>
        <v>19626.014631840881</v>
      </c>
      <c r="U519" s="1697">
        <f>+IF(COLUMNS($L519:U519)&lt;month,'6. Market'!$J$118*SUM(U497:U498,U500:U501),'6. Market'!$K$118*SUM(U497:U498,U500:U501))</f>
        <v>19626.014631840881</v>
      </c>
      <c r="V519" s="1697">
        <f>+IF(COLUMNS($L519:V519)&lt;month,'6. Market'!$J$118*SUM(V497:V498,V500:V501),'6. Market'!$K$118*SUM(V497:V498,V500:V501))</f>
        <v>20214.79507079611</v>
      </c>
      <c r="W519" s="1697">
        <f>+IF(COLUMNS($L519:W519)&lt;month,'6. Market'!$J$118*SUM(W497:W498,W500:W501),'6. Market'!$K$118*SUM(W497:W498,W500:W501))</f>
        <v>20214.79507079611</v>
      </c>
    </row>
    <row r="520" spans="1:25">
      <c r="A520" t="s">
        <v>3697</v>
      </c>
      <c r="B520" t="str">
        <f t="shared" si="26"/>
        <v>X10_11032_00494</v>
      </c>
      <c r="C520" t="str">
        <f t="shared" si="27"/>
        <v>LE_XXXX</v>
      </c>
      <c r="D520" t="s">
        <v>2886</v>
      </c>
      <c r="E520">
        <v>8600</v>
      </c>
      <c r="F520" t="s">
        <v>156</v>
      </c>
      <c r="G520" t="s">
        <v>2889</v>
      </c>
      <c r="H520" t="s">
        <v>154</v>
      </c>
      <c r="I520" t="s">
        <v>146</v>
      </c>
      <c r="J520" t="s">
        <v>147</v>
      </c>
      <c r="K520" t="str">
        <f>+"FY"&amp;RIGHT(YEAR('Hyperion Panel'!$B$9)+1,2)</f>
        <v>FY11</v>
      </c>
      <c r="L520" s="1612">
        <f>+IF(COLUMNS($L520:L520)&lt;month,'6. Market'!$J$78/12,'6. Market'!$K$78/12)</f>
        <v>16474.989999999998</v>
      </c>
      <c r="M520" s="1612">
        <f>+IF(COLUMNS($L520:M520)&lt;month,'6. Market'!$J$78/12,'6. Market'!$K$78/12)</f>
        <v>16474.989999999998</v>
      </c>
      <c r="N520" s="1612">
        <f>+IF(COLUMNS($L520:N520)&lt;month,'6. Market'!$J$78/12,'6. Market'!$K$78/12)</f>
        <v>16474.989999999998</v>
      </c>
      <c r="O520" s="1612">
        <f>+IF(COLUMNS($L520:O520)&lt;month,'6. Market'!$J$78/12,'6. Market'!$K$78/12)</f>
        <v>16474.989999999998</v>
      </c>
      <c r="P520" s="1612">
        <f>+IF(COLUMNS($L520:P520)&lt;month,'6. Market'!$J$78/12,'6. Market'!$K$78/12)</f>
        <v>16474.989999999998</v>
      </c>
      <c r="Q520" s="1612">
        <f>+IF(COLUMNS($L520:Q520)&lt;month,'6. Market'!$J$78/12,'6. Market'!$K$78/12)</f>
        <v>16474.989999999998</v>
      </c>
      <c r="R520" s="1612">
        <f>+IF(COLUMNS($L520:R520)&lt;month,'6. Market'!$J$78/12,'6. Market'!$K$78/12)</f>
        <v>16474.989999999998</v>
      </c>
      <c r="S520" s="1612">
        <f>+IF(COLUMNS($L520:S520)&lt;month,'6. Market'!$J$78/12,'6. Market'!$K$78/12)</f>
        <v>16474.989999999998</v>
      </c>
      <c r="T520" s="1612">
        <f>+IF(COLUMNS($L520:T520)&lt;month,'6. Market'!$J$78/12,'6. Market'!$K$78/12)</f>
        <v>16474.989999999998</v>
      </c>
      <c r="U520" s="1612">
        <f>+IF(COLUMNS($L520:U520)&lt;month,'6. Market'!$J$78/12,'6. Market'!$K$78/12)</f>
        <v>16474.989999999998</v>
      </c>
      <c r="V520" s="1702">
        <f>+IF(COLUMNS($L520:V520)&lt;month,'6. Market'!$J$78/12,'6. Market'!$K$78/12)</f>
        <v>16969.239699999998</v>
      </c>
      <c r="W520" s="1612">
        <f>+IF(COLUMNS($L520:W520)&lt;month,'6. Market'!$J$78/12,'6. Market'!$K$78/12)</f>
        <v>16969.239699999998</v>
      </c>
    </row>
    <row r="521" spans="1:25">
      <c r="A521" t="s">
        <v>157</v>
      </c>
      <c r="B521" t="str">
        <f t="shared" si="26"/>
        <v>X10_11032_00494</v>
      </c>
      <c r="C521" t="str">
        <f t="shared" si="27"/>
        <v>LE_XXXX</v>
      </c>
      <c r="D521" t="s">
        <v>2886</v>
      </c>
      <c r="E521">
        <v>6720</v>
      </c>
      <c r="F521" t="s">
        <v>156</v>
      </c>
      <c r="G521" t="s">
        <v>2889</v>
      </c>
      <c r="H521" t="s">
        <v>154</v>
      </c>
      <c r="I521" t="s">
        <v>146</v>
      </c>
      <c r="J521" t="s">
        <v>147</v>
      </c>
      <c r="K521" t="str">
        <f>+"FY"&amp;RIGHT(YEAR('Hyperion Panel'!$B$9)+1,2)</f>
        <v>FY11</v>
      </c>
      <c r="L521" s="1612">
        <f>+IF(COLUMNS($L521:L521)&lt;month,'6. Market'!$J$79/12,'6. Market'!$K$79/12)</f>
        <v>15833.32</v>
      </c>
      <c r="M521" s="1612">
        <f>+IF(COLUMNS($L521:M521)&lt;month,'6. Market'!$J$79/12,'6. Market'!$K$79/12)</f>
        <v>15833.32</v>
      </c>
      <c r="N521" s="1612">
        <f>+IF(COLUMNS($L521:N521)&lt;month,'6. Market'!$J$79/12,'6. Market'!$K$79/12)</f>
        <v>15833.32</v>
      </c>
      <c r="O521" s="1612">
        <f>+IF(COLUMNS($L521:O521)&lt;month,'6. Market'!$J$79/12,'6. Market'!$K$79/12)</f>
        <v>15833.32</v>
      </c>
      <c r="P521" s="1612">
        <f>+IF(COLUMNS($L521:P521)&lt;month,'6. Market'!$J$79/12,'6. Market'!$K$79/12)</f>
        <v>15833.32</v>
      </c>
      <c r="Q521" s="1612">
        <f>+IF(COLUMNS($L521:Q521)&lt;month,'6. Market'!$J$79/12,'6. Market'!$K$79/12)</f>
        <v>15833.32</v>
      </c>
      <c r="R521" s="1612">
        <f>+IF(COLUMNS($L521:R521)&lt;month,'6. Market'!$J$79/12,'6. Market'!$K$79/12)</f>
        <v>15833.32</v>
      </c>
      <c r="S521" s="1612">
        <f>+IF(COLUMNS($L521:S521)&lt;month,'6. Market'!$J$79/12,'6. Market'!$K$79/12)</f>
        <v>15833.32</v>
      </c>
      <c r="T521" s="1612">
        <f>+IF(COLUMNS($L521:T521)&lt;month,'6. Market'!$J$79/12,'6. Market'!$K$79/12)</f>
        <v>15833.32</v>
      </c>
      <c r="U521" s="1612">
        <f>+IF(COLUMNS($L521:U521)&lt;month,'6. Market'!$J$79/12,'6. Market'!$K$79/12)</f>
        <v>15833.32</v>
      </c>
      <c r="V521" s="1702">
        <f>+IF(COLUMNS($L521:V521)&lt;month,'6. Market'!$J$79/12,'6. Market'!$K$79/12)</f>
        <v>15833.32</v>
      </c>
      <c r="W521" s="1612">
        <f>+IF(COLUMNS($L521:W521)&lt;month,'6. Market'!$J$79/12,'6. Market'!$K$79/12)</f>
        <v>15833.32</v>
      </c>
    </row>
    <row r="522" spans="1:25">
      <c r="A522" t="s">
        <v>3771</v>
      </c>
      <c r="B522" t="str">
        <f t="shared" si="26"/>
        <v>X10_11032_00494</v>
      </c>
      <c r="C522" t="str">
        <f t="shared" si="27"/>
        <v>LE_XXXX</v>
      </c>
      <c r="D522" t="s">
        <v>2886</v>
      </c>
      <c r="E522">
        <v>8110</v>
      </c>
      <c r="F522" t="s">
        <v>156</v>
      </c>
      <c r="G522" t="s">
        <v>2889</v>
      </c>
      <c r="H522" t="s">
        <v>154</v>
      </c>
      <c r="I522" t="s">
        <v>146</v>
      </c>
      <c r="J522" t="s">
        <v>147</v>
      </c>
      <c r="K522" t="str">
        <f>+"FY"&amp;RIGHT(YEAR('Hyperion Panel'!$B$9)+1,2)</f>
        <v>FY11</v>
      </c>
      <c r="L522" s="1612">
        <f>+IF(COLUMNS($L522:L522)&lt;month,'6. Market'!$J$82/12,'6. Market'!$K$82/12)</f>
        <v>1044.7049999999999</v>
      </c>
      <c r="M522" s="1612">
        <f>+IF(COLUMNS($L522:M522)&lt;month,'6. Market'!$J$82/12,'6. Market'!$K$82/12)</f>
        <v>1044.7049999999999</v>
      </c>
      <c r="N522" s="1612">
        <f>+IF(COLUMNS($L522:N522)&lt;month,'6. Market'!$J$82/12,'6. Market'!$K$82/12)</f>
        <v>1044.7049999999999</v>
      </c>
      <c r="O522" s="1612">
        <f>+IF(COLUMNS($L522:O522)&lt;month,'6. Market'!$J$82/12,'6. Market'!$K$82/12)</f>
        <v>1044.7049999999999</v>
      </c>
      <c r="P522" s="1612">
        <f>+IF(COLUMNS($L522:P522)&lt;month,'6. Market'!$J$82/12,'6. Market'!$K$82/12)</f>
        <v>1044.7049999999999</v>
      </c>
      <c r="Q522" s="1612">
        <f>+IF(COLUMNS($L522:Q522)&lt;month,'6. Market'!$J$82/12,'6. Market'!$K$82/12)</f>
        <v>1044.7049999999999</v>
      </c>
      <c r="R522" s="1612">
        <f>+IF(COLUMNS($L522:R522)&lt;month,'6. Market'!$J$82/12,'6. Market'!$K$82/12)</f>
        <v>1044.7049999999999</v>
      </c>
      <c r="S522" s="1612">
        <f>+IF(COLUMNS($L522:S522)&lt;month,'6. Market'!$J$82/12,'6. Market'!$K$82/12)</f>
        <v>1044.7049999999999</v>
      </c>
      <c r="T522" s="1612">
        <f>+IF(COLUMNS($L522:T522)&lt;month,'6. Market'!$J$82/12,'6. Market'!$K$82/12)</f>
        <v>1044.7049999999999</v>
      </c>
      <c r="U522" s="1612">
        <f>+IF(COLUMNS($L522:U522)&lt;month,'6. Market'!$J$82/12,'6. Market'!$K$82/12)</f>
        <v>1044.7049999999999</v>
      </c>
      <c r="V522" s="1702">
        <f>+IF(COLUMNS($L522:V522)&lt;month,'6. Market'!$J$82/12,'6. Market'!$K$82/12)</f>
        <v>1076.0461499999999</v>
      </c>
      <c r="W522" s="1612">
        <f>+IF(COLUMNS($L522:W522)&lt;month,'6. Market'!$J$82/12,'6. Market'!$K$82/12)</f>
        <v>1076.0461499999999</v>
      </c>
    </row>
    <row r="523" spans="1:25">
      <c r="A523" s="102" t="s">
        <v>171</v>
      </c>
      <c r="B523" t="str">
        <f t="shared" si="26"/>
        <v>X10_11032_00494</v>
      </c>
      <c r="C523" s="98" t="str">
        <f t="shared" si="27"/>
        <v>LE_XXXX</v>
      </c>
      <c r="D523" s="98" t="s">
        <v>2886</v>
      </c>
      <c r="E523" s="98">
        <v>6412</v>
      </c>
      <c r="F523" s="98" t="s">
        <v>156</v>
      </c>
      <c r="G523" s="98" t="s">
        <v>2889</v>
      </c>
      <c r="H523" s="98" t="s">
        <v>154</v>
      </c>
      <c r="I523" s="98" t="s">
        <v>146</v>
      </c>
      <c r="J523" s="98" t="s">
        <v>147</v>
      </c>
      <c r="K523" t="str">
        <f>+"FY"&amp;RIGHT(YEAR('Hyperion Panel'!$B$9)+1,2)</f>
        <v>FY11</v>
      </c>
      <c r="L523" s="1697">
        <f>+IF(COLUMNS($L523:L523)&lt;month,'6. Market'!$J$117*SUM(L497:L498,L500:L501),'6. Market'!$K$117*SUM(L497:L498,L500:L501))</f>
        <v>18564.974605157677</v>
      </c>
      <c r="M523" s="1697">
        <f>+IF(COLUMNS($L523:M523)&lt;month,'6. Market'!$J$117*SUM(M497:M498,M500:M501),'6. Market'!$K$117*SUM(M497:M498,M500:M501))</f>
        <v>18564.974605157677</v>
      </c>
      <c r="N523" s="1697">
        <f>+IF(COLUMNS($L523:N523)&lt;month,'6. Market'!$J$117*SUM(N497:N498,N500:N501),'6. Market'!$K$117*SUM(N497:N498,N500:N501))</f>
        <v>18564.974605157677</v>
      </c>
      <c r="O523" s="1697">
        <f>+IF(COLUMNS($L523:O523)&lt;month,'6. Market'!$J$117*SUM(O497:O498,O500:O501),'6. Market'!$K$117*SUM(O497:O498,O500:O501))</f>
        <v>18564.974605157677</v>
      </c>
      <c r="P523" s="1697">
        <f>+IF(COLUMNS($L523:P523)&lt;month,'6. Market'!$J$117*SUM(P497:P498,P500:P501),'6. Market'!$K$117*SUM(P497:P498,P500:P501))</f>
        <v>18564.974605157677</v>
      </c>
      <c r="Q523" s="1697">
        <f>+IF(COLUMNS($L523:Q523)&lt;month,'6. Market'!$J$117*SUM(Q497:Q498,Q500:Q501),'6. Market'!$K$117*SUM(Q497:Q498,Q500:Q501))</f>
        <v>18564.974605157677</v>
      </c>
      <c r="R523" s="1697">
        <f>+IF(COLUMNS($L523:R523)&lt;month,'6. Market'!$J$117*SUM(R497:R498,R500:R501),'6. Market'!$K$117*SUM(R497:R498,R500:R501))</f>
        <v>18564.974605157677</v>
      </c>
      <c r="S523" s="1697">
        <f>+IF(COLUMNS($L523:S523)&lt;month,'6. Market'!$J$117*SUM(S497:S498,S500:S501),'6. Market'!$K$117*SUM(S497:S498,S500:S501))</f>
        <v>18564.974605157677</v>
      </c>
      <c r="T523" s="1697">
        <f>+IF(COLUMNS($L523:T523)&lt;month,'6. Market'!$J$117*SUM(T497:T498,T500:T501),'6. Market'!$K$117*SUM(T497:T498,T500:T501))</f>
        <v>18564.974605157677</v>
      </c>
      <c r="U523" s="1697">
        <f>+IF(COLUMNS($L523:U523)&lt;month,'6. Market'!$J$117*SUM(U497:U498,U500:U501),'6. Market'!$K$117*SUM(U497:U498,U500:U501))</f>
        <v>18564.974605157677</v>
      </c>
      <c r="V523" s="1700">
        <f>+IF(COLUMNS($L523:V523)&lt;month,'6. Market'!$J$117*SUM(V497:V498,V500:V501),'6. Market'!$K$117*SUM(V497:V498,V500:V501))</f>
        <v>19121.923843312405</v>
      </c>
      <c r="W523" s="1697">
        <f>+IF(COLUMNS($L523:W523)&lt;month,'6. Market'!$J$117*SUM(W497:W498,W500:W501),'6. Market'!$K$117*SUM(W497:W498,W500:W501))</f>
        <v>19121.923843312405</v>
      </c>
    </row>
    <row r="524" spans="1:25" s="3" customFormat="1">
      <c r="A524" s="1687" t="s">
        <v>730</v>
      </c>
      <c r="B524" t="str">
        <f t="shared" si="26"/>
        <v>X10_11032_00494</v>
      </c>
      <c r="C524" s="1687" t="str">
        <f>+$C$2</f>
        <v>LE_XXXX</v>
      </c>
      <c r="D524" s="1687" t="s">
        <v>2886</v>
      </c>
      <c r="E524" s="1687">
        <v>8110</v>
      </c>
      <c r="F524" s="1687" t="s">
        <v>731</v>
      </c>
      <c r="G524" s="1687" t="s">
        <v>2889</v>
      </c>
      <c r="H524" s="1687" t="s">
        <v>154</v>
      </c>
      <c r="I524" s="1687" t="s">
        <v>146</v>
      </c>
      <c r="J524" s="1687" t="s">
        <v>147</v>
      </c>
      <c r="K524" t="str">
        <f>+"FY"&amp;RIGHT(YEAR('Hyperion Panel'!$B$9)+1,2)</f>
        <v>FY11</v>
      </c>
      <c r="L524" s="1704">
        <f>+IF(COLUMNS($L524:L524)&lt;month,'6. Market'!$J$88/12,'6. Market'!$K$88/12)</f>
        <v>833.33333333333337</v>
      </c>
      <c r="M524" s="1704">
        <f>+IF(COLUMNS($L524:M524)&lt;month,'6. Market'!$J$88/12,'6. Market'!$K$88/12)</f>
        <v>833.33333333333337</v>
      </c>
      <c r="N524" s="1704">
        <f>+IF(COLUMNS($L524:N524)&lt;month,'6. Market'!$J$88/12,'6. Market'!$K$88/12)</f>
        <v>833.33333333333337</v>
      </c>
      <c r="O524" s="1704">
        <f>+IF(COLUMNS($L524:O524)&lt;month,'6. Market'!$J$88/12,'6. Market'!$K$88/12)</f>
        <v>833.33333333333337</v>
      </c>
      <c r="P524" s="1704">
        <f>+IF(COLUMNS($L524:P524)&lt;month,'6. Market'!$J$88/12,'6. Market'!$K$88/12)</f>
        <v>833.33333333333337</v>
      </c>
      <c r="Q524" s="1704">
        <f>+IF(COLUMNS($L524:Q524)&lt;month,'6. Market'!$J$88/12,'6. Market'!$K$88/12)</f>
        <v>833.33333333333337</v>
      </c>
      <c r="R524" s="1704">
        <f>+IF(COLUMNS($L524:R524)&lt;month,'6. Market'!$J$88/12,'6. Market'!$K$88/12)</f>
        <v>833.33333333333337</v>
      </c>
      <c r="S524" s="1704">
        <f>+IF(COLUMNS($L524:S524)&lt;month,'6. Market'!$J$88/12,'6. Market'!$K$88/12)</f>
        <v>833.33333333333337</v>
      </c>
      <c r="T524" s="1704">
        <f>+IF(COLUMNS($L524:T524)&lt;month,'6. Market'!$J$88/12,'6. Market'!$K$88/12)</f>
        <v>833.33333333333337</v>
      </c>
      <c r="U524" s="1704">
        <f>+IF(COLUMNS($L524:U524)&lt;month,'6. Market'!$J$88/12,'6. Market'!$K$88/12)</f>
        <v>833.33333333333337</v>
      </c>
      <c r="V524" s="1704">
        <f>+IF(COLUMNS($L524:V524)&lt;month,'6. Market'!$J$88/12,'6. Market'!$K$88/12)</f>
        <v>858.33333333333337</v>
      </c>
      <c r="W524" s="1704">
        <f>+IF(COLUMNS($L524:W524)&lt;month,'6. Market'!$J$88/12,'6. Market'!$K$88/12)</f>
        <v>858.33333333333337</v>
      </c>
    </row>
    <row r="525" spans="1:25" s="3" customFormat="1">
      <c r="A525" s="1687" t="s">
        <v>732</v>
      </c>
      <c r="B525" t="str">
        <f t="shared" si="26"/>
        <v>X10_11032_00494</v>
      </c>
      <c r="C525" s="1687" t="str">
        <f>+$C$2</f>
        <v>LE_XXXX</v>
      </c>
      <c r="D525" s="1687" t="s">
        <v>2886</v>
      </c>
      <c r="E525" s="1687"/>
      <c r="F525" s="1687" t="s">
        <v>731</v>
      </c>
      <c r="G525" s="1687" t="s">
        <v>2889</v>
      </c>
      <c r="H525" s="1687" t="s">
        <v>154</v>
      </c>
      <c r="I525" s="1687" t="s">
        <v>146</v>
      </c>
      <c r="J525" s="1687" t="s">
        <v>147</v>
      </c>
      <c r="K525" t="str">
        <f>+"FY"&amp;RIGHT(YEAR('Hyperion Panel'!$B$9)+1,2)</f>
        <v>FY11</v>
      </c>
      <c r="L525" s="1704">
        <f>+IF(COLUMNS($L525:L525)&lt;month,'6. Market'!$J$89/12,'6. Market'!$K$89/12)</f>
        <v>0</v>
      </c>
      <c r="M525" s="1704">
        <f>+IF(COLUMNS($L525:M525)&lt;month,'6. Market'!$J$89/12,'6. Market'!$K$89/12)</f>
        <v>0</v>
      </c>
      <c r="N525" s="1704">
        <f>+IF(COLUMNS($L525:N525)&lt;month,'6. Market'!$J$89/12,'6. Market'!$K$89/12)</f>
        <v>0</v>
      </c>
      <c r="O525" s="1704">
        <f>+IF(COLUMNS($L525:O525)&lt;month,'6. Market'!$J$89/12,'6. Market'!$K$89/12)</f>
        <v>0</v>
      </c>
      <c r="P525" s="1704">
        <f>+IF(COLUMNS($L525:P525)&lt;month,'6. Market'!$J$89/12,'6. Market'!$K$89/12)</f>
        <v>0</v>
      </c>
      <c r="Q525" s="1704">
        <f>+IF(COLUMNS($L525:Q525)&lt;month,'6. Market'!$J$89/12,'6. Market'!$K$89/12)</f>
        <v>0</v>
      </c>
      <c r="R525" s="1704">
        <f>+IF(COLUMNS($L525:R525)&lt;month,'6. Market'!$J$89/12,'6. Market'!$K$89/12)</f>
        <v>0</v>
      </c>
      <c r="S525" s="1704">
        <f>+IF(COLUMNS($L525:S525)&lt;month,'6. Market'!$J$89/12,'6. Market'!$K$89/12)</f>
        <v>0</v>
      </c>
      <c r="T525" s="1704">
        <f>+IF(COLUMNS($L525:T525)&lt;month,'6. Market'!$J$89/12,'6. Market'!$K$89/12)</f>
        <v>0</v>
      </c>
      <c r="U525" s="1704">
        <f>+IF(COLUMNS($L525:U525)&lt;month,'6. Market'!$J$89/12,'6. Market'!$K$89/12)</f>
        <v>0</v>
      </c>
      <c r="V525" s="1704">
        <f>+IF(COLUMNS($L525:V525)&lt;month,'6. Market'!$J$89/12,'6. Market'!$K$89/12)</f>
        <v>0</v>
      </c>
      <c r="W525" s="1704">
        <f>+IF(COLUMNS($L525:W525)&lt;month,'6. Market'!$J$89/12,'6. Market'!$K$89/12)</f>
        <v>0</v>
      </c>
    </row>
    <row r="526" spans="1:25" s="3" customFormat="1">
      <c r="A526" s="1687" t="s">
        <v>733</v>
      </c>
      <c r="B526" t="str">
        <f t="shared" si="26"/>
        <v>X10_11032_00494</v>
      </c>
      <c r="C526" s="1687" t="str">
        <f>+$C$2</f>
        <v>LE_XXXX</v>
      </c>
      <c r="D526" s="1687" t="s">
        <v>2886</v>
      </c>
      <c r="E526" s="1687"/>
      <c r="F526" s="1687" t="s">
        <v>731</v>
      </c>
      <c r="G526" s="1687" t="s">
        <v>2889</v>
      </c>
      <c r="H526" s="1687" t="s">
        <v>154</v>
      </c>
      <c r="I526" s="1687" t="s">
        <v>146</v>
      </c>
      <c r="J526" s="1687" t="s">
        <v>147</v>
      </c>
      <c r="K526" t="str">
        <f>+"FY"&amp;RIGHT(YEAR('Hyperion Panel'!$B$9)+1,2)</f>
        <v>FY11</v>
      </c>
      <c r="L526" s="1704">
        <f>+IF(COLUMNS($L526:L526)&lt;month,'6. Market'!$J$90/12,'6. Market'!$K$90/12)</f>
        <v>9640</v>
      </c>
      <c r="M526" s="1704">
        <f>+IF(COLUMNS($L526:M526)&lt;month,'6. Market'!$J$90/12,'6. Market'!$K$90/12)</f>
        <v>9640</v>
      </c>
      <c r="N526" s="1704">
        <f>+IF(COLUMNS($L526:N526)&lt;month,'6. Market'!$J$90/12,'6. Market'!$K$90/12)</f>
        <v>9640</v>
      </c>
      <c r="O526" s="1704">
        <f>+IF(COLUMNS($L526:O526)&lt;month,'6. Market'!$J$90/12,'6. Market'!$K$90/12)</f>
        <v>9640</v>
      </c>
      <c r="P526" s="1704">
        <f>+IF(COLUMNS($L526:P526)&lt;month,'6. Market'!$J$90/12,'6. Market'!$K$90/12)</f>
        <v>9640</v>
      </c>
      <c r="Q526" s="1704">
        <f>+IF(COLUMNS($L526:Q526)&lt;month,'6. Market'!$J$90/12,'6. Market'!$K$90/12)</f>
        <v>9640</v>
      </c>
      <c r="R526" s="1704">
        <f>+IF(COLUMNS($L526:R526)&lt;month,'6. Market'!$J$90/12,'6. Market'!$K$90/12)</f>
        <v>9640</v>
      </c>
      <c r="S526" s="1704">
        <f>+IF(COLUMNS($L526:S526)&lt;month,'6. Market'!$J$90/12,'6. Market'!$K$90/12)</f>
        <v>9640</v>
      </c>
      <c r="T526" s="1704">
        <f>+IF(COLUMNS($L526:T526)&lt;month,'6. Market'!$J$90/12,'6. Market'!$K$90/12)</f>
        <v>9640</v>
      </c>
      <c r="U526" s="1704">
        <f>+IF(COLUMNS($L526:U526)&lt;month,'6. Market'!$J$90/12,'6. Market'!$K$90/12)</f>
        <v>9640</v>
      </c>
      <c r="V526" s="1704">
        <f>+IF(COLUMNS($L526:V526)&lt;month,'6. Market'!$J$90/12,'6. Market'!$K$90/12)</f>
        <v>9832.7999999999993</v>
      </c>
      <c r="W526" s="1704">
        <f>+IF(COLUMNS($L526:W526)&lt;month,'6. Market'!$J$90/12,'6. Market'!$K$90/12)</f>
        <v>9832.7999999999993</v>
      </c>
    </row>
    <row r="527" spans="1:25" s="3" customFormat="1">
      <c r="A527" s="1687" t="s">
        <v>734</v>
      </c>
      <c r="B527" t="str">
        <f t="shared" si="26"/>
        <v>X10_11032_00494</v>
      </c>
      <c r="C527" s="1687" t="str">
        <f>+$C$2</f>
        <v>LE_XXXX</v>
      </c>
      <c r="D527" s="1687" t="s">
        <v>2886</v>
      </c>
      <c r="E527" s="1687">
        <v>6800</v>
      </c>
      <c r="F527" s="1687" t="s">
        <v>731</v>
      </c>
      <c r="G527" s="1687" t="s">
        <v>2889</v>
      </c>
      <c r="H527" s="1687" t="s">
        <v>154</v>
      </c>
      <c r="I527" s="1687" t="s">
        <v>146</v>
      </c>
      <c r="J527" s="1687" t="s">
        <v>147</v>
      </c>
      <c r="K527" t="str">
        <f>+"FY"&amp;RIGHT(YEAR('Hyperion Panel'!$B$9)+1,2)</f>
        <v>FY11</v>
      </c>
      <c r="L527" s="1704">
        <f>+IF(COLUMNS($L527:L527)&lt;month,'6. Market'!$J$91/12,'6. Market'!$K$91/12)</f>
        <v>1750</v>
      </c>
      <c r="M527" s="1704">
        <f>+IF(COLUMNS($L527:M527)&lt;month,'6. Market'!$J$91/12,'6. Market'!$K$91/12)</f>
        <v>1750</v>
      </c>
      <c r="N527" s="1704">
        <f>+IF(COLUMNS($L527:N527)&lt;month,'6. Market'!$J$91/12,'6. Market'!$K$91/12)</f>
        <v>1750</v>
      </c>
      <c r="O527" s="1704">
        <f>+IF(COLUMNS($L527:O527)&lt;month,'6. Market'!$J$91/12,'6. Market'!$K$91/12)</f>
        <v>1750</v>
      </c>
      <c r="P527" s="1704">
        <f>+IF(COLUMNS($L527:P527)&lt;month,'6. Market'!$J$91/12,'6. Market'!$K$91/12)</f>
        <v>1750</v>
      </c>
      <c r="Q527" s="1704">
        <f>+IF(COLUMNS($L527:Q527)&lt;month,'6. Market'!$J$91/12,'6. Market'!$K$91/12)</f>
        <v>1750</v>
      </c>
      <c r="R527" s="1704">
        <f>+IF(COLUMNS($L527:R527)&lt;month,'6. Market'!$J$91/12,'6. Market'!$K$91/12)</f>
        <v>1750</v>
      </c>
      <c r="S527" s="1704">
        <f>+IF(COLUMNS($L527:S527)&lt;month,'6. Market'!$J$91/12,'6. Market'!$K$91/12)</f>
        <v>1750</v>
      </c>
      <c r="T527" s="1704">
        <f>+IF(COLUMNS($L527:T527)&lt;month,'6. Market'!$J$91/12,'6. Market'!$K$91/12)</f>
        <v>1750</v>
      </c>
      <c r="U527" s="1704">
        <f>+IF(COLUMNS($L527:U527)&lt;month,'6. Market'!$J$91/12,'6. Market'!$K$91/12)</f>
        <v>1750</v>
      </c>
      <c r="V527" s="1704">
        <f>+IF(COLUMNS($L527:V527)&lt;month,'6. Market'!$J$91/12,'6. Market'!$K$91/12)</f>
        <v>1802.5</v>
      </c>
      <c r="W527" s="1704">
        <f>+IF(COLUMNS($L527:W527)&lt;month,'6. Market'!$J$91/12,'6. Market'!$K$91/12)</f>
        <v>1802.5</v>
      </c>
    </row>
    <row r="528" spans="1:25">
      <c r="A528" t="s">
        <v>158</v>
      </c>
      <c r="B528" t="str">
        <f t="shared" si="26"/>
        <v>X10_11032_00494</v>
      </c>
      <c r="C528" t="str">
        <f>+$C$460</f>
        <v>LE_XXXX</v>
      </c>
      <c r="D528" t="s">
        <v>2886</v>
      </c>
      <c r="E528" t="s">
        <v>159</v>
      </c>
      <c r="F528" t="s">
        <v>156</v>
      </c>
      <c r="G528" t="s">
        <v>2889</v>
      </c>
      <c r="H528" t="s">
        <v>154</v>
      </c>
      <c r="I528" t="s">
        <v>146</v>
      </c>
      <c r="J528" t="s">
        <v>147</v>
      </c>
      <c r="K528" t="str">
        <f>+"FY"&amp;RIGHT(YEAR('Hyperion Panel'!$B$9)+1,2)</f>
        <v>FY11</v>
      </c>
      <c r="L528" s="103">
        <f>'Hyperion Panel'!$C$7</f>
        <v>1</v>
      </c>
      <c r="M528" s="103">
        <f>'Hyperion Panel'!$C$7</f>
        <v>1</v>
      </c>
      <c r="N528" s="103">
        <f>'Hyperion Panel'!$C$7</f>
        <v>1</v>
      </c>
      <c r="O528" s="103">
        <f>'Hyperion Panel'!$C$7</f>
        <v>1</v>
      </c>
      <c r="P528" s="103">
        <f>'Hyperion Panel'!$C$7</f>
        <v>1</v>
      </c>
      <c r="Q528" s="103">
        <f>'Hyperion Panel'!$C$7</f>
        <v>1</v>
      </c>
      <c r="R528" s="103">
        <f>'Hyperion Panel'!$C$7</f>
        <v>1</v>
      </c>
      <c r="S528" s="103">
        <f>'Hyperion Panel'!$C$7</f>
        <v>1</v>
      </c>
      <c r="T528" s="103">
        <f>'Hyperion Panel'!$C$7</f>
        <v>1</v>
      </c>
      <c r="U528" s="103">
        <f>'Hyperion Panel'!$C$7</f>
        <v>1</v>
      </c>
      <c r="V528" s="1694">
        <f>'Hyperion Panel'!$C$7</f>
        <v>1</v>
      </c>
      <c r="W528" s="103">
        <f>'Hyperion Panel'!$C$7</f>
        <v>1</v>
      </c>
    </row>
    <row r="529" spans="1:26">
      <c r="A529" t="s">
        <v>160</v>
      </c>
      <c r="B529" t="str">
        <f t="shared" si="26"/>
        <v>X10_11032_00494</v>
      </c>
      <c r="C529" t="str">
        <f>+$C$460</f>
        <v>LE_XXXX</v>
      </c>
      <c r="D529" t="s">
        <v>2886</v>
      </c>
      <c r="E529" t="s">
        <v>161</v>
      </c>
      <c r="F529" t="s">
        <v>156</v>
      </c>
      <c r="G529" t="s">
        <v>2889</v>
      </c>
      <c r="H529" t="s">
        <v>154</v>
      </c>
      <c r="I529" t="s">
        <v>146</v>
      </c>
      <c r="J529" t="s">
        <v>147</v>
      </c>
      <c r="K529" t="str">
        <f>+"FY"&amp;RIGHT(YEAR('Hyperion Panel'!$B$9)+1,2)</f>
        <v>FY11</v>
      </c>
      <c r="L529" s="1705">
        <v>0</v>
      </c>
      <c r="M529" s="1705">
        <v>0</v>
      </c>
      <c r="N529" s="1705">
        <v>0</v>
      </c>
      <c r="O529" s="1705">
        <v>0</v>
      </c>
      <c r="P529" s="1705">
        <v>0</v>
      </c>
      <c r="Q529" s="1705">
        <v>0</v>
      </c>
      <c r="R529" s="1705">
        <v>0</v>
      </c>
      <c r="S529" s="1705">
        <v>0</v>
      </c>
      <c r="T529" s="1705">
        <v>0</v>
      </c>
      <c r="U529" s="1705">
        <v>0</v>
      </c>
      <c r="V529" s="1705">
        <v>0</v>
      </c>
      <c r="W529" s="1705">
        <v>0</v>
      </c>
    </row>
    <row r="530" spans="1:26" s="3" customFormat="1">
      <c r="A530" s="1687" t="s">
        <v>735</v>
      </c>
      <c r="B530" t="s">
        <v>736</v>
      </c>
      <c r="C530" s="1687"/>
      <c r="D530" s="1687"/>
      <c r="E530" s="1687"/>
      <c r="F530" s="1687"/>
      <c r="G530" s="1687"/>
      <c r="H530" s="1687"/>
      <c r="I530" s="1687"/>
      <c r="J530" s="1687"/>
      <c r="K530" t="str">
        <f>+"FY"&amp;RIGHT(YEAR('Hyperion Panel'!$B$9)+1,2)</f>
        <v>FY11</v>
      </c>
      <c r="L530" s="1705">
        <v>0</v>
      </c>
      <c r="M530" s="1705">
        <v>0</v>
      </c>
      <c r="N530" s="1705">
        <v>0</v>
      </c>
      <c r="O530" s="1705">
        <v>0</v>
      </c>
      <c r="P530" s="1705">
        <v>0</v>
      </c>
      <c r="Q530" s="1705">
        <v>0</v>
      </c>
      <c r="R530" s="1705">
        <v>0</v>
      </c>
      <c r="S530" s="1705">
        <v>0</v>
      </c>
      <c r="T530" s="1705">
        <v>0</v>
      </c>
      <c r="U530" s="1705">
        <v>0</v>
      </c>
      <c r="V530" s="1705">
        <v>0</v>
      </c>
      <c r="W530" s="1705">
        <v>0</v>
      </c>
      <c r="Y530" s="1688"/>
    </row>
    <row r="531" spans="1:26">
      <c r="L531" s="1705"/>
      <c r="M531" s="1705"/>
      <c r="N531" s="1705"/>
      <c r="O531" s="1705"/>
      <c r="P531" s="1705"/>
      <c r="Q531" s="1705"/>
      <c r="R531" s="1705"/>
      <c r="S531" s="1705"/>
      <c r="T531" s="1705"/>
      <c r="U531" s="1705"/>
      <c r="V531" s="1705"/>
      <c r="W531" s="1705"/>
    </row>
    <row r="532" spans="1:26">
      <c r="A532" s="98" t="s">
        <v>165</v>
      </c>
      <c r="B532" t="str">
        <f>+$B$460</f>
        <v>X10_11032_00494</v>
      </c>
      <c r="C532" t="str">
        <f>+$C$460</f>
        <v>LE_XXXX</v>
      </c>
      <c r="D532" t="s">
        <v>2886</v>
      </c>
      <c r="E532" t="s">
        <v>2887</v>
      </c>
      <c r="F532" t="s">
        <v>2888</v>
      </c>
      <c r="G532" t="s">
        <v>2889</v>
      </c>
      <c r="H532" t="s">
        <v>145</v>
      </c>
      <c r="I532" t="s">
        <v>146</v>
      </c>
      <c r="J532" t="s">
        <v>147</v>
      </c>
      <c r="K532" t="str">
        <f>+"FY"&amp;RIGHT(YEAR('Hyperion Panel'!$B$9)+2,2)</f>
        <v>FY12</v>
      </c>
      <c r="L532" s="1612"/>
      <c r="M532" s="1612"/>
      <c r="N532" s="1612"/>
      <c r="O532" s="1612"/>
      <c r="P532" s="1612"/>
      <c r="Q532" s="1612"/>
      <c r="R532" s="1612"/>
      <c r="S532" s="1612"/>
      <c r="T532" s="1612"/>
      <c r="U532" s="1612"/>
      <c r="V532" s="1702"/>
      <c r="W532" s="1612"/>
    </row>
    <row r="533" spans="1:26" s="98" customFormat="1" ht="12.75" customHeight="1">
      <c r="A533" s="100" t="s">
        <v>463</v>
      </c>
      <c r="L533" s="1697">
        <f>+IF(COLUMNS($L533:L533)&lt;month,VLOOKUP("Month "&amp;(COLUMNS($L533:L533)-month+13),X_baseline_Tx,5,FALSE)*52*3/12*(1-hemomiss),VLOOKUP("Month "&amp;(COLUMNS($L533:L533)-month+1),X_baseline_Tx,7,FALSE)*52*3/12*(1-hemomiss))</f>
        <v>574.08000000000004</v>
      </c>
      <c r="M533" s="1697">
        <f>+IF(COLUMNS($L533:M533)&lt;month,VLOOKUP("Month "&amp;(COLUMNS($L533:M533)-month+13),X_baseline_Tx,5,FALSE)*52*3/12*(1-hemomiss),VLOOKUP("Month "&amp;(COLUMNS($L533:M533)-month+1),X_baseline_Tx,7,FALSE)*52*3/12*(1-hemomiss))</f>
        <v>574.08000000000004</v>
      </c>
      <c r="N533" s="1697">
        <f>+IF(COLUMNS($L533:N533)&lt;month,VLOOKUP("Month "&amp;(COLUMNS($L533:N533)-month+13),X_baseline_Tx,5,FALSE)*52*3/12*(1-hemomiss),VLOOKUP("Month "&amp;(COLUMNS($L533:N533)-month+1),X_baseline_Tx,7,FALSE)*52*3/12*(1-hemomiss))</f>
        <v>574.08000000000004</v>
      </c>
      <c r="O533" s="1697">
        <f>+IF(COLUMNS($L533:O533)&lt;month,VLOOKUP("Month "&amp;(COLUMNS($L533:O533)-month+13),X_baseline_Tx,5,FALSE)*52*3/12*(1-hemomiss),VLOOKUP("Month "&amp;(COLUMNS($L533:O533)-month+1),X_baseline_Tx,7,FALSE)*52*3/12*(1-hemomiss))</f>
        <v>574.08000000000004</v>
      </c>
      <c r="P533" s="1697">
        <f>+IF(COLUMNS($L533:P533)&lt;month,VLOOKUP("Month "&amp;(COLUMNS($L533:P533)-month+13),X_baseline_Tx,5,FALSE)*52*3/12*(1-hemomiss),VLOOKUP("Month "&amp;(COLUMNS($L533:P533)-month+1),X_baseline_Tx,7,FALSE)*52*3/12*(1-hemomiss))</f>
        <v>574.08000000000004</v>
      </c>
      <c r="Q533" s="1697">
        <f>+IF(COLUMNS($L533:Q533)&lt;month,VLOOKUP("Month "&amp;(COLUMNS($L533:Q533)-month+13),X_baseline_Tx,5,FALSE)*52*3/12*(1-hemomiss),VLOOKUP("Month "&amp;(COLUMNS($L533:Q533)-month+1),X_baseline_Tx,7,FALSE)*52*3/12*(1-hemomiss))</f>
        <v>574.08000000000004</v>
      </c>
      <c r="R533" s="1697">
        <f>+IF(COLUMNS($L533:R533)&lt;month,VLOOKUP("Month "&amp;(COLUMNS($L533:R533)-month+13),X_baseline_Tx,5,FALSE)*52*3/12*(1-hemomiss),VLOOKUP("Month "&amp;(COLUMNS($L533:R533)-month+1),X_baseline_Tx,7,FALSE)*52*3/12*(1-hemomiss))</f>
        <v>574.08000000000004</v>
      </c>
      <c r="S533" s="1697">
        <f>+IF(COLUMNS($L533:S533)&lt;month,VLOOKUP("Month "&amp;(COLUMNS($L533:S533)-month+13),X_baseline_Tx,5,FALSE)*52*3/12*(1-hemomiss),VLOOKUP("Month "&amp;(COLUMNS($L533:S533)-month+1),X_baseline_Tx,7,FALSE)*52*3/12*(1-hemomiss))</f>
        <v>574.08000000000004</v>
      </c>
      <c r="T533" s="1697">
        <f>+IF(COLUMNS($L533:T533)&lt;month,VLOOKUP("Month "&amp;(COLUMNS($L533:T533)-month+13),X_baseline_Tx,5,FALSE)*52*3/12*(1-hemomiss),VLOOKUP("Month "&amp;(COLUMNS($L533:T533)-month+1),X_baseline_Tx,7,FALSE)*52*3/12*(1-hemomiss))</f>
        <v>574.08000000000004</v>
      </c>
      <c r="U533" s="1697">
        <f>+IF(COLUMNS($L533:U533)&lt;month,VLOOKUP("Month "&amp;(COLUMNS($L533:U533)-month+13),X_baseline_Tx,5,FALSE)*52*3/12*(1-hemomiss),VLOOKUP("Month "&amp;(COLUMNS($L533:U533)-month+1),X_baseline_Tx,7,FALSE)*52*3/12*(1-hemomiss))</f>
        <v>574.08000000000004</v>
      </c>
      <c r="V533" s="1700">
        <f>+IF(COLUMNS($L533:V533)&lt;month,VLOOKUP("Month "&amp;(COLUMNS($L533:V533)-month+13),X_baseline_Tx,5,FALSE)*52*3/12*(1-hemomiss),VLOOKUP("Month "&amp;(COLUMNS($L533:V533)-month+1),X_baseline_Tx,7,FALSE)*52*3/12*(1-hemomiss))</f>
        <v>574.08000000000004</v>
      </c>
      <c r="W533" s="1697">
        <f>+IF(COLUMNS($L533:W533)&lt;month,VLOOKUP("Month "&amp;(COLUMNS($L533:W533)-month+13),X_baseline_Tx,5,FALSE)*52*3/12*(1-hemomiss),VLOOKUP("Month "&amp;(COLUMNS($L533:W533)-month+1),X_baseline_Tx,7,FALSE)*52*3/12*(1-hemomiss))</f>
        <v>574.08000000000004</v>
      </c>
      <c r="Y533" s="99"/>
      <c r="Z533" s="97"/>
    </row>
    <row r="534" spans="1:26" s="98" customFormat="1" ht="12.75" customHeight="1">
      <c r="A534" s="100" t="s">
        <v>464</v>
      </c>
      <c r="L534" s="1697">
        <f>+IF(COLUMNS($L534:L534)&lt;month,VLOOKUP("Month "&amp;(COLUMNS($L534:L534)-month+13),X_baseline_Tx,6,FALSE)*52*3/12*(1-hemomiss),VLOOKUP("Month "&amp;(COLUMNS($L534:L534)-month+1),X_baseline_Tx,8,FALSE)*52*3/12*(1-hemomiss))</f>
        <v>23.92</v>
      </c>
      <c r="M534" s="1697">
        <f>+IF(COLUMNS($L534:M534)&lt;month,VLOOKUP("Month "&amp;(COLUMNS($L534:M534)-month+13),X_baseline_Tx,6,FALSE)*52*3/12*(1-hemomiss),VLOOKUP("Month "&amp;(COLUMNS($L534:M534)-month+1),X_baseline_Tx,8,FALSE)*52*3/12*(1-hemomiss))</f>
        <v>23.92</v>
      </c>
      <c r="N534" s="1697">
        <f>+IF(COLUMNS($L534:N534)&lt;month,VLOOKUP("Month "&amp;(COLUMNS($L534:N534)-month+13),X_baseline_Tx,6,FALSE)*52*3/12*(1-hemomiss),VLOOKUP("Month "&amp;(COLUMNS($L534:N534)-month+1),X_baseline_Tx,8,FALSE)*52*3/12*(1-hemomiss))</f>
        <v>23.92</v>
      </c>
      <c r="O534" s="1697">
        <f>+IF(COLUMNS($L534:O534)&lt;month,VLOOKUP("Month "&amp;(COLUMNS($L534:O534)-month+13),X_baseline_Tx,6,FALSE)*52*3/12*(1-hemomiss),VLOOKUP("Month "&amp;(COLUMNS($L534:O534)-month+1),X_baseline_Tx,8,FALSE)*52*3/12*(1-hemomiss))</f>
        <v>23.92</v>
      </c>
      <c r="P534" s="1697">
        <f>+IF(COLUMNS($L534:P534)&lt;month,VLOOKUP("Month "&amp;(COLUMNS($L534:P534)-month+13),X_baseline_Tx,6,FALSE)*52*3/12*(1-hemomiss),VLOOKUP("Month "&amp;(COLUMNS($L534:P534)-month+1),X_baseline_Tx,8,FALSE)*52*3/12*(1-hemomiss))</f>
        <v>23.92</v>
      </c>
      <c r="Q534" s="1697">
        <f>+IF(COLUMNS($L534:Q534)&lt;month,VLOOKUP("Month "&amp;(COLUMNS($L534:Q534)-month+13),X_baseline_Tx,6,FALSE)*52*3/12*(1-hemomiss),VLOOKUP("Month "&amp;(COLUMNS($L534:Q534)-month+1),X_baseline_Tx,8,FALSE)*52*3/12*(1-hemomiss))</f>
        <v>23.92</v>
      </c>
      <c r="R534" s="1697">
        <f>+IF(COLUMNS($L534:R534)&lt;month,VLOOKUP("Month "&amp;(COLUMNS($L534:R534)-month+13),X_baseline_Tx,6,FALSE)*52*3/12*(1-hemomiss),VLOOKUP("Month "&amp;(COLUMNS($L534:R534)-month+1),X_baseline_Tx,8,FALSE)*52*3/12*(1-hemomiss))</f>
        <v>23.92</v>
      </c>
      <c r="S534" s="1697">
        <f>+IF(COLUMNS($L534:S534)&lt;month,VLOOKUP("Month "&amp;(COLUMNS($L534:S534)-month+13),X_baseline_Tx,6,FALSE)*52*3/12*(1-hemomiss),VLOOKUP("Month "&amp;(COLUMNS($L534:S534)-month+1),X_baseline_Tx,8,FALSE)*52*3/12*(1-hemomiss))</f>
        <v>23.92</v>
      </c>
      <c r="T534" s="1697">
        <f>+IF(COLUMNS($L534:T534)&lt;month,VLOOKUP("Month "&amp;(COLUMNS($L534:T534)-month+13),X_baseline_Tx,6,FALSE)*52*3/12*(1-hemomiss),VLOOKUP("Month "&amp;(COLUMNS($L534:T534)-month+1),X_baseline_Tx,8,FALSE)*52*3/12*(1-hemomiss))</f>
        <v>23.92</v>
      </c>
      <c r="U534" s="1697">
        <f>+IF(COLUMNS($L534:U534)&lt;month,VLOOKUP("Month "&amp;(COLUMNS($L534:U534)-month+13),X_baseline_Tx,6,FALSE)*52*3/12*(1-hemomiss),VLOOKUP("Month "&amp;(COLUMNS($L534:U534)-month+1),X_baseline_Tx,8,FALSE)*52*3/12*(1-hemomiss))</f>
        <v>23.92</v>
      </c>
      <c r="V534" s="1700">
        <f>+IF(COLUMNS($L534:V534)&lt;month,VLOOKUP("Month "&amp;(COLUMNS($L534:V534)-month+13),X_baseline_Tx,6,FALSE)*52*3/12*(1-hemomiss),VLOOKUP("Month "&amp;(COLUMNS($L534:V534)-month+1),X_baseline_Tx,8,FALSE)*52*3/12*(1-hemomiss))</f>
        <v>23.92</v>
      </c>
      <c r="W534" s="1697">
        <f>+IF(COLUMNS($L534:W534)&lt;month,VLOOKUP("Month "&amp;(COLUMNS($L534:W534)-month+13),X_baseline_Tx,6,FALSE)*52*3/12*(1-hemomiss),VLOOKUP("Month "&amp;(COLUMNS($L534:W534)-month+1),X_baseline_Tx,8,FALSE)*52*3/12*(1-hemomiss))</f>
        <v>23.92</v>
      </c>
      <c r="Y534" s="99"/>
      <c r="Z534" s="97"/>
    </row>
    <row r="535" spans="1:26">
      <c r="A535" s="98" t="s">
        <v>162</v>
      </c>
      <c r="B535" t="str">
        <f>+$B$460</f>
        <v>X10_11032_00494</v>
      </c>
      <c r="C535" t="str">
        <f>+$C$460</f>
        <v>LE_XXXX</v>
      </c>
      <c r="D535" t="s">
        <v>2886</v>
      </c>
      <c r="E535" t="s">
        <v>149</v>
      </c>
      <c r="F535" t="s">
        <v>150</v>
      </c>
      <c r="G535" t="s">
        <v>2889</v>
      </c>
      <c r="H535" t="s">
        <v>145</v>
      </c>
      <c r="I535" t="s">
        <v>146</v>
      </c>
      <c r="J535" t="s">
        <v>147</v>
      </c>
      <c r="K535" t="str">
        <f>+"FY"&amp;RIGHT(YEAR('Hyperion Panel'!$B$9)+2,2)</f>
        <v>FY12</v>
      </c>
      <c r="L535" s="1612"/>
      <c r="M535" s="1612"/>
      <c r="N535" s="1612"/>
      <c r="O535" s="1612"/>
      <c r="P535" s="1612"/>
      <c r="Q535" s="1612"/>
      <c r="R535" s="1612"/>
      <c r="S535" s="1612"/>
      <c r="T535" s="1612"/>
      <c r="U535" s="1612"/>
      <c r="V535" s="1703"/>
      <c r="W535" s="1612"/>
    </row>
    <row r="536" spans="1:26" s="98" customFormat="1">
      <c r="A536" s="100" t="s">
        <v>463</v>
      </c>
      <c r="L536" s="1697">
        <f>+IF(COLUMNS($L536:L536)&lt;month,VLOOKUP("Month "&amp;(COLUMNS($L536:L536)-month+13),X_baseline_Tx,16,FALSE)*52*3/12*(1-homemiss),VLOOKUP("Month "&amp;(COLUMNS($L536:L536)-month+1),X_baseline_Tx,18,FALSE)*52*3/12*(1-homemiss))</f>
        <v>172.9</v>
      </c>
      <c r="M536" s="1697">
        <f>+IF(COLUMNS($L536:M536)&lt;month,VLOOKUP("Month "&amp;(COLUMNS($L536:M536)-month+13),X_baseline_Tx,16,FALSE)*52*3/12*(1-homemiss),VLOOKUP("Month "&amp;(COLUMNS($L536:M536)-month+1),X_baseline_Tx,18,FALSE)*52*3/12*(1-homemiss))</f>
        <v>172.9</v>
      </c>
      <c r="N536" s="1697">
        <f>+IF(COLUMNS($L536:N536)&lt;month,VLOOKUP("Month "&amp;(COLUMNS($L536:N536)-month+13),X_baseline_Tx,16,FALSE)*52*3/12*(1-homemiss),VLOOKUP("Month "&amp;(COLUMNS($L536:N536)-month+1),X_baseline_Tx,18,FALSE)*52*3/12*(1-homemiss))</f>
        <v>172.9</v>
      </c>
      <c r="O536" s="1697">
        <f>+IF(COLUMNS($L536:O536)&lt;month,VLOOKUP("Month "&amp;(COLUMNS($L536:O536)-month+13),X_baseline_Tx,16,FALSE)*52*3/12*(1-homemiss),VLOOKUP("Month "&amp;(COLUMNS($L536:O536)-month+1),X_baseline_Tx,18,FALSE)*52*3/12*(1-homemiss))</f>
        <v>172.9</v>
      </c>
      <c r="P536" s="1697">
        <f>+IF(COLUMNS($L536:P536)&lt;month,VLOOKUP("Month "&amp;(COLUMNS($L536:P536)-month+13),X_baseline_Tx,16,FALSE)*52*3/12*(1-homemiss),VLOOKUP("Month "&amp;(COLUMNS($L536:P536)-month+1),X_baseline_Tx,18,FALSE)*52*3/12*(1-homemiss))</f>
        <v>172.9</v>
      </c>
      <c r="Q536" s="1697">
        <f>+IF(COLUMNS($L536:Q536)&lt;month,VLOOKUP("Month "&amp;(COLUMNS($L536:Q536)-month+13),X_baseline_Tx,16,FALSE)*52*3/12*(1-homemiss),VLOOKUP("Month "&amp;(COLUMNS($L536:Q536)-month+1),X_baseline_Tx,18,FALSE)*52*3/12*(1-homemiss))</f>
        <v>172.9</v>
      </c>
      <c r="R536" s="1697">
        <f>+IF(COLUMNS($L536:R536)&lt;month,VLOOKUP("Month "&amp;(COLUMNS($L536:R536)-month+13),X_baseline_Tx,16,FALSE)*52*3/12*(1-homemiss),VLOOKUP("Month "&amp;(COLUMNS($L536:R536)-month+1),X_baseline_Tx,18,FALSE)*52*3/12*(1-homemiss))</f>
        <v>172.9</v>
      </c>
      <c r="S536" s="1697">
        <f>+IF(COLUMNS($L536:S536)&lt;month,VLOOKUP("Month "&amp;(COLUMNS($L536:S536)-month+13),X_baseline_Tx,16,FALSE)*52*3/12*(1-homemiss),VLOOKUP("Month "&amp;(COLUMNS($L536:S536)-month+1),X_baseline_Tx,18,FALSE)*52*3/12*(1-homemiss))</f>
        <v>172.9</v>
      </c>
      <c r="T536" s="1697">
        <f>+IF(COLUMNS($L536:T536)&lt;month,VLOOKUP("Month "&amp;(COLUMNS($L536:T536)-month+13),X_baseline_Tx,16,FALSE)*52*3/12*(1-homemiss),VLOOKUP("Month "&amp;(COLUMNS($L536:T536)-month+1),X_baseline_Tx,18,FALSE)*52*3/12*(1-homemiss))</f>
        <v>172.9</v>
      </c>
      <c r="U536" s="1697">
        <f>+IF(COLUMNS($L536:U536)&lt;month,VLOOKUP("Month "&amp;(COLUMNS($L536:U536)-month+13),X_baseline_Tx,16,FALSE)*52*3/12*(1-homemiss),VLOOKUP("Month "&amp;(COLUMNS($L536:U536)-month+1),X_baseline_Tx,18,FALSE)*52*3/12*(1-homemiss))</f>
        <v>172.9</v>
      </c>
      <c r="V536" s="1697">
        <f>+IF(COLUMNS($L536:V536)&lt;month,VLOOKUP("Month "&amp;(COLUMNS($L536:V536)-month+13),X_baseline_Tx,16,FALSE)*52*3/12*(1-homemiss),VLOOKUP("Month "&amp;(COLUMNS($L536:V536)-month+1),X_baseline_Tx,18,FALSE)*52*3/12*(1-homemiss))</f>
        <v>172.9</v>
      </c>
      <c r="W536" s="1697">
        <f>+IF(COLUMNS($L536:W536)&lt;month,VLOOKUP("Month "&amp;(COLUMNS($L536:W536)-month+13),X_baseline_Tx,16,FALSE)*52*3/12*(1-homemiss),VLOOKUP("Month "&amp;(COLUMNS($L536:W536)-month+1),X_baseline_Tx,18,FALSE)*52*3/12*(1-homemiss))</f>
        <v>172.9</v>
      </c>
      <c r="Y536" s="99"/>
    </row>
    <row r="537" spans="1:26" s="98" customFormat="1">
      <c r="A537" s="100" t="s">
        <v>464</v>
      </c>
      <c r="L537" s="1697">
        <f>+IF(COLUMNS($L537:L537)&lt;month,VLOOKUP("Month "&amp;(COLUMNS($L537:L537)-month+13),X_baseline_Tx,17,FALSE)*52*3/12*(1-homemiss),VLOOKUP("Month "&amp;(COLUMNS($L537:L537)-month+1),X_baseline_Tx,19,FALSE)*52*3/12*(1-homemiss))</f>
        <v>74.099999999999994</v>
      </c>
      <c r="M537" s="1697">
        <f>+IF(COLUMNS($L537:M537)&lt;month,VLOOKUP("Month "&amp;(COLUMNS($L537:M537)-month+13),X_baseline_Tx,17,FALSE)*52*3/12*(1-homemiss),VLOOKUP("Month "&amp;(COLUMNS($L537:M537)-month+1),X_baseline_Tx,19,FALSE)*52*3/12*(1-homemiss))</f>
        <v>74.099999999999994</v>
      </c>
      <c r="N537" s="1697">
        <f>+IF(COLUMNS($L537:N537)&lt;month,VLOOKUP("Month "&amp;(COLUMNS($L537:N537)-month+13),X_baseline_Tx,17,FALSE)*52*3/12*(1-homemiss),VLOOKUP("Month "&amp;(COLUMNS($L537:N537)-month+1),X_baseline_Tx,19,FALSE)*52*3/12*(1-homemiss))</f>
        <v>74.099999999999994</v>
      </c>
      <c r="O537" s="1697">
        <f>+IF(COLUMNS($L537:O537)&lt;month,VLOOKUP("Month "&amp;(COLUMNS($L537:O537)-month+13),X_baseline_Tx,17,FALSE)*52*3/12*(1-homemiss),VLOOKUP("Month "&amp;(COLUMNS($L537:O537)-month+1),X_baseline_Tx,19,FALSE)*52*3/12*(1-homemiss))</f>
        <v>74.099999999999994</v>
      </c>
      <c r="P537" s="1697">
        <f>+IF(COLUMNS($L537:P537)&lt;month,VLOOKUP("Month "&amp;(COLUMNS($L537:P537)-month+13),X_baseline_Tx,17,FALSE)*52*3/12*(1-homemiss),VLOOKUP("Month "&amp;(COLUMNS($L537:P537)-month+1),X_baseline_Tx,19,FALSE)*52*3/12*(1-homemiss))</f>
        <v>74.099999999999994</v>
      </c>
      <c r="Q537" s="1697">
        <f>+IF(COLUMNS($L537:Q537)&lt;month,VLOOKUP("Month "&amp;(COLUMNS($L537:Q537)-month+13),X_baseline_Tx,17,FALSE)*52*3/12*(1-homemiss),VLOOKUP("Month "&amp;(COLUMNS($L537:Q537)-month+1),X_baseline_Tx,19,FALSE)*52*3/12*(1-homemiss))</f>
        <v>74.099999999999994</v>
      </c>
      <c r="R537" s="1697">
        <f>+IF(COLUMNS($L537:R537)&lt;month,VLOOKUP("Month "&amp;(COLUMNS($L537:R537)-month+13),X_baseline_Tx,17,FALSE)*52*3/12*(1-homemiss),VLOOKUP("Month "&amp;(COLUMNS($L537:R537)-month+1),X_baseline_Tx,19,FALSE)*52*3/12*(1-homemiss))</f>
        <v>74.099999999999994</v>
      </c>
      <c r="S537" s="1697">
        <f>+IF(COLUMNS($L537:S537)&lt;month,VLOOKUP("Month "&amp;(COLUMNS($L537:S537)-month+13),X_baseline_Tx,17,FALSE)*52*3/12*(1-homemiss),VLOOKUP("Month "&amp;(COLUMNS($L537:S537)-month+1),X_baseline_Tx,19,FALSE)*52*3/12*(1-homemiss))</f>
        <v>74.099999999999994</v>
      </c>
      <c r="T537" s="1697">
        <f>+IF(COLUMNS($L537:T537)&lt;month,VLOOKUP("Month "&amp;(COLUMNS($L537:T537)-month+13),X_baseline_Tx,17,FALSE)*52*3/12*(1-homemiss),VLOOKUP("Month "&amp;(COLUMNS($L537:T537)-month+1),X_baseline_Tx,19,FALSE)*52*3/12*(1-homemiss))</f>
        <v>74.099999999999994</v>
      </c>
      <c r="U537" s="1697">
        <f>+IF(COLUMNS($L537:U537)&lt;month,VLOOKUP("Month "&amp;(COLUMNS($L537:U537)-month+13),X_baseline_Tx,17,FALSE)*52*3/12*(1-homemiss),VLOOKUP("Month "&amp;(COLUMNS($L537:U537)-month+1),X_baseline_Tx,19,FALSE)*52*3/12*(1-homemiss))</f>
        <v>74.099999999999994</v>
      </c>
      <c r="V537" s="1697">
        <f>+IF(COLUMNS($L537:V537)&lt;month,VLOOKUP("Month "&amp;(COLUMNS($L537:V537)-month+13),X_baseline_Tx,17,FALSE)*52*3/12*(1-homemiss),VLOOKUP("Month "&amp;(COLUMNS($L537:V537)-month+1),X_baseline_Tx,19,FALSE)*52*3/12*(1-homemiss))</f>
        <v>74.099999999999994</v>
      </c>
      <c r="W537" s="1697">
        <f>+IF(COLUMNS($L537:W537)&lt;month,VLOOKUP("Month "&amp;(COLUMNS($L537:W537)-month+13),X_baseline_Tx,17,FALSE)*52*3/12*(1-homemiss),VLOOKUP("Month "&amp;(COLUMNS($L537:W537)-month+1),X_baseline_Tx,19,FALSE)*52*3/12*(1-homemiss))</f>
        <v>74.099999999999994</v>
      </c>
      <c r="Y537" s="99"/>
    </row>
    <row r="538" spans="1:26">
      <c r="A538" s="4" t="s">
        <v>3767</v>
      </c>
      <c r="B538" s="4" t="str">
        <f>+$B$460</f>
        <v>X10_11032_00494</v>
      </c>
      <c r="C538" s="4"/>
      <c r="D538" s="4"/>
      <c r="E538" s="4"/>
      <c r="F538" s="4"/>
      <c r="G538" s="4"/>
      <c r="H538" s="4"/>
      <c r="I538" s="4"/>
      <c r="J538" s="4"/>
      <c r="K538" s="4" t="str">
        <f>+"FY"&amp;RIGHT(YEAR('Hyperion Panel'!$B$9)+2,2)</f>
        <v>FY12</v>
      </c>
      <c r="L538" s="1698"/>
      <c r="M538" s="1698"/>
      <c r="N538" s="1698"/>
      <c r="O538" s="1698"/>
      <c r="P538" s="1698"/>
      <c r="Q538" s="1698"/>
      <c r="R538" s="1698"/>
      <c r="S538" s="1698"/>
      <c r="T538" s="1698"/>
      <c r="U538" s="1698"/>
      <c r="V538" s="1699"/>
      <c r="W538" s="1698"/>
      <c r="Y538" s="99"/>
    </row>
    <row r="539" spans="1:26">
      <c r="A539" s="101" t="s">
        <v>463</v>
      </c>
      <c r="B539" s="4"/>
      <c r="C539" s="4"/>
      <c r="D539" s="4"/>
      <c r="E539" s="4"/>
      <c r="F539" s="4"/>
      <c r="G539" s="4"/>
      <c r="H539" s="4"/>
      <c r="I539" s="4"/>
      <c r="J539" s="4"/>
      <c r="K539" s="4"/>
      <c r="L539" s="1698">
        <f>+IF(COLUMNS($L539:L539)&lt;month,VLOOKUP("Month "&amp;(COLUMNS($L539:L539)-month+13),X_baseline_Tx,27,FALSE)*52*3/12*(1-hhdmiss),VLOOKUP("Month "&amp;(COLUMNS($L539:L539)-month+1),X_baseline_Tx,29,FALSE)*52*3/12*(1-hhdmiss))</f>
        <v>65</v>
      </c>
      <c r="M539" s="1698">
        <f>+IF(COLUMNS($L539:M539)&lt;month,VLOOKUP("Month "&amp;(COLUMNS($L539:M539)-month+13),X_baseline_Tx,27,FALSE)*52*3/12*(1-hhdmiss),VLOOKUP("Month "&amp;(COLUMNS($L539:M539)-month+1),X_baseline_Tx,29,FALSE)*52*3/12*(1-hhdmiss))</f>
        <v>65</v>
      </c>
      <c r="N539" s="1698">
        <f>+IF(COLUMNS($L539:N539)&lt;month,VLOOKUP("Month "&amp;(COLUMNS($L539:N539)-month+13),X_baseline_Tx,27,FALSE)*52*3/12*(1-hhdmiss),VLOOKUP("Month "&amp;(COLUMNS($L539:N539)-month+1),X_baseline_Tx,29,FALSE)*52*3/12*(1-hhdmiss))</f>
        <v>65</v>
      </c>
      <c r="O539" s="1698">
        <f>+IF(COLUMNS($L539:O539)&lt;month,VLOOKUP("Month "&amp;(COLUMNS($L539:O539)-month+13),X_baseline_Tx,27,FALSE)*52*3/12*(1-hhdmiss),VLOOKUP("Month "&amp;(COLUMNS($L539:O539)-month+1),X_baseline_Tx,29,FALSE)*52*3/12*(1-hhdmiss))</f>
        <v>65</v>
      </c>
      <c r="P539" s="1698">
        <f>+IF(COLUMNS($L539:P539)&lt;month,VLOOKUP("Month "&amp;(COLUMNS($L539:P539)-month+13),X_baseline_Tx,27,FALSE)*52*3/12*(1-hhdmiss),VLOOKUP("Month "&amp;(COLUMNS($L539:P539)-month+1),X_baseline_Tx,29,FALSE)*52*3/12*(1-hhdmiss))</f>
        <v>65</v>
      </c>
      <c r="Q539" s="1698">
        <f>+IF(COLUMNS($L539:Q539)&lt;month,VLOOKUP("Month "&amp;(COLUMNS($L539:Q539)-month+13),X_baseline_Tx,27,FALSE)*52*3/12*(1-hhdmiss),VLOOKUP("Month "&amp;(COLUMNS($L539:Q539)-month+1),X_baseline_Tx,29,FALSE)*52*3/12*(1-hhdmiss))</f>
        <v>65</v>
      </c>
      <c r="R539" s="1698">
        <f>+IF(COLUMNS($L539:R539)&lt;month,VLOOKUP("Month "&amp;(COLUMNS($L539:R539)-month+13),X_baseline_Tx,27,FALSE)*52*3/12*(1-hhdmiss),VLOOKUP("Month "&amp;(COLUMNS($L539:R539)-month+1),X_baseline_Tx,29,FALSE)*52*3/12*(1-hhdmiss))</f>
        <v>65</v>
      </c>
      <c r="S539" s="1698">
        <f>+IF(COLUMNS($L539:S539)&lt;month,VLOOKUP("Month "&amp;(COLUMNS($L539:S539)-month+13),X_baseline_Tx,27,FALSE)*52*3/12*(1-hhdmiss),VLOOKUP("Month "&amp;(COLUMNS($L539:S539)-month+1),X_baseline_Tx,29,FALSE)*52*3/12*(1-hhdmiss))</f>
        <v>65</v>
      </c>
      <c r="T539" s="1698">
        <f>+IF(COLUMNS($L539:T539)&lt;month,VLOOKUP("Month "&amp;(COLUMNS($L539:T539)-month+13),X_baseline_Tx,27,FALSE)*52*3/12*(1-hhdmiss),VLOOKUP("Month "&amp;(COLUMNS($L539:T539)-month+1),X_baseline_Tx,29,FALSE)*52*3/12*(1-hhdmiss))</f>
        <v>65</v>
      </c>
      <c r="U539" s="1698">
        <f>+IF(COLUMNS($L539:U539)&lt;month,VLOOKUP("Month "&amp;(COLUMNS($L539:U539)-month+13),X_baseline_Tx,27,FALSE)*52*3/12*(1-hhdmiss),VLOOKUP("Month "&amp;(COLUMNS($L539:U539)-month+1),X_baseline_Tx,29,FALSE)*52*3/12*(1-hhdmiss))</f>
        <v>65</v>
      </c>
      <c r="V539" s="1699">
        <f>+IF(COLUMNS($L539:V539)&lt;month,VLOOKUP("Month "&amp;(COLUMNS($L539:V539)-month+13),X_baseline_Tx,27,FALSE)*52*3/12*(1-hhdmiss),VLOOKUP("Month "&amp;(COLUMNS($L539:V539)-month+1),X_baseline_Tx,29,FALSE)*52*3/12*(1-hhdmiss))</f>
        <v>65</v>
      </c>
      <c r="W539" s="1698">
        <f>+IF(COLUMNS($L539:W539)&lt;month,VLOOKUP("Month "&amp;(COLUMNS($L539:W539)-month+13),X_baseline_Tx,27,FALSE)*52*3/12*(1-hhdmiss),VLOOKUP("Month "&amp;(COLUMNS($L539:W539)-month+1),X_baseline_Tx,29,FALSE)*52*3/12*(1-hhdmiss))</f>
        <v>65</v>
      </c>
      <c r="Y539" s="99"/>
    </row>
    <row r="540" spans="1:26">
      <c r="A540" s="101" t="s">
        <v>464</v>
      </c>
      <c r="B540" s="4"/>
      <c r="C540" s="4"/>
      <c r="D540" s="4"/>
      <c r="E540" s="4"/>
      <c r="F540" s="4"/>
      <c r="G540" s="4"/>
      <c r="H540" s="4"/>
      <c r="I540" s="4"/>
      <c r="J540" s="4"/>
      <c r="K540" s="4"/>
      <c r="L540" s="1698">
        <f>+IF(COLUMNS($L538:L538)&lt;month,VLOOKUP("Month "&amp;(COLUMNS($L538:L538)-month+13),X_baseline_Tx,28,FALSE)*52*4.3/12*(1-hhdmiss),VLOOKUP("Month "&amp;(COLUMNS($L538:L538)-month+1),X_baseline_Tx,30,FALSE)*52*4.3/12*(1-hhdmiss))</f>
        <v>0</v>
      </c>
      <c r="M540" s="1698">
        <f>+IF(COLUMNS($L538:M538)&lt;month,VLOOKUP("Month "&amp;(COLUMNS($L538:M538)-month+13),X_baseline_Tx,28,FALSE)*52*4.3/12*(1-hhdmiss),VLOOKUP("Month "&amp;(COLUMNS($L538:M538)-month+1),X_baseline_Tx,30,FALSE)*52*4.3/12*(1-hhdmiss))</f>
        <v>0</v>
      </c>
      <c r="N540" s="1698">
        <f>+IF(COLUMNS($L538:N538)&lt;month,VLOOKUP("Month "&amp;(COLUMNS($L538:N538)-month+13),X_baseline_Tx,28,FALSE)*52*4.3/12*(1-hhdmiss),VLOOKUP("Month "&amp;(COLUMNS($L538:N538)-month+1),X_baseline_Tx,30,FALSE)*52*4.3/12*(1-hhdmiss))</f>
        <v>0</v>
      </c>
      <c r="O540" s="1698">
        <f>+IF(COLUMNS($L538:O538)&lt;month,VLOOKUP("Month "&amp;(COLUMNS($L538:O538)-month+13),X_baseline_Tx,28,FALSE)*52*4.3/12*(1-hhdmiss),VLOOKUP("Month "&amp;(COLUMNS($L538:O538)-month+1),X_baseline_Tx,30,FALSE)*52*4.3/12*(1-hhdmiss))</f>
        <v>0</v>
      </c>
      <c r="P540" s="1698">
        <f>+IF(COLUMNS($L538:P538)&lt;month,VLOOKUP("Month "&amp;(COLUMNS($L538:P538)-month+13),X_baseline_Tx,28,FALSE)*52*4.3/12*(1-hhdmiss),VLOOKUP("Month "&amp;(COLUMNS($L538:P538)-month+1),X_baseline_Tx,30,FALSE)*52*4.3/12*(1-hhdmiss))</f>
        <v>0</v>
      </c>
      <c r="Q540" s="1698">
        <f>+IF(COLUMNS($L538:Q538)&lt;month,VLOOKUP("Month "&amp;(COLUMNS($L538:Q538)-month+13),X_baseline_Tx,28,FALSE)*52*4.3/12*(1-hhdmiss),VLOOKUP("Month "&amp;(COLUMNS($L538:Q538)-month+1),X_baseline_Tx,30,FALSE)*52*4.3/12*(1-hhdmiss))</f>
        <v>0</v>
      </c>
      <c r="R540" s="1698">
        <f>+IF(COLUMNS($L538:R538)&lt;month,VLOOKUP("Month "&amp;(COLUMNS($L538:R538)-month+13),X_baseline_Tx,28,FALSE)*52*4.3/12*(1-hhdmiss),VLOOKUP("Month "&amp;(COLUMNS($L538:R538)-month+1),X_baseline_Tx,30,FALSE)*52*4.3/12*(1-hhdmiss))</f>
        <v>0</v>
      </c>
      <c r="S540" s="1698">
        <f>+IF(COLUMNS($L538:S538)&lt;month,VLOOKUP("Month "&amp;(COLUMNS($L538:S538)-month+13),X_baseline_Tx,28,FALSE)*52*4.3/12*(1-hhdmiss),VLOOKUP("Month "&amp;(COLUMNS($L538:S538)-month+1),X_baseline_Tx,30,FALSE)*52*4.3/12*(1-hhdmiss))</f>
        <v>0</v>
      </c>
      <c r="T540" s="1698">
        <f>+IF(COLUMNS($L538:T538)&lt;month,VLOOKUP("Month "&amp;(COLUMNS($L538:T538)-month+13),X_baseline_Tx,28,FALSE)*52*4.3/12*(1-hhdmiss),VLOOKUP("Month "&amp;(COLUMNS($L538:T538)-month+1),X_baseline_Tx,30,FALSE)*52*4.3/12*(1-hhdmiss))</f>
        <v>0</v>
      </c>
      <c r="U540" s="1698">
        <f>+IF(COLUMNS($L538:U538)&lt;month,VLOOKUP("Month "&amp;(COLUMNS($L538:U538)-month+13),X_baseline_Tx,28,FALSE)*52*4.3/12*(1-hhdmiss),VLOOKUP("Month "&amp;(COLUMNS($L538:U538)-month+1),X_baseline_Tx,30,FALSE)*52*4.3/12*(1-hhdmiss))</f>
        <v>0</v>
      </c>
      <c r="V540" s="1698">
        <f>+IF(COLUMNS($L538:V538)&lt;month,VLOOKUP("Month "&amp;(COLUMNS($L538:V538)-month+13),X_baseline_Tx,28,FALSE)*52*4.3/12*(1-hhdmiss),VLOOKUP("Month "&amp;(COLUMNS($L538:V538)-month+1),X_baseline_Tx,30,FALSE)*52*4.3/12*(1-hhdmiss))</f>
        <v>0</v>
      </c>
      <c r="W540" s="1698">
        <f>+IF(COLUMNS($L538:W538)&lt;month,VLOOKUP("Month "&amp;(COLUMNS($L538:W538)-month+13),X_baseline_Tx,28,FALSE)*52*4.3/12*(1-hhdmiss),VLOOKUP("Month "&amp;(COLUMNS($L538:W538)-month+1),X_baseline_Tx,30,FALSE)*52*4.3/12*(1-hhdmiss))</f>
        <v>0</v>
      </c>
      <c r="Y540" s="99"/>
    </row>
    <row r="541" spans="1:26">
      <c r="A541" s="98" t="s">
        <v>163</v>
      </c>
      <c r="B541" t="str">
        <f>+$B$460</f>
        <v>X10_11032_00494</v>
      </c>
      <c r="C541" t="str">
        <f>+$C$460</f>
        <v>LE_XXXX</v>
      </c>
      <c r="D541" t="s">
        <v>2886</v>
      </c>
      <c r="E541">
        <v>3010</v>
      </c>
      <c r="F541" t="s">
        <v>2888</v>
      </c>
      <c r="G541" t="s">
        <v>2889</v>
      </c>
      <c r="H541" t="s">
        <v>145</v>
      </c>
      <c r="I541" t="s">
        <v>146</v>
      </c>
      <c r="J541" t="s">
        <v>147</v>
      </c>
      <c r="K541" t="str">
        <f>+"FY"&amp;RIGHT(YEAR('Hyperion Panel'!$B$9)+2,2)</f>
        <v>FY12</v>
      </c>
      <c r="L541" s="1612"/>
      <c r="M541" s="1612"/>
      <c r="N541" s="1612"/>
      <c r="O541" s="1612"/>
      <c r="P541" s="1612"/>
      <c r="Q541" s="1612"/>
      <c r="R541" s="1612"/>
      <c r="S541" s="1612"/>
      <c r="T541" s="1612"/>
      <c r="U541" s="1612"/>
      <c r="V541" s="1702"/>
      <c r="W541" s="1612"/>
    </row>
    <row r="542" spans="1:26" s="98" customFormat="1">
      <c r="A542" s="100" t="s">
        <v>463</v>
      </c>
      <c r="L542" s="1697">
        <f>+IF(COLUMNS($L542:L542)&lt;month,'6. Market'!$K$15*L533,'6. Market'!$L$15*L533)</f>
        <v>148268.1823254333</v>
      </c>
      <c r="M542" s="1697">
        <f>+IF(COLUMNS($L542:M542)&lt;month,'6. Market'!$K$15*M533,'6. Market'!$L$15*M533)</f>
        <v>148268.1823254333</v>
      </c>
      <c r="N542" s="1697">
        <f>+IF(COLUMNS($L542:N542)&lt;month,'6. Market'!$K$15*N533,'6. Market'!$L$15*N533)</f>
        <v>148268.1823254333</v>
      </c>
      <c r="O542" s="1697">
        <f>+IF(COLUMNS($L542:O542)&lt;month,'6. Market'!$K$15*O533,'6. Market'!$L$15*O533)</f>
        <v>148268.1823254333</v>
      </c>
      <c r="P542" s="1697">
        <f>+IF(COLUMNS($L542:P542)&lt;month,'6. Market'!$K$15*P533,'6. Market'!$L$15*P533)</f>
        <v>148268.1823254333</v>
      </c>
      <c r="Q542" s="1697">
        <f>+IF(COLUMNS($L542:Q542)&lt;month,'6. Market'!$K$15*Q533,'6. Market'!$L$15*Q533)</f>
        <v>148268.1823254333</v>
      </c>
      <c r="R542" s="1697">
        <f>+IF(COLUMNS($L542:R542)&lt;month,'6. Market'!$K$15*R533,'6. Market'!$L$15*R533)</f>
        <v>148268.1823254333</v>
      </c>
      <c r="S542" s="1697">
        <f>+IF(COLUMNS($L542:S542)&lt;month,'6. Market'!$K$15*S533,'6. Market'!$L$15*S533)</f>
        <v>148268.1823254333</v>
      </c>
      <c r="T542" s="1697">
        <f>+IF(COLUMNS($L542:T542)&lt;month,'6. Market'!$K$15*T533,'6. Market'!$L$15*T533)</f>
        <v>148268.1823254333</v>
      </c>
      <c r="U542" s="1697">
        <f>+IF(COLUMNS($L542:U542)&lt;month,'6. Market'!$K$15*U533,'6. Market'!$L$15*U533)</f>
        <v>148268.1823254333</v>
      </c>
      <c r="V542" s="1700">
        <f>+IF(COLUMNS($L542:V542)&lt;month,'6. Market'!$K$15*V533,'6. Market'!$L$15*V533)</f>
        <v>148268.1823254333</v>
      </c>
      <c r="W542" s="1697">
        <f>+IF(COLUMNS($L542:W542)&lt;month,'6. Market'!$K$15*W533,'6. Market'!$L$15*W533)</f>
        <v>148268.1823254333</v>
      </c>
      <c r="Y542" s="99"/>
      <c r="Z542" s="97"/>
    </row>
    <row r="543" spans="1:26" s="98" customFormat="1">
      <c r="A543" s="100" t="s">
        <v>464</v>
      </c>
      <c r="L543" s="1697">
        <f>+IF(COLUMNS($L543:L543)&lt;month,'6. Market'!$K$23*L534,'6. Market'!$L$23*L534)</f>
        <v>24873.350433106643</v>
      </c>
      <c r="M543" s="1697">
        <f>+IF(COLUMNS($L543:M543)&lt;month,'6. Market'!$K$23*M534,'6. Market'!$L$23*M534)</f>
        <v>24873.350433106643</v>
      </c>
      <c r="N543" s="1697">
        <f>+IF(COLUMNS($L543:N543)&lt;month,'6. Market'!$K$23*N534,'6. Market'!$L$23*N534)</f>
        <v>24873.350433106643</v>
      </c>
      <c r="O543" s="1697">
        <f>+IF(COLUMNS($L543:O543)&lt;month,'6. Market'!$K$23*O534,'6. Market'!$L$23*O534)</f>
        <v>24873.350433106643</v>
      </c>
      <c r="P543" s="1697">
        <f>+IF(COLUMNS($L543:P543)&lt;month,'6. Market'!$K$23*P534,'6. Market'!$L$23*P534)</f>
        <v>24873.350433106643</v>
      </c>
      <c r="Q543" s="1697">
        <f>+IF(COLUMNS($L543:Q543)&lt;month,'6. Market'!$K$23*Q534,'6. Market'!$L$23*Q534)</f>
        <v>24873.350433106643</v>
      </c>
      <c r="R543" s="1697">
        <f>+IF(COLUMNS($L543:R543)&lt;month,'6. Market'!$K$23*R534,'6. Market'!$L$23*R534)</f>
        <v>24873.350433106643</v>
      </c>
      <c r="S543" s="1697">
        <f>+IF(COLUMNS($L543:S543)&lt;month,'6. Market'!$K$23*S534,'6. Market'!$L$23*S534)</f>
        <v>24873.350433106643</v>
      </c>
      <c r="T543" s="1697">
        <f>+IF(COLUMNS($L543:T543)&lt;month,'6. Market'!$K$23*T534,'6. Market'!$L$23*T534)</f>
        <v>24873.350433106643</v>
      </c>
      <c r="U543" s="1697">
        <f>+IF(COLUMNS($L543:U543)&lt;month,'6. Market'!$K$23*U534,'6. Market'!$L$23*U534)</f>
        <v>24873.350433106643</v>
      </c>
      <c r="V543" s="1700">
        <f>+IF(COLUMNS($L543:V543)&lt;month,'6. Market'!$K$23*V534,'6. Market'!$L$23*V534)</f>
        <v>25445.437493068097</v>
      </c>
      <c r="W543" s="1697">
        <f>+IF(COLUMNS($L543:W543)&lt;month,'6. Market'!$K$23*W534,'6. Market'!$L$23*W534)</f>
        <v>25445.437493068097</v>
      </c>
      <c r="Y543" s="99"/>
      <c r="Z543" s="97"/>
    </row>
    <row r="544" spans="1:26">
      <c r="A544" s="98" t="s">
        <v>164</v>
      </c>
      <c r="B544" t="str">
        <f>+$B$460</f>
        <v>X10_11032_00494</v>
      </c>
      <c r="C544" t="str">
        <f>+$C$460</f>
        <v>LE_XXXX</v>
      </c>
      <c r="D544" t="s">
        <v>2886</v>
      </c>
      <c r="E544">
        <v>3030</v>
      </c>
      <c r="F544" t="s">
        <v>150</v>
      </c>
      <c r="G544" t="s">
        <v>2889</v>
      </c>
      <c r="H544" t="s">
        <v>145</v>
      </c>
      <c r="I544" t="s">
        <v>146</v>
      </c>
      <c r="J544" t="s">
        <v>147</v>
      </c>
      <c r="K544" t="str">
        <f>+"FY"&amp;RIGHT(YEAR('Hyperion Panel'!$B$9)+2,2)</f>
        <v>FY12</v>
      </c>
      <c r="L544" s="1612"/>
      <c r="M544" s="1612"/>
      <c r="N544" s="1612"/>
      <c r="O544" s="1612"/>
      <c r="P544" s="1612"/>
      <c r="Q544" s="1612"/>
      <c r="R544" s="1612"/>
      <c r="S544" s="1612"/>
      <c r="T544" s="1612"/>
      <c r="U544" s="1612"/>
      <c r="V544" s="1703"/>
      <c r="W544" s="1612"/>
    </row>
    <row r="545" spans="1:25" s="98" customFormat="1">
      <c r="A545" s="100" t="s">
        <v>463</v>
      </c>
      <c r="L545" s="1697">
        <f>+IF(COLUMNS($L545:L545)&lt;month,'6. Market'!$K$32*L536,'6. Market'!$L$32*L536)</f>
        <v>43489.791911071581</v>
      </c>
      <c r="M545" s="1697">
        <f>+IF(COLUMNS($L545:M545)&lt;month,'6. Market'!$K$32*M536,'6. Market'!$L$32*M536)</f>
        <v>43489.791911071581</v>
      </c>
      <c r="N545" s="1697">
        <f>+IF(COLUMNS($L545:N545)&lt;month,'6. Market'!$K$32*N536,'6. Market'!$L$32*N536)</f>
        <v>43489.791911071581</v>
      </c>
      <c r="O545" s="1697">
        <f>+IF(COLUMNS($L545:O545)&lt;month,'6. Market'!$K$32*O536,'6. Market'!$L$32*O536)</f>
        <v>43489.791911071581</v>
      </c>
      <c r="P545" s="1697">
        <f>+IF(COLUMNS($L545:P545)&lt;month,'6. Market'!$K$32*P536,'6. Market'!$L$32*P536)</f>
        <v>43489.791911071581</v>
      </c>
      <c r="Q545" s="1697">
        <f>+IF(COLUMNS($L545:Q545)&lt;month,'6. Market'!$K$32*Q536,'6. Market'!$L$32*Q536)</f>
        <v>43489.791911071581</v>
      </c>
      <c r="R545" s="1697">
        <f>+IF(COLUMNS($L545:R545)&lt;month,'6. Market'!$K$32*R536,'6. Market'!$L$32*R536)</f>
        <v>43489.791911071581</v>
      </c>
      <c r="S545" s="1697">
        <f>+IF(COLUMNS($L545:S545)&lt;month,'6. Market'!$K$32*S536,'6. Market'!$L$32*S536)</f>
        <v>43489.791911071581</v>
      </c>
      <c r="T545" s="1697">
        <f>+IF(COLUMNS($L545:T545)&lt;month,'6. Market'!$K$32*T536,'6. Market'!$L$32*T536)</f>
        <v>43489.791911071581</v>
      </c>
      <c r="U545" s="1697">
        <f>+IF(COLUMNS($L545:U545)&lt;month,'6. Market'!$K$32*U536,'6. Market'!$L$32*U536)</f>
        <v>43489.791911071581</v>
      </c>
      <c r="V545" s="1697">
        <f>+IF(COLUMNS($L545:V545)&lt;month,'6. Market'!$K$32*V536,'6. Market'!$L$32*V536)</f>
        <v>43489.791911071581</v>
      </c>
      <c r="W545" s="1697">
        <f>+IF(COLUMNS($L545:W545)&lt;month,'6. Market'!$K$32*W536,'6. Market'!$L$32*W536)</f>
        <v>43489.791911071581</v>
      </c>
      <c r="Y545" s="99"/>
    </row>
    <row r="546" spans="1:25" s="98" customFormat="1">
      <c r="A546" s="100" t="s">
        <v>464</v>
      </c>
      <c r="L546" s="1697">
        <f>+IF(COLUMNS($L546:L546)&lt;month,'6. Market'!$K$40*L537,'6. Market'!$L$40*L537)</f>
        <v>77053.313841689058</v>
      </c>
      <c r="M546" s="1697">
        <f>+IF(COLUMNS($L546:M546)&lt;month,'6. Market'!$K$40*M537,'6. Market'!$L$40*M537)</f>
        <v>77053.313841689058</v>
      </c>
      <c r="N546" s="1697">
        <f>+IF(COLUMNS($L546:N546)&lt;month,'6. Market'!$K$40*N537,'6. Market'!$L$40*N537)</f>
        <v>77053.313841689058</v>
      </c>
      <c r="O546" s="1697">
        <f>+IF(COLUMNS($L546:O546)&lt;month,'6. Market'!$K$40*O537,'6. Market'!$L$40*O537)</f>
        <v>77053.313841689058</v>
      </c>
      <c r="P546" s="1697">
        <f>+IF(COLUMNS($L546:P546)&lt;month,'6. Market'!$K$40*P537,'6. Market'!$L$40*P537)</f>
        <v>77053.313841689058</v>
      </c>
      <c r="Q546" s="1697">
        <f>+IF(COLUMNS($L546:Q546)&lt;month,'6. Market'!$K$40*Q537,'6. Market'!$L$40*Q537)</f>
        <v>77053.313841689058</v>
      </c>
      <c r="R546" s="1697">
        <f>+IF(COLUMNS($L546:R546)&lt;month,'6. Market'!$K$40*R537,'6. Market'!$L$40*R537)</f>
        <v>77053.313841689058</v>
      </c>
      <c r="S546" s="1697">
        <f>+IF(COLUMNS($L546:S546)&lt;month,'6. Market'!$K$40*S537,'6. Market'!$L$40*S537)</f>
        <v>77053.313841689058</v>
      </c>
      <c r="T546" s="1697">
        <f>+IF(COLUMNS($L546:T546)&lt;month,'6. Market'!$K$40*T537,'6. Market'!$L$40*T537)</f>
        <v>77053.313841689058</v>
      </c>
      <c r="U546" s="1697">
        <f>+IF(COLUMNS($L546:U546)&lt;month,'6. Market'!$K$40*U537,'6. Market'!$L$40*U537)</f>
        <v>77053.313841689058</v>
      </c>
      <c r="V546" s="1697">
        <f>+IF(COLUMNS($L546:V546)&lt;month,'6. Market'!$K$40*V537,'6. Market'!$L$40*V537)</f>
        <v>78825.540060047919</v>
      </c>
      <c r="W546" s="1697">
        <f>+IF(COLUMNS($L546:W546)&lt;month,'6. Market'!$K$40*W537,'6. Market'!$L$40*W537)</f>
        <v>78825.540060047919</v>
      </c>
      <c r="Y546" s="99"/>
    </row>
    <row r="547" spans="1:25">
      <c r="A547" s="4" t="s">
        <v>3768</v>
      </c>
      <c r="B547" s="4" t="str">
        <f>+$B$460</f>
        <v>X10_11032_00494</v>
      </c>
      <c r="C547" s="4"/>
      <c r="D547" s="4"/>
      <c r="E547" s="4"/>
      <c r="F547" s="4"/>
      <c r="G547" s="4"/>
      <c r="H547" s="4"/>
      <c r="I547" s="4"/>
      <c r="J547" s="4"/>
      <c r="K547" s="4" t="str">
        <f>+"FY"&amp;RIGHT(YEAR('Hyperion Panel'!$B$9)+2,2)</f>
        <v>FY12</v>
      </c>
      <c r="L547" s="1698"/>
      <c r="M547" s="1698"/>
      <c r="N547" s="1698"/>
      <c r="O547" s="1698"/>
      <c r="P547" s="1698"/>
      <c r="Q547" s="1698"/>
      <c r="R547" s="1698"/>
      <c r="S547" s="1698"/>
      <c r="T547" s="1698"/>
      <c r="U547" s="1698"/>
      <c r="V547" s="1699"/>
      <c r="W547" s="1698"/>
    </row>
    <row r="548" spans="1:25">
      <c r="A548" s="101" t="s">
        <v>463</v>
      </c>
      <c r="B548" s="4"/>
      <c r="C548" s="4"/>
      <c r="D548" s="4"/>
      <c r="E548" s="4"/>
      <c r="F548" s="4"/>
      <c r="G548" s="4"/>
      <c r="H548" s="4"/>
      <c r="I548" s="4"/>
      <c r="J548" s="4"/>
      <c r="K548" s="4"/>
      <c r="L548" s="1698">
        <f>+IF(COLUMNS($L548:L548)&lt;month,'6. Market'!$K$49*L539,'6. Market'!$L$49*L539)</f>
        <v>16884.753665513832</v>
      </c>
      <c r="M548" s="1698">
        <f>+IF(COLUMNS($L548:M548)&lt;month,'6. Market'!$K$49*M539,'6. Market'!$L$49*M539)</f>
        <v>16884.753665513832</v>
      </c>
      <c r="N548" s="1698">
        <f>+IF(COLUMNS($L548:N548)&lt;month,'6. Market'!$K$49*N539,'6. Market'!$L$49*N539)</f>
        <v>16884.753665513832</v>
      </c>
      <c r="O548" s="1698">
        <f>+IF(COLUMNS($L548:O548)&lt;month,'6. Market'!$K$49*O539,'6. Market'!$L$49*O539)</f>
        <v>16884.753665513832</v>
      </c>
      <c r="P548" s="1698">
        <f>+IF(COLUMNS($L548:P548)&lt;month,'6. Market'!$K$49*P539,'6. Market'!$L$49*P539)</f>
        <v>16884.753665513832</v>
      </c>
      <c r="Q548" s="1698">
        <f>+IF(COLUMNS($L548:Q548)&lt;month,'6. Market'!$K$49*Q539,'6. Market'!$L$49*Q539)</f>
        <v>16884.753665513832</v>
      </c>
      <c r="R548" s="1698">
        <f>+IF(COLUMNS($L548:R548)&lt;month,'6. Market'!$K$49*R539,'6. Market'!$L$49*R539)</f>
        <v>16884.753665513832</v>
      </c>
      <c r="S548" s="1698">
        <f>+IF(COLUMNS($L548:S548)&lt;month,'6. Market'!$K$49*S539,'6. Market'!$L$49*S539)</f>
        <v>16884.753665513832</v>
      </c>
      <c r="T548" s="1698">
        <f>+IF(COLUMNS($L548:T548)&lt;month,'6. Market'!$K$49*T539,'6. Market'!$L$49*T539)</f>
        <v>16884.753665513832</v>
      </c>
      <c r="U548" s="1698">
        <f>+IF(COLUMNS($L548:U548)&lt;month,'6. Market'!$K$49*U539,'6. Market'!$L$49*U539)</f>
        <v>16884.753665513832</v>
      </c>
      <c r="V548" s="1699">
        <f>+IF(COLUMNS($L548:V548)&lt;month,'6. Market'!$K$49*V539,'6. Market'!$L$49*V539)</f>
        <v>16884.753665513832</v>
      </c>
      <c r="W548" s="1698">
        <f>+IF(COLUMNS($L548:W548)&lt;month,'6. Market'!$K$49*W539,'6. Market'!$L$49*W539)</f>
        <v>16884.753665513832</v>
      </c>
      <c r="Y548" s="99"/>
    </row>
    <row r="549" spans="1:25">
      <c r="A549" s="101" t="s">
        <v>464</v>
      </c>
      <c r="B549" s="4"/>
      <c r="C549" s="4"/>
      <c r="D549" s="4"/>
      <c r="E549" s="4"/>
      <c r="F549" s="4"/>
      <c r="G549" s="4"/>
      <c r="H549" s="4"/>
      <c r="I549" s="4"/>
      <c r="J549" s="4"/>
      <c r="K549" s="4"/>
      <c r="L549" s="1698">
        <f>+IF(COLUMNS($L549:L549)&lt;month,'6. Market'!$K$57*L540,'6. Market'!$L$57*L540)</f>
        <v>0</v>
      </c>
      <c r="M549" s="1698">
        <f>+IF(COLUMNS($L549:M549)&lt;month,'6. Market'!$K$57*M540,'6. Market'!$L$57*M540)</f>
        <v>0</v>
      </c>
      <c r="N549" s="1698">
        <f>+IF(COLUMNS($L549:N549)&lt;month,'6. Market'!$K$57*N540,'6. Market'!$L$57*N540)</f>
        <v>0</v>
      </c>
      <c r="O549" s="1698">
        <f>+IF(COLUMNS($L549:O549)&lt;month,'6. Market'!$K$57*O540,'6. Market'!$L$57*O540)</f>
        <v>0</v>
      </c>
      <c r="P549" s="1698">
        <f>+IF(COLUMNS($L549:P549)&lt;month,'6. Market'!$K$57*P540,'6. Market'!$L$57*P540)</f>
        <v>0</v>
      </c>
      <c r="Q549" s="1698">
        <f>+IF(COLUMNS($L549:Q549)&lt;month,'6. Market'!$K$57*Q540,'6. Market'!$L$57*Q540)</f>
        <v>0</v>
      </c>
      <c r="R549" s="1698">
        <f>+IF(COLUMNS($L549:R549)&lt;month,'6. Market'!$K$57*R540,'6. Market'!$L$57*R540)</f>
        <v>0</v>
      </c>
      <c r="S549" s="1698">
        <f>+IF(COLUMNS($L549:S549)&lt;month,'6. Market'!$K$57*S540,'6. Market'!$L$57*S540)</f>
        <v>0</v>
      </c>
      <c r="T549" s="1698">
        <f>+IF(COLUMNS($L549:T549)&lt;month,'6. Market'!$K$57*T540,'6. Market'!$L$57*T540)</f>
        <v>0</v>
      </c>
      <c r="U549" s="1698">
        <f>+IF(COLUMNS($L549:U549)&lt;month,'6. Market'!$K$57*U540,'6. Market'!$L$57*U540)</f>
        <v>0</v>
      </c>
      <c r="V549" s="1699">
        <f>+IF(COLUMNS($L549:V549)&lt;month,'6. Market'!$K$57*V540,'6. Market'!$L$57*V540)</f>
        <v>0</v>
      </c>
      <c r="W549" s="1698">
        <f>+IF(COLUMNS($L549:W549)&lt;month,'6. Market'!$K$57*W540,'6. Market'!$L$57*W540)</f>
        <v>0</v>
      </c>
      <c r="Y549" s="99"/>
    </row>
    <row r="550" spans="1:25">
      <c r="A550" s="3" t="s">
        <v>2651</v>
      </c>
      <c r="B550" t="str">
        <f t="shared" ref="B550:B566" si="28">+$B$460</f>
        <v>X10_11032_00494</v>
      </c>
      <c r="C550" t="str">
        <f t="shared" ref="C550:C559" si="29">+$C$460</f>
        <v>LE_XXXX</v>
      </c>
      <c r="D550" t="s">
        <v>2886</v>
      </c>
      <c r="E550">
        <v>6010</v>
      </c>
      <c r="F550" t="s">
        <v>2888</v>
      </c>
      <c r="G550" t="s">
        <v>153</v>
      </c>
      <c r="H550" t="s">
        <v>154</v>
      </c>
      <c r="I550" t="s">
        <v>146</v>
      </c>
      <c r="J550" t="s">
        <v>147</v>
      </c>
      <c r="K550" t="str">
        <f>+"FY"&amp;RIGHT(YEAR('Hyperion Panel'!$B$9)+2,2)</f>
        <v>FY12</v>
      </c>
      <c r="L550" s="1697">
        <f>+IF(COLUMNS($L550:L550)&lt;month,'6. Market'!$K$107*SUM(L533:L534,L536:L537,L539:L540),'6. Market'!$L$107*SUM(L533:L534,L536:L537,L539:L540))</f>
        <v>39860.778356496841</v>
      </c>
      <c r="M550" s="1697">
        <f>+IF(COLUMNS($L550:M550)&lt;month,'6. Market'!$K$107*SUM(M533:M534,M536:M537,M539:M540),'6. Market'!$L$107*SUM(M533:M534,M536:M537,M539:M540))</f>
        <v>39860.778356496841</v>
      </c>
      <c r="N550" s="1697">
        <f>+IF(COLUMNS($L550:N550)&lt;month,'6. Market'!$K$107*SUM(N533:N534,N536:N537,N539:N540),'6. Market'!$L$107*SUM(N533:N534,N536:N537,N539:N540))</f>
        <v>39860.778356496841</v>
      </c>
      <c r="O550" s="1697">
        <f>+IF(COLUMNS($L550:O550)&lt;month,'6. Market'!$K$107*SUM(O533:O534,O536:O537,O539:O540),'6. Market'!$L$107*SUM(O533:O534,O536:O537,O539:O540))</f>
        <v>39860.778356496841</v>
      </c>
      <c r="P550" s="1697">
        <f>+IF(COLUMNS($L550:P550)&lt;month,'6. Market'!$K$107*SUM(P533:P534,P536:P537,P539:P540),'6. Market'!$L$107*SUM(P533:P534,P536:P537,P539:P540))</f>
        <v>39860.778356496841</v>
      </c>
      <c r="Q550" s="1697">
        <f>+IF(COLUMNS($L550:Q550)&lt;month,'6. Market'!$K$107*SUM(Q533:Q534,Q536:Q537,Q539:Q540),'6. Market'!$L$107*SUM(Q533:Q534,Q536:Q537,Q539:Q540))</f>
        <v>39860.778356496841</v>
      </c>
      <c r="R550" s="1697">
        <f>+IF(COLUMNS($L550:R550)&lt;month,'6. Market'!$K$107*SUM(R533:R534,R536:R537,R539:R540),'6. Market'!$L$107*SUM(R533:R534,R536:R537,R539:R540))</f>
        <v>39860.778356496841</v>
      </c>
      <c r="S550" s="1697">
        <f>+IF(COLUMNS($L550:S550)&lt;month,'6. Market'!$K$107*SUM(S533:S534,S536:S537,S539:S540),'6. Market'!$L$107*SUM(S533:S534,S536:S537,S539:S540))</f>
        <v>39860.778356496841</v>
      </c>
      <c r="T550" s="1697">
        <f>+IF(COLUMNS($L550:T550)&lt;month,'6. Market'!$K$107*SUM(T533:T534,T536:T537,T539:T540),'6. Market'!$L$107*SUM(T533:T534,T536:T537,T539:T540))</f>
        <v>39860.778356496841</v>
      </c>
      <c r="U550" s="1697">
        <f>+IF(COLUMNS($L550:U550)&lt;month,'6. Market'!$K$107*SUM(U533:U534,U536:U537,U539:U540),'6. Market'!$L$107*SUM(U533:U534,U536:U537,U539:U540))</f>
        <v>39860.778356496841</v>
      </c>
      <c r="V550" s="1700">
        <f>+IF(COLUMNS($L550:V550)&lt;month,'6. Market'!$K$107*SUM(V533:V534,V536:V537,V539:V540),'6. Market'!$L$107*SUM(V533:V534,V536:V537,V539:V540))</f>
        <v>41056.601707191752</v>
      </c>
      <c r="W550" s="1697">
        <f>+IF(COLUMNS($L550:W550)&lt;month,'6. Market'!$K$107*SUM(W533:W534,W536:W537,W539:W540),'6. Market'!$L$107*SUM(W533:W534,W536:W537,W539:W540))</f>
        <v>41056.601707191752</v>
      </c>
    </row>
    <row r="551" spans="1:25">
      <c r="A551" t="s">
        <v>2652</v>
      </c>
      <c r="B551" t="str">
        <f t="shared" si="28"/>
        <v>X10_11032_00494</v>
      </c>
      <c r="C551" t="str">
        <f t="shared" si="29"/>
        <v>LE_XXXX</v>
      </c>
      <c r="D551" t="s">
        <v>2886</v>
      </c>
      <c r="E551">
        <v>6010</v>
      </c>
      <c r="F551" t="s">
        <v>2888</v>
      </c>
      <c r="G551" t="s">
        <v>155</v>
      </c>
      <c r="H551" t="s">
        <v>154</v>
      </c>
      <c r="I551" t="s">
        <v>146</v>
      </c>
      <c r="J551" t="s">
        <v>147</v>
      </c>
      <c r="K551" t="str">
        <f>+"FY"&amp;RIGHT(YEAR('Hyperion Panel'!$B$9)+2,2)</f>
        <v>FY12</v>
      </c>
      <c r="L551" s="1612">
        <f>+IF(COLUMNS($L551:L551)&lt;month,'6. Market'!$K$74/12,'6. Market'!$L$74/12)</f>
        <v>15238.85</v>
      </c>
      <c r="M551" s="1612">
        <f>+IF(COLUMNS($L551:M551)&lt;month,'6. Market'!$K$74/12,'6. Market'!$L$74/12)</f>
        <v>15238.85</v>
      </c>
      <c r="N551" s="1612">
        <f>+IF(COLUMNS($L551:N551)&lt;month,'6. Market'!$K$74/12,'6. Market'!$L$74/12)</f>
        <v>15238.85</v>
      </c>
      <c r="O551" s="1612">
        <f>+IF(COLUMNS($L551:O551)&lt;month,'6. Market'!$K$74/12,'6. Market'!$L$74/12)</f>
        <v>15238.85</v>
      </c>
      <c r="P551" s="1612">
        <f>+IF(COLUMNS($L551:P551)&lt;month,'6. Market'!$K$74/12,'6. Market'!$L$74/12)</f>
        <v>15238.85</v>
      </c>
      <c r="Q551" s="1612">
        <f>+IF(COLUMNS($L551:Q551)&lt;month,'6. Market'!$K$74/12,'6. Market'!$L$74/12)</f>
        <v>15238.85</v>
      </c>
      <c r="R551" s="1612">
        <f>+IF(COLUMNS($L551:R551)&lt;month,'6. Market'!$K$74/12,'6. Market'!$L$74/12)</f>
        <v>15238.85</v>
      </c>
      <c r="S551" s="1612">
        <f>+IF(COLUMNS($L551:S551)&lt;month,'6. Market'!$K$74/12,'6. Market'!$L$74/12)</f>
        <v>15238.85</v>
      </c>
      <c r="T551" s="1612">
        <f>+IF(COLUMNS($L551:T551)&lt;month,'6. Market'!$K$74/12,'6. Market'!$L$74/12)</f>
        <v>15238.85</v>
      </c>
      <c r="U551" s="1612">
        <f>+IF(COLUMNS($L551:U551)&lt;month,'6. Market'!$K$74/12,'6. Market'!$L$74/12)</f>
        <v>15238.85</v>
      </c>
      <c r="V551" s="1703">
        <f>+IF(COLUMNS($L551:V551)&lt;month,'6. Market'!$K$74/12,'6. Market'!$L$74/12)</f>
        <v>15696.015500000001</v>
      </c>
      <c r="W551" s="1612">
        <f>+IF(COLUMNS($L551:W551)&lt;month,'6. Market'!$K$74/12,'6. Market'!$L$74/12)</f>
        <v>15696.015500000001</v>
      </c>
    </row>
    <row r="552" spans="1:25">
      <c r="A552" t="s">
        <v>2653</v>
      </c>
      <c r="B552" t="str">
        <f t="shared" si="28"/>
        <v>X10_11032_00494</v>
      </c>
      <c r="C552" t="str">
        <f t="shared" si="29"/>
        <v>LE_XXXX</v>
      </c>
      <c r="D552" t="s">
        <v>2886</v>
      </c>
      <c r="E552">
        <v>6051</v>
      </c>
      <c r="F552" t="s">
        <v>2888</v>
      </c>
      <c r="G552" t="s">
        <v>153</v>
      </c>
      <c r="H552" t="s">
        <v>154</v>
      </c>
      <c r="I552" t="s">
        <v>146</v>
      </c>
      <c r="J552" t="s">
        <v>147</v>
      </c>
      <c r="K552" t="str">
        <f>+"FY"&amp;RIGHT(YEAR('Hyperion Panel'!$B$9)+2,2)</f>
        <v>FY12</v>
      </c>
      <c r="L552" s="1612">
        <f>+IF(COLUMNS($L552:L552)&lt;month,'6. Market'!$K$75/12,'6. Market'!$L$75/12)</f>
        <v>19457.450243111161</v>
      </c>
      <c r="M552" s="1612">
        <f>+IF(COLUMNS($L552:M552)&lt;month,'6. Market'!$K$75/12,'6. Market'!$L$75/12)</f>
        <v>19457.450243111161</v>
      </c>
      <c r="N552" s="1612">
        <f>+IF(COLUMNS($L552:N552)&lt;month,'6. Market'!$K$75/12,'6. Market'!$L$75/12)</f>
        <v>19457.450243111161</v>
      </c>
      <c r="O552" s="1612">
        <f>+IF(COLUMNS($L552:O552)&lt;month,'6. Market'!$K$75/12,'6. Market'!$L$75/12)</f>
        <v>19457.450243111161</v>
      </c>
      <c r="P552" s="1612">
        <f>+IF(COLUMNS($L552:P552)&lt;month,'6. Market'!$K$75/12,'6. Market'!$L$75/12)</f>
        <v>19457.450243111161</v>
      </c>
      <c r="Q552" s="1612">
        <f>+IF(COLUMNS($L552:Q552)&lt;month,'6. Market'!$K$75/12,'6. Market'!$L$75/12)</f>
        <v>19457.450243111161</v>
      </c>
      <c r="R552" s="1612">
        <f>+IF(COLUMNS($L552:R552)&lt;month,'6. Market'!$K$75/12,'6. Market'!$L$75/12)</f>
        <v>19457.450243111161</v>
      </c>
      <c r="S552" s="1612">
        <f>+IF(COLUMNS($L552:S552)&lt;month,'6. Market'!$K$75/12,'6. Market'!$L$75/12)</f>
        <v>19457.450243111161</v>
      </c>
      <c r="T552" s="1612">
        <f>+IF(COLUMNS($L552:T552)&lt;month,'6. Market'!$K$75/12,'6. Market'!$L$75/12)</f>
        <v>19457.450243111161</v>
      </c>
      <c r="U552" s="1612">
        <f>+IF(COLUMNS($L552:U552)&lt;month,'6. Market'!$K$75/12,'6. Market'!$L$75/12)</f>
        <v>19457.450243111161</v>
      </c>
      <c r="V552" s="1703">
        <f>+IF(COLUMNS($L552:V552)&lt;month,'6. Market'!$K$75/12,'6. Market'!$L$75/12)</f>
        <v>20041.173750404498</v>
      </c>
      <c r="W552" s="1612">
        <f>+IF(COLUMNS($L552:W552)&lt;month,'6. Market'!$K$75/12,'6. Market'!$L$75/12)</f>
        <v>20041.173750404498</v>
      </c>
    </row>
    <row r="553" spans="1:25">
      <c r="A553" t="s">
        <v>2654</v>
      </c>
      <c r="B553" t="str">
        <f t="shared" si="28"/>
        <v>X10_11032_00494</v>
      </c>
      <c r="C553" t="str">
        <f t="shared" si="29"/>
        <v>LE_XXXX</v>
      </c>
      <c r="D553" t="s">
        <v>2886</v>
      </c>
      <c r="E553">
        <v>6011</v>
      </c>
      <c r="F553" t="s">
        <v>2888</v>
      </c>
      <c r="G553" t="s">
        <v>153</v>
      </c>
      <c r="H553" t="s">
        <v>154</v>
      </c>
      <c r="I553" t="s">
        <v>146</v>
      </c>
      <c r="J553" t="s">
        <v>147</v>
      </c>
      <c r="K553" t="str">
        <f>+"FY"&amp;RIGHT(YEAR('Hyperion Panel'!$B$9)+2,2)</f>
        <v>FY12</v>
      </c>
      <c r="L553" s="1612">
        <f>+IF(COLUMNS($L553:L553)&lt;month,'6. Market'!$K$76/12,'6. Market'!$L$76/12)</f>
        <v>0</v>
      </c>
      <c r="M553" s="1612">
        <f>+IF(COLUMNS($L553:M553)&lt;month,'6. Market'!$K$76/12,'6. Market'!$L$76/12)</f>
        <v>0</v>
      </c>
      <c r="N553" s="1612">
        <f>+IF(COLUMNS($L553:N553)&lt;month,'6. Market'!$K$76/12,'6. Market'!$L$76/12)</f>
        <v>0</v>
      </c>
      <c r="O553" s="1612">
        <f>+IF(COLUMNS($L553:O553)&lt;month,'6. Market'!$K$76/12,'6. Market'!$L$76/12)</f>
        <v>0</v>
      </c>
      <c r="P553" s="1612">
        <f>+IF(COLUMNS($L553:P553)&lt;month,'6. Market'!$K$76/12,'6. Market'!$L$76/12)</f>
        <v>0</v>
      </c>
      <c r="Q553" s="1612">
        <f>+IF(COLUMNS($L553:Q553)&lt;month,'6. Market'!$K$76/12,'6. Market'!$L$76/12)</f>
        <v>0</v>
      </c>
      <c r="R553" s="1612">
        <f>+IF(COLUMNS($L553:R553)&lt;month,'6. Market'!$K$76/12,'6. Market'!$L$76/12)</f>
        <v>0</v>
      </c>
      <c r="S553" s="1612">
        <f>+IF(COLUMNS($L553:S553)&lt;month,'6. Market'!$K$76/12,'6. Market'!$L$76/12)</f>
        <v>0</v>
      </c>
      <c r="T553" s="1612">
        <f>+IF(COLUMNS($L553:T553)&lt;month,'6. Market'!$K$76/12,'6. Market'!$L$76/12)</f>
        <v>0</v>
      </c>
      <c r="U553" s="1612">
        <f>+IF(COLUMNS($L553:U553)&lt;month,'6. Market'!$K$76/12,'6. Market'!$L$76/12)</f>
        <v>0</v>
      </c>
      <c r="V553" s="1703">
        <f>+IF(COLUMNS($L553:V553)&lt;month,'6. Market'!$K$76/12,'6. Market'!$L$76/12)</f>
        <v>0</v>
      </c>
      <c r="W553" s="1612">
        <f>+IF(COLUMNS($L553:W553)&lt;month,'6. Market'!$K$76/12,'6. Market'!$L$76/12)</f>
        <v>0</v>
      </c>
    </row>
    <row r="554" spans="1:25">
      <c r="A554" s="6" t="s">
        <v>3769</v>
      </c>
      <c r="B554" t="str">
        <f t="shared" si="28"/>
        <v>X10_11032_00494</v>
      </c>
      <c r="C554" t="str">
        <f t="shared" si="29"/>
        <v>LE_XXXX</v>
      </c>
      <c r="D554" t="s">
        <v>2886</v>
      </c>
      <c r="E554">
        <v>6600</v>
      </c>
      <c r="F554" t="s">
        <v>2888</v>
      </c>
      <c r="G554" t="s">
        <v>2889</v>
      </c>
      <c r="H554" t="s">
        <v>154</v>
      </c>
      <c r="I554" t="s">
        <v>146</v>
      </c>
      <c r="J554" t="s">
        <v>147</v>
      </c>
      <c r="K554" t="str">
        <f>+"FY"&amp;RIGHT(YEAR('Hyperion Panel'!$B$9)+2,2)</f>
        <v>FY12</v>
      </c>
      <c r="L554" s="1697">
        <f>+IF(COLUMNS($L554:L554)&lt;month,'6. Market'!$K$114*SUM(L533:L534,L536:L537),'6. Market'!$L$114*SUM(L533:L534,L536:L537))</f>
        <v>54018.065244350641</v>
      </c>
      <c r="M554" s="1697">
        <f>+IF(COLUMNS($L554:M554)&lt;month,'6. Market'!$K$114*SUM(M533:M534,M536:M537),'6. Market'!$L$114*SUM(M533:M534,M536:M537))</f>
        <v>54018.065244350641</v>
      </c>
      <c r="N554" s="1697">
        <f>+IF(COLUMNS($L554:N554)&lt;month,'6. Market'!$K$114*SUM(N533:N534,N536:N537),'6. Market'!$L$114*SUM(N533:N534,N536:N537))</f>
        <v>54018.065244350641</v>
      </c>
      <c r="O554" s="1697">
        <f>+IF(COLUMNS($L554:O554)&lt;month,'6. Market'!$K$114*SUM(O533:O534,O536:O537),'6. Market'!$L$114*SUM(O533:O534,O536:O537))</f>
        <v>54018.065244350641</v>
      </c>
      <c r="P554" s="1697">
        <f>+IF(COLUMNS($L554:P554)&lt;month,'6. Market'!$K$114*SUM(P533:P534,P536:P537),'6. Market'!$L$114*SUM(P533:P534,P536:P537))</f>
        <v>54018.065244350641</v>
      </c>
      <c r="Q554" s="1697">
        <f>+IF(COLUMNS($L554:Q554)&lt;month,'6. Market'!$K$114*SUM(Q533:Q534,Q536:Q537),'6. Market'!$L$114*SUM(Q533:Q534,Q536:Q537))</f>
        <v>54018.065244350641</v>
      </c>
      <c r="R554" s="1697">
        <f>+IF(COLUMNS($L554:R554)&lt;month,'6. Market'!$K$114*SUM(R533:R534,R536:R537),'6. Market'!$L$114*SUM(R533:R534,R536:R537))</f>
        <v>54018.065244350641</v>
      </c>
      <c r="S554" s="1697">
        <f>+IF(COLUMNS($L554:S554)&lt;month,'6. Market'!$K$114*SUM(S533:S534,S536:S537),'6. Market'!$L$114*SUM(S533:S534,S536:S537))</f>
        <v>54018.065244350641</v>
      </c>
      <c r="T554" s="1697">
        <f>+IF(COLUMNS($L554:T554)&lt;month,'6. Market'!$K$114*SUM(T533:T534,T536:T537),'6. Market'!$L$114*SUM(T533:T534,T536:T537))</f>
        <v>54018.065244350641</v>
      </c>
      <c r="U554" s="1697">
        <f>+IF(COLUMNS($L554:U554)&lt;month,'6. Market'!$K$114*SUM(U533:U534,U536:U537),'6. Market'!$L$114*SUM(U533:U534,U536:U537))</f>
        <v>54018.065244350641</v>
      </c>
      <c r="V554" s="1697">
        <f>+IF(COLUMNS($L554:V554)&lt;month,'6. Market'!$K$114*SUM(V533:V534,V536:V537),'6. Market'!$L$114*SUM(V533:V534,V536:V537))</f>
        <v>55098.426549237643</v>
      </c>
      <c r="W554" s="1697">
        <f>+IF(COLUMNS($L554:W554)&lt;month,'6. Market'!$K$114*SUM(W533:W534,W536:W537),'6. Market'!$L$114*SUM(W533:W534,W536:W537))</f>
        <v>55098.426549237643</v>
      </c>
    </row>
    <row r="555" spans="1:25">
      <c r="A555" s="6" t="s">
        <v>3770</v>
      </c>
      <c r="B555" t="str">
        <f t="shared" si="28"/>
        <v>X10_11032_00494</v>
      </c>
      <c r="C555" t="str">
        <f t="shared" si="29"/>
        <v>LE_XXXX</v>
      </c>
      <c r="D555" t="s">
        <v>2886</v>
      </c>
      <c r="E555">
        <v>6800</v>
      </c>
      <c r="F555" t="s">
        <v>156</v>
      </c>
      <c r="G555" t="s">
        <v>2889</v>
      </c>
      <c r="H555" t="s">
        <v>154</v>
      </c>
      <c r="I555" t="s">
        <v>146</v>
      </c>
      <c r="J555" t="s">
        <v>147</v>
      </c>
      <c r="K555" t="str">
        <f>+"FY"&amp;RIGHT(YEAR('Hyperion Panel'!$B$9)+2,2)</f>
        <v>FY12</v>
      </c>
      <c r="L555" s="1697">
        <f>+IF(COLUMNS($L555:L555)&lt;month,'6. Market'!$K$118*SUM(L533:L534,L536:L537),'6. Market'!$L$118*SUM(L533:L534,L536:L537))</f>
        <v>20214.79507079611</v>
      </c>
      <c r="M555" s="1697">
        <f>+IF(COLUMNS($L555:M555)&lt;month,'6. Market'!$K$118*SUM(M533:M534,M536:M537),'6. Market'!$L$118*SUM(M533:M534,M536:M537))</f>
        <v>20214.79507079611</v>
      </c>
      <c r="N555" s="1697">
        <f>+IF(COLUMNS($L555:N555)&lt;month,'6. Market'!$K$118*SUM(N533:N534,N536:N537),'6. Market'!$L$118*SUM(N533:N534,N536:N537))</f>
        <v>20214.79507079611</v>
      </c>
      <c r="O555" s="1697">
        <f>+IF(COLUMNS($L555:O555)&lt;month,'6. Market'!$K$118*SUM(O533:O534,O536:O537),'6. Market'!$L$118*SUM(O533:O534,O536:O537))</f>
        <v>20214.79507079611</v>
      </c>
      <c r="P555" s="1697">
        <f>+IF(COLUMNS($L555:P555)&lt;month,'6. Market'!$K$118*SUM(P533:P534,P536:P537),'6. Market'!$L$118*SUM(P533:P534,P536:P537))</f>
        <v>20214.79507079611</v>
      </c>
      <c r="Q555" s="1697">
        <f>+IF(COLUMNS($L555:Q555)&lt;month,'6. Market'!$K$118*SUM(Q533:Q534,Q536:Q537),'6. Market'!$L$118*SUM(Q533:Q534,Q536:Q537))</f>
        <v>20214.79507079611</v>
      </c>
      <c r="R555" s="1697">
        <f>+IF(COLUMNS($L555:R555)&lt;month,'6. Market'!$K$118*SUM(R533:R534,R536:R537),'6. Market'!$L$118*SUM(R533:R534,R536:R537))</f>
        <v>20214.79507079611</v>
      </c>
      <c r="S555" s="1697">
        <f>+IF(COLUMNS($L555:S555)&lt;month,'6. Market'!$K$118*SUM(S533:S534,S536:S537),'6. Market'!$L$118*SUM(S533:S534,S536:S537))</f>
        <v>20214.79507079611</v>
      </c>
      <c r="T555" s="1697">
        <f>+IF(COLUMNS($L555:T555)&lt;month,'6. Market'!$K$118*SUM(T533:T534,T536:T537),'6. Market'!$L$118*SUM(T533:T534,T536:T537))</f>
        <v>20214.79507079611</v>
      </c>
      <c r="U555" s="1697">
        <f>+IF(COLUMNS($L555:U555)&lt;month,'6. Market'!$K$118*SUM(U533:U534,U536:U537),'6. Market'!$L$118*SUM(U533:U534,U536:U537))</f>
        <v>20214.79507079611</v>
      </c>
      <c r="V555" s="1697">
        <f>+IF(COLUMNS($L555:V555)&lt;month,'6. Market'!$K$118*SUM(V533:V534,V536:V537),'6. Market'!$L$118*SUM(V533:V534,V536:V537))</f>
        <v>20821.238922919994</v>
      </c>
      <c r="W555" s="1697">
        <f>+IF(COLUMNS($L555:W555)&lt;month,'6. Market'!$K$118*SUM(W533:W534,W536:W537),'6. Market'!$L$118*SUM(W533:W534,W536:W537))</f>
        <v>20821.238922919994</v>
      </c>
    </row>
    <row r="556" spans="1:25">
      <c r="A556" t="s">
        <v>3697</v>
      </c>
      <c r="B556" t="str">
        <f t="shared" si="28"/>
        <v>X10_11032_00494</v>
      </c>
      <c r="C556" t="str">
        <f t="shared" si="29"/>
        <v>LE_XXXX</v>
      </c>
      <c r="D556" t="s">
        <v>2886</v>
      </c>
      <c r="E556">
        <v>8600</v>
      </c>
      <c r="F556" t="s">
        <v>156</v>
      </c>
      <c r="G556" t="s">
        <v>2889</v>
      </c>
      <c r="H556" t="s">
        <v>154</v>
      </c>
      <c r="I556" t="s">
        <v>146</v>
      </c>
      <c r="J556" t="s">
        <v>147</v>
      </c>
      <c r="K556" t="str">
        <f>+"FY"&amp;RIGHT(YEAR('Hyperion Panel'!$B$9)+2,2)</f>
        <v>FY12</v>
      </c>
      <c r="L556" s="1612">
        <f>+IF(COLUMNS($L556:L556)&lt;month,'6. Market'!$K$78/12,'6. Market'!$L$78/12)</f>
        <v>16969.239699999998</v>
      </c>
      <c r="M556" s="1612">
        <f>+IF(COLUMNS($L556:M556)&lt;month,'6. Market'!$K$78/12,'6. Market'!$L$78/12)</f>
        <v>16969.239699999998</v>
      </c>
      <c r="N556" s="1612">
        <f>+IF(COLUMNS($L556:N556)&lt;month,'6. Market'!$K$78/12,'6. Market'!$L$78/12)</f>
        <v>16969.239699999998</v>
      </c>
      <c r="O556" s="1612">
        <f>+IF(COLUMNS($L556:O556)&lt;month,'6. Market'!$K$78/12,'6. Market'!$L$78/12)</f>
        <v>16969.239699999998</v>
      </c>
      <c r="P556" s="1612">
        <f>+IF(COLUMNS($L556:P556)&lt;month,'6. Market'!$K$78/12,'6. Market'!$L$78/12)</f>
        <v>16969.239699999998</v>
      </c>
      <c r="Q556" s="1612">
        <f>+IF(COLUMNS($L556:Q556)&lt;month,'6. Market'!$K$78/12,'6. Market'!$L$78/12)</f>
        <v>16969.239699999998</v>
      </c>
      <c r="R556" s="1612">
        <f>+IF(COLUMNS($L556:R556)&lt;month,'6. Market'!$K$78/12,'6. Market'!$L$78/12)</f>
        <v>16969.239699999998</v>
      </c>
      <c r="S556" s="1612">
        <f>+IF(COLUMNS($L556:S556)&lt;month,'6. Market'!$K$78/12,'6. Market'!$L$78/12)</f>
        <v>16969.239699999998</v>
      </c>
      <c r="T556" s="1612">
        <f>+IF(COLUMNS($L556:T556)&lt;month,'6. Market'!$K$78/12,'6. Market'!$L$78/12)</f>
        <v>16969.239699999998</v>
      </c>
      <c r="U556" s="1612">
        <f>+IF(COLUMNS($L556:U556)&lt;month,'6. Market'!$K$78/12,'6. Market'!$L$78/12)</f>
        <v>16969.239699999998</v>
      </c>
      <c r="V556" s="1702">
        <f>+IF(COLUMNS($L556:V556)&lt;month,'6. Market'!$K$78/12,'6. Market'!$L$78/12)</f>
        <v>17478.316890999999</v>
      </c>
      <c r="W556" s="1612">
        <f>+IF(COLUMNS($L556:W556)&lt;month,'6. Market'!$K$78/12,'6. Market'!$L$78/12)</f>
        <v>17478.316890999999</v>
      </c>
    </row>
    <row r="557" spans="1:25">
      <c r="A557" t="s">
        <v>157</v>
      </c>
      <c r="B557" t="str">
        <f t="shared" si="28"/>
        <v>X10_11032_00494</v>
      </c>
      <c r="C557" t="str">
        <f t="shared" si="29"/>
        <v>LE_XXXX</v>
      </c>
      <c r="D557" t="s">
        <v>2886</v>
      </c>
      <c r="E557">
        <v>6720</v>
      </c>
      <c r="F557" t="s">
        <v>156</v>
      </c>
      <c r="G557" t="s">
        <v>2889</v>
      </c>
      <c r="H557" t="s">
        <v>154</v>
      </c>
      <c r="I557" t="s">
        <v>146</v>
      </c>
      <c r="J557" t="s">
        <v>147</v>
      </c>
      <c r="K557" t="str">
        <f>+"FY"&amp;RIGHT(YEAR('Hyperion Panel'!$B$9)+2,2)</f>
        <v>FY12</v>
      </c>
      <c r="L557" s="1612">
        <f>+IF(COLUMNS($L557:L557)&lt;month,'6. Market'!$K$79/12,'6. Market'!$L$79/12)</f>
        <v>15833.32</v>
      </c>
      <c r="M557" s="1612">
        <f>+IF(COLUMNS($L557:M557)&lt;month,'6. Market'!$K$79/12,'6. Market'!$L$79/12)</f>
        <v>15833.32</v>
      </c>
      <c r="N557" s="1612">
        <f>+IF(COLUMNS($L557:N557)&lt;month,'6. Market'!$K$79/12,'6. Market'!$L$79/12)</f>
        <v>15833.32</v>
      </c>
      <c r="O557" s="1612">
        <f>+IF(COLUMNS($L557:O557)&lt;month,'6. Market'!$K$79/12,'6. Market'!$L$79/12)</f>
        <v>15833.32</v>
      </c>
      <c r="P557" s="1612">
        <f>+IF(COLUMNS($L557:P557)&lt;month,'6. Market'!$K$79/12,'6. Market'!$L$79/12)</f>
        <v>15833.32</v>
      </c>
      <c r="Q557" s="1612">
        <f>+IF(COLUMNS($L557:Q557)&lt;month,'6. Market'!$K$79/12,'6. Market'!$L$79/12)</f>
        <v>15833.32</v>
      </c>
      <c r="R557" s="1612">
        <f>+IF(COLUMNS($L557:R557)&lt;month,'6. Market'!$K$79/12,'6. Market'!$L$79/12)</f>
        <v>15833.32</v>
      </c>
      <c r="S557" s="1612">
        <f>+IF(COLUMNS($L557:S557)&lt;month,'6. Market'!$K$79/12,'6. Market'!$L$79/12)</f>
        <v>15833.32</v>
      </c>
      <c r="T557" s="1612">
        <f>+IF(COLUMNS($L557:T557)&lt;month,'6. Market'!$K$79/12,'6. Market'!$L$79/12)</f>
        <v>15833.32</v>
      </c>
      <c r="U557" s="1612">
        <f>+IF(COLUMNS($L557:U557)&lt;month,'6. Market'!$K$79/12,'6. Market'!$L$79/12)</f>
        <v>15833.32</v>
      </c>
      <c r="V557" s="1702">
        <f>+IF(COLUMNS($L557:V557)&lt;month,'6. Market'!$K$79/12,'6. Market'!$L$79/12)</f>
        <v>15833.32</v>
      </c>
      <c r="W557" s="1612">
        <f>+IF(COLUMNS($L557:W557)&lt;month,'6. Market'!$K$79/12,'6. Market'!$L$79/12)</f>
        <v>15833.32</v>
      </c>
    </row>
    <row r="558" spans="1:25">
      <c r="A558" t="s">
        <v>3771</v>
      </c>
      <c r="B558" t="str">
        <f t="shared" si="28"/>
        <v>X10_11032_00494</v>
      </c>
      <c r="C558" t="str">
        <f t="shared" si="29"/>
        <v>LE_XXXX</v>
      </c>
      <c r="D558" t="s">
        <v>2886</v>
      </c>
      <c r="E558">
        <v>8110</v>
      </c>
      <c r="F558" t="s">
        <v>156</v>
      </c>
      <c r="G558" t="s">
        <v>2889</v>
      </c>
      <c r="H558" t="s">
        <v>154</v>
      </c>
      <c r="I558" t="s">
        <v>146</v>
      </c>
      <c r="J558" t="s">
        <v>147</v>
      </c>
      <c r="K558" t="str">
        <f>+"FY"&amp;RIGHT(YEAR('Hyperion Panel'!$B$9)+2,2)</f>
        <v>FY12</v>
      </c>
      <c r="L558" s="1612">
        <f>+IF(COLUMNS($L558:L558)&lt;month,'6. Market'!$K$82/12,'6. Market'!$L$82/12)</f>
        <v>1076.0461499999999</v>
      </c>
      <c r="M558" s="1612">
        <f>+IF(COLUMNS($L558:M558)&lt;month,'6. Market'!$K$82/12,'6. Market'!$L$82/12)</f>
        <v>1076.0461499999999</v>
      </c>
      <c r="N558" s="1612">
        <f>+IF(COLUMNS($L558:N558)&lt;month,'6. Market'!$K$82/12,'6. Market'!$L$82/12)</f>
        <v>1076.0461499999999</v>
      </c>
      <c r="O558" s="1612">
        <f>+IF(COLUMNS($L558:O558)&lt;month,'6. Market'!$K$82/12,'6. Market'!$L$82/12)</f>
        <v>1076.0461499999999</v>
      </c>
      <c r="P558" s="1612">
        <f>+IF(COLUMNS($L558:P558)&lt;month,'6. Market'!$K$82/12,'6. Market'!$L$82/12)</f>
        <v>1076.0461499999999</v>
      </c>
      <c r="Q558" s="1612">
        <f>+IF(COLUMNS($L558:Q558)&lt;month,'6. Market'!$K$82/12,'6. Market'!$L$82/12)</f>
        <v>1076.0461499999999</v>
      </c>
      <c r="R558" s="1612">
        <f>+IF(COLUMNS($L558:R558)&lt;month,'6. Market'!$K$82/12,'6. Market'!$L$82/12)</f>
        <v>1076.0461499999999</v>
      </c>
      <c r="S558" s="1612">
        <f>+IF(COLUMNS($L558:S558)&lt;month,'6. Market'!$K$82/12,'6. Market'!$L$82/12)</f>
        <v>1076.0461499999999</v>
      </c>
      <c r="T558" s="1612">
        <f>+IF(COLUMNS($L558:T558)&lt;month,'6. Market'!$K$82/12,'6. Market'!$L$82/12)</f>
        <v>1076.0461499999999</v>
      </c>
      <c r="U558" s="1612">
        <f>+IF(COLUMNS($L558:U558)&lt;month,'6. Market'!$K$82/12,'6. Market'!$L$82/12)</f>
        <v>1076.0461499999999</v>
      </c>
      <c r="V558" s="1702">
        <f>+IF(COLUMNS($L558:V558)&lt;month,'6. Market'!$K$82/12,'6. Market'!$L$82/12)</f>
        <v>1108.3275345</v>
      </c>
      <c r="W558" s="1612">
        <f>+IF(COLUMNS($L558:W558)&lt;month,'6. Market'!$K$82/12,'6. Market'!$L$82/12)</f>
        <v>1108.3275345</v>
      </c>
    </row>
    <row r="559" spans="1:25">
      <c r="A559" s="102" t="s">
        <v>171</v>
      </c>
      <c r="B559" t="str">
        <f t="shared" si="28"/>
        <v>X10_11032_00494</v>
      </c>
      <c r="C559" s="98" t="str">
        <f t="shared" si="29"/>
        <v>LE_XXXX</v>
      </c>
      <c r="D559" s="98" t="s">
        <v>2886</v>
      </c>
      <c r="E559" s="98">
        <v>6412</v>
      </c>
      <c r="F559" s="98" t="s">
        <v>156</v>
      </c>
      <c r="G559" s="98" t="s">
        <v>2889</v>
      </c>
      <c r="H559" s="98" t="s">
        <v>154</v>
      </c>
      <c r="I559" s="98" t="s">
        <v>146</v>
      </c>
      <c r="J559" s="98" t="s">
        <v>147</v>
      </c>
      <c r="K559" t="str">
        <f>+"FY"&amp;RIGHT(YEAR('Hyperion Panel'!$B$9)+2,2)</f>
        <v>FY12</v>
      </c>
      <c r="L559" s="1697">
        <f>+IF(COLUMNS($L559:L559)&lt;month,'6. Market'!$K$117*SUM(L533:L534,L536:L537),'6. Market'!$L$117*SUM(L533:L534,L536:L537))</f>
        <v>19121.923843312405</v>
      </c>
      <c r="M559" s="1697">
        <f>+IF(COLUMNS($L559:M559)&lt;month,'6. Market'!$K$117*SUM(M533:M534,M536:M537),'6. Market'!$L$117*SUM(M533:M534,M536:M537))</f>
        <v>19121.923843312405</v>
      </c>
      <c r="N559" s="1697">
        <f>+IF(COLUMNS($L559:N559)&lt;month,'6. Market'!$K$117*SUM(N533:N534,N536:N537),'6. Market'!$L$117*SUM(N533:N534,N536:N537))</f>
        <v>19121.923843312405</v>
      </c>
      <c r="O559" s="1697">
        <f>+IF(COLUMNS($L559:O559)&lt;month,'6. Market'!$K$117*SUM(O533:O534,O536:O537),'6. Market'!$L$117*SUM(O533:O534,O536:O537))</f>
        <v>19121.923843312405</v>
      </c>
      <c r="P559" s="1697">
        <f>+IF(COLUMNS($L559:P559)&lt;month,'6. Market'!$K$117*SUM(P533:P534,P536:P537),'6. Market'!$L$117*SUM(P533:P534,P536:P537))</f>
        <v>19121.923843312405</v>
      </c>
      <c r="Q559" s="1697">
        <f>+IF(COLUMNS($L559:Q559)&lt;month,'6. Market'!$K$117*SUM(Q533:Q534,Q536:Q537),'6. Market'!$L$117*SUM(Q533:Q534,Q536:Q537))</f>
        <v>19121.923843312405</v>
      </c>
      <c r="R559" s="1697">
        <f>+IF(COLUMNS($L559:R559)&lt;month,'6. Market'!$K$117*SUM(R533:R534,R536:R537),'6. Market'!$L$117*SUM(R533:R534,R536:R537))</f>
        <v>19121.923843312405</v>
      </c>
      <c r="S559" s="1697">
        <f>+IF(COLUMNS($L559:S559)&lt;month,'6. Market'!$K$117*SUM(S533:S534,S536:S537),'6. Market'!$L$117*SUM(S533:S534,S536:S537))</f>
        <v>19121.923843312405</v>
      </c>
      <c r="T559" s="1697">
        <f>+IF(COLUMNS($L559:T559)&lt;month,'6. Market'!$K$117*SUM(T533:T534,T536:T537),'6. Market'!$L$117*SUM(T533:T534,T536:T537))</f>
        <v>19121.923843312405</v>
      </c>
      <c r="U559" s="1697">
        <f>+IF(COLUMNS($L559:U559)&lt;month,'6. Market'!$K$117*SUM(U533:U534,U536:U537),'6. Market'!$L$117*SUM(U533:U534,U536:U537))</f>
        <v>19121.923843312405</v>
      </c>
      <c r="V559" s="1700">
        <f>+IF(COLUMNS($L559:V559)&lt;month,'6. Market'!$K$117*SUM(V533:V534,V536:V537),'6. Market'!$L$117*SUM(V533:V534,V536:V537))</f>
        <v>19695.581558611779</v>
      </c>
      <c r="W559" s="1697">
        <f>+IF(COLUMNS($L559:W559)&lt;month,'6. Market'!$K$117*SUM(W533:W534,W536:W537),'6. Market'!$L$117*SUM(W533:W534,W536:W537))</f>
        <v>19695.581558611779</v>
      </c>
    </row>
    <row r="560" spans="1:25" s="3" customFormat="1">
      <c r="A560" s="1687" t="s">
        <v>730</v>
      </c>
      <c r="B560" t="str">
        <f t="shared" si="28"/>
        <v>X10_11032_00494</v>
      </c>
      <c r="C560" s="1687" t="str">
        <f>+$C$2</f>
        <v>LE_XXXX</v>
      </c>
      <c r="D560" s="1687" t="s">
        <v>2886</v>
      </c>
      <c r="E560" s="1687">
        <v>8110</v>
      </c>
      <c r="F560" s="1687" t="s">
        <v>731</v>
      </c>
      <c r="G560" s="1687" t="s">
        <v>2889</v>
      </c>
      <c r="H560" s="1687" t="s">
        <v>154</v>
      </c>
      <c r="I560" s="1687" t="s">
        <v>146</v>
      </c>
      <c r="J560" s="1687" t="s">
        <v>147</v>
      </c>
      <c r="K560" t="str">
        <f>+"FY"&amp;RIGHT(YEAR('Hyperion Panel'!$B$9)+2,2)</f>
        <v>FY12</v>
      </c>
      <c r="L560" s="1704">
        <f>+IF(COLUMNS($L560:L560)&lt;month,'6. Market'!$K$88/12,'6. Market'!$L$88/12)</f>
        <v>858.33333333333337</v>
      </c>
      <c r="M560" s="1704">
        <f>+IF(COLUMNS($L560:M560)&lt;month,'6. Market'!$K$88/12,'6. Market'!$L$88/12)</f>
        <v>858.33333333333337</v>
      </c>
      <c r="N560" s="1704">
        <f>+IF(COLUMNS($L560:N560)&lt;month,'6. Market'!$K$88/12,'6. Market'!$L$88/12)</f>
        <v>858.33333333333337</v>
      </c>
      <c r="O560" s="1704">
        <f>+IF(COLUMNS($L560:O560)&lt;month,'6. Market'!$K$88/12,'6. Market'!$L$88/12)</f>
        <v>858.33333333333337</v>
      </c>
      <c r="P560" s="1704">
        <f>+IF(COLUMNS($L560:P560)&lt;month,'6. Market'!$K$88/12,'6. Market'!$L$88/12)</f>
        <v>858.33333333333337</v>
      </c>
      <c r="Q560" s="1704">
        <f>+IF(COLUMNS($L560:Q560)&lt;month,'6. Market'!$K$88/12,'6. Market'!$L$88/12)</f>
        <v>858.33333333333337</v>
      </c>
      <c r="R560" s="1704">
        <f>+IF(COLUMNS($L560:R560)&lt;month,'6. Market'!$K$88/12,'6. Market'!$L$88/12)</f>
        <v>858.33333333333337</v>
      </c>
      <c r="S560" s="1704">
        <f>+IF(COLUMNS($L560:S560)&lt;month,'6. Market'!$K$88/12,'6. Market'!$L$88/12)</f>
        <v>858.33333333333337</v>
      </c>
      <c r="T560" s="1704">
        <f>+IF(COLUMNS($L560:T560)&lt;month,'6. Market'!$K$88/12,'6. Market'!$L$88/12)</f>
        <v>858.33333333333337</v>
      </c>
      <c r="U560" s="1704">
        <f>+IF(COLUMNS($L560:U560)&lt;month,'6. Market'!$K$88/12,'6. Market'!$L$88/12)</f>
        <v>858.33333333333337</v>
      </c>
      <c r="V560" s="1704">
        <f>+IF(COLUMNS($L560:V560)&lt;month,'6. Market'!$K$88/12,'6. Market'!$L$88/12)</f>
        <v>884.08333333333337</v>
      </c>
      <c r="W560" s="1704">
        <f>+IF(COLUMNS($L560:W560)&lt;month,'6. Market'!$K$88/12,'6. Market'!$L$88/12)</f>
        <v>884.08333333333337</v>
      </c>
    </row>
    <row r="561" spans="1:26" s="3" customFormat="1">
      <c r="A561" s="1687" t="s">
        <v>732</v>
      </c>
      <c r="B561" t="str">
        <f t="shared" si="28"/>
        <v>X10_11032_00494</v>
      </c>
      <c r="C561" s="1687" t="str">
        <f>+$C$2</f>
        <v>LE_XXXX</v>
      </c>
      <c r="D561" s="1687" t="s">
        <v>2886</v>
      </c>
      <c r="E561" s="1687"/>
      <c r="F561" s="1687" t="s">
        <v>731</v>
      </c>
      <c r="G561" s="1687" t="s">
        <v>2889</v>
      </c>
      <c r="H561" s="1687" t="s">
        <v>154</v>
      </c>
      <c r="I561" s="1687" t="s">
        <v>146</v>
      </c>
      <c r="J561" s="1687" t="s">
        <v>147</v>
      </c>
      <c r="K561" t="str">
        <f>+"FY"&amp;RIGHT(YEAR('Hyperion Panel'!$B$9)+2,2)</f>
        <v>FY12</v>
      </c>
      <c r="L561" s="1704">
        <f>+IF(COLUMNS($L561:L561)&lt;month,'6. Market'!$K$89/12,'6. Market'!$L$89/12)</f>
        <v>0</v>
      </c>
      <c r="M561" s="1704">
        <f>+IF(COLUMNS($L561:M561)&lt;month,'6. Market'!$K$89/12,'6. Market'!$L$89/12)</f>
        <v>0</v>
      </c>
      <c r="N561" s="1704">
        <f>+IF(COLUMNS($L561:N561)&lt;month,'6. Market'!$K$89/12,'6. Market'!$L$89/12)</f>
        <v>0</v>
      </c>
      <c r="O561" s="1704">
        <f>+IF(COLUMNS($L561:O561)&lt;month,'6. Market'!$K$89/12,'6. Market'!$L$89/12)</f>
        <v>0</v>
      </c>
      <c r="P561" s="1704">
        <f>+IF(COLUMNS($L561:P561)&lt;month,'6. Market'!$K$89/12,'6. Market'!$L$89/12)</f>
        <v>0</v>
      </c>
      <c r="Q561" s="1704">
        <f>+IF(COLUMNS($L561:Q561)&lt;month,'6. Market'!$K$89/12,'6. Market'!$L$89/12)</f>
        <v>0</v>
      </c>
      <c r="R561" s="1704">
        <f>+IF(COLUMNS($L561:R561)&lt;month,'6. Market'!$K$89/12,'6. Market'!$L$89/12)</f>
        <v>0</v>
      </c>
      <c r="S561" s="1704">
        <f>+IF(COLUMNS($L561:S561)&lt;month,'6. Market'!$K$89/12,'6. Market'!$L$89/12)</f>
        <v>0</v>
      </c>
      <c r="T561" s="1704">
        <f>+IF(COLUMNS($L561:T561)&lt;month,'6. Market'!$K$89/12,'6. Market'!$L$89/12)</f>
        <v>0</v>
      </c>
      <c r="U561" s="1704">
        <f>+IF(COLUMNS($L561:U561)&lt;month,'6. Market'!$K$89/12,'6. Market'!$L$89/12)</f>
        <v>0</v>
      </c>
      <c r="V561" s="1704">
        <f>+IF(COLUMNS($L561:V561)&lt;month,'6. Market'!$K$89/12,'6. Market'!$L$89/12)</f>
        <v>0</v>
      </c>
      <c r="W561" s="1704">
        <f>+IF(COLUMNS($L561:W561)&lt;month,'6. Market'!$K$89/12,'6. Market'!$L$89/12)</f>
        <v>0</v>
      </c>
    </row>
    <row r="562" spans="1:26" s="3" customFormat="1">
      <c r="A562" s="1687" t="s">
        <v>733</v>
      </c>
      <c r="B562" t="str">
        <f t="shared" si="28"/>
        <v>X10_11032_00494</v>
      </c>
      <c r="C562" s="1687" t="str">
        <f>+$C$2</f>
        <v>LE_XXXX</v>
      </c>
      <c r="D562" s="1687" t="s">
        <v>2886</v>
      </c>
      <c r="E562" s="1687"/>
      <c r="F562" s="1687" t="s">
        <v>731</v>
      </c>
      <c r="G562" s="1687" t="s">
        <v>2889</v>
      </c>
      <c r="H562" s="1687" t="s">
        <v>154</v>
      </c>
      <c r="I562" s="1687" t="s">
        <v>146</v>
      </c>
      <c r="J562" s="1687" t="s">
        <v>147</v>
      </c>
      <c r="K562" t="str">
        <f>+"FY"&amp;RIGHT(YEAR('Hyperion Panel'!$B$9)+2,2)</f>
        <v>FY12</v>
      </c>
      <c r="L562" s="1704">
        <f>+IF(COLUMNS($L562:L562)&lt;month,'6. Market'!$K$90/12,'6. Market'!$L$90/12)</f>
        <v>9832.7999999999993</v>
      </c>
      <c r="M562" s="1704">
        <f>+IF(COLUMNS($L562:M562)&lt;month,'6. Market'!$K$90/12,'6. Market'!$L$90/12)</f>
        <v>9832.7999999999993</v>
      </c>
      <c r="N562" s="1704">
        <f>+IF(COLUMNS($L562:N562)&lt;month,'6. Market'!$K$90/12,'6. Market'!$L$90/12)</f>
        <v>9832.7999999999993</v>
      </c>
      <c r="O562" s="1704">
        <f>+IF(COLUMNS($L562:O562)&lt;month,'6. Market'!$K$90/12,'6. Market'!$L$90/12)</f>
        <v>9832.7999999999993</v>
      </c>
      <c r="P562" s="1704">
        <f>+IF(COLUMNS($L562:P562)&lt;month,'6. Market'!$K$90/12,'6. Market'!$L$90/12)</f>
        <v>9832.7999999999993</v>
      </c>
      <c r="Q562" s="1704">
        <f>+IF(COLUMNS($L562:Q562)&lt;month,'6. Market'!$K$90/12,'6. Market'!$L$90/12)</f>
        <v>9832.7999999999993</v>
      </c>
      <c r="R562" s="1704">
        <f>+IF(COLUMNS($L562:R562)&lt;month,'6. Market'!$K$90/12,'6. Market'!$L$90/12)</f>
        <v>9832.7999999999993</v>
      </c>
      <c r="S562" s="1704">
        <f>+IF(COLUMNS($L562:S562)&lt;month,'6. Market'!$K$90/12,'6. Market'!$L$90/12)</f>
        <v>9832.7999999999993</v>
      </c>
      <c r="T562" s="1704">
        <f>+IF(COLUMNS($L562:T562)&lt;month,'6. Market'!$K$90/12,'6. Market'!$L$90/12)</f>
        <v>9832.7999999999993</v>
      </c>
      <c r="U562" s="1704">
        <f>+IF(COLUMNS($L562:U562)&lt;month,'6. Market'!$K$90/12,'6. Market'!$L$90/12)</f>
        <v>9832.7999999999993</v>
      </c>
      <c r="V562" s="1704">
        <f>+IF(COLUMNS($L562:V562)&lt;month,'6. Market'!$K$90/12,'6. Market'!$L$90/12)</f>
        <v>10029.456</v>
      </c>
      <c r="W562" s="1704">
        <f>+IF(COLUMNS($L562:W562)&lt;month,'6. Market'!$K$90/12,'6. Market'!$L$90/12)</f>
        <v>10029.456</v>
      </c>
    </row>
    <row r="563" spans="1:26" s="3" customFormat="1">
      <c r="A563" s="1687" t="s">
        <v>734</v>
      </c>
      <c r="B563" t="str">
        <f t="shared" si="28"/>
        <v>X10_11032_00494</v>
      </c>
      <c r="C563" s="1687" t="str">
        <f>+$C$2</f>
        <v>LE_XXXX</v>
      </c>
      <c r="D563" s="1687" t="s">
        <v>2886</v>
      </c>
      <c r="E563" s="1687">
        <v>6800</v>
      </c>
      <c r="F563" s="1687" t="s">
        <v>731</v>
      </c>
      <c r="G563" s="1687" t="s">
        <v>2889</v>
      </c>
      <c r="H563" s="1687" t="s">
        <v>154</v>
      </c>
      <c r="I563" s="1687" t="s">
        <v>146</v>
      </c>
      <c r="J563" s="1687" t="s">
        <v>147</v>
      </c>
      <c r="K563" t="str">
        <f>+"FY"&amp;RIGHT(YEAR('Hyperion Panel'!$B$9)+2,2)</f>
        <v>FY12</v>
      </c>
      <c r="L563" s="1704">
        <f>+IF(COLUMNS($L563:L563)&lt;month,'6. Market'!$K$91/12,'6. Market'!$L$91/12)</f>
        <v>1802.5</v>
      </c>
      <c r="M563" s="1704">
        <f>+IF(COLUMNS($L563:M563)&lt;month,'6. Market'!$K$91/12,'6. Market'!$L$91/12)</f>
        <v>1802.5</v>
      </c>
      <c r="N563" s="1704">
        <f>+IF(COLUMNS($L563:N563)&lt;month,'6. Market'!$K$91/12,'6. Market'!$L$91/12)</f>
        <v>1802.5</v>
      </c>
      <c r="O563" s="1704">
        <f>+IF(COLUMNS($L563:O563)&lt;month,'6. Market'!$K$91/12,'6. Market'!$L$91/12)</f>
        <v>1802.5</v>
      </c>
      <c r="P563" s="1704">
        <f>+IF(COLUMNS($L563:P563)&lt;month,'6. Market'!$K$91/12,'6. Market'!$L$91/12)</f>
        <v>1802.5</v>
      </c>
      <c r="Q563" s="1704">
        <f>+IF(COLUMNS($L563:Q563)&lt;month,'6. Market'!$K$91/12,'6. Market'!$L$91/12)</f>
        <v>1802.5</v>
      </c>
      <c r="R563" s="1704">
        <f>+IF(COLUMNS($L563:R563)&lt;month,'6. Market'!$K$91/12,'6. Market'!$L$91/12)</f>
        <v>1802.5</v>
      </c>
      <c r="S563" s="1704">
        <f>+IF(COLUMNS($L563:S563)&lt;month,'6. Market'!$K$91/12,'6. Market'!$L$91/12)</f>
        <v>1802.5</v>
      </c>
      <c r="T563" s="1704">
        <f>+IF(COLUMNS($L563:T563)&lt;month,'6. Market'!$K$91/12,'6. Market'!$L$91/12)</f>
        <v>1802.5</v>
      </c>
      <c r="U563" s="1704">
        <f>+IF(COLUMNS($L563:U563)&lt;month,'6. Market'!$K$91/12,'6. Market'!$L$91/12)</f>
        <v>1802.5</v>
      </c>
      <c r="V563" s="1704">
        <f>+IF(COLUMNS($L563:V563)&lt;month,'6. Market'!$K$91/12,'6. Market'!$L$91/12)</f>
        <v>1856.575</v>
      </c>
      <c r="W563" s="1704">
        <f>+IF(COLUMNS($L563:W563)&lt;month,'6. Market'!$K$91/12,'6. Market'!$L$91/12)</f>
        <v>1856.575</v>
      </c>
    </row>
    <row r="564" spans="1:26">
      <c r="A564" t="s">
        <v>158</v>
      </c>
      <c r="B564" t="str">
        <f t="shared" si="28"/>
        <v>X10_11032_00494</v>
      </c>
      <c r="C564" t="str">
        <f>+$C$460</f>
        <v>LE_XXXX</v>
      </c>
      <c r="D564" t="s">
        <v>2886</v>
      </c>
      <c r="E564" t="s">
        <v>159</v>
      </c>
      <c r="F564" t="s">
        <v>156</v>
      </c>
      <c r="G564" t="s">
        <v>2889</v>
      </c>
      <c r="H564" t="s">
        <v>154</v>
      </c>
      <c r="I564" t="s">
        <v>146</v>
      </c>
      <c r="J564" t="s">
        <v>147</v>
      </c>
      <c r="K564" t="str">
        <f>+"FY"&amp;RIGHT(YEAR('Hyperion Panel'!$B$9)+2,2)</f>
        <v>FY12</v>
      </c>
      <c r="L564" s="103">
        <f>'Hyperion Panel'!$C$7</f>
        <v>1</v>
      </c>
      <c r="M564" s="103">
        <f>'Hyperion Panel'!$C$7</f>
        <v>1</v>
      </c>
      <c r="N564" s="103">
        <f>'Hyperion Panel'!$C$7</f>
        <v>1</v>
      </c>
      <c r="O564" s="103">
        <f>'Hyperion Panel'!$C$7</f>
        <v>1</v>
      </c>
      <c r="P564" s="103">
        <f>'Hyperion Panel'!$C$7</f>
        <v>1</v>
      </c>
      <c r="Q564" s="103">
        <f>'Hyperion Panel'!$C$7</f>
        <v>1</v>
      </c>
      <c r="R564" s="103">
        <f>'Hyperion Panel'!$C$7</f>
        <v>1</v>
      </c>
      <c r="S564" s="103">
        <f>'Hyperion Panel'!$C$7</f>
        <v>1</v>
      </c>
      <c r="T564" s="103">
        <f>'Hyperion Panel'!$C$7</f>
        <v>1</v>
      </c>
      <c r="U564" s="103">
        <f>'Hyperion Panel'!$C$7</f>
        <v>1</v>
      </c>
      <c r="V564" s="1694">
        <f>'Hyperion Panel'!$C$7</f>
        <v>1</v>
      </c>
      <c r="W564" s="103">
        <f>'Hyperion Panel'!$C$7</f>
        <v>1</v>
      </c>
    </row>
    <row r="565" spans="1:26">
      <c r="A565" t="s">
        <v>160</v>
      </c>
      <c r="B565" t="str">
        <f t="shared" si="28"/>
        <v>X10_11032_00494</v>
      </c>
      <c r="C565" t="str">
        <f>+$C$460</f>
        <v>LE_XXXX</v>
      </c>
      <c r="D565" t="s">
        <v>2886</v>
      </c>
      <c r="E565" t="s">
        <v>161</v>
      </c>
      <c r="F565" t="s">
        <v>156</v>
      </c>
      <c r="G565" t="s">
        <v>2889</v>
      </c>
      <c r="H565" t="s">
        <v>154</v>
      </c>
      <c r="I565" t="s">
        <v>146</v>
      </c>
      <c r="J565" t="s">
        <v>147</v>
      </c>
      <c r="K565" t="str">
        <f>+"FY"&amp;RIGHT(YEAR('Hyperion Panel'!$B$9)+2,2)</f>
        <v>FY12</v>
      </c>
      <c r="L565" s="1705">
        <v>0</v>
      </c>
      <c r="M565" s="1705">
        <v>0</v>
      </c>
      <c r="N565" s="1705">
        <v>0</v>
      </c>
      <c r="O565" s="1705">
        <v>0</v>
      </c>
      <c r="P565" s="1705">
        <v>0</v>
      </c>
      <c r="Q565" s="1705">
        <v>0</v>
      </c>
      <c r="R565" s="1705">
        <v>0</v>
      </c>
      <c r="S565" s="1705">
        <v>0</v>
      </c>
      <c r="T565" s="1705">
        <v>0</v>
      </c>
      <c r="U565" s="1705">
        <v>0</v>
      </c>
      <c r="V565" s="1705">
        <v>0</v>
      </c>
      <c r="W565" s="1705">
        <v>0</v>
      </c>
    </row>
    <row r="566" spans="1:26" s="3" customFormat="1">
      <c r="A566" s="1687" t="s">
        <v>735</v>
      </c>
      <c r="B566" t="str">
        <f t="shared" si="28"/>
        <v>X10_11032_00494</v>
      </c>
      <c r="C566" s="1687"/>
      <c r="D566" s="1687"/>
      <c r="E566" s="1687"/>
      <c r="F566" s="1687"/>
      <c r="G566" s="1687"/>
      <c r="H566" s="1687"/>
      <c r="I566" s="1687"/>
      <c r="J566" s="1687"/>
      <c r="K566" t="str">
        <f>+"FY"&amp;RIGHT(YEAR('Hyperion Panel'!$B$9)+2,2)</f>
        <v>FY12</v>
      </c>
      <c r="L566" s="1705">
        <v>0</v>
      </c>
      <c r="M566" s="1705">
        <v>0</v>
      </c>
      <c r="N566" s="1705">
        <v>0</v>
      </c>
      <c r="O566" s="1705">
        <v>0</v>
      </c>
      <c r="P566" s="1705">
        <v>0</v>
      </c>
      <c r="Q566" s="1705">
        <v>0</v>
      </c>
      <c r="R566" s="1705">
        <v>0</v>
      </c>
      <c r="S566" s="1705">
        <v>0</v>
      </c>
      <c r="T566" s="1705">
        <v>0</v>
      </c>
      <c r="U566" s="1705">
        <v>0</v>
      </c>
      <c r="V566" s="1705">
        <v>0</v>
      </c>
      <c r="W566" s="1705">
        <v>0</v>
      </c>
      <c r="Y566" s="1688"/>
    </row>
    <row r="567" spans="1:26">
      <c r="L567" s="1705"/>
      <c r="M567" s="1705"/>
      <c r="N567" s="1705"/>
      <c r="O567" s="1705"/>
      <c r="P567" s="1705"/>
      <c r="Q567" s="1705"/>
      <c r="R567" s="1705"/>
      <c r="S567" s="1705"/>
      <c r="T567" s="1705"/>
      <c r="U567" s="1705"/>
      <c r="V567" s="1705"/>
      <c r="W567" s="1705"/>
    </row>
    <row r="568" spans="1:26">
      <c r="A568" s="98" t="s">
        <v>165</v>
      </c>
      <c r="B568" t="str">
        <f>+$B$460</f>
        <v>X10_11032_00494</v>
      </c>
      <c r="C568" t="str">
        <f>+$C$460</f>
        <v>LE_XXXX</v>
      </c>
      <c r="D568" t="s">
        <v>2886</v>
      </c>
      <c r="E568" t="s">
        <v>2887</v>
      </c>
      <c r="F568" t="s">
        <v>2888</v>
      </c>
      <c r="G568" t="s">
        <v>2889</v>
      </c>
      <c r="H568" t="s">
        <v>145</v>
      </c>
      <c r="I568" t="s">
        <v>146</v>
      </c>
      <c r="J568" t="s">
        <v>147</v>
      </c>
      <c r="K568" t="str">
        <f>+"FY"&amp;RIGHT(YEAR('Hyperion Panel'!$B$9)+3,2)</f>
        <v>FY13</v>
      </c>
      <c r="L568" s="1612"/>
      <c r="M568" s="1612"/>
      <c r="N568" s="1612"/>
      <c r="O568" s="1612"/>
      <c r="P568" s="1612"/>
      <c r="Q568" s="1612"/>
      <c r="R568" s="1612"/>
      <c r="S568" s="1612"/>
      <c r="T568" s="1612"/>
      <c r="U568" s="1612"/>
      <c r="V568" s="1702"/>
      <c r="W568" s="1612"/>
    </row>
    <row r="569" spans="1:26" s="98" customFormat="1" ht="12.75" customHeight="1">
      <c r="A569" s="100" t="s">
        <v>463</v>
      </c>
      <c r="L569" s="1697">
        <f>+IF(COLUMNS($L569:L569)&lt;month,VLOOKUP("Month "&amp;(COLUMNS($L569:L569)-month+13),X_baseline_Tx,7,FALSE)*52*3/12*(1-hemomiss),VLOOKUP("Month "&amp;(COLUMNS($L569:L569)-month+1),X_baseline_Tx,9,FALSE)*52*3/12*(1-hemomiss))</f>
        <v>574.08000000000004</v>
      </c>
      <c r="M569" s="1697">
        <f>+IF(COLUMNS($L569:M569)&lt;month,VLOOKUP("Month "&amp;(COLUMNS($L569:M569)-month+13),X_baseline_Tx,7,FALSE)*52*3/12*(1-hemomiss),VLOOKUP("Month "&amp;(COLUMNS($L569:M569)-month+1),X_baseline_Tx,9,FALSE)*52*3/12*(1-hemomiss))</f>
        <v>574.08000000000004</v>
      </c>
      <c r="N569" s="1697">
        <f>+IF(COLUMNS($L569:N569)&lt;month,VLOOKUP("Month "&amp;(COLUMNS($L569:N569)-month+13),X_baseline_Tx,7,FALSE)*52*3/12*(1-hemomiss),VLOOKUP("Month "&amp;(COLUMNS($L569:N569)-month+1),X_baseline_Tx,9,FALSE)*52*3/12*(1-hemomiss))</f>
        <v>574.08000000000004</v>
      </c>
      <c r="O569" s="1697">
        <f>+IF(COLUMNS($L569:O569)&lt;month,VLOOKUP("Month "&amp;(COLUMNS($L569:O569)-month+13),X_baseline_Tx,7,FALSE)*52*3/12*(1-hemomiss),VLOOKUP("Month "&amp;(COLUMNS($L569:O569)-month+1),X_baseline_Tx,9,FALSE)*52*3/12*(1-hemomiss))</f>
        <v>574.08000000000004</v>
      </c>
      <c r="P569" s="1697">
        <f>+IF(COLUMNS($L569:P569)&lt;month,VLOOKUP("Month "&amp;(COLUMNS($L569:P569)-month+13),X_baseline_Tx,7,FALSE)*52*3/12*(1-hemomiss),VLOOKUP("Month "&amp;(COLUMNS($L569:P569)-month+1),X_baseline_Tx,9,FALSE)*52*3/12*(1-hemomiss))</f>
        <v>574.08000000000004</v>
      </c>
      <c r="Q569" s="1697">
        <f>+IF(COLUMNS($L569:Q569)&lt;month,VLOOKUP("Month "&amp;(COLUMNS($L569:Q569)-month+13),X_baseline_Tx,7,FALSE)*52*3/12*(1-hemomiss),VLOOKUP("Month "&amp;(COLUMNS($L569:Q569)-month+1),X_baseline_Tx,9,FALSE)*52*3/12*(1-hemomiss))</f>
        <v>574.08000000000004</v>
      </c>
      <c r="R569" s="1697">
        <f>+IF(COLUMNS($L569:R569)&lt;month,VLOOKUP("Month "&amp;(COLUMNS($L569:R569)-month+13),X_baseline_Tx,7,FALSE)*52*3/12*(1-hemomiss),VLOOKUP("Month "&amp;(COLUMNS($L569:R569)-month+1),X_baseline_Tx,9,FALSE)*52*3/12*(1-hemomiss))</f>
        <v>574.08000000000004</v>
      </c>
      <c r="S569" s="1697">
        <f>+IF(COLUMNS($L569:S569)&lt;month,VLOOKUP("Month "&amp;(COLUMNS($L569:S569)-month+13),X_baseline_Tx,7,FALSE)*52*3/12*(1-hemomiss),VLOOKUP("Month "&amp;(COLUMNS($L569:S569)-month+1),X_baseline_Tx,9,FALSE)*52*3/12*(1-hemomiss))</f>
        <v>574.08000000000004</v>
      </c>
      <c r="T569" s="1697">
        <f>+IF(COLUMNS($L569:T569)&lt;month,VLOOKUP("Month "&amp;(COLUMNS($L569:T569)-month+13),X_baseline_Tx,7,FALSE)*52*3/12*(1-hemomiss),VLOOKUP("Month "&amp;(COLUMNS($L569:T569)-month+1),X_baseline_Tx,9,FALSE)*52*3/12*(1-hemomiss))</f>
        <v>574.08000000000004</v>
      </c>
      <c r="U569" s="1697">
        <f>+IF(COLUMNS($L569:U569)&lt;month,VLOOKUP("Month "&amp;(COLUMNS($L569:U569)-month+13),X_baseline_Tx,7,FALSE)*52*3/12*(1-hemomiss),VLOOKUP("Month "&amp;(COLUMNS($L569:U569)-month+1),X_baseline_Tx,9,FALSE)*52*3/12*(1-hemomiss))</f>
        <v>574.08000000000004</v>
      </c>
      <c r="V569" s="1700">
        <f>+IF(COLUMNS($L569:V569)&lt;month,VLOOKUP("Month "&amp;(COLUMNS($L569:V569)-month+13),X_baseline_Tx,7,FALSE)*52*3/12*(1-hemomiss),VLOOKUP("Month "&amp;(COLUMNS($L569:V569)-month+1),X_baseline_Tx,9,FALSE)*52*3/12*(1-hemomiss))</f>
        <v>574.08000000000004</v>
      </c>
      <c r="W569" s="1697">
        <f>+IF(COLUMNS($L569:W569)&lt;month,VLOOKUP("Month "&amp;(COLUMNS($L569:W569)-month+13),X_baseline_Tx,7,FALSE)*52*3/12*(1-hemomiss),VLOOKUP("Month "&amp;(COLUMNS($L569:W569)-month+1),X_baseline_Tx,9,FALSE)*52*3/12*(1-hemomiss))</f>
        <v>574.08000000000004</v>
      </c>
      <c r="Y569" s="99"/>
      <c r="Z569" s="97"/>
    </row>
    <row r="570" spans="1:26" s="98" customFormat="1" ht="12.75" customHeight="1">
      <c r="A570" s="100" t="s">
        <v>464</v>
      </c>
      <c r="L570" s="1697">
        <f>+IF(COLUMNS($L570:L570)&lt;month,VLOOKUP("Month "&amp;(COLUMNS($L570:L570)-month+13),X_baseline_Tx,8,FALSE)*52*3/12*(1-hemomiss),VLOOKUP("Month "&amp;(COLUMNS($L570:L570)-month+1),X_baseline_Tx,10,FALSE)*52*3/12*(1-hemomiss))</f>
        <v>23.92</v>
      </c>
      <c r="M570" s="1697">
        <f>+IF(COLUMNS($L570:M570)&lt;month,VLOOKUP("Month "&amp;(COLUMNS($L570:M570)-month+13),X_baseline_Tx,8,FALSE)*52*3/12*(1-hemomiss),VLOOKUP("Month "&amp;(COLUMNS($L570:M570)-month+1),X_baseline_Tx,10,FALSE)*52*3/12*(1-hemomiss))</f>
        <v>23.92</v>
      </c>
      <c r="N570" s="1697">
        <f>+IF(COLUMNS($L570:N570)&lt;month,VLOOKUP("Month "&amp;(COLUMNS($L570:N570)-month+13),X_baseline_Tx,8,FALSE)*52*3/12*(1-hemomiss),VLOOKUP("Month "&amp;(COLUMNS($L570:N570)-month+1),X_baseline_Tx,10,FALSE)*52*3/12*(1-hemomiss))</f>
        <v>23.92</v>
      </c>
      <c r="O570" s="1697">
        <f>+IF(COLUMNS($L570:O570)&lt;month,VLOOKUP("Month "&amp;(COLUMNS($L570:O570)-month+13),X_baseline_Tx,8,FALSE)*52*3/12*(1-hemomiss),VLOOKUP("Month "&amp;(COLUMNS($L570:O570)-month+1),X_baseline_Tx,10,FALSE)*52*3/12*(1-hemomiss))</f>
        <v>23.92</v>
      </c>
      <c r="P570" s="1697">
        <f>+IF(COLUMNS($L570:P570)&lt;month,VLOOKUP("Month "&amp;(COLUMNS($L570:P570)-month+13),X_baseline_Tx,8,FALSE)*52*3/12*(1-hemomiss),VLOOKUP("Month "&amp;(COLUMNS($L570:P570)-month+1),X_baseline_Tx,10,FALSE)*52*3/12*(1-hemomiss))</f>
        <v>23.92</v>
      </c>
      <c r="Q570" s="1697">
        <f>+IF(COLUMNS($L570:Q570)&lt;month,VLOOKUP("Month "&amp;(COLUMNS($L570:Q570)-month+13),X_baseline_Tx,8,FALSE)*52*3/12*(1-hemomiss),VLOOKUP("Month "&amp;(COLUMNS($L570:Q570)-month+1),X_baseline_Tx,10,FALSE)*52*3/12*(1-hemomiss))</f>
        <v>23.92</v>
      </c>
      <c r="R570" s="1697">
        <f>+IF(COLUMNS($L570:R570)&lt;month,VLOOKUP("Month "&amp;(COLUMNS($L570:R570)-month+13),X_baseline_Tx,8,FALSE)*52*3/12*(1-hemomiss),VLOOKUP("Month "&amp;(COLUMNS($L570:R570)-month+1),X_baseline_Tx,10,FALSE)*52*3/12*(1-hemomiss))</f>
        <v>23.92</v>
      </c>
      <c r="S570" s="1697">
        <f>+IF(COLUMNS($L570:S570)&lt;month,VLOOKUP("Month "&amp;(COLUMNS($L570:S570)-month+13),X_baseline_Tx,8,FALSE)*52*3/12*(1-hemomiss),VLOOKUP("Month "&amp;(COLUMNS($L570:S570)-month+1),X_baseline_Tx,10,FALSE)*52*3/12*(1-hemomiss))</f>
        <v>23.92</v>
      </c>
      <c r="T570" s="1697">
        <f>+IF(COLUMNS($L570:T570)&lt;month,VLOOKUP("Month "&amp;(COLUMNS($L570:T570)-month+13),X_baseline_Tx,8,FALSE)*52*3/12*(1-hemomiss),VLOOKUP("Month "&amp;(COLUMNS($L570:T570)-month+1),X_baseline_Tx,10,FALSE)*52*3/12*(1-hemomiss))</f>
        <v>23.92</v>
      </c>
      <c r="U570" s="1697">
        <f>+IF(COLUMNS($L570:U570)&lt;month,VLOOKUP("Month "&amp;(COLUMNS($L570:U570)-month+13),X_baseline_Tx,8,FALSE)*52*3/12*(1-hemomiss),VLOOKUP("Month "&amp;(COLUMNS($L570:U570)-month+1),X_baseline_Tx,10,FALSE)*52*3/12*(1-hemomiss))</f>
        <v>23.92</v>
      </c>
      <c r="V570" s="1700">
        <f>+IF(COLUMNS($L570:V570)&lt;month,VLOOKUP("Month "&amp;(COLUMNS($L570:V570)-month+13),X_baseline_Tx,8,FALSE)*52*3/12*(1-hemomiss),VLOOKUP("Month "&amp;(COLUMNS($L570:V570)-month+1),X_baseline_Tx,10,FALSE)*52*3/12*(1-hemomiss))</f>
        <v>23.92</v>
      </c>
      <c r="W570" s="1697">
        <f>+IF(COLUMNS($L570:W570)&lt;month,VLOOKUP("Month "&amp;(COLUMNS($L570:W570)-month+13),X_baseline_Tx,8,FALSE)*52*3/12*(1-hemomiss),VLOOKUP("Month "&amp;(COLUMNS($L570:W570)-month+1),X_baseline_Tx,10,FALSE)*52*3/12*(1-hemomiss))</f>
        <v>23.92</v>
      </c>
      <c r="Y570" s="99"/>
      <c r="Z570" s="97"/>
    </row>
    <row r="571" spans="1:26">
      <c r="A571" s="98" t="s">
        <v>162</v>
      </c>
      <c r="B571" t="str">
        <f>+$B$460</f>
        <v>X10_11032_00494</v>
      </c>
      <c r="C571" t="str">
        <f>+$C$460</f>
        <v>LE_XXXX</v>
      </c>
      <c r="D571" t="s">
        <v>2886</v>
      </c>
      <c r="E571" t="s">
        <v>149</v>
      </c>
      <c r="F571" t="s">
        <v>150</v>
      </c>
      <c r="G571" t="s">
        <v>2889</v>
      </c>
      <c r="H571" t="s">
        <v>145</v>
      </c>
      <c r="I571" t="s">
        <v>146</v>
      </c>
      <c r="J571" t="s">
        <v>147</v>
      </c>
      <c r="K571" t="str">
        <f>+"FY"&amp;RIGHT(YEAR('Hyperion Panel'!$B$9)+3,2)</f>
        <v>FY13</v>
      </c>
      <c r="L571" s="1612"/>
      <c r="M571" s="1612"/>
      <c r="N571" s="1612"/>
      <c r="O571" s="1612"/>
      <c r="P571" s="1612"/>
      <c r="Q571" s="1612"/>
      <c r="R571" s="1612"/>
      <c r="S571" s="1612"/>
      <c r="T571" s="1612"/>
      <c r="U571" s="1612"/>
      <c r="V571" s="1703"/>
      <c r="W571" s="1612"/>
    </row>
    <row r="572" spans="1:26" s="98" customFormat="1">
      <c r="A572" s="100" t="s">
        <v>463</v>
      </c>
      <c r="L572" s="1697">
        <f>+IF(COLUMNS($L572:L572)&lt;month,VLOOKUP("Month "&amp;(COLUMNS($L572:L572)-month+13),X_baseline_Tx,18,FALSE)*52*3/12*(1-homemiss),VLOOKUP("Month "&amp;(COLUMNS($L572:L572)-month+1),X_baseline_Tx,20,FALSE)*52*3/12*(1-homemiss))</f>
        <v>172.9</v>
      </c>
      <c r="M572" s="1697">
        <f>+IF(COLUMNS($L572:M572)&lt;month,VLOOKUP("Month "&amp;(COLUMNS($L572:M572)-month+13),X_baseline_Tx,18,FALSE)*52*3/12*(1-homemiss),VLOOKUP("Month "&amp;(COLUMNS($L572:M572)-month+1),X_baseline_Tx,20,FALSE)*52*3/12*(1-homemiss))</f>
        <v>172.9</v>
      </c>
      <c r="N572" s="1697">
        <f>+IF(COLUMNS($L572:N572)&lt;month,VLOOKUP("Month "&amp;(COLUMNS($L572:N572)-month+13),X_baseline_Tx,18,FALSE)*52*3/12*(1-homemiss),VLOOKUP("Month "&amp;(COLUMNS($L572:N572)-month+1),X_baseline_Tx,20,FALSE)*52*3/12*(1-homemiss))</f>
        <v>172.9</v>
      </c>
      <c r="O572" s="1697">
        <f>+IF(COLUMNS($L572:O572)&lt;month,VLOOKUP("Month "&amp;(COLUMNS($L572:O572)-month+13),X_baseline_Tx,18,FALSE)*52*3/12*(1-homemiss),VLOOKUP("Month "&amp;(COLUMNS($L572:O572)-month+1),X_baseline_Tx,20,FALSE)*52*3/12*(1-homemiss))</f>
        <v>172.9</v>
      </c>
      <c r="P572" s="1697">
        <f>+IF(COLUMNS($L572:P572)&lt;month,VLOOKUP("Month "&amp;(COLUMNS($L572:P572)-month+13),X_baseline_Tx,18,FALSE)*52*3/12*(1-homemiss),VLOOKUP("Month "&amp;(COLUMNS($L572:P572)-month+1),X_baseline_Tx,20,FALSE)*52*3/12*(1-homemiss))</f>
        <v>172.9</v>
      </c>
      <c r="Q572" s="1697">
        <f>+IF(COLUMNS($L572:Q572)&lt;month,VLOOKUP("Month "&amp;(COLUMNS($L572:Q572)-month+13),X_baseline_Tx,18,FALSE)*52*3/12*(1-homemiss),VLOOKUP("Month "&amp;(COLUMNS($L572:Q572)-month+1),X_baseline_Tx,20,FALSE)*52*3/12*(1-homemiss))</f>
        <v>172.9</v>
      </c>
      <c r="R572" s="1697">
        <f>+IF(COLUMNS($L572:R572)&lt;month,VLOOKUP("Month "&amp;(COLUMNS($L572:R572)-month+13),X_baseline_Tx,18,FALSE)*52*3/12*(1-homemiss),VLOOKUP("Month "&amp;(COLUMNS($L572:R572)-month+1),X_baseline_Tx,20,FALSE)*52*3/12*(1-homemiss))</f>
        <v>172.9</v>
      </c>
      <c r="S572" s="1697">
        <f>+IF(COLUMNS($L572:S572)&lt;month,VLOOKUP("Month "&amp;(COLUMNS($L572:S572)-month+13),X_baseline_Tx,18,FALSE)*52*3/12*(1-homemiss),VLOOKUP("Month "&amp;(COLUMNS($L572:S572)-month+1),X_baseline_Tx,20,FALSE)*52*3/12*(1-homemiss))</f>
        <v>172.9</v>
      </c>
      <c r="T572" s="1697">
        <f>+IF(COLUMNS($L572:T572)&lt;month,VLOOKUP("Month "&amp;(COLUMNS($L572:T572)-month+13),X_baseline_Tx,18,FALSE)*52*3/12*(1-homemiss),VLOOKUP("Month "&amp;(COLUMNS($L572:T572)-month+1),X_baseline_Tx,20,FALSE)*52*3/12*(1-homemiss))</f>
        <v>172.9</v>
      </c>
      <c r="U572" s="1697">
        <f>+IF(COLUMNS($L572:U572)&lt;month,VLOOKUP("Month "&amp;(COLUMNS($L572:U572)-month+13),X_baseline_Tx,18,FALSE)*52*3/12*(1-homemiss),VLOOKUP("Month "&amp;(COLUMNS($L572:U572)-month+1),X_baseline_Tx,20,FALSE)*52*3/12*(1-homemiss))</f>
        <v>172.9</v>
      </c>
      <c r="V572" s="1697">
        <f>+IF(COLUMNS($L572:V572)&lt;month,VLOOKUP("Month "&amp;(COLUMNS($L572:V572)-month+13),X_baseline_Tx,18,FALSE)*52*3/12*(1-homemiss),VLOOKUP("Month "&amp;(COLUMNS($L572:V572)-month+1),X_baseline_Tx,20,FALSE)*52*3/12*(1-homemiss))</f>
        <v>172.9</v>
      </c>
      <c r="W572" s="1697">
        <f>+IF(COLUMNS($L572:W572)&lt;month,VLOOKUP("Month "&amp;(COLUMNS($L572:W572)-month+13),X_baseline_Tx,18,FALSE)*52*3/12*(1-homemiss),VLOOKUP("Month "&amp;(COLUMNS($L572:W572)-month+1),X_baseline_Tx,20,FALSE)*52*3/12*(1-homemiss))</f>
        <v>172.9</v>
      </c>
      <c r="Y572" s="99"/>
    </row>
    <row r="573" spans="1:26" s="98" customFormat="1">
      <c r="A573" s="100" t="s">
        <v>464</v>
      </c>
      <c r="L573" s="1697">
        <f>+IF(COLUMNS($L573:L573)&lt;month,VLOOKUP("Month "&amp;(COLUMNS($L573:L573)-month+13),X_baseline_Tx,19,FALSE)*52*3/12*(1-homemiss),VLOOKUP("Month "&amp;(COLUMNS($L573:L573)-month+1),X_baseline_Tx,21,FALSE)*52*3/12*(1-homemiss))</f>
        <v>74.099999999999994</v>
      </c>
      <c r="M573" s="1697">
        <f>+IF(COLUMNS($L573:M573)&lt;month,VLOOKUP("Month "&amp;(COLUMNS($L573:M573)-month+13),X_baseline_Tx,19,FALSE)*52*3/12*(1-homemiss),VLOOKUP("Month "&amp;(COLUMNS($L573:M573)-month+1),X_baseline_Tx,21,FALSE)*52*3/12*(1-homemiss))</f>
        <v>74.099999999999994</v>
      </c>
      <c r="N573" s="1697">
        <f>+IF(COLUMNS($L573:N573)&lt;month,VLOOKUP("Month "&amp;(COLUMNS($L573:N573)-month+13),X_baseline_Tx,19,FALSE)*52*3/12*(1-homemiss),VLOOKUP("Month "&amp;(COLUMNS($L573:N573)-month+1),X_baseline_Tx,21,FALSE)*52*3/12*(1-homemiss))</f>
        <v>74.099999999999994</v>
      </c>
      <c r="O573" s="1697">
        <f>+IF(COLUMNS($L573:O573)&lt;month,VLOOKUP("Month "&amp;(COLUMNS($L573:O573)-month+13),X_baseline_Tx,19,FALSE)*52*3/12*(1-homemiss),VLOOKUP("Month "&amp;(COLUMNS($L573:O573)-month+1),X_baseline_Tx,21,FALSE)*52*3/12*(1-homemiss))</f>
        <v>74.099999999999994</v>
      </c>
      <c r="P573" s="1697">
        <f>+IF(COLUMNS($L573:P573)&lt;month,VLOOKUP("Month "&amp;(COLUMNS($L573:P573)-month+13),X_baseline_Tx,19,FALSE)*52*3/12*(1-homemiss),VLOOKUP("Month "&amp;(COLUMNS($L573:P573)-month+1),X_baseline_Tx,21,FALSE)*52*3/12*(1-homemiss))</f>
        <v>74.099999999999994</v>
      </c>
      <c r="Q573" s="1697">
        <f>+IF(COLUMNS($L573:Q573)&lt;month,VLOOKUP("Month "&amp;(COLUMNS($L573:Q573)-month+13),X_baseline_Tx,19,FALSE)*52*3/12*(1-homemiss),VLOOKUP("Month "&amp;(COLUMNS($L573:Q573)-month+1),X_baseline_Tx,21,FALSE)*52*3/12*(1-homemiss))</f>
        <v>74.099999999999994</v>
      </c>
      <c r="R573" s="1697">
        <f>+IF(COLUMNS($L573:R573)&lt;month,VLOOKUP("Month "&amp;(COLUMNS($L573:R573)-month+13),X_baseline_Tx,19,FALSE)*52*3/12*(1-homemiss),VLOOKUP("Month "&amp;(COLUMNS($L573:R573)-month+1),X_baseline_Tx,21,FALSE)*52*3/12*(1-homemiss))</f>
        <v>74.099999999999994</v>
      </c>
      <c r="S573" s="1697">
        <f>+IF(COLUMNS($L573:S573)&lt;month,VLOOKUP("Month "&amp;(COLUMNS($L573:S573)-month+13),X_baseline_Tx,19,FALSE)*52*3/12*(1-homemiss),VLOOKUP("Month "&amp;(COLUMNS($L573:S573)-month+1),X_baseline_Tx,21,FALSE)*52*3/12*(1-homemiss))</f>
        <v>74.099999999999994</v>
      </c>
      <c r="T573" s="1697">
        <f>+IF(COLUMNS($L573:T573)&lt;month,VLOOKUP("Month "&amp;(COLUMNS($L573:T573)-month+13),X_baseline_Tx,19,FALSE)*52*3/12*(1-homemiss),VLOOKUP("Month "&amp;(COLUMNS($L573:T573)-month+1),X_baseline_Tx,21,FALSE)*52*3/12*(1-homemiss))</f>
        <v>74.099999999999994</v>
      </c>
      <c r="U573" s="1697">
        <f>+IF(COLUMNS($L573:U573)&lt;month,VLOOKUP("Month "&amp;(COLUMNS($L573:U573)-month+13),X_baseline_Tx,19,FALSE)*52*3/12*(1-homemiss),VLOOKUP("Month "&amp;(COLUMNS($L573:U573)-month+1),X_baseline_Tx,21,FALSE)*52*3/12*(1-homemiss))</f>
        <v>74.099999999999994</v>
      </c>
      <c r="V573" s="1697">
        <f>+IF(COLUMNS($L573:V573)&lt;month,VLOOKUP("Month "&amp;(COLUMNS($L573:V573)-month+13),X_baseline_Tx,19,FALSE)*52*3/12*(1-homemiss),VLOOKUP("Month "&amp;(COLUMNS($L573:V573)-month+1),X_baseline_Tx,21,FALSE)*52*3/12*(1-homemiss))</f>
        <v>74.099999999999994</v>
      </c>
      <c r="W573" s="1697">
        <f>+IF(COLUMNS($L573:W573)&lt;month,VLOOKUP("Month "&amp;(COLUMNS($L573:W573)-month+13),X_baseline_Tx,19,FALSE)*52*3/12*(1-homemiss),VLOOKUP("Month "&amp;(COLUMNS($L573:W573)-month+1),X_baseline_Tx,21,FALSE)*52*3/12*(1-homemiss))</f>
        <v>74.099999999999994</v>
      </c>
      <c r="Y573" s="99"/>
    </row>
    <row r="574" spans="1:26">
      <c r="A574" s="4" t="s">
        <v>3767</v>
      </c>
      <c r="B574" s="4" t="str">
        <f>+$B$460</f>
        <v>X10_11032_00494</v>
      </c>
      <c r="C574" s="4"/>
      <c r="D574" s="4"/>
      <c r="E574" s="4"/>
      <c r="F574" s="4"/>
      <c r="G574" s="4"/>
      <c r="H574" s="4"/>
      <c r="I574" s="4"/>
      <c r="J574" s="4"/>
      <c r="K574" s="4" t="str">
        <f>+"FY"&amp;RIGHT(YEAR('Hyperion Panel'!$B$9)+3,2)</f>
        <v>FY13</v>
      </c>
      <c r="L574" s="1698"/>
      <c r="M574" s="1698"/>
      <c r="N574" s="1698"/>
      <c r="O574" s="1698"/>
      <c r="P574" s="1698"/>
      <c r="Q574" s="1698"/>
      <c r="R574" s="1698"/>
      <c r="S574" s="1698"/>
      <c r="T574" s="1698"/>
      <c r="U574" s="1698"/>
      <c r="V574" s="1699"/>
      <c r="W574" s="1698"/>
      <c r="Y574" s="99"/>
    </row>
    <row r="575" spans="1:26">
      <c r="A575" s="101" t="s">
        <v>463</v>
      </c>
      <c r="B575" s="4"/>
      <c r="C575" s="4"/>
      <c r="D575" s="4"/>
      <c r="E575" s="4"/>
      <c r="F575" s="4"/>
      <c r="G575" s="4"/>
      <c r="H575" s="4"/>
      <c r="I575" s="4"/>
      <c r="J575" s="4"/>
      <c r="K575" s="4"/>
      <c r="L575" s="1698">
        <f>+IF(COLUMNS($L575:L575)&lt;month,VLOOKUP("Month "&amp;(COLUMNS($L575:L575)-month+13),X_baseline_Tx,29,FALSE)*52*3/12*(1-hhdmiss),VLOOKUP("Month "&amp;(COLUMNS($L575:L575)-month+1),X_baseline_Tx,31,FALSE)*52*3/12*(1-hhdmiss))</f>
        <v>65</v>
      </c>
      <c r="M575" s="1698">
        <f>+IF(COLUMNS($L575:M575)&lt;month,VLOOKUP("Month "&amp;(COLUMNS($L575:M575)-month+13),X_baseline_Tx,29,FALSE)*52*3/12*(1-hhdmiss),VLOOKUP("Month "&amp;(COLUMNS($L575:M575)-month+1),X_baseline_Tx,31,FALSE)*52*3/12*(1-hhdmiss))</f>
        <v>65</v>
      </c>
      <c r="N575" s="1698">
        <f>+IF(COLUMNS($L575:N575)&lt;month,VLOOKUP("Month "&amp;(COLUMNS($L575:N575)-month+13),X_baseline_Tx,29,FALSE)*52*3/12*(1-hhdmiss),VLOOKUP("Month "&amp;(COLUMNS($L575:N575)-month+1),X_baseline_Tx,31,FALSE)*52*3/12*(1-hhdmiss))</f>
        <v>65</v>
      </c>
      <c r="O575" s="1698">
        <f>+IF(COLUMNS($L575:O575)&lt;month,VLOOKUP("Month "&amp;(COLUMNS($L575:O575)-month+13),X_baseline_Tx,29,FALSE)*52*3/12*(1-hhdmiss),VLOOKUP("Month "&amp;(COLUMNS($L575:O575)-month+1),X_baseline_Tx,31,FALSE)*52*3/12*(1-hhdmiss))</f>
        <v>65</v>
      </c>
      <c r="P575" s="1698">
        <f>+IF(COLUMNS($L575:P575)&lt;month,VLOOKUP("Month "&amp;(COLUMNS($L575:P575)-month+13),X_baseline_Tx,29,FALSE)*52*3/12*(1-hhdmiss),VLOOKUP("Month "&amp;(COLUMNS($L575:P575)-month+1),X_baseline_Tx,31,FALSE)*52*3/12*(1-hhdmiss))</f>
        <v>65</v>
      </c>
      <c r="Q575" s="1698">
        <f>+IF(COLUMNS($L575:Q575)&lt;month,VLOOKUP("Month "&amp;(COLUMNS($L575:Q575)-month+13),X_baseline_Tx,29,FALSE)*52*3/12*(1-hhdmiss),VLOOKUP("Month "&amp;(COLUMNS($L575:Q575)-month+1),X_baseline_Tx,31,FALSE)*52*3/12*(1-hhdmiss))</f>
        <v>65</v>
      </c>
      <c r="R575" s="1698">
        <f>+IF(COLUMNS($L575:R575)&lt;month,VLOOKUP("Month "&amp;(COLUMNS($L575:R575)-month+13),X_baseline_Tx,29,FALSE)*52*3/12*(1-hhdmiss),VLOOKUP("Month "&amp;(COLUMNS($L575:R575)-month+1),X_baseline_Tx,31,FALSE)*52*3/12*(1-hhdmiss))</f>
        <v>65</v>
      </c>
      <c r="S575" s="1698">
        <f>+IF(COLUMNS($L575:S575)&lt;month,VLOOKUP("Month "&amp;(COLUMNS($L575:S575)-month+13),X_baseline_Tx,29,FALSE)*52*3/12*(1-hhdmiss),VLOOKUP("Month "&amp;(COLUMNS($L575:S575)-month+1),X_baseline_Tx,31,FALSE)*52*3/12*(1-hhdmiss))</f>
        <v>65</v>
      </c>
      <c r="T575" s="1698">
        <f>+IF(COLUMNS($L575:T575)&lt;month,VLOOKUP("Month "&amp;(COLUMNS($L575:T575)-month+13),X_baseline_Tx,29,FALSE)*52*3/12*(1-hhdmiss),VLOOKUP("Month "&amp;(COLUMNS($L575:T575)-month+1),X_baseline_Tx,31,FALSE)*52*3/12*(1-hhdmiss))</f>
        <v>65</v>
      </c>
      <c r="U575" s="1698">
        <f>+IF(COLUMNS($L575:U575)&lt;month,VLOOKUP("Month "&amp;(COLUMNS($L575:U575)-month+13),X_baseline_Tx,29,FALSE)*52*3/12*(1-hhdmiss),VLOOKUP("Month "&amp;(COLUMNS($L575:U575)-month+1),X_baseline_Tx,31,FALSE)*52*3/12*(1-hhdmiss))</f>
        <v>65</v>
      </c>
      <c r="V575" s="1699">
        <f>+IF(COLUMNS($L575:V575)&lt;month,VLOOKUP("Month "&amp;(COLUMNS($L575:V575)-month+13),X_baseline_Tx,29,FALSE)*52*3/12*(1-hhdmiss),VLOOKUP("Month "&amp;(COLUMNS($L575:V575)-month+1),X_baseline_Tx,31,FALSE)*52*3/12*(1-hhdmiss))</f>
        <v>65</v>
      </c>
      <c r="W575" s="1698">
        <f>+IF(COLUMNS($L575:W575)&lt;month,VLOOKUP("Month "&amp;(COLUMNS($L575:W575)-month+13),X_baseline_Tx,29,FALSE)*52*3/12*(1-hhdmiss),VLOOKUP("Month "&amp;(COLUMNS($L575:W575)-month+1),X_baseline_Tx,31,FALSE)*52*3/12*(1-hhdmiss))</f>
        <v>65</v>
      </c>
      <c r="Y575" s="99"/>
    </row>
    <row r="576" spans="1:26">
      <c r="A576" s="101" t="s">
        <v>464</v>
      </c>
      <c r="B576" s="4"/>
      <c r="C576" s="4"/>
      <c r="D576" s="4"/>
      <c r="E576" s="4"/>
      <c r="F576" s="4"/>
      <c r="G576" s="4"/>
      <c r="H576" s="4"/>
      <c r="I576" s="4"/>
      <c r="J576" s="4"/>
      <c r="K576" s="4"/>
      <c r="L576" s="1698">
        <f>+IF(COLUMNS($L576:L576)&lt;month,VLOOKUP("Month "&amp;(COLUMNS($L576:L576)-month+13),X_baseline_Tx,30,FALSE)*52*4.3/12*(1-hhdmiss),VLOOKUP("Month "&amp;(COLUMNS($L576:L576)-month+1),X_baseline_Tx,32,FALSE)*52*4.3/12*(1-hhdmiss))</f>
        <v>0</v>
      </c>
      <c r="M576" s="1698">
        <f>+IF(COLUMNS($L576:M576)&lt;month,VLOOKUP("Month "&amp;(COLUMNS($L576:M576)-month+13),X_baseline_Tx,30,FALSE)*52*4.3/12*(1-hhdmiss),VLOOKUP("Month "&amp;(COLUMNS($L576:M576)-month+1),X_baseline_Tx,32,FALSE)*52*4.3/12*(1-hhdmiss))</f>
        <v>0</v>
      </c>
      <c r="N576" s="1698">
        <f>+IF(COLUMNS($L576:N576)&lt;month,VLOOKUP("Month "&amp;(COLUMNS($L576:N576)-month+13),X_baseline_Tx,30,FALSE)*52*4.3/12*(1-hhdmiss),VLOOKUP("Month "&amp;(COLUMNS($L576:N576)-month+1),X_baseline_Tx,32,FALSE)*52*4.3/12*(1-hhdmiss))</f>
        <v>0</v>
      </c>
      <c r="O576" s="1698">
        <f>+IF(COLUMNS($L576:O576)&lt;month,VLOOKUP("Month "&amp;(COLUMNS($L576:O576)-month+13),X_baseline_Tx,30,FALSE)*52*4.3/12*(1-hhdmiss),VLOOKUP("Month "&amp;(COLUMNS($L576:O576)-month+1),X_baseline_Tx,32,FALSE)*52*4.3/12*(1-hhdmiss))</f>
        <v>0</v>
      </c>
      <c r="P576" s="1698">
        <f>+IF(COLUMNS($L576:P576)&lt;month,VLOOKUP("Month "&amp;(COLUMNS($L576:P576)-month+13),X_baseline_Tx,30,FALSE)*52*4.3/12*(1-hhdmiss),VLOOKUP("Month "&amp;(COLUMNS($L576:P576)-month+1),X_baseline_Tx,32,FALSE)*52*4.3/12*(1-hhdmiss))</f>
        <v>0</v>
      </c>
      <c r="Q576" s="1698">
        <f>+IF(COLUMNS($L576:Q576)&lt;month,VLOOKUP("Month "&amp;(COLUMNS($L576:Q576)-month+13),X_baseline_Tx,30,FALSE)*52*4.3/12*(1-hhdmiss),VLOOKUP("Month "&amp;(COLUMNS($L576:Q576)-month+1),X_baseline_Tx,32,FALSE)*52*4.3/12*(1-hhdmiss))</f>
        <v>0</v>
      </c>
      <c r="R576" s="1698">
        <f>+IF(COLUMNS($L576:R576)&lt;month,VLOOKUP("Month "&amp;(COLUMNS($L576:R576)-month+13),X_baseline_Tx,30,FALSE)*52*4.3/12*(1-hhdmiss),VLOOKUP("Month "&amp;(COLUMNS($L576:R576)-month+1),X_baseline_Tx,32,FALSE)*52*4.3/12*(1-hhdmiss))</f>
        <v>0</v>
      </c>
      <c r="S576" s="1698">
        <f>+IF(COLUMNS($L576:S576)&lt;month,VLOOKUP("Month "&amp;(COLUMNS($L576:S576)-month+13),X_baseline_Tx,30,FALSE)*52*4.3/12*(1-hhdmiss),VLOOKUP("Month "&amp;(COLUMNS($L576:S576)-month+1),X_baseline_Tx,32,FALSE)*52*4.3/12*(1-hhdmiss))</f>
        <v>0</v>
      </c>
      <c r="T576" s="1698">
        <f>+IF(COLUMNS($L576:T576)&lt;month,VLOOKUP("Month "&amp;(COLUMNS($L576:T576)-month+13),X_baseline_Tx,30,FALSE)*52*4.3/12*(1-hhdmiss),VLOOKUP("Month "&amp;(COLUMNS($L576:T576)-month+1),X_baseline_Tx,32,FALSE)*52*4.3/12*(1-hhdmiss))</f>
        <v>0</v>
      </c>
      <c r="U576" s="1698">
        <f>+IF(COLUMNS($L576:U576)&lt;month,VLOOKUP("Month "&amp;(COLUMNS($L576:U576)-month+13),X_baseline_Tx,30,FALSE)*52*4.3/12*(1-hhdmiss),VLOOKUP("Month "&amp;(COLUMNS($L576:U576)-month+1),X_baseline_Tx,32,FALSE)*52*4.3/12*(1-hhdmiss))</f>
        <v>0</v>
      </c>
      <c r="V576" s="1698">
        <f>+IF(COLUMNS($L576:V576)&lt;month,VLOOKUP("Month "&amp;(COLUMNS($L576:V576)-month+13),X_baseline_Tx,30,FALSE)*52*4.3/12*(1-hhdmiss),VLOOKUP("Month "&amp;(COLUMNS($L576:V576)-month+1),X_baseline_Tx,32,FALSE)*52*4.3/12*(1-hhdmiss))</f>
        <v>0</v>
      </c>
      <c r="W576" s="1698">
        <f>+IF(COLUMNS($L576:W576)&lt;month,VLOOKUP("Month "&amp;(COLUMNS($L576:W576)-month+13),X_baseline_Tx,30,FALSE)*52*4.3/12*(1-hhdmiss),VLOOKUP("Month "&amp;(COLUMNS($L576:W576)-month+1),X_baseline_Tx,32,FALSE)*52*4.3/12*(1-hhdmiss))</f>
        <v>0</v>
      </c>
      <c r="Y576" s="99"/>
    </row>
    <row r="577" spans="1:26">
      <c r="A577" s="98" t="s">
        <v>163</v>
      </c>
      <c r="B577" t="str">
        <f>+$B$460</f>
        <v>X10_11032_00494</v>
      </c>
      <c r="C577" t="str">
        <f>+$C$460</f>
        <v>LE_XXXX</v>
      </c>
      <c r="D577" t="s">
        <v>2886</v>
      </c>
      <c r="E577">
        <v>3010</v>
      </c>
      <c r="F577" t="s">
        <v>2888</v>
      </c>
      <c r="G577" t="s">
        <v>2889</v>
      </c>
      <c r="H577" t="s">
        <v>145</v>
      </c>
      <c r="I577" t="s">
        <v>146</v>
      </c>
      <c r="J577" t="s">
        <v>147</v>
      </c>
      <c r="K577" t="str">
        <f>+"FY"&amp;RIGHT(YEAR('Hyperion Panel'!$B$9)+3,2)</f>
        <v>FY13</v>
      </c>
      <c r="L577" s="1612"/>
      <c r="M577" s="1612"/>
      <c r="N577" s="1612"/>
      <c r="O577" s="1612"/>
      <c r="P577" s="1612"/>
      <c r="Q577" s="1612"/>
      <c r="R577" s="1612"/>
      <c r="S577" s="1612"/>
      <c r="T577" s="1612"/>
      <c r="U577" s="1612"/>
      <c r="V577" s="1702"/>
      <c r="W577" s="1612"/>
    </row>
    <row r="578" spans="1:26" s="98" customFormat="1">
      <c r="A578" s="100" t="s">
        <v>463</v>
      </c>
      <c r="L578" s="1697">
        <f>+IF(COLUMNS($L578:L578)&lt;month,'6. Market'!$L$15*L569,'6. Market'!$M$15*L569)</f>
        <v>148268.1823254333</v>
      </c>
      <c r="M578" s="1697">
        <f>+IF(COLUMNS($L578:M578)&lt;month,'6. Market'!$L$15*M569,'6. Market'!$M$15*M569)</f>
        <v>148268.1823254333</v>
      </c>
      <c r="N578" s="1697">
        <f>+IF(COLUMNS($L578:N578)&lt;month,'6. Market'!$L$15*N569,'6. Market'!$M$15*N569)</f>
        <v>148268.1823254333</v>
      </c>
      <c r="O578" s="1697">
        <f>+IF(COLUMNS($L578:O578)&lt;month,'6. Market'!$L$15*O569,'6. Market'!$M$15*O569)</f>
        <v>148268.1823254333</v>
      </c>
      <c r="P578" s="1697">
        <f>+IF(COLUMNS($L578:P578)&lt;month,'6. Market'!$L$15*P569,'6. Market'!$M$15*P569)</f>
        <v>148268.1823254333</v>
      </c>
      <c r="Q578" s="1697">
        <f>+IF(COLUMNS($L578:Q578)&lt;month,'6. Market'!$L$15*Q569,'6. Market'!$M$15*Q569)</f>
        <v>148268.1823254333</v>
      </c>
      <c r="R578" s="1697">
        <f>+IF(COLUMNS($L578:R578)&lt;month,'6. Market'!$L$15*R569,'6. Market'!$M$15*R569)</f>
        <v>148268.1823254333</v>
      </c>
      <c r="S578" s="1697">
        <f>+IF(COLUMNS($L578:S578)&lt;month,'6. Market'!$L$15*S569,'6. Market'!$M$15*S569)</f>
        <v>148268.1823254333</v>
      </c>
      <c r="T578" s="1697">
        <f>+IF(COLUMNS($L578:T578)&lt;month,'6. Market'!$L$15*T569,'6. Market'!$M$15*T569)</f>
        <v>148268.1823254333</v>
      </c>
      <c r="U578" s="1697">
        <f>+IF(COLUMNS($L578:U578)&lt;month,'6. Market'!$L$15*U569,'6. Market'!$M$15*U569)</f>
        <v>148268.1823254333</v>
      </c>
      <c r="V578" s="1700">
        <f>+IF(COLUMNS($L578:V578)&lt;month,'6. Market'!$L$15*V569,'6. Market'!$M$15*V569)</f>
        <v>148268.1823254333</v>
      </c>
      <c r="W578" s="1697">
        <f>+IF(COLUMNS($L578:W578)&lt;month,'6. Market'!$L$15*W569,'6. Market'!$M$15*W569)</f>
        <v>148268.1823254333</v>
      </c>
      <c r="Y578" s="99"/>
      <c r="Z578" s="97"/>
    </row>
    <row r="579" spans="1:26" s="98" customFormat="1">
      <c r="A579" s="100" t="s">
        <v>464</v>
      </c>
      <c r="L579" s="1697">
        <f>+IF(COLUMNS($L579:L579)&lt;month,'6. Market'!$L$23*L570,'6. Market'!$M$23*L570)</f>
        <v>25445.437493068097</v>
      </c>
      <c r="M579" s="1697">
        <f>+IF(COLUMNS($L579:M579)&lt;month,'6. Market'!$L$23*M570,'6. Market'!$M$23*M570)</f>
        <v>25445.437493068097</v>
      </c>
      <c r="N579" s="1697">
        <f>+IF(COLUMNS($L579:N579)&lt;month,'6. Market'!$L$23*N570,'6. Market'!$M$23*N570)</f>
        <v>25445.437493068097</v>
      </c>
      <c r="O579" s="1697">
        <f>+IF(COLUMNS($L579:O579)&lt;month,'6. Market'!$L$23*O570,'6. Market'!$M$23*O570)</f>
        <v>25445.437493068097</v>
      </c>
      <c r="P579" s="1697">
        <f>+IF(COLUMNS($L579:P579)&lt;month,'6. Market'!$L$23*P570,'6. Market'!$M$23*P570)</f>
        <v>25445.437493068097</v>
      </c>
      <c r="Q579" s="1697">
        <f>+IF(COLUMNS($L579:Q579)&lt;month,'6. Market'!$L$23*Q570,'6. Market'!$M$23*Q570)</f>
        <v>25445.437493068097</v>
      </c>
      <c r="R579" s="1697">
        <f>+IF(COLUMNS($L579:R579)&lt;month,'6. Market'!$L$23*R570,'6. Market'!$M$23*R570)</f>
        <v>25445.437493068097</v>
      </c>
      <c r="S579" s="1697">
        <f>+IF(COLUMNS($L579:S579)&lt;month,'6. Market'!$L$23*S570,'6. Market'!$M$23*S570)</f>
        <v>25445.437493068097</v>
      </c>
      <c r="T579" s="1697">
        <f>+IF(COLUMNS($L579:T579)&lt;month,'6. Market'!$L$23*T570,'6. Market'!$M$23*T570)</f>
        <v>25445.437493068097</v>
      </c>
      <c r="U579" s="1697">
        <f>+IF(COLUMNS($L579:U579)&lt;month,'6. Market'!$L$23*U570,'6. Market'!$M$23*U570)</f>
        <v>25445.437493068097</v>
      </c>
      <c r="V579" s="1700">
        <f>+IF(COLUMNS($L579:V579)&lt;month,'6. Market'!$L$23*V570,'6. Market'!$M$23*V570)</f>
        <v>26030.682555408661</v>
      </c>
      <c r="W579" s="1697">
        <f>+IF(COLUMNS($L579:W579)&lt;month,'6. Market'!$L$23*W570,'6. Market'!$M$23*W570)</f>
        <v>26030.682555408661</v>
      </c>
      <c r="Y579" s="99"/>
      <c r="Z579" s="97"/>
    </row>
    <row r="580" spans="1:26">
      <c r="A580" s="98" t="s">
        <v>164</v>
      </c>
      <c r="B580" t="str">
        <f>+$B$460</f>
        <v>X10_11032_00494</v>
      </c>
      <c r="C580" t="str">
        <f>+$C$460</f>
        <v>LE_XXXX</v>
      </c>
      <c r="D580" t="s">
        <v>2886</v>
      </c>
      <c r="E580">
        <v>3030</v>
      </c>
      <c r="F580" t="s">
        <v>150</v>
      </c>
      <c r="G580" t="s">
        <v>2889</v>
      </c>
      <c r="H580" t="s">
        <v>145</v>
      </c>
      <c r="I580" t="s">
        <v>146</v>
      </c>
      <c r="J580" t="s">
        <v>147</v>
      </c>
      <c r="K580" t="str">
        <f>+"FY"&amp;RIGHT(YEAR('Hyperion Panel'!$B$9)+3,2)</f>
        <v>FY13</v>
      </c>
      <c r="L580" s="1612"/>
      <c r="M580" s="1612"/>
      <c r="N580" s="1612"/>
      <c r="O580" s="1612"/>
      <c r="P580" s="1612"/>
      <c r="Q580" s="1612"/>
      <c r="R580" s="1612"/>
      <c r="S580" s="1612"/>
      <c r="T580" s="1612"/>
      <c r="U580" s="1612"/>
      <c r="V580" s="1703"/>
      <c r="W580" s="1612"/>
    </row>
    <row r="581" spans="1:26" s="98" customFormat="1">
      <c r="A581" s="100" t="s">
        <v>463</v>
      </c>
      <c r="L581" s="1697">
        <f>+IF(COLUMNS($L581:L581)&lt;month,'6. Market'!$L$32*L572,'6. Market'!$M$32*L572)</f>
        <v>43489.791911071581</v>
      </c>
      <c r="M581" s="1697">
        <f>+IF(COLUMNS($L581:M581)&lt;month,'6. Market'!$L$32*M572,'6. Market'!$M$32*M572)</f>
        <v>43489.791911071581</v>
      </c>
      <c r="N581" s="1697">
        <f>+IF(COLUMNS($L581:N581)&lt;month,'6. Market'!$L$32*N572,'6. Market'!$M$32*N572)</f>
        <v>43489.791911071581</v>
      </c>
      <c r="O581" s="1697">
        <f>+IF(COLUMNS($L581:O581)&lt;month,'6. Market'!$L$32*O572,'6. Market'!$M$32*O572)</f>
        <v>43489.791911071581</v>
      </c>
      <c r="P581" s="1697">
        <f>+IF(COLUMNS($L581:P581)&lt;month,'6. Market'!$L$32*P572,'6. Market'!$M$32*P572)</f>
        <v>43489.791911071581</v>
      </c>
      <c r="Q581" s="1697">
        <f>+IF(COLUMNS($L581:Q581)&lt;month,'6. Market'!$L$32*Q572,'6. Market'!$M$32*Q572)</f>
        <v>43489.791911071581</v>
      </c>
      <c r="R581" s="1697">
        <f>+IF(COLUMNS($L581:R581)&lt;month,'6. Market'!$L$32*R572,'6. Market'!$M$32*R572)</f>
        <v>43489.791911071581</v>
      </c>
      <c r="S581" s="1697">
        <f>+IF(COLUMNS($L581:S581)&lt;month,'6. Market'!$L$32*S572,'6. Market'!$M$32*S572)</f>
        <v>43489.791911071581</v>
      </c>
      <c r="T581" s="1697">
        <f>+IF(COLUMNS($L581:T581)&lt;month,'6. Market'!$L$32*T572,'6. Market'!$M$32*T572)</f>
        <v>43489.791911071581</v>
      </c>
      <c r="U581" s="1697">
        <f>+IF(COLUMNS($L581:U581)&lt;month,'6. Market'!$L$32*U572,'6. Market'!$M$32*U572)</f>
        <v>43489.791911071581</v>
      </c>
      <c r="V581" s="1697">
        <f>+IF(COLUMNS($L581:V581)&lt;month,'6. Market'!$L$32*V572,'6. Market'!$M$32*V572)</f>
        <v>43489.791911071581</v>
      </c>
      <c r="W581" s="1697">
        <f>+IF(COLUMNS($L581:W581)&lt;month,'6. Market'!$L$32*W572,'6. Market'!$M$32*W572)</f>
        <v>43489.791911071581</v>
      </c>
      <c r="Y581" s="99"/>
    </row>
    <row r="582" spans="1:26" s="98" customFormat="1">
      <c r="A582" s="100" t="s">
        <v>464</v>
      </c>
      <c r="L582" s="1697">
        <f>+IF(COLUMNS($L582:L582)&lt;month,'6. Market'!$L$40*L573,'6. Market'!$M$40*L573)</f>
        <v>78825.540060047919</v>
      </c>
      <c r="M582" s="1697">
        <f>+IF(COLUMNS($L582:M582)&lt;month,'6. Market'!$L$40*M573,'6. Market'!$M$40*M573)</f>
        <v>78825.540060047919</v>
      </c>
      <c r="N582" s="1697">
        <f>+IF(COLUMNS($L582:N582)&lt;month,'6. Market'!$L$40*N573,'6. Market'!$M$40*N573)</f>
        <v>78825.540060047919</v>
      </c>
      <c r="O582" s="1697">
        <f>+IF(COLUMNS($L582:O582)&lt;month,'6. Market'!$L$40*O573,'6. Market'!$M$40*O573)</f>
        <v>78825.540060047919</v>
      </c>
      <c r="P582" s="1697">
        <f>+IF(COLUMNS($L582:P582)&lt;month,'6. Market'!$L$40*P573,'6. Market'!$M$40*P573)</f>
        <v>78825.540060047919</v>
      </c>
      <c r="Q582" s="1697">
        <f>+IF(COLUMNS($L582:Q582)&lt;month,'6. Market'!$L$40*Q573,'6. Market'!$M$40*Q573)</f>
        <v>78825.540060047919</v>
      </c>
      <c r="R582" s="1697">
        <f>+IF(COLUMNS($L582:R582)&lt;month,'6. Market'!$L$40*R573,'6. Market'!$M$40*R573)</f>
        <v>78825.540060047919</v>
      </c>
      <c r="S582" s="1697">
        <f>+IF(COLUMNS($L582:S582)&lt;month,'6. Market'!$L$40*S573,'6. Market'!$M$40*S573)</f>
        <v>78825.540060047919</v>
      </c>
      <c r="T582" s="1697">
        <f>+IF(COLUMNS($L582:T582)&lt;month,'6. Market'!$L$40*T573,'6. Market'!$M$40*T573)</f>
        <v>78825.540060047919</v>
      </c>
      <c r="U582" s="1697">
        <f>+IF(COLUMNS($L582:U582)&lt;month,'6. Market'!$L$40*U573,'6. Market'!$M$40*U573)</f>
        <v>78825.540060047919</v>
      </c>
      <c r="V582" s="1697">
        <f>+IF(COLUMNS($L582:V582)&lt;month,'6. Market'!$L$40*V573,'6. Market'!$M$40*V573)</f>
        <v>80638.527481428988</v>
      </c>
      <c r="W582" s="1697">
        <f>+IF(COLUMNS($L582:W582)&lt;month,'6. Market'!$L$40*W573,'6. Market'!$M$40*W573)</f>
        <v>80638.527481428988</v>
      </c>
      <c r="Y582" s="99"/>
    </row>
    <row r="583" spans="1:26">
      <c r="A583" s="4" t="s">
        <v>3768</v>
      </c>
      <c r="B583" s="4" t="str">
        <f>+$B$460</f>
        <v>X10_11032_00494</v>
      </c>
      <c r="C583" s="4"/>
      <c r="D583" s="4"/>
      <c r="E583" s="4"/>
      <c r="F583" s="4"/>
      <c r="G583" s="4"/>
      <c r="H583" s="4"/>
      <c r="I583" s="4"/>
      <c r="J583" s="4"/>
      <c r="K583" s="4" t="str">
        <f>+"FY"&amp;RIGHT(YEAR('Hyperion Panel'!$B$9)+3,2)</f>
        <v>FY13</v>
      </c>
      <c r="L583" s="1698"/>
      <c r="M583" s="1698"/>
      <c r="N583" s="1698"/>
      <c r="O583" s="1698"/>
      <c r="P583" s="1698"/>
      <c r="Q583" s="1698"/>
      <c r="R583" s="1698"/>
      <c r="S583" s="1698"/>
      <c r="T583" s="1698"/>
      <c r="U583" s="1698"/>
      <c r="V583" s="1699"/>
      <c r="W583" s="1698"/>
    </row>
    <row r="584" spans="1:26">
      <c r="A584" s="101" t="s">
        <v>463</v>
      </c>
      <c r="B584" s="4"/>
      <c r="C584" s="4"/>
      <c r="D584" s="4"/>
      <c r="E584" s="4"/>
      <c r="F584" s="4"/>
      <c r="G584" s="4"/>
      <c r="H584" s="4"/>
      <c r="I584" s="4"/>
      <c r="J584" s="4"/>
      <c r="K584" s="4"/>
      <c r="L584" s="1698">
        <f>+IF(COLUMNS($L584:L584)&lt;month,'6. Market'!$L$49*L575,'6. Market'!$M$49*L575)</f>
        <v>16884.753665513832</v>
      </c>
      <c r="M584" s="1698">
        <f>+IF(COLUMNS($L584:M584)&lt;month,'6. Market'!$L$49*M575,'6. Market'!$M$49*M575)</f>
        <v>16884.753665513832</v>
      </c>
      <c r="N584" s="1698">
        <f>+IF(COLUMNS($L584:N584)&lt;month,'6. Market'!$L$49*N575,'6. Market'!$M$49*N575)</f>
        <v>16884.753665513832</v>
      </c>
      <c r="O584" s="1698">
        <f>+IF(COLUMNS($L584:O584)&lt;month,'6. Market'!$L$49*O575,'6. Market'!$M$49*O575)</f>
        <v>16884.753665513832</v>
      </c>
      <c r="P584" s="1698">
        <f>+IF(COLUMNS($L584:P584)&lt;month,'6. Market'!$L$49*P575,'6. Market'!$M$49*P575)</f>
        <v>16884.753665513832</v>
      </c>
      <c r="Q584" s="1698">
        <f>+IF(COLUMNS($L584:Q584)&lt;month,'6. Market'!$L$49*Q575,'6. Market'!$M$49*Q575)</f>
        <v>16884.753665513832</v>
      </c>
      <c r="R584" s="1698">
        <f>+IF(COLUMNS($L584:R584)&lt;month,'6. Market'!$L$49*R575,'6. Market'!$M$49*R575)</f>
        <v>16884.753665513832</v>
      </c>
      <c r="S584" s="1698">
        <f>+IF(COLUMNS($L584:S584)&lt;month,'6. Market'!$L$49*S575,'6. Market'!$M$49*S575)</f>
        <v>16884.753665513832</v>
      </c>
      <c r="T584" s="1698">
        <f>+IF(COLUMNS($L584:T584)&lt;month,'6. Market'!$L$49*T575,'6. Market'!$M$49*T575)</f>
        <v>16884.753665513832</v>
      </c>
      <c r="U584" s="1698">
        <f>+IF(COLUMNS($L584:U584)&lt;month,'6. Market'!$L$49*U575,'6. Market'!$M$49*U575)</f>
        <v>16884.753665513832</v>
      </c>
      <c r="V584" s="1699">
        <f>+IF(COLUMNS($L584:V584)&lt;month,'6. Market'!$L$49*V575,'6. Market'!$M$49*V575)</f>
        <v>16884.753665513832</v>
      </c>
      <c r="W584" s="1698">
        <f>+IF(COLUMNS($L584:W584)&lt;month,'6. Market'!$L$49*W575,'6. Market'!$M$49*W575)</f>
        <v>16884.753665513832</v>
      </c>
      <c r="Y584" s="99"/>
    </row>
    <row r="585" spans="1:26">
      <c r="A585" s="101" t="s">
        <v>464</v>
      </c>
      <c r="B585" s="4"/>
      <c r="C585" s="4"/>
      <c r="D585" s="4"/>
      <c r="E585" s="4"/>
      <c r="F585" s="4"/>
      <c r="G585" s="4"/>
      <c r="H585" s="4"/>
      <c r="I585" s="4"/>
      <c r="J585" s="4"/>
      <c r="K585" s="4"/>
      <c r="L585" s="1698">
        <f>+IF(COLUMNS($L585:L585)&lt;month,'6. Market'!$L$57*L576,'6. Market'!$M$57*L576)</f>
        <v>0</v>
      </c>
      <c r="M585" s="1698">
        <f>+IF(COLUMNS($L585:M585)&lt;month,'6. Market'!$L$57*M576,'6. Market'!$M$57*M576)</f>
        <v>0</v>
      </c>
      <c r="N585" s="1698">
        <f>+IF(COLUMNS($L585:N585)&lt;month,'6. Market'!$L$57*N576,'6. Market'!$M$57*N576)</f>
        <v>0</v>
      </c>
      <c r="O585" s="1698">
        <f>+IF(COLUMNS($L585:O585)&lt;month,'6. Market'!$L$57*O576,'6. Market'!$M$57*O576)</f>
        <v>0</v>
      </c>
      <c r="P585" s="1698">
        <f>+IF(COLUMNS($L585:P585)&lt;month,'6. Market'!$L$57*P576,'6. Market'!$M$57*P576)</f>
        <v>0</v>
      </c>
      <c r="Q585" s="1698">
        <f>+IF(COLUMNS($L585:Q585)&lt;month,'6. Market'!$L$57*Q576,'6. Market'!$M$57*Q576)</f>
        <v>0</v>
      </c>
      <c r="R585" s="1698">
        <f>+IF(COLUMNS($L585:R585)&lt;month,'6. Market'!$L$57*R576,'6. Market'!$M$57*R576)</f>
        <v>0</v>
      </c>
      <c r="S585" s="1698">
        <f>+IF(COLUMNS($L585:S585)&lt;month,'6. Market'!$L$57*S576,'6. Market'!$M$57*S576)</f>
        <v>0</v>
      </c>
      <c r="T585" s="1698">
        <f>+IF(COLUMNS($L585:T585)&lt;month,'6. Market'!$L$57*T576,'6. Market'!$M$57*T576)</f>
        <v>0</v>
      </c>
      <c r="U585" s="1698">
        <f>+IF(COLUMNS($L585:U585)&lt;month,'6. Market'!$L$57*U576,'6. Market'!$M$57*U576)</f>
        <v>0</v>
      </c>
      <c r="V585" s="1699">
        <f>+IF(COLUMNS($L585:V585)&lt;month,'6. Market'!$L$57*V576,'6. Market'!$M$57*V576)</f>
        <v>0</v>
      </c>
      <c r="W585" s="1698">
        <f>+IF(COLUMNS($L585:W585)&lt;month,'6. Market'!$L$57*W576,'6. Market'!$M$57*W576)</f>
        <v>0</v>
      </c>
      <c r="Y585" s="99"/>
    </row>
    <row r="586" spans="1:26">
      <c r="A586" s="3" t="s">
        <v>2651</v>
      </c>
      <c r="B586" t="str">
        <f t="shared" ref="B586:B602" si="30">+$B$460</f>
        <v>X10_11032_00494</v>
      </c>
      <c r="C586" t="str">
        <f t="shared" ref="C586:C595" si="31">+$C$460</f>
        <v>LE_XXXX</v>
      </c>
      <c r="D586" t="s">
        <v>2886</v>
      </c>
      <c r="E586">
        <v>6010</v>
      </c>
      <c r="F586" t="s">
        <v>2888</v>
      </c>
      <c r="G586" t="s">
        <v>153</v>
      </c>
      <c r="H586" t="s">
        <v>154</v>
      </c>
      <c r="I586" t="s">
        <v>146</v>
      </c>
      <c r="J586" t="s">
        <v>147</v>
      </c>
      <c r="K586" t="str">
        <f>+"FY"&amp;RIGHT(YEAR('Hyperion Panel'!$B$9)+3,2)</f>
        <v>FY13</v>
      </c>
      <c r="L586" s="1697">
        <f>+IF(COLUMNS($L586:L586)&lt;month,'6. Market'!$L$107*SUM(L569:L570,L572:L573,L575:L576),'6. Market'!$M$107*SUM(L569:L570,L572:L573,L575:L576))</f>
        <v>41056.601707191752</v>
      </c>
      <c r="M586" s="1697">
        <f>+IF(COLUMNS($L586:M586)&lt;month,'6. Market'!$L$107*SUM(M569:M570,M572:M573,M575:M576),'6. Market'!$M$107*SUM(M569:M570,M572:M573,M575:M576))</f>
        <v>41056.601707191752</v>
      </c>
      <c r="N586" s="1697">
        <f>+IF(COLUMNS($L586:N586)&lt;month,'6. Market'!$L$107*SUM(N569:N570,N572:N573,N575:N576),'6. Market'!$M$107*SUM(N569:N570,N572:N573,N575:N576))</f>
        <v>41056.601707191752</v>
      </c>
      <c r="O586" s="1697">
        <f>+IF(COLUMNS($L586:O586)&lt;month,'6. Market'!$L$107*SUM(O569:O570,O572:O573,O575:O576),'6. Market'!$M$107*SUM(O569:O570,O572:O573,O575:O576))</f>
        <v>41056.601707191752</v>
      </c>
      <c r="P586" s="1697">
        <f>+IF(COLUMNS($L586:P586)&lt;month,'6. Market'!$L$107*SUM(P569:P570,P572:P573,P575:P576),'6. Market'!$M$107*SUM(P569:P570,P572:P573,P575:P576))</f>
        <v>41056.601707191752</v>
      </c>
      <c r="Q586" s="1697">
        <f>+IF(COLUMNS($L586:Q586)&lt;month,'6. Market'!$L$107*SUM(Q569:Q570,Q572:Q573,Q575:Q576),'6. Market'!$M$107*SUM(Q569:Q570,Q572:Q573,Q575:Q576))</f>
        <v>41056.601707191752</v>
      </c>
      <c r="R586" s="1697">
        <f>+IF(COLUMNS($L586:R586)&lt;month,'6. Market'!$L$107*SUM(R569:R570,R572:R573,R575:R576),'6. Market'!$M$107*SUM(R569:R570,R572:R573,R575:R576))</f>
        <v>41056.601707191752</v>
      </c>
      <c r="S586" s="1697">
        <f>+IF(COLUMNS($L586:S586)&lt;month,'6. Market'!$L$107*SUM(S569:S570,S572:S573,S575:S576),'6. Market'!$M$107*SUM(S569:S570,S572:S573,S575:S576))</f>
        <v>41056.601707191752</v>
      </c>
      <c r="T586" s="1697">
        <f>+IF(COLUMNS($L586:T586)&lt;month,'6. Market'!$L$107*SUM(T569:T570,T572:T573,T575:T576),'6. Market'!$M$107*SUM(T569:T570,T572:T573,T575:T576))</f>
        <v>41056.601707191752</v>
      </c>
      <c r="U586" s="1697">
        <f>+IF(COLUMNS($L586:U586)&lt;month,'6. Market'!$L$107*SUM(U569:U570,U572:U573,U575:U576),'6. Market'!$M$107*SUM(U569:U570,U572:U573,U575:U576))</f>
        <v>41056.601707191752</v>
      </c>
      <c r="V586" s="1700">
        <f>+IF(COLUMNS($L586:V586)&lt;month,'6. Market'!$L$107*SUM(V569:V570,V572:V573,V575:V576),'6. Market'!$M$107*SUM(V569:V570,V572:V573,V575:V576))</f>
        <v>42288.299758407506</v>
      </c>
      <c r="W586" s="1697">
        <f>+IF(COLUMNS($L586:W586)&lt;month,'6. Market'!$L$107*SUM(W569:W570,W572:W573,W575:W576),'6. Market'!$M$107*SUM(W569:W570,W572:W573,W575:W576))</f>
        <v>42288.299758407506</v>
      </c>
    </row>
    <row r="587" spans="1:26">
      <c r="A587" t="s">
        <v>2652</v>
      </c>
      <c r="B587" t="str">
        <f t="shared" si="30"/>
        <v>X10_11032_00494</v>
      </c>
      <c r="C587" t="str">
        <f t="shared" si="31"/>
        <v>LE_XXXX</v>
      </c>
      <c r="D587" t="s">
        <v>2886</v>
      </c>
      <c r="E587">
        <v>6010</v>
      </c>
      <c r="F587" t="s">
        <v>2888</v>
      </c>
      <c r="G587" t="s">
        <v>155</v>
      </c>
      <c r="H587" t="s">
        <v>154</v>
      </c>
      <c r="I587" t="s">
        <v>146</v>
      </c>
      <c r="J587" t="s">
        <v>147</v>
      </c>
      <c r="K587" t="str">
        <f>+"FY"&amp;RIGHT(YEAR('Hyperion Panel'!$B$9)+3,2)</f>
        <v>FY13</v>
      </c>
      <c r="L587" s="1612">
        <f>+IF(COLUMNS($L587:L587)&lt;month,'6. Market'!$L$74/12,'6. Market'!$M$74/12)</f>
        <v>15696.015500000001</v>
      </c>
      <c r="M587" s="1612">
        <f>+IF(COLUMNS($L587:M587)&lt;month,'6. Market'!$L$74/12,'6. Market'!$M$74/12)</f>
        <v>15696.015500000001</v>
      </c>
      <c r="N587" s="1612">
        <f>+IF(COLUMNS($L587:N587)&lt;month,'6. Market'!$L$74/12,'6. Market'!$M$74/12)</f>
        <v>15696.015500000001</v>
      </c>
      <c r="O587" s="1612">
        <f>+IF(COLUMNS($L587:O587)&lt;month,'6. Market'!$L$74/12,'6. Market'!$M$74/12)</f>
        <v>15696.015500000001</v>
      </c>
      <c r="P587" s="1612">
        <f>+IF(COLUMNS($L587:P587)&lt;month,'6. Market'!$L$74/12,'6. Market'!$M$74/12)</f>
        <v>15696.015500000001</v>
      </c>
      <c r="Q587" s="1612">
        <f>+IF(COLUMNS($L587:Q587)&lt;month,'6. Market'!$L$74/12,'6. Market'!$M$74/12)</f>
        <v>15696.015500000001</v>
      </c>
      <c r="R587" s="1612">
        <f>+IF(COLUMNS($L587:R587)&lt;month,'6. Market'!$L$74/12,'6. Market'!$M$74/12)</f>
        <v>15696.015500000001</v>
      </c>
      <c r="S587" s="1612">
        <f>+IF(COLUMNS($L587:S587)&lt;month,'6. Market'!$L$74/12,'6. Market'!$M$74/12)</f>
        <v>15696.015500000001</v>
      </c>
      <c r="T587" s="1612">
        <f>+IF(COLUMNS($L587:T587)&lt;month,'6. Market'!$L$74/12,'6. Market'!$M$74/12)</f>
        <v>15696.015500000001</v>
      </c>
      <c r="U587" s="1612">
        <f>+IF(COLUMNS($L587:U587)&lt;month,'6. Market'!$L$74/12,'6. Market'!$M$74/12)</f>
        <v>15696.015500000001</v>
      </c>
      <c r="V587" s="1703">
        <f>+IF(COLUMNS($L587:V587)&lt;month,'6. Market'!$L$74/12,'6. Market'!$M$74/12)</f>
        <v>16166.895965000002</v>
      </c>
      <c r="W587" s="1612">
        <f>+IF(COLUMNS($L587:W587)&lt;month,'6. Market'!$L$74/12,'6. Market'!$M$74/12)</f>
        <v>16166.895965000002</v>
      </c>
    </row>
    <row r="588" spans="1:26">
      <c r="A588" t="s">
        <v>2653</v>
      </c>
      <c r="B588" t="str">
        <f t="shared" si="30"/>
        <v>X10_11032_00494</v>
      </c>
      <c r="C588" t="str">
        <f t="shared" si="31"/>
        <v>LE_XXXX</v>
      </c>
      <c r="D588" t="s">
        <v>2886</v>
      </c>
      <c r="E588">
        <v>6051</v>
      </c>
      <c r="F588" t="s">
        <v>2888</v>
      </c>
      <c r="G588" t="s">
        <v>153</v>
      </c>
      <c r="H588" t="s">
        <v>154</v>
      </c>
      <c r="I588" t="s">
        <v>146</v>
      </c>
      <c r="J588" t="s">
        <v>147</v>
      </c>
      <c r="K588" t="str">
        <f>+"FY"&amp;RIGHT(YEAR('Hyperion Panel'!$B$9)+3,2)</f>
        <v>FY13</v>
      </c>
      <c r="L588" s="1612">
        <f>+IF(COLUMNS($L588:L588)&lt;month,'6. Market'!$L$75/12,'6. Market'!$M$75/12)</f>
        <v>20041.173750404498</v>
      </c>
      <c r="M588" s="1612">
        <f>+IF(COLUMNS($L588:M588)&lt;month,'6. Market'!$L$75/12,'6. Market'!$M$75/12)</f>
        <v>20041.173750404498</v>
      </c>
      <c r="N588" s="1612">
        <f>+IF(COLUMNS($L588:N588)&lt;month,'6. Market'!$L$75/12,'6. Market'!$M$75/12)</f>
        <v>20041.173750404498</v>
      </c>
      <c r="O588" s="1612">
        <f>+IF(COLUMNS($L588:O588)&lt;month,'6. Market'!$L$75/12,'6. Market'!$M$75/12)</f>
        <v>20041.173750404498</v>
      </c>
      <c r="P588" s="1612">
        <f>+IF(COLUMNS($L588:P588)&lt;month,'6. Market'!$L$75/12,'6. Market'!$M$75/12)</f>
        <v>20041.173750404498</v>
      </c>
      <c r="Q588" s="1612">
        <f>+IF(COLUMNS($L588:Q588)&lt;month,'6. Market'!$L$75/12,'6. Market'!$M$75/12)</f>
        <v>20041.173750404498</v>
      </c>
      <c r="R588" s="1612">
        <f>+IF(COLUMNS($L588:R588)&lt;month,'6. Market'!$L$75/12,'6. Market'!$M$75/12)</f>
        <v>20041.173750404498</v>
      </c>
      <c r="S588" s="1612">
        <f>+IF(COLUMNS($L588:S588)&lt;month,'6. Market'!$L$75/12,'6. Market'!$M$75/12)</f>
        <v>20041.173750404498</v>
      </c>
      <c r="T588" s="1612">
        <f>+IF(COLUMNS($L588:T588)&lt;month,'6. Market'!$L$75/12,'6. Market'!$M$75/12)</f>
        <v>20041.173750404498</v>
      </c>
      <c r="U588" s="1612">
        <f>+IF(COLUMNS($L588:U588)&lt;month,'6. Market'!$L$75/12,'6. Market'!$M$75/12)</f>
        <v>20041.173750404498</v>
      </c>
      <c r="V588" s="1703">
        <f>+IF(COLUMNS($L588:V588)&lt;month,'6. Market'!$L$75/12,'6. Market'!$M$75/12)</f>
        <v>20642.40896291663</v>
      </c>
      <c r="W588" s="1612">
        <f>+IF(COLUMNS($L588:W588)&lt;month,'6. Market'!$L$75/12,'6. Market'!$M$75/12)</f>
        <v>20642.40896291663</v>
      </c>
    </row>
    <row r="589" spans="1:26">
      <c r="A589" t="s">
        <v>2654</v>
      </c>
      <c r="B589" t="str">
        <f t="shared" si="30"/>
        <v>X10_11032_00494</v>
      </c>
      <c r="C589" t="str">
        <f t="shared" si="31"/>
        <v>LE_XXXX</v>
      </c>
      <c r="D589" t="s">
        <v>2886</v>
      </c>
      <c r="E589">
        <v>6011</v>
      </c>
      <c r="F589" t="s">
        <v>2888</v>
      </c>
      <c r="G589" t="s">
        <v>153</v>
      </c>
      <c r="H589" t="s">
        <v>154</v>
      </c>
      <c r="I589" t="s">
        <v>146</v>
      </c>
      <c r="J589" t="s">
        <v>147</v>
      </c>
      <c r="K589" t="str">
        <f>+"FY"&amp;RIGHT(YEAR('Hyperion Panel'!$B$9)+3,2)</f>
        <v>FY13</v>
      </c>
      <c r="L589" s="1612">
        <f>+IF(COLUMNS($L589:L589)&lt;month,'6. Market'!$L$76/12,'6. Market'!$M$76/12)</f>
        <v>0</v>
      </c>
      <c r="M589" s="1612">
        <f>+IF(COLUMNS($L589:M589)&lt;month,'6. Market'!$L$76/12,'6. Market'!$M$76/12)</f>
        <v>0</v>
      </c>
      <c r="N589" s="1612">
        <f>+IF(COLUMNS($L589:N589)&lt;month,'6. Market'!$L$76/12,'6. Market'!$M$76/12)</f>
        <v>0</v>
      </c>
      <c r="O589" s="1612">
        <f>+IF(COLUMNS($L589:O589)&lt;month,'6. Market'!$L$76/12,'6. Market'!$M$76/12)</f>
        <v>0</v>
      </c>
      <c r="P589" s="1612">
        <f>+IF(COLUMNS($L589:P589)&lt;month,'6. Market'!$L$76/12,'6. Market'!$M$76/12)</f>
        <v>0</v>
      </c>
      <c r="Q589" s="1612">
        <f>+IF(COLUMNS($L589:Q589)&lt;month,'6. Market'!$L$76/12,'6. Market'!$M$76/12)</f>
        <v>0</v>
      </c>
      <c r="R589" s="1612">
        <f>+IF(COLUMNS($L589:R589)&lt;month,'6. Market'!$L$76/12,'6. Market'!$M$76/12)</f>
        <v>0</v>
      </c>
      <c r="S589" s="1612">
        <f>+IF(COLUMNS($L589:S589)&lt;month,'6. Market'!$L$76/12,'6. Market'!$M$76/12)</f>
        <v>0</v>
      </c>
      <c r="T589" s="1612">
        <f>+IF(COLUMNS($L589:T589)&lt;month,'6. Market'!$L$76/12,'6. Market'!$M$76/12)</f>
        <v>0</v>
      </c>
      <c r="U589" s="1612">
        <f>+IF(COLUMNS($L589:U589)&lt;month,'6. Market'!$L$76/12,'6. Market'!$M$76/12)</f>
        <v>0</v>
      </c>
      <c r="V589" s="1703">
        <f>+IF(COLUMNS($L589:V589)&lt;month,'6. Market'!$L$76/12,'6. Market'!$M$76/12)</f>
        <v>0</v>
      </c>
      <c r="W589" s="1612">
        <f>+IF(COLUMNS($L589:W589)&lt;month,'6. Market'!$L$76/12,'6. Market'!$M$76/12)</f>
        <v>0</v>
      </c>
    </row>
    <row r="590" spans="1:26">
      <c r="A590" s="6" t="s">
        <v>3769</v>
      </c>
      <c r="B590" t="str">
        <f t="shared" si="30"/>
        <v>X10_11032_00494</v>
      </c>
      <c r="C590" t="str">
        <f t="shared" si="31"/>
        <v>LE_XXXX</v>
      </c>
      <c r="D590" t="s">
        <v>2886</v>
      </c>
      <c r="E590">
        <v>6600</v>
      </c>
      <c r="F590" t="s">
        <v>2888</v>
      </c>
      <c r="G590" t="s">
        <v>2889</v>
      </c>
      <c r="H590" t="s">
        <v>154</v>
      </c>
      <c r="I590" t="s">
        <v>146</v>
      </c>
      <c r="J590" t="s">
        <v>147</v>
      </c>
      <c r="K590" t="str">
        <f>+"FY"&amp;RIGHT(YEAR('Hyperion Panel'!$B$9)+3,2)</f>
        <v>FY13</v>
      </c>
      <c r="L590" s="1697">
        <f>+IF(COLUMNS($L590:L590)&lt;month,'6. Market'!$L$114*SUM(L569:L570,L572:L573),'6. Market'!$M$114*SUM(L569:L570,L572:L573))</f>
        <v>55098.426549237643</v>
      </c>
      <c r="M590" s="1697">
        <f>+IF(COLUMNS($L590:M590)&lt;month,'6. Market'!$L$114*SUM(M569:M570,M572:M573),'6. Market'!$M$114*SUM(M569:M570,M572:M573))</f>
        <v>55098.426549237643</v>
      </c>
      <c r="N590" s="1697">
        <f>+IF(COLUMNS($L590:N590)&lt;month,'6. Market'!$L$114*SUM(N569:N570,N572:N573),'6. Market'!$M$114*SUM(N569:N570,N572:N573))</f>
        <v>55098.426549237643</v>
      </c>
      <c r="O590" s="1697">
        <f>+IF(COLUMNS($L590:O590)&lt;month,'6. Market'!$L$114*SUM(O569:O570,O572:O573),'6. Market'!$M$114*SUM(O569:O570,O572:O573))</f>
        <v>55098.426549237643</v>
      </c>
      <c r="P590" s="1697">
        <f>+IF(COLUMNS($L590:P590)&lt;month,'6. Market'!$L$114*SUM(P569:P570,P572:P573),'6. Market'!$M$114*SUM(P569:P570,P572:P573))</f>
        <v>55098.426549237643</v>
      </c>
      <c r="Q590" s="1697">
        <f>+IF(COLUMNS($L590:Q590)&lt;month,'6. Market'!$L$114*SUM(Q569:Q570,Q572:Q573),'6. Market'!$M$114*SUM(Q569:Q570,Q572:Q573))</f>
        <v>55098.426549237643</v>
      </c>
      <c r="R590" s="1697">
        <f>+IF(COLUMNS($L590:R590)&lt;month,'6. Market'!$L$114*SUM(R569:R570,R572:R573),'6. Market'!$M$114*SUM(R569:R570,R572:R573))</f>
        <v>55098.426549237643</v>
      </c>
      <c r="S590" s="1697">
        <f>+IF(COLUMNS($L590:S590)&lt;month,'6. Market'!$L$114*SUM(S569:S570,S572:S573),'6. Market'!$M$114*SUM(S569:S570,S572:S573))</f>
        <v>55098.426549237643</v>
      </c>
      <c r="T590" s="1697">
        <f>+IF(COLUMNS($L590:T590)&lt;month,'6. Market'!$L$114*SUM(T569:T570,T572:T573),'6. Market'!$M$114*SUM(T569:T570,T572:T573))</f>
        <v>55098.426549237643</v>
      </c>
      <c r="U590" s="1697">
        <f>+IF(COLUMNS($L590:U590)&lt;month,'6. Market'!$L$114*SUM(U569:U570,U572:U573),'6. Market'!$M$114*SUM(U569:U570,U572:U573))</f>
        <v>55098.426549237643</v>
      </c>
      <c r="V590" s="1697">
        <f>+IF(COLUMNS($L590:V590)&lt;month,'6. Market'!$L$114*SUM(V569:V570,V572:V573),'6. Market'!$M$114*SUM(V569:V570,V572:V573))</f>
        <v>56200.395080222406</v>
      </c>
      <c r="W590" s="1697">
        <f>+IF(COLUMNS($L590:W590)&lt;month,'6. Market'!$L$114*SUM(W569:W570,W572:W573),'6. Market'!$M$114*SUM(W569:W570,W572:W573))</f>
        <v>56200.395080222406</v>
      </c>
    </row>
    <row r="591" spans="1:26">
      <c r="A591" s="6" t="s">
        <v>3770</v>
      </c>
      <c r="B591" t="str">
        <f t="shared" si="30"/>
        <v>X10_11032_00494</v>
      </c>
      <c r="C591" t="str">
        <f t="shared" si="31"/>
        <v>LE_XXXX</v>
      </c>
      <c r="D591" t="s">
        <v>2886</v>
      </c>
      <c r="E591">
        <v>6800</v>
      </c>
      <c r="F591" t="s">
        <v>156</v>
      </c>
      <c r="G591" t="s">
        <v>2889</v>
      </c>
      <c r="H591" t="s">
        <v>154</v>
      </c>
      <c r="I591" t="s">
        <v>146</v>
      </c>
      <c r="J591" t="s">
        <v>147</v>
      </c>
      <c r="K591" t="str">
        <f>+"FY"&amp;RIGHT(YEAR('Hyperion Panel'!$B$9)+3,2)</f>
        <v>FY13</v>
      </c>
      <c r="L591" s="1697">
        <f>+IF(COLUMNS($L591:L591)&lt;month,'6. Market'!$L$118*SUM(L569:L570,L572:L573),'6. Market'!$M$118*SUM(L569:L570,L572:L573))</f>
        <v>20821.238922919994</v>
      </c>
      <c r="M591" s="1697">
        <f>+IF(COLUMNS($L591:M591)&lt;month,'6. Market'!$L$118*SUM(M569:M570,M572:M573),'6. Market'!$M$118*SUM(M569:M570,M572:M573))</f>
        <v>20821.238922919994</v>
      </c>
      <c r="N591" s="1697">
        <f>+IF(COLUMNS($L591:N591)&lt;month,'6. Market'!$L$118*SUM(N569:N570,N572:N573),'6. Market'!$M$118*SUM(N569:N570,N572:N573))</f>
        <v>20821.238922919994</v>
      </c>
      <c r="O591" s="1697">
        <f>+IF(COLUMNS($L591:O591)&lt;month,'6. Market'!$L$118*SUM(O569:O570,O572:O573),'6. Market'!$M$118*SUM(O569:O570,O572:O573))</f>
        <v>20821.238922919994</v>
      </c>
      <c r="P591" s="1697">
        <f>+IF(COLUMNS($L591:P591)&lt;month,'6. Market'!$L$118*SUM(P569:P570,P572:P573),'6. Market'!$M$118*SUM(P569:P570,P572:P573))</f>
        <v>20821.238922919994</v>
      </c>
      <c r="Q591" s="1697">
        <f>+IF(COLUMNS($L591:Q591)&lt;month,'6. Market'!$L$118*SUM(Q569:Q570,Q572:Q573),'6. Market'!$M$118*SUM(Q569:Q570,Q572:Q573))</f>
        <v>20821.238922919994</v>
      </c>
      <c r="R591" s="1697">
        <f>+IF(COLUMNS($L591:R591)&lt;month,'6. Market'!$L$118*SUM(R569:R570,R572:R573),'6. Market'!$M$118*SUM(R569:R570,R572:R573))</f>
        <v>20821.238922919994</v>
      </c>
      <c r="S591" s="1697">
        <f>+IF(COLUMNS($L591:S591)&lt;month,'6. Market'!$L$118*SUM(S569:S570,S572:S573),'6. Market'!$M$118*SUM(S569:S570,S572:S573))</f>
        <v>20821.238922919994</v>
      </c>
      <c r="T591" s="1697">
        <f>+IF(COLUMNS($L591:T591)&lt;month,'6. Market'!$L$118*SUM(T569:T570,T572:T573),'6. Market'!$M$118*SUM(T569:T570,T572:T573))</f>
        <v>20821.238922919994</v>
      </c>
      <c r="U591" s="1697">
        <f>+IF(COLUMNS($L591:U591)&lt;month,'6. Market'!$L$118*SUM(U569:U570,U572:U573),'6. Market'!$M$118*SUM(U569:U570,U572:U573))</f>
        <v>20821.238922919994</v>
      </c>
      <c r="V591" s="1697">
        <f>+IF(COLUMNS($L591:V591)&lt;month,'6. Market'!$L$118*SUM(V569:V570,V572:V573),'6. Market'!$M$118*SUM(V569:V570,V572:V573))</f>
        <v>21445.876090607595</v>
      </c>
      <c r="W591" s="1697">
        <f>+IF(COLUMNS($L591:W591)&lt;month,'6. Market'!$L$118*SUM(W569:W570,W572:W573),'6. Market'!$M$118*SUM(W569:W570,W572:W573))</f>
        <v>21445.876090607595</v>
      </c>
    </row>
    <row r="592" spans="1:26">
      <c r="A592" t="s">
        <v>3697</v>
      </c>
      <c r="B592" t="str">
        <f t="shared" si="30"/>
        <v>X10_11032_00494</v>
      </c>
      <c r="C592" t="str">
        <f t="shared" si="31"/>
        <v>LE_XXXX</v>
      </c>
      <c r="D592" t="s">
        <v>2886</v>
      </c>
      <c r="E592">
        <v>8600</v>
      </c>
      <c r="F592" t="s">
        <v>156</v>
      </c>
      <c r="G592" t="s">
        <v>2889</v>
      </c>
      <c r="H592" t="s">
        <v>154</v>
      </c>
      <c r="I592" t="s">
        <v>146</v>
      </c>
      <c r="J592" t="s">
        <v>147</v>
      </c>
      <c r="K592" t="str">
        <f>+"FY"&amp;RIGHT(YEAR('Hyperion Panel'!$B$9)+3,2)</f>
        <v>FY13</v>
      </c>
      <c r="L592" s="1612">
        <f>+IF(COLUMNS($L592:L592)&lt;month,'6. Market'!$L$78/12,'6. Market'!$M$78/12)</f>
        <v>17478.316890999999</v>
      </c>
      <c r="M592" s="1612">
        <f>+IF(COLUMNS($L592:M592)&lt;month,'6. Market'!$L$78/12,'6. Market'!$M$78/12)</f>
        <v>17478.316890999999</v>
      </c>
      <c r="N592" s="1612">
        <f>+IF(COLUMNS($L592:N592)&lt;month,'6. Market'!$L$78/12,'6. Market'!$M$78/12)</f>
        <v>17478.316890999999</v>
      </c>
      <c r="O592" s="1612">
        <f>+IF(COLUMNS($L592:O592)&lt;month,'6. Market'!$L$78/12,'6. Market'!$M$78/12)</f>
        <v>17478.316890999999</v>
      </c>
      <c r="P592" s="1612">
        <f>+IF(COLUMNS($L592:P592)&lt;month,'6. Market'!$L$78/12,'6. Market'!$M$78/12)</f>
        <v>17478.316890999999</v>
      </c>
      <c r="Q592" s="1612">
        <f>+IF(COLUMNS($L592:Q592)&lt;month,'6. Market'!$L$78/12,'6. Market'!$M$78/12)</f>
        <v>17478.316890999999</v>
      </c>
      <c r="R592" s="1612">
        <f>+IF(COLUMNS($L592:R592)&lt;month,'6. Market'!$L$78/12,'6. Market'!$M$78/12)</f>
        <v>17478.316890999999</v>
      </c>
      <c r="S592" s="1612">
        <f>+IF(COLUMNS($L592:S592)&lt;month,'6. Market'!$L$78/12,'6. Market'!$M$78/12)</f>
        <v>17478.316890999999</v>
      </c>
      <c r="T592" s="1612">
        <f>+IF(COLUMNS($L592:T592)&lt;month,'6. Market'!$L$78/12,'6. Market'!$M$78/12)</f>
        <v>17478.316890999999</v>
      </c>
      <c r="U592" s="1612">
        <f>+IF(COLUMNS($L592:U592)&lt;month,'6. Market'!$L$78/12,'6. Market'!$M$78/12)</f>
        <v>17478.316890999999</v>
      </c>
      <c r="V592" s="1702">
        <f>+IF(COLUMNS($L592:V592)&lt;month,'6. Market'!$L$78/12,'6. Market'!$M$78/12)</f>
        <v>18002.666397730001</v>
      </c>
      <c r="W592" s="1612">
        <f>+IF(COLUMNS($L592:W592)&lt;month,'6. Market'!$L$78/12,'6. Market'!$M$78/12)</f>
        <v>18002.666397730001</v>
      </c>
    </row>
    <row r="593" spans="1:26">
      <c r="A593" t="s">
        <v>157</v>
      </c>
      <c r="B593" t="str">
        <f t="shared" si="30"/>
        <v>X10_11032_00494</v>
      </c>
      <c r="C593" t="str">
        <f t="shared" si="31"/>
        <v>LE_XXXX</v>
      </c>
      <c r="D593" t="s">
        <v>2886</v>
      </c>
      <c r="E593">
        <v>6720</v>
      </c>
      <c r="F593" t="s">
        <v>156</v>
      </c>
      <c r="G593" t="s">
        <v>2889</v>
      </c>
      <c r="H593" t="s">
        <v>154</v>
      </c>
      <c r="I593" t="s">
        <v>146</v>
      </c>
      <c r="J593" t="s">
        <v>147</v>
      </c>
      <c r="K593" t="str">
        <f>+"FY"&amp;RIGHT(YEAR('Hyperion Panel'!$B$9)+3,2)</f>
        <v>FY13</v>
      </c>
      <c r="L593" s="1612">
        <f>+IF(COLUMNS($L593:L593)&lt;month,'6. Market'!$L$79/12,'6. Market'!$M$79/12)</f>
        <v>15833.32</v>
      </c>
      <c r="M593" s="1612">
        <f>+IF(COLUMNS($L593:M593)&lt;month,'6. Market'!$L$79/12,'6. Market'!$M$79/12)</f>
        <v>15833.32</v>
      </c>
      <c r="N593" s="1612">
        <f>+IF(COLUMNS($L593:N593)&lt;month,'6. Market'!$L$79/12,'6. Market'!$M$79/12)</f>
        <v>15833.32</v>
      </c>
      <c r="O593" s="1612">
        <f>+IF(COLUMNS($L593:O593)&lt;month,'6. Market'!$L$79/12,'6. Market'!$M$79/12)</f>
        <v>15833.32</v>
      </c>
      <c r="P593" s="1612">
        <f>+IF(COLUMNS($L593:P593)&lt;month,'6. Market'!$L$79/12,'6. Market'!$M$79/12)</f>
        <v>15833.32</v>
      </c>
      <c r="Q593" s="1612">
        <f>+IF(COLUMNS($L593:Q593)&lt;month,'6. Market'!$L$79/12,'6. Market'!$M$79/12)</f>
        <v>15833.32</v>
      </c>
      <c r="R593" s="1612">
        <f>+IF(COLUMNS($L593:R593)&lt;month,'6. Market'!$L$79/12,'6. Market'!$M$79/12)</f>
        <v>15833.32</v>
      </c>
      <c r="S593" s="1612">
        <f>+IF(COLUMNS($L593:S593)&lt;month,'6. Market'!$L$79/12,'6. Market'!$M$79/12)</f>
        <v>15833.32</v>
      </c>
      <c r="T593" s="1612">
        <f>+IF(COLUMNS($L593:T593)&lt;month,'6. Market'!$L$79/12,'6. Market'!$M$79/12)</f>
        <v>15833.32</v>
      </c>
      <c r="U593" s="1612">
        <f>+IF(COLUMNS($L593:U593)&lt;month,'6. Market'!$L$79/12,'6. Market'!$M$79/12)</f>
        <v>15833.32</v>
      </c>
      <c r="V593" s="1702">
        <f>+IF(COLUMNS($L593:V593)&lt;month,'6. Market'!$L$79/12,'6. Market'!$M$79/12)</f>
        <v>15833.32</v>
      </c>
      <c r="W593" s="1612">
        <f>+IF(COLUMNS($L593:W593)&lt;month,'6. Market'!$L$79/12,'6. Market'!$M$79/12)</f>
        <v>15833.32</v>
      </c>
    </row>
    <row r="594" spans="1:26">
      <c r="A594" t="s">
        <v>3771</v>
      </c>
      <c r="B594" t="str">
        <f t="shared" si="30"/>
        <v>X10_11032_00494</v>
      </c>
      <c r="C594" t="str">
        <f t="shared" si="31"/>
        <v>LE_XXXX</v>
      </c>
      <c r="D594" t="s">
        <v>2886</v>
      </c>
      <c r="E594">
        <v>8110</v>
      </c>
      <c r="F594" t="s">
        <v>156</v>
      </c>
      <c r="G594" t="s">
        <v>2889</v>
      </c>
      <c r="H594" t="s">
        <v>154</v>
      </c>
      <c r="I594" t="s">
        <v>146</v>
      </c>
      <c r="J594" t="s">
        <v>147</v>
      </c>
      <c r="K594" t="str">
        <f>+"FY"&amp;RIGHT(YEAR('Hyperion Panel'!$B$9)+3,2)</f>
        <v>FY13</v>
      </c>
      <c r="L594" s="1612">
        <f>+IF(COLUMNS($L594:L594)&lt;month,'6. Market'!$L$82/12,'6. Market'!$M$82/12)</f>
        <v>1108.3275345</v>
      </c>
      <c r="M594" s="1612">
        <f>+IF(COLUMNS($L594:M594)&lt;month,'6. Market'!$L$82/12,'6. Market'!$M$82/12)</f>
        <v>1108.3275345</v>
      </c>
      <c r="N594" s="1612">
        <f>+IF(COLUMNS($L594:N594)&lt;month,'6. Market'!$L$82/12,'6. Market'!$M$82/12)</f>
        <v>1108.3275345</v>
      </c>
      <c r="O594" s="1612">
        <f>+IF(COLUMNS($L594:O594)&lt;month,'6. Market'!$L$82/12,'6. Market'!$M$82/12)</f>
        <v>1108.3275345</v>
      </c>
      <c r="P594" s="1612">
        <f>+IF(COLUMNS($L594:P594)&lt;month,'6. Market'!$L$82/12,'6. Market'!$M$82/12)</f>
        <v>1108.3275345</v>
      </c>
      <c r="Q594" s="1612">
        <f>+IF(COLUMNS($L594:Q594)&lt;month,'6. Market'!$L$82/12,'6. Market'!$M$82/12)</f>
        <v>1108.3275345</v>
      </c>
      <c r="R594" s="1612">
        <f>+IF(COLUMNS($L594:R594)&lt;month,'6. Market'!$L$82/12,'6. Market'!$M$82/12)</f>
        <v>1108.3275345</v>
      </c>
      <c r="S594" s="1612">
        <f>+IF(COLUMNS($L594:S594)&lt;month,'6. Market'!$L$82/12,'6. Market'!$M$82/12)</f>
        <v>1108.3275345</v>
      </c>
      <c r="T594" s="1612">
        <f>+IF(COLUMNS($L594:T594)&lt;month,'6. Market'!$L$82/12,'6. Market'!$M$82/12)</f>
        <v>1108.3275345</v>
      </c>
      <c r="U594" s="1612">
        <f>+IF(COLUMNS($L594:U594)&lt;month,'6. Market'!$L$82/12,'6. Market'!$M$82/12)</f>
        <v>1108.3275345</v>
      </c>
      <c r="V594" s="1702">
        <f>+IF(COLUMNS($L594:V594)&lt;month,'6. Market'!$L$82/12,'6. Market'!$M$82/12)</f>
        <v>1141.577360535</v>
      </c>
      <c r="W594" s="1612">
        <f>+IF(COLUMNS($L594:W594)&lt;month,'6. Market'!$L$82/12,'6. Market'!$M$82/12)</f>
        <v>1141.577360535</v>
      </c>
    </row>
    <row r="595" spans="1:26">
      <c r="A595" s="102" t="s">
        <v>171</v>
      </c>
      <c r="B595" t="str">
        <f t="shared" si="30"/>
        <v>X10_11032_00494</v>
      </c>
      <c r="C595" s="98" t="str">
        <f t="shared" si="31"/>
        <v>LE_XXXX</v>
      </c>
      <c r="D595" s="98" t="s">
        <v>2886</v>
      </c>
      <c r="E595" s="98">
        <v>6412</v>
      </c>
      <c r="F595" s="98" t="s">
        <v>156</v>
      </c>
      <c r="G595" s="98" t="s">
        <v>2889</v>
      </c>
      <c r="H595" s="98" t="s">
        <v>154</v>
      </c>
      <c r="I595" s="98" t="s">
        <v>146</v>
      </c>
      <c r="J595" s="98" t="s">
        <v>147</v>
      </c>
      <c r="K595" t="str">
        <f>+"FY"&amp;RIGHT(YEAR('Hyperion Panel'!$B$9)+3,2)</f>
        <v>FY13</v>
      </c>
      <c r="L595" s="1697">
        <f>+IF(COLUMNS($L595:L595)&lt;month,'6. Market'!$L$117*SUM(L569:L570,L572:L573),'6. Market'!$M$117*SUM(L569:L570,L572:L573))</f>
        <v>19695.581558611779</v>
      </c>
      <c r="M595" s="1697">
        <f>+IF(COLUMNS($L595:M595)&lt;month,'6. Market'!$L$117*SUM(M569:M570,M572:M573),'6. Market'!$M$117*SUM(M569:M570,M572:M573))</f>
        <v>19695.581558611779</v>
      </c>
      <c r="N595" s="1697">
        <f>+IF(COLUMNS($L595:N595)&lt;month,'6. Market'!$L$117*SUM(N569:N570,N572:N573),'6. Market'!$M$117*SUM(N569:N570,N572:N573))</f>
        <v>19695.581558611779</v>
      </c>
      <c r="O595" s="1697">
        <f>+IF(COLUMNS($L595:O595)&lt;month,'6. Market'!$L$117*SUM(O569:O570,O572:O573),'6. Market'!$M$117*SUM(O569:O570,O572:O573))</f>
        <v>19695.581558611779</v>
      </c>
      <c r="P595" s="1697">
        <f>+IF(COLUMNS($L595:P595)&lt;month,'6. Market'!$L$117*SUM(P569:P570,P572:P573),'6. Market'!$M$117*SUM(P569:P570,P572:P573))</f>
        <v>19695.581558611779</v>
      </c>
      <c r="Q595" s="1697">
        <f>+IF(COLUMNS($L595:Q595)&lt;month,'6. Market'!$L$117*SUM(Q569:Q570,Q572:Q573),'6. Market'!$M$117*SUM(Q569:Q570,Q572:Q573))</f>
        <v>19695.581558611779</v>
      </c>
      <c r="R595" s="1697">
        <f>+IF(COLUMNS($L595:R595)&lt;month,'6. Market'!$L$117*SUM(R569:R570,R572:R573),'6. Market'!$M$117*SUM(R569:R570,R572:R573))</f>
        <v>19695.581558611779</v>
      </c>
      <c r="S595" s="1697">
        <f>+IF(COLUMNS($L595:S595)&lt;month,'6. Market'!$L$117*SUM(S569:S570,S572:S573),'6. Market'!$M$117*SUM(S569:S570,S572:S573))</f>
        <v>19695.581558611779</v>
      </c>
      <c r="T595" s="1697">
        <f>+IF(COLUMNS($L595:T595)&lt;month,'6. Market'!$L$117*SUM(T569:T570,T572:T573),'6. Market'!$M$117*SUM(T569:T570,T572:T573))</f>
        <v>19695.581558611779</v>
      </c>
      <c r="U595" s="1697">
        <f>+IF(COLUMNS($L595:U595)&lt;month,'6. Market'!$L$117*SUM(U569:U570,U572:U573),'6. Market'!$M$117*SUM(U569:U570,U572:U573))</f>
        <v>19695.581558611779</v>
      </c>
      <c r="V595" s="1700">
        <f>+IF(COLUMNS($L595:V595)&lt;month,'6. Market'!$L$117*SUM(V569:V570,V572:V573),'6. Market'!$M$117*SUM(V569:V570,V572:V573))</f>
        <v>20286.44900537013</v>
      </c>
      <c r="W595" s="1697">
        <f>+IF(COLUMNS($L595:W595)&lt;month,'6. Market'!$L$117*SUM(W569:W570,W572:W573),'6. Market'!$M$117*SUM(W569:W570,W572:W573))</f>
        <v>20286.44900537013</v>
      </c>
    </row>
    <row r="596" spans="1:26" s="3" customFormat="1">
      <c r="A596" s="1687" t="s">
        <v>730</v>
      </c>
      <c r="B596" t="str">
        <f t="shared" si="30"/>
        <v>X10_11032_00494</v>
      </c>
      <c r="C596" s="1687" t="str">
        <f>+$C$2</f>
        <v>LE_XXXX</v>
      </c>
      <c r="D596" s="1687" t="s">
        <v>2886</v>
      </c>
      <c r="E596" s="1687">
        <v>8110</v>
      </c>
      <c r="F596" s="1687" t="s">
        <v>731</v>
      </c>
      <c r="G596" s="1687" t="s">
        <v>2889</v>
      </c>
      <c r="H596" s="1687" t="s">
        <v>154</v>
      </c>
      <c r="I596" s="1687" t="s">
        <v>146</v>
      </c>
      <c r="J596" s="1687" t="s">
        <v>147</v>
      </c>
      <c r="K596" t="str">
        <f>+"FY"&amp;RIGHT(YEAR('Hyperion Panel'!$B$9)+3,2)</f>
        <v>FY13</v>
      </c>
      <c r="L596" s="1704">
        <f>+IF(COLUMNS($L596:L596)&lt;month,'6. Market'!$L$88/12,'6. Market'!$M$88/12)</f>
        <v>884.08333333333337</v>
      </c>
      <c r="M596" s="1704">
        <f>+IF(COLUMNS($L596:M596)&lt;month,'6. Market'!$L$88/12,'6. Market'!$M$88/12)</f>
        <v>884.08333333333337</v>
      </c>
      <c r="N596" s="1704">
        <f>+IF(COLUMNS($L596:N596)&lt;month,'6. Market'!$L$88/12,'6. Market'!$M$88/12)</f>
        <v>884.08333333333337</v>
      </c>
      <c r="O596" s="1704">
        <f>+IF(COLUMNS($L596:O596)&lt;month,'6. Market'!$L$88/12,'6. Market'!$M$88/12)</f>
        <v>884.08333333333337</v>
      </c>
      <c r="P596" s="1704">
        <f>+IF(COLUMNS($L596:P596)&lt;month,'6. Market'!$L$88/12,'6. Market'!$M$88/12)</f>
        <v>884.08333333333337</v>
      </c>
      <c r="Q596" s="1704">
        <f>+IF(COLUMNS($L596:Q596)&lt;month,'6. Market'!$L$88/12,'6. Market'!$M$88/12)</f>
        <v>884.08333333333337</v>
      </c>
      <c r="R596" s="1704">
        <f>+IF(COLUMNS($L596:R596)&lt;month,'6. Market'!$L$88/12,'6. Market'!$M$88/12)</f>
        <v>884.08333333333337</v>
      </c>
      <c r="S596" s="1704">
        <f>+IF(COLUMNS($L596:S596)&lt;month,'6. Market'!$L$88/12,'6. Market'!$M$88/12)</f>
        <v>884.08333333333337</v>
      </c>
      <c r="T596" s="1704">
        <f>+IF(COLUMNS($L596:T596)&lt;month,'6. Market'!$L$88/12,'6. Market'!$M$88/12)</f>
        <v>884.08333333333337</v>
      </c>
      <c r="U596" s="1704">
        <f>+IF(COLUMNS($L596:U596)&lt;month,'6. Market'!$L$88/12,'6. Market'!$M$88/12)</f>
        <v>884.08333333333337</v>
      </c>
      <c r="V596" s="1704">
        <f>+IF(COLUMNS($L596:V596)&lt;month,'6. Market'!$L$88/12,'6. Market'!$M$88/12)</f>
        <v>910.60583333333341</v>
      </c>
      <c r="W596" s="1704">
        <f>+IF(COLUMNS($L596:W596)&lt;month,'6. Market'!$L$88/12,'6. Market'!$M$88/12)</f>
        <v>910.60583333333341</v>
      </c>
    </row>
    <row r="597" spans="1:26" s="3" customFormat="1">
      <c r="A597" s="1687" t="s">
        <v>732</v>
      </c>
      <c r="B597" t="str">
        <f t="shared" si="30"/>
        <v>X10_11032_00494</v>
      </c>
      <c r="C597" s="1687" t="str">
        <f>+$C$2</f>
        <v>LE_XXXX</v>
      </c>
      <c r="D597" s="1687" t="s">
        <v>2886</v>
      </c>
      <c r="E597" s="1687"/>
      <c r="F597" s="1687" t="s">
        <v>731</v>
      </c>
      <c r="G597" s="1687" t="s">
        <v>2889</v>
      </c>
      <c r="H597" s="1687" t="s">
        <v>154</v>
      </c>
      <c r="I597" s="1687" t="s">
        <v>146</v>
      </c>
      <c r="J597" s="1687" t="s">
        <v>147</v>
      </c>
      <c r="K597" t="str">
        <f>+"FY"&amp;RIGHT(YEAR('Hyperion Panel'!$B$9)+3,2)</f>
        <v>FY13</v>
      </c>
      <c r="L597" s="1704">
        <f>+IF(COLUMNS($L597:L597)&lt;month,'6. Market'!$L$89/12,'6. Market'!$M$89/12)</f>
        <v>0</v>
      </c>
      <c r="M597" s="1704">
        <f>+IF(COLUMNS($L597:M597)&lt;month,'6. Market'!$L$89/12,'6. Market'!$M$89/12)</f>
        <v>0</v>
      </c>
      <c r="N597" s="1704">
        <f>+IF(COLUMNS($L597:N597)&lt;month,'6. Market'!$L$89/12,'6. Market'!$M$89/12)</f>
        <v>0</v>
      </c>
      <c r="O597" s="1704">
        <f>+IF(COLUMNS($L597:O597)&lt;month,'6. Market'!$L$89/12,'6. Market'!$M$89/12)</f>
        <v>0</v>
      </c>
      <c r="P597" s="1704">
        <f>+IF(COLUMNS($L597:P597)&lt;month,'6. Market'!$L$89/12,'6. Market'!$M$89/12)</f>
        <v>0</v>
      </c>
      <c r="Q597" s="1704">
        <f>+IF(COLUMNS($L597:Q597)&lt;month,'6. Market'!$L$89/12,'6. Market'!$M$89/12)</f>
        <v>0</v>
      </c>
      <c r="R597" s="1704">
        <f>+IF(COLUMNS($L597:R597)&lt;month,'6. Market'!$L$89/12,'6. Market'!$M$89/12)</f>
        <v>0</v>
      </c>
      <c r="S597" s="1704">
        <f>+IF(COLUMNS($L597:S597)&lt;month,'6. Market'!$L$89/12,'6. Market'!$M$89/12)</f>
        <v>0</v>
      </c>
      <c r="T597" s="1704">
        <f>+IF(COLUMNS($L597:T597)&lt;month,'6. Market'!$L$89/12,'6. Market'!$M$89/12)</f>
        <v>0</v>
      </c>
      <c r="U597" s="1704">
        <f>+IF(COLUMNS($L597:U597)&lt;month,'6. Market'!$L$89/12,'6. Market'!$M$89/12)</f>
        <v>0</v>
      </c>
      <c r="V597" s="1704">
        <f>+IF(COLUMNS($L597:V597)&lt;month,'6. Market'!$L$89/12,'6. Market'!$M$89/12)</f>
        <v>0</v>
      </c>
      <c r="W597" s="1704">
        <f>+IF(COLUMNS($L597:W597)&lt;month,'6. Market'!$L$89/12,'6. Market'!$M$89/12)</f>
        <v>0</v>
      </c>
    </row>
    <row r="598" spans="1:26" s="3" customFormat="1">
      <c r="A598" s="1687" t="s">
        <v>733</v>
      </c>
      <c r="B598" t="str">
        <f t="shared" si="30"/>
        <v>X10_11032_00494</v>
      </c>
      <c r="C598" s="1687" t="str">
        <f>+$C$2</f>
        <v>LE_XXXX</v>
      </c>
      <c r="D598" s="1687" t="s">
        <v>2886</v>
      </c>
      <c r="E598" s="1687"/>
      <c r="F598" s="1687" t="s">
        <v>731</v>
      </c>
      <c r="G598" s="1687" t="s">
        <v>2889</v>
      </c>
      <c r="H598" s="1687" t="s">
        <v>154</v>
      </c>
      <c r="I598" s="1687" t="s">
        <v>146</v>
      </c>
      <c r="J598" s="1687" t="s">
        <v>147</v>
      </c>
      <c r="K598" t="str">
        <f>+"FY"&amp;RIGHT(YEAR('Hyperion Panel'!$B$9)+3,2)</f>
        <v>FY13</v>
      </c>
      <c r="L598" s="1704">
        <f>+IF(COLUMNS($L598:L598)&lt;month,'6. Market'!$L$90/12,'6. Market'!$M$90/12)</f>
        <v>10029.456</v>
      </c>
      <c r="M598" s="1704">
        <f>+IF(COLUMNS($L598:M598)&lt;month,'6. Market'!$L$90/12,'6. Market'!$M$90/12)</f>
        <v>10029.456</v>
      </c>
      <c r="N598" s="1704">
        <f>+IF(COLUMNS($L598:N598)&lt;month,'6. Market'!$L$90/12,'6. Market'!$M$90/12)</f>
        <v>10029.456</v>
      </c>
      <c r="O598" s="1704">
        <f>+IF(COLUMNS($L598:O598)&lt;month,'6. Market'!$L$90/12,'6. Market'!$M$90/12)</f>
        <v>10029.456</v>
      </c>
      <c r="P598" s="1704">
        <f>+IF(COLUMNS($L598:P598)&lt;month,'6. Market'!$L$90/12,'6. Market'!$M$90/12)</f>
        <v>10029.456</v>
      </c>
      <c r="Q598" s="1704">
        <f>+IF(COLUMNS($L598:Q598)&lt;month,'6. Market'!$L$90/12,'6. Market'!$M$90/12)</f>
        <v>10029.456</v>
      </c>
      <c r="R598" s="1704">
        <f>+IF(COLUMNS($L598:R598)&lt;month,'6. Market'!$L$90/12,'6. Market'!$M$90/12)</f>
        <v>10029.456</v>
      </c>
      <c r="S598" s="1704">
        <f>+IF(COLUMNS($L598:S598)&lt;month,'6. Market'!$L$90/12,'6. Market'!$M$90/12)</f>
        <v>10029.456</v>
      </c>
      <c r="T598" s="1704">
        <f>+IF(COLUMNS($L598:T598)&lt;month,'6. Market'!$L$90/12,'6. Market'!$M$90/12)</f>
        <v>10029.456</v>
      </c>
      <c r="U598" s="1704">
        <f>+IF(COLUMNS($L598:U598)&lt;month,'6. Market'!$L$90/12,'6. Market'!$M$90/12)</f>
        <v>10029.456</v>
      </c>
      <c r="V598" s="1704">
        <f>+IF(COLUMNS($L598:V598)&lt;month,'6. Market'!$L$90/12,'6. Market'!$M$90/12)</f>
        <v>10230.045119999999</v>
      </c>
      <c r="W598" s="1704">
        <f>+IF(COLUMNS($L598:W598)&lt;month,'6. Market'!$L$90/12,'6. Market'!$M$90/12)</f>
        <v>10230.045119999999</v>
      </c>
    </row>
    <row r="599" spans="1:26" s="3" customFormat="1">
      <c r="A599" s="1687" t="s">
        <v>734</v>
      </c>
      <c r="B599" t="str">
        <f t="shared" si="30"/>
        <v>X10_11032_00494</v>
      </c>
      <c r="C599" s="1687" t="str">
        <f>+$C$2</f>
        <v>LE_XXXX</v>
      </c>
      <c r="D599" s="1687" t="s">
        <v>2886</v>
      </c>
      <c r="E599" s="1687">
        <v>6800</v>
      </c>
      <c r="F599" s="1687" t="s">
        <v>731</v>
      </c>
      <c r="G599" s="1687" t="s">
        <v>2889</v>
      </c>
      <c r="H599" s="1687" t="s">
        <v>154</v>
      </c>
      <c r="I599" s="1687" t="s">
        <v>146</v>
      </c>
      <c r="J599" s="1687" t="s">
        <v>147</v>
      </c>
      <c r="K599" t="str">
        <f>+"FY"&amp;RIGHT(YEAR('Hyperion Panel'!$B$9)+3,2)</f>
        <v>FY13</v>
      </c>
      <c r="L599" s="1704">
        <f>+IF(COLUMNS($L599:L599)&lt;month,'6. Market'!$L$91/12,'6. Market'!$M$91/12)</f>
        <v>1856.575</v>
      </c>
      <c r="M599" s="1704">
        <f>+IF(COLUMNS($L599:M599)&lt;month,'6. Market'!$L$91/12,'6. Market'!$M$91/12)</f>
        <v>1856.575</v>
      </c>
      <c r="N599" s="1704">
        <f>+IF(COLUMNS($L599:N599)&lt;month,'6. Market'!$L$91/12,'6. Market'!$M$91/12)</f>
        <v>1856.575</v>
      </c>
      <c r="O599" s="1704">
        <f>+IF(COLUMNS($L599:O599)&lt;month,'6. Market'!$L$91/12,'6. Market'!$M$91/12)</f>
        <v>1856.575</v>
      </c>
      <c r="P599" s="1704">
        <f>+IF(COLUMNS($L599:P599)&lt;month,'6. Market'!$L$91/12,'6. Market'!$M$91/12)</f>
        <v>1856.575</v>
      </c>
      <c r="Q599" s="1704">
        <f>+IF(COLUMNS($L599:Q599)&lt;month,'6. Market'!$L$91/12,'6. Market'!$M$91/12)</f>
        <v>1856.575</v>
      </c>
      <c r="R599" s="1704">
        <f>+IF(COLUMNS($L599:R599)&lt;month,'6. Market'!$L$91/12,'6. Market'!$M$91/12)</f>
        <v>1856.575</v>
      </c>
      <c r="S599" s="1704">
        <f>+IF(COLUMNS($L599:S599)&lt;month,'6. Market'!$L$91/12,'6. Market'!$M$91/12)</f>
        <v>1856.575</v>
      </c>
      <c r="T599" s="1704">
        <f>+IF(COLUMNS($L599:T599)&lt;month,'6. Market'!$L$91/12,'6. Market'!$M$91/12)</f>
        <v>1856.575</v>
      </c>
      <c r="U599" s="1704">
        <f>+IF(COLUMNS($L599:U599)&lt;month,'6. Market'!$L$91/12,'6. Market'!$M$91/12)</f>
        <v>1856.575</v>
      </c>
      <c r="V599" s="1704">
        <f>+IF(COLUMNS($L599:V599)&lt;month,'6. Market'!$L$91/12,'6. Market'!$M$91/12)</f>
        <v>1912.27225</v>
      </c>
      <c r="W599" s="1704">
        <f>+IF(COLUMNS($L599:W599)&lt;month,'6. Market'!$L$91/12,'6. Market'!$M$91/12)</f>
        <v>1912.27225</v>
      </c>
    </row>
    <row r="600" spans="1:26">
      <c r="A600" t="s">
        <v>158</v>
      </c>
      <c r="B600" t="str">
        <f t="shared" si="30"/>
        <v>X10_11032_00494</v>
      </c>
      <c r="C600" t="str">
        <f>+$C$460</f>
        <v>LE_XXXX</v>
      </c>
      <c r="D600" t="s">
        <v>2886</v>
      </c>
      <c r="E600" t="s">
        <v>159</v>
      </c>
      <c r="F600" t="s">
        <v>156</v>
      </c>
      <c r="G600" t="s">
        <v>2889</v>
      </c>
      <c r="H600" t="s">
        <v>154</v>
      </c>
      <c r="I600" t="s">
        <v>146</v>
      </c>
      <c r="J600" t="s">
        <v>147</v>
      </c>
      <c r="K600" t="str">
        <f>+"FY"&amp;RIGHT(YEAR('Hyperion Panel'!$B$9)+3,2)</f>
        <v>FY13</v>
      </c>
      <c r="L600" s="103">
        <f>'Hyperion Panel'!$C$7</f>
        <v>1</v>
      </c>
      <c r="M600" s="103">
        <f>'Hyperion Panel'!$C$7</f>
        <v>1</v>
      </c>
      <c r="N600" s="103">
        <f>'Hyperion Panel'!$C$7</f>
        <v>1</v>
      </c>
      <c r="O600" s="103">
        <f>'Hyperion Panel'!$C$7</f>
        <v>1</v>
      </c>
      <c r="P600" s="103">
        <f>'Hyperion Panel'!$C$7</f>
        <v>1</v>
      </c>
      <c r="Q600" s="103">
        <f>'Hyperion Panel'!$C$7</f>
        <v>1</v>
      </c>
      <c r="R600" s="103">
        <f>'Hyperion Panel'!$C$7</f>
        <v>1</v>
      </c>
      <c r="S600" s="103">
        <f>'Hyperion Panel'!$C$7</f>
        <v>1</v>
      </c>
      <c r="T600" s="103">
        <f>'Hyperion Panel'!$C$7</f>
        <v>1</v>
      </c>
      <c r="U600" s="103">
        <f>'Hyperion Panel'!$C$7</f>
        <v>1</v>
      </c>
      <c r="V600" s="1694">
        <f>'Hyperion Panel'!$C$7</f>
        <v>1</v>
      </c>
      <c r="W600" s="103">
        <f>'Hyperion Panel'!$C$7</f>
        <v>1</v>
      </c>
    </row>
    <row r="601" spans="1:26">
      <c r="A601" t="s">
        <v>160</v>
      </c>
      <c r="B601" t="str">
        <f t="shared" si="30"/>
        <v>X10_11032_00494</v>
      </c>
      <c r="C601" t="str">
        <f>+$C$460</f>
        <v>LE_XXXX</v>
      </c>
      <c r="D601" t="s">
        <v>2886</v>
      </c>
      <c r="E601" t="s">
        <v>161</v>
      </c>
      <c r="F601" t="s">
        <v>156</v>
      </c>
      <c r="G601" t="s">
        <v>2889</v>
      </c>
      <c r="H601" t="s">
        <v>154</v>
      </c>
      <c r="I601" t="s">
        <v>146</v>
      </c>
      <c r="J601" t="s">
        <v>147</v>
      </c>
      <c r="K601" t="str">
        <f>+"FY"&amp;RIGHT(YEAR('Hyperion Panel'!$B$9)+3,2)</f>
        <v>FY13</v>
      </c>
      <c r="L601" s="1705">
        <v>0</v>
      </c>
      <c r="M601" s="1705">
        <v>0</v>
      </c>
      <c r="N601" s="1705">
        <v>0</v>
      </c>
      <c r="O601" s="1705">
        <v>0</v>
      </c>
      <c r="P601" s="1705">
        <v>0</v>
      </c>
      <c r="Q601" s="1705">
        <v>0</v>
      </c>
      <c r="R601" s="1705">
        <v>0</v>
      </c>
      <c r="S601" s="1705">
        <v>0</v>
      </c>
      <c r="T601" s="1705">
        <v>0</v>
      </c>
      <c r="U601" s="1705">
        <v>0</v>
      </c>
      <c r="V601" s="1705">
        <v>0</v>
      </c>
      <c r="W601" s="1705">
        <v>0</v>
      </c>
    </row>
    <row r="602" spans="1:26" s="3" customFormat="1">
      <c r="A602" s="1687" t="s">
        <v>735</v>
      </c>
      <c r="B602" t="str">
        <f t="shared" si="30"/>
        <v>X10_11032_00494</v>
      </c>
      <c r="C602" s="1687"/>
      <c r="D602" s="1687"/>
      <c r="E602" s="1687"/>
      <c r="F602" s="1687"/>
      <c r="G602" s="1687"/>
      <c r="H602" s="1687"/>
      <c r="I602" s="1687"/>
      <c r="J602" s="1687"/>
      <c r="K602" t="str">
        <f>+"FY"&amp;RIGHT(YEAR('Hyperion Panel'!$B$9)+3,2)</f>
        <v>FY13</v>
      </c>
      <c r="L602" s="1705">
        <v>0</v>
      </c>
      <c r="M602" s="1705">
        <v>0</v>
      </c>
      <c r="N602" s="1705">
        <v>0</v>
      </c>
      <c r="O602" s="1705">
        <v>0</v>
      </c>
      <c r="P602" s="1705">
        <v>0</v>
      </c>
      <c r="Q602" s="1705">
        <v>0</v>
      </c>
      <c r="R602" s="1705">
        <v>0</v>
      </c>
      <c r="S602" s="1705">
        <v>0</v>
      </c>
      <c r="T602" s="1705">
        <v>0</v>
      </c>
      <c r="U602" s="1705">
        <v>0</v>
      </c>
      <c r="V602" s="1705">
        <v>0</v>
      </c>
      <c r="W602" s="1705">
        <v>0</v>
      </c>
      <c r="Y602" s="1688"/>
    </row>
    <row r="603" spans="1:26">
      <c r="L603" s="1705"/>
      <c r="M603" s="1705"/>
      <c r="N603" s="1705"/>
      <c r="O603" s="1705"/>
      <c r="P603" s="1705"/>
      <c r="Q603" s="1705"/>
      <c r="R603" s="1705"/>
      <c r="S603" s="1705"/>
      <c r="T603" s="1705"/>
      <c r="U603" s="1705"/>
      <c r="V603" s="1705"/>
      <c r="W603" s="1705"/>
    </row>
    <row r="604" spans="1:26">
      <c r="A604" s="98" t="s">
        <v>165</v>
      </c>
      <c r="B604" t="str">
        <f>+$B$460</f>
        <v>X10_11032_00494</v>
      </c>
      <c r="C604" t="str">
        <f>+$C$460</f>
        <v>LE_XXXX</v>
      </c>
      <c r="D604" t="s">
        <v>2886</v>
      </c>
      <c r="E604" t="s">
        <v>2887</v>
      </c>
      <c r="F604" t="s">
        <v>2888</v>
      </c>
      <c r="G604" t="s">
        <v>2889</v>
      </c>
      <c r="H604" t="s">
        <v>145</v>
      </c>
      <c r="I604" t="s">
        <v>146</v>
      </c>
      <c r="J604" t="s">
        <v>147</v>
      </c>
      <c r="K604" t="str">
        <f>+"FY"&amp;RIGHT(YEAR('Hyperion Panel'!$B$9)+4,2)</f>
        <v>FY14</v>
      </c>
      <c r="L604" s="1612"/>
      <c r="M604" s="1612"/>
      <c r="N604" s="1612"/>
      <c r="O604" s="1612"/>
      <c r="P604" s="1612"/>
      <c r="Q604" s="1612"/>
      <c r="R604" s="1612"/>
      <c r="S604" s="1612"/>
      <c r="T604" s="1612"/>
      <c r="U604" s="1612"/>
      <c r="V604" s="1702"/>
      <c r="W604" s="1612"/>
    </row>
    <row r="605" spans="1:26" s="98" customFormat="1" ht="12.75" customHeight="1">
      <c r="A605" s="100" t="s">
        <v>463</v>
      </c>
      <c r="L605" s="1697">
        <f>+IF(COLUMNS($L605:L605)&lt;month,VLOOKUP("Month "&amp;(COLUMNS($L605:L605)-month+13),X_baseline_Tx,9,FALSE)*52*3/12*(1-hemomiss),VLOOKUP("Month "&amp;(COLUMNS($L605:L605)-month+1),X_baseline_Tx,11,FALSE)*52*3/12*(1-hemomiss))</f>
        <v>574.08000000000004</v>
      </c>
      <c r="M605" s="1697">
        <f>+IF(COLUMNS($L605:M605)&lt;month,VLOOKUP("Month "&amp;(COLUMNS($L605:M605)-month+13),X_baseline_Tx,9,FALSE)*52*3/12*(1-hemomiss),VLOOKUP("Month "&amp;(COLUMNS($L605:M605)-month+1),X_baseline_Tx,11,FALSE)*52*3/12*(1-hemomiss))</f>
        <v>574.08000000000004</v>
      </c>
      <c r="N605" s="1697">
        <f>+IF(COLUMNS($L605:N605)&lt;month,VLOOKUP("Month "&amp;(COLUMNS($L605:N605)-month+13),X_baseline_Tx,9,FALSE)*52*3/12*(1-hemomiss),VLOOKUP("Month "&amp;(COLUMNS($L605:N605)-month+1),X_baseline_Tx,11,FALSE)*52*3/12*(1-hemomiss))</f>
        <v>574.08000000000004</v>
      </c>
      <c r="O605" s="1697">
        <f>+IF(COLUMNS($L605:O605)&lt;month,VLOOKUP("Month "&amp;(COLUMNS($L605:O605)-month+13),X_baseline_Tx,9,FALSE)*52*3/12*(1-hemomiss),VLOOKUP("Month "&amp;(COLUMNS($L605:O605)-month+1),X_baseline_Tx,11,FALSE)*52*3/12*(1-hemomiss))</f>
        <v>574.08000000000004</v>
      </c>
      <c r="P605" s="1697">
        <f>+IF(COLUMNS($L605:P605)&lt;month,VLOOKUP("Month "&amp;(COLUMNS($L605:P605)-month+13),X_baseline_Tx,9,FALSE)*52*3/12*(1-hemomiss),VLOOKUP("Month "&amp;(COLUMNS($L605:P605)-month+1),X_baseline_Tx,11,FALSE)*52*3/12*(1-hemomiss))</f>
        <v>574.08000000000004</v>
      </c>
      <c r="Q605" s="1697">
        <f>+IF(COLUMNS($L605:Q605)&lt;month,VLOOKUP("Month "&amp;(COLUMNS($L605:Q605)-month+13),X_baseline_Tx,9,FALSE)*52*3/12*(1-hemomiss),VLOOKUP("Month "&amp;(COLUMNS($L605:Q605)-month+1),X_baseline_Tx,11,FALSE)*52*3/12*(1-hemomiss))</f>
        <v>574.08000000000004</v>
      </c>
      <c r="R605" s="1697">
        <f>+IF(COLUMNS($L605:R605)&lt;month,VLOOKUP("Month "&amp;(COLUMNS($L605:R605)-month+13),X_baseline_Tx,9,FALSE)*52*3/12*(1-hemomiss),VLOOKUP("Month "&amp;(COLUMNS($L605:R605)-month+1),X_baseline_Tx,11,FALSE)*52*3/12*(1-hemomiss))</f>
        <v>574.08000000000004</v>
      </c>
      <c r="S605" s="1697">
        <f>+IF(COLUMNS($L605:S605)&lt;month,VLOOKUP("Month "&amp;(COLUMNS($L605:S605)-month+13),X_baseline_Tx,9,FALSE)*52*3/12*(1-hemomiss),VLOOKUP("Month "&amp;(COLUMNS($L605:S605)-month+1),X_baseline_Tx,11,FALSE)*52*3/12*(1-hemomiss))</f>
        <v>574.08000000000004</v>
      </c>
      <c r="T605" s="1697">
        <f>+IF(COLUMNS($L605:T605)&lt;month,VLOOKUP("Month "&amp;(COLUMNS($L605:T605)-month+13),X_baseline_Tx,9,FALSE)*52*3/12*(1-hemomiss),VLOOKUP("Month "&amp;(COLUMNS($L605:T605)-month+1),X_baseline_Tx,11,FALSE)*52*3/12*(1-hemomiss))</f>
        <v>574.08000000000004</v>
      </c>
      <c r="U605" s="1697">
        <f>+IF(COLUMNS($L605:U605)&lt;month,VLOOKUP("Month "&amp;(COLUMNS($L605:U605)-month+13),X_baseline_Tx,9,FALSE)*52*3/12*(1-hemomiss),VLOOKUP("Month "&amp;(COLUMNS($L605:U605)-month+1),X_baseline_Tx,11,FALSE)*52*3/12*(1-hemomiss))</f>
        <v>574.08000000000004</v>
      </c>
      <c r="V605" s="1700">
        <f>+IF(COLUMNS($L605:V605)&lt;month,VLOOKUP("Month "&amp;(COLUMNS($L605:V605)-month+13),X_baseline_Tx,9,FALSE)*52*3/12*(1-hemomiss),VLOOKUP("Month "&amp;(COLUMNS($L605:V605)-month+1),X_baseline_Tx,11,FALSE)*52*3/12*(1-hemomiss))</f>
        <v>574.08000000000004</v>
      </c>
      <c r="W605" s="1697">
        <f>+IF(COLUMNS($L605:W605)&lt;month,VLOOKUP("Month "&amp;(COLUMNS($L605:W605)-month+13),X_baseline_Tx,9,FALSE)*52*3/12*(1-hemomiss),VLOOKUP("Month "&amp;(COLUMNS($L605:W605)-month+1),X_baseline_Tx,11,FALSE)*52*3/12*(1-hemomiss))</f>
        <v>574.08000000000004</v>
      </c>
      <c r="Y605" s="99"/>
      <c r="Z605" s="97"/>
    </row>
    <row r="606" spans="1:26" s="98" customFormat="1" ht="12.75" customHeight="1">
      <c r="A606" s="100" t="s">
        <v>464</v>
      </c>
      <c r="L606" s="1697">
        <f>+IF(COLUMNS($L606:L606)&lt;month,VLOOKUP("Month "&amp;(COLUMNS($L606:L606)-month+13),X_baseline_Tx,10,FALSE)*52*3/12*(1-hemomiss),VLOOKUP("Month "&amp;(COLUMNS($L606:L606)-month+1),X_baseline_Tx,12,FALSE)*52*3/12*(1-hemomiss))</f>
        <v>23.92</v>
      </c>
      <c r="M606" s="1697">
        <f>+IF(COLUMNS($L606:M606)&lt;month,VLOOKUP("Month "&amp;(COLUMNS($L606:M606)-month+13),X_baseline_Tx,10,FALSE)*52*3/12*(1-hemomiss),VLOOKUP("Month "&amp;(COLUMNS($L606:M606)-month+1),X_baseline_Tx,12,FALSE)*52*3/12*(1-hemomiss))</f>
        <v>23.92</v>
      </c>
      <c r="N606" s="1697">
        <f>+IF(COLUMNS($L606:N606)&lt;month,VLOOKUP("Month "&amp;(COLUMNS($L606:N606)-month+13),X_baseline_Tx,10,FALSE)*52*3/12*(1-hemomiss),VLOOKUP("Month "&amp;(COLUMNS($L606:N606)-month+1),X_baseline_Tx,12,FALSE)*52*3/12*(1-hemomiss))</f>
        <v>23.92</v>
      </c>
      <c r="O606" s="1697">
        <f>+IF(COLUMNS($L606:O606)&lt;month,VLOOKUP("Month "&amp;(COLUMNS($L606:O606)-month+13),X_baseline_Tx,10,FALSE)*52*3/12*(1-hemomiss),VLOOKUP("Month "&amp;(COLUMNS($L606:O606)-month+1),X_baseline_Tx,12,FALSE)*52*3/12*(1-hemomiss))</f>
        <v>23.92</v>
      </c>
      <c r="P606" s="1697">
        <f>+IF(COLUMNS($L606:P606)&lt;month,VLOOKUP("Month "&amp;(COLUMNS($L606:P606)-month+13),X_baseline_Tx,10,FALSE)*52*3/12*(1-hemomiss),VLOOKUP("Month "&amp;(COLUMNS($L606:P606)-month+1),X_baseline_Tx,12,FALSE)*52*3/12*(1-hemomiss))</f>
        <v>23.92</v>
      </c>
      <c r="Q606" s="1697">
        <f>+IF(COLUMNS($L606:Q606)&lt;month,VLOOKUP("Month "&amp;(COLUMNS($L606:Q606)-month+13),X_baseline_Tx,10,FALSE)*52*3/12*(1-hemomiss),VLOOKUP("Month "&amp;(COLUMNS($L606:Q606)-month+1),X_baseline_Tx,12,FALSE)*52*3/12*(1-hemomiss))</f>
        <v>23.92</v>
      </c>
      <c r="R606" s="1697">
        <f>+IF(COLUMNS($L606:R606)&lt;month,VLOOKUP("Month "&amp;(COLUMNS($L606:R606)-month+13),X_baseline_Tx,10,FALSE)*52*3/12*(1-hemomiss),VLOOKUP("Month "&amp;(COLUMNS($L606:R606)-month+1),X_baseline_Tx,12,FALSE)*52*3/12*(1-hemomiss))</f>
        <v>23.92</v>
      </c>
      <c r="S606" s="1697">
        <f>+IF(COLUMNS($L606:S606)&lt;month,VLOOKUP("Month "&amp;(COLUMNS($L606:S606)-month+13),X_baseline_Tx,10,FALSE)*52*3/12*(1-hemomiss),VLOOKUP("Month "&amp;(COLUMNS($L606:S606)-month+1),X_baseline_Tx,12,FALSE)*52*3/12*(1-hemomiss))</f>
        <v>23.92</v>
      </c>
      <c r="T606" s="1697">
        <f>+IF(COLUMNS($L606:T606)&lt;month,VLOOKUP("Month "&amp;(COLUMNS($L606:T606)-month+13),X_baseline_Tx,10,FALSE)*52*3/12*(1-hemomiss),VLOOKUP("Month "&amp;(COLUMNS($L606:T606)-month+1),X_baseline_Tx,12,FALSE)*52*3/12*(1-hemomiss))</f>
        <v>23.92</v>
      </c>
      <c r="U606" s="1697">
        <f>+IF(COLUMNS($L606:U606)&lt;month,VLOOKUP("Month "&amp;(COLUMNS($L606:U606)-month+13),X_baseline_Tx,10,FALSE)*52*3/12*(1-hemomiss),VLOOKUP("Month "&amp;(COLUMNS($L606:U606)-month+1),X_baseline_Tx,12,FALSE)*52*3/12*(1-hemomiss))</f>
        <v>23.92</v>
      </c>
      <c r="V606" s="1700">
        <f>+IF(COLUMNS($L606:V606)&lt;month,VLOOKUP("Month "&amp;(COLUMNS($L606:V606)-month+13),X_baseline_Tx,10,FALSE)*52*3/12*(1-hemomiss),VLOOKUP("Month "&amp;(COLUMNS($L606:V606)-month+1),X_baseline_Tx,12,FALSE)*52*3/12*(1-hemomiss))</f>
        <v>23.92</v>
      </c>
      <c r="W606" s="1697">
        <f>+IF(COLUMNS($L606:W606)&lt;month,VLOOKUP("Month "&amp;(COLUMNS($L606:W606)-month+13),X_baseline_Tx,10,FALSE)*52*3/12*(1-hemomiss),VLOOKUP("Month "&amp;(COLUMNS($L606:W606)-month+1),X_baseline_Tx,12,FALSE)*52*3/12*(1-hemomiss))</f>
        <v>23.92</v>
      </c>
      <c r="Y606" s="99"/>
      <c r="Z606" s="97"/>
    </row>
    <row r="607" spans="1:26">
      <c r="A607" s="98" t="s">
        <v>162</v>
      </c>
      <c r="B607" t="str">
        <f>+$B$460</f>
        <v>X10_11032_00494</v>
      </c>
      <c r="C607" t="str">
        <f>+$C$460</f>
        <v>LE_XXXX</v>
      </c>
      <c r="D607" t="s">
        <v>2886</v>
      </c>
      <c r="E607" t="s">
        <v>149</v>
      </c>
      <c r="F607" t="s">
        <v>150</v>
      </c>
      <c r="G607" t="s">
        <v>2889</v>
      </c>
      <c r="H607" t="s">
        <v>145</v>
      </c>
      <c r="I607" t="s">
        <v>146</v>
      </c>
      <c r="J607" t="s">
        <v>147</v>
      </c>
      <c r="K607" t="str">
        <f>+"FY"&amp;RIGHT(YEAR('Hyperion Panel'!$B$9)+4,2)</f>
        <v>FY14</v>
      </c>
      <c r="L607" s="1612"/>
      <c r="M607" s="1612"/>
      <c r="N607" s="1612"/>
      <c r="O607" s="1612"/>
      <c r="P607" s="1612"/>
      <c r="Q607" s="1612"/>
      <c r="R607" s="1612"/>
      <c r="S607" s="1612"/>
      <c r="T607" s="1612"/>
      <c r="U607" s="1612"/>
      <c r="V607" s="1703"/>
      <c r="W607" s="1612"/>
    </row>
    <row r="608" spans="1:26" s="98" customFormat="1">
      <c r="A608" s="100" t="s">
        <v>463</v>
      </c>
      <c r="L608" s="1697">
        <f>+IF(COLUMNS($L608:L608)&lt;month,VLOOKUP("Month "&amp;(COLUMNS($L608:L608)-month+13),X_baseline_Tx,20,FALSE)*52*3/12*(1-homemiss),VLOOKUP("Month "&amp;(COLUMNS($L608:L608)-month+1),X_baseline_Tx,22,FALSE)*52*3/12*(1-homemiss))</f>
        <v>172.9</v>
      </c>
      <c r="M608" s="1697">
        <f>+IF(COLUMNS($L608:M608)&lt;month,VLOOKUP("Month "&amp;(COLUMNS($L608:M608)-month+13),X_baseline_Tx,20,FALSE)*52*3/12*(1-homemiss),VLOOKUP("Month "&amp;(COLUMNS($L608:M608)-month+1),X_baseline_Tx,22,FALSE)*52*3/12*(1-homemiss))</f>
        <v>172.9</v>
      </c>
      <c r="N608" s="1697">
        <f>+IF(COLUMNS($L608:N608)&lt;month,VLOOKUP("Month "&amp;(COLUMNS($L608:N608)-month+13),X_baseline_Tx,20,FALSE)*52*3/12*(1-homemiss),VLOOKUP("Month "&amp;(COLUMNS($L608:N608)-month+1),X_baseline_Tx,22,FALSE)*52*3/12*(1-homemiss))</f>
        <v>172.9</v>
      </c>
      <c r="O608" s="1697">
        <f>+IF(COLUMNS($L608:O608)&lt;month,VLOOKUP("Month "&amp;(COLUMNS($L608:O608)-month+13),X_baseline_Tx,20,FALSE)*52*3/12*(1-homemiss),VLOOKUP("Month "&amp;(COLUMNS($L608:O608)-month+1),X_baseline_Tx,22,FALSE)*52*3/12*(1-homemiss))</f>
        <v>172.9</v>
      </c>
      <c r="P608" s="1697">
        <f>+IF(COLUMNS($L608:P608)&lt;month,VLOOKUP("Month "&amp;(COLUMNS($L608:P608)-month+13),X_baseline_Tx,20,FALSE)*52*3/12*(1-homemiss),VLOOKUP("Month "&amp;(COLUMNS($L608:P608)-month+1),X_baseline_Tx,22,FALSE)*52*3/12*(1-homemiss))</f>
        <v>172.9</v>
      </c>
      <c r="Q608" s="1697">
        <f>+IF(COLUMNS($L608:Q608)&lt;month,VLOOKUP("Month "&amp;(COLUMNS($L608:Q608)-month+13),X_baseline_Tx,20,FALSE)*52*3/12*(1-homemiss),VLOOKUP("Month "&amp;(COLUMNS($L608:Q608)-month+1),X_baseline_Tx,22,FALSE)*52*3/12*(1-homemiss))</f>
        <v>172.9</v>
      </c>
      <c r="R608" s="1697">
        <f>+IF(COLUMNS($L608:R608)&lt;month,VLOOKUP("Month "&amp;(COLUMNS($L608:R608)-month+13),X_baseline_Tx,20,FALSE)*52*3/12*(1-homemiss),VLOOKUP("Month "&amp;(COLUMNS($L608:R608)-month+1),X_baseline_Tx,22,FALSE)*52*3/12*(1-homemiss))</f>
        <v>172.9</v>
      </c>
      <c r="S608" s="1697">
        <f>+IF(COLUMNS($L608:S608)&lt;month,VLOOKUP("Month "&amp;(COLUMNS($L608:S608)-month+13),X_baseline_Tx,20,FALSE)*52*3/12*(1-homemiss),VLOOKUP("Month "&amp;(COLUMNS($L608:S608)-month+1),X_baseline_Tx,22,FALSE)*52*3/12*(1-homemiss))</f>
        <v>172.9</v>
      </c>
      <c r="T608" s="1697">
        <f>+IF(COLUMNS($L608:T608)&lt;month,VLOOKUP("Month "&amp;(COLUMNS($L608:T608)-month+13),X_baseline_Tx,20,FALSE)*52*3/12*(1-homemiss),VLOOKUP("Month "&amp;(COLUMNS($L608:T608)-month+1),X_baseline_Tx,22,FALSE)*52*3/12*(1-homemiss))</f>
        <v>172.9</v>
      </c>
      <c r="U608" s="1697">
        <f>+IF(COLUMNS($L608:U608)&lt;month,VLOOKUP("Month "&amp;(COLUMNS($L608:U608)-month+13),X_baseline_Tx,20,FALSE)*52*3/12*(1-homemiss),VLOOKUP("Month "&amp;(COLUMNS($L608:U608)-month+1),X_baseline_Tx,22,FALSE)*52*3/12*(1-homemiss))</f>
        <v>172.9</v>
      </c>
      <c r="V608" s="1697">
        <f>+IF(COLUMNS($L608:V608)&lt;month,VLOOKUP("Month "&amp;(COLUMNS($L608:V608)-month+13),X_baseline_Tx,20,FALSE)*52*3/12*(1-homemiss),VLOOKUP("Month "&amp;(COLUMNS($L608:V608)-month+1),X_baseline_Tx,22,FALSE)*52*3/12*(1-homemiss))</f>
        <v>172.9</v>
      </c>
      <c r="W608" s="1697">
        <f>+IF(COLUMNS($L608:W608)&lt;month,VLOOKUP("Month "&amp;(COLUMNS($L608:W608)-month+13),X_baseline_Tx,20,FALSE)*52*3/12*(1-homemiss),VLOOKUP("Month "&amp;(COLUMNS($L608:W608)-month+1),X_baseline_Tx,22,FALSE)*52*3/12*(1-homemiss))</f>
        <v>172.9</v>
      </c>
      <c r="Y608" s="99"/>
    </row>
    <row r="609" spans="1:26" s="98" customFormat="1">
      <c r="A609" s="100" t="s">
        <v>464</v>
      </c>
      <c r="L609" s="1697">
        <f>+IF(COLUMNS($L609:L609)&lt;month,VLOOKUP("Month "&amp;(COLUMNS($L609:L609)-month+13),X_baseline_Tx,21,FALSE)*52*3/12*(1-homemiss),VLOOKUP("Month "&amp;(COLUMNS($L609:L609)-month+1),X_baseline_Tx,23,FALSE)*52*3/12*(1-homemiss))</f>
        <v>74.099999999999994</v>
      </c>
      <c r="M609" s="1697">
        <f>+IF(COLUMNS($L609:M609)&lt;month,VLOOKUP("Month "&amp;(COLUMNS($L609:M609)-month+13),X_baseline_Tx,21,FALSE)*52*3/12*(1-homemiss),VLOOKUP("Month "&amp;(COLUMNS($L609:M609)-month+1),X_baseline_Tx,23,FALSE)*52*3/12*(1-homemiss))</f>
        <v>74.099999999999994</v>
      </c>
      <c r="N609" s="1697">
        <f>+IF(COLUMNS($L609:N609)&lt;month,VLOOKUP("Month "&amp;(COLUMNS($L609:N609)-month+13),X_baseline_Tx,21,FALSE)*52*3/12*(1-homemiss),VLOOKUP("Month "&amp;(COLUMNS($L609:N609)-month+1),X_baseline_Tx,23,FALSE)*52*3/12*(1-homemiss))</f>
        <v>74.099999999999994</v>
      </c>
      <c r="O609" s="1697">
        <f>+IF(COLUMNS($L609:O609)&lt;month,VLOOKUP("Month "&amp;(COLUMNS($L609:O609)-month+13),X_baseline_Tx,21,FALSE)*52*3/12*(1-homemiss),VLOOKUP("Month "&amp;(COLUMNS($L609:O609)-month+1),X_baseline_Tx,23,FALSE)*52*3/12*(1-homemiss))</f>
        <v>74.099999999999994</v>
      </c>
      <c r="P609" s="1697">
        <f>+IF(COLUMNS($L609:P609)&lt;month,VLOOKUP("Month "&amp;(COLUMNS($L609:P609)-month+13),X_baseline_Tx,21,FALSE)*52*3/12*(1-homemiss),VLOOKUP("Month "&amp;(COLUMNS($L609:P609)-month+1),X_baseline_Tx,23,FALSE)*52*3/12*(1-homemiss))</f>
        <v>74.099999999999994</v>
      </c>
      <c r="Q609" s="1697">
        <f>+IF(COLUMNS($L609:Q609)&lt;month,VLOOKUP("Month "&amp;(COLUMNS($L609:Q609)-month+13),X_baseline_Tx,21,FALSE)*52*3/12*(1-homemiss),VLOOKUP("Month "&amp;(COLUMNS($L609:Q609)-month+1),X_baseline_Tx,23,FALSE)*52*3/12*(1-homemiss))</f>
        <v>74.099999999999994</v>
      </c>
      <c r="R609" s="1697">
        <f>+IF(COLUMNS($L609:R609)&lt;month,VLOOKUP("Month "&amp;(COLUMNS($L609:R609)-month+13),X_baseline_Tx,21,FALSE)*52*3/12*(1-homemiss),VLOOKUP("Month "&amp;(COLUMNS($L609:R609)-month+1),X_baseline_Tx,23,FALSE)*52*3/12*(1-homemiss))</f>
        <v>74.099999999999994</v>
      </c>
      <c r="S609" s="1697">
        <f>+IF(COLUMNS($L609:S609)&lt;month,VLOOKUP("Month "&amp;(COLUMNS($L609:S609)-month+13),X_baseline_Tx,21,FALSE)*52*3/12*(1-homemiss),VLOOKUP("Month "&amp;(COLUMNS($L609:S609)-month+1),X_baseline_Tx,23,FALSE)*52*3/12*(1-homemiss))</f>
        <v>74.099999999999994</v>
      </c>
      <c r="T609" s="1697">
        <f>+IF(COLUMNS($L609:T609)&lt;month,VLOOKUP("Month "&amp;(COLUMNS($L609:T609)-month+13),X_baseline_Tx,21,FALSE)*52*3/12*(1-homemiss),VLOOKUP("Month "&amp;(COLUMNS($L609:T609)-month+1),X_baseline_Tx,23,FALSE)*52*3/12*(1-homemiss))</f>
        <v>74.099999999999994</v>
      </c>
      <c r="U609" s="1697">
        <f>+IF(COLUMNS($L609:U609)&lt;month,VLOOKUP("Month "&amp;(COLUMNS($L609:U609)-month+13),X_baseline_Tx,21,FALSE)*52*3/12*(1-homemiss),VLOOKUP("Month "&amp;(COLUMNS($L609:U609)-month+1),X_baseline_Tx,23,FALSE)*52*3/12*(1-homemiss))</f>
        <v>74.099999999999994</v>
      </c>
      <c r="V609" s="1697">
        <f>+IF(COLUMNS($L609:V609)&lt;month,VLOOKUP("Month "&amp;(COLUMNS($L609:V609)-month+13),X_baseline_Tx,21,FALSE)*52*3/12*(1-homemiss),VLOOKUP("Month "&amp;(COLUMNS($L609:V609)-month+1),X_baseline_Tx,23,FALSE)*52*3/12*(1-homemiss))</f>
        <v>74.099999999999994</v>
      </c>
      <c r="W609" s="1697">
        <f>+IF(COLUMNS($L609:W609)&lt;month,VLOOKUP("Month "&amp;(COLUMNS($L609:W609)-month+13),X_baseline_Tx,21,FALSE)*52*3/12*(1-homemiss),VLOOKUP("Month "&amp;(COLUMNS($L609:W609)-month+1),X_baseline_Tx,23,FALSE)*52*3/12*(1-homemiss))</f>
        <v>74.099999999999994</v>
      </c>
      <c r="Y609" s="99"/>
    </row>
    <row r="610" spans="1:26">
      <c r="A610" s="4" t="s">
        <v>3767</v>
      </c>
      <c r="B610" s="4" t="str">
        <f>+$B$460</f>
        <v>X10_11032_00494</v>
      </c>
      <c r="C610" s="4"/>
      <c r="D610" s="4"/>
      <c r="E610" s="4"/>
      <c r="F610" s="4"/>
      <c r="G610" s="4"/>
      <c r="H610" s="4"/>
      <c r="I610" s="4"/>
      <c r="J610" s="4"/>
      <c r="K610" s="4" t="str">
        <f>+"FY"&amp;RIGHT(YEAR('Hyperion Panel'!$B$9)+4,2)</f>
        <v>FY14</v>
      </c>
      <c r="L610" s="1698"/>
      <c r="M610" s="1698"/>
      <c r="N610" s="1698"/>
      <c r="O610" s="1698"/>
      <c r="P610" s="1698"/>
      <c r="Q610" s="1698"/>
      <c r="R610" s="1698"/>
      <c r="S610" s="1698"/>
      <c r="T610" s="1698"/>
      <c r="U610" s="1698"/>
      <c r="V610" s="1699"/>
      <c r="W610" s="1698"/>
      <c r="Y610" s="99"/>
    </row>
    <row r="611" spans="1:26">
      <c r="A611" s="101" t="s">
        <v>463</v>
      </c>
      <c r="B611" s="4"/>
      <c r="C611" s="4"/>
      <c r="D611" s="4"/>
      <c r="E611" s="4"/>
      <c r="F611" s="4"/>
      <c r="G611" s="4"/>
      <c r="H611" s="4"/>
      <c r="I611" s="4"/>
      <c r="J611" s="4"/>
      <c r="K611" s="4"/>
      <c r="L611" s="1698">
        <f>+IF(COLUMNS($L611:L611)&lt;month,VLOOKUP("Month "&amp;(COLUMNS($L611:L611)-month+13),X_baseline_Tx,31,FALSE)*52*3/12*(1-hhdmiss),VLOOKUP("Month "&amp;(COLUMNS($L611:L611)-month+1),X_baseline_Tx,33,FALSE)*52*3/12*(1-hhdmiss))</f>
        <v>65</v>
      </c>
      <c r="M611" s="1698">
        <f>+IF(COLUMNS($L611:M611)&lt;month,VLOOKUP("Month "&amp;(COLUMNS($L611:M611)-month+13),X_baseline_Tx,31,FALSE)*52*3/12*(1-hhdmiss),VLOOKUP("Month "&amp;(COLUMNS($L611:M611)-month+1),X_baseline_Tx,33,FALSE)*52*3/12*(1-hhdmiss))</f>
        <v>65</v>
      </c>
      <c r="N611" s="1698">
        <f>+IF(COLUMNS($L611:N611)&lt;month,VLOOKUP("Month "&amp;(COLUMNS($L611:N611)-month+13),X_baseline_Tx,31,FALSE)*52*3/12*(1-hhdmiss),VLOOKUP("Month "&amp;(COLUMNS($L611:N611)-month+1),X_baseline_Tx,33,FALSE)*52*3/12*(1-hhdmiss))</f>
        <v>65</v>
      </c>
      <c r="O611" s="1698">
        <f>+IF(COLUMNS($L611:O611)&lt;month,VLOOKUP("Month "&amp;(COLUMNS($L611:O611)-month+13),X_baseline_Tx,31,FALSE)*52*3/12*(1-hhdmiss),VLOOKUP("Month "&amp;(COLUMNS($L611:O611)-month+1),X_baseline_Tx,33,FALSE)*52*3/12*(1-hhdmiss))</f>
        <v>65</v>
      </c>
      <c r="P611" s="1698">
        <f>+IF(COLUMNS($L611:P611)&lt;month,VLOOKUP("Month "&amp;(COLUMNS($L611:P611)-month+13),X_baseline_Tx,31,FALSE)*52*3/12*(1-hhdmiss),VLOOKUP("Month "&amp;(COLUMNS($L611:P611)-month+1),X_baseline_Tx,33,FALSE)*52*3/12*(1-hhdmiss))</f>
        <v>65</v>
      </c>
      <c r="Q611" s="1698">
        <f>+IF(COLUMNS($L611:Q611)&lt;month,VLOOKUP("Month "&amp;(COLUMNS($L611:Q611)-month+13),X_baseline_Tx,31,FALSE)*52*3/12*(1-hhdmiss),VLOOKUP("Month "&amp;(COLUMNS($L611:Q611)-month+1),X_baseline_Tx,33,FALSE)*52*3/12*(1-hhdmiss))</f>
        <v>65</v>
      </c>
      <c r="R611" s="1698">
        <f>+IF(COLUMNS($L611:R611)&lt;month,VLOOKUP("Month "&amp;(COLUMNS($L611:R611)-month+13),X_baseline_Tx,31,FALSE)*52*3/12*(1-hhdmiss),VLOOKUP("Month "&amp;(COLUMNS($L611:R611)-month+1),X_baseline_Tx,33,FALSE)*52*3/12*(1-hhdmiss))</f>
        <v>65</v>
      </c>
      <c r="S611" s="1698">
        <f>+IF(COLUMNS($L611:S611)&lt;month,VLOOKUP("Month "&amp;(COLUMNS($L611:S611)-month+13),X_baseline_Tx,31,FALSE)*52*3/12*(1-hhdmiss),VLOOKUP("Month "&amp;(COLUMNS($L611:S611)-month+1),X_baseline_Tx,33,FALSE)*52*3/12*(1-hhdmiss))</f>
        <v>65</v>
      </c>
      <c r="T611" s="1698">
        <f>+IF(COLUMNS($L611:T611)&lt;month,VLOOKUP("Month "&amp;(COLUMNS($L611:T611)-month+13),X_baseline_Tx,31,FALSE)*52*3/12*(1-hhdmiss),VLOOKUP("Month "&amp;(COLUMNS($L611:T611)-month+1),X_baseline_Tx,33,FALSE)*52*3/12*(1-hhdmiss))</f>
        <v>65</v>
      </c>
      <c r="U611" s="1698">
        <f>+IF(COLUMNS($L611:U611)&lt;month,VLOOKUP("Month "&amp;(COLUMNS($L611:U611)-month+13),X_baseline_Tx,31,FALSE)*52*3/12*(1-hhdmiss),VLOOKUP("Month "&amp;(COLUMNS($L611:U611)-month+1),X_baseline_Tx,33,FALSE)*52*3/12*(1-hhdmiss))</f>
        <v>65</v>
      </c>
      <c r="V611" s="1699">
        <f>+IF(COLUMNS($L611:V611)&lt;month,VLOOKUP("Month "&amp;(COLUMNS($L611:V611)-month+13),X_baseline_Tx,31,FALSE)*52*3/12*(1-hhdmiss),VLOOKUP("Month "&amp;(COLUMNS($L611:V611)-month+1),X_baseline_Tx,33,FALSE)*52*3/12*(1-hhdmiss))</f>
        <v>65</v>
      </c>
      <c r="W611" s="1698">
        <f>+IF(COLUMNS($L611:W611)&lt;month,VLOOKUP("Month "&amp;(COLUMNS($L611:W611)-month+13),X_baseline_Tx,31,FALSE)*52*3/12*(1-hhdmiss),VLOOKUP("Month "&amp;(COLUMNS($L611:W611)-month+1),X_baseline_Tx,33,FALSE)*52*3/12*(1-hhdmiss))</f>
        <v>65</v>
      </c>
      <c r="Y611" s="99"/>
    </row>
    <row r="612" spans="1:26">
      <c r="A612" s="101" t="s">
        <v>464</v>
      </c>
      <c r="B612" s="4"/>
      <c r="C612" s="4"/>
      <c r="D612" s="4"/>
      <c r="E612" s="4"/>
      <c r="F612" s="4"/>
      <c r="G612" s="4"/>
      <c r="H612" s="4"/>
      <c r="I612" s="4"/>
      <c r="J612" s="4"/>
      <c r="K612" s="4"/>
      <c r="L612" s="1698">
        <f>+IF(COLUMNS($L612:L612)&lt;month,VLOOKUP("Month "&amp;(COLUMNS($L612:L612)-month+13),X_baseline_Tx,32,FALSE)*52*4.3/12*(1-hhdmiss),VLOOKUP("Month "&amp;(COLUMNS($L612:L612)-month+1),X_baseline_Tx,34,FALSE)*52*4.3/12*(1-hhdmiss))</f>
        <v>0</v>
      </c>
      <c r="M612" s="1698">
        <f>+IF(COLUMNS($L612:M612)&lt;month,VLOOKUP("Month "&amp;(COLUMNS($L612:M612)-month+13),X_baseline_Tx,32,FALSE)*52*4.3/12*(1-hhdmiss),VLOOKUP("Month "&amp;(COLUMNS($L612:M612)-month+1),X_baseline_Tx,34,FALSE)*52*4.3/12*(1-hhdmiss))</f>
        <v>0</v>
      </c>
      <c r="N612" s="1698">
        <f>+IF(COLUMNS($L612:N612)&lt;month,VLOOKUP("Month "&amp;(COLUMNS($L612:N612)-month+13),X_baseline_Tx,32,FALSE)*52*4.3/12*(1-hhdmiss),VLOOKUP("Month "&amp;(COLUMNS($L612:N612)-month+1),X_baseline_Tx,34,FALSE)*52*4.3/12*(1-hhdmiss))</f>
        <v>0</v>
      </c>
      <c r="O612" s="1698">
        <f>+IF(COLUMNS($L612:O612)&lt;month,VLOOKUP("Month "&amp;(COLUMNS($L612:O612)-month+13),X_baseline_Tx,32,FALSE)*52*4.3/12*(1-hhdmiss),VLOOKUP("Month "&amp;(COLUMNS($L612:O612)-month+1),X_baseline_Tx,34,FALSE)*52*4.3/12*(1-hhdmiss))</f>
        <v>0</v>
      </c>
      <c r="P612" s="1698">
        <f>+IF(COLUMNS($L612:P612)&lt;month,VLOOKUP("Month "&amp;(COLUMNS($L612:P612)-month+13),X_baseline_Tx,32,FALSE)*52*4.3/12*(1-hhdmiss),VLOOKUP("Month "&amp;(COLUMNS($L612:P612)-month+1),X_baseline_Tx,34,FALSE)*52*4.3/12*(1-hhdmiss))</f>
        <v>0</v>
      </c>
      <c r="Q612" s="1698">
        <f>+IF(COLUMNS($L612:Q612)&lt;month,VLOOKUP("Month "&amp;(COLUMNS($L612:Q612)-month+13),X_baseline_Tx,32,FALSE)*52*4.3/12*(1-hhdmiss),VLOOKUP("Month "&amp;(COLUMNS($L612:Q612)-month+1),X_baseline_Tx,34,FALSE)*52*4.3/12*(1-hhdmiss))</f>
        <v>0</v>
      </c>
      <c r="R612" s="1698">
        <f>+IF(COLUMNS($L612:R612)&lt;month,VLOOKUP("Month "&amp;(COLUMNS($L612:R612)-month+13),X_baseline_Tx,32,FALSE)*52*4.3/12*(1-hhdmiss),VLOOKUP("Month "&amp;(COLUMNS($L612:R612)-month+1),X_baseline_Tx,34,FALSE)*52*4.3/12*(1-hhdmiss))</f>
        <v>0</v>
      </c>
      <c r="S612" s="1698">
        <f>+IF(COLUMNS($L612:S612)&lt;month,VLOOKUP("Month "&amp;(COLUMNS($L612:S612)-month+13),X_baseline_Tx,32,FALSE)*52*4.3/12*(1-hhdmiss),VLOOKUP("Month "&amp;(COLUMNS($L612:S612)-month+1),X_baseline_Tx,34,FALSE)*52*4.3/12*(1-hhdmiss))</f>
        <v>0</v>
      </c>
      <c r="T612" s="1698">
        <f>+IF(COLUMNS($L612:T612)&lt;month,VLOOKUP("Month "&amp;(COLUMNS($L612:T612)-month+13),X_baseline_Tx,32,FALSE)*52*4.3/12*(1-hhdmiss),VLOOKUP("Month "&amp;(COLUMNS($L612:T612)-month+1),X_baseline_Tx,34,FALSE)*52*4.3/12*(1-hhdmiss))</f>
        <v>0</v>
      </c>
      <c r="U612" s="1698">
        <f>+IF(COLUMNS($L612:U612)&lt;month,VLOOKUP("Month "&amp;(COLUMNS($L612:U612)-month+13),X_baseline_Tx,32,FALSE)*52*4.3/12*(1-hhdmiss),VLOOKUP("Month "&amp;(COLUMNS($L612:U612)-month+1),X_baseline_Tx,34,FALSE)*52*4.3/12*(1-hhdmiss))</f>
        <v>0</v>
      </c>
      <c r="V612" s="1698">
        <f>+IF(COLUMNS($L612:V612)&lt;month,VLOOKUP("Month "&amp;(COLUMNS($L612:V612)-month+13),X_baseline_Tx,32,FALSE)*52*4.3/12*(1-hhdmiss),VLOOKUP("Month "&amp;(COLUMNS($L612:V612)-month+1),X_baseline_Tx,34,FALSE)*52*4.3/12*(1-hhdmiss))</f>
        <v>0</v>
      </c>
      <c r="W612" s="1698">
        <f>+IF(COLUMNS($L612:W612)&lt;month,VLOOKUP("Month "&amp;(COLUMNS($L612:W612)-month+13),X_baseline_Tx,32,FALSE)*52*4.3/12*(1-hhdmiss),VLOOKUP("Month "&amp;(COLUMNS($L612:W612)-month+1),X_baseline_Tx,34,FALSE)*52*4.3/12*(1-hhdmiss))</f>
        <v>0</v>
      </c>
      <c r="Y612" s="99"/>
    </row>
    <row r="613" spans="1:26">
      <c r="A613" s="98" t="s">
        <v>163</v>
      </c>
      <c r="B613" t="str">
        <f>+$B$460</f>
        <v>X10_11032_00494</v>
      </c>
      <c r="C613" t="str">
        <f>+$C$460</f>
        <v>LE_XXXX</v>
      </c>
      <c r="D613" t="s">
        <v>2886</v>
      </c>
      <c r="E613">
        <v>3010</v>
      </c>
      <c r="F613" t="s">
        <v>2888</v>
      </c>
      <c r="G613" t="s">
        <v>2889</v>
      </c>
      <c r="H613" t="s">
        <v>145</v>
      </c>
      <c r="I613" t="s">
        <v>146</v>
      </c>
      <c r="J613" t="s">
        <v>147</v>
      </c>
      <c r="K613" t="str">
        <f>+"FY"&amp;RIGHT(YEAR('Hyperion Panel'!$B$9)+4,2)</f>
        <v>FY14</v>
      </c>
      <c r="L613" s="1612"/>
      <c r="M613" s="1612"/>
      <c r="N613" s="1612"/>
      <c r="O613" s="1612"/>
      <c r="P613" s="1612"/>
      <c r="Q613" s="1612"/>
      <c r="R613" s="1612"/>
      <c r="S613" s="1612"/>
      <c r="T613" s="1612"/>
      <c r="U613" s="1612"/>
      <c r="V613" s="1702"/>
      <c r="W613" s="1612"/>
    </row>
    <row r="614" spans="1:26" s="98" customFormat="1">
      <c r="A614" s="100" t="s">
        <v>463</v>
      </c>
      <c r="L614" s="1697">
        <f>+IF(COLUMNS($L614:L614)&lt;month,'6. Market'!$M$15*L605,'6. Market'!$N$15*L605)</f>
        <v>148268.1823254333</v>
      </c>
      <c r="M614" s="1697">
        <f>+IF(COLUMNS($L614:M614)&lt;month,'6. Market'!$M$15*M605,'6. Market'!$N$15*M605)</f>
        <v>148268.1823254333</v>
      </c>
      <c r="N614" s="1697">
        <f>+IF(COLUMNS($L614:N614)&lt;month,'6. Market'!$M$15*N605,'6. Market'!$N$15*N605)</f>
        <v>148268.1823254333</v>
      </c>
      <c r="O614" s="1697">
        <f>+IF(COLUMNS($L614:O614)&lt;month,'6. Market'!$M$15*O605,'6. Market'!$N$15*O605)</f>
        <v>148268.1823254333</v>
      </c>
      <c r="P614" s="1697">
        <f>+IF(COLUMNS($L614:P614)&lt;month,'6. Market'!$M$15*P605,'6. Market'!$N$15*P605)</f>
        <v>148268.1823254333</v>
      </c>
      <c r="Q614" s="1697">
        <f>+IF(COLUMNS($L614:Q614)&lt;month,'6. Market'!$M$15*Q605,'6. Market'!$N$15*Q605)</f>
        <v>148268.1823254333</v>
      </c>
      <c r="R614" s="1697">
        <f>+IF(COLUMNS($L614:R614)&lt;month,'6. Market'!$M$15*R605,'6. Market'!$N$15*R605)</f>
        <v>148268.1823254333</v>
      </c>
      <c r="S614" s="1697">
        <f>+IF(COLUMNS($L614:S614)&lt;month,'6. Market'!$M$15*S605,'6. Market'!$N$15*S605)</f>
        <v>148268.1823254333</v>
      </c>
      <c r="T614" s="1697">
        <f>+IF(COLUMNS($L614:T614)&lt;month,'6. Market'!$M$15*T605,'6. Market'!$N$15*T605)</f>
        <v>148268.1823254333</v>
      </c>
      <c r="U614" s="1697">
        <f>+IF(COLUMNS($L614:U614)&lt;month,'6. Market'!$M$15*U605,'6. Market'!$N$15*U605)</f>
        <v>148268.1823254333</v>
      </c>
      <c r="V614" s="1700">
        <f>+IF(COLUMNS($L614:V614)&lt;month,'6. Market'!$M$15*V605,'6. Market'!$N$15*V605)</f>
        <v>151233.54597194196</v>
      </c>
      <c r="W614" s="1697">
        <f>+IF(COLUMNS($L614:W614)&lt;month,'6. Market'!$M$15*W605,'6. Market'!$N$15*W605)</f>
        <v>151233.54597194196</v>
      </c>
      <c r="Y614" s="99"/>
      <c r="Z614" s="97"/>
    </row>
    <row r="615" spans="1:26" s="98" customFormat="1">
      <c r="A615" s="100" t="s">
        <v>464</v>
      </c>
      <c r="L615" s="1697">
        <f>+IF(COLUMNS($L615:L615)&lt;month,'6. Market'!$M$23*L606,'6. Market'!$N$23*L606)</f>
        <v>26030.682555408661</v>
      </c>
      <c r="M615" s="1697">
        <f>+IF(COLUMNS($L615:M615)&lt;month,'6. Market'!$M$23*M606,'6. Market'!$N$23*M606)</f>
        <v>26030.682555408661</v>
      </c>
      <c r="N615" s="1697">
        <f>+IF(COLUMNS($L615:N615)&lt;month,'6. Market'!$M$23*N606,'6. Market'!$N$23*N606)</f>
        <v>26030.682555408661</v>
      </c>
      <c r="O615" s="1697">
        <f>+IF(COLUMNS($L615:O615)&lt;month,'6. Market'!$M$23*O606,'6. Market'!$N$23*O606)</f>
        <v>26030.682555408661</v>
      </c>
      <c r="P615" s="1697">
        <f>+IF(COLUMNS($L615:P615)&lt;month,'6. Market'!$M$23*P606,'6. Market'!$N$23*P606)</f>
        <v>26030.682555408661</v>
      </c>
      <c r="Q615" s="1697">
        <f>+IF(COLUMNS($L615:Q615)&lt;month,'6. Market'!$M$23*Q606,'6. Market'!$N$23*Q606)</f>
        <v>26030.682555408661</v>
      </c>
      <c r="R615" s="1697">
        <f>+IF(COLUMNS($L615:R615)&lt;month,'6. Market'!$M$23*R606,'6. Market'!$N$23*R606)</f>
        <v>26030.682555408661</v>
      </c>
      <c r="S615" s="1697">
        <f>+IF(COLUMNS($L615:S615)&lt;month,'6. Market'!$M$23*S606,'6. Market'!$N$23*S606)</f>
        <v>26030.682555408661</v>
      </c>
      <c r="T615" s="1697">
        <f>+IF(COLUMNS($L615:T615)&lt;month,'6. Market'!$M$23*T606,'6. Market'!$N$23*T606)</f>
        <v>26030.682555408661</v>
      </c>
      <c r="U615" s="1697">
        <f>+IF(COLUMNS($L615:U615)&lt;month,'6. Market'!$M$23*U606,'6. Market'!$N$23*U606)</f>
        <v>26030.682555408661</v>
      </c>
      <c r="V615" s="1700">
        <f>+IF(COLUMNS($L615:V615)&lt;month,'6. Market'!$M$23*V606,'6. Market'!$N$23*V606)</f>
        <v>26629.388254183046</v>
      </c>
      <c r="W615" s="1697">
        <f>+IF(COLUMNS($L615:W615)&lt;month,'6. Market'!$M$23*W606,'6. Market'!$N$23*W606)</f>
        <v>26629.388254183046</v>
      </c>
      <c r="Y615" s="99"/>
      <c r="Z615" s="97"/>
    </row>
    <row r="616" spans="1:26">
      <c r="A616" s="98" t="s">
        <v>164</v>
      </c>
      <c r="B616" t="str">
        <f>+$B$460</f>
        <v>X10_11032_00494</v>
      </c>
      <c r="C616" t="str">
        <f>+$C$460</f>
        <v>LE_XXXX</v>
      </c>
      <c r="D616" t="s">
        <v>2886</v>
      </c>
      <c r="E616">
        <v>3030</v>
      </c>
      <c r="F616" t="s">
        <v>150</v>
      </c>
      <c r="G616" t="s">
        <v>2889</v>
      </c>
      <c r="H616" t="s">
        <v>145</v>
      </c>
      <c r="I616" t="s">
        <v>146</v>
      </c>
      <c r="J616" t="s">
        <v>147</v>
      </c>
      <c r="K616" t="str">
        <f>+"FY"&amp;RIGHT(YEAR('Hyperion Panel'!$B$9)+4,2)</f>
        <v>FY14</v>
      </c>
      <c r="L616" s="1612"/>
      <c r="M616" s="1612"/>
      <c r="N616" s="1612"/>
      <c r="O616" s="1612"/>
      <c r="P616" s="1612"/>
      <c r="Q616" s="1612"/>
      <c r="R616" s="1612"/>
      <c r="S616" s="1612"/>
      <c r="T616" s="1612"/>
      <c r="U616" s="1612"/>
      <c r="V616" s="1703"/>
      <c r="W616" s="1612"/>
    </row>
    <row r="617" spans="1:26" s="98" customFormat="1">
      <c r="A617" s="100" t="s">
        <v>463</v>
      </c>
      <c r="L617" s="1697">
        <f>+IF(COLUMNS($L617:L617)&lt;month,'6. Market'!$M$32*L608,'6. Market'!$N$32*L608)</f>
        <v>43489.791911071581</v>
      </c>
      <c r="M617" s="1697">
        <f>+IF(COLUMNS($L617:M617)&lt;month,'6. Market'!$M$32*M608,'6. Market'!$N$32*M608)</f>
        <v>43489.791911071581</v>
      </c>
      <c r="N617" s="1697">
        <f>+IF(COLUMNS($L617:N617)&lt;month,'6. Market'!$M$32*N608,'6. Market'!$N$32*N608)</f>
        <v>43489.791911071581</v>
      </c>
      <c r="O617" s="1697">
        <f>+IF(COLUMNS($L617:O617)&lt;month,'6. Market'!$M$32*O608,'6. Market'!$N$32*O608)</f>
        <v>43489.791911071581</v>
      </c>
      <c r="P617" s="1697">
        <f>+IF(COLUMNS($L617:P617)&lt;month,'6. Market'!$M$32*P608,'6. Market'!$N$32*P608)</f>
        <v>43489.791911071581</v>
      </c>
      <c r="Q617" s="1697">
        <f>+IF(COLUMNS($L617:Q617)&lt;month,'6. Market'!$M$32*Q608,'6. Market'!$N$32*Q608)</f>
        <v>43489.791911071581</v>
      </c>
      <c r="R617" s="1697">
        <f>+IF(COLUMNS($L617:R617)&lt;month,'6. Market'!$M$32*R608,'6. Market'!$N$32*R608)</f>
        <v>43489.791911071581</v>
      </c>
      <c r="S617" s="1697">
        <f>+IF(COLUMNS($L617:S617)&lt;month,'6. Market'!$M$32*S608,'6. Market'!$N$32*S608)</f>
        <v>43489.791911071581</v>
      </c>
      <c r="T617" s="1697">
        <f>+IF(COLUMNS($L617:T617)&lt;month,'6. Market'!$M$32*T608,'6. Market'!$N$32*T608)</f>
        <v>43489.791911071581</v>
      </c>
      <c r="U617" s="1697">
        <f>+IF(COLUMNS($L617:U617)&lt;month,'6. Market'!$M$32*U608,'6. Market'!$N$32*U608)</f>
        <v>43489.791911071581</v>
      </c>
      <c r="V617" s="1697">
        <f>+IF(COLUMNS($L617:V617)&lt;month,'6. Market'!$M$32*V608,'6. Market'!$N$32*V608)</f>
        <v>44359.587749293016</v>
      </c>
      <c r="W617" s="1697">
        <f>+IF(COLUMNS($L617:W617)&lt;month,'6. Market'!$M$32*W608,'6. Market'!$N$32*W608)</f>
        <v>44359.587749293016</v>
      </c>
      <c r="Y617" s="99"/>
    </row>
    <row r="618" spans="1:26" s="98" customFormat="1">
      <c r="A618" s="100" t="s">
        <v>464</v>
      </c>
      <c r="L618" s="1697">
        <f>+IF(COLUMNS($L618:L618)&lt;month,'6. Market'!$M$40*L609,'6. Market'!$N$40*L609)</f>
        <v>80638.527481428988</v>
      </c>
      <c r="M618" s="1697">
        <f>+IF(COLUMNS($L618:M618)&lt;month,'6. Market'!$M$40*M609,'6. Market'!$N$40*M609)</f>
        <v>80638.527481428988</v>
      </c>
      <c r="N618" s="1697">
        <f>+IF(COLUMNS($L618:N618)&lt;month,'6. Market'!$M$40*N609,'6. Market'!$N$40*N609)</f>
        <v>80638.527481428988</v>
      </c>
      <c r="O618" s="1697">
        <f>+IF(COLUMNS($L618:O618)&lt;month,'6. Market'!$M$40*O609,'6. Market'!$N$40*O609)</f>
        <v>80638.527481428988</v>
      </c>
      <c r="P618" s="1697">
        <f>+IF(COLUMNS($L618:P618)&lt;month,'6. Market'!$M$40*P609,'6. Market'!$N$40*P609)</f>
        <v>80638.527481428988</v>
      </c>
      <c r="Q618" s="1697">
        <f>+IF(COLUMNS($L618:Q618)&lt;month,'6. Market'!$M$40*Q609,'6. Market'!$N$40*Q609)</f>
        <v>80638.527481428988</v>
      </c>
      <c r="R618" s="1697">
        <f>+IF(COLUMNS($L618:R618)&lt;month,'6. Market'!$M$40*R609,'6. Market'!$N$40*R609)</f>
        <v>80638.527481428988</v>
      </c>
      <c r="S618" s="1697">
        <f>+IF(COLUMNS($L618:S618)&lt;month,'6. Market'!$M$40*S609,'6. Market'!$N$40*S609)</f>
        <v>80638.527481428988</v>
      </c>
      <c r="T618" s="1697">
        <f>+IF(COLUMNS($L618:T618)&lt;month,'6. Market'!$M$40*T609,'6. Market'!$N$40*T609)</f>
        <v>80638.527481428988</v>
      </c>
      <c r="U618" s="1697">
        <f>+IF(COLUMNS($L618:U618)&lt;month,'6. Market'!$M$40*U609,'6. Market'!$N$40*U609)</f>
        <v>80638.527481428988</v>
      </c>
      <c r="V618" s="1697">
        <f>+IF(COLUMNS($L618:V618)&lt;month,'6. Market'!$M$40*V609,'6. Market'!$N$40*V609)</f>
        <v>82493.213613501837</v>
      </c>
      <c r="W618" s="1697">
        <f>+IF(COLUMNS($L618:W618)&lt;month,'6. Market'!$M$40*W609,'6. Market'!$N$40*W609)</f>
        <v>82493.213613501837</v>
      </c>
      <c r="Y618" s="99"/>
    </row>
    <row r="619" spans="1:26">
      <c r="A619" s="4" t="s">
        <v>3768</v>
      </c>
      <c r="B619" s="4" t="str">
        <f>+$B$460</f>
        <v>X10_11032_00494</v>
      </c>
      <c r="C619" s="4"/>
      <c r="D619" s="4"/>
      <c r="E619" s="4"/>
      <c r="F619" s="4"/>
      <c r="G619" s="4"/>
      <c r="H619" s="4"/>
      <c r="I619" s="4"/>
      <c r="J619" s="4"/>
      <c r="K619" s="4" t="str">
        <f>+"FY"&amp;RIGHT(YEAR('Hyperion Panel'!$B$9)+4,2)</f>
        <v>FY14</v>
      </c>
      <c r="L619" s="1698"/>
      <c r="M619" s="1698"/>
      <c r="N619" s="1698"/>
      <c r="O619" s="1698"/>
      <c r="P619" s="1698"/>
      <c r="Q619" s="1698"/>
      <c r="R619" s="1698"/>
      <c r="S619" s="1698"/>
      <c r="T619" s="1698"/>
      <c r="U619" s="1698"/>
      <c r="V619" s="1699"/>
      <c r="W619" s="1698"/>
    </row>
    <row r="620" spans="1:26">
      <c r="A620" s="101" t="s">
        <v>463</v>
      </c>
      <c r="B620" s="4"/>
      <c r="C620" s="4"/>
      <c r="D620" s="4"/>
      <c r="E620" s="4"/>
      <c r="F620" s="4"/>
      <c r="G620" s="4"/>
      <c r="H620" s="4"/>
      <c r="I620" s="4"/>
      <c r="J620" s="4"/>
      <c r="K620" s="4"/>
      <c r="L620" s="1698">
        <f>+IF(COLUMNS($L620:L620)&lt;month,'6. Market'!$M$49*L611,'6. Market'!$N$49*L611)</f>
        <v>16884.753665513832</v>
      </c>
      <c r="M620" s="1698">
        <f>+IF(COLUMNS($L620:M620)&lt;month,'6. Market'!$M$49*M611,'6. Market'!$N$49*M611)</f>
        <v>16884.753665513832</v>
      </c>
      <c r="N620" s="1698">
        <f>+IF(COLUMNS($L620:N620)&lt;month,'6. Market'!$M$49*N611,'6. Market'!$N$49*N611)</f>
        <v>16884.753665513832</v>
      </c>
      <c r="O620" s="1698">
        <f>+IF(COLUMNS($L620:O620)&lt;month,'6. Market'!$M$49*O611,'6. Market'!$N$49*O611)</f>
        <v>16884.753665513832</v>
      </c>
      <c r="P620" s="1698">
        <f>+IF(COLUMNS($L620:P620)&lt;month,'6. Market'!$M$49*P611,'6. Market'!$N$49*P611)</f>
        <v>16884.753665513832</v>
      </c>
      <c r="Q620" s="1698">
        <f>+IF(COLUMNS($L620:Q620)&lt;month,'6. Market'!$M$49*Q611,'6. Market'!$N$49*Q611)</f>
        <v>16884.753665513832</v>
      </c>
      <c r="R620" s="1698">
        <f>+IF(COLUMNS($L620:R620)&lt;month,'6. Market'!$M$49*R611,'6. Market'!$N$49*R611)</f>
        <v>16884.753665513832</v>
      </c>
      <c r="S620" s="1698">
        <f>+IF(COLUMNS($L620:S620)&lt;month,'6. Market'!$M$49*S611,'6. Market'!$N$49*S611)</f>
        <v>16884.753665513832</v>
      </c>
      <c r="T620" s="1698">
        <f>+IF(COLUMNS($L620:T620)&lt;month,'6. Market'!$M$49*T611,'6. Market'!$N$49*T611)</f>
        <v>16884.753665513832</v>
      </c>
      <c r="U620" s="1698">
        <f>+IF(COLUMNS($L620:U620)&lt;month,'6. Market'!$M$49*U611,'6. Market'!$N$49*U611)</f>
        <v>16884.753665513832</v>
      </c>
      <c r="V620" s="1699">
        <f>+IF(COLUMNS($L620:V620)&lt;month,'6. Market'!$M$49*V611,'6. Market'!$N$49*V611)</f>
        <v>17222.44873882411</v>
      </c>
      <c r="W620" s="1698">
        <f>+IF(COLUMNS($L620:W620)&lt;month,'6. Market'!$M$49*W611,'6. Market'!$N$49*W611)</f>
        <v>17222.44873882411</v>
      </c>
      <c r="Y620" s="99"/>
    </row>
    <row r="621" spans="1:26">
      <c r="A621" s="101" t="s">
        <v>464</v>
      </c>
      <c r="B621" s="4"/>
      <c r="C621" s="4"/>
      <c r="D621" s="4"/>
      <c r="E621" s="4"/>
      <c r="F621" s="4"/>
      <c r="G621" s="4"/>
      <c r="H621" s="4"/>
      <c r="I621" s="4"/>
      <c r="J621" s="4"/>
      <c r="K621" s="4"/>
      <c r="L621" s="1698">
        <f>+IF(COLUMNS($L621:L621)&lt;month,'6. Market'!$M$57*L612,'6. Market'!$N$57*L612)</f>
        <v>0</v>
      </c>
      <c r="M621" s="1698">
        <f>+IF(COLUMNS($L621:M621)&lt;month,'6. Market'!$M$57*M612,'6. Market'!$N$57*M612)</f>
        <v>0</v>
      </c>
      <c r="N621" s="1698">
        <f>+IF(COLUMNS($L621:N621)&lt;month,'6. Market'!$M$57*N612,'6. Market'!$N$57*N612)</f>
        <v>0</v>
      </c>
      <c r="O621" s="1698">
        <f>+IF(COLUMNS($L621:O621)&lt;month,'6. Market'!$M$57*O612,'6. Market'!$N$57*O612)</f>
        <v>0</v>
      </c>
      <c r="P621" s="1698">
        <f>+IF(COLUMNS($L621:P621)&lt;month,'6. Market'!$M$57*P612,'6. Market'!$N$57*P612)</f>
        <v>0</v>
      </c>
      <c r="Q621" s="1698">
        <f>+IF(COLUMNS($L621:Q621)&lt;month,'6. Market'!$M$57*Q612,'6. Market'!$N$57*Q612)</f>
        <v>0</v>
      </c>
      <c r="R621" s="1698">
        <f>+IF(COLUMNS($L621:R621)&lt;month,'6. Market'!$M$57*R612,'6. Market'!$N$57*R612)</f>
        <v>0</v>
      </c>
      <c r="S621" s="1698">
        <f>+IF(COLUMNS($L621:S621)&lt;month,'6. Market'!$M$57*S612,'6. Market'!$N$57*S612)</f>
        <v>0</v>
      </c>
      <c r="T621" s="1698">
        <f>+IF(COLUMNS($L621:T621)&lt;month,'6. Market'!$M$57*T612,'6. Market'!$N$57*T612)</f>
        <v>0</v>
      </c>
      <c r="U621" s="1698">
        <f>+IF(COLUMNS($L621:U621)&lt;month,'6. Market'!$M$57*U612,'6. Market'!$N$57*U612)</f>
        <v>0</v>
      </c>
      <c r="V621" s="1699">
        <f>+IF(COLUMNS($L621:V621)&lt;month,'6. Market'!$M$57*V612,'6. Market'!$N$57*V612)</f>
        <v>0</v>
      </c>
      <c r="W621" s="1698">
        <f>+IF(COLUMNS($L621:W621)&lt;month,'6. Market'!$M$57*W612,'6. Market'!$N$57*W612)</f>
        <v>0</v>
      </c>
      <c r="Y621" s="99"/>
    </row>
    <row r="622" spans="1:26">
      <c r="A622" s="3" t="s">
        <v>2651</v>
      </c>
      <c r="B622" t="str">
        <f t="shared" ref="B622:B638" si="32">+$B$460</f>
        <v>X10_11032_00494</v>
      </c>
      <c r="C622" t="str">
        <f t="shared" ref="C622:C631" si="33">+$C$460</f>
        <v>LE_XXXX</v>
      </c>
      <c r="D622" t="s">
        <v>2886</v>
      </c>
      <c r="E622">
        <v>6010</v>
      </c>
      <c r="F622" t="s">
        <v>2888</v>
      </c>
      <c r="G622" t="s">
        <v>153</v>
      </c>
      <c r="H622" t="s">
        <v>154</v>
      </c>
      <c r="I622" t="s">
        <v>146</v>
      </c>
      <c r="J622" t="s">
        <v>147</v>
      </c>
      <c r="K622" t="str">
        <f>+"FY"&amp;RIGHT(YEAR('Hyperion Panel'!$B$9)+4,2)</f>
        <v>FY14</v>
      </c>
      <c r="L622" s="1697">
        <f>+IF(COLUMNS($L622:L622)&lt;month,'6. Market'!$M$107*SUM(L605:L606,L608:L609,L611:L612),'6. Market'!$N$107*SUM(L605:L606,L608:L609,L611:L612))</f>
        <v>42288.299758407506</v>
      </c>
      <c r="M622" s="1697">
        <f>+IF(COLUMNS($L622:M622)&lt;month,'6. Market'!$M$107*SUM(M605:M606,M608:M609,M611:M612),'6. Market'!$N$107*SUM(M605:M606,M608:M609,M611:M612))</f>
        <v>42288.299758407506</v>
      </c>
      <c r="N622" s="1697">
        <f>+IF(COLUMNS($L622:N622)&lt;month,'6. Market'!$M$107*SUM(N605:N606,N608:N609,N611:N612),'6. Market'!$N$107*SUM(N605:N606,N608:N609,N611:N612))</f>
        <v>42288.299758407506</v>
      </c>
      <c r="O622" s="1697">
        <f>+IF(COLUMNS($L622:O622)&lt;month,'6. Market'!$M$107*SUM(O605:O606,O608:O609,O611:O612),'6. Market'!$N$107*SUM(O605:O606,O608:O609,O611:O612))</f>
        <v>42288.299758407506</v>
      </c>
      <c r="P622" s="1697">
        <f>+IF(COLUMNS($L622:P622)&lt;month,'6. Market'!$M$107*SUM(P605:P606,P608:P609,P611:P612),'6. Market'!$N$107*SUM(P605:P606,P608:P609,P611:P612))</f>
        <v>42288.299758407506</v>
      </c>
      <c r="Q622" s="1697">
        <f>+IF(COLUMNS($L622:Q622)&lt;month,'6. Market'!$M$107*SUM(Q605:Q606,Q608:Q609,Q611:Q612),'6. Market'!$N$107*SUM(Q605:Q606,Q608:Q609,Q611:Q612))</f>
        <v>42288.299758407506</v>
      </c>
      <c r="R622" s="1697">
        <f>+IF(COLUMNS($L622:R622)&lt;month,'6. Market'!$M$107*SUM(R605:R606,R608:R609,R611:R612),'6. Market'!$N$107*SUM(R605:R606,R608:R609,R611:R612))</f>
        <v>42288.299758407506</v>
      </c>
      <c r="S622" s="1697">
        <f>+IF(COLUMNS($L622:S622)&lt;month,'6. Market'!$M$107*SUM(S605:S606,S608:S609,S611:S612),'6. Market'!$N$107*SUM(S605:S606,S608:S609,S611:S612))</f>
        <v>42288.299758407506</v>
      </c>
      <c r="T622" s="1697">
        <f>+IF(COLUMNS($L622:T622)&lt;month,'6. Market'!$M$107*SUM(T605:T606,T608:T609,T611:T612),'6. Market'!$N$107*SUM(T605:T606,T608:T609,T611:T612))</f>
        <v>42288.299758407506</v>
      </c>
      <c r="U622" s="1697">
        <f>+IF(COLUMNS($L622:U622)&lt;month,'6. Market'!$M$107*SUM(U605:U606,U608:U609,U611:U612),'6. Market'!$N$107*SUM(U605:U606,U608:U609,U611:U612))</f>
        <v>42288.299758407506</v>
      </c>
      <c r="V622" s="1700">
        <f>+IF(COLUMNS($L622:V622)&lt;month,'6. Market'!$M$107*SUM(V605:V606,V608:V609,V611:V612),'6. Market'!$N$107*SUM(V605:V606,V608:V609,V611:V612))</f>
        <v>43556.948751159733</v>
      </c>
      <c r="W622" s="1697">
        <f>+IF(COLUMNS($L622:W622)&lt;month,'6. Market'!$M$107*SUM(W605:W606,W608:W609,W611:W612),'6. Market'!$N$107*SUM(W605:W606,W608:W609,W611:W612))</f>
        <v>43556.948751159733</v>
      </c>
    </row>
    <row r="623" spans="1:26">
      <c r="A623" t="s">
        <v>2652</v>
      </c>
      <c r="B623" t="str">
        <f t="shared" si="32"/>
        <v>X10_11032_00494</v>
      </c>
      <c r="C623" t="str">
        <f t="shared" si="33"/>
        <v>LE_XXXX</v>
      </c>
      <c r="D623" t="s">
        <v>2886</v>
      </c>
      <c r="E623">
        <v>6010</v>
      </c>
      <c r="F623" t="s">
        <v>2888</v>
      </c>
      <c r="G623" t="s">
        <v>155</v>
      </c>
      <c r="H623" t="s">
        <v>154</v>
      </c>
      <c r="I623" t="s">
        <v>146</v>
      </c>
      <c r="J623" t="s">
        <v>147</v>
      </c>
      <c r="K623" t="str">
        <f>+"FY"&amp;RIGHT(YEAR('Hyperion Panel'!$B$9)+4,2)</f>
        <v>FY14</v>
      </c>
      <c r="L623" s="1612">
        <f>+IF(COLUMNS($L623:L623)&lt;month,'6. Market'!$M$74/12,'6. Market'!$N$74/12)</f>
        <v>16166.895965000002</v>
      </c>
      <c r="M623" s="1612">
        <f>+IF(COLUMNS($L623:M623)&lt;month,'6. Market'!$M$74/12,'6. Market'!$N$74/12)</f>
        <v>16166.895965000002</v>
      </c>
      <c r="N623" s="1612">
        <f>+IF(COLUMNS($L623:N623)&lt;month,'6. Market'!$M$74/12,'6. Market'!$N$74/12)</f>
        <v>16166.895965000002</v>
      </c>
      <c r="O623" s="1612">
        <f>+IF(COLUMNS($L623:O623)&lt;month,'6. Market'!$M$74/12,'6. Market'!$N$74/12)</f>
        <v>16166.895965000002</v>
      </c>
      <c r="P623" s="1612">
        <f>+IF(COLUMNS($L623:P623)&lt;month,'6. Market'!$M$74/12,'6. Market'!$N$74/12)</f>
        <v>16166.895965000002</v>
      </c>
      <c r="Q623" s="1612">
        <f>+IF(COLUMNS($L623:Q623)&lt;month,'6. Market'!$M$74/12,'6. Market'!$N$74/12)</f>
        <v>16166.895965000002</v>
      </c>
      <c r="R623" s="1612">
        <f>+IF(COLUMNS($L623:R623)&lt;month,'6. Market'!$M$74/12,'6. Market'!$N$74/12)</f>
        <v>16166.895965000002</v>
      </c>
      <c r="S623" s="1612">
        <f>+IF(COLUMNS($L623:S623)&lt;month,'6. Market'!$M$74/12,'6. Market'!$N$74/12)</f>
        <v>16166.895965000002</v>
      </c>
      <c r="T623" s="1612">
        <f>+IF(COLUMNS($L623:T623)&lt;month,'6. Market'!$M$74/12,'6. Market'!$N$74/12)</f>
        <v>16166.895965000002</v>
      </c>
      <c r="U623" s="1612">
        <f>+IF(COLUMNS($L623:U623)&lt;month,'6. Market'!$M$74/12,'6. Market'!$N$74/12)</f>
        <v>16166.895965000002</v>
      </c>
      <c r="V623" s="1703">
        <f>+IF(COLUMNS($L623:V623)&lt;month,'6. Market'!$M$74/12,'6. Market'!$N$74/12)</f>
        <v>16651.90284395</v>
      </c>
      <c r="W623" s="1612">
        <f>+IF(COLUMNS($L623:W623)&lt;month,'6. Market'!$M$74/12,'6. Market'!$N$74/12)</f>
        <v>16651.90284395</v>
      </c>
    </row>
    <row r="624" spans="1:26">
      <c r="A624" t="s">
        <v>2653</v>
      </c>
      <c r="B624" t="str">
        <f t="shared" si="32"/>
        <v>X10_11032_00494</v>
      </c>
      <c r="C624" t="str">
        <f t="shared" si="33"/>
        <v>LE_XXXX</v>
      </c>
      <c r="D624" t="s">
        <v>2886</v>
      </c>
      <c r="E624">
        <v>6051</v>
      </c>
      <c r="F624" t="s">
        <v>2888</v>
      </c>
      <c r="G624" t="s">
        <v>153</v>
      </c>
      <c r="H624" t="s">
        <v>154</v>
      </c>
      <c r="I624" t="s">
        <v>146</v>
      </c>
      <c r="J624" t="s">
        <v>147</v>
      </c>
      <c r="K624" t="str">
        <f>+"FY"&amp;RIGHT(YEAR('Hyperion Panel'!$B$9)+4,2)</f>
        <v>FY14</v>
      </c>
      <c r="L624" s="1612">
        <f>+IF(COLUMNS($L624:L624)&lt;month,'6. Market'!$M$75/12,'6. Market'!$N$75/12)</f>
        <v>20642.40896291663</v>
      </c>
      <c r="M624" s="1612">
        <f>+IF(COLUMNS($L624:M624)&lt;month,'6. Market'!$M$75/12,'6. Market'!$N$75/12)</f>
        <v>20642.40896291663</v>
      </c>
      <c r="N624" s="1612">
        <f>+IF(COLUMNS($L624:N624)&lt;month,'6. Market'!$M$75/12,'6. Market'!$N$75/12)</f>
        <v>20642.40896291663</v>
      </c>
      <c r="O624" s="1612">
        <f>+IF(COLUMNS($L624:O624)&lt;month,'6. Market'!$M$75/12,'6. Market'!$N$75/12)</f>
        <v>20642.40896291663</v>
      </c>
      <c r="P624" s="1612">
        <f>+IF(COLUMNS($L624:P624)&lt;month,'6. Market'!$M$75/12,'6. Market'!$N$75/12)</f>
        <v>20642.40896291663</v>
      </c>
      <c r="Q624" s="1612">
        <f>+IF(COLUMNS($L624:Q624)&lt;month,'6. Market'!$M$75/12,'6. Market'!$N$75/12)</f>
        <v>20642.40896291663</v>
      </c>
      <c r="R624" s="1612">
        <f>+IF(COLUMNS($L624:R624)&lt;month,'6. Market'!$M$75/12,'6. Market'!$N$75/12)</f>
        <v>20642.40896291663</v>
      </c>
      <c r="S624" s="1612">
        <f>+IF(COLUMNS($L624:S624)&lt;month,'6. Market'!$M$75/12,'6. Market'!$N$75/12)</f>
        <v>20642.40896291663</v>
      </c>
      <c r="T624" s="1612">
        <f>+IF(COLUMNS($L624:T624)&lt;month,'6. Market'!$M$75/12,'6. Market'!$N$75/12)</f>
        <v>20642.40896291663</v>
      </c>
      <c r="U624" s="1612">
        <f>+IF(COLUMNS($L624:U624)&lt;month,'6. Market'!$M$75/12,'6. Market'!$N$75/12)</f>
        <v>20642.40896291663</v>
      </c>
      <c r="V624" s="1703">
        <f>+IF(COLUMNS($L624:V624)&lt;month,'6. Market'!$M$75/12,'6. Market'!$N$75/12)</f>
        <v>21261.681231804134</v>
      </c>
      <c r="W624" s="1612">
        <f>+IF(COLUMNS($L624:W624)&lt;month,'6. Market'!$M$75/12,'6. Market'!$N$75/12)</f>
        <v>21261.681231804134</v>
      </c>
    </row>
    <row r="625" spans="1:25">
      <c r="A625" t="s">
        <v>2654</v>
      </c>
      <c r="B625" t="str">
        <f t="shared" si="32"/>
        <v>X10_11032_00494</v>
      </c>
      <c r="C625" t="str">
        <f t="shared" si="33"/>
        <v>LE_XXXX</v>
      </c>
      <c r="D625" t="s">
        <v>2886</v>
      </c>
      <c r="E625">
        <v>6011</v>
      </c>
      <c r="F625" t="s">
        <v>2888</v>
      </c>
      <c r="G625" t="s">
        <v>153</v>
      </c>
      <c r="H625" t="s">
        <v>154</v>
      </c>
      <c r="I625" t="s">
        <v>146</v>
      </c>
      <c r="J625" t="s">
        <v>147</v>
      </c>
      <c r="K625" t="str">
        <f>+"FY"&amp;RIGHT(YEAR('Hyperion Panel'!$B$9)+4,2)</f>
        <v>FY14</v>
      </c>
      <c r="L625" s="1612">
        <f>+IF(COLUMNS($L625:L625)&lt;month,'6. Market'!$M$76/12,'6. Market'!$N$76/12)</f>
        <v>0</v>
      </c>
      <c r="M625" s="1612">
        <f>+IF(COLUMNS($L625:M625)&lt;month,'6. Market'!$M$76/12,'6. Market'!$N$76/12)</f>
        <v>0</v>
      </c>
      <c r="N625" s="1612">
        <f>+IF(COLUMNS($L625:N625)&lt;month,'6. Market'!$M$76/12,'6. Market'!$N$76/12)</f>
        <v>0</v>
      </c>
      <c r="O625" s="1612">
        <f>+IF(COLUMNS($L625:O625)&lt;month,'6. Market'!$M$76/12,'6. Market'!$N$76/12)</f>
        <v>0</v>
      </c>
      <c r="P625" s="1612">
        <f>+IF(COLUMNS($L625:P625)&lt;month,'6. Market'!$M$76/12,'6. Market'!$N$76/12)</f>
        <v>0</v>
      </c>
      <c r="Q625" s="1612">
        <f>+IF(COLUMNS($L625:Q625)&lt;month,'6. Market'!$M$76/12,'6. Market'!$N$76/12)</f>
        <v>0</v>
      </c>
      <c r="R625" s="1612">
        <f>+IF(COLUMNS($L625:R625)&lt;month,'6. Market'!$M$76/12,'6. Market'!$N$76/12)</f>
        <v>0</v>
      </c>
      <c r="S625" s="1612">
        <f>+IF(COLUMNS($L625:S625)&lt;month,'6. Market'!$M$76/12,'6. Market'!$N$76/12)</f>
        <v>0</v>
      </c>
      <c r="T625" s="1612">
        <f>+IF(COLUMNS($L625:T625)&lt;month,'6. Market'!$M$76/12,'6. Market'!$N$76/12)</f>
        <v>0</v>
      </c>
      <c r="U625" s="1612">
        <f>+IF(COLUMNS($L625:U625)&lt;month,'6. Market'!$M$76/12,'6. Market'!$N$76/12)</f>
        <v>0</v>
      </c>
      <c r="V625" s="1703">
        <f>+IF(COLUMNS($L625:V625)&lt;month,'6. Market'!$M$76/12,'6. Market'!$N$76/12)</f>
        <v>0</v>
      </c>
      <c r="W625" s="1612">
        <f>+IF(COLUMNS($L625:W625)&lt;month,'6. Market'!$M$76/12,'6. Market'!$N$76/12)</f>
        <v>0</v>
      </c>
    </row>
    <row r="626" spans="1:25">
      <c r="A626" s="6" t="s">
        <v>3769</v>
      </c>
      <c r="B626" t="str">
        <f t="shared" si="32"/>
        <v>X10_11032_00494</v>
      </c>
      <c r="C626" t="str">
        <f t="shared" si="33"/>
        <v>LE_XXXX</v>
      </c>
      <c r="D626" t="s">
        <v>2886</v>
      </c>
      <c r="E626">
        <v>6600</v>
      </c>
      <c r="F626" t="s">
        <v>2888</v>
      </c>
      <c r="G626" t="s">
        <v>2889</v>
      </c>
      <c r="H626" t="s">
        <v>154</v>
      </c>
      <c r="I626" t="s">
        <v>146</v>
      </c>
      <c r="J626" t="s">
        <v>147</v>
      </c>
      <c r="K626" t="str">
        <f>+"FY"&amp;RIGHT(YEAR('Hyperion Panel'!$B$9)+4,2)</f>
        <v>FY14</v>
      </c>
      <c r="L626" s="1697">
        <f>+IF(COLUMNS($L626:L626)&lt;month,'6. Market'!$M$114*SUM(L605:L606,L608:L609),'6. Market'!$N$114*SUM(L605:L606,L608:L609))</f>
        <v>56200.395080222406</v>
      </c>
      <c r="M626" s="1697">
        <f>+IF(COLUMNS($L626:M626)&lt;month,'6. Market'!$M$114*SUM(M605:M606,M608:M609),'6. Market'!$N$114*SUM(M605:M606,M608:M609))</f>
        <v>56200.395080222406</v>
      </c>
      <c r="N626" s="1697">
        <f>+IF(COLUMNS($L626:N626)&lt;month,'6. Market'!$M$114*SUM(N605:N606,N608:N609),'6. Market'!$N$114*SUM(N605:N606,N608:N609))</f>
        <v>56200.395080222406</v>
      </c>
      <c r="O626" s="1697">
        <f>+IF(COLUMNS($L626:O626)&lt;month,'6. Market'!$M$114*SUM(O605:O606,O608:O609),'6. Market'!$N$114*SUM(O605:O606,O608:O609))</f>
        <v>56200.395080222406</v>
      </c>
      <c r="P626" s="1697">
        <f>+IF(COLUMNS($L626:P626)&lt;month,'6. Market'!$M$114*SUM(P605:P606,P608:P609),'6. Market'!$N$114*SUM(P605:P606,P608:P609))</f>
        <v>56200.395080222406</v>
      </c>
      <c r="Q626" s="1697">
        <f>+IF(COLUMNS($L626:Q626)&lt;month,'6. Market'!$M$114*SUM(Q605:Q606,Q608:Q609),'6. Market'!$N$114*SUM(Q605:Q606,Q608:Q609))</f>
        <v>56200.395080222406</v>
      </c>
      <c r="R626" s="1697">
        <f>+IF(COLUMNS($L626:R626)&lt;month,'6. Market'!$M$114*SUM(R605:R606,R608:R609),'6. Market'!$N$114*SUM(R605:R606,R608:R609))</f>
        <v>56200.395080222406</v>
      </c>
      <c r="S626" s="1697">
        <f>+IF(COLUMNS($L626:S626)&lt;month,'6. Market'!$M$114*SUM(S605:S606,S608:S609),'6. Market'!$N$114*SUM(S605:S606,S608:S609))</f>
        <v>56200.395080222406</v>
      </c>
      <c r="T626" s="1697">
        <f>+IF(COLUMNS($L626:T626)&lt;month,'6. Market'!$M$114*SUM(T605:T606,T608:T609),'6. Market'!$N$114*SUM(T605:T606,T608:T609))</f>
        <v>56200.395080222406</v>
      </c>
      <c r="U626" s="1697">
        <f>+IF(COLUMNS($L626:U626)&lt;month,'6. Market'!$M$114*SUM(U605:U606,U608:U609),'6. Market'!$N$114*SUM(U605:U606,U608:U609))</f>
        <v>56200.395080222406</v>
      </c>
      <c r="V626" s="1697">
        <f>+IF(COLUMNS($L626:V626)&lt;month,'6. Market'!$M$114*SUM(V605:V606,V608:V609),'6. Market'!$N$114*SUM(V605:V606,V608:V609))</f>
        <v>57324.402981826854</v>
      </c>
      <c r="W626" s="1697">
        <f>+IF(COLUMNS($L626:W626)&lt;month,'6. Market'!$M$114*SUM(W605:W606,W608:W609),'6. Market'!$N$114*SUM(W605:W606,W608:W609))</f>
        <v>57324.402981826854</v>
      </c>
    </row>
    <row r="627" spans="1:25">
      <c r="A627" s="6" t="s">
        <v>3770</v>
      </c>
      <c r="B627" t="str">
        <f t="shared" si="32"/>
        <v>X10_11032_00494</v>
      </c>
      <c r="C627" t="str">
        <f t="shared" si="33"/>
        <v>LE_XXXX</v>
      </c>
      <c r="D627" t="s">
        <v>2886</v>
      </c>
      <c r="E627">
        <v>6800</v>
      </c>
      <c r="F627" t="s">
        <v>156</v>
      </c>
      <c r="G627" t="s">
        <v>2889</v>
      </c>
      <c r="H627" t="s">
        <v>154</v>
      </c>
      <c r="I627" t="s">
        <v>146</v>
      </c>
      <c r="J627" t="s">
        <v>147</v>
      </c>
      <c r="K627" t="str">
        <f>+"FY"&amp;RIGHT(YEAR('Hyperion Panel'!$B$9)+4,2)</f>
        <v>FY14</v>
      </c>
      <c r="L627" s="1697">
        <f>+IF(COLUMNS($L627:L627)&lt;month,'6. Market'!$M$118*SUM(L605:L606,L608:L609),'6. Market'!$N$118*SUM(L605:L606,L608:L609))</f>
        <v>21445.876090607595</v>
      </c>
      <c r="M627" s="1697">
        <f>+IF(COLUMNS($L627:M627)&lt;month,'6. Market'!$M$118*SUM(M605:M606,M608:M609),'6. Market'!$N$118*SUM(M605:M606,M608:M609))</f>
        <v>21445.876090607595</v>
      </c>
      <c r="N627" s="1697">
        <f>+IF(COLUMNS($L627:N627)&lt;month,'6. Market'!$M$118*SUM(N605:N606,N608:N609),'6. Market'!$N$118*SUM(N605:N606,N608:N609))</f>
        <v>21445.876090607595</v>
      </c>
      <c r="O627" s="1697">
        <f>+IF(COLUMNS($L627:O627)&lt;month,'6. Market'!$M$118*SUM(O605:O606,O608:O609),'6. Market'!$N$118*SUM(O605:O606,O608:O609))</f>
        <v>21445.876090607595</v>
      </c>
      <c r="P627" s="1697">
        <f>+IF(COLUMNS($L627:P627)&lt;month,'6. Market'!$M$118*SUM(P605:P606,P608:P609),'6. Market'!$N$118*SUM(P605:P606,P608:P609))</f>
        <v>21445.876090607595</v>
      </c>
      <c r="Q627" s="1697">
        <f>+IF(COLUMNS($L627:Q627)&lt;month,'6. Market'!$M$118*SUM(Q605:Q606,Q608:Q609),'6. Market'!$N$118*SUM(Q605:Q606,Q608:Q609))</f>
        <v>21445.876090607595</v>
      </c>
      <c r="R627" s="1697">
        <f>+IF(COLUMNS($L627:R627)&lt;month,'6. Market'!$M$118*SUM(R605:R606,R608:R609),'6. Market'!$N$118*SUM(R605:R606,R608:R609))</f>
        <v>21445.876090607595</v>
      </c>
      <c r="S627" s="1697">
        <f>+IF(COLUMNS($L627:S627)&lt;month,'6. Market'!$M$118*SUM(S605:S606,S608:S609),'6. Market'!$N$118*SUM(S605:S606,S608:S609))</f>
        <v>21445.876090607595</v>
      </c>
      <c r="T627" s="1697">
        <f>+IF(COLUMNS($L627:T627)&lt;month,'6. Market'!$M$118*SUM(T605:T606,T608:T609),'6. Market'!$N$118*SUM(T605:T606,T608:T609))</f>
        <v>21445.876090607595</v>
      </c>
      <c r="U627" s="1697">
        <f>+IF(COLUMNS($L627:U627)&lt;month,'6. Market'!$M$118*SUM(U605:U606,U608:U609),'6. Market'!$N$118*SUM(U605:U606,U608:U609))</f>
        <v>21445.876090607595</v>
      </c>
      <c r="V627" s="1697">
        <f>+IF(COLUMNS($L627:V627)&lt;month,'6. Market'!$M$118*SUM(V605:V606,V608:V609),'6. Market'!$N$118*SUM(V605:V606,V608:V609))</f>
        <v>22089.25237332582</v>
      </c>
      <c r="W627" s="1697">
        <f>+IF(COLUMNS($L627:W627)&lt;month,'6. Market'!$M$118*SUM(W605:W606,W608:W609),'6. Market'!$N$118*SUM(W605:W606,W608:W609))</f>
        <v>22089.25237332582</v>
      </c>
    </row>
    <row r="628" spans="1:25">
      <c r="A628" t="s">
        <v>3697</v>
      </c>
      <c r="B628" t="str">
        <f t="shared" si="32"/>
        <v>X10_11032_00494</v>
      </c>
      <c r="C628" t="str">
        <f t="shared" si="33"/>
        <v>LE_XXXX</v>
      </c>
      <c r="D628" t="s">
        <v>2886</v>
      </c>
      <c r="E628">
        <v>8600</v>
      </c>
      <c r="F628" t="s">
        <v>156</v>
      </c>
      <c r="G628" t="s">
        <v>2889</v>
      </c>
      <c r="H628" t="s">
        <v>154</v>
      </c>
      <c r="I628" t="s">
        <v>146</v>
      </c>
      <c r="J628" t="s">
        <v>147</v>
      </c>
      <c r="K628" t="str">
        <f>+"FY"&amp;RIGHT(YEAR('Hyperion Panel'!$B$9)+4,2)</f>
        <v>FY14</v>
      </c>
      <c r="L628" s="1612">
        <f>+IF(COLUMNS($L628:L628)&lt;month,'6. Market'!$M$78/12,'6. Market'!$N$78/12)</f>
        <v>18002.666397730001</v>
      </c>
      <c r="M628" s="1612">
        <f>+IF(COLUMNS($L628:M628)&lt;month,'6. Market'!$M$78/12,'6. Market'!$N$78/12)</f>
        <v>18002.666397730001</v>
      </c>
      <c r="N628" s="1612">
        <f>+IF(COLUMNS($L628:N628)&lt;month,'6. Market'!$M$78/12,'6. Market'!$N$78/12)</f>
        <v>18002.666397730001</v>
      </c>
      <c r="O628" s="1612">
        <f>+IF(COLUMNS($L628:O628)&lt;month,'6. Market'!$M$78/12,'6. Market'!$N$78/12)</f>
        <v>18002.666397730001</v>
      </c>
      <c r="P628" s="1612">
        <f>+IF(COLUMNS($L628:P628)&lt;month,'6. Market'!$M$78/12,'6. Market'!$N$78/12)</f>
        <v>18002.666397730001</v>
      </c>
      <c r="Q628" s="1612">
        <f>+IF(COLUMNS($L628:Q628)&lt;month,'6. Market'!$M$78/12,'6. Market'!$N$78/12)</f>
        <v>18002.666397730001</v>
      </c>
      <c r="R628" s="1612">
        <f>+IF(COLUMNS($L628:R628)&lt;month,'6. Market'!$M$78/12,'6. Market'!$N$78/12)</f>
        <v>18002.666397730001</v>
      </c>
      <c r="S628" s="1612">
        <f>+IF(COLUMNS($L628:S628)&lt;month,'6. Market'!$M$78/12,'6. Market'!$N$78/12)</f>
        <v>18002.666397730001</v>
      </c>
      <c r="T628" s="1612">
        <f>+IF(COLUMNS($L628:T628)&lt;month,'6. Market'!$M$78/12,'6. Market'!$N$78/12)</f>
        <v>18002.666397730001</v>
      </c>
      <c r="U628" s="1612">
        <f>+IF(COLUMNS($L628:U628)&lt;month,'6. Market'!$M$78/12,'6. Market'!$N$78/12)</f>
        <v>18002.666397730001</v>
      </c>
      <c r="V628" s="1702">
        <f>+IF(COLUMNS($L628:V628)&lt;month,'6. Market'!$M$78/12,'6. Market'!$N$78/12)</f>
        <v>18542.746389661901</v>
      </c>
      <c r="W628" s="1612">
        <f>+IF(COLUMNS($L628:W628)&lt;month,'6. Market'!$M$78/12,'6. Market'!$N$78/12)</f>
        <v>18542.746389661901</v>
      </c>
    </row>
    <row r="629" spans="1:25">
      <c r="A629" t="s">
        <v>157</v>
      </c>
      <c r="B629" t="str">
        <f t="shared" si="32"/>
        <v>X10_11032_00494</v>
      </c>
      <c r="C629" t="str">
        <f t="shared" si="33"/>
        <v>LE_XXXX</v>
      </c>
      <c r="D629" t="s">
        <v>2886</v>
      </c>
      <c r="E629">
        <v>6720</v>
      </c>
      <c r="F629" t="s">
        <v>156</v>
      </c>
      <c r="G629" t="s">
        <v>2889</v>
      </c>
      <c r="H629" t="s">
        <v>154</v>
      </c>
      <c r="I629" t="s">
        <v>146</v>
      </c>
      <c r="J629" t="s">
        <v>147</v>
      </c>
      <c r="K629" t="str">
        <f>+"FY"&amp;RIGHT(YEAR('Hyperion Panel'!$B$9)+4,2)</f>
        <v>FY14</v>
      </c>
      <c r="L629" s="1612">
        <f>+IF(COLUMNS($L629:L629)&lt;month,'6. Market'!$M$79/12,'6. Market'!$N$79/12)</f>
        <v>15833.32</v>
      </c>
      <c r="M629" s="1612">
        <f>+IF(COLUMNS($L629:M629)&lt;month,'6. Market'!$M$79/12,'6. Market'!$N$79/12)</f>
        <v>15833.32</v>
      </c>
      <c r="N629" s="1612">
        <f>+IF(COLUMNS($L629:N629)&lt;month,'6. Market'!$M$79/12,'6. Market'!$N$79/12)</f>
        <v>15833.32</v>
      </c>
      <c r="O629" s="1612">
        <f>+IF(COLUMNS($L629:O629)&lt;month,'6. Market'!$M$79/12,'6. Market'!$N$79/12)</f>
        <v>15833.32</v>
      </c>
      <c r="P629" s="1612">
        <f>+IF(COLUMNS($L629:P629)&lt;month,'6. Market'!$M$79/12,'6. Market'!$N$79/12)</f>
        <v>15833.32</v>
      </c>
      <c r="Q629" s="1612">
        <f>+IF(COLUMNS($L629:Q629)&lt;month,'6. Market'!$M$79/12,'6. Market'!$N$79/12)</f>
        <v>15833.32</v>
      </c>
      <c r="R629" s="1612">
        <f>+IF(COLUMNS($L629:R629)&lt;month,'6. Market'!$M$79/12,'6. Market'!$N$79/12)</f>
        <v>15833.32</v>
      </c>
      <c r="S629" s="1612">
        <f>+IF(COLUMNS($L629:S629)&lt;month,'6. Market'!$M$79/12,'6. Market'!$N$79/12)</f>
        <v>15833.32</v>
      </c>
      <c r="T629" s="1612">
        <f>+IF(COLUMNS($L629:T629)&lt;month,'6. Market'!$M$79/12,'6. Market'!$N$79/12)</f>
        <v>15833.32</v>
      </c>
      <c r="U629" s="1612">
        <f>+IF(COLUMNS($L629:U629)&lt;month,'6. Market'!$M$79/12,'6. Market'!$N$79/12)</f>
        <v>15833.32</v>
      </c>
      <c r="V629" s="1702">
        <f>+IF(COLUMNS($L629:V629)&lt;month,'6. Market'!$M$79/12,'6. Market'!$N$79/12)</f>
        <v>15833.32</v>
      </c>
      <c r="W629" s="1612">
        <f>+IF(COLUMNS($L629:W629)&lt;month,'6. Market'!$M$79/12,'6. Market'!$N$79/12)</f>
        <v>15833.32</v>
      </c>
    </row>
    <row r="630" spans="1:25">
      <c r="A630" t="s">
        <v>3771</v>
      </c>
      <c r="B630" t="str">
        <f t="shared" si="32"/>
        <v>X10_11032_00494</v>
      </c>
      <c r="C630" t="str">
        <f t="shared" si="33"/>
        <v>LE_XXXX</v>
      </c>
      <c r="D630" t="s">
        <v>2886</v>
      </c>
      <c r="E630">
        <v>8110</v>
      </c>
      <c r="F630" t="s">
        <v>156</v>
      </c>
      <c r="G630" t="s">
        <v>2889</v>
      </c>
      <c r="H630" t="s">
        <v>154</v>
      </c>
      <c r="I630" t="s">
        <v>146</v>
      </c>
      <c r="J630" t="s">
        <v>147</v>
      </c>
      <c r="K630" t="str">
        <f>+"FY"&amp;RIGHT(YEAR('Hyperion Panel'!$B$9)+4,2)</f>
        <v>FY14</v>
      </c>
      <c r="L630" s="1612">
        <f>+IF(COLUMNS($L630:L630)&lt;month,'6. Market'!$M$82/12,'6. Market'!$N$82/12)</f>
        <v>1141.577360535</v>
      </c>
      <c r="M630" s="1612">
        <f>+IF(COLUMNS($L630:M630)&lt;month,'6. Market'!$M$82/12,'6. Market'!$N$82/12)</f>
        <v>1141.577360535</v>
      </c>
      <c r="N630" s="1612">
        <f>+IF(COLUMNS($L630:N630)&lt;month,'6. Market'!$M$82/12,'6. Market'!$N$82/12)</f>
        <v>1141.577360535</v>
      </c>
      <c r="O630" s="1612">
        <f>+IF(COLUMNS($L630:O630)&lt;month,'6. Market'!$M$82/12,'6. Market'!$N$82/12)</f>
        <v>1141.577360535</v>
      </c>
      <c r="P630" s="1612">
        <f>+IF(COLUMNS($L630:P630)&lt;month,'6. Market'!$M$82/12,'6. Market'!$N$82/12)</f>
        <v>1141.577360535</v>
      </c>
      <c r="Q630" s="1612">
        <f>+IF(COLUMNS($L630:Q630)&lt;month,'6. Market'!$M$82/12,'6. Market'!$N$82/12)</f>
        <v>1141.577360535</v>
      </c>
      <c r="R630" s="1612">
        <f>+IF(COLUMNS($L630:R630)&lt;month,'6. Market'!$M$82/12,'6. Market'!$N$82/12)</f>
        <v>1141.577360535</v>
      </c>
      <c r="S630" s="1612">
        <f>+IF(COLUMNS($L630:S630)&lt;month,'6. Market'!$M$82/12,'6. Market'!$N$82/12)</f>
        <v>1141.577360535</v>
      </c>
      <c r="T630" s="1612">
        <f>+IF(COLUMNS($L630:T630)&lt;month,'6. Market'!$M$82/12,'6. Market'!$N$82/12)</f>
        <v>1141.577360535</v>
      </c>
      <c r="U630" s="1612">
        <f>+IF(COLUMNS($L630:U630)&lt;month,'6. Market'!$M$82/12,'6. Market'!$N$82/12)</f>
        <v>1141.577360535</v>
      </c>
      <c r="V630" s="1702">
        <f>+IF(COLUMNS($L630:V630)&lt;month,'6. Market'!$M$82/12,'6. Market'!$N$82/12)</f>
        <v>1175.82468135105</v>
      </c>
      <c r="W630" s="1612">
        <f>+IF(COLUMNS($L630:W630)&lt;month,'6. Market'!$M$82/12,'6. Market'!$N$82/12)</f>
        <v>1175.82468135105</v>
      </c>
    </row>
    <row r="631" spans="1:25">
      <c r="A631" s="102" t="s">
        <v>171</v>
      </c>
      <c r="B631" t="str">
        <f t="shared" si="32"/>
        <v>X10_11032_00494</v>
      </c>
      <c r="C631" s="98" t="str">
        <f t="shared" si="33"/>
        <v>LE_XXXX</v>
      </c>
      <c r="D631" s="98" t="s">
        <v>2886</v>
      </c>
      <c r="E631" s="98">
        <v>6412</v>
      </c>
      <c r="F631" s="98" t="s">
        <v>156</v>
      </c>
      <c r="G631" s="98" t="s">
        <v>2889</v>
      </c>
      <c r="H631" s="98" t="s">
        <v>154</v>
      </c>
      <c r="I631" s="98" t="s">
        <v>146</v>
      </c>
      <c r="J631" s="98" t="s">
        <v>147</v>
      </c>
      <c r="K631" t="str">
        <f>+"FY"&amp;RIGHT(YEAR('Hyperion Panel'!$B$9)+4,2)</f>
        <v>FY14</v>
      </c>
      <c r="L631" s="1697">
        <f>+IF(COLUMNS($L595:L595)&lt;month,'6. Market'!$M$117*SUM(L605:L606,L608:L609),'6. Market'!$N$117*SUM(L605:L606,L608:L609))</f>
        <v>20286.44900537013</v>
      </c>
      <c r="M631" s="1697">
        <f>+IF(COLUMNS($L595:M595)&lt;month,'6. Market'!$M$117*SUM(M605:M606,M608:M609),'6. Market'!$N$117*SUM(M605:M606,M608:M609))</f>
        <v>20286.44900537013</v>
      </c>
      <c r="N631" s="1697">
        <f>+IF(COLUMNS($L595:N595)&lt;month,'6. Market'!$M$117*SUM(N605:N606,N608:N609),'6. Market'!$N$117*SUM(N605:N606,N608:N609))</f>
        <v>20286.44900537013</v>
      </c>
      <c r="O631" s="1697">
        <f>+IF(COLUMNS($L595:O595)&lt;month,'6. Market'!$M$117*SUM(O605:O606,O608:O609),'6. Market'!$N$117*SUM(O605:O606,O608:O609))</f>
        <v>20286.44900537013</v>
      </c>
      <c r="P631" s="1697">
        <f>+IF(COLUMNS($L595:P595)&lt;month,'6. Market'!$M$117*SUM(P605:P606,P608:P609),'6. Market'!$N$117*SUM(P605:P606,P608:P609))</f>
        <v>20286.44900537013</v>
      </c>
      <c r="Q631" s="1697">
        <f>+IF(COLUMNS($L595:Q595)&lt;month,'6. Market'!$M$117*SUM(Q605:Q606,Q608:Q609),'6. Market'!$N$117*SUM(Q605:Q606,Q608:Q609))</f>
        <v>20286.44900537013</v>
      </c>
      <c r="R631" s="1697">
        <f>+IF(COLUMNS($L595:R595)&lt;month,'6. Market'!$M$117*SUM(R605:R606,R608:R609),'6. Market'!$N$117*SUM(R605:R606,R608:R609))</f>
        <v>20286.44900537013</v>
      </c>
      <c r="S631" s="1697">
        <f>+IF(COLUMNS($L595:S595)&lt;month,'6. Market'!$M$117*SUM(S605:S606,S608:S609),'6. Market'!$N$117*SUM(S605:S606,S608:S609))</f>
        <v>20286.44900537013</v>
      </c>
      <c r="T631" s="1697">
        <f>+IF(COLUMNS($L595:T595)&lt;month,'6. Market'!$M$117*SUM(T605:T606,T608:T609),'6. Market'!$N$117*SUM(T605:T606,T608:T609))</f>
        <v>20286.44900537013</v>
      </c>
      <c r="U631" s="1697">
        <f>+IF(COLUMNS($L595:U595)&lt;month,'6. Market'!$M$117*SUM(U605:U606,U608:U609),'6. Market'!$N$117*SUM(U605:U606,U608:U609))</f>
        <v>20286.44900537013</v>
      </c>
      <c r="V631" s="1700">
        <f>+IF(COLUMNS($L595:V595)&lt;month,'6. Market'!$M$117*SUM(V605:V606,V608:V609),'6. Market'!$N$117*SUM(V605:V606,V608:V609))</f>
        <v>20895.042475531234</v>
      </c>
      <c r="W631" s="1697">
        <f>+IF(COLUMNS($L595:W595)&lt;month,'6. Market'!$M$117*SUM(W605:W606,W608:W609),'6. Market'!$N$117*SUM(W605:W606,W608:W609))</f>
        <v>20895.042475531234</v>
      </c>
    </row>
    <row r="632" spans="1:25" s="3" customFormat="1">
      <c r="A632" s="1687" t="s">
        <v>730</v>
      </c>
      <c r="B632" t="str">
        <f t="shared" si="32"/>
        <v>X10_11032_00494</v>
      </c>
      <c r="C632" s="1687" t="str">
        <f>+$C$2</f>
        <v>LE_XXXX</v>
      </c>
      <c r="D632" s="1687" t="s">
        <v>2886</v>
      </c>
      <c r="E632" s="1687">
        <v>8110</v>
      </c>
      <c r="F632" s="1687" t="s">
        <v>731</v>
      </c>
      <c r="G632" s="1687" t="s">
        <v>2889</v>
      </c>
      <c r="H632" s="1687" t="s">
        <v>154</v>
      </c>
      <c r="I632" s="1687" t="s">
        <v>146</v>
      </c>
      <c r="J632" s="1687" t="s">
        <v>147</v>
      </c>
      <c r="K632" t="str">
        <f>+"FY"&amp;RIGHT(YEAR('Hyperion Panel'!$B$9)+4,2)</f>
        <v>FY14</v>
      </c>
      <c r="L632" s="1704">
        <f>+IF(COLUMNS($L632:L632)&lt;month,'6. Market'!$M$88/12,'6. Market'!$N$88/12)</f>
        <v>910.60583333333341</v>
      </c>
      <c r="M632" s="1704">
        <f>+IF(COLUMNS($L632:M632)&lt;month,'6. Market'!$M$88/12,'6. Market'!$N$88/12)</f>
        <v>910.60583333333341</v>
      </c>
      <c r="N632" s="1704">
        <f>+IF(COLUMNS($L632:N632)&lt;month,'6. Market'!$M$88/12,'6. Market'!$N$88/12)</f>
        <v>910.60583333333341</v>
      </c>
      <c r="O632" s="1704">
        <f>+IF(COLUMNS($L632:O632)&lt;month,'6. Market'!$M$88/12,'6. Market'!$N$88/12)</f>
        <v>910.60583333333341</v>
      </c>
      <c r="P632" s="1704">
        <f>+IF(COLUMNS($L632:P632)&lt;month,'6. Market'!$M$88/12,'6. Market'!$N$88/12)</f>
        <v>910.60583333333341</v>
      </c>
      <c r="Q632" s="1704">
        <f>+IF(COLUMNS($L632:Q632)&lt;month,'6. Market'!$M$88/12,'6. Market'!$N$88/12)</f>
        <v>910.60583333333341</v>
      </c>
      <c r="R632" s="1704">
        <f>+IF(COLUMNS($L632:R632)&lt;month,'6. Market'!$M$88/12,'6. Market'!$N$88/12)</f>
        <v>910.60583333333341</v>
      </c>
      <c r="S632" s="1704">
        <f>+IF(COLUMNS($L632:S632)&lt;month,'6. Market'!$M$88/12,'6. Market'!$N$88/12)</f>
        <v>910.60583333333341</v>
      </c>
      <c r="T632" s="1704">
        <f>+IF(COLUMNS($L632:T632)&lt;month,'6. Market'!$M$88/12,'6. Market'!$N$88/12)</f>
        <v>910.60583333333341</v>
      </c>
      <c r="U632" s="1704">
        <f>+IF(COLUMNS($L632:U632)&lt;month,'6. Market'!$M$88/12,'6. Market'!$N$88/12)</f>
        <v>910.60583333333341</v>
      </c>
      <c r="V632" s="1704">
        <f>+IF(COLUMNS($L632:V632)&lt;month,'6. Market'!$M$88/12,'6. Market'!$N$88/12)</f>
        <v>937.9240083333334</v>
      </c>
      <c r="W632" s="1704">
        <f>+IF(COLUMNS($L632:W632)&lt;month,'6. Market'!$M$88/12,'6. Market'!$N$88/12)</f>
        <v>937.9240083333334</v>
      </c>
    </row>
    <row r="633" spans="1:25" s="3" customFormat="1">
      <c r="A633" s="1687" t="s">
        <v>732</v>
      </c>
      <c r="B633" t="str">
        <f t="shared" si="32"/>
        <v>X10_11032_00494</v>
      </c>
      <c r="C633" s="1687" t="str">
        <f>+$C$2</f>
        <v>LE_XXXX</v>
      </c>
      <c r="D633" s="1687" t="s">
        <v>2886</v>
      </c>
      <c r="E633" s="1687"/>
      <c r="F633" s="1687" t="s">
        <v>731</v>
      </c>
      <c r="G633" s="1687" t="s">
        <v>2889</v>
      </c>
      <c r="H633" s="1687" t="s">
        <v>154</v>
      </c>
      <c r="I633" s="1687" t="s">
        <v>146</v>
      </c>
      <c r="J633" s="1687" t="s">
        <v>147</v>
      </c>
      <c r="K633" t="str">
        <f>+"FY"&amp;RIGHT(YEAR('Hyperion Panel'!$B$9)+4,2)</f>
        <v>FY14</v>
      </c>
      <c r="L633" s="1704">
        <f>+IF(COLUMNS($L633:L633)&lt;month,'6. Market'!$M$89/12,'6. Market'!$N$89/12)</f>
        <v>0</v>
      </c>
      <c r="M633" s="1704">
        <f>+IF(COLUMNS($L633:M633)&lt;month,'6. Market'!$M$89/12,'6. Market'!$N$89/12)</f>
        <v>0</v>
      </c>
      <c r="N633" s="1704">
        <f>+IF(COLUMNS($L633:N633)&lt;month,'6. Market'!$M$89/12,'6. Market'!$N$89/12)</f>
        <v>0</v>
      </c>
      <c r="O633" s="1704">
        <f>+IF(COLUMNS($L633:O633)&lt;month,'6. Market'!$M$89/12,'6. Market'!$N$89/12)</f>
        <v>0</v>
      </c>
      <c r="P633" s="1704">
        <f>+IF(COLUMNS($L633:P633)&lt;month,'6. Market'!$M$89/12,'6. Market'!$N$89/12)</f>
        <v>0</v>
      </c>
      <c r="Q633" s="1704">
        <f>+IF(COLUMNS($L633:Q633)&lt;month,'6. Market'!$M$89/12,'6. Market'!$N$89/12)</f>
        <v>0</v>
      </c>
      <c r="R633" s="1704">
        <f>+IF(COLUMNS($L633:R633)&lt;month,'6. Market'!$M$89/12,'6. Market'!$N$89/12)</f>
        <v>0</v>
      </c>
      <c r="S633" s="1704">
        <f>+IF(COLUMNS($L633:S633)&lt;month,'6. Market'!$M$89/12,'6. Market'!$N$89/12)</f>
        <v>0</v>
      </c>
      <c r="T633" s="1704">
        <f>+IF(COLUMNS($L633:T633)&lt;month,'6. Market'!$M$89/12,'6. Market'!$N$89/12)</f>
        <v>0</v>
      </c>
      <c r="U633" s="1704">
        <f>+IF(COLUMNS($L633:U633)&lt;month,'6. Market'!$M$89/12,'6. Market'!$N$89/12)</f>
        <v>0</v>
      </c>
      <c r="V633" s="1704">
        <f>+IF(COLUMNS($L633:V633)&lt;month,'6. Market'!$M$89/12,'6. Market'!$N$89/12)</f>
        <v>0</v>
      </c>
      <c r="W633" s="1704">
        <f>+IF(COLUMNS($L633:W633)&lt;month,'6. Market'!$M$89/12,'6. Market'!$N$89/12)</f>
        <v>0</v>
      </c>
    </row>
    <row r="634" spans="1:25" s="3" customFormat="1">
      <c r="A634" s="1687" t="s">
        <v>733</v>
      </c>
      <c r="B634" t="str">
        <f t="shared" si="32"/>
        <v>X10_11032_00494</v>
      </c>
      <c r="C634" s="1687" t="str">
        <f>+$C$2</f>
        <v>LE_XXXX</v>
      </c>
      <c r="D634" s="1687" t="s">
        <v>2886</v>
      </c>
      <c r="E634" s="1687"/>
      <c r="F634" s="1687" t="s">
        <v>731</v>
      </c>
      <c r="G634" s="1687" t="s">
        <v>2889</v>
      </c>
      <c r="H634" s="1687" t="s">
        <v>154</v>
      </c>
      <c r="I634" s="1687" t="s">
        <v>146</v>
      </c>
      <c r="J634" s="1687" t="s">
        <v>147</v>
      </c>
      <c r="K634" t="str">
        <f>+"FY"&amp;RIGHT(YEAR('Hyperion Panel'!$B$9)+4,2)</f>
        <v>FY14</v>
      </c>
      <c r="L634" s="1704">
        <f>+IF(COLUMNS($L634:L634)&lt;month,'6. Market'!$M$90/12,'6. Market'!$N$90/12)</f>
        <v>10230.045119999999</v>
      </c>
      <c r="M634" s="1704">
        <f>+IF(COLUMNS($L634:M634)&lt;month,'6. Market'!$M$90/12,'6. Market'!$N$90/12)</f>
        <v>10230.045119999999</v>
      </c>
      <c r="N634" s="1704">
        <f>+IF(COLUMNS($L634:N634)&lt;month,'6. Market'!$M$90/12,'6. Market'!$N$90/12)</f>
        <v>10230.045119999999</v>
      </c>
      <c r="O634" s="1704">
        <f>+IF(COLUMNS($L634:O634)&lt;month,'6. Market'!$M$90/12,'6. Market'!$N$90/12)</f>
        <v>10230.045119999999</v>
      </c>
      <c r="P634" s="1704">
        <f>+IF(COLUMNS($L634:P634)&lt;month,'6. Market'!$M$90/12,'6. Market'!$N$90/12)</f>
        <v>10230.045119999999</v>
      </c>
      <c r="Q634" s="1704">
        <f>+IF(COLUMNS($L634:Q634)&lt;month,'6. Market'!$M$90/12,'6. Market'!$N$90/12)</f>
        <v>10230.045119999999</v>
      </c>
      <c r="R634" s="1704">
        <f>+IF(COLUMNS($L634:R634)&lt;month,'6. Market'!$M$90/12,'6. Market'!$N$90/12)</f>
        <v>10230.045119999999</v>
      </c>
      <c r="S634" s="1704">
        <f>+IF(COLUMNS($L634:S634)&lt;month,'6. Market'!$M$90/12,'6. Market'!$N$90/12)</f>
        <v>10230.045119999999</v>
      </c>
      <c r="T634" s="1704">
        <f>+IF(COLUMNS($L634:T634)&lt;month,'6. Market'!$M$90/12,'6. Market'!$N$90/12)</f>
        <v>10230.045119999999</v>
      </c>
      <c r="U634" s="1704">
        <f>+IF(COLUMNS($L634:U634)&lt;month,'6. Market'!$M$90/12,'6. Market'!$N$90/12)</f>
        <v>10230.045119999999</v>
      </c>
      <c r="V634" s="1704">
        <f>+IF(COLUMNS($L634:V634)&lt;month,'6. Market'!$M$90/12,'6. Market'!$N$90/12)</f>
        <v>10434.6460224</v>
      </c>
      <c r="W634" s="1704">
        <f>+IF(COLUMNS($L634:W634)&lt;month,'6. Market'!$M$90/12,'6. Market'!$N$90/12)</f>
        <v>10434.6460224</v>
      </c>
    </row>
    <row r="635" spans="1:25" s="3" customFormat="1">
      <c r="A635" s="1687" t="s">
        <v>734</v>
      </c>
      <c r="B635" t="str">
        <f t="shared" si="32"/>
        <v>X10_11032_00494</v>
      </c>
      <c r="C635" s="1687" t="str">
        <f>+$C$2</f>
        <v>LE_XXXX</v>
      </c>
      <c r="D635" s="1687" t="s">
        <v>2886</v>
      </c>
      <c r="E635" s="1687">
        <v>6800</v>
      </c>
      <c r="F635" s="1687" t="s">
        <v>731</v>
      </c>
      <c r="G635" s="1687" t="s">
        <v>2889</v>
      </c>
      <c r="H635" s="1687" t="s">
        <v>154</v>
      </c>
      <c r="I635" s="1687" t="s">
        <v>146</v>
      </c>
      <c r="J635" s="1687" t="s">
        <v>147</v>
      </c>
      <c r="K635" t="str">
        <f>+"FY"&amp;RIGHT(YEAR('Hyperion Panel'!$B$9)+4,2)</f>
        <v>FY14</v>
      </c>
      <c r="L635" s="1704">
        <f>+IF(COLUMNS($L635:L635)&lt;month,'6. Market'!$M$91/12,'6. Market'!$N$91/12)</f>
        <v>1912.27225</v>
      </c>
      <c r="M635" s="1704">
        <f>+IF(COLUMNS($L635:M635)&lt;month,'6. Market'!$M$91/12,'6. Market'!$N$91/12)</f>
        <v>1912.27225</v>
      </c>
      <c r="N635" s="1704">
        <f>+IF(COLUMNS($L635:N635)&lt;month,'6. Market'!$M$91/12,'6. Market'!$N$91/12)</f>
        <v>1912.27225</v>
      </c>
      <c r="O635" s="1704">
        <f>+IF(COLUMNS($L635:O635)&lt;month,'6. Market'!$M$91/12,'6. Market'!$N$91/12)</f>
        <v>1912.27225</v>
      </c>
      <c r="P635" s="1704">
        <f>+IF(COLUMNS($L635:P635)&lt;month,'6. Market'!$M$91/12,'6. Market'!$N$91/12)</f>
        <v>1912.27225</v>
      </c>
      <c r="Q635" s="1704">
        <f>+IF(COLUMNS($L635:Q635)&lt;month,'6. Market'!$M$91/12,'6. Market'!$N$91/12)</f>
        <v>1912.27225</v>
      </c>
      <c r="R635" s="1704">
        <f>+IF(COLUMNS($L635:R635)&lt;month,'6. Market'!$M$91/12,'6. Market'!$N$91/12)</f>
        <v>1912.27225</v>
      </c>
      <c r="S635" s="1704">
        <f>+IF(COLUMNS($L635:S635)&lt;month,'6. Market'!$M$91/12,'6. Market'!$N$91/12)</f>
        <v>1912.27225</v>
      </c>
      <c r="T635" s="1704">
        <f>+IF(COLUMNS($L635:T635)&lt;month,'6. Market'!$M$91/12,'6. Market'!$N$91/12)</f>
        <v>1912.27225</v>
      </c>
      <c r="U635" s="1704">
        <f>+IF(COLUMNS($L635:U635)&lt;month,'6. Market'!$M$91/12,'6. Market'!$N$91/12)</f>
        <v>1912.27225</v>
      </c>
      <c r="V635" s="1704">
        <f>+IF(COLUMNS($L635:V635)&lt;month,'6. Market'!$M$91/12,'6. Market'!$N$91/12)</f>
        <v>1969.6404175</v>
      </c>
      <c r="W635" s="1704">
        <f>+IF(COLUMNS($L635:W635)&lt;month,'6. Market'!$M$91/12,'6. Market'!$N$91/12)</f>
        <v>1969.6404175</v>
      </c>
    </row>
    <row r="636" spans="1:25">
      <c r="A636" t="s">
        <v>158</v>
      </c>
      <c r="B636" t="str">
        <f t="shared" si="32"/>
        <v>X10_11032_00494</v>
      </c>
      <c r="C636" t="str">
        <f>+$C$460</f>
        <v>LE_XXXX</v>
      </c>
      <c r="D636" t="s">
        <v>2886</v>
      </c>
      <c r="E636" t="s">
        <v>159</v>
      </c>
      <c r="F636" t="s">
        <v>156</v>
      </c>
      <c r="G636" t="s">
        <v>2889</v>
      </c>
      <c r="H636" t="s">
        <v>154</v>
      </c>
      <c r="I636" t="s">
        <v>146</v>
      </c>
      <c r="J636" t="s">
        <v>147</v>
      </c>
      <c r="K636" t="str">
        <f>+"FY"&amp;RIGHT(YEAR('Hyperion Panel'!$B$9)+4,2)</f>
        <v>FY14</v>
      </c>
      <c r="L636" s="103">
        <f>'Hyperion Panel'!$C$7</f>
        <v>1</v>
      </c>
      <c r="M636" s="103">
        <f>'Hyperion Panel'!$C$7</f>
        <v>1</v>
      </c>
      <c r="N636" s="103">
        <f>'Hyperion Panel'!$C$7</f>
        <v>1</v>
      </c>
      <c r="O636" s="103">
        <f>'Hyperion Panel'!$C$7</f>
        <v>1</v>
      </c>
      <c r="P636" s="103">
        <f>'Hyperion Panel'!$C$7</f>
        <v>1</v>
      </c>
      <c r="Q636" s="103">
        <f>'Hyperion Panel'!$C$7</f>
        <v>1</v>
      </c>
      <c r="R636" s="103">
        <f>'Hyperion Panel'!$C$7</f>
        <v>1</v>
      </c>
      <c r="S636" s="103">
        <f>'Hyperion Panel'!$C$7</f>
        <v>1</v>
      </c>
      <c r="T636" s="103">
        <f>'Hyperion Panel'!$C$7</f>
        <v>1</v>
      </c>
      <c r="U636" s="103">
        <f>'Hyperion Panel'!$C$7</f>
        <v>1</v>
      </c>
      <c r="V636" s="1694">
        <f>'Hyperion Panel'!$C$7</f>
        <v>1</v>
      </c>
      <c r="W636" s="103">
        <f>'Hyperion Panel'!$C$7</f>
        <v>1</v>
      </c>
    </row>
    <row r="637" spans="1:25">
      <c r="A637" t="s">
        <v>160</v>
      </c>
      <c r="B637" t="str">
        <f t="shared" si="32"/>
        <v>X10_11032_00494</v>
      </c>
      <c r="C637" t="str">
        <f>+$C$460</f>
        <v>LE_XXXX</v>
      </c>
      <c r="D637" t="s">
        <v>2886</v>
      </c>
      <c r="E637" t="s">
        <v>161</v>
      </c>
      <c r="F637" t="s">
        <v>156</v>
      </c>
      <c r="G637" t="s">
        <v>2889</v>
      </c>
      <c r="H637" t="s">
        <v>154</v>
      </c>
      <c r="I637" t="s">
        <v>146</v>
      </c>
      <c r="J637" t="s">
        <v>147</v>
      </c>
      <c r="K637" t="str">
        <f>+"FY"&amp;RIGHT(YEAR('Hyperion Panel'!$B$9)+4,2)</f>
        <v>FY14</v>
      </c>
      <c r="L637" s="1705">
        <v>0</v>
      </c>
      <c r="M637" s="1705">
        <v>0</v>
      </c>
      <c r="N637" s="1705">
        <v>0</v>
      </c>
      <c r="O637" s="1705">
        <v>0</v>
      </c>
      <c r="P637" s="1705">
        <v>0</v>
      </c>
      <c r="Q637" s="1705">
        <v>0</v>
      </c>
      <c r="R637" s="1705">
        <v>0</v>
      </c>
      <c r="S637" s="1705">
        <v>0</v>
      </c>
      <c r="T637" s="1705">
        <v>0</v>
      </c>
      <c r="U637" s="1705">
        <v>0</v>
      </c>
      <c r="V637" s="1705">
        <v>0</v>
      </c>
      <c r="W637" s="1705">
        <v>0</v>
      </c>
    </row>
    <row r="638" spans="1:25" s="3" customFormat="1">
      <c r="A638" s="1687" t="s">
        <v>735</v>
      </c>
      <c r="B638" t="str">
        <f t="shared" si="32"/>
        <v>X10_11032_00494</v>
      </c>
      <c r="C638" s="1687"/>
      <c r="D638" s="1687"/>
      <c r="E638" s="1687"/>
      <c r="F638" s="1687"/>
      <c r="G638" s="1687"/>
      <c r="H638" s="1687"/>
      <c r="I638" s="1687"/>
      <c r="J638" s="1687"/>
      <c r="K638" t="str">
        <f>+"FY"&amp;RIGHT(YEAR('Hyperion Panel'!$B$9)+4,2)</f>
        <v>FY14</v>
      </c>
      <c r="L638" s="1705">
        <v>0</v>
      </c>
      <c r="M638" s="1705">
        <v>0</v>
      </c>
      <c r="N638" s="1705">
        <v>0</v>
      </c>
      <c r="O638" s="1705">
        <v>0</v>
      </c>
      <c r="P638" s="1705">
        <v>0</v>
      </c>
      <c r="Q638" s="1705">
        <v>0</v>
      </c>
      <c r="R638" s="1705">
        <v>0</v>
      </c>
      <c r="S638" s="1705">
        <v>0</v>
      </c>
      <c r="T638" s="1705">
        <v>0</v>
      </c>
      <c r="U638" s="1705">
        <v>0</v>
      </c>
      <c r="V638" s="1705">
        <v>0</v>
      </c>
      <c r="W638" s="1705">
        <v>0</v>
      </c>
      <c r="Y638" s="1688"/>
    </row>
    <row r="639" spans="1:25">
      <c r="L639" s="1705"/>
      <c r="M639" s="1705"/>
      <c r="N639" s="1705"/>
      <c r="O639" s="1705"/>
      <c r="P639" s="1705"/>
      <c r="Q639" s="1705"/>
      <c r="R639" s="1705"/>
      <c r="S639" s="1705"/>
      <c r="T639" s="1705"/>
      <c r="U639" s="1705"/>
      <c r="V639" s="1705"/>
      <c r="W639" s="1705"/>
    </row>
    <row r="640" spans="1:25">
      <c r="A640" s="98" t="s">
        <v>165</v>
      </c>
      <c r="B640" t="str">
        <f>+$B$460</f>
        <v>X10_11032_00494</v>
      </c>
      <c r="C640" t="str">
        <f>+$C$460</f>
        <v>LE_XXXX</v>
      </c>
      <c r="D640" t="s">
        <v>2886</v>
      </c>
      <c r="E640" t="s">
        <v>2887</v>
      </c>
      <c r="F640" t="s">
        <v>2888</v>
      </c>
      <c r="G640" t="s">
        <v>2889</v>
      </c>
      <c r="H640" t="s">
        <v>145</v>
      </c>
      <c r="I640" t="s">
        <v>146</v>
      </c>
      <c r="J640" t="s">
        <v>147</v>
      </c>
      <c r="K640" t="str">
        <f>+"FY"&amp;RIGHT(YEAR('Hyperion Panel'!$B$9)+5,2)</f>
        <v>FY15</v>
      </c>
      <c r="L640" s="1612"/>
      <c r="M640" s="1612"/>
      <c r="N640" s="1612"/>
      <c r="O640" s="1612"/>
      <c r="P640" s="1612"/>
      <c r="Q640" s="1612"/>
      <c r="R640" s="1612"/>
      <c r="S640" s="1612"/>
      <c r="T640" s="1612"/>
      <c r="U640" s="1612"/>
      <c r="V640" s="1702"/>
      <c r="W640" s="1612"/>
    </row>
    <row r="641" spans="1:26" s="98" customFormat="1" ht="12.75" customHeight="1">
      <c r="A641" s="100" t="s">
        <v>463</v>
      </c>
      <c r="L641" s="1697">
        <f>+IF(COLUMNS($L641:L641)&lt;month,VLOOKUP("Month "&amp;(COLUMNS($L641:L641)-month+13),X_baseline_Tx,11,FALSE)*52*3/12*(1-hemomiss),0)</f>
        <v>574.08000000000004</v>
      </c>
      <c r="M641" s="1697">
        <f>+IF(COLUMNS($L641:M641)&lt;month,VLOOKUP("Month "&amp;(COLUMNS($L641:M641)-month+13),X_baseline_Tx,11,FALSE)*52*3/12*(1-hemomiss),0)</f>
        <v>574.08000000000004</v>
      </c>
      <c r="N641" s="1697">
        <f>+IF(COLUMNS($L641:N641)&lt;month,VLOOKUP("Month "&amp;(COLUMNS($L641:N641)-month+13),X_baseline_Tx,11,FALSE)*52*3/12*(1-hemomiss),0)</f>
        <v>574.08000000000004</v>
      </c>
      <c r="O641" s="1697">
        <f>+IF(COLUMNS($L641:O641)&lt;month,VLOOKUP("Month "&amp;(COLUMNS($L641:O641)-month+13),X_baseline_Tx,11,FALSE)*52*3/12*(1-hemomiss),0)</f>
        <v>574.08000000000004</v>
      </c>
      <c r="P641" s="1697">
        <f>+IF(COLUMNS($L641:P641)&lt;month,VLOOKUP("Month "&amp;(COLUMNS($L641:P641)-month+13),X_baseline_Tx,11,FALSE)*52*3/12*(1-hemomiss),0)</f>
        <v>574.08000000000004</v>
      </c>
      <c r="Q641" s="1697">
        <f>+IF(COLUMNS($L641:Q641)&lt;month,VLOOKUP("Month "&amp;(COLUMNS($L641:Q641)-month+13),X_baseline_Tx,11,FALSE)*52*3/12*(1-hemomiss),0)</f>
        <v>574.08000000000004</v>
      </c>
      <c r="R641" s="1697">
        <f>+IF(COLUMNS($L641:R641)&lt;month,VLOOKUP("Month "&amp;(COLUMNS($L641:R641)-month+13),X_baseline_Tx,11,FALSE)*52*3/12*(1-hemomiss),0)</f>
        <v>574.08000000000004</v>
      </c>
      <c r="S641" s="1697">
        <f>+IF(COLUMNS($L641:S641)&lt;month,VLOOKUP("Month "&amp;(COLUMNS($L641:S641)-month+13),X_baseline_Tx,11,FALSE)*52*3/12*(1-hemomiss),0)</f>
        <v>574.08000000000004</v>
      </c>
      <c r="T641" s="1697">
        <f>+IF(COLUMNS($L641:T641)&lt;month,VLOOKUP("Month "&amp;(COLUMNS($L641:T641)-month+13),X_baseline_Tx,11,FALSE)*52*3/12*(1-hemomiss),0)</f>
        <v>574.08000000000004</v>
      </c>
      <c r="U641" s="1697">
        <f>+IF(COLUMNS($L641:U641)&lt;month,VLOOKUP("Month "&amp;(COLUMNS($L641:U641)-month+13),X_baseline_Tx,11,FALSE)*52*3/12*(1-hemomiss),0)</f>
        <v>574.08000000000004</v>
      </c>
      <c r="V641" s="1700">
        <f>+IF(COLUMNS($L641:V641)&lt;month,VLOOKUP("Month "&amp;(COLUMNS($L641:V641)-month+13),X_baseline_Tx,11,FALSE)*52*3/12*(1-hemomiss),0)</f>
        <v>0</v>
      </c>
      <c r="W641" s="1697">
        <f>+IF(COLUMNS($L641:W641)&lt;month,VLOOKUP("Month "&amp;(COLUMNS($L641:W641)-month+13),X_baseline_Tx,11,FALSE)*52*3/12*(1-hemomiss),0)</f>
        <v>0</v>
      </c>
      <c r="Y641" s="99"/>
      <c r="Z641" s="97"/>
    </row>
    <row r="642" spans="1:26" s="98" customFormat="1" ht="12.75" customHeight="1">
      <c r="A642" s="100" t="s">
        <v>464</v>
      </c>
      <c r="L642" s="1697">
        <f>+IF(COLUMNS($L642:L642)&lt;month,VLOOKUP("Month "&amp;(COLUMNS($L642:L642)-month+13),X_baseline_Tx,12,FALSE)*52*3/12*(1-hemomiss),0)</f>
        <v>23.92</v>
      </c>
      <c r="M642" s="1697">
        <f>+IF(COLUMNS($L642:M642)&lt;month,VLOOKUP("Month "&amp;(COLUMNS($L642:M642)-month+13),X_baseline_Tx,12,FALSE)*52*3/12*(1-hemomiss),0)</f>
        <v>23.92</v>
      </c>
      <c r="N642" s="1697">
        <f>+IF(COLUMNS($L642:N642)&lt;month,VLOOKUP("Month "&amp;(COLUMNS($L642:N642)-month+13),X_baseline_Tx,12,FALSE)*52*3/12*(1-hemomiss),0)</f>
        <v>23.92</v>
      </c>
      <c r="O642" s="1697">
        <f>+IF(COLUMNS($L642:O642)&lt;month,VLOOKUP("Month "&amp;(COLUMNS($L642:O642)-month+13),X_baseline_Tx,12,FALSE)*52*3/12*(1-hemomiss),0)</f>
        <v>23.92</v>
      </c>
      <c r="P642" s="1697">
        <f>+IF(COLUMNS($L642:P642)&lt;month,VLOOKUP("Month "&amp;(COLUMNS($L642:P642)-month+13),X_baseline_Tx,12,FALSE)*52*3/12*(1-hemomiss),0)</f>
        <v>23.92</v>
      </c>
      <c r="Q642" s="1697">
        <f>+IF(COLUMNS($L642:Q642)&lt;month,VLOOKUP("Month "&amp;(COLUMNS($L642:Q642)-month+13),X_baseline_Tx,12,FALSE)*52*3/12*(1-hemomiss),0)</f>
        <v>23.92</v>
      </c>
      <c r="R642" s="1697">
        <f>+IF(COLUMNS($L642:R642)&lt;month,VLOOKUP("Month "&amp;(COLUMNS($L642:R642)-month+13),X_baseline_Tx,12,FALSE)*52*3/12*(1-hemomiss),0)</f>
        <v>23.92</v>
      </c>
      <c r="S642" s="1697">
        <f>+IF(COLUMNS($L642:S642)&lt;month,VLOOKUP("Month "&amp;(COLUMNS($L642:S642)-month+13),X_baseline_Tx,12,FALSE)*52*3/12*(1-hemomiss),0)</f>
        <v>23.92</v>
      </c>
      <c r="T642" s="1697">
        <f>+IF(COLUMNS($L642:T642)&lt;month,VLOOKUP("Month "&amp;(COLUMNS($L642:T642)-month+13),X_baseline_Tx,12,FALSE)*52*3/12*(1-hemomiss),0)</f>
        <v>23.92</v>
      </c>
      <c r="U642" s="1697">
        <f>+IF(COLUMNS($L642:U642)&lt;month,VLOOKUP("Month "&amp;(COLUMNS($L642:U642)-month+13),X_baseline_Tx,12,FALSE)*52*3/12*(1-hemomiss),0)</f>
        <v>23.92</v>
      </c>
      <c r="V642" s="1700">
        <f>+IF(COLUMNS($L642:V642)&lt;month,VLOOKUP("Month "&amp;(COLUMNS($L642:V642)-month+13),X_baseline_Tx,12,FALSE)*52*3/12*(1-hemomiss),0)</f>
        <v>0</v>
      </c>
      <c r="W642" s="1697">
        <f>+IF(COLUMNS($L642:W642)&lt;month,VLOOKUP("Month "&amp;(COLUMNS($L642:W642)-month+13),X_baseline_Tx,12,FALSE)*52*3/12*(1-hemomiss),0)</f>
        <v>0</v>
      </c>
      <c r="Y642" s="99"/>
      <c r="Z642" s="97"/>
    </row>
    <row r="643" spans="1:26">
      <c r="A643" s="98" t="s">
        <v>162</v>
      </c>
      <c r="B643" t="str">
        <f>+$B$460</f>
        <v>X10_11032_00494</v>
      </c>
      <c r="C643" t="str">
        <f>+$C$460</f>
        <v>LE_XXXX</v>
      </c>
      <c r="D643" t="s">
        <v>2886</v>
      </c>
      <c r="E643" t="s">
        <v>149</v>
      </c>
      <c r="F643" t="s">
        <v>150</v>
      </c>
      <c r="G643" t="s">
        <v>2889</v>
      </c>
      <c r="H643" t="s">
        <v>145</v>
      </c>
      <c r="I643" t="s">
        <v>146</v>
      </c>
      <c r="J643" t="s">
        <v>147</v>
      </c>
      <c r="K643" t="str">
        <f>+"FY"&amp;RIGHT(YEAR('Hyperion Panel'!$B$9)+5,2)</f>
        <v>FY15</v>
      </c>
      <c r="L643" s="1612"/>
      <c r="M643" s="1612"/>
      <c r="N643" s="1612"/>
      <c r="O643" s="1612"/>
      <c r="P643" s="1612"/>
      <c r="Q643" s="1612"/>
      <c r="R643" s="1612"/>
      <c r="S643" s="1612"/>
      <c r="T643" s="1612"/>
      <c r="U643" s="1612"/>
      <c r="V643" s="1703"/>
      <c r="W643" s="1612"/>
    </row>
    <row r="644" spans="1:26" s="98" customFormat="1">
      <c r="A644" s="100" t="s">
        <v>463</v>
      </c>
      <c r="L644" s="1697">
        <f>+IF(COLUMNS($L644:L644)&lt;month,VLOOKUP("Month "&amp;(COLUMNS($L644:L644)-month+13),X_baseline_Tx,22,FALSE)*52*3/12*(1-homemiss),0)</f>
        <v>172.9</v>
      </c>
      <c r="M644" s="1697">
        <f>+IF(COLUMNS($L644:M644)&lt;month,VLOOKUP("Month "&amp;(COLUMNS($L644:M644)-month+13),X_baseline_Tx,22,FALSE)*52*3/12*(1-homemiss),0)</f>
        <v>172.9</v>
      </c>
      <c r="N644" s="1697">
        <f>+IF(COLUMNS($L644:N644)&lt;month,VLOOKUP("Month "&amp;(COLUMNS($L644:N644)-month+13),X_baseline_Tx,22,FALSE)*52*3/12*(1-homemiss),0)</f>
        <v>172.9</v>
      </c>
      <c r="O644" s="1697">
        <f>+IF(COLUMNS($L644:O644)&lt;month,VLOOKUP("Month "&amp;(COLUMNS($L644:O644)-month+13),X_baseline_Tx,22,FALSE)*52*3/12*(1-homemiss),0)</f>
        <v>172.9</v>
      </c>
      <c r="P644" s="1697">
        <f>+IF(COLUMNS($L644:P644)&lt;month,VLOOKUP("Month "&amp;(COLUMNS($L644:P644)-month+13),X_baseline_Tx,22,FALSE)*52*3/12*(1-homemiss),0)</f>
        <v>172.9</v>
      </c>
      <c r="Q644" s="1697">
        <f>+IF(COLUMNS($L644:Q644)&lt;month,VLOOKUP("Month "&amp;(COLUMNS($L644:Q644)-month+13),X_baseline_Tx,22,FALSE)*52*3/12*(1-homemiss),0)</f>
        <v>172.9</v>
      </c>
      <c r="R644" s="1697">
        <f>+IF(COLUMNS($L644:R644)&lt;month,VLOOKUP("Month "&amp;(COLUMNS($L644:R644)-month+13),X_baseline_Tx,22,FALSE)*52*3/12*(1-homemiss),0)</f>
        <v>172.9</v>
      </c>
      <c r="S644" s="1697">
        <f>+IF(COLUMNS($L644:S644)&lt;month,VLOOKUP("Month "&amp;(COLUMNS($L644:S644)-month+13),X_baseline_Tx,22,FALSE)*52*3/12*(1-homemiss),0)</f>
        <v>172.9</v>
      </c>
      <c r="T644" s="1697">
        <f>+IF(COLUMNS($L644:T644)&lt;month,VLOOKUP("Month "&amp;(COLUMNS($L644:T644)-month+13),X_baseline_Tx,22,FALSE)*52*3/12*(1-homemiss),0)</f>
        <v>172.9</v>
      </c>
      <c r="U644" s="1697">
        <f>+IF(COLUMNS($L644:U644)&lt;month,VLOOKUP("Month "&amp;(COLUMNS($L644:U644)-month+13),X_baseline_Tx,22,FALSE)*52*3/12*(1-homemiss),0)</f>
        <v>172.9</v>
      </c>
      <c r="V644" s="1697">
        <f>+IF(COLUMNS($L644:V644)&lt;month,VLOOKUP("Month "&amp;(COLUMNS($L644:V644)-month+13),X_baseline_Tx,22,FALSE)*52*3/12*(1-homemiss),0)</f>
        <v>0</v>
      </c>
      <c r="W644" s="1697">
        <f>+IF(COLUMNS($L644:W644)&lt;month,VLOOKUP("Month "&amp;(COLUMNS($L644:W644)-month+13),X_baseline_Tx,22,FALSE)*52*3/12*(1-homemiss),0)</f>
        <v>0</v>
      </c>
      <c r="Y644" s="99"/>
    </row>
    <row r="645" spans="1:26" s="98" customFormat="1">
      <c r="A645" s="100" t="s">
        <v>464</v>
      </c>
      <c r="L645" s="1697">
        <f>+IF(COLUMNS($L645:L645)&lt;month,VLOOKUP("Month "&amp;(COLUMNS($L645:L645)-month+13),X_baseline_Tx,23,FALSE)*52*3/12*(1-homemiss),0)</f>
        <v>74.099999999999994</v>
      </c>
      <c r="M645" s="1697">
        <f>+IF(COLUMNS($L645:M645)&lt;month,VLOOKUP("Month "&amp;(COLUMNS($L645:M645)-month+13),X_baseline_Tx,23,FALSE)*52*3/12*(1-homemiss),0)</f>
        <v>74.099999999999994</v>
      </c>
      <c r="N645" s="1697">
        <f>+IF(COLUMNS($L645:N645)&lt;month,VLOOKUP("Month "&amp;(COLUMNS($L645:N645)-month+13),X_baseline_Tx,23,FALSE)*52*3/12*(1-homemiss),0)</f>
        <v>74.099999999999994</v>
      </c>
      <c r="O645" s="1697">
        <f>+IF(COLUMNS($L645:O645)&lt;month,VLOOKUP("Month "&amp;(COLUMNS($L645:O645)-month+13),X_baseline_Tx,23,FALSE)*52*3/12*(1-homemiss),0)</f>
        <v>74.099999999999994</v>
      </c>
      <c r="P645" s="1697">
        <f>+IF(COLUMNS($L645:P645)&lt;month,VLOOKUP("Month "&amp;(COLUMNS($L645:P645)-month+13),X_baseline_Tx,23,FALSE)*52*3/12*(1-homemiss),0)</f>
        <v>74.099999999999994</v>
      </c>
      <c r="Q645" s="1697">
        <f>+IF(COLUMNS($L645:Q645)&lt;month,VLOOKUP("Month "&amp;(COLUMNS($L645:Q645)-month+13),X_baseline_Tx,23,FALSE)*52*3/12*(1-homemiss),0)</f>
        <v>74.099999999999994</v>
      </c>
      <c r="R645" s="1697">
        <f>+IF(COLUMNS($L645:R645)&lt;month,VLOOKUP("Month "&amp;(COLUMNS($L645:R645)-month+13),X_baseline_Tx,23,FALSE)*52*3/12*(1-homemiss),0)</f>
        <v>74.099999999999994</v>
      </c>
      <c r="S645" s="1697">
        <f>+IF(COLUMNS($L645:S645)&lt;month,VLOOKUP("Month "&amp;(COLUMNS($L645:S645)-month+13),X_baseline_Tx,23,FALSE)*52*3/12*(1-homemiss),0)</f>
        <v>74.099999999999994</v>
      </c>
      <c r="T645" s="1697">
        <f>+IF(COLUMNS($L645:T645)&lt;month,VLOOKUP("Month "&amp;(COLUMNS($L645:T645)-month+13),X_baseline_Tx,23,FALSE)*52*3/12*(1-homemiss),0)</f>
        <v>74.099999999999994</v>
      </c>
      <c r="U645" s="1697">
        <f>+IF(COLUMNS($L645:U645)&lt;month,VLOOKUP("Month "&amp;(COLUMNS($L645:U645)-month+13),X_baseline_Tx,23,FALSE)*52*3/12*(1-homemiss),0)</f>
        <v>74.099999999999994</v>
      </c>
      <c r="V645" s="1697">
        <f>+IF(COLUMNS($L645:V645)&lt;month,VLOOKUP("Month "&amp;(COLUMNS($L645:V645)-month+13),X_baseline_Tx,23,FALSE)*52*3/12*(1-homemiss),0)</f>
        <v>0</v>
      </c>
      <c r="W645" s="1697">
        <f>+IF(COLUMNS($L645:W645)&lt;month,VLOOKUP("Month "&amp;(COLUMNS($L645:W645)-month+13),X_baseline_Tx,23,FALSE)*52*3/12*(1-homemiss),0)</f>
        <v>0</v>
      </c>
      <c r="Y645" s="99"/>
    </row>
    <row r="646" spans="1:26">
      <c r="A646" s="4" t="s">
        <v>3767</v>
      </c>
      <c r="B646" s="4" t="str">
        <f>+$B$460</f>
        <v>X10_11032_00494</v>
      </c>
      <c r="C646" s="4"/>
      <c r="D646" s="4"/>
      <c r="E646" s="4"/>
      <c r="F646" s="4"/>
      <c r="G646" s="4"/>
      <c r="H646" s="4"/>
      <c r="I646" s="4"/>
      <c r="J646" s="4"/>
      <c r="K646" s="4" t="str">
        <f>+"FY"&amp;RIGHT(YEAR('Hyperion Panel'!$B$9)+5,2)</f>
        <v>FY15</v>
      </c>
      <c r="L646" s="1698"/>
      <c r="M646" s="1698"/>
      <c r="N646" s="1698"/>
      <c r="O646" s="1698"/>
      <c r="P646" s="1698"/>
      <c r="Q646" s="1698"/>
      <c r="R646" s="1698"/>
      <c r="S646" s="1698"/>
      <c r="T646" s="1698"/>
      <c r="U646" s="1698"/>
      <c r="V646" s="1699"/>
      <c r="W646" s="1698"/>
      <c r="Y646" s="99"/>
    </row>
    <row r="647" spans="1:26">
      <c r="A647" s="101" t="s">
        <v>463</v>
      </c>
      <c r="B647" s="4"/>
      <c r="C647" s="4"/>
      <c r="D647" s="4"/>
      <c r="E647" s="4"/>
      <c r="F647" s="4"/>
      <c r="G647" s="4"/>
      <c r="H647" s="4"/>
      <c r="I647" s="4"/>
      <c r="J647" s="4"/>
      <c r="K647" s="4"/>
      <c r="L647" s="1698">
        <f>+IF(COLUMNS($L647:L647)&lt;month,VLOOKUP("Month "&amp;(COLUMNS($L647:L647)-month+13),X_baseline_Tx,33,FALSE)*52*3/12*(1-hhdmiss),0)</f>
        <v>65</v>
      </c>
      <c r="M647" s="1698">
        <f>+IF(COLUMNS($L647:M647)&lt;month,VLOOKUP("Month "&amp;(COLUMNS($L647:M647)-month+13),X_baseline_Tx,33,FALSE)*52*3/12*(1-hhdmiss),0)</f>
        <v>65</v>
      </c>
      <c r="N647" s="1698">
        <f>+IF(COLUMNS($L647:N647)&lt;month,VLOOKUP("Month "&amp;(COLUMNS($L647:N647)-month+13),X_baseline_Tx,33,FALSE)*52*3/12*(1-hhdmiss),0)</f>
        <v>65</v>
      </c>
      <c r="O647" s="1698">
        <f>+IF(COLUMNS($L647:O647)&lt;month,VLOOKUP("Month "&amp;(COLUMNS($L647:O647)-month+13),X_baseline_Tx,33,FALSE)*52*3/12*(1-hhdmiss),0)</f>
        <v>65</v>
      </c>
      <c r="P647" s="1698">
        <f>+IF(COLUMNS($L647:P647)&lt;month,VLOOKUP("Month "&amp;(COLUMNS($L647:P647)-month+13),X_baseline_Tx,33,FALSE)*52*3/12*(1-hhdmiss),0)</f>
        <v>65</v>
      </c>
      <c r="Q647" s="1698">
        <f>+IF(COLUMNS($L647:Q647)&lt;month,VLOOKUP("Month "&amp;(COLUMNS($L647:Q647)-month+13),X_baseline_Tx,33,FALSE)*52*3/12*(1-hhdmiss),0)</f>
        <v>65</v>
      </c>
      <c r="R647" s="1698">
        <f>+IF(COLUMNS($L647:R647)&lt;month,VLOOKUP("Month "&amp;(COLUMNS($L647:R647)-month+13),X_baseline_Tx,33,FALSE)*52*3/12*(1-hhdmiss),0)</f>
        <v>65</v>
      </c>
      <c r="S647" s="1698">
        <f>+IF(COLUMNS($L647:S647)&lt;month,VLOOKUP("Month "&amp;(COLUMNS($L647:S647)-month+13),X_baseline_Tx,33,FALSE)*52*3/12*(1-hhdmiss),0)</f>
        <v>65</v>
      </c>
      <c r="T647" s="1698">
        <f>+IF(COLUMNS($L647:T647)&lt;month,VLOOKUP("Month "&amp;(COLUMNS($L647:T647)-month+13),X_baseline_Tx,33,FALSE)*52*3/12*(1-hhdmiss),0)</f>
        <v>65</v>
      </c>
      <c r="U647" s="1698">
        <f>+IF(COLUMNS($L647:U647)&lt;month,VLOOKUP("Month "&amp;(COLUMNS($L647:U647)-month+13),X_baseline_Tx,33,FALSE)*52*3/12*(1-hhdmiss),0)</f>
        <v>65</v>
      </c>
      <c r="V647" s="1699">
        <f>+IF(COLUMNS($L647:V647)&lt;month,VLOOKUP("Month "&amp;(COLUMNS($L647:V647)-month+13),X_baseline_Tx,33,FALSE)*52*3/12*(1-hhdmiss),0)</f>
        <v>0</v>
      </c>
      <c r="W647" s="1698">
        <f>+IF(COLUMNS($L647:W647)&lt;month,VLOOKUP("Month "&amp;(COLUMNS($L647:W647)-month+13),X_baseline_Tx,33,FALSE)*52*3/12*(1-hhdmiss),0)</f>
        <v>0</v>
      </c>
      <c r="Y647" s="99"/>
    </row>
    <row r="648" spans="1:26">
      <c r="A648" s="101" t="s">
        <v>464</v>
      </c>
      <c r="B648" s="4"/>
      <c r="C648" s="4"/>
      <c r="D648" s="4"/>
      <c r="E648" s="4"/>
      <c r="F648" s="4"/>
      <c r="G648" s="4"/>
      <c r="H648" s="4"/>
      <c r="I648" s="4"/>
      <c r="J648" s="4"/>
      <c r="K648" s="4"/>
      <c r="L648" s="1698">
        <f>+IF(COLUMNS($L648:L648)&lt;month,VLOOKUP("Month "&amp;(COLUMNS($L648:L648)-month+13),X_baseline_Tx,34,FALSE)*52*4.3/12*(1-hhdmiss),0)</f>
        <v>0</v>
      </c>
      <c r="M648" s="1698">
        <f>+IF(COLUMNS($L648:M648)&lt;month,VLOOKUP("Month "&amp;(COLUMNS($L648:M648)-month+13),X_baseline_Tx,34,FALSE)*52*4.3/12*(1-hhdmiss),0)</f>
        <v>0</v>
      </c>
      <c r="N648" s="1698">
        <f>+IF(COLUMNS($L648:N648)&lt;month,VLOOKUP("Month "&amp;(COLUMNS($L648:N648)-month+13),X_baseline_Tx,34,FALSE)*52*4.3/12*(1-hhdmiss),0)</f>
        <v>0</v>
      </c>
      <c r="O648" s="1698">
        <f>+IF(COLUMNS($L648:O648)&lt;month,VLOOKUP("Month "&amp;(COLUMNS($L648:O648)-month+13),X_baseline_Tx,34,FALSE)*52*4.3/12*(1-hhdmiss),0)</f>
        <v>0</v>
      </c>
      <c r="P648" s="1698">
        <f>+IF(COLUMNS($L648:P648)&lt;month,VLOOKUP("Month "&amp;(COLUMNS($L648:P648)-month+13),X_baseline_Tx,34,FALSE)*52*4.3/12*(1-hhdmiss),0)</f>
        <v>0</v>
      </c>
      <c r="Q648" s="1698">
        <f>+IF(COLUMNS($L648:Q648)&lt;month,VLOOKUP("Month "&amp;(COLUMNS($L648:Q648)-month+13),X_baseline_Tx,34,FALSE)*52*4.3/12*(1-hhdmiss),0)</f>
        <v>0</v>
      </c>
      <c r="R648" s="1698">
        <f>+IF(COLUMNS($L648:R648)&lt;month,VLOOKUP("Month "&amp;(COLUMNS($L648:R648)-month+13),X_baseline_Tx,34,FALSE)*52*4.3/12*(1-hhdmiss),0)</f>
        <v>0</v>
      </c>
      <c r="S648" s="1698">
        <f>+IF(COLUMNS($L648:S648)&lt;month,VLOOKUP("Month "&amp;(COLUMNS($L648:S648)-month+13),X_baseline_Tx,34,FALSE)*52*4.3/12*(1-hhdmiss),0)</f>
        <v>0</v>
      </c>
      <c r="T648" s="1698">
        <f>+IF(COLUMNS($L648:T648)&lt;month,VLOOKUP("Month "&amp;(COLUMNS($L648:T648)-month+13),X_baseline_Tx,34,FALSE)*52*4.3/12*(1-hhdmiss),0)</f>
        <v>0</v>
      </c>
      <c r="U648" s="1698">
        <f>+IF(COLUMNS($L648:U648)&lt;month,VLOOKUP("Month "&amp;(COLUMNS($L648:U648)-month+13),X_baseline_Tx,34,FALSE)*52*4.3/12*(1-hhdmiss),0)</f>
        <v>0</v>
      </c>
      <c r="V648" s="1698">
        <f>+IF(COLUMNS($L648:V648)&lt;month,VLOOKUP("Month "&amp;(COLUMNS($L648:V648)-month+13),X_baseline_Tx,34,FALSE)*52*4.3/12*(1-hhdmiss),0)</f>
        <v>0</v>
      </c>
      <c r="W648" s="1698">
        <f>+IF(COLUMNS($L648:W648)&lt;month,VLOOKUP("Month "&amp;(COLUMNS($L648:W648)-month+13),X_baseline_Tx,34,FALSE)*52*4.3/12*(1-hhdmiss),0)</f>
        <v>0</v>
      </c>
      <c r="Y648" s="99"/>
    </row>
    <row r="649" spans="1:26">
      <c r="A649" s="98" t="s">
        <v>163</v>
      </c>
      <c r="B649" t="str">
        <f>+$B$460</f>
        <v>X10_11032_00494</v>
      </c>
      <c r="C649" t="str">
        <f>+$C$460</f>
        <v>LE_XXXX</v>
      </c>
      <c r="D649" t="s">
        <v>2886</v>
      </c>
      <c r="E649">
        <v>3010</v>
      </c>
      <c r="F649" t="s">
        <v>2888</v>
      </c>
      <c r="G649" t="s">
        <v>2889</v>
      </c>
      <c r="H649" t="s">
        <v>145</v>
      </c>
      <c r="I649" t="s">
        <v>146</v>
      </c>
      <c r="J649" t="s">
        <v>147</v>
      </c>
      <c r="K649" t="str">
        <f>+"FY"&amp;RIGHT(YEAR('Hyperion Panel'!$B$9)+5,2)</f>
        <v>FY15</v>
      </c>
      <c r="L649" s="1612"/>
      <c r="M649" s="1612"/>
      <c r="N649" s="1612"/>
      <c r="O649" s="1612"/>
      <c r="P649" s="1612"/>
      <c r="Q649" s="1612"/>
      <c r="R649" s="1612"/>
      <c r="S649" s="1612"/>
      <c r="T649" s="1612"/>
      <c r="U649" s="1612"/>
      <c r="V649" s="1702"/>
      <c r="W649" s="1612"/>
    </row>
    <row r="650" spans="1:26" s="98" customFormat="1">
      <c r="A650" s="100" t="s">
        <v>463</v>
      </c>
      <c r="L650" s="1697">
        <f>+IF(COLUMNS($L650:L650)&lt;month,'6. Market'!$N$15*L641,0)</f>
        <v>151233.54597194196</v>
      </c>
      <c r="M650" s="1697">
        <f>+IF(COLUMNS($L650:M650)&lt;month,'6. Market'!$N$15*M641,0)</f>
        <v>151233.54597194196</v>
      </c>
      <c r="N650" s="1697">
        <f>+IF(COLUMNS($L650:N650)&lt;month,'6. Market'!$N$15*N641,0)</f>
        <v>151233.54597194196</v>
      </c>
      <c r="O650" s="1697">
        <f>+IF(COLUMNS($L650:O650)&lt;month,'6. Market'!$N$15*O641,0)</f>
        <v>151233.54597194196</v>
      </c>
      <c r="P650" s="1697">
        <f>+IF(COLUMNS($L650:P650)&lt;month,'6. Market'!$N$15*P641,0)</f>
        <v>151233.54597194196</v>
      </c>
      <c r="Q650" s="1697">
        <f>+IF(COLUMNS($L650:Q650)&lt;month,'6. Market'!$N$15*Q641,0)</f>
        <v>151233.54597194196</v>
      </c>
      <c r="R650" s="1697">
        <f>+IF(COLUMNS($L650:R650)&lt;month,'6. Market'!$N$15*R641,0)</f>
        <v>151233.54597194196</v>
      </c>
      <c r="S650" s="1697">
        <f>+IF(COLUMNS($L650:S650)&lt;month,'6. Market'!$N$15*S641,0)</f>
        <v>151233.54597194196</v>
      </c>
      <c r="T650" s="1697">
        <f>+IF(COLUMNS($L650:T650)&lt;month,'6. Market'!$N$15*T641,0)</f>
        <v>151233.54597194196</v>
      </c>
      <c r="U650" s="1697">
        <f>+IF(COLUMNS($L650:U650)&lt;month,'6. Market'!$N$15*U641,0)</f>
        <v>151233.54597194196</v>
      </c>
      <c r="V650" s="1700">
        <f>+IF(COLUMNS($L650:V650)&lt;month,'6. Market'!$N$15*V641,0)</f>
        <v>0</v>
      </c>
      <c r="W650" s="1697">
        <f>+IF(COLUMNS($L650:W650)&lt;month,'6. Market'!$N$15*W641,0)</f>
        <v>0</v>
      </c>
      <c r="Y650" s="99"/>
      <c r="Z650" s="97"/>
    </row>
    <row r="651" spans="1:26" s="98" customFormat="1">
      <c r="A651" s="100" t="s">
        <v>464</v>
      </c>
      <c r="L651" s="1697">
        <f>+IF(COLUMNS($L651:L651)&lt;month,'6. Market'!$N$23*L642,0)</f>
        <v>26629.388254183046</v>
      </c>
      <c r="M651" s="1697">
        <f>+IF(COLUMNS($L651:M651)&lt;month,'6. Market'!$N$23*M642,0)</f>
        <v>26629.388254183046</v>
      </c>
      <c r="N651" s="1697">
        <f>+IF(COLUMNS($L651:N651)&lt;month,'6. Market'!$N$23*N642,0)</f>
        <v>26629.388254183046</v>
      </c>
      <c r="O651" s="1697">
        <f>+IF(COLUMNS($L651:O651)&lt;month,'6. Market'!$N$23*O642,0)</f>
        <v>26629.388254183046</v>
      </c>
      <c r="P651" s="1697">
        <f>+IF(COLUMNS($L651:P651)&lt;month,'6. Market'!$N$23*P642,0)</f>
        <v>26629.388254183046</v>
      </c>
      <c r="Q651" s="1697">
        <f>+IF(COLUMNS($L651:Q651)&lt;month,'6. Market'!$N$23*Q642,0)</f>
        <v>26629.388254183046</v>
      </c>
      <c r="R651" s="1697">
        <f>+IF(COLUMNS($L651:R651)&lt;month,'6. Market'!$N$23*R642,0)</f>
        <v>26629.388254183046</v>
      </c>
      <c r="S651" s="1697">
        <f>+IF(COLUMNS($L651:S651)&lt;month,'6. Market'!$N$23*S642,0)</f>
        <v>26629.388254183046</v>
      </c>
      <c r="T651" s="1697">
        <f>+IF(COLUMNS($L651:T651)&lt;month,'6. Market'!$N$23*T642,0)</f>
        <v>26629.388254183046</v>
      </c>
      <c r="U651" s="1697">
        <f>+IF(COLUMNS($L651:U651)&lt;month,'6. Market'!$N$23*U642,0)</f>
        <v>26629.388254183046</v>
      </c>
      <c r="V651" s="1700">
        <f>+IF(COLUMNS($L651:V651)&lt;month,'6. Market'!$N$23*V642,0)</f>
        <v>0</v>
      </c>
      <c r="W651" s="1697">
        <f>+IF(COLUMNS($L651:W651)&lt;month,'6. Market'!$N$23*W642,0)</f>
        <v>0</v>
      </c>
      <c r="Y651" s="99"/>
      <c r="Z651" s="97"/>
    </row>
    <row r="652" spans="1:26">
      <c r="A652" s="98" t="s">
        <v>164</v>
      </c>
      <c r="B652" t="str">
        <f>+$B$460</f>
        <v>X10_11032_00494</v>
      </c>
      <c r="C652" t="str">
        <f>+$C$460</f>
        <v>LE_XXXX</v>
      </c>
      <c r="D652" t="s">
        <v>2886</v>
      </c>
      <c r="E652">
        <v>3030</v>
      </c>
      <c r="F652" t="s">
        <v>150</v>
      </c>
      <c r="G652" t="s">
        <v>2889</v>
      </c>
      <c r="H652" t="s">
        <v>145</v>
      </c>
      <c r="I652" t="s">
        <v>146</v>
      </c>
      <c r="J652" t="s">
        <v>147</v>
      </c>
      <c r="K652" t="str">
        <f>+"FY"&amp;RIGHT(YEAR('Hyperion Panel'!$B$9)+5,2)</f>
        <v>FY15</v>
      </c>
      <c r="L652" s="1612"/>
      <c r="M652" s="1612"/>
      <c r="N652" s="1612"/>
      <c r="O652" s="1612"/>
      <c r="P652" s="1612"/>
      <c r="Q652" s="1612"/>
      <c r="R652" s="1612"/>
      <c r="S652" s="1612"/>
      <c r="T652" s="1612"/>
      <c r="U652" s="1612"/>
      <c r="V652" s="1703"/>
      <c r="W652" s="1612"/>
    </row>
    <row r="653" spans="1:26" s="98" customFormat="1">
      <c r="A653" s="100" t="s">
        <v>463</v>
      </c>
      <c r="L653" s="1697">
        <f>+IF(COLUMNS($L653:L653)&lt;month,'6. Market'!$N$32*L644,0)</f>
        <v>44359.587749293016</v>
      </c>
      <c r="M653" s="1697">
        <f>+IF(COLUMNS($L653:M653)&lt;month,'6. Market'!$N$32*M644,0)</f>
        <v>44359.587749293016</v>
      </c>
      <c r="N653" s="1697">
        <f>+IF(COLUMNS($L653:N653)&lt;month,'6. Market'!$N$32*N644,0)</f>
        <v>44359.587749293016</v>
      </c>
      <c r="O653" s="1697">
        <f>+IF(COLUMNS($L653:O653)&lt;month,'6. Market'!$N$32*O644,0)</f>
        <v>44359.587749293016</v>
      </c>
      <c r="P653" s="1697">
        <f>+IF(COLUMNS($L653:P653)&lt;month,'6. Market'!$N$32*P644,0)</f>
        <v>44359.587749293016</v>
      </c>
      <c r="Q653" s="1697">
        <f>+IF(COLUMNS($L653:Q653)&lt;month,'6. Market'!$N$32*Q644,0)</f>
        <v>44359.587749293016</v>
      </c>
      <c r="R653" s="1697">
        <f>+IF(COLUMNS($L653:R653)&lt;month,'6. Market'!$N$32*R644,0)</f>
        <v>44359.587749293016</v>
      </c>
      <c r="S653" s="1697">
        <f>+IF(COLUMNS($L653:S653)&lt;month,'6. Market'!$N$32*S644,0)</f>
        <v>44359.587749293016</v>
      </c>
      <c r="T653" s="1697">
        <f>+IF(COLUMNS($L653:T653)&lt;month,'6. Market'!$N$32*T644,0)</f>
        <v>44359.587749293016</v>
      </c>
      <c r="U653" s="1697">
        <f>+IF(COLUMNS($L653:U653)&lt;month,'6. Market'!$N$32*U644,0)</f>
        <v>44359.587749293016</v>
      </c>
      <c r="V653" s="1697">
        <f>+IF(COLUMNS($L653:V653)&lt;month,'6. Market'!$N$32*V644,0)</f>
        <v>0</v>
      </c>
      <c r="W653" s="1697">
        <f>+IF(COLUMNS($L653:W653)&lt;month,'6. Market'!$N$32*W644,0)</f>
        <v>0</v>
      </c>
      <c r="Y653" s="99"/>
    </row>
    <row r="654" spans="1:26" s="98" customFormat="1">
      <c r="A654" s="100" t="s">
        <v>464</v>
      </c>
      <c r="L654" s="1697">
        <f>+IF(COLUMNS($L654:L654)&lt;month,'6. Market'!$N$40*L645,0)</f>
        <v>82493.213613501837</v>
      </c>
      <c r="M654" s="1697">
        <f>+IF(COLUMNS($L654:M654)&lt;month,'6. Market'!$N$40*M645,0)</f>
        <v>82493.213613501837</v>
      </c>
      <c r="N654" s="1697">
        <f>+IF(COLUMNS($L654:N654)&lt;month,'6. Market'!$N$40*N645,0)</f>
        <v>82493.213613501837</v>
      </c>
      <c r="O654" s="1697">
        <f>+IF(COLUMNS($L654:O654)&lt;month,'6. Market'!$N$40*O645,0)</f>
        <v>82493.213613501837</v>
      </c>
      <c r="P654" s="1697">
        <f>+IF(COLUMNS($L654:P654)&lt;month,'6. Market'!$N$40*P645,0)</f>
        <v>82493.213613501837</v>
      </c>
      <c r="Q654" s="1697">
        <f>+IF(COLUMNS($L654:Q654)&lt;month,'6. Market'!$N$40*Q645,0)</f>
        <v>82493.213613501837</v>
      </c>
      <c r="R654" s="1697">
        <f>+IF(COLUMNS($L654:R654)&lt;month,'6. Market'!$N$40*R645,0)</f>
        <v>82493.213613501837</v>
      </c>
      <c r="S654" s="1697">
        <f>+IF(COLUMNS($L654:S654)&lt;month,'6. Market'!$N$40*S645,0)</f>
        <v>82493.213613501837</v>
      </c>
      <c r="T654" s="1697">
        <f>+IF(COLUMNS($L654:T654)&lt;month,'6. Market'!$N$40*T645,0)</f>
        <v>82493.213613501837</v>
      </c>
      <c r="U654" s="1697">
        <f>+IF(COLUMNS($L654:U654)&lt;month,'6. Market'!$N$40*U645,0)</f>
        <v>82493.213613501837</v>
      </c>
      <c r="V654" s="1697">
        <f>+IF(COLUMNS($L654:V654)&lt;month,'6. Market'!$N$40*V645,0)</f>
        <v>0</v>
      </c>
      <c r="W654" s="1697">
        <f>+IF(COLUMNS($L654:W654)&lt;month,'6. Market'!$N$40*W645,0)</f>
        <v>0</v>
      </c>
      <c r="Y654" s="99"/>
    </row>
    <row r="655" spans="1:26">
      <c r="A655" s="4" t="s">
        <v>3768</v>
      </c>
      <c r="B655" s="4" t="str">
        <f>+$B$460</f>
        <v>X10_11032_00494</v>
      </c>
      <c r="C655" s="4"/>
      <c r="D655" s="4"/>
      <c r="E655" s="4"/>
      <c r="F655" s="4"/>
      <c r="G655" s="4"/>
      <c r="H655" s="4"/>
      <c r="I655" s="4"/>
      <c r="J655" s="4"/>
      <c r="K655" s="4" t="str">
        <f>+"FY"&amp;RIGHT(YEAR('Hyperion Panel'!$B$9)+5,2)</f>
        <v>FY15</v>
      </c>
      <c r="L655" s="1698"/>
      <c r="M655" s="1698"/>
      <c r="N655" s="1698"/>
      <c r="O655" s="1698"/>
      <c r="P655" s="1698"/>
      <c r="Q655" s="1698"/>
      <c r="R655" s="1698"/>
      <c r="S655" s="1698"/>
      <c r="T655" s="1698"/>
      <c r="U655" s="1698"/>
      <c r="V655" s="1699"/>
      <c r="W655" s="1698"/>
    </row>
    <row r="656" spans="1:26">
      <c r="A656" s="101" t="s">
        <v>463</v>
      </c>
      <c r="B656" s="4"/>
      <c r="C656" s="4"/>
      <c r="D656" s="4"/>
      <c r="E656" s="4"/>
      <c r="F656" s="4"/>
      <c r="G656" s="4"/>
      <c r="H656" s="4"/>
      <c r="I656" s="4"/>
      <c r="J656" s="4"/>
      <c r="K656" s="4"/>
      <c r="L656" s="1698">
        <f>+IF(COLUMNS($L656:L656)&lt;month,'6. Market'!$N$49*L647,0)</f>
        <v>17222.44873882411</v>
      </c>
      <c r="M656" s="1698">
        <f>+IF(COLUMNS($L656:M656)&lt;month,'6. Market'!$N$49*M647,0)</f>
        <v>17222.44873882411</v>
      </c>
      <c r="N656" s="1698">
        <f>+IF(COLUMNS($L656:N656)&lt;month,'6. Market'!$N$49*N647,0)</f>
        <v>17222.44873882411</v>
      </c>
      <c r="O656" s="1698">
        <f>+IF(COLUMNS($L656:O656)&lt;month,'6. Market'!$N$49*O647,0)</f>
        <v>17222.44873882411</v>
      </c>
      <c r="P656" s="1698">
        <f>+IF(COLUMNS($L656:P656)&lt;month,'6. Market'!$N$49*P647,0)</f>
        <v>17222.44873882411</v>
      </c>
      <c r="Q656" s="1698">
        <f>+IF(COLUMNS($L656:Q656)&lt;month,'6. Market'!$N$49*Q647,0)</f>
        <v>17222.44873882411</v>
      </c>
      <c r="R656" s="1698">
        <f>+IF(COLUMNS($L656:R656)&lt;month,'6. Market'!$N$49*R647,0)</f>
        <v>17222.44873882411</v>
      </c>
      <c r="S656" s="1698">
        <f>+IF(COLUMNS($L656:S656)&lt;month,'6. Market'!$N$49*S647,0)</f>
        <v>17222.44873882411</v>
      </c>
      <c r="T656" s="1698">
        <f>+IF(COLUMNS($L656:T656)&lt;month,'6. Market'!$N$49*T647,0)</f>
        <v>17222.44873882411</v>
      </c>
      <c r="U656" s="1698">
        <f>+IF(COLUMNS($L656:U656)&lt;month,'6. Market'!$N$49*U647,0)</f>
        <v>17222.44873882411</v>
      </c>
      <c r="V656" s="1699">
        <f>+IF(COLUMNS($L656:V656)&lt;month,'6. Market'!$N$49*V647,0)</f>
        <v>0</v>
      </c>
      <c r="W656" s="1698">
        <f>+IF(COLUMNS($L656:W656)&lt;month,'6. Market'!$N$49*W647,0)</f>
        <v>0</v>
      </c>
      <c r="Y656" s="99"/>
    </row>
    <row r="657" spans="1:25">
      <c r="A657" s="101" t="s">
        <v>464</v>
      </c>
      <c r="B657" s="4"/>
      <c r="C657" s="4"/>
      <c r="D657" s="4"/>
      <c r="E657" s="4"/>
      <c r="F657" s="4"/>
      <c r="G657" s="4"/>
      <c r="H657" s="4"/>
      <c r="I657" s="4"/>
      <c r="J657" s="4"/>
      <c r="K657" s="4"/>
      <c r="L657" s="1698">
        <f>+IF(COLUMNS($L657:L657)&lt;month,'6. Market'!$N$57*L648,0)</f>
        <v>0</v>
      </c>
      <c r="M657" s="1698">
        <f>+IF(COLUMNS($L657:M657)&lt;month,'6. Market'!$N$57*M648,0)</f>
        <v>0</v>
      </c>
      <c r="N657" s="1698">
        <f>+IF(COLUMNS($L657:N657)&lt;month,'6. Market'!$N$57*N648,0)</f>
        <v>0</v>
      </c>
      <c r="O657" s="1698">
        <f>+IF(COLUMNS($L657:O657)&lt;month,'6. Market'!$N$57*O648,0)</f>
        <v>0</v>
      </c>
      <c r="P657" s="1698">
        <f>+IF(COLUMNS($L657:P657)&lt;month,'6. Market'!$N$57*P648,0)</f>
        <v>0</v>
      </c>
      <c r="Q657" s="1698">
        <f>+IF(COLUMNS($L657:Q657)&lt;month,'6. Market'!$N$57*Q648,0)</f>
        <v>0</v>
      </c>
      <c r="R657" s="1698">
        <f>+IF(COLUMNS($L657:R657)&lt;month,'6. Market'!$N$57*R648,0)</f>
        <v>0</v>
      </c>
      <c r="S657" s="1698">
        <f>+IF(COLUMNS($L657:S657)&lt;month,'6. Market'!$N$57*S648,0)</f>
        <v>0</v>
      </c>
      <c r="T657" s="1698">
        <f>+IF(COLUMNS($L657:T657)&lt;month,'6. Market'!$N$57*T648,0)</f>
        <v>0</v>
      </c>
      <c r="U657" s="1698">
        <f>+IF(COLUMNS($L657:U657)&lt;month,'6. Market'!$N$57*U648,0)</f>
        <v>0</v>
      </c>
      <c r="V657" s="1699">
        <f>+IF(COLUMNS($L657:V657)&lt;month,'6. Market'!$N$57*V648,0)</f>
        <v>0</v>
      </c>
      <c r="W657" s="1698">
        <f>+IF(COLUMNS($L657:W657)&lt;month,'6. Market'!$N$57*W648,0)</f>
        <v>0</v>
      </c>
      <c r="Y657" s="99"/>
    </row>
    <row r="658" spans="1:25">
      <c r="A658" s="3" t="s">
        <v>2651</v>
      </c>
      <c r="B658" t="str">
        <f t="shared" ref="B658:B674" si="34">+$B$460</f>
        <v>X10_11032_00494</v>
      </c>
      <c r="C658" t="str">
        <f t="shared" ref="C658:C667" si="35">+$C$460</f>
        <v>LE_XXXX</v>
      </c>
      <c r="D658" t="s">
        <v>2886</v>
      </c>
      <c r="E658">
        <v>6010</v>
      </c>
      <c r="F658" t="s">
        <v>2888</v>
      </c>
      <c r="G658" t="s">
        <v>153</v>
      </c>
      <c r="H658" t="s">
        <v>154</v>
      </c>
      <c r="I658" t="s">
        <v>146</v>
      </c>
      <c r="J658" t="s">
        <v>147</v>
      </c>
      <c r="K658" t="str">
        <f>+"FY"&amp;RIGHT(YEAR('Hyperion Panel'!$B$9)+5,2)</f>
        <v>FY15</v>
      </c>
      <c r="L658" s="1697">
        <f>+IF(COLUMNS($L658:L658)&lt;month,'6. Market'!$N$107*SUM(L641:L642,L644:L645,L647:L648),0)</f>
        <v>43556.948751159733</v>
      </c>
      <c r="M658" s="1697">
        <f>+IF(COLUMNS($L658:M658)&lt;month,'6. Market'!$N$107*SUM(M641:M642,M644:M645,M647:M648),0)</f>
        <v>43556.948751159733</v>
      </c>
      <c r="N658" s="1697">
        <f>+IF(COLUMNS($L658:N658)&lt;month,'6. Market'!$N$107*SUM(N641:N642,N644:N645,N647:N648),0)</f>
        <v>43556.948751159733</v>
      </c>
      <c r="O658" s="1697">
        <f>+IF(COLUMNS($L658:O658)&lt;month,'6. Market'!$N$107*SUM(O641:O642,O644:O645,O647:O648),0)</f>
        <v>43556.948751159733</v>
      </c>
      <c r="P658" s="1697">
        <f>+IF(COLUMNS($L658:P658)&lt;month,'6. Market'!$N$107*SUM(P641:P642,P644:P645,P647:P648),0)</f>
        <v>43556.948751159733</v>
      </c>
      <c r="Q658" s="1697">
        <f>+IF(COLUMNS($L658:Q658)&lt;month,'6. Market'!$N$107*SUM(Q641:Q642,Q644:Q645,Q647:Q648),0)</f>
        <v>43556.948751159733</v>
      </c>
      <c r="R658" s="1697">
        <f>+IF(COLUMNS($L658:R658)&lt;month,'6. Market'!$N$107*SUM(R641:R642,R644:R645,R647:R648),0)</f>
        <v>43556.948751159733</v>
      </c>
      <c r="S658" s="1697">
        <f>+IF(COLUMNS($L658:S658)&lt;month,'6. Market'!$N$107*SUM(S641:S642,S644:S645,S647:S648),0)</f>
        <v>43556.948751159733</v>
      </c>
      <c r="T658" s="1697">
        <f>+IF(COLUMNS($L658:T658)&lt;month,'6. Market'!$N$107*SUM(T641:T642,T644:T645,T647:T648),0)</f>
        <v>43556.948751159733</v>
      </c>
      <c r="U658" s="1697">
        <f>+IF(COLUMNS($L658:U658)&lt;month,'6. Market'!$N$107*SUM(U641:U642,U644:U645,U647:U648),0)</f>
        <v>43556.948751159733</v>
      </c>
      <c r="V658" s="1700">
        <f>+IF(COLUMNS($L658:V658)&lt;month,'6. Market'!$N$107*SUM(V641:V642,V644:V645,V647:V648),0)</f>
        <v>0</v>
      </c>
      <c r="W658" s="1697">
        <f>+IF(COLUMNS($L658:W658)&lt;month,'6. Market'!$N$107*SUM(W641:W642,W644:W645,W647:W648),0)</f>
        <v>0</v>
      </c>
    </row>
    <row r="659" spans="1:25">
      <c r="A659" t="s">
        <v>2652</v>
      </c>
      <c r="B659" t="str">
        <f t="shared" si="34"/>
        <v>X10_11032_00494</v>
      </c>
      <c r="C659" t="str">
        <f t="shared" si="35"/>
        <v>LE_XXXX</v>
      </c>
      <c r="D659" t="s">
        <v>2886</v>
      </c>
      <c r="E659">
        <v>6010</v>
      </c>
      <c r="F659" t="s">
        <v>2888</v>
      </c>
      <c r="G659" t="s">
        <v>155</v>
      </c>
      <c r="H659" t="s">
        <v>154</v>
      </c>
      <c r="I659" t="s">
        <v>146</v>
      </c>
      <c r="J659" t="s">
        <v>147</v>
      </c>
      <c r="K659" t="str">
        <f>+"FY"&amp;RIGHT(YEAR('Hyperion Panel'!$B$9)+5,2)</f>
        <v>FY15</v>
      </c>
      <c r="L659" s="1612">
        <f>+IF(COLUMNS($L659:L659)&lt;month,'6. Market'!$N$74/12,0)</f>
        <v>16651.90284395</v>
      </c>
      <c r="M659" s="1612">
        <f>+IF(COLUMNS($L659:M659)&lt;month,'6. Market'!$N$74/12,0)</f>
        <v>16651.90284395</v>
      </c>
      <c r="N659" s="1612">
        <f>+IF(COLUMNS($L659:N659)&lt;month,'6. Market'!$N$74/12,0)</f>
        <v>16651.90284395</v>
      </c>
      <c r="O659" s="1612">
        <f>+IF(COLUMNS($L659:O659)&lt;month,'6. Market'!$N$74/12,0)</f>
        <v>16651.90284395</v>
      </c>
      <c r="P659" s="1612">
        <f>+IF(COLUMNS($L659:P659)&lt;month,'6. Market'!$N$74/12,0)</f>
        <v>16651.90284395</v>
      </c>
      <c r="Q659" s="1612">
        <f>+IF(COLUMNS($L659:Q659)&lt;month,'6. Market'!$N$74/12,0)</f>
        <v>16651.90284395</v>
      </c>
      <c r="R659" s="1612">
        <f>+IF(COLUMNS($L659:R659)&lt;month,'6. Market'!$N$74/12,0)</f>
        <v>16651.90284395</v>
      </c>
      <c r="S659" s="1612">
        <f>+IF(COLUMNS($L659:S659)&lt;month,'6. Market'!$N$74/12,0)</f>
        <v>16651.90284395</v>
      </c>
      <c r="T659" s="1612">
        <f>+IF(COLUMNS($L659:T659)&lt;month,'6. Market'!$N$74/12,0)</f>
        <v>16651.90284395</v>
      </c>
      <c r="U659" s="1612">
        <f>+IF(COLUMNS($L659:U659)&lt;month,'6. Market'!$N$74/12,0)</f>
        <v>16651.90284395</v>
      </c>
      <c r="V659" s="1703">
        <f>+IF(COLUMNS($L659:V659)&lt;month,'6. Market'!$N$74/12,0)</f>
        <v>0</v>
      </c>
      <c r="W659" s="1612">
        <f>+IF(COLUMNS($L659:W659)&lt;month,'6. Market'!$N$74/12,0)</f>
        <v>0</v>
      </c>
    </row>
    <row r="660" spans="1:25">
      <c r="A660" t="s">
        <v>2653</v>
      </c>
      <c r="B660" t="str">
        <f t="shared" si="34"/>
        <v>X10_11032_00494</v>
      </c>
      <c r="C660" t="str">
        <f t="shared" si="35"/>
        <v>LE_XXXX</v>
      </c>
      <c r="D660" t="s">
        <v>2886</v>
      </c>
      <c r="E660">
        <v>6051</v>
      </c>
      <c r="F660" t="s">
        <v>2888</v>
      </c>
      <c r="G660" t="s">
        <v>153</v>
      </c>
      <c r="H660" t="s">
        <v>154</v>
      </c>
      <c r="I660" t="s">
        <v>146</v>
      </c>
      <c r="J660" t="s">
        <v>147</v>
      </c>
      <c r="K660" t="str">
        <f>+"FY"&amp;RIGHT(YEAR('Hyperion Panel'!$B$9)+5,2)</f>
        <v>FY15</v>
      </c>
      <c r="L660" s="1612">
        <f>+IF(COLUMNS($L660:L660)&lt;month,'6. Market'!$N$75/12,0)</f>
        <v>21261.681231804134</v>
      </c>
      <c r="M660" s="1612">
        <f>+IF(COLUMNS($L660:M660)&lt;month,'6. Market'!$N$75/12,0)</f>
        <v>21261.681231804134</v>
      </c>
      <c r="N660" s="1612">
        <f>+IF(COLUMNS($L660:N660)&lt;month,'6. Market'!$N$75/12,0)</f>
        <v>21261.681231804134</v>
      </c>
      <c r="O660" s="1612">
        <f>+IF(COLUMNS($L660:O660)&lt;month,'6. Market'!$N$75/12,0)</f>
        <v>21261.681231804134</v>
      </c>
      <c r="P660" s="1612">
        <f>+IF(COLUMNS($L660:P660)&lt;month,'6. Market'!$N$75/12,0)</f>
        <v>21261.681231804134</v>
      </c>
      <c r="Q660" s="1612">
        <f>+IF(COLUMNS($L660:Q660)&lt;month,'6. Market'!$N$75/12,0)</f>
        <v>21261.681231804134</v>
      </c>
      <c r="R660" s="1612">
        <f>+IF(COLUMNS($L660:R660)&lt;month,'6. Market'!$N$75/12,0)</f>
        <v>21261.681231804134</v>
      </c>
      <c r="S660" s="1612">
        <f>+IF(COLUMNS($L660:S660)&lt;month,'6. Market'!$N$75/12,0)</f>
        <v>21261.681231804134</v>
      </c>
      <c r="T660" s="1612">
        <f>+IF(COLUMNS($L660:T660)&lt;month,'6. Market'!$N$75/12,0)</f>
        <v>21261.681231804134</v>
      </c>
      <c r="U660" s="1612">
        <f>+IF(COLUMNS($L660:U660)&lt;month,'6. Market'!$N$75/12,0)</f>
        <v>21261.681231804134</v>
      </c>
      <c r="V660" s="1703">
        <f>+IF(COLUMNS($L660:V660)&lt;month,'6. Market'!$N$75/12,0)</f>
        <v>0</v>
      </c>
      <c r="W660" s="1612">
        <f>+IF(COLUMNS($L660:W660)&lt;month,'6. Market'!$N$75/12,0)</f>
        <v>0</v>
      </c>
    </row>
    <row r="661" spans="1:25">
      <c r="A661" t="s">
        <v>2654</v>
      </c>
      <c r="B661" t="str">
        <f t="shared" si="34"/>
        <v>X10_11032_00494</v>
      </c>
      <c r="C661" t="str">
        <f t="shared" si="35"/>
        <v>LE_XXXX</v>
      </c>
      <c r="D661" t="s">
        <v>2886</v>
      </c>
      <c r="E661">
        <v>6011</v>
      </c>
      <c r="F661" t="s">
        <v>2888</v>
      </c>
      <c r="G661" t="s">
        <v>153</v>
      </c>
      <c r="H661" t="s">
        <v>154</v>
      </c>
      <c r="I661" t="s">
        <v>146</v>
      </c>
      <c r="J661" t="s">
        <v>147</v>
      </c>
      <c r="K661" t="str">
        <f>+"FY"&amp;RIGHT(YEAR('Hyperion Panel'!$B$9)+5,2)</f>
        <v>FY15</v>
      </c>
      <c r="L661" s="1612">
        <f>+IF(COLUMNS($L661:L661)&lt;month,'6. Market'!$N$76/12,0)</f>
        <v>0</v>
      </c>
      <c r="M661" s="1612">
        <f>+IF(COLUMNS($L661:M661)&lt;month,'6. Market'!$N$76/12,0)</f>
        <v>0</v>
      </c>
      <c r="N661" s="1612">
        <f>+IF(COLUMNS($L661:N661)&lt;month,'6. Market'!$N$76/12,0)</f>
        <v>0</v>
      </c>
      <c r="O661" s="1612">
        <f>+IF(COLUMNS($L661:O661)&lt;month,'6. Market'!$N$76/12,0)</f>
        <v>0</v>
      </c>
      <c r="P661" s="1612">
        <f>+IF(COLUMNS($L661:P661)&lt;month,'6. Market'!$N$76/12,0)</f>
        <v>0</v>
      </c>
      <c r="Q661" s="1612">
        <f>+IF(COLUMNS($L661:Q661)&lt;month,'6. Market'!$N$76/12,0)</f>
        <v>0</v>
      </c>
      <c r="R661" s="1612">
        <f>+IF(COLUMNS($L661:R661)&lt;month,'6. Market'!$N$76/12,0)</f>
        <v>0</v>
      </c>
      <c r="S661" s="1612">
        <f>+IF(COLUMNS($L661:S661)&lt;month,'6. Market'!$N$76/12,0)</f>
        <v>0</v>
      </c>
      <c r="T661" s="1612">
        <f>+IF(COLUMNS($L661:T661)&lt;month,'6. Market'!$N$76/12,0)</f>
        <v>0</v>
      </c>
      <c r="U661" s="1612">
        <f>+IF(COLUMNS($L661:U661)&lt;month,'6. Market'!$N$76/12,0)</f>
        <v>0</v>
      </c>
      <c r="V661" s="1703">
        <f>+IF(COLUMNS($L661:V661)&lt;month,'6. Market'!$N$76/12,0)</f>
        <v>0</v>
      </c>
      <c r="W661" s="1612">
        <f>+IF(COLUMNS($L661:W661)&lt;month,'6. Market'!$N$76/12,0)</f>
        <v>0</v>
      </c>
    </row>
    <row r="662" spans="1:25">
      <c r="A662" s="6" t="s">
        <v>3769</v>
      </c>
      <c r="B662" t="str">
        <f t="shared" si="34"/>
        <v>X10_11032_00494</v>
      </c>
      <c r="C662" t="str">
        <f t="shared" si="35"/>
        <v>LE_XXXX</v>
      </c>
      <c r="D662" t="s">
        <v>2886</v>
      </c>
      <c r="E662">
        <v>6600</v>
      </c>
      <c r="F662" t="s">
        <v>2888</v>
      </c>
      <c r="G662" t="s">
        <v>2889</v>
      </c>
      <c r="H662" t="s">
        <v>154</v>
      </c>
      <c r="I662" t="s">
        <v>146</v>
      </c>
      <c r="J662" t="s">
        <v>147</v>
      </c>
      <c r="K662" t="str">
        <f>+"FY"&amp;RIGHT(YEAR('Hyperion Panel'!$B$9)+5,2)</f>
        <v>FY15</v>
      </c>
      <c r="L662" s="1697">
        <f>+IF(COLUMNS($L662:L662)&lt;month,'6. Market'!$N$114*SUM(L641:L642,L644:L645),0)</f>
        <v>57324.402981826854</v>
      </c>
      <c r="M662" s="1697">
        <f>+IF(COLUMNS($L662:M662)&lt;month,'6. Market'!$N$114*SUM(M641:M642,M644:M645),0)</f>
        <v>57324.402981826854</v>
      </c>
      <c r="N662" s="1697">
        <f>+IF(COLUMNS($L662:N662)&lt;month,'6. Market'!$N$114*SUM(N641:N642,N644:N645),0)</f>
        <v>57324.402981826854</v>
      </c>
      <c r="O662" s="1697">
        <f>+IF(COLUMNS($L662:O662)&lt;month,'6. Market'!$N$114*SUM(O641:O642,O644:O645),0)</f>
        <v>57324.402981826854</v>
      </c>
      <c r="P662" s="1697">
        <f>+IF(COLUMNS($L662:P662)&lt;month,'6. Market'!$N$114*SUM(P641:P642,P644:P645),0)</f>
        <v>57324.402981826854</v>
      </c>
      <c r="Q662" s="1697">
        <f>+IF(COLUMNS($L662:Q662)&lt;month,'6. Market'!$N$114*SUM(Q641:Q642,Q644:Q645),0)</f>
        <v>57324.402981826854</v>
      </c>
      <c r="R662" s="1697">
        <f>+IF(COLUMNS($L662:R662)&lt;month,'6. Market'!$N$114*SUM(R641:R642,R644:R645),0)</f>
        <v>57324.402981826854</v>
      </c>
      <c r="S662" s="1697">
        <f>+IF(COLUMNS($L662:S662)&lt;month,'6. Market'!$N$114*SUM(S641:S642,S644:S645),0)</f>
        <v>57324.402981826854</v>
      </c>
      <c r="T662" s="1697">
        <f>+IF(COLUMNS($L662:T662)&lt;month,'6. Market'!$N$114*SUM(T641:T642,T644:T645),0)</f>
        <v>57324.402981826854</v>
      </c>
      <c r="U662" s="1697">
        <f>+IF(COLUMNS($L662:U662)&lt;month,'6. Market'!$N$114*SUM(U641:U642,U644:U645),0)</f>
        <v>57324.402981826854</v>
      </c>
      <c r="V662" s="1697">
        <f>+IF(COLUMNS($L662:V662)&lt;month,'6. Market'!$N$114*SUM(V641:V642,V644:V645),0)</f>
        <v>0</v>
      </c>
      <c r="W662" s="1697">
        <f>+IF(COLUMNS($L662:W662)&lt;month,'6. Market'!$N$114*SUM(W641:W642,W644:W645),0)</f>
        <v>0</v>
      </c>
    </row>
    <row r="663" spans="1:25">
      <c r="A663" s="6" t="s">
        <v>3770</v>
      </c>
      <c r="B663" t="str">
        <f t="shared" si="34"/>
        <v>X10_11032_00494</v>
      </c>
      <c r="C663" t="str">
        <f t="shared" si="35"/>
        <v>LE_XXXX</v>
      </c>
      <c r="D663" t="s">
        <v>2886</v>
      </c>
      <c r="E663">
        <v>6800</v>
      </c>
      <c r="F663" t="s">
        <v>156</v>
      </c>
      <c r="G663" t="s">
        <v>2889</v>
      </c>
      <c r="H663" t="s">
        <v>154</v>
      </c>
      <c r="I663" t="s">
        <v>146</v>
      </c>
      <c r="J663" t="s">
        <v>147</v>
      </c>
      <c r="K663" t="str">
        <f>+"FY"&amp;RIGHT(YEAR('Hyperion Panel'!$B$9)+5,2)</f>
        <v>FY15</v>
      </c>
      <c r="L663" s="1697">
        <f>+IF(COLUMNS($L663:L663)&lt;month,'6. Market'!$N$118*SUM(L641:L642,L644:L645),0)</f>
        <v>22089.25237332582</v>
      </c>
      <c r="M663" s="1697">
        <f>+IF(COLUMNS($L663:M663)&lt;month,'6. Market'!$N$118*SUM(M641:M642,M644:M645),0)</f>
        <v>22089.25237332582</v>
      </c>
      <c r="N663" s="1697">
        <f>+IF(COLUMNS($L663:N663)&lt;month,'6. Market'!$N$118*SUM(N641:N642,N644:N645),0)</f>
        <v>22089.25237332582</v>
      </c>
      <c r="O663" s="1697">
        <f>+IF(COLUMNS($L663:O663)&lt;month,'6. Market'!$N$118*SUM(O641:O642,O644:O645),0)</f>
        <v>22089.25237332582</v>
      </c>
      <c r="P663" s="1697">
        <f>+IF(COLUMNS($L663:P663)&lt;month,'6. Market'!$N$118*SUM(P641:P642,P644:P645),0)</f>
        <v>22089.25237332582</v>
      </c>
      <c r="Q663" s="1697">
        <f>+IF(COLUMNS($L663:Q663)&lt;month,'6. Market'!$N$118*SUM(Q641:Q642,Q644:Q645),0)</f>
        <v>22089.25237332582</v>
      </c>
      <c r="R663" s="1697">
        <f>+IF(COLUMNS($L663:R663)&lt;month,'6. Market'!$N$118*SUM(R641:R642,R644:R645),0)</f>
        <v>22089.25237332582</v>
      </c>
      <c r="S663" s="1697">
        <f>+IF(COLUMNS($L663:S663)&lt;month,'6. Market'!$N$118*SUM(S641:S642,S644:S645),0)</f>
        <v>22089.25237332582</v>
      </c>
      <c r="T663" s="1697">
        <f>+IF(COLUMNS($L663:T663)&lt;month,'6. Market'!$N$118*SUM(T641:T642,T644:T645),0)</f>
        <v>22089.25237332582</v>
      </c>
      <c r="U663" s="1697">
        <f>+IF(COLUMNS($L663:U663)&lt;month,'6. Market'!$N$118*SUM(U641:U642,U644:U645),0)</f>
        <v>22089.25237332582</v>
      </c>
      <c r="V663" s="1697">
        <f>+IF(COLUMNS($L663:V663)&lt;month,'6. Market'!$N$118*SUM(V641:V642,V644:V645),0)</f>
        <v>0</v>
      </c>
      <c r="W663" s="1697">
        <f>+IF(COLUMNS($L663:W663)&lt;month,'6. Market'!$N$118*SUM(W641:W642,W644:W645),0)</f>
        <v>0</v>
      </c>
    </row>
    <row r="664" spans="1:25">
      <c r="A664" t="s">
        <v>3697</v>
      </c>
      <c r="B664" t="str">
        <f t="shared" si="34"/>
        <v>X10_11032_00494</v>
      </c>
      <c r="C664" t="str">
        <f t="shared" si="35"/>
        <v>LE_XXXX</v>
      </c>
      <c r="D664" t="s">
        <v>2886</v>
      </c>
      <c r="E664">
        <v>8600</v>
      </c>
      <c r="F664" t="s">
        <v>156</v>
      </c>
      <c r="G664" t="s">
        <v>2889</v>
      </c>
      <c r="H664" t="s">
        <v>154</v>
      </c>
      <c r="I664" t="s">
        <v>146</v>
      </c>
      <c r="J664" t="s">
        <v>147</v>
      </c>
      <c r="K664" t="str">
        <f>+"FY"&amp;RIGHT(YEAR('Hyperion Panel'!$B$9)+5,2)</f>
        <v>FY15</v>
      </c>
      <c r="L664" s="1612">
        <f>+IF(COLUMNS($L664:L664)&lt;month,'6. Market'!$N$78/12,0)</f>
        <v>18542.746389661901</v>
      </c>
      <c r="M664" s="1612">
        <f>+IF(COLUMNS($L664:M664)&lt;month,'6. Market'!$N$78/12,0)</f>
        <v>18542.746389661901</v>
      </c>
      <c r="N664" s="1612">
        <f>+IF(COLUMNS($L664:N664)&lt;month,'6. Market'!$N$78/12,0)</f>
        <v>18542.746389661901</v>
      </c>
      <c r="O664" s="1612">
        <f>+IF(COLUMNS($L664:O664)&lt;month,'6. Market'!$N$78/12,0)</f>
        <v>18542.746389661901</v>
      </c>
      <c r="P664" s="1612">
        <f>+IF(COLUMNS($L664:P664)&lt;month,'6. Market'!$N$78/12,0)</f>
        <v>18542.746389661901</v>
      </c>
      <c r="Q664" s="1612">
        <f>+IF(COLUMNS($L664:Q664)&lt;month,'6. Market'!$N$78/12,0)</f>
        <v>18542.746389661901</v>
      </c>
      <c r="R664" s="1612">
        <f>+IF(COLUMNS($L664:R664)&lt;month,'6. Market'!$N$78/12,0)</f>
        <v>18542.746389661901</v>
      </c>
      <c r="S664" s="1612">
        <f>+IF(COLUMNS($L664:S664)&lt;month,'6. Market'!$N$78/12,0)</f>
        <v>18542.746389661901</v>
      </c>
      <c r="T664" s="1612">
        <f>+IF(COLUMNS($L664:T664)&lt;month,'6. Market'!$N$78/12,0)</f>
        <v>18542.746389661901</v>
      </c>
      <c r="U664" s="1612">
        <f>+IF(COLUMNS($L664:U664)&lt;month,'6. Market'!$N$78/12,0)</f>
        <v>18542.746389661901</v>
      </c>
      <c r="V664" s="1702">
        <f>+IF(COLUMNS($L664:V664)&lt;month,'6. Market'!$N$78/12,0)</f>
        <v>0</v>
      </c>
      <c r="W664" s="1612">
        <f>+IF(COLUMNS($L664:W664)&lt;month,'6. Market'!$N$78/12,0)</f>
        <v>0</v>
      </c>
    </row>
    <row r="665" spans="1:25">
      <c r="A665" t="s">
        <v>157</v>
      </c>
      <c r="B665" t="str">
        <f t="shared" si="34"/>
        <v>X10_11032_00494</v>
      </c>
      <c r="C665" t="str">
        <f t="shared" si="35"/>
        <v>LE_XXXX</v>
      </c>
      <c r="D665" t="s">
        <v>2886</v>
      </c>
      <c r="E665">
        <v>6720</v>
      </c>
      <c r="F665" t="s">
        <v>156</v>
      </c>
      <c r="G665" t="s">
        <v>2889</v>
      </c>
      <c r="H665" t="s">
        <v>154</v>
      </c>
      <c r="I665" t="s">
        <v>146</v>
      </c>
      <c r="J665" t="s">
        <v>147</v>
      </c>
      <c r="K665" t="str">
        <f>+"FY"&amp;RIGHT(YEAR('Hyperion Panel'!$B$9)+5,2)</f>
        <v>FY15</v>
      </c>
      <c r="L665" s="1612">
        <f>+IF(COLUMNS($L665:L665)&lt;month,'6. Market'!$N$79/12,0)</f>
        <v>15833.32</v>
      </c>
      <c r="M665" s="1612">
        <f>+IF(COLUMNS($L665:M665)&lt;month,'6. Market'!$N$79/12,0)</f>
        <v>15833.32</v>
      </c>
      <c r="N665" s="1612">
        <f>+IF(COLUMNS($L665:N665)&lt;month,'6. Market'!$N$79/12,0)</f>
        <v>15833.32</v>
      </c>
      <c r="O665" s="1612">
        <f>+IF(COLUMNS($L665:O665)&lt;month,'6. Market'!$N$79/12,0)</f>
        <v>15833.32</v>
      </c>
      <c r="P665" s="1612">
        <f>+IF(COLUMNS($L665:P665)&lt;month,'6. Market'!$N$79/12,0)</f>
        <v>15833.32</v>
      </c>
      <c r="Q665" s="1612">
        <f>+IF(COLUMNS($L665:Q665)&lt;month,'6. Market'!$N$79/12,0)</f>
        <v>15833.32</v>
      </c>
      <c r="R665" s="1612">
        <f>+IF(COLUMNS($L665:R665)&lt;month,'6. Market'!$N$79/12,0)</f>
        <v>15833.32</v>
      </c>
      <c r="S665" s="1612">
        <f>+IF(COLUMNS($L665:S665)&lt;month,'6. Market'!$N$79/12,0)</f>
        <v>15833.32</v>
      </c>
      <c r="T665" s="1612">
        <f>+IF(COLUMNS($L665:T665)&lt;month,'6. Market'!$N$79/12,0)</f>
        <v>15833.32</v>
      </c>
      <c r="U665" s="1612">
        <f>+IF(COLUMNS($L665:U665)&lt;month,'6. Market'!$N$79/12,0)</f>
        <v>15833.32</v>
      </c>
      <c r="V665" s="1702">
        <f>+IF(COLUMNS($L665:V665)&lt;month,'6. Market'!$N$79/12,0)</f>
        <v>0</v>
      </c>
      <c r="W665" s="1612">
        <f>+IF(COLUMNS($L665:W665)&lt;month,'6. Market'!$N$79/12,0)</f>
        <v>0</v>
      </c>
    </row>
    <row r="666" spans="1:25">
      <c r="A666" t="s">
        <v>3771</v>
      </c>
      <c r="B666" t="str">
        <f t="shared" si="34"/>
        <v>X10_11032_00494</v>
      </c>
      <c r="C666" t="str">
        <f t="shared" si="35"/>
        <v>LE_XXXX</v>
      </c>
      <c r="D666" t="s">
        <v>2886</v>
      </c>
      <c r="E666">
        <v>8110</v>
      </c>
      <c r="F666" t="s">
        <v>156</v>
      </c>
      <c r="G666" t="s">
        <v>2889</v>
      </c>
      <c r="H666" t="s">
        <v>154</v>
      </c>
      <c r="I666" t="s">
        <v>146</v>
      </c>
      <c r="J666" t="s">
        <v>147</v>
      </c>
      <c r="K666" t="str">
        <f>+"FY"&amp;RIGHT(YEAR('Hyperion Panel'!$B$9)+5,2)</f>
        <v>FY15</v>
      </c>
      <c r="L666" s="1612">
        <f>+IF(COLUMNS($L666:L666)&lt;month,'6. Market'!$N$82/12,0)</f>
        <v>1175.82468135105</v>
      </c>
      <c r="M666" s="1612">
        <f>+IF(COLUMNS($L666:M666)&lt;month,'6. Market'!$N$82/12,0)</f>
        <v>1175.82468135105</v>
      </c>
      <c r="N666" s="1612">
        <f>+IF(COLUMNS($L666:N666)&lt;month,'6. Market'!$N$82/12,0)</f>
        <v>1175.82468135105</v>
      </c>
      <c r="O666" s="1612">
        <f>+IF(COLUMNS($L666:O666)&lt;month,'6. Market'!$N$82/12,0)</f>
        <v>1175.82468135105</v>
      </c>
      <c r="P666" s="1612">
        <f>+IF(COLUMNS($L666:P666)&lt;month,'6. Market'!$N$82/12,0)</f>
        <v>1175.82468135105</v>
      </c>
      <c r="Q666" s="1612">
        <f>+IF(COLUMNS($L666:Q666)&lt;month,'6. Market'!$N$82/12,0)</f>
        <v>1175.82468135105</v>
      </c>
      <c r="R666" s="1612">
        <f>+IF(COLUMNS($L666:R666)&lt;month,'6. Market'!$N$82/12,0)</f>
        <v>1175.82468135105</v>
      </c>
      <c r="S666" s="1612">
        <f>+IF(COLUMNS($L666:S666)&lt;month,'6. Market'!$N$82/12,0)</f>
        <v>1175.82468135105</v>
      </c>
      <c r="T666" s="1612">
        <f>+IF(COLUMNS($L666:T666)&lt;month,'6. Market'!$N$82/12,0)</f>
        <v>1175.82468135105</v>
      </c>
      <c r="U666" s="1612">
        <f>+IF(COLUMNS($L666:U666)&lt;month,'6. Market'!$N$82/12,0)</f>
        <v>1175.82468135105</v>
      </c>
      <c r="V666" s="1702">
        <f>+IF(COLUMNS($L666:V666)&lt;month,'6. Market'!$N$82/12,0)</f>
        <v>0</v>
      </c>
      <c r="W666" s="1612">
        <f>+IF(COLUMNS($L666:W666)&lt;month,'6. Market'!$N$82/12,0)</f>
        <v>0</v>
      </c>
    </row>
    <row r="667" spans="1:25">
      <c r="A667" s="102" t="s">
        <v>171</v>
      </c>
      <c r="B667" t="str">
        <f t="shared" si="34"/>
        <v>X10_11032_00494</v>
      </c>
      <c r="C667" s="98" t="str">
        <f t="shared" si="35"/>
        <v>LE_XXXX</v>
      </c>
      <c r="D667" s="98" t="s">
        <v>2886</v>
      </c>
      <c r="E667" s="98">
        <v>6412</v>
      </c>
      <c r="F667" s="98" t="s">
        <v>156</v>
      </c>
      <c r="G667" s="98" t="s">
        <v>2889</v>
      </c>
      <c r="H667" s="98" t="s">
        <v>154</v>
      </c>
      <c r="I667" s="98" t="s">
        <v>146</v>
      </c>
      <c r="J667" s="98" t="s">
        <v>147</v>
      </c>
      <c r="K667" t="str">
        <f>+"FY"&amp;RIGHT(YEAR('Hyperion Panel'!$B$9)+5,2)</f>
        <v>FY15</v>
      </c>
      <c r="L667" s="1697">
        <f>+IF(COLUMNS($L663:L663)&lt;month,'6. Market'!$N$117*SUM(L641:L642,L644:L645),0)</f>
        <v>20895.042475531234</v>
      </c>
      <c r="M667" s="1697">
        <f>+IF(COLUMNS($L663:M663)&lt;month,'6. Market'!$N$117*SUM(M641:M642,M644:M645),0)</f>
        <v>20895.042475531234</v>
      </c>
      <c r="N667" s="1697">
        <f>+IF(COLUMNS($L663:N663)&lt;month,'6. Market'!$N$117*SUM(N641:N642,N644:N645),0)</f>
        <v>20895.042475531234</v>
      </c>
      <c r="O667" s="1697">
        <f>+IF(COLUMNS($L663:O663)&lt;month,'6. Market'!$N$117*SUM(O641:O642,O644:O645),0)</f>
        <v>20895.042475531234</v>
      </c>
      <c r="P667" s="1697">
        <f>+IF(COLUMNS($L663:P663)&lt;month,'6. Market'!$N$117*SUM(P641:P642,P644:P645),0)</f>
        <v>20895.042475531234</v>
      </c>
      <c r="Q667" s="1697">
        <f>+IF(COLUMNS($L663:Q663)&lt;month,'6. Market'!$N$117*SUM(Q641:Q642,Q644:Q645),0)</f>
        <v>20895.042475531234</v>
      </c>
      <c r="R667" s="1697">
        <f>+IF(COLUMNS($L663:R663)&lt;month,'6. Market'!$N$117*SUM(R641:R642,R644:R645),0)</f>
        <v>20895.042475531234</v>
      </c>
      <c r="S667" s="1697">
        <f>+IF(COLUMNS($L663:S663)&lt;month,'6. Market'!$N$117*SUM(S641:S642,S644:S645),0)</f>
        <v>20895.042475531234</v>
      </c>
      <c r="T667" s="1697">
        <f>+IF(COLUMNS($L663:T663)&lt;month,'6. Market'!$N$117*SUM(T641:T642,T644:T645),0)</f>
        <v>20895.042475531234</v>
      </c>
      <c r="U667" s="1697">
        <f>+IF(COLUMNS($L663:U663)&lt;month,'6. Market'!$N$117*SUM(U641:U642,U644:U645),0)</f>
        <v>20895.042475531234</v>
      </c>
      <c r="V667" s="1700">
        <f>+IF(COLUMNS($L663:V663)&lt;month,'6. Market'!$N$117*SUM(V641:V642,V644:V645),0)</f>
        <v>0</v>
      </c>
      <c r="W667" s="1697">
        <f>+IF(COLUMNS($L663:W663)&lt;month,'6. Market'!$N$117*SUM(W641:W642,W644:W645),0)</f>
        <v>0</v>
      </c>
    </row>
    <row r="668" spans="1:25" s="3" customFormat="1">
      <c r="A668" s="1687" t="s">
        <v>730</v>
      </c>
      <c r="B668" t="str">
        <f t="shared" si="34"/>
        <v>X10_11032_00494</v>
      </c>
      <c r="C668" s="1687" t="str">
        <f>+$C$2</f>
        <v>LE_XXXX</v>
      </c>
      <c r="D668" s="1687" t="s">
        <v>2886</v>
      </c>
      <c r="E668" s="1687">
        <v>8110</v>
      </c>
      <c r="F668" s="1687" t="s">
        <v>731</v>
      </c>
      <c r="G668" s="1687" t="s">
        <v>2889</v>
      </c>
      <c r="H668" s="1687" t="s">
        <v>154</v>
      </c>
      <c r="I668" s="1687" t="s">
        <v>146</v>
      </c>
      <c r="J668" s="1687" t="s">
        <v>147</v>
      </c>
      <c r="K668" t="str">
        <f>+"FY"&amp;RIGHT(YEAR('Hyperion Panel'!$B$9)+5,2)</f>
        <v>FY15</v>
      </c>
      <c r="L668" s="1704">
        <f>+IF(COLUMNS($L668:L668)&lt;month,'6. Market'!$N$88/12,0)</f>
        <v>937.9240083333334</v>
      </c>
      <c r="M668" s="1704">
        <f>+IF(COLUMNS($L668:M668)&lt;month,'6. Market'!$N$88/12,0)</f>
        <v>937.9240083333334</v>
      </c>
      <c r="N668" s="1704">
        <f>+IF(COLUMNS($L668:N668)&lt;month,'6. Market'!$N$88/12,0)</f>
        <v>937.9240083333334</v>
      </c>
      <c r="O668" s="1704">
        <f>+IF(COLUMNS($L668:O668)&lt;month,'6. Market'!$N$88/12,0)</f>
        <v>937.9240083333334</v>
      </c>
      <c r="P668" s="1704">
        <f>+IF(COLUMNS($L668:P668)&lt;month,'6. Market'!$N$88/12,0)</f>
        <v>937.9240083333334</v>
      </c>
      <c r="Q668" s="1704">
        <f>+IF(COLUMNS($L668:Q668)&lt;month,'6. Market'!$N$88/12,0)</f>
        <v>937.9240083333334</v>
      </c>
      <c r="R668" s="1704">
        <f>+IF(COLUMNS($L668:R668)&lt;month,'6. Market'!$N$88/12,0)</f>
        <v>937.9240083333334</v>
      </c>
      <c r="S668" s="1704">
        <f>+IF(COLUMNS($L668:S668)&lt;month,'6. Market'!$N$88/12,0)</f>
        <v>937.9240083333334</v>
      </c>
      <c r="T668" s="1704">
        <f>+IF(COLUMNS($L668:T668)&lt;month,'6. Market'!$N$88/12,0)</f>
        <v>937.9240083333334</v>
      </c>
      <c r="U668" s="1704">
        <f>+IF(COLUMNS($L668:U668)&lt;month,'6. Market'!$N$88/12,0)</f>
        <v>937.9240083333334</v>
      </c>
      <c r="V668" s="1704">
        <f>+IF(COLUMNS($L668:V668)&lt;month,'6. Market'!$N$88/12,0)</f>
        <v>0</v>
      </c>
      <c r="W668" s="1704">
        <f>+IF(COLUMNS($L668:W668)&lt;month,'6. Market'!$N$88/12,0)</f>
        <v>0</v>
      </c>
      <c r="Y668" s="1688"/>
    </row>
    <row r="669" spans="1:25" s="3" customFormat="1">
      <c r="A669" s="1687" t="s">
        <v>732</v>
      </c>
      <c r="B669" t="str">
        <f t="shared" si="34"/>
        <v>X10_11032_00494</v>
      </c>
      <c r="C669" s="1687" t="str">
        <f>+$C$2</f>
        <v>LE_XXXX</v>
      </c>
      <c r="D669" s="1687" t="s">
        <v>2886</v>
      </c>
      <c r="E669" s="1687"/>
      <c r="F669" s="1687" t="s">
        <v>731</v>
      </c>
      <c r="G669" s="1687" t="s">
        <v>2889</v>
      </c>
      <c r="H669" s="1687" t="s">
        <v>154</v>
      </c>
      <c r="I669" s="1687" t="s">
        <v>146</v>
      </c>
      <c r="J669" s="1687" t="s">
        <v>147</v>
      </c>
      <c r="K669" t="str">
        <f>+"FY"&amp;RIGHT(YEAR('Hyperion Panel'!$B$9)+5,2)</f>
        <v>FY15</v>
      </c>
      <c r="L669" s="1704">
        <f>+IF(COLUMNS($L669:L669)&lt;month,'6. Market'!$N$89/12,0)</f>
        <v>0</v>
      </c>
      <c r="M669" s="1704">
        <f>+IF(COLUMNS($L669:M669)&lt;month,'6. Market'!$N$89/12,0)</f>
        <v>0</v>
      </c>
      <c r="N669" s="1704">
        <f>+IF(COLUMNS($L669:N669)&lt;month,'6. Market'!$N$89/12,0)</f>
        <v>0</v>
      </c>
      <c r="O669" s="1704">
        <f>+IF(COLUMNS($L669:O669)&lt;month,'6. Market'!$N$89/12,0)</f>
        <v>0</v>
      </c>
      <c r="P669" s="1704">
        <f>+IF(COLUMNS($L669:P669)&lt;month,'6. Market'!$N$89/12,0)</f>
        <v>0</v>
      </c>
      <c r="Q669" s="1704">
        <f>+IF(COLUMNS($L669:Q669)&lt;month,'6. Market'!$N$89/12,0)</f>
        <v>0</v>
      </c>
      <c r="R669" s="1704">
        <f>+IF(COLUMNS($L669:R669)&lt;month,'6. Market'!$N$89/12,0)</f>
        <v>0</v>
      </c>
      <c r="S669" s="1704">
        <f>+IF(COLUMNS($L669:S669)&lt;month,'6. Market'!$N$89/12,0)</f>
        <v>0</v>
      </c>
      <c r="T669" s="1704">
        <f>+IF(COLUMNS($L669:T669)&lt;month,'6. Market'!$N$89/12,0)</f>
        <v>0</v>
      </c>
      <c r="U669" s="1704">
        <f>+IF(COLUMNS($L669:U669)&lt;month,'6. Market'!$N$89/12,0)</f>
        <v>0</v>
      </c>
      <c r="V669" s="1704">
        <f>+IF(COLUMNS($L669:V669)&lt;month,'6. Market'!$N$89/12,0)</f>
        <v>0</v>
      </c>
      <c r="W669" s="1704">
        <f>+IF(COLUMNS($L669:W669)&lt;month,'6. Market'!$N$89/12,0)</f>
        <v>0</v>
      </c>
      <c r="Y669" s="1688"/>
    </row>
    <row r="670" spans="1:25" s="3" customFormat="1">
      <c r="A670" s="1687" t="s">
        <v>733</v>
      </c>
      <c r="B670" t="str">
        <f t="shared" si="34"/>
        <v>X10_11032_00494</v>
      </c>
      <c r="C670" s="1687" t="str">
        <f>+$C$2</f>
        <v>LE_XXXX</v>
      </c>
      <c r="D670" s="1687" t="s">
        <v>2886</v>
      </c>
      <c r="E670" s="1687"/>
      <c r="F670" s="1687" t="s">
        <v>731</v>
      </c>
      <c r="G670" s="1687" t="s">
        <v>2889</v>
      </c>
      <c r="H670" s="1687" t="s">
        <v>154</v>
      </c>
      <c r="I670" s="1687" t="s">
        <v>146</v>
      </c>
      <c r="J670" s="1687" t="s">
        <v>147</v>
      </c>
      <c r="K670" t="str">
        <f>+"FY"&amp;RIGHT(YEAR('Hyperion Panel'!$B$9)+5,2)</f>
        <v>FY15</v>
      </c>
      <c r="L670" s="1704">
        <f>+IF(COLUMNS($L670:L670)&lt;month,'6. Market'!$N$90/12,0)</f>
        <v>10434.6460224</v>
      </c>
      <c r="M670" s="1704">
        <f>+IF(COLUMNS($L670:M670)&lt;month,'6. Market'!$N$90/12,0)</f>
        <v>10434.6460224</v>
      </c>
      <c r="N670" s="1704">
        <f>+IF(COLUMNS($L670:N670)&lt;month,'6. Market'!$N$90/12,0)</f>
        <v>10434.6460224</v>
      </c>
      <c r="O670" s="1704">
        <f>+IF(COLUMNS($L670:O670)&lt;month,'6. Market'!$N$90/12,0)</f>
        <v>10434.6460224</v>
      </c>
      <c r="P670" s="1704">
        <f>+IF(COLUMNS($L670:P670)&lt;month,'6. Market'!$N$90/12,0)</f>
        <v>10434.6460224</v>
      </c>
      <c r="Q670" s="1704">
        <f>+IF(COLUMNS($L670:Q670)&lt;month,'6. Market'!$N$90/12,0)</f>
        <v>10434.6460224</v>
      </c>
      <c r="R670" s="1704">
        <f>+IF(COLUMNS($L670:R670)&lt;month,'6. Market'!$N$90/12,0)</f>
        <v>10434.6460224</v>
      </c>
      <c r="S670" s="1704">
        <f>+IF(COLUMNS($L670:S670)&lt;month,'6. Market'!$N$90/12,0)</f>
        <v>10434.6460224</v>
      </c>
      <c r="T670" s="1704">
        <f>+IF(COLUMNS($L670:T670)&lt;month,'6. Market'!$N$90/12,0)</f>
        <v>10434.6460224</v>
      </c>
      <c r="U670" s="1704">
        <f>+IF(COLUMNS($L670:U670)&lt;month,'6. Market'!$N$90/12,0)</f>
        <v>10434.6460224</v>
      </c>
      <c r="V670" s="1704">
        <f>+IF(COLUMNS($L670:V670)&lt;month,'6. Market'!$N$90/12,0)</f>
        <v>0</v>
      </c>
      <c r="W670" s="1704">
        <f>+IF(COLUMNS($L670:W670)&lt;month,'6. Market'!$N$90/12,0)</f>
        <v>0</v>
      </c>
      <c r="Y670" s="1688"/>
    </row>
    <row r="671" spans="1:25" s="3" customFormat="1">
      <c r="A671" s="1687" t="s">
        <v>734</v>
      </c>
      <c r="B671" t="str">
        <f t="shared" si="34"/>
        <v>X10_11032_00494</v>
      </c>
      <c r="C671" s="1687" t="str">
        <f>+$C$2</f>
        <v>LE_XXXX</v>
      </c>
      <c r="D671" s="1687" t="s">
        <v>2886</v>
      </c>
      <c r="E671" s="1687">
        <v>6800</v>
      </c>
      <c r="F671" s="1687" t="s">
        <v>731</v>
      </c>
      <c r="G671" s="1687" t="s">
        <v>2889</v>
      </c>
      <c r="H671" s="1687" t="s">
        <v>154</v>
      </c>
      <c r="I671" s="1687" t="s">
        <v>146</v>
      </c>
      <c r="J671" s="1687" t="s">
        <v>147</v>
      </c>
      <c r="K671" t="str">
        <f>+"FY"&amp;RIGHT(YEAR('Hyperion Panel'!$B$9)+5,2)</f>
        <v>FY15</v>
      </c>
      <c r="L671" s="1704">
        <f>+IF(COLUMNS($L671:L671)&lt;month,'6. Market'!$N$91/12,0)</f>
        <v>1969.6404175</v>
      </c>
      <c r="M671" s="1704">
        <f>+IF(COLUMNS($L671:M671)&lt;month,'6. Market'!$N$91/12,0)</f>
        <v>1969.6404175</v>
      </c>
      <c r="N671" s="1704">
        <f>+IF(COLUMNS($L671:N671)&lt;month,'6. Market'!$N$91/12,0)</f>
        <v>1969.6404175</v>
      </c>
      <c r="O671" s="1704">
        <f>+IF(COLUMNS($L671:O671)&lt;month,'6. Market'!$N$91/12,0)</f>
        <v>1969.6404175</v>
      </c>
      <c r="P671" s="1704">
        <f>+IF(COLUMNS($L671:P671)&lt;month,'6. Market'!$N$91/12,0)</f>
        <v>1969.6404175</v>
      </c>
      <c r="Q671" s="1704">
        <f>+IF(COLUMNS($L671:Q671)&lt;month,'6. Market'!$N$91/12,0)</f>
        <v>1969.6404175</v>
      </c>
      <c r="R671" s="1704">
        <f>+IF(COLUMNS($L671:R671)&lt;month,'6. Market'!$N$91/12,0)</f>
        <v>1969.6404175</v>
      </c>
      <c r="S671" s="1704">
        <f>+IF(COLUMNS($L671:S671)&lt;month,'6. Market'!$N$91/12,0)</f>
        <v>1969.6404175</v>
      </c>
      <c r="T671" s="1704">
        <f>+IF(COLUMNS($L671:T671)&lt;month,'6. Market'!$N$91/12,0)</f>
        <v>1969.6404175</v>
      </c>
      <c r="U671" s="1704">
        <f>+IF(COLUMNS($L671:U671)&lt;month,'6. Market'!$N$91/12,0)</f>
        <v>1969.6404175</v>
      </c>
      <c r="V671" s="1704">
        <f>+IF(COLUMNS($L671:V671)&lt;month,'6. Market'!$N$91/12,0)</f>
        <v>0</v>
      </c>
      <c r="W671" s="1704">
        <f>+IF(COLUMNS($L671:W671)&lt;month,'6. Market'!$N$91/12,0)</f>
        <v>0</v>
      </c>
      <c r="Y671" s="1688"/>
    </row>
    <row r="672" spans="1:25">
      <c r="A672" t="s">
        <v>158</v>
      </c>
      <c r="B672" t="str">
        <f t="shared" si="34"/>
        <v>X10_11032_00494</v>
      </c>
      <c r="C672" t="str">
        <f>+$C$460</f>
        <v>LE_XXXX</v>
      </c>
      <c r="D672" t="s">
        <v>2886</v>
      </c>
      <c r="E672" t="s">
        <v>159</v>
      </c>
      <c r="F672" t="s">
        <v>156</v>
      </c>
      <c r="G672" t="s">
        <v>2889</v>
      </c>
      <c r="H672" t="s">
        <v>154</v>
      </c>
      <c r="I672" t="s">
        <v>146</v>
      </c>
      <c r="J672" t="s">
        <v>147</v>
      </c>
      <c r="K672" t="str">
        <f>+"FY"&amp;RIGHT(YEAR('Hyperion Panel'!$B$9)+5,2)</f>
        <v>FY15</v>
      </c>
      <c r="L672" s="103">
        <f>'Hyperion Panel'!$C$7</f>
        <v>1</v>
      </c>
      <c r="M672" s="103">
        <f>'Hyperion Panel'!$C$7</f>
        <v>1</v>
      </c>
      <c r="N672" s="103">
        <f>'Hyperion Panel'!$C$7</f>
        <v>1</v>
      </c>
      <c r="O672" s="103">
        <f>'Hyperion Panel'!$C$7</f>
        <v>1</v>
      </c>
      <c r="P672" s="103">
        <f>'Hyperion Panel'!$C$7</f>
        <v>1</v>
      </c>
      <c r="Q672" s="103">
        <f>'Hyperion Panel'!$C$7</f>
        <v>1</v>
      </c>
      <c r="R672" s="103">
        <f>'Hyperion Panel'!$C$7</f>
        <v>1</v>
      </c>
      <c r="S672" s="103">
        <f>'Hyperion Panel'!$C$7</f>
        <v>1</v>
      </c>
      <c r="T672" s="103">
        <f>'Hyperion Panel'!$C$7</f>
        <v>1</v>
      </c>
      <c r="U672" s="103">
        <f>'Hyperion Panel'!$C$7</f>
        <v>1</v>
      </c>
      <c r="V672" s="1694">
        <f>'Hyperion Panel'!$C$7</f>
        <v>1</v>
      </c>
      <c r="W672" s="103">
        <f>'Hyperion Panel'!$C$7</f>
        <v>1</v>
      </c>
    </row>
    <row r="673" spans="1:25">
      <c r="A673" t="s">
        <v>160</v>
      </c>
      <c r="B673" t="str">
        <f t="shared" si="34"/>
        <v>X10_11032_00494</v>
      </c>
      <c r="C673" t="str">
        <f>+$C$460</f>
        <v>LE_XXXX</v>
      </c>
      <c r="D673" t="s">
        <v>2886</v>
      </c>
      <c r="E673" t="s">
        <v>161</v>
      </c>
      <c r="F673" t="s">
        <v>156</v>
      </c>
      <c r="G673" t="s">
        <v>2889</v>
      </c>
      <c r="H673" t="s">
        <v>154</v>
      </c>
      <c r="I673" t="s">
        <v>146</v>
      </c>
      <c r="J673" t="s">
        <v>147</v>
      </c>
      <c r="K673" t="str">
        <f>+"FY"&amp;RIGHT(YEAR('Hyperion Panel'!$B$9)+5,2)</f>
        <v>FY15</v>
      </c>
      <c r="L673" s="1705">
        <v>0</v>
      </c>
      <c r="M673" s="1705">
        <v>0</v>
      </c>
      <c r="N673" s="1705">
        <v>0</v>
      </c>
      <c r="O673" s="1705">
        <v>0</v>
      </c>
      <c r="P673" s="1705">
        <v>0</v>
      </c>
      <c r="Q673" s="1705">
        <v>0</v>
      </c>
      <c r="R673" s="1705">
        <v>0</v>
      </c>
      <c r="S673" s="1705">
        <v>0</v>
      </c>
      <c r="T673" s="1705">
        <v>0</v>
      </c>
      <c r="U673" s="1705">
        <v>0</v>
      </c>
      <c r="V673" s="1705">
        <v>0</v>
      </c>
      <c r="W673" s="1705">
        <v>0</v>
      </c>
    </row>
    <row r="674" spans="1:25" s="3" customFormat="1">
      <c r="A674" s="1687" t="s">
        <v>735</v>
      </c>
      <c r="B674" t="str">
        <f t="shared" si="34"/>
        <v>X10_11032_00494</v>
      </c>
      <c r="C674" s="1687"/>
      <c r="D674" s="1687"/>
      <c r="E674" s="1687"/>
      <c r="F674" s="1687"/>
      <c r="G674" s="1687"/>
      <c r="H674" s="1687"/>
      <c r="I674" s="1687"/>
      <c r="J674" s="1687"/>
      <c r="K674" t="str">
        <f>+"FY"&amp;RIGHT(YEAR('Hyperion Panel'!$B$9)+5,2)</f>
        <v>FY15</v>
      </c>
      <c r="L674" s="1705">
        <v>0</v>
      </c>
      <c r="M674" s="1705">
        <v>0</v>
      </c>
      <c r="N674" s="1705">
        <v>0</v>
      </c>
      <c r="O674" s="1705">
        <v>0</v>
      </c>
      <c r="P674" s="1705">
        <v>0</v>
      </c>
      <c r="Q674" s="1705">
        <v>0</v>
      </c>
      <c r="R674" s="1705">
        <v>0</v>
      </c>
      <c r="S674" s="1705">
        <v>0</v>
      </c>
      <c r="T674" s="1705">
        <v>0</v>
      </c>
      <c r="U674" s="1705">
        <v>0</v>
      </c>
      <c r="V674" s="1705">
        <v>0</v>
      </c>
      <c r="W674" s="1705">
        <v>0</v>
      </c>
      <c r="Y674" s="1688"/>
    </row>
  </sheetData>
  <sheetProtection password="CC45" sheet="1"/>
  <phoneticPr fontId="0" type="noConversion"/>
  <pageMargins left="0.75" right="0.75" top="1" bottom="1" header="0.5" footer="0.5"/>
  <headerFooter alignWithMargins="0"/>
  <legacyDrawing r:id="rId1"/>
</worksheet>
</file>

<file path=xl/worksheets/sheet4.xml><?xml version="1.0" encoding="utf-8"?>
<worksheet xmlns="http://schemas.openxmlformats.org/spreadsheetml/2006/main" xmlns:r="http://schemas.openxmlformats.org/officeDocument/2006/relationships">
  <sheetPr codeName="Sheet6" enableFormatConditionsCalculation="0">
    <tabColor indexed="10"/>
  </sheetPr>
  <dimension ref="A1:AM124"/>
  <sheetViews>
    <sheetView zoomScale="75" workbookViewId="0">
      <pane xSplit="5" ySplit="5" topLeftCell="F6" activePane="bottomRight" state="frozen"/>
      <selection activeCell="B10" sqref="B10"/>
      <selection pane="topRight" activeCell="B10" sqref="B10"/>
      <selection pane="bottomLeft" activeCell="B10" sqref="B10"/>
      <selection pane="bottomRight" activeCell="F6" sqref="F6"/>
    </sheetView>
  </sheetViews>
  <sheetFormatPr defaultRowHeight="12.75"/>
  <cols>
    <col min="1" max="2" width="3.7109375" customWidth="1"/>
  </cols>
  <sheetData>
    <row r="1" spans="1:39" s="1678" customFormat="1"/>
    <row r="2" spans="1:39" ht="18">
      <c r="A2" s="4"/>
      <c r="B2" s="1664" t="s">
        <v>728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row>
    <row r="3" spans="1:39">
      <c r="A3" s="4"/>
      <c r="B3" s="1678"/>
      <c r="C3" s="1678"/>
      <c r="D3" s="1678"/>
      <c r="E3" s="1678"/>
      <c r="F3" s="1678"/>
      <c r="G3" s="1678"/>
      <c r="H3" s="1678"/>
      <c r="I3" s="1678"/>
      <c r="J3" s="1678"/>
      <c r="K3" s="1678"/>
      <c r="L3" s="1678"/>
      <c r="M3" s="1678"/>
      <c r="N3" s="1678"/>
      <c r="O3" s="1678"/>
      <c r="P3" s="1678"/>
      <c r="Q3" s="1678"/>
      <c r="R3" s="1678"/>
      <c r="S3" s="1678"/>
      <c r="T3" s="1678"/>
      <c r="U3" s="1678"/>
      <c r="V3" s="1678"/>
      <c r="W3" s="1678"/>
      <c r="X3" s="1678"/>
      <c r="Y3" s="1678"/>
      <c r="Z3" s="1678"/>
      <c r="AA3" s="1678"/>
      <c r="AB3" s="1678"/>
      <c r="AC3" s="1678"/>
      <c r="AD3" s="1678"/>
      <c r="AE3" s="1678"/>
      <c r="AF3" s="1678"/>
      <c r="AG3" s="1678"/>
      <c r="AH3" s="1678"/>
      <c r="AI3" s="1678"/>
      <c r="AJ3" s="1678"/>
      <c r="AK3" s="1678"/>
      <c r="AL3" s="1678"/>
      <c r="AM3" s="4"/>
    </row>
    <row r="4" spans="1:39">
      <c r="A4" s="4"/>
      <c r="B4" s="1678"/>
      <c r="C4" s="1969"/>
      <c r="D4" s="1969"/>
      <c r="E4" s="1969"/>
      <c r="F4" s="1970"/>
      <c r="G4" s="1971"/>
      <c r="H4" s="1971"/>
      <c r="I4" s="1971"/>
      <c r="J4" s="1971"/>
      <c r="K4" s="1971"/>
      <c r="L4" s="1971"/>
      <c r="M4" s="1971"/>
      <c r="N4" s="1971"/>
      <c r="O4" s="1972"/>
      <c r="P4" s="1678"/>
      <c r="Q4" s="1970"/>
      <c r="R4" s="1971"/>
      <c r="S4" s="1971"/>
      <c r="T4" s="1971"/>
      <c r="U4" s="1971"/>
      <c r="V4" s="1971"/>
      <c r="W4" s="1971"/>
      <c r="X4" s="1971"/>
      <c r="Y4" s="1971"/>
      <c r="Z4" s="1972"/>
      <c r="AA4" s="1678"/>
      <c r="AB4" s="1970"/>
      <c r="AC4" s="1971"/>
      <c r="AD4" s="1971"/>
      <c r="AE4" s="1971"/>
      <c r="AF4" s="1971"/>
      <c r="AG4" s="1971"/>
      <c r="AH4" s="1971"/>
      <c r="AI4" s="1971"/>
      <c r="AJ4" s="1971"/>
      <c r="AK4" s="1972"/>
      <c r="AL4" s="1678"/>
      <c r="AM4" s="4"/>
    </row>
    <row r="5" spans="1:39">
      <c r="A5" s="4"/>
      <c r="B5" s="1678"/>
      <c r="C5" s="1973"/>
      <c r="D5" s="1973"/>
      <c r="E5" s="1973"/>
      <c r="F5" s="3007" t="s">
        <v>723</v>
      </c>
      <c r="G5" s="3008"/>
      <c r="H5" s="3008"/>
      <c r="I5" s="3008"/>
      <c r="J5" s="3008"/>
      <c r="K5" s="3008"/>
      <c r="L5" s="3008"/>
      <c r="M5" s="3008"/>
      <c r="N5" s="3008"/>
      <c r="O5" s="3009"/>
      <c r="P5" s="1678"/>
      <c r="Q5" s="3007" t="s">
        <v>2293</v>
      </c>
      <c r="R5" s="3008"/>
      <c r="S5" s="3008"/>
      <c r="T5" s="3008"/>
      <c r="U5" s="3008"/>
      <c r="V5" s="3008"/>
      <c r="W5" s="3008"/>
      <c r="X5" s="3008"/>
      <c r="Y5" s="3008"/>
      <c r="Z5" s="3009"/>
      <c r="AA5" s="1678"/>
      <c r="AB5" s="3007" t="s">
        <v>2294</v>
      </c>
      <c r="AC5" s="3008"/>
      <c r="AD5" s="3008"/>
      <c r="AE5" s="3008"/>
      <c r="AF5" s="3008"/>
      <c r="AG5" s="3008"/>
      <c r="AH5" s="3008"/>
      <c r="AI5" s="3008"/>
      <c r="AJ5" s="3008"/>
      <c r="AK5" s="3009"/>
      <c r="AL5" s="1678"/>
      <c r="AM5" s="4"/>
    </row>
    <row r="6" spans="1:39" s="3" customFormat="1">
      <c r="A6" s="4"/>
      <c r="B6" s="1"/>
      <c r="C6" s="1665" t="s">
        <v>1573</v>
      </c>
      <c r="D6" s="1666"/>
      <c r="E6" s="1666"/>
      <c r="F6" s="1667"/>
      <c r="G6" s="1667"/>
      <c r="H6" s="1667"/>
      <c r="I6" s="1667"/>
      <c r="J6" s="1667"/>
      <c r="K6" s="1667"/>
      <c r="L6" s="1667"/>
      <c r="M6" s="1667"/>
      <c r="N6" s="1667"/>
      <c r="O6" s="1668"/>
      <c r="P6" s="1669"/>
      <c r="Q6" s="1667"/>
      <c r="R6" s="1667"/>
      <c r="S6" s="1667"/>
      <c r="T6" s="1667"/>
      <c r="U6" s="1667"/>
      <c r="V6" s="1667"/>
      <c r="W6" s="1667"/>
      <c r="X6" s="1667"/>
      <c r="Y6" s="1667"/>
      <c r="Z6" s="1668"/>
      <c r="AA6" s="1670"/>
      <c r="AB6" s="1667"/>
      <c r="AC6" s="1667"/>
      <c r="AD6" s="1667"/>
      <c r="AE6" s="1667"/>
      <c r="AF6" s="1667"/>
      <c r="AG6" s="1667"/>
      <c r="AH6" s="1667"/>
      <c r="AI6" s="1667"/>
      <c r="AJ6" s="1667"/>
      <c r="AK6" s="1668"/>
      <c r="AL6" s="1678"/>
      <c r="AM6" s="4"/>
    </row>
    <row r="7" spans="1:39">
      <c r="A7" s="4"/>
      <c r="B7" s="1678"/>
      <c r="C7" s="1974"/>
      <c r="D7" s="1975"/>
      <c r="E7" s="1975"/>
      <c r="F7" s="1677"/>
      <c r="G7" s="1677"/>
      <c r="H7" s="1677"/>
      <c r="I7" s="1677"/>
      <c r="J7" s="1677"/>
      <c r="K7" s="1677"/>
      <c r="L7" s="1677"/>
      <c r="M7" s="1677"/>
      <c r="N7" s="1677"/>
      <c r="O7" s="1676"/>
      <c r="P7" s="1975"/>
      <c r="Q7" s="1677"/>
      <c r="R7" s="1677"/>
      <c r="S7" s="1677"/>
      <c r="T7" s="1677"/>
      <c r="U7" s="1677"/>
      <c r="V7" s="1677"/>
      <c r="W7" s="1677"/>
      <c r="X7" s="1677"/>
      <c r="Y7" s="1677"/>
      <c r="Z7" s="1676"/>
      <c r="AA7" s="1678"/>
      <c r="AB7" s="1677"/>
      <c r="AC7" s="1677"/>
      <c r="AD7" s="1677"/>
      <c r="AE7" s="1677"/>
      <c r="AF7" s="1677"/>
      <c r="AG7" s="1677"/>
      <c r="AH7" s="1677"/>
      <c r="AI7" s="1677"/>
      <c r="AJ7" s="1677"/>
      <c r="AK7" s="1676"/>
      <c r="AL7" s="1678"/>
      <c r="AM7" s="4"/>
    </row>
    <row r="8" spans="1:39">
      <c r="A8" s="4"/>
      <c r="B8" s="1678"/>
      <c r="C8" s="1976"/>
      <c r="D8" s="1977"/>
      <c r="E8" s="1977"/>
      <c r="F8" s="1978" t="s">
        <v>1090</v>
      </c>
      <c r="G8" s="1935"/>
      <c r="H8" s="1978" t="s">
        <v>1091</v>
      </c>
      <c r="I8" s="1935"/>
      <c r="J8" s="1978" t="s">
        <v>2165</v>
      </c>
      <c r="K8" s="1935"/>
      <c r="L8" s="1978" t="s">
        <v>2166</v>
      </c>
      <c r="M8" s="1935"/>
      <c r="N8" s="1978" t="s">
        <v>2167</v>
      </c>
      <c r="O8" s="1936"/>
      <c r="P8" s="1977"/>
      <c r="Q8" s="1978" t="s">
        <v>1090</v>
      </c>
      <c r="R8" s="1935"/>
      <c r="S8" s="1978" t="s">
        <v>1091</v>
      </c>
      <c r="T8" s="1935"/>
      <c r="U8" s="1978" t="s">
        <v>2165</v>
      </c>
      <c r="V8" s="1935"/>
      <c r="W8" s="1978" t="s">
        <v>2166</v>
      </c>
      <c r="X8" s="1935"/>
      <c r="Y8" s="1978" t="s">
        <v>2167</v>
      </c>
      <c r="Z8" s="1936"/>
      <c r="AA8" s="1678"/>
      <c r="AB8" s="1978" t="s">
        <v>1090</v>
      </c>
      <c r="AC8" s="1935"/>
      <c r="AD8" s="1978" t="s">
        <v>1091</v>
      </c>
      <c r="AE8" s="1935"/>
      <c r="AF8" s="1978" t="s">
        <v>2165</v>
      </c>
      <c r="AG8" s="1935"/>
      <c r="AH8" s="1978" t="s">
        <v>2166</v>
      </c>
      <c r="AI8" s="1935"/>
      <c r="AJ8" s="1978" t="s">
        <v>2167</v>
      </c>
      <c r="AK8" s="1936"/>
      <c r="AL8" s="1678"/>
      <c r="AM8" s="4"/>
    </row>
    <row r="9" spans="1:39">
      <c r="A9" s="4"/>
      <c r="B9" s="1678"/>
      <c r="C9" s="1974"/>
      <c r="D9" s="1975"/>
      <c r="E9" s="1677" t="s">
        <v>3253</v>
      </c>
      <c r="F9" s="1979">
        <f>'2.0 Patients'!F8*('2.0 Patients'!F10+'2.0 Patients'!F11)</f>
        <v>90</v>
      </c>
      <c r="G9" s="1980">
        <f>F9</f>
        <v>90</v>
      </c>
      <c r="H9" s="1979">
        <f t="shared" ref="H9:O9" si="0">G9</f>
        <v>90</v>
      </c>
      <c r="I9" s="1980">
        <f t="shared" si="0"/>
        <v>90</v>
      </c>
      <c r="J9" s="1979">
        <f t="shared" si="0"/>
        <v>90</v>
      </c>
      <c r="K9" s="1980">
        <f t="shared" si="0"/>
        <v>90</v>
      </c>
      <c r="L9" s="1979">
        <f t="shared" si="0"/>
        <v>90</v>
      </c>
      <c r="M9" s="1980">
        <f t="shared" si="0"/>
        <v>90</v>
      </c>
      <c r="N9" s="1979">
        <f t="shared" si="0"/>
        <v>90</v>
      </c>
      <c r="O9" s="1980">
        <f t="shared" si="0"/>
        <v>90</v>
      </c>
      <c r="P9" s="1975"/>
      <c r="Q9" s="1979">
        <f>'2.0 Patients'!F12*20</f>
        <v>40</v>
      </c>
      <c r="R9" s="1980">
        <f>Q9</f>
        <v>40</v>
      </c>
      <c r="S9" s="1979">
        <f t="shared" ref="S9:Z9" si="1">R9</f>
        <v>40</v>
      </c>
      <c r="T9" s="1980">
        <f t="shared" si="1"/>
        <v>40</v>
      </c>
      <c r="U9" s="1979">
        <f t="shared" si="1"/>
        <v>40</v>
      </c>
      <c r="V9" s="1980">
        <f t="shared" si="1"/>
        <v>40</v>
      </c>
      <c r="W9" s="1979">
        <f t="shared" si="1"/>
        <v>40</v>
      </c>
      <c r="X9" s="1980">
        <f t="shared" si="1"/>
        <v>40</v>
      </c>
      <c r="Y9" s="1979">
        <f t="shared" si="1"/>
        <v>40</v>
      </c>
      <c r="Z9" s="1980">
        <f t="shared" si="1"/>
        <v>40</v>
      </c>
      <c r="AA9" s="1678"/>
      <c r="AB9" s="1979">
        <f>'2.0 Patients'!F13*20</f>
        <v>40</v>
      </c>
      <c r="AC9" s="1980">
        <f>AB9</f>
        <v>40</v>
      </c>
      <c r="AD9" s="1979">
        <f t="shared" ref="AD9:AK9" si="2">AC9</f>
        <v>40</v>
      </c>
      <c r="AE9" s="1980">
        <f t="shared" si="2"/>
        <v>40</v>
      </c>
      <c r="AF9" s="1979">
        <f t="shared" si="2"/>
        <v>40</v>
      </c>
      <c r="AG9" s="1980">
        <f t="shared" si="2"/>
        <v>40</v>
      </c>
      <c r="AH9" s="1979">
        <f t="shared" si="2"/>
        <v>40</v>
      </c>
      <c r="AI9" s="1980">
        <f t="shared" si="2"/>
        <v>40</v>
      </c>
      <c r="AJ9" s="1979">
        <f t="shared" si="2"/>
        <v>40</v>
      </c>
      <c r="AK9" s="1980">
        <f t="shared" si="2"/>
        <v>40</v>
      </c>
      <c r="AL9" s="1678"/>
      <c r="AM9" s="4"/>
    </row>
    <row r="10" spans="1:39">
      <c r="A10" s="4"/>
      <c r="B10" s="1678"/>
      <c r="C10" s="1974"/>
      <c r="D10" s="1975"/>
      <c r="E10" s="1975"/>
      <c r="F10" s="1981"/>
      <c r="G10" s="1982"/>
      <c r="H10" s="1981"/>
      <c r="I10" s="1982"/>
      <c r="J10" s="1981"/>
      <c r="K10" s="1982"/>
      <c r="L10" s="1981"/>
      <c r="M10" s="1982"/>
      <c r="N10" s="1981"/>
      <c r="O10" s="1982"/>
      <c r="P10" s="1975"/>
      <c r="Q10" s="1981"/>
      <c r="R10" s="1982"/>
      <c r="S10" s="1981"/>
      <c r="T10" s="1982"/>
      <c r="U10" s="1981"/>
      <c r="V10" s="1982"/>
      <c r="W10" s="1981"/>
      <c r="X10" s="1982"/>
      <c r="Y10" s="1981"/>
      <c r="Z10" s="1982"/>
      <c r="AA10" s="1678"/>
      <c r="AB10" s="1981"/>
      <c r="AC10" s="1982"/>
      <c r="AD10" s="1981"/>
      <c r="AE10" s="1982"/>
      <c r="AF10" s="1981"/>
      <c r="AG10" s="1982"/>
      <c r="AH10" s="1981"/>
      <c r="AI10" s="1982"/>
      <c r="AJ10" s="1981"/>
      <c r="AK10" s="1982"/>
      <c r="AL10" s="1678"/>
      <c r="AM10" s="4"/>
    </row>
    <row r="11" spans="1:39">
      <c r="A11" s="4"/>
      <c r="B11" s="1678"/>
      <c r="C11" s="1974"/>
      <c r="D11" s="1975"/>
      <c r="E11" s="1677" t="s">
        <v>3666</v>
      </c>
      <c r="F11" s="1983">
        <f t="shared" ref="F11:O11" si="3">F29</f>
        <v>48</v>
      </c>
      <c r="G11" s="1984">
        <f t="shared" si="3"/>
        <v>2</v>
      </c>
      <c r="H11" s="1983">
        <f t="shared" si="3"/>
        <v>48</v>
      </c>
      <c r="I11" s="1984">
        <f t="shared" si="3"/>
        <v>2</v>
      </c>
      <c r="J11" s="1983">
        <f t="shared" si="3"/>
        <v>48</v>
      </c>
      <c r="K11" s="1984">
        <f t="shared" si="3"/>
        <v>2</v>
      </c>
      <c r="L11" s="1983">
        <f t="shared" si="3"/>
        <v>48</v>
      </c>
      <c r="M11" s="1984">
        <f t="shared" si="3"/>
        <v>2</v>
      </c>
      <c r="N11" s="1983">
        <f t="shared" si="3"/>
        <v>48</v>
      </c>
      <c r="O11" s="1984">
        <f t="shared" si="3"/>
        <v>2</v>
      </c>
      <c r="P11" s="1975"/>
      <c r="Q11" s="1983">
        <f t="shared" ref="Q11:Z11" si="4">Q29</f>
        <v>14</v>
      </c>
      <c r="R11" s="1984">
        <f t="shared" si="4"/>
        <v>6</v>
      </c>
      <c r="S11" s="1983">
        <f t="shared" si="4"/>
        <v>14</v>
      </c>
      <c r="T11" s="1984">
        <f t="shared" si="4"/>
        <v>6</v>
      </c>
      <c r="U11" s="1983">
        <f t="shared" si="4"/>
        <v>14</v>
      </c>
      <c r="V11" s="1984">
        <f t="shared" si="4"/>
        <v>6</v>
      </c>
      <c r="W11" s="1983">
        <f t="shared" si="4"/>
        <v>14</v>
      </c>
      <c r="X11" s="1984">
        <f t="shared" si="4"/>
        <v>6</v>
      </c>
      <c r="Y11" s="1983">
        <f t="shared" si="4"/>
        <v>14</v>
      </c>
      <c r="Z11" s="1984">
        <f t="shared" si="4"/>
        <v>6</v>
      </c>
      <c r="AA11" s="1678"/>
      <c r="AB11" s="1983">
        <f t="shared" ref="AB11:AK11" si="5">AB29</f>
        <v>5</v>
      </c>
      <c r="AC11" s="1984">
        <f t="shared" si="5"/>
        <v>0</v>
      </c>
      <c r="AD11" s="1983">
        <f t="shared" si="5"/>
        <v>5</v>
      </c>
      <c r="AE11" s="1984">
        <f t="shared" si="5"/>
        <v>0</v>
      </c>
      <c r="AF11" s="1983">
        <f t="shared" si="5"/>
        <v>5</v>
      </c>
      <c r="AG11" s="1984">
        <f t="shared" si="5"/>
        <v>0</v>
      </c>
      <c r="AH11" s="1983">
        <f t="shared" si="5"/>
        <v>5</v>
      </c>
      <c r="AI11" s="1984">
        <f t="shared" si="5"/>
        <v>0</v>
      </c>
      <c r="AJ11" s="1983">
        <f t="shared" si="5"/>
        <v>5</v>
      </c>
      <c r="AK11" s="1984">
        <f t="shared" si="5"/>
        <v>0</v>
      </c>
      <c r="AL11" s="1678"/>
      <c r="AM11" s="4"/>
    </row>
    <row r="12" spans="1:39">
      <c r="A12" s="4"/>
      <c r="B12" s="1678"/>
      <c r="C12" s="1974"/>
      <c r="D12" s="1975"/>
      <c r="E12" s="1985" t="s">
        <v>3255</v>
      </c>
      <c r="F12" s="1986">
        <f>SUM(F11,G11)/F9</f>
        <v>0.55555555555555558</v>
      </c>
      <c r="G12" s="1982"/>
      <c r="H12" s="1986">
        <f>SUM(H11,I11)/H9</f>
        <v>0.55555555555555558</v>
      </c>
      <c r="I12" s="1982"/>
      <c r="J12" s="1986">
        <f>SUM(J11,K11)/J9</f>
        <v>0.55555555555555558</v>
      </c>
      <c r="K12" s="1982"/>
      <c r="L12" s="1986">
        <f>SUM(L11,M11)/L9</f>
        <v>0.55555555555555558</v>
      </c>
      <c r="M12" s="1982"/>
      <c r="N12" s="1986">
        <f>SUM(N11,O11)/N9</f>
        <v>0.55555555555555558</v>
      </c>
      <c r="O12" s="1982"/>
      <c r="P12" s="1975"/>
      <c r="Q12" s="1986">
        <f>SUM(Q11,R11)/Q9</f>
        <v>0.5</v>
      </c>
      <c r="R12" s="1982"/>
      <c r="S12" s="1986">
        <f>SUM(S11,T11)/S9</f>
        <v>0.5</v>
      </c>
      <c r="T12" s="1982"/>
      <c r="U12" s="1986">
        <f>SUM(U11,V11)/U9</f>
        <v>0.5</v>
      </c>
      <c r="V12" s="1982"/>
      <c r="W12" s="1986">
        <f>SUM(W11,X11)/W9</f>
        <v>0.5</v>
      </c>
      <c r="X12" s="1982"/>
      <c r="Y12" s="1986">
        <f>SUM(Y11,Z11)/Y9</f>
        <v>0.5</v>
      </c>
      <c r="Z12" s="1982"/>
      <c r="AA12" s="1678"/>
      <c r="AB12" s="1986">
        <f>SUM(AB11,AC11)/AB9</f>
        <v>0.125</v>
      </c>
      <c r="AC12" s="1982"/>
      <c r="AD12" s="1986">
        <f>SUM(AD11,AE11)/AD9</f>
        <v>0.125</v>
      </c>
      <c r="AE12" s="1982"/>
      <c r="AF12" s="1986">
        <f>SUM(AF11,AG11)/AF9</f>
        <v>0.125</v>
      </c>
      <c r="AG12" s="1982"/>
      <c r="AH12" s="1986">
        <f>SUM(AH11,AI11)/AH9</f>
        <v>0.125</v>
      </c>
      <c r="AI12" s="1982"/>
      <c r="AJ12" s="1986">
        <f>SUM(AJ11,AK11)/AJ9</f>
        <v>0.125</v>
      </c>
      <c r="AK12" s="1982"/>
      <c r="AL12" s="1678"/>
      <c r="AM12" s="4"/>
    </row>
    <row r="13" spans="1:39">
      <c r="A13" s="4"/>
      <c r="B13" s="1678"/>
      <c r="C13" s="1974"/>
      <c r="D13" s="1975"/>
      <c r="E13" s="1975"/>
      <c r="F13" s="1981"/>
      <c r="G13" s="1982"/>
      <c r="H13" s="1981"/>
      <c r="I13" s="1982"/>
      <c r="J13" s="1981"/>
      <c r="K13" s="1982"/>
      <c r="L13" s="1981"/>
      <c r="M13" s="1982"/>
      <c r="N13" s="1981"/>
      <c r="O13" s="1982"/>
      <c r="P13" s="1975"/>
      <c r="Q13" s="1981"/>
      <c r="R13" s="1982"/>
      <c r="S13" s="1981"/>
      <c r="T13" s="1982"/>
      <c r="U13" s="1981"/>
      <c r="V13" s="1982"/>
      <c r="W13" s="1981"/>
      <c r="X13" s="1982"/>
      <c r="Y13" s="1981"/>
      <c r="Z13" s="1982"/>
      <c r="AA13" s="1678"/>
      <c r="AB13" s="1981"/>
      <c r="AC13" s="1982"/>
      <c r="AD13" s="1981"/>
      <c r="AE13" s="1982"/>
      <c r="AF13" s="1981"/>
      <c r="AG13" s="1982"/>
      <c r="AH13" s="1981"/>
      <c r="AI13" s="1982"/>
      <c r="AJ13" s="1981"/>
      <c r="AK13" s="1982"/>
      <c r="AL13" s="1678"/>
      <c r="AM13" s="4"/>
    </row>
    <row r="14" spans="1:39">
      <c r="A14" s="4"/>
      <c r="B14" s="1678"/>
      <c r="C14" s="1974"/>
      <c r="D14" s="1975"/>
      <c r="E14" s="1677" t="s">
        <v>3517</v>
      </c>
      <c r="F14" s="1987"/>
      <c r="G14" s="1988"/>
      <c r="H14" s="1989">
        <f>(SUM(H11,I11)/(SUM(F11,G11))-1)</f>
        <v>0</v>
      </c>
      <c r="I14" s="1988"/>
      <c r="J14" s="1989">
        <f>(SUM(J11,K11)/(SUM(H11,I11))-1)</f>
        <v>0</v>
      </c>
      <c r="K14" s="1988"/>
      <c r="L14" s="1989">
        <f>(SUM(L11,M11)/(SUM(J11,K11))-1)</f>
        <v>0</v>
      </c>
      <c r="M14" s="1988"/>
      <c r="N14" s="1989">
        <f>(SUM(N11,O11)/(SUM(L11,M11))-1)</f>
        <v>0</v>
      </c>
      <c r="O14" s="1988"/>
      <c r="P14" s="1975"/>
      <c r="Q14" s="1987"/>
      <c r="R14" s="1988"/>
      <c r="S14" s="1989">
        <f>(SUM(S11,T11)/(SUM(Q11,R11))-1)</f>
        <v>0</v>
      </c>
      <c r="T14" s="1988"/>
      <c r="U14" s="1989">
        <f>(SUM(U11,V11)/(SUM(S11,T11))-1)</f>
        <v>0</v>
      </c>
      <c r="V14" s="1988"/>
      <c r="W14" s="1989">
        <f>(SUM(W11,X11)/(SUM(U11,V11))-1)</f>
        <v>0</v>
      </c>
      <c r="X14" s="1988"/>
      <c r="Y14" s="1989">
        <f>(SUM(Y11,Z11)/(SUM(W11,X11))-1)</f>
        <v>0</v>
      </c>
      <c r="Z14" s="1988"/>
      <c r="AA14" s="1678"/>
      <c r="AB14" s="1987"/>
      <c r="AC14" s="1988"/>
      <c r="AD14" s="1989">
        <f>(SUM(AD11,AE11)/(SUM(AB11,AC11))-1)</f>
        <v>0</v>
      </c>
      <c r="AE14" s="1988"/>
      <c r="AF14" s="1989">
        <f>(SUM(AF11,AG11)/(SUM(AD11,AE11))-1)</f>
        <v>0</v>
      </c>
      <c r="AG14" s="1988"/>
      <c r="AH14" s="1989">
        <f>(SUM(AH11,AI11)/(SUM(AF11,AG11))-1)</f>
        <v>0</v>
      </c>
      <c r="AI14" s="1988"/>
      <c r="AJ14" s="1989">
        <f>(SUM(AJ11,AK11)/(SUM(AH11,AI11))-1)</f>
        <v>0</v>
      </c>
      <c r="AK14" s="1988"/>
      <c r="AL14" s="1678"/>
      <c r="AM14" s="4"/>
    </row>
    <row r="15" spans="1:39">
      <c r="A15" s="4"/>
      <c r="B15" s="1678"/>
      <c r="C15" s="1990"/>
      <c r="D15" s="1991"/>
      <c r="E15" s="1991"/>
      <c r="F15" s="1992" t="s">
        <v>463</v>
      </c>
      <c r="G15" s="1993" t="s">
        <v>464</v>
      </c>
      <c r="H15" s="1992" t="s">
        <v>463</v>
      </c>
      <c r="I15" s="1993" t="s">
        <v>464</v>
      </c>
      <c r="J15" s="1992" t="s">
        <v>463</v>
      </c>
      <c r="K15" s="1993" t="s">
        <v>464</v>
      </c>
      <c r="L15" s="1992" t="s">
        <v>463</v>
      </c>
      <c r="M15" s="1993" t="s">
        <v>464</v>
      </c>
      <c r="N15" s="1992" t="s">
        <v>463</v>
      </c>
      <c r="O15" s="1993" t="s">
        <v>464</v>
      </c>
      <c r="P15" s="1678"/>
      <c r="Q15" s="1992" t="s">
        <v>463</v>
      </c>
      <c r="R15" s="1993" t="s">
        <v>464</v>
      </c>
      <c r="S15" s="1992" t="s">
        <v>463</v>
      </c>
      <c r="T15" s="1993" t="s">
        <v>464</v>
      </c>
      <c r="U15" s="1992" t="s">
        <v>463</v>
      </c>
      <c r="V15" s="1993" t="s">
        <v>464</v>
      </c>
      <c r="W15" s="1992" t="s">
        <v>463</v>
      </c>
      <c r="X15" s="1993" t="s">
        <v>464</v>
      </c>
      <c r="Y15" s="1992" t="s">
        <v>463</v>
      </c>
      <c r="Z15" s="1993" t="s">
        <v>464</v>
      </c>
      <c r="AA15" s="1678"/>
      <c r="AB15" s="1992" t="s">
        <v>463</v>
      </c>
      <c r="AC15" s="1993" t="s">
        <v>464</v>
      </c>
      <c r="AD15" s="1992" t="s">
        <v>463</v>
      </c>
      <c r="AE15" s="1993" t="s">
        <v>464</v>
      </c>
      <c r="AF15" s="1992" t="s">
        <v>463</v>
      </c>
      <c r="AG15" s="1993" t="s">
        <v>464</v>
      </c>
      <c r="AH15" s="1992" t="s">
        <v>463</v>
      </c>
      <c r="AI15" s="1993" t="s">
        <v>464</v>
      </c>
      <c r="AJ15" s="1992" t="s">
        <v>463</v>
      </c>
      <c r="AK15" s="1993" t="s">
        <v>464</v>
      </c>
      <c r="AL15" s="1678"/>
      <c r="AM15" s="4"/>
    </row>
    <row r="16" spans="1:39">
      <c r="A16" s="4"/>
      <c r="B16" s="1678"/>
      <c r="C16" s="1974" t="s">
        <v>724</v>
      </c>
      <c r="D16" s="1975"/>
      <c r="E16" s="1975"/>
      <c r="F16" s="1994">
        <f>'2.0 Patients'!Q21</f>
        <v>48</v>
      </c>
      <c r="G16" s="1995">
        <f>'2.0 Patients'!Q23</f>
        <v>2</v>
      </c>
      <c r="H16" s="1675"/>
      <c r="I16" s="1676"/>
      <c r="J16" s="1677"/>
      <c r="K16" s="1676"/>
      <c r="L16" s="1677"/>
      <c r="M16" s="1676"/>
      <c r="N16" s="1677"/>
      <c r="O16" s="1676"/>
      <c r="P16" s="1678"/>
      <c r="Q16" s="1994">
        <f>'2.0 Patients'!Q27</f>
        <v>14</v>
      </c>
      <c r="R16" s="1995">
        <f>'2.0 Patients'!Q29</f>
        <v>6</v>
      </c>
      <c r="S16" s="1675"/>
      <c r="T16" s="1676"/>
      <c r="U16" s="1677"/>
      <c r="V16" s="1676"/>
      <c r="W16" s="1677"/>
      <c r="X16" s="1676"/>
      <c r="Y16" s="1677"/>
      <c r="Z16" s="1676"/>
      <c r="AA16" s="1678"/>
      <c r="AB16" s="1994">
        <f>'2.0 Patients'!Q33</f>
        <v>5</v>
      </c>
      <c r="AC16" s="1995">
        <f>'2.0 Patients'!Q35</f>
        <v>0</v>
      </c>
      <c r="AD16" s="1675"/>
      <c r="AE16" s="1676"/>
      <c r="AF16" s="1677"/>
      <c r="AG16" s="1676"/>
      <c r="AH16" s="1677"/>
      <c r="AI16" s="1676"/>
      <c r="AJ16" s="1677"/>
      <c r="AK16" s="1676"/>
      <c r="AL16" s="1678"/>
      <c r="AM16" s="4"/>
    </row>
    <row r="17" spans="1:39">
      <c r="A17" s="4"/>
      <c r="B17" s="1678" t="s">
        <v>725</v>
      </c>
      <c r="C17" s="1974"/>
      <c r="D17" s="1671" t="s">
        <v>346</v>
      </c>
      <c r="E17" s="1671"/>
      <c r="F17" s="1672">
        <f>MIN(+F16+F31,F$9-G17)</f>
        <v>48</v>
      </c>
      <c r="G17" s="1673">
        <f>MIN(+G16+G31,G$9)</f>
        <v>2</v>
      </c>
      <c r="H17" s="1674">
        <f>MIN(+F28+H31,H9-I17)</f>
        <v>48</v>
      </c>
      <c r="I17" s="1673">
        <f>MIN(+G28+I31,I9)</f>
        <v>2</v>
      </c>
      <c r="J17" s="1674">
        <f>MIN(+H28+J31,J9-K17)</f>
        <v>48</v>
      </c>
      <c r="K17" s="1673">
        <f>MIN(+I28+K31,K9)</f>
        <v>2</v>
      </c>
      <c r="L17" s="1674">
        <f>MIN(+J28+L31,L9-M17)</f>
        <v>48</v>
      </c>
      <c r="M17" s="1673">
        <f>MIN(+K28+M31,M9)</f>
        <v>2</v>
      </c>
      <c r="N17" s="1674">
        <f>MIN(+L28+N31,N9-O17)</f>
        <v>48</v>
      </c>
      <c r="O17" s="1673">
        <f>MIN(+M28+O31,O9)</f>
        <v>2</v>
      </c>
      <c r="P17" s="6"/>
      <c r="Q17" s="1672">
        <f>MIN(+Q16+Q31,Q$9-R17)</f>
        <v>14</v>
      </c>
      <c r="R17" s="1673">
        <f>MIN(+R16+R31,R$9)</f>
        <v>6</v>
      </c>
      <c r="S17" s="1674">
        <f>MIN(+Q28+S31,S9-T17)</f>
        <v>14</v>
      </c>
      <c r="T17" s="1673">
        <f>MIN(+R28+T31,T9)</f>
        <v>6</v>
      </c>
      <c r="U17" s="1674">
        <f>MIN(+S28+U31,U9-V17)</f>
        <v>14</v>
      </c>
      <c r="V17" s="1673">
        <f>MIN(+T28+V31,V9)</f>
        <v>6</v>
      </c>
      <c r="W17" s="1674">
        <f>MIN(+U28+W31,W9-X17)</f>
        <v>14</v>
      </c>
      <c r="X17" s="1673">
        <f>MIN(+V28+X31,X9)</f>
        <v>6</v>
      </c>
      <c r="Y17" s="1674">
        <f>MIN(+W28+Y31,Y9-Z17)</f>
        <v>14</v>
      </c>
      <c r="Z17" s="1673">
        <f>MIN(+X28+Z31,Z9)</f>
        <v>6</v>
      </c>
      <c r="AA17" s="6"/>
      <c r="AB17" s="1672">
        <f>MIN(+AB16+AB31,AB$9-AC17)</f>
        <v>5</v>
      </c>
      <c r="AC17" s="1673">
        <f>MIN(+AC16+AC31,AC$9)</f>
        <v>0</v>
      </c>
      <c r="AD17" s="1674">
        <f>MIN(+AB28+AD31,AD9-AE17)</f>
        <v>5</v>
      </c>
      <c r="AE17" s="1673">
        <f>MIN(+AC28+AE31,AE9)</f>
        <v>0</v>
      </c>
      <c r="AF17" s="1674">
        <f>MIN(+AD28+AF31,AF9-AG17)</f>
        <v>5</v>
      </c>
      <c r="AG17" s="1673">
        <f>MIN(+AE28+AG31,AG9)</f>
        <v>0</v>
      </c>
      <c r="AH17" s="1674">
        <f>MIN(+AF28+AH31,AH9-AI17)</f>
        <v>5</v>
      </c>
      <c r="AI17" s="1673">
        <f>MIN(+AG28+AI31,AI9)</f>
        <v>0</v>
      </c>
      <c r="AJ17" s="1674">
        <f>MIN(+AH28+AJ31,AJ9-AK17)</f>
        <v>5</v>
      </c>
      <c r="AK17" s="1673">
        <f>MIN(+AI28+AK31,AK9)</f>
        <v>0</v>
      </c>
      <c r="AL17" s="6"/>
      <c r="AM17" s="4"/>
    </row>
    <row r="18" spans="1:39">
      <c r="A18" s="4"/>
      <c r="B18" s="1678"/>
      <c r="C18" s="1974"/>
      <c r="D18" s="1671" t="s">
        <v>347</v>
      </c>
      <c r="E18" s="1671"/>
      <c r="F18" s="1672">
        <f t="shared" ref="F18:F28" si="6">MIN(+F17+F32,F$9-G18)</f>
        <v>48</v>
      </c>
      <c r="G18" s="1673">
        <f t="shared" ref="G18:G28" si="7">MIN(+G17+G32,G$9)</f>
        <v>2</v>
      </c>
      <c r="H18" s="1672">
        <f>MIN(+H17+H32,H$9-I18)</f>
        <v>48</v>
      </c>
      <c r="I18" s="1673">
        <f t="shared" ref="I18:I28" si="8">MIN(+I17+I32,I$9)</f>
        <v>2</v>
      </c>
      <c r="J18" s="1672">
        <f>MIN(+J17+J32,J$9-K18)</f>
        <v>48</v>
      </c>
      <c r="K18" s="1673">
        <f t="shared" ref="K18:K28" si="9">MIN(+K17+K32,K$9)</f>
        <v>2</v>
      </c>
      <c r="L18" s="1672">
        <f>MIN(+L17+L32,L$9-M18)</f>
        <v>48</v>
      </c>
      <c r="M18" s="1673">
        <f>MIN(+M17+M32,M$9)</f>
        <v>2</v>
      </c>
      <c r="N18" s="1672">
        <f>MIN(+N17+N32,N$9-O18)</f>
        <v>48</v>
      </c>
      <c r="O18" s="1673">
        <f>MIN(+O17+O32,O$9)</f>
        <v>2</v>
      </c>
      <c r="P18" s="6"/>
      <c r="Q18" s="1672">
        <f t="shared" ref="Q18:Q28" si="10">MIN(+Q17+Q32,Q$9-R18)</f>
        <v>14</v>
      </c>
      <c r="R18" s="1673">
        <f t="shared" ref="R18:R28" si="11">MIN(+R17+R32,R$9)</f>
        <v>6</v>
      </c>
      <c r="S18" s="1672">
        <f>MIN(+S17+S32,S$9-T18)</f>
        <v>14</v>
      </c>
      <c r="T18" s="1673">
        <f t="shared" ref="T18:T28" si="12">MIN(+T17+T32,T$9)</f>
        <v>6</v>
      </c>
      <c r="U18" s="1672">
        <f>MIN(+U17+U32,U$9-V18)</f>
        <v>14</v>
      </c>
      <c r="V18" s="1673">
        <f>MIN(+V17+V32,V$9)</f>
        <v>6</v>
      </c>
      <c r="W18" s="1672">
        <f>MIN(+W17+W32,W$9-X18)</f>
        <v>14</v>
      </c>
      <c r="X18" s="1673">
        <f t="shared" ref="X18:X28" si="13">MIN(+X17+X32,X$9)</f>
        <v>6</v>
      </c>
      <c r="Y18" s="1672">
        <f>MIN(+Y17+Y32,Y$9-Z18)</f>
        <v>14</v>
      </c>
      <c r="Z18" s="1673">
        <f>MIN(+Z17+Z32,Z$9)</f>
        <v>6</v>
      </c>
      <c r="AA18" s="6"/>
      <c r="AB18" s="1672">
        <f t="shared" ref="AB18:AB28" si="14">MIN(+AB17+AB32,AB$9-AC18)</f>
        <v>5</v>
      </c>
      <c r="AC18" s="1673">
        <f t="shared" ref="AC18:AC28" si="15">MIN(+AC17+AC32,AC$9)</f>
        <v>0</v>
      </c>
      <c r="AD18" s="1672">
        <f>MIN(+AD17+AD32,AD$9-AE18)</f>
        <v>5</v>
      </c>
      <c r="AE18" s="1673">
        <f>MIN(+AE17+AE32,AE$9)</f>
        <v>0</v>
      </c>
      <c r="AF18" s="1672">
        <f>MIN(+AF17+AF32,AF$9-AG18)</f>
        <v>5</v>
      </c>
      <c r="AG18" s="1673">
        <f>MIN(+AG17+AG32,AG$9)</f>
        <v>0</v>
      </c>
      <c r="AH18" s="1672">
        <f>MIN(+AH17+AH32,AH$9-AI18)</f>
        <v>5</v>
      </c>
      <c r="AI18" s="1673">
        <f>MIN(+AI17+AI32,AI$9)</f>
        <v>0</v>
      </c>
      <c r="AJ18" s="1672">
        <f>MIN(+AJ17+AJ32,AJ$9-AK18)</f>
        <v>5</v>
      </c>
      <c r="AK18" s="1673">
        <f>MIN(+AK17+AK32,AK$9)</f>
        <v>0</v>
      </c>
      <c r="AL18" s="6"/>
      <c r="AM18" s="4"/>
    </row>
    <row r="19" spans="1:39">
      <c r="A19" s="4"/>
      <c r="B19" s="1678"/>
      <c r="C19" s="1974"/>
      <c r="D19" s="1671" t="s">
        <v>348</v>
      </c>
      <c r="E19" s="1671"/>
      <c r="F19" s="1672">
        <f t="shared" si="6"/>
        <v>48</v>
      </c>
      <c r="G19" s="1673">
        <f t="shared" si="7"/>
        <v>2</v>
      </c>
      <c r="H19" s="1672">
        <f t="shared" ref="H19:H28" si="16">MIN(+H18+H33,H$9-I19)</f>
        <v>48</v>
      </c>
      <c r="I19" s="1673">
        <f t="shared" si="8"/>
        <v>2</v>
      </c>
      <c r="J19" s="1672">
        <f t="shared" ref="J19:J28" si="17">MIN(+J18+J33,J$9-K19)</f>
        <v>48</v>
      </c>
      <c r="K19" s="1673">
        <f t="shared" si="9"/>
        <v>2</v>
      </c>
      <c r="L19" s="1672">
        <f t="shared" ref="L19:L28" si="18">MIN(+L18+L33,L$9-M19)</f>
        <v>48</v>
      </c>
      <c r="M19" s="1673">
        <f t="shared" ref="M19:M28" si="19">MIN(+M18+M33,M$9)</f>
        <v>2</v>
      </c>
      <c r="N19" s="1672">
        <f t="shared" ref="N19:N28" si="20">MIN(+N18+N33,N$9-O19)</f>
        <v>48</v>
      </c>
      <c r="O19" s="1673">
        <f t="shared" ref="O19:O28" si="21">MIN(+O18+O33,O$9)</f>
        <v>2</v>
      </c>
      <c r="P19" s="6"/>
      <c r="Q19" s="1672">
        <f t="shared" si="10"/>
        <v>14</v>
      </c>
      <c r="R19" s="1673">
        <f t="shared" si="11"/>
        <v>6</v>
      </c>
      <c r="S19" s="1672">
        <f t="shared" ref="S19:S28" si="22">MIN(+S18+S33,S$9-T19)</f>
        <v>14</v>
      </c>
      <c r="T19" s="1673">
        <f t="shared" si="12"/>
        <v>6</v>
      </c>
      <c r="U19" s="1672">
        <f t="shared" ref="U19:U28" si="23">MIN(+U18+U33,U$9-V19)</f>
        <v>14</v>
      </c>
      <c r="V19" s="1673">
        <f t="shared" ref="V19:V28" si="24">MIN(+V18+V33,V$9)</f>
        <v>6</v>
      </c>
      <c r="W19" s="1672">
        <f t="shared" ref="W19:W28" si="25">MIN(+W18+W33,W$9-X19)</f>
        <v>14</v>
      </c>
      <c r="X19" s="1673">
        <f t="shared" si="13"/>
        <v>6</v>
      </c>
      <c r="Y19" s="1672">
        <f t="shared" ref="Y19:Y28" si="26">MIN(+Y18+Y33,Y$9-Z19)</f>
        <v>14</v>
      </c>
      <c r="Z19" s="1673">
        <f t="shared" ref="Z19:Z28" si="27">MIN(+Z18+Z33,Z$9)</f>
        <v>6</v>
      </c>
      <c r="AA19" s="6"/>
      <c r="AB19" s="1672">
        <f t="shared" si="14"/>
        <v>5</v>
      </c>
      <c r="AC19" s="1673">
        <f t="shared" si="15"/>
        <v>0</v>
      </c>
      <c r="AD19" s="1672">
        <f t="shared" ref="AD19:AD28" si="28">MIN(+AD18+AD33,AD$9-AE19)</f>
        <v>5</v>
      </c>
      <c r="AE19" s="1673">
        <f t="shared" ref="AE19:AE28" si="29">MIN(+AE18+AE33,AE$9)</f>
        <v>0</v>
      </c>
      <c r="AF19" s="1672">
        <f t="shared" ref="AF19:AF28" si="30">MIN(+AF18+AF33,AF$9-AG19)</f>
        <v>5</v>
      </c>
      <c r="AG19" s="1673">
        <f t="shared" ref="AG19:AG28" si="31">MIN(+AG18+AG33,AG$9)</f>
        <v>0</v>
      </c>
      <c r="AH19" s="1672">
        <f t="shared" ref="AH19:AH28" si="32">MIN(+AH18+AH33,AH$9-AI19)</f>
        <v>5</v>
      </c>
      <c r="AI19" s="1673">
        <f t="shared" ref="AI19:AI28" si="33">MIN(+AI18+AI33,AI$9)</f>
        <v>0</v>
      </c>
      <c r="AJ19" s="1672">
        <f t="shared" ref="AJ19:AJ28" si="34">MIN(+AJ18+AJ33,AJ$9-AK19)</f>
        <v>5</v>
      </c>
      <c r="AK19" s="1673">
        <f t="shared" ref="AK19:AK28" si="35">MIN(+AK18+AK33,AK$9)</f>
        <v>0</v>
      </c>
      <c r="AL19" s="6"/>
      <c r="AM19" s="4"/>
    </row>
    <row r="20" spans="1:39">
      <c r="A20" s="4"/>
      <c r="B20" s="1678"/>
      <c r="C20" s="1974"/>
      <c r="D20" s="1671" t="s">
        <v>349</v>
      </c>
      <c r="E20" s="1671"/>
      <c r="F20" s="1672">
        <f t="shared" si="6"/>
        <v>48</v>
      </c>
      <c r="G20" s="1673">
        <f t="shared" si="7"/>
        <v>2</v>
      </c>
      <c r="H20" s="1672">
        <f t="shared" si="16"/>
        <v>48</v>
      </c>
      <c r="I20" s="1673">
        <f t="shared" si="8"/>
        <v>2</v>
      </c>
      <c r="J20" s="1672">
        <f t="shared" si="17"/>
        <v>48</v>
      </c>
      <c r="K20" s="1673">
        <f t="shared" si="9"/>
        <v>2</v>
      </c>
      <c r="L20" s="1672">
        <f t="shared" si="18"/>
        <v>48</v>
      </c>
      <c r="M20" s="1673">
        <f t="shared" si="19"/>
        <v>2</v>
      </c>
      <c r="N20" s="1672">
        <f t="shared" si="20"/>
        <v>48</v>
      </c>
      <c r="O20" s="1673">
        <f t="shared" si="21"/>
        <v>2</v>
      </c>
      <c r="P20" s="6"/>
      <c r="Q20" s="1672">
        <f t="shared" si="10"/>
        <v>14</v>
      </c>
      <c r="R20" s="1673">
        <f t="shared" si="11"/>
        <v>6</v>
      </c>
      <c r="S20" s="1672">
        <f t="shared" si="22"/>
        <v>14</v>
      </c>
      <c r="T20" s="1673">
        <f t="shared" si="12"/>
        <v>6</v>
      </c>
      <c r="U20" s="1672">
        <f t="shared" si="23"/>
        <v>14</v>
      </c>
      <c r="V20" s="1673">
        <f t="shared" si="24"/>
        <v>6</v>
      </c>
      <c r="W20" s="1672">
        <f t="shared" si="25"/>
        <v>14</v>
      </c>
      <c r="X20" s="1673">
        <f t="shared" si="13"/>
        <v>6</v>
      </c>
      <c r="Y20" s="1672">
        <f t="shared" si="26"/>
        <v>14</v>
      </c>
      <c r="Z20" s="1673">
        <f t="shared" si="27"/>
        <v>6</v>
      </c>
      <c r="AA20" s="6"/>
      <c r="AB20" s="1672">
        <f t="shared" si="14"/>
        <v>5</v>
      </c>
      <c r="AC20" s="1673">
        <f t="shared" si="15"/>
        <v>0</v>
      </c>
      <c r="AD20" s="1672">
        <f t="shared" si="28"/>
        <v>5</v>
      </c>
      <c r="AE20" s="1673">
        <f t="shared" si="29"/>
        <v>0</v>
      </c>
      <c r="AF20" s="1672">
        <f t="shared" si="30"/>
        <v>5</v>
      </c>
      <c r="AG20" s="1673">
        <f t="shared" si="31"/>
        <v>0</v>
      </c>
      <c r="AH20" s="1672">
        <f t="shared" si="32"/>
        <v>5</v>
      </c>
      <c r="AI20" s="1673">
        <f t="shared" si="33"/>
        <v>0</v>
      </c>
      <c r="AJ20" s="1672">
        <f t="shared" si="34"/>
        <v>5</v>
      </c>
      <c r="AK20" s="1673">
        <f t="shared" si="35"/>
        <v>0</v>
      </c>
      <c r="AL20" s="6"/>
      <c r="AM20" s="4"/>
    </row>
    <row r="21" spans="1:39">
      <c r="A21" s="4"/>
      <c r="B21" s="1678"/>
      <c r="C21" s="1974"/>
      <c r="D21" s="1671" t="s">
        <v>350</v>
      </c>
      <c r="E21" s="1671"/>
      <c r="F21" s="1672">
        <f t="shared" si="6"/>
        <v>48</v>
      </c>
      <c r="G21" s="1673">
        <f t="shared" si="7"/>
        <v>2</v>
      </c>
      <c r="H21" s="1672">
        <f t="shared" si="16"/>
        <v>48</v>
      </c>
      <c r="I21" s="1673">
        <f t="shared" si="8"/>
        <v>2</v>
      </c>
      <c r="J21" s="1672">
        <f t="shared" si="17"/>
        <v>48</v>
      </c>
      <c r="K21" s="1673">
        <f t="shared" si="9"/>
        <v>2</v>
      </c>
      <c r="L21" s="1672">
        <f t="shared" si="18"/>
        <v>48</v>
      </c>
      <c r="M21" s="1673">
        <f t="shared" si="19"/>
        <v>2</v>
      </c>
      <c r="N21" s="1672">
        <f t="shared" si="20"/>
        <v>48</v>
      </c>
      <c r="O21" s="1673">
        <f t="shared" si="21"/>
        <v>2</v>
      </c>
      <c r="P21" s="6"/>
      <c r="Q21" s="1672">
        <f t="shared" si="10"/>
        <v>14</v>
      </c>
      <c r="R21" s="1673">
        <f t="shared" si="11"/>
        <v>6</v>
      </c>
      <c r="S21" s="1672">
        <f t="shared" si="22"/>
        <v>14</v>
      </c>
      <c r="T21" s="1673">
        <f t="shared" si="12"/>
        <v>6</v>
      </c>
      <c r="U21" s="1672">
        <f t="shared" si="23"/>
        <v>14</v>
      </c>
      <c r="V21" s="1673">
        <f t="shared" si="24"/>
        <v>6</v>
      </c>
      <c r="W21" s="1672">
        <f t="shared" si="25"/>
        <v>14</v>
      </c>
      <c r="X21" s="1673">
        <f t="shared" si="13"/>
        <v>6</v>
      </c>
      <c r="Y21" s="1672">
        <f t="shared" si="26"/>
        <v>14</v>
      </c>
      <c r="Z21" s="1673">
        <f t="shared" si="27"/>
        <v>6</v>
      </c>
      <c r="AA21" s="6"/>
      <c r="AB21" s="1672">
        <f t="shared" si="14"/>
        <v>5</v>
      </c>
      <c r="AC21" s="1673">
        <f t="shared" si="15"/>
        <v>0</v>
      </c>
      <c r="AD21" s="1672">
        <f t="shared" si="28"/>
        <v>5</v>
      </c>
      <c r="AE21" s="1673">
        <f t="shared" si="29"/>
        <v>0</v>
      </c>
      <c r="AF21" s="1672">
        <f t="shared" si="30"/>
        <v>5</v>
      </c>
      <c r="AG21" s="1673">
        <f t="shared" si="31"/>
        <v>0</v>
      </c>
      <c r="AH21" s="1672">
        <f t="shared" si="32"/>
        <v>5</v>
      </c>
      <c r="AI21" s="1673">
        <f t="shared" si="33"/>
        <v>0</v>
      </c>
      <c r="AJ21" s="1672">
        <f t="shared" si="34"/>
        <v>5</v>
      </c>
      <c r="AK21" s="1673">
        <f t="shared" si="35"/>
        <v>0</v>
      </c>
      <c r="AL21" s="6"/>
      <c r="AM21" s="4"/>
    </row>
    <row r="22" spans="1:39">
      <c r="A22" s="4"/>
      <c r="B22" s="1678"/>
      <c r="C22" s="1974"/>
      <c r="D22" s="1671" t="s">
        <v>351</v>
      </c>
      <c r="E22" s="1671"/>
      <c r="F22" s="1672">
        <f t="shared" si="6"/>
        <v>48</v>
      </c>
      <c r="G22" s="1673">
        <f t="shared" si="7"/>
        <v>2</v>
      </c>
      <c r="H22" s="1672">
        <f t="shared" si="16"/>
        <v>48</v>
      </c>
      <c r="I22" s="1673">
        <f t="shared" si="8"/>
        <v>2</v>
      </c>
      <c r="J22" s="1672">
        <f t="shared" si="17"/>
        <v>48</v>
      </c>
      <c r="K22" s="1673">
        <f t="shared" si="9"/>
        <v>2</v>
      </c>
      <c r="L22" s="1672">
        <f t="shared" si="18"/>
        <v>48</v>
      </c>
      <c r="M22" s="1673">
        <f t="shared" si="19"/>
        <v>2</v>
      </c>
      <c r="N22" s="1672">
        <f t="shared" si="20"/>
        <v>48</v>
      </c>
      <c r="O22" s="1673">
        <f t="shared" si="21"/>
        <v>2</v>
      </c>
      <c r="P22" s="6"/>
      <c r="Q22" s="1672">
        <f t="shared" si="10"/>
        <v>14</v>
      </c>
      <c r="R22" s="1673">
        <f t="shared" si="11"/>
        <v>6</v>
      </c>
      <c r="S22" s="1672">
        <f t="shared" si="22"/>
        <v>14</v>
      </c>
      <c r="T22" s="1673">
        <f t="shared" si="12"/>
        <v>6</v>
      </c>
      <c r="U22" s="1672">
        <f t="shared" si="23"/>
        <v>14</v>
      </c>
      <c r="V22" s="1673">
        <f t="shared" si="24"/>
        <v>6</v>
      </c>
      <c r="W22" s="1672">
        <f t="shared" si="25"/>
        <v>14</v>
      </c>
      <c r="X22" s="1673">
        <f t="shared" si="13"/>
        <v>6</v>
      </c>
      <c r="Y22" s="1672">
        <f t="shared" si="26"/>
        <v>14</v>
      </c>
      <c r="Z22" s="1673">
        <f t="shared" si="27"/>
        <v>6</v>
      </c>
      <c r="AA22" s="6"/>
      <c r="AB22" s="1672">
        <f t="shared" si="14"/>
        <v>5</v>
      </c>
      <c r="AC22" s="1673">
        <f t="shared" si="15"/>
        <v>0</v>
      </c>
      <c r="AD22" s="1672">
        <f t="shared" si="28"/>
        <v>5</v>
      </c>
      <c r="AE22" s="1673">
        <f t="shared" si="29"/>
        <v>0</v>
      </c>
      <c r="AF22" s="1672">
        <f t="shared" si="30"/>
        <v>5</v>
      </c>
      <c r="AG22" s="1673">
        <f t="shared" si="31"/>
        <v>0</v>
      </c>
      <c r="AH22" s="1672">
        <f t="shared" si="32"/>
        <v>5</v>
      </c>
      <c r="AI22" s="1673">
        <f t="shared" si="33"/>
        <v>0</v>
      </c>
      <c r="AJ22" s="1672">
        <f t="shared" si="34"/>
        <v>5</v>
      </c>
      <c r="AK22" s="1673">
        <f t="shared" si="35"/>
        <v>0</v>
      </c>
      <c r="AL22" s="6"/>
      <c r="AM22" s="4"/>
    </row>
    <row r="23" spans="1:39">
      <c r="A23" s="4"/>
      <c r="B23" s="1678"/>
      <c r="C23" s="1974"/>
      <c r="D23" s="1671" t="s">
        <v>352</v>
      </c>
      <c r="E23" s="1671"/>
      <c r="F23" s="1672">
        <f t="shared" si="6"/>
        <v>48</v>
      </c>
      <c r="G23" s="1673">
        <f t="shared" si="7"/>
        <v>2</v>
      </c>
      <c r="H23" s="1672">
        <f t="shared" si="16"/>
        <v>48</v>
      </c>
      <c r="I23" s="1673">
        <f t="shared" si="8"/>
        <v>2</v>
      </c>
      <c r="J23" s="1672">
        <f t="shared" si="17"/>
        <v>48</v>
      </c>
      <c r="K23" s="1673">
        <f t="shared" si="9"/>
        <v>2</v>
      </c>
      <c r="L23" s="1672">
        <f t="shared" si="18"/>
        <v>48</v>
      </c>
      <c r="M23" s="1673">
        <f t="shared" si="19"/>
        <v>2</v>
      </c>
      <c r="N23" s="1672">
        <f t="shared" si="20"/>
        <v>48</v>
      </c>
      <c r="O23" s="1673">
        <f t="shared" si="21"/>
        <v>2</v>
      </c>
      <c r="P23" s="6"/>
      <c r="Q23" s="1672">
        <f t="shared" si="10"/>
        <v>14</v>
      </c>
      <c r="R23" s="1673">
        <f t="shared" si="11"/>
        <v>6</v>
      </c>
      <c r="S23" s="1672">
        <f t="shared" si="22"/>
        <v>14</v>
      </c>
      <c r="T23" s="1673">
        <f t="shared" si="12"/>
        <v>6</v>
      </c>
      <c r="U23" s="1672">
        <f t="shared" si="23"/>
        <v>14</v>
      </c>
      <c r="V23" s="1673">
        <f t="shared" si="24"/>
        <v>6</v>
      </c>
      <c r="W23" s="1672">
        <f t="shared" si="25"/>
        <v>14</v>
      </c>
      <c r="X23" s="1673">
        <f t="shared" si="13"/>
        <v>6</v>
      </c>
      <c r="Y23" s="1672">
        <f t="shared" si="26"/>
        <v>14</v>
      </c>
      <c r="Z23" s="1673">
        <f t="shared" si="27"/>
        <v>6</v>
      </c>
      <c r="AA23" s="6"/>
      <c r="AB23" s="1672">
        <f t="shared" si="14"/>
        <v>5</v>
      </c>
      <c r="AC23" s="1673">
        <f t="shared" si="15"/>
        <v>0</v>
      </c>
      <c r="AD23" s="1672">
        <f t="shared" si="28"/>
        <v>5</v>
      </c>
      <c r="AE23" s="1673">
        <f t="shared" si="29"/>
        <v>0</v>
      </c>
      <c r="AF23" s="1672">
        <f t="shared" si="30"/>
        <v>5</v>
      </c>
      <c r="AG23" s="1673">
        <f t="shared" si="31"/>
        <v>0</v>
      </c>
      <c r="AH23" s="1672">
        <f t="shared" si="32"/>
        <v>5</v>
      </c>
      <c r="AI23" s="1673">
        <f t="shared" si="33"/>
        <v>0</v>
      </c>
      <c r="AJ23" s="1672">
        <f t="shared" si="34"/>
        <v>5</v>
      </c>
      <c r="AK23" s="1673">
        <f t="shared" si="35"/>
        <v>0</v>
      </c>
      <c r="AL23" s="6"/>
      <c r="AM23" s="4"/>
    </row>
    <row r="24" spans="1:39">
      <c r="A24" s="4"/>
      <c r="B24" s="1678"/>
      <c r="C24" s="1974"/>
      <c r="D24" s="1671" t="s">
        <v>353</v>
      </c>
      <c r="E24" s="1671"/>
      <c r="F24" s="1672">
        <f t="shared" si="6"/>
        <v>48</v>
      </c>
      <c r="G24" s="1673">
        <f t="shared" si="7"/>
        <v>2</v>
      </c>
      <c r="H24" s="1672">
        <f t="shared" si="16"/>
        <v>48</v>
      </c>
      <c r="I24" s="1673">
        <f t="shared" si="8"/>
        <v>2</v>
      </c>
      <c r="J24" s="1672">
        <f t="shared" si="17"/>
        <v>48</v>
      </c>
      <c r="K24" s="1673">
        <f t="shared" si="9"/>
        <v>2</v>
      </c>
      <c r="L24" s="1672">
        <f t="shared" si="18"/>
        <v>48</v>
      </c>
      <c r="M24" s="1673">
        <f t="shared" si="19"/>
        <v>2</v>
      </c>
      <c r="N24" s="1672">
        <f t="shared" si="20"/>
        <v>48</v>
      </c>
      <c r="O24" s="1673">
        <f t="shared" si="21"/>
        <v>2</v>
      </c>
      <c r="P24" s="6"/>
      <c r="Q24" s="1672">
        <f t="shared" si="10"/>
        <v>14</v>
      </c>
      <c r="R24" s="1673">
        <f t="shared" si="11"/>
        <v>6</v>
      </c>
      <c r="S24" s="1672">
        <f t="shared" si="22"/>
        <v>14</v>
      </c>
      <c r="T24" s="1673">
        <f t="shared" si="12"/>
        <v>6</v>
      </c>
      <c r="U24" s="1672">
        <f t="shared" si="23"/>
        <v>14</v>
      </c>
      <c r="V24" s="1673">
        <f t="shared" si="24"/>
        <v>6</v>
      </c>
      <c r="W24" s="1672">
        <f t="shared" si="25"/>
        <v>14</v>
      </c>
      <c r="X24" s="1673">
        <f t="shared" si="13"/>
        <v>6</v>
      </c>
      <c r="Y24" s="1672">
        <f t="shared" si="26"/>
        <v>14</v>
      </c>
      <c r="Z24" s="1673">
        <f t="shared" si="27"/>
        <v>6</v>
      </c>
      <c r="AA24" s="6"/>
      <c r="AB24" s="1672">
        <f t="shared" si="14"/>
        <v>5</v>
      </c>
      <c r="AC24" s="1673">
        <f t="shared" si="15"/>
        <v>0</v>
      </c>
      <c r="AD24" s="1672">
        <f t="shared" si="28"/>
        <v>5</v>
      </c>
      <c r="AE24" s="1673">
        <f t="shared" si="29"/>
        <v>0</v>
      </c>
      <c r="AF24" s="1672">
        <f t="shared" si="30"/>
        <v>5</v>
      </c>
      <c r="AG24" s="1673">
        <f t="shared" si="31"/>
        <v>0</v>
      </c>
      <c r="AH24" s="1672">
        <f t="shared" si="32"/>
        <v>5</v>
      </c>
      <c r="AI24" s="1673">
        <f t="shared" si="33"/>
        <v>0</v>
      </c>
      <c r="AJ24" s="1672">
        <f t="shared" si="34"/>
        <v>5</v>
      </c>
      <c r="AK24" s="1673">
        <f t="shared" si="35"/>
        <v>0</v>
      </c>
      <c r="AL24" s="6"/>
      <c r="AM24" s="4"/>
    </row>
    <row r="25" spans="1:39">
      <c r="A25" s="4"/>
      <c r="B25" s="1678"/>
      <c r="C25" s="1974"/>
      <c r="D25" s="1671" t="s">
        <v>3653</v>
      </c>
      <c r="E25" s="1671"/>
      <c r="F25" s="1672">
        <f t="shared" si="6"/>
        <v>48</v>
      </c>
      <c r="G25" s="1673">
        <f t="shared" si="7"/>
        <v>2</v>
      </c>
      <c r="H25" s="1672">
        <f t="shared" si="16"/>
        <v>48</v>
      </c>
      <c r="I25" s="1673">
        <f t="shared" si="8"/>
        <v>2</v>
      </c>
      <c r="J25" s="1672">
        <f t="shared" si="17"/>
        <v>48</v>
      </c>
      <c r="K25" s="1673">
        <f t="shared" si="9"/>
        <v>2</v>
      </c>
      <c r="L25" s="1672">
        <f t="shared" si="18"/>
        <v>48</v>
      </c>
      <c r="M25" s="1673">
        <f t="shared" si="19"/>
        <v>2</v>
      </c>
      <c r="N25" s="1672">
        <f t="shared" si="20"/>
        <v>48</v>
      </c>
      <c r="O25" s="1673">
        <f t="shared" si="21"/>
        <v>2</v>
      </c>
      <c r="P25" s="6"/>
      <c r="Q25" s="1672">
        <f t="shared" si="10"/>
        <v>14</v>
      </c>
      <c r="R25" s="1673">
        <f t="shared" si="11"/>
        <v>6</v>
      </c>
      <c r="S25" s="1672">
        <f t="shared" si="22"/>
        <v>14</v>
      </c>
      <c r="T25" s="1673">
        <f t="shared" si="12"/>
        <v>6</v>
      </c>
      <c r="U25" s="1672">
        <f t="shared" si="23"/>
        <v>14</v>
      </c>
      <c r="V25" s="1673">
        <f t="shared" si="24"/>
        <v>6</v>
      </c>
      <c r="W25" s="1672">
        <f t="shared" si="25"/>
        <v>14</v>
      </c>
      <c r="X25" s="1673">
        <f t="shared" si="13"/>
        <v>6</v>
      </c>
      <c r="Y25" s="1672">
        <f t="shared" si="26"/>
        <v>14</v>
      </c>
      <c r="Z25" s="1673">
        <f t="shared" si="27"/>
        <v>6</v>
      </c>
      <c r="AA25" s="6"/>
      <c r="AB25" s="1672">
        <f t="shared" si="14"/>
        <v>5</v>
      </c>
      <c r="AC25" s="1673">
        <f t="shared" si="15"/>
        <v>0</v>
      </c>
      <c r="AD25" s="1672">
        <f t="shared" si="28"/>
        <v>5</v>
      </c>
      <c r="AE25" s="1673">
        <f t="shared" si="29"/>
        <v>0</v>
      </c>
      <c r="AF25" s="1672">
        <f t="shared" si="30"/>
        <v>5</v>
      </c>
      <c r="AG25" s="1673">
        <f t="shared" si="31"/>
        <v>0</v>
      </c>
      <c r="AH25" s="1672">
        <f t="shared" si="32"/>
        <v>5</v>
      </c>
      <c r="AI25" s="1673">
        <f t="shared" si="33"/>
        <v>0</v>
      </c>
      <c r="AJ25" s="1672">
        <f t="shared" si="34"/>
        <v>5</v>
      </c>
      <c r="AK25" s="1673">
        <f t="shared" si="35"/>
        <v>0</v>
      </c>
      <c r="AL25" s="6"/>
      <c r="AM25" s="4"/>
    </row>
    <row r="26" spans="1:39">
      <c r="A26" s="4"/>
      <c r="B26" s="1678"/>
      <c r="C26" s="1974"/>
      <c r="D26" s="1671" t="s">
        <v>3654</v>
      </c>
      <c r="E26" s="1671"/>
      <c r="F26" s="1672">
        <f t="shared" si="6"/>
        <v>48</v>
      </c>
      <c r="G26" s="1673">
        <f t="shared" si="7"/>
        <v>2</v>
      </c>
      <c r="H26" s="1672">
        <f t="shared" si="16"/>
        <v>48</v>
      </c>
      <c r="I26" s="1673">
        <f t="shared" si="8"/>
        <v>2</v>
      </c>
      <c r="J26" s="1672">
        <f t="shared" si="17"/>
        <v>48</v>
      </c>
      <c r="K26" s="1673">
        <f t="shared" si="9"/>
        <v>2</v>
      </c>
      <c r="L26" s="1672">
        <f t="shared" si="18"/>
        <v>48</v>
      </c>
      <c r="M26" s="1673">
        <f t="shared" si="19"/>
        <v>2</v>
      </c>
      <c r="N26" s="1672">
        <f t="shared" si="20"/>
        <v>48</v>
      </c>
      <c r="O26" s="1673">
        <f t="shared" si="21"/>
        <v>2</v>
      </c>
      <c r="P26" s="6"/>
      <c r="Q26" s="1672">
        <f t="shared" si="10"/>
        <v>14</v>
      </c>
      <c r="R26" s="1673">
        <f t="shared" si="11"/>
        <v>6</v>
      </c>
      <c r="S26" s="1672">
        <f t="shared" si="22"/>
        <v>14</v>
      </c>
      <c r="T26" s="1673">
        <f t="shared" si="12"/>
        <v>6</v>
      </c>
      <c r="U26" s="1672">
        <f t="shared" si="23"/>
        <v>14</v>
      </c>
      <c r="V26" s="1673">
        <f t="shared" si="24"/>
        <v>6</v>
      </c>
      <c r="W26" s="1672">
        <f t="shared" si="25"/>
        <v>14</v>
      </c>
      <c r="X26" s="1673">
        <f t="shared" si="13"/>
        <v>6</v>
      </c>
      <c r="Y26" s="1672">
        <f t="shared" si="26"/>
        <v>14</v>
      </c>
      <c r="Z26" s="1673">
        <f t="shared" si="27"/>
        <v>6</v>
      </c>
      <c r="AA26" s="6"/>
      <c r="AB26" s="1672">
        <f t="shared" si="14"/>
        <v>5</v>
      </c>
      <c r="AC26" s="1673">
        <f t="shared" si="15"/>
        <v>0</v>
      </c>
      <c r="AD26" s="1672">
        <f t="shared" si="28"/>
        <v>5</v>
      </c>
      <c r="AE26" s="1673">
        <f t="shared" si="29"/>
        <v>0</v>
      </c>
      <c r="AF26" s="1672">
        <f t="shared" si="30"/>
        <v>5</v>
      </c>
      <c r="AG26" s="1673">
        <f t="shared" si="31"/>
        <v>0</v>
      </c>
      <c r="AH26" s="1672">
        <f t="shared" si="32"/>
        <v>5</v>
      </c>
      <c r="AI26" s="1673">
        <f t="shared" si="33"/>
        <v>0</v>
      </c>
      <c r="AJ26" s="1672">
        <f t="shared" si="34"/>
        <v>5</v>
      </c>
      <c r="AK26" s="1673">
        <f t="shared" si="35"/>
        <v>0</v>
      </c>
      <c r="AL26" s="6"/>
      <c r="AM26" s="4"/>
    </row>
    <row r="27" spans="1:39">
      <c r="A27" s="4"/>
      <c r="B27" s="1678"/>
      <c r="C27" s="1974"/>
      <c r="D27" s="1671" t="s">
        <v>3655</v>
      </c>
      <c r="E27" s="1671"/>
      <c r="F27" s="1672">
        <f t="shared" si="6"/>
        <v>48</v>
      </c>
      <c r="G27" s="1673">
        <f t="shared" si="7"/>
        <v>2</v>
      </c>
      <c r="H27" s="1672">
        <f t="shared" si="16"/>
        <v>48</v>
      </c>
      <c r="I27" s="1673">
        <f t="shared" si="8"/>
        <v>2</v>
      </c>
      <c r="J27" s="1672">
        <f t="shared" si="17"/>
        <v>48</v>
      </c>
      <c r="K27" s="1673">
        <f t="shared" si="9"/>
        <v>2</v>
      </c>
      <c r="L27" s="1672">
        <f t="shared" si="18"/>
        <v>48</v>
      </c>
      <c r="M27" s="1673">
        <f t="shared" si="19"/>
        <v>2</v>
      </c>
      <c r="N27" s="1672">
        <f t="shared" si="20"/>
        <v>48</v>
      </c>
      <c r="O27" s="1673">
        <f t="shared" si="21"/>
        <v>2</v>
      </c>
      <c r="P27" s="6"/>
      <c r="Q27" s="1672">
        <f t="shared" si="10"/>
        <v>14</v>
      </c>
      <c r="R27" s="1673">
        <f t="shared" si="11"/>
        <v>6</v>
      </c>
      <c r="S27" s="1672">
        <f t="shared" si="22"/>
        <v>14</v>
      </c>
      <c r="T27" s="1673">
        <f t="shared" si="12"/>
        <v>6</v>
      </c>
      <c r="U27" s="1672">
        <f t="shared" si="23"/>
        <v>14</v>
      </c>
      <c r="V27" s="1673">
        <f t="shared" si="24"/>
        <v>6</v>
      </c>
      <c r="W27" s="1672">
        <f t="shared" si="25"/>
        <v>14</v>
      </c>
      <c r="X27" s="1673">
        <f t="shared" si="13"/>
        <v>6</v>
      </c>
      <c r="Y27" s="1672">
        <f t="shared" si="26"/>
        <v>14</v>
      </c>
      <c r="Z27" s="1673">
        <f t="shared" si="27"/>
        <v>6</v>
      </c>
      <c r="AA27" s="6"/>
      <c r="AB27" s="1672">
        <f t="shared" si="14"/>
        <v>5</v>
      </c>
      <c r="AC27" s="1673">
        <f t="shared" si="15"/>
        <v>0</v>
      </c>
      <c r="AD27" s="1672">
        <f t="shared" si="28"/>
        <v>5</v>
      </c>
      <c r="AE27" s="1673">
        <f t="shared" si="29"/>
        <v>0</v>
      </c>
      <c r="AF27" s="1672">
        <f t="shared" si="30"/>
        <v>5</v>
      </c>
      <c r="AG27" s="1673">
        <f t="shared" si="31"/>
        <v>0</v>
      </c>
      <c r="AH27" s="1672">
        <f t="shared" si="32"/>
        <v>5</v>
      </c>
      <c r="AI27" s="1673">
        <f t="shared" si="33"/>
        <v>0</v>
      </c>
      <c r="AJ27" s="1672">
        <f t="shared" si="34"/>
        <v>5</v>
      </c>
      <c r="AK27" s="1673">
        <f t="shared" si="35"/>
        <v>0</v>
      </c>
      <c r="AL27" s="6"/>
      <c r="AM27" s="4"/>
    </row>
    <row r="28" spans="1:39" s="1" customFormat="1">
      <c r="A28" s="1852"/>
      <c r="B28" s="1975"/>
      <c r="C28" s="1974"/>
      <c r="D28" s="1671" t="s">
        <v>3656</v>
      </c>
      <c r="E28" s="1671"/>
      <c r="F28" s="1672">
        <f t="shared" si="6"/>
        <v>48</v>
      </c>
      <c r="G28" s="1673">
        <f t="shared" si="7"/>
        <v>2</v>
      </c>
      <c r="H28" s="1672">
        <f t="shared" si="16"/>
        <v>48</v>
      </c>
      <c r="I28" s="1673">
        <f t="shared" si="8"/>
        <v>2</v>
      </c>
      <c r="J28" s="1672">
        <f t="shared" si="17"/>
        <v>48</v>
      </c>
      <c r="K28" s="1673">
        <f t="shared" si="9"/>
        <v>2</v>
      </c>
      <c r="L28" s="1672">
        <f t="shared" si="18"/>
        <v>48</v>
      </c>
      <c r="M28" s="1673">
        <f t="shared" si="19"/>
        <v>2</v>
      </c>
      <c r="N28" s="1672">
        <f t="shared" si="20"/>
        <v>48</v>
      </c>
      <c r="O28" s="1673">
        <f t="shared" si="21"/>
        <v>2</v>
      </c>
      <c r="P28" s="1671"/>
      <c r="Q28" s="1672">
        <f t="shared" si="10"/>
        <v>14</v>
      </c>
      <c r="R28" s="1673">
        <f t="shared" si="11"/>
        <v>6</v>
      </c>
      <c r="S28" s="1672">
        <f t="shared" si="22"/>
        <v>14</v>
      </c>
      <c r="T28" s="1673">
        <f t="shared" si="12"/>
        <v>6</v>
      </c>
      <c r="U28" s="1672">
        <f t="shared" si="23"/>
        <v>14</v>
      </c>
      <c r="V28" s="1673">
        <f t="shared" si="24"/>
        <v>6</v>
      </c>
      <c r="W28" s="1672">
        <f t="shared" si="25"/>
        <v>14</v>
      </c>
      <c r="X28" s="1673">
        <f t="shared" si="13"/>
        <v>6</v>
      </c>
      <c r="Y28" s="1672">
        <f t="shared" si="26"/>
        <v>14</v>
      </c>
      <c r="Z28" s="1673">
        <f t="shared" si="27"/>
        <v>6</v>
      </c>
      <c r="AA28" s="1671"/>
      <c r="AB28" s="1672">
        <f t="shared" si="14"/>
        <v>5</v>
      </c>
      <c r="AC28" s="1673">
        <f t="shared" si="15"/>
        <v>0</v>
      </c>
      <c r="AD28" s="1672">
        <f t="shared" si="28"/>
        <v>5</v>
      </c>
      <c r="AE28" s="1673">
        <f t="shared" si="29"/>
        <v>0</v>
      </c>
      <c r="AF28" s="1672">
        <f t="shared" si="30"/>
        <v>5</v>
      </c>
      <c r="AG28" s="1673">
        <f t="shared" si="31"/>
        <v>0</v>
      </c>
      <c r="AH28" s="1672">
        <f t="shared" si="32"/>
        <v>5</v>
      </c>
      <c r="AI28" s="1673">
        <f t="shared" si="33"/>
        <v>0</v>
      </c>
      <c r="AJ28" s="1672">
        <f t="shared" si="34"/>
        <v>5</v>
      </c>
      <c r="AK28" s="1673">
        <f t="shared" si="35"/>
        <v>0</v>
      </c>
      <c r="AL28" s="1671"/>
      <c r="AM28" s="1852"/>
    </row>
    <row r="29" spans="1:39">
      <c r="A29" s="4"/>
      <c r="B29" s="1678"/>
      <c r="C29" s="1974"/>
      <c r="D29" s="1975"/>
      <c r="E29" s="1677" t="s">
        <v>726</v>
      </c>
      <c r="F29" s="1998">
        <f>AVERAGE(F17:F28)</f>
        <v>48</v>
      </c>
      <c r="G29" s="1999">
        <f t="shared" ref="G29:O29" si="36">AVERAGE(G17:G28)</f>
        <v>2</v>
      </c>
      <c r="H29" s="2000">
        <f t="shared" si="36"/>
        <v>48</v>
      </c>
      <c r="I29" s="1999">
        <f t="shared" si="36"/>
        <v>2</v>
      </c>
      <c r="J29" s="1998">
        <f t="shared" si="36"/>
        <v>48</v>
      </c>
      <c r="K29" s="1999">
        <f t="shared" si="36"/>
        <v>2</v>
      </c>
      <c r="L29" s="1998">
        <f t="shared" si="36"/>
        <v>48</v>
      </c>
      <c r="M29" s="1999">
        <f t="shared" si="36"/>
        <v>2</v>
      </c>
      <c r="N29" s="1998">
        <f t="shared" si="36"/>
        <v>48</v>
      </c>
      <c r="O29" s="1999">
        <f t="shared" si="36"/>
        <v>2</v>
      </c>
      <c r="P29" s="1975"/>
      <c r="Q29" s="1998">
        <f t="shared" ref="Q29:Z29" si="37">AVERAGE(Q17:Q28)</f>
        <v>14</v>
      </c>
      <c r="R29" s="1999">
        <f t="shared" si="37"/>
        <v>6</v>
      </c>
      <c r="S29" s="1998">
        <f t="shared" si="37"/>
        <v>14</v>
      </c>
      <c r="T29" s="1999">
        <f t="shared" si="37"/>
        <v>6</v>
      </c>
      <c r="U29" s="1998">
        <f t="shared" si="37"/>
        <v>14</v>
      </c>
      <c r="V29" s="1999">
        <f t="shared" si="37"/>
        <v>6</v>
      </c>
      <c r="W29" s="1998">
        <f t="shared" si="37"/>
        <v>14</v>
      </c>
      <c r="X29" s="1999">
        <f t="shared" si="37"/>
        <v>6</v>
      </c>
      <c r="Y29" s="1998">
        <f t="shared" si="37"/>
        <v>14</v>
      </c>
      <c r="Z29" s="1999">
        <f t="shared" si="37"/>
        <v>6</v>
      </c>
      <c r="AA29" s="1678"/>
      <c r="AB29" s="1998">
        <f t="shared" ref="AB29:AK29" si="38">AVERAGE(AB17:AB28)</f>
        <v>5</v>
      </c>
      <c r="AC29" s="1999">
        <f t="shared" si="38"/>
        <v>0</v>
      </c>
      <c r="AD29" s="1998">
        <f t="shared" si="38"/>
        <v>5</v>
      </c>
      <c r="AE29" s="1999">
        <f t="shared" si="38"/>
        <v>0</v>
      </c>
      <c r="AF29" s="1998">
        <f t="shared" si="38"/>
        <v>5</v>
      </c>
      <c r="AG29" s="1999">
        <f t="shared" si="38"/>
        <v>0</v>
      </c>
      <c r="AH29" s="1998">
        <f t="shared" si="38"/>
        <v>5</v>
      </c>
      <c r="AI29" s="1999">
        <f t="shared" si="38"/>
        <v>0</v>
      </c>
      <c r="AJ29" s="1998">
        <f t="shared" si="38"/>
        <v>5</v>
      </c>
      <c r="AK29" s="1999">
        <f t="shared" si="38"/>
        <v>0</v>
      </c>
      <c r="AL29" s="1678"/>
      <c r="AM29" s="4"/>
    </row>
    <row r="30" spans="1:39">
      <c r="A30" s="4"/>
      <c r="B30" s="1678"/>
      <c r="C30" s="1974" t="s">
        <v>3665</v>
      </c>
      <c r="D30" s="1975"/>
      <c r="E30" s="2001"/>
      <c r="F30" s="2002"/>
      <c r="G30" s="2003"/>
      <c r="H30" s="2002"/>
      <c r="I30" s="2003"/>
      <c r="J30" s="2002"/>
      <c r="K30" s="2003"/>
      <c r="L30" s="2002"/>
      <c r="M30" s="2003"/>
      <c r="N30" s="2002"/>
      <c r="O30" s="2004"/>
      <c r="P30" s="1576"/>
      <c r="Q30" s="2002"/>
      <c r="R30" s="2003"/>
      <c r="S30" s="2002"/>
      <c r="T30" s="2003"/>
      <c r="U30" s="2002"/>
      <c r="V30" s="2003"/>
      <c r="W30" s="2002"/>
      <c r="X30" s="2003"/>
      <c r="Y30" s="2002"/>
      <c r="Z30" s="2004"/>
      <c r="AA30" s="2005"/>
      <c r="AB30" s="2002"/>
      <c r="AC30" s="2003"/>
      <c r="AD30" s="2002"/>
      <c r="AE30" s="2003"/>
      <c r="AF30" s="2002"/>
      <c r="AG30" s="2003"/>
      <c r="AH30" s="2002"/>
      <c r="AI30" s="2003"/>
      <c r="AJ30" s="2002"/>
      <c r="AK30" s="2004"/>
      <c r="AL30" s="2005"/>
      <c r="AM30" s="4"/>
    </row>
    <row r="31" spans="1:39">
      <c r="A31" s="4"/>
      <c r="B31" s="1678"/>
      <c r="C31" s="1974"/>
      <c r="D31" s="1975" t="str">
        <f>$D$17</f>
        <v>Month 1</v>
      </c>
      <c r="E31" s="2001"/>
      <c r="F31" s="2002">
        <f>'2.0 Patients'!R21-'2.0 Patients'!Q21</f>
        <v>0</v>
      </c>
      <c r="G31" s="2003">
        <f>'2.0 Patients'!R23-'2.0 Patients'!Q23</f>
        <v>0</v>
      </c>
      <c r="H31" s="2002">
        <f>'2.0 Patients'!AD21-'2.0 Patients'!AC21</f>
        <v>0</v>
      </c>
      <c r="I31" s="2003">
        <f>'2.0 Patients'!AD23-'2.0 Patients'!AC23</f>
        <v>0</v>
      </c>
      <c r="J31" s="2002">
        <f>'2.0 Patients'!AP21-'2.0 Patients'!AO21</f>
        <v>0</v>
      </c>
      <c r="K31" s="2003">
        <f>'2.0 Patients'!AP23-'2.0 Patients'!AO23</f>
        <v>0</v>
      </c>
      <c r="L31" s="2002">
        <f>'2.0 Patients'!BB21-'2.0 Patients'!BA21</f>
        <v>0</v>
      </c>
      <c r="M31" s="2003">
        <f>'2.0 Patients'!BB23-'2.0 Patients'!BA23</f>
        <v>0</v>
      </c>
      <c r="N31" s="2002">
        <f>'2.0 Patients'!BN21-'2.0 Patients'!BM21</f>
        <v>0</v>
      </c>
      <c r="O31" s="2004">
        <f>'2.0 Patients'!BN23-'2.0 Patients'!BM23</f>
        <v>0</v>
      </c>
      <c r="P31" s="1576"/>
      <c r="Q31" s="2002">
        <f>'2.0 Patients'!R27-'2.0 Patients'!Q27</f>
        <v>0</v>
      </c>
      <c r="R31" s="2003">
        <f>'2.0 Patients'!R29-'2.0 Patients'!Q29</f>
        <v>0</v>
      </c>
      <c r="S31" s="2002">
        <f>'2.0 Patients'!AD27-'2.0 Patients'!AC27</f>
        <v>0</v>
      </c>
      <c r="T31" s="2003">
        <f>'2.0 Patients'!AD29-'2.0 Patients'!AC29</f>
        <v>0</v>
      </c>
      <c r="U31" s="2002">
        <f>'2.0 Patients'!AP27-'2.0 Patients'!AO27</f>
        <v>0</v>
      </c>
      <c r="V31" s="2003">
        <f>'2.0 Patients'!AP29-'2.0 Patients'!AO29</f>
        <v>0</v>
      </c>
      <c r="W31" s="2002">
        <f>'2.0 Patients'!BB27-'2.0 Patients'!BA27</f>
        <v>0</v>
      </c>
      <c r="X31" s="2003">
        <f>'2.0 Patients'!BB29-'2.0 Patients'!BA29</f>
        <v>0</v>
      </c>
      <c r="Y31" s="2002">
        <f>'2.0 Patients'!BN27-'2.0 Patients'!BM27</f>
        <v>0</v>
      </c>
      <c r="Z31" s="2004">
        <f>'2.0 Patients'!BN29-'2.0 Patients'!BM29</f>
        <v>0</v>
      </c>
      <c r="AA31" s="2005"/>
      <c r="AB31" s="2002">
        <f>'2.0 Patients'!R33-'2.0 Patients'!Q33</f>
        <v>0</v>
      </c>
      <c r="AC31" s="2003">
        <f>'2.0 Patients'!R35-'2.0 Patients'!Q35</f>
        <v>0</v>
      </c>
      <c r="AD31" s="2002">
        <f>'2.0 Patients'!AD33-'2.0 Patients'!AC33</f>
        <v>0</v>
      </c>
      <c r="AE31" s="2003">
        <f>'2.0 Patients'!AD35-'2.0 Patients'!AC35</f>
        <v>0</v>
      </c>
      <c r="AF31" s="2002">
        <f>'2.0 Patients'!AP33-'2.0 Patients'!AO33</f>
        <v>0</v>
      </c>
      <c r="AG31" s="2003">
        <f>'2.0 Patients'!AP35-'2.0 Patients'!AO35</f>
        <v>0</v>
      </c>
      <c r="AH31" s="2002">
        <f>'2.0 Patients'!BB33-'2.0 Patients'!BA33</f>
        <v>0</v>
      </c>
      <c r="AI31" s="2003">
        <f>'2.0 Patients'!BB35-'2.0 Patients'!BA35</f>
        <v>0</v>
      </c>
      <c r="AJ31" s="2002">
        <f>'2.0 Patients'!BN33-'2.0 Patients'!BM33</f>
        <v>0</v>
      </c>
      <c r="AK31" s="2004">
        <f>'2.0 Patients'!BN35-'2.0 Patients'!BM35</f>
        <v>0</v>
      </c>
      <c r="AL31" s="2005"/>
      <c r="AM31" s="4"/>
    </row>
    <row r="32" spans="1:39">
      <c r="A32" s="4"/>
      <c r="B32" s="1678"/>
      <c r="C32" s="1974"/>
      <c r="D32" s="1975" t="str">
        <f>$D$18</f>
        <v>Month 2</v>
      </c>
      <c r="E32" s="2001"/>
      <c r="F32" s="2002">
        <f>'2.0 Patients'!S21-'2.0 Patients'!R21</f>
        <v>0</v>
      </c>
      <c r="G32" s="2003">
        <f>'2.0 Patients'!S23-'2.0 Patients'!R23</f>
        <v>0</v>
      </c>
      <c r="H32" s="2002">
        <f>'2.0 Patients'!AE21-'2.0 Patients'!AD21</f>
        <v>0</v>
      </c>
      <c r="I32" s="2003">
        <f>'2.0 Patients'!AE23-'2.0 Patients'!AD23</f>
        <v>0</v>
      </c>
      <c r="J32" s="2002">
        <f>'2.0 Patients'!AQ21-'2.0 Patients'!AP21</f>
        <v>0</v>
      </c>
      <c r="K32" s="2003">
        <f>'2.0 Patients'!AQ23-'2.0 Patients'!AP23</f>
        <v>0</v>
      </c>
      <c r="L32" s="2002">
        <f>'2.0 Patients'!BC21-'2.0 Patients'!BB21</f>
        <v>0</v>
      </c>
      <c r="M32" s="2003">
        <f>'2.0 Patients'!BC23-'2.0 Patients'!BB23</f>
        <v>0</v>
      </c>
      <c r="N32" s="2002">
        <f>'2.0 Patients'!BO21-'2.0 Patients'!BN21</f>
        <v>0</v>
      </c>
      <c r="O32" s="2004">
        <f>'2.0 Patients'!BO23-'2.0 Patients'!BN23</f>
        <v>0</v>
      </c>
      <c r="P32" s="1576"/>
      <c r="Q32" s="2002">
        <f>'2.0 Patients'!S27-'2.0 Patients'!R27</f>
        <v>0</v>
      </c>
      <c r="R32" s="2003">
        <f>'2.0 Patients'!S29-'2.0 Patients'!R29</f>
        <v>0</v>
      </c>
      <c r="S32" s="2002">
        <f>'2.0 Patients'!AE27-'2.0 Patients'!AD27</f>
        <v>0</v>
      </c>
      <c r="T32" s="2003">
        <f>'2.0 Patients'!AE29-'2.0 Patients'!AD29</f>
        <v>0</v>
      </c>
      <c r="U32" s="2002">
        <f>'2.0 Patients'!AQ27-'2.0 Patients'!AP27</f>
        <v>0</v>
      </c>
      <c r="V32" s="2003">
        <f>'2.0 Patients'!AQ29-'2.0 Patients'!AP29</f>
        <v>0</v>
      </c>
      <c r="W32" s="2002">
        <f>'2.0 Patients'!BC27-'2.0 Patients'!BB27</f>
        <v>0</v>
      </c>
      <c r="X32" s="2003">
        <f>'2.0 Patients'!BC29-'2.0 Patients'!BB29</f>
        <v>0</v>
      </c>
      <c r="Y32" s="2002">
        <f>'2.0 Patients'!BO27-'2.0 Patients'!BN27</f>
        <v>0</v>
      </c>
      <c r="Z32" s="2004">
        <f>'2.0 Patients'!BO29-'2.0 Patients'!BN29</f>
        <v>0</v>
      </c>
      <c r="AA32" s="2005"/>
      <c r="AB32" s="2002">
        <f>'2.0 Patients'!S33-'2.0 Patients'!R33</f>
        <v>0</v>
      </c>
      <c r="AC32" s="2003">
        <f>'2.0 Patients'!S35-'2.0 Patients'!R35</f>
        <v>0</v>
      </c>
      <c r="AD32" s="2002">
        <f>'2.0 Patients'!AE33-'2.0 Patients'!AD33</f>
        <v>0</v>
      </c>
      <c r="AE32" s="2003">
        <f>'2.0 Patients'!AE35-'2.0 Patients'!AD35</f>
        <v>0</v>
      </c>
      <c r="AF32" s="2002">
        <f>'2.0 Patients'!AQ33-'2.0 Patients'!AP33</f>
        <v>0</v>
      </c>
      <c r="AG32" s="2003">
        <f>'2.0 Patients'!AQ35-'2.0 Patients'!AP35</f>
        <v>0</v>
      </c>
      <c r="AH32" s="2002">
        <f>'2.0 Patients'!BC33-'2.0 Patients'!BB33</f>
        <v>0</v>
      </c>
      <c r="AI32" s="2003">
        <f>'2.0 Patients'!BC35-'2.0 Patients'!BB35</f>
        <v>0</v>
      </c>
      <c r="AJ32" s="2002">
        <f>'2.0 Patients'!BO33-'2.0 Patients'!BN33</f>
        <v>0</v>
      </c>
      <c r="AK32" s="2004">
        <f>'2.0 Patients'!BO35-'2.0 Patients'!BN35</f>
        <v>0</v>
      </c>
      <c r="AL32" s="2005"/>
      <c r="AM32" s="4"/>
    </row>
    <row r="33" spans="1:39">
      <c r="A33" s="4"/>
      <c r="B33" s="1678"/>
      <c r="C33" s="1974"/>
      <c r="D33" s="1975" t="str">
        <f>$D$19</f>
        <v>Month 3</v>
      </c>
      <c r="E33" s="2001"/>
      <c r="F33" s="2002">
        <f>'2.0 Patients'!T21-'2.0 Patients'!S21</f>
        <v>0</v>
      </c>
      <c r="G33" s="2003">
        <f>'2.0 Patients'!T23-'2.0 Patients'!S23</f>
        <v>0</v>
      </c>
      <c r="H33" s="2002">
        <f>'2.0 Patients'!AF21-'2.0 Patients'!AE21</f>
        <v>0</v>
      </c>
      <c r="I33" s="2003">
        <f>'2.0 Patients'!AF23-'2.0 Patients'!AE23</f>
        <v>0</v>
      </c>
      <c r="J33" s="2002">
        <f>'2.0 Patients'!AR21-'2.0 Patients'!AQ21</f>
        <v>0</v>
      </c>
      <c r="K33" s="2003">
        <f>'2.0 Patients'!AR23-'2.0 Patients'!AQ23</f>
        <v>0</v>
      </c>
      <c r="L33" s="2002">
        <f>'2.0 Patients'!BD21-'2.0 Patients'!BC21</f>
        <v>0</v>
      </c>
      <c r="M33" s="2003">
        <f>'2.0 Patients'!BD23-'2.0 Patients'!BC23</f>
        <v>0</v>
      </c>
      <c r="N33" s="2002">
        <f>'2.0 Patients'!BP21-'2.0 Patients'!BO21</f>
        <v>0</v>
      </c>
      <c r="O33" s="2004">
        <f>'2.0 Patients'!BP23-'2.0 Patients'!BO23</f>
        <v>0</v>
      </c>
      <c r="P33" s="1576"/>
      <c r="Q33" s="2002">
        <f>'2.0 Patients'!T27-'2.0 Patients'!S27</f>
        <v>0</v>
      </c>
      <c r="R33" s="2003">
        <f>'2.0 Patients'!T29-'2.0 Patients'!S29</f>
        <v>0</v>
      </c>
      <c r="S33" s="2002">
        <f>'2.0 Patients'!AF27-'2.0 Patients'!AE27</f>
        <v>0</v>
      </c>
      <c r="T33" s="2003">
        <f>'2.0 Patients'!AF29-'2.0 Patients'!AE29</f>
        <v>0</v>
      </c>
      <c r="U33" s="2002">
        <f>'2.0 Patients'!AR27-'2.0 Patients'!AQ27</f>
        <v>0</v>
      </c>
      <c r="V33" s="2003">
        <f>'2.0 Patients'!AR29-'2.0 Patients'!AQ29</f>
        <v>0</v>
      </c>
      <c r="W33" s="2002">
        <f>'2.0 Patients'!BD27-'2.0 Patients'!BC27</f>
        <v>0</v>
      </c>
      <c r="X33" s="2003">
        <f>'2.0 Patients'!BD29-'2.0 Patients'!BC29</f>
        <v>0</v>
      </c>
      <c r="Y33" s="2002">
        <f>'2.0 Patients'!BP27-'2.0 Patients'!BO27</f>
        <v>0</v>
      </c>
      <c r="Z33" s="2004">
        <f>'2.0 Patients'!BP29-'2.0 Patients'!BO29</f>
        <v>0</v>
      </c>
      <c r="AA33" s="2005"/>
      <c r="AB33" s="2002">
        <f>'2.0 Patients'!T33-'2.0 Patients'!S33</f>
        <v>0</v>
      </c>
      <c r="AC33" s="2003">
        <f>'2.0 Patients'!T35-'2.0 Patients'!S35</f>
        <v>0</v>
      </c>
      <c r="AD33" s="2002">
        <f>'2.0 Patients'!AF33-'2.0 Patients'!AE33</f>
        <v>0</v>
      </c>
      <c r="AE33" s="2003">
        <f>'2.0 Patients'!AF35-'2.0 Patients'!AE35</f>
        <v>0</v>
      </c>
      <c r="AF33" s="2002">
        <f>'2.0 Patients'!AR33-'2.0 Patients'!AQ33</f>
        <v>0</v>
      </c>
      <c r="AG33" s="2003">
        <f>'2.0 Patients'!AR35-'2.0 Patients'!AQ35</f>
        <v>0</v>
      </c>
      <c r="AH33" s="2002">
        <f>'2.0 Patients'!BD33-'2.0 Patients'!BC33</f>
        <v>0</v>
      </c>
      <c r="AI33" s="2003">
        <f>'2.0 Patients'!BD35-'2.0 Patients'!BC35</f>
        <v>0</v>
      </c>
      <c r="AJ33" s="2002">
        <f>'2.0 Patients'!BP33-'2.0 Patients'!BO33</f>
        <v>0</v>
      </c>
      <c r="AK33" s="2004">
        <f>'2.0 Patients'!BP35-'2.0 Patients'!BO35</f>
        <v>0</v>
      </c>
      <c r="AL33" s="2005"/>
      <c r="AM33" s="4"/>
    </row>
    <row r="34" spans="1:39">
      <c r="A34" s="4"/>
      <c r="B34" s="1678"/>
      <c r="C34" s="1974"/>
      <c r="D34" s="1975" t="str">
        <f>$D$20</f>
        <v>Month 4</v>
      </c>
      <c r="E34" s="2001"/>
      <c r="F34" s="2002">
        <f>'2.0 Patients'!U21-'2.0 Patients'!T21</f>
        <v>0</v>
      </c>
      <c r="G34" s="2003">
        <f>'2.0 Patients'!U23-'2.0 Patients'!T23</f>
        <v>0</v>
      </c>
      <c r="H34" s="2002">
        <f>'2.0 Patients'!AG21-'2.0 Patients'!AF21</f>
        <v>0</v>
      </c>
      <c r="I34" s="2003">
        <f>'2.0 Patients'!AG23-'2.0 Patients'!AF23</f>
        <v>0</v>
      </c>
      <c r="J34" s="2002">
        <f>'2.0 Patients'!AS21-'2.0 Patients'!AR21</f>
        <v>0</v>
      </c>
      <c r="K34" s="2003">
        <f>'2.0 Patients'!AS23-'2.0 Patients'!AR23</f>
        <v>0</v>
      </c>
      <c r="L34" s="2002">
        <f>'2.0 Patients'!BE21-'2.0 Patients'!BD21</f>
        <v>0</v>
      </c>
      <c r="M34" s="2003">
        <f>'2.0 Patients'!BE23-'2.0 Patients'!BD23</f>
        <v>0</v>
      </c>
      <c r="N34" s="2002">
        <f>'2.0 Patients'!BQ21-'2.0 Patients'!BP21</f>
        <v>0</v>
      </c>
      <c r="O34" s="2004">
        <f>'2.0 Patients'!BQ23-'2.0 Patients'!BP23</f>
        <v>0</v>
      </c>
      <c r="P34" s="1576"/>
      <c r="Q34" s="2002">
        <f>'2.0 Patients'!U27-'2.0 Patients'!T27</f>
        <v>0</v>
      </c>
      <c r="R34" s="2003">
        <f>'2.0 Patients'!U29-'2.0 Patients'!T29</f>
        <v>0</v>
      </c>
      <c r="S34" s="2002">
        <f>'2.0 Patients'!AG27-'2.0 Patients'!AF27</f>
        <v>0</v>
      </c>
      <c r="T34" s="2003">
        <f>'2.0 Patients'!AG29-'2.0 Patients'!AF29</f>
        <v>0</v>
      </c>
      <c r="U34" s="2002">
        <f>'2.0 Patients'!AS27-'2.0 Patients'!AR27</f>
        <v>0</v>
      </c>
      <c r="V34" s="2003">
        <f>'2.0 Patients'!AS29-'2.0 Patients'!AR29</f>
        <v>0</v>
      </c>
      <c r="W34" s="2002">
        <f>'2.0 Patients'!BE27-'2.0 Patients'!BD27</f>
        <v>0</v>
      </c>
      <c r="X34" s="2003">
        <f>'2.0 Patients'!BE29-'2.0 Patients'!BD29</f>
        <v>0</v>
      </c>
      <c r="Y34" s="2002">
        <f>'2.0 Patients'!BQ27-'2.0 Patients'!BP27</f>
        <v>0</v>
      </c>
      <c r="Z34" s="2004">
        <f>'2.0 Patients'!BQ29-'2.0 Patients'!BP29</f>
        <v>0</v>
      </c>
      <c r="AA34" s="2005"/>
      <c r="AB34" s="2002">
        <f>'2.0 Patients'!U33-'2.0 Patients'!T33</f>
        <v>0</v>
      </c>
      <c r="AC34" s="2003">
        <f>'2.0 Patients'!U35-'2.0 Patients'!T35</f>
        <v>0</v>
      </c>
      <c r="AD34" s="2002">
        <f>'2.0 Patients'!AG33-'2.0 Patients'!AF33</f>
        <v>0</v>
      </c>
      <c r="AE34" s="2003">
        <f>'2.0 Patients'!AG35-'2.0 Patients'!AF35</f>
        <v>0</v>
      </c>
      <c r="AF34" s="2002">
        <f>'2.0 Patients'!AS33-'2.0 Patients'!AR33</f>
        <v>0</v>
      </c>
      <c r="AG34" s="2003">
        <f>'2.0 Patients'!AS35-'2.0 Patients'!AR35</f>
        <v>0</v>
      </c>
      <c r="AH34" s="2002">
        <f>'2.0 Patients'!BE33-'2.0 Patients'!BD33</f>
        <v>0</v>
      </c>
      <c r="AI34" s="2003">
        <f>'2.0 Patients'!BE35-'2.0 Patients'!BD35</f>
        <v>0</v>
      </c>
      <c r="AJ34" s="2002">
        <f>'2.0 Patients'!BQ33-'2.0 Patients'!BP33</f>
        <v>0</v>
      </c>
      <c r="AK34" s="2004">
        <f>'2.0 Patients'!BQ35-'2.0 Patients'!BP35</f>
        <v>0</v>
      </c>
      <c r="AL34" s="2005"/>
      <c r="AM34" s="4"/>
    </row>
    <row r="35" spans="1:39">
      <c r="A35" s="4"/>
      <c r="B35" s="1678"/>
      <c r="C35" s="1974"/>
      <c r="D35" s="1975" t="str">
        <f>$D$21</f>
        <v>Month 5</v>
      </c>
      <c r="E35" s="2001"/>
      <c r="F35" s="2002">
        <f>'2.0 Patients'!V21-'2.0 Patients'!U21</f>
        <v>0</v>
      </c>
      <c r="G35" s="2003">
        <f>'2.0 Patients'!V23-'2.0 Patients'!U23</f>
        <v>0</v>
      </c>
      <c r="H35" s="2002">
        <f>'2.0 Patients'!AH21-'2.0 Patients'!AG21</f>
        <v>0</v>
      </c>
      <c r="I35" s="2003">
        <f>'2.0 Patients'!AH23-'2.0 Patients'!AG23</f>
        <v>0</v>
      </c>
      <c r="J35" s="2002">
        <f>'2.0 Patients'!AT21-'2.0 Patients'!AS21</f>
        <v>0</v>
      </c>
      <c r="K35" s="2003">
        <f>'2.0 Patients'!AT23-'2.0 Patients'!AS23</f>
        <v>0</v>
      </c>
      <c r="L35" s="2002">
        <f>'2.0 Patients'!BF21-'2.0 Patients'!BE21</f>
        <v>0</v>
      </c>
      <c r="M35" s="2003">
        <f>'2.0 Patients'!BF23-'2.0 Patients'!BE23</f>
        <v>0</v>
      </c>
      <c r="N35" s="2002">
        <f>'2.0 Patients'!BR21-'2.0 Patients'!BQ21</f>
        <v>0</v>
      </c>
      <c r="O35" s="2004">
        <f>'2.0 Patients'!BR23-'2.0 Patients'!BQ23</f>
        <v>0</v>
      </c>
      <c r="P35" s="1576"/>
      <c r="Q35" s="2002">
        <f>'2.0 Patients'!V27-'2.0 Patients'!U27</f>
        <v>0</v>
      </c>
      <c r="R35" s="2003">
        <f>'2.0 Patients'!V29-'2.0 Patients'!U29</f>
        <v>0</v>
      </c>
      <c r="S35" s="2002">
        <f>'2.0 Patients'!AH27-'2.0 Patients'!AG27</f>
        <v>0</v>
      </c>
      <c r="T35" s="2003">
        <f>'2.0 Patients'!AH29-'2.0 Patients'!AG29</f>
        <v>0</v>
      </c>
      <c r="U35" s="2002">
        <f>'2.0 Patients'!AT27-'2.0 Patients'!AS27</f>
        <v>0</v>
      </c>
      <c r="V35" s="2003">
        <f>'2.0 Patients'!AT29-'2.0 Patients'!AS29</f>
        <v>0</v>
      </c>
      <c r="W35" s="2002">
        <f>'2.0 Patients'!BF27-'2.0 Patients'!BE27</f>
        <v>0</v>
      </c>
      <c r="X35" s="2003">
        <f>'2.0 Patients'!BF29-'2.0 Patients'!BE29</f>
        <v>0</v>
      </c>
      <c r="Y35" s="2002">
        <f>'2.0 Patients'!BR27-'2.0 Patients'!BQ27</f>
        <v>0</v>
      </c>
      <c r="Z35" s="2004">
        <f>'2.0 Patients'!BR29-'2.0 Patients'!BQ29</f>
        <v>0</v>
      </c>
      <c r="AA35" s="2005"/>
      <c r="AB35" s="2002">
        <f>'2.0 Patients'!V33-'2.0 Patients'!U33</f>
        <v>0</v>
      </c>
      <c r="AC35" s="2003">
        <f>'2.0 Patients'!V35-'2.0 Patients'!U35</f>
        <v>0</v>
      </c>
      <c r="AD35" s="2002">
        <f>'2.0 Patients'!AH33-'2.0 Patients'!AG33</f>
        <v>0</v>
      </c>
      <c r="AE35" s="2003">
        <f>'2.0 Patients'!AH35-'2.0 Patients'!AG35</f>
        <v>0</v>
      </c>
      <c r="AF35" s="2002">
        <f>'2.0 Patients'!AT33-'2.0 Patients'!AS33</f>
        <v>0</v>
      </c>
      <c r="AG35" s="2003">
        <f>'2.0 Patients'!AT35-'2.0 Patients'!AS35</f>
        <v>0</v>
      </c>
      <c r="AH35" s="2002">
        <f>'2.0 Patients'!BF33-'2.0 Patients'!BE33</f>
        <v>0</v>
      </c>
      <c r="AI35" s="2003">
        <f>'2.0 Patients'!BF35-'2.0 Patients'!BE35</f>
        <v>0</v>
      </c>
      <c r="AJ35" s="2002">
        <f>'2.0 Patients'!BR33-'2.0 Patients'!BQ33</f>
        <v>0</v>
      </c>
      <c r="AK35" s="2004">
        <f>'2.0 Patients'!BR35-'2.0 Patients'!BQ35</f>
        <v>0</v>
      </c>
      <c r="AL35" s="2005"/>
      <c r="AM35" s="4"/>
    </row>
    <row r="36" spans="1:39">
      <c r="A36" s="4"/>
      <c r="B36" s="1678"/>
      <c r="C36" s="1974"/>
      <c r="D36" s="1975" t="str">
        <f>$D$22</f>
        <v>Month 6</v>
      </c>
      <c r="E36" s="2001"/>
      <c r="F36" s="2002">
        <f>'2.0 Patients'!W21-'2.0 Patients'!V21</f>
        <v>0</v>
      </c>
      <c r="G36" s="2003">
        <f>'2.0 Patients'!W23-'2.0 Patients'!V23</f>
        <v>0</v>
      </c>
      <c r="H36" s="2002">
        <f>'2.0 Patients'!AI21-'2.0 Patients'!AH21</f>
        <v>0</v>
      </c>
      <c r="I36" s="2003">
        <f>'2.0 Patients'!AI23-'2.0 Patients'!AH23</f>
        <v>0</v>
      </c>
      <c r="J36" s="2002">
        <f>'2.0 Patients'!AU21-'2.0 Patients'!AT21</f>
        <v>0</v>
      </c>
      <c r="K36" s="2003">
        <f>'2.0 Patients'!AU23-'2.0 Patients'!AT23</f>
        <v>0</v>
      </c>
      <c r="L36" s="2002">
        <f>'2.0 Patients'!BG21-'2.0 Patients'!BF21</f>
        <v>0</v>
      </c>
      <c r="M36" s="2003">
        <f>'2.0 Patients'!BG23-'2.0 Patients'!BF23</f>
        <v>0</v>
      </c>
      <c r="N36" s="2002">
        <f>'2.0 Patients'!BS21-'2.0 Patients'!BR21</f>
        <v>0</v>
      </c>
      <c r="O36" s="2004">
        <f>'2.0 Patients'!BS23-'2.0 Patients'!BR23</f>
        <v>0</v>
      </c>
      <c r="P36" s="1576"/>
      <c r="Q36" s="2002">
        <f>'2.0 Patients'!W27-'2.0 Patients'!V27</f>
        <v>0</v>
      </c>
      <c r="R36" s="2003">
        <f>'2.0 Patients'!W29-'2.0 Patients'!V29</f>
        <v>0</v>
      </c>
      <c r="S36" s="2002">
        <f>'2.0 Patients'!AI27-'2.0 Patients'!AH27</f>
        <v>0</v>
      </c>
      <c r="T36" s="2003">
        <f>'2.0 Patients'!AI29-'2.0 Patients'!AH29</f>
        <v>0</v>
      </c>
      <c r="U36" s="2002">
        <f>'2.0 Patients'!AU27-'2.0 Patients'!AT27</f>
        <v>0</v>
      </c>
      <c r="V36" s="2003">
        <f>'2.0 Patients'!AU29-'2.0 Patients'!AT29</f>
        <v>0</v>
      </c>
      <c r="W36" s="2002">
        <f>'2.0 Patients'!BG27-'2.0 Patients'!BF27</f>
        <v>0</v>
      </c>
      <c r="X36" s="2003">
        <f>'2.0 Patients'!BG29-'2.0 Patients'!BF29</f>
        <v>0</v>
      </c>
      <c r="Y36" s="2002">
        <f>'2.0 Patients'!BS27-'2.0 Patients'!BR27</f>
        <v>0</v>
      </c>
      <c r="Z36" s="2004">
        <f>'2.0 Patients'!BS29-'2.0 Patients'!BR29</f>
        <v>0</v>
      </c>
      <c r="AA36" s="2005"/>
      <c r="AB36" s="2002">
        <f>'2.0 Patients'!W33-'2.0 Patients'!V33</f>
        <v>0</v>
      </c>
      <c r="AC36" s="2003">
        <f>'2.0 Patients'!W35-'2.0 Patients'!V35</f>
        <v>0</v>
      </c>
      <c r="AD36" s="2002">
        <f>'2.0 Patients'!AI33-'2.0 Patients'!AH33</f>
        <v>0</v>
      </c>
      <c r="AE36" s="2003">
        <f>'2.0 Patients'!AI35-'2.0 Patients'!AH35</f>
        <v>0</v>
      </c>
      <c r="AF36" s="2002">
        <f>'2.0 Patients'!AU33-'2.0 Patients'!AT33</f>
        <v>0</v>
      </c>
      <c r="AG36" s="2003">
        <f>'2.0 Patients'!AU35-'2.0 Patients'!AT35</f>
        <v>0</v>
      </c>
      <c r="AH36" s="2002">
        <f>'2.0 Patients'!BG33-'2.0 Patients'!BF33</f>
        <v>0</v>
      </c>
      <c r="AI36" s="2003">
        <f>'2.0 Patients'!BG35-'2.0 Patients'!BF35</f>
        <v>0</v>
      </c>
      <c r="AJ36" s="2002">
        <f>'2.0 Patients'!BS33-'2.0 Patients'!BR33</f>
        <v>0</v>
      </c>
      <c r="AK36" s="2004">
        <f>'2.0 Patients'!BS35-'2.0 Patients'!BR35</f>
        <v>0</v>
      </c>
      <c r="AL36" s="2005"/>
      <c r="AM36" s="4"/>
    </row>
    <row r="37" spans="1:39">
      <c r="A37" s="4"/>
      <c r="B37" s="1678"/>
      <c r="C37" s="1974"/>
      <c r="D37" s="1975" t="str">
        <f>$D$23</f>
        <v>Month 7</v>
      </c>
      <c r="E37" s="2001"/>
      <c r="F37" s="2002">
        <f>'2.0 Patients'!X21-'2.0 Patients'!W21</f>
        <v>0</v>
      </c>
      <c r="G37" s="2003">
        <f>'2.0 Patients'!X23-'2.0 Patients'!W23</f>
        <v>0</v>
      </c>
      <c r="H37" s="2002">
        <f>'2.0 Patients'!AJ21-'2.0 Patients'!AI21</f>
        <v>0</v>
      </c>
      <c r="I37" s="2003">
        <f>'2.0 Patients'!AJ23-'2.0 Patients'!AI23</f>
        <v>0</v>
      </c>
      <c r="J37" s="2002">
        <f>'2.0 Patients'!AV21-'2.0 Patients'!AU21</f>
        <v>0</v>
      </c>
      <c r="K37" s="2003">
        <f>'2.0 Patients'!AV23-'2.0 Patients'!AU23</f>
        <v>0</v>
      </c>
      <c r="L37" s="2002">
        <f>'2.0 Patients'!BH21-'2.0 Patients'!BG21</f>
        <v>0</v>
      </c>
      <c r="M37" s="2003">
        <f>'2.0 Patients'!BH23-'2.0 Patients'!BG23</f>
        <v>0</v>
      </c>
      <c r="N37" s="2002">
        <f>'2.0 Patients'!BT21-'2.0 Patients'!BS21</f>
        <v>0</v>
      </c>
      <c r="O37" s="2004">
        <f>'2.0 Patients'!BT23-'2.0 Patients'!BS23</f>
        <v>0</v>
      </c>
      <c r="P37" s="1576"/>
      <c r="Q37" s="2002">
        <f>'2.0 Patients'!X27-'2.0 Patients'!W27</f>
        <v>0</v>
      </c>
      <c r="R37" s="2003">
        <f>'2.0 Patients'!X29-'2.0 Patients'!W29</f>
        <v>0</v>
      </c>
      <c r="S37" s="2002">
        <f>'2.0 Patients'!AJ27-'2.0 Patients'!AI27</f>
        <v>0</v>
      </c>
      <c r="T37" s="2003">
        <f>'2.0 Patients'!AJ29-'2.0 Patients'!AI29</f>
        <v>0</v>
      </c>
      <c r="U37" s="2002">
        <f>'2.0 Patients'!AV27-'2.0 Patients'!AU27</f>
        <v>0</v>
      </c>
      <c r="V37" s="2003">
        <f>'2.0 Patients'!AV29-'2.0 Patients'!AU29</f>
        <v>0</v>
      </c>
      <c r="W37" s="2002">
        <f>'2.0 Patients'!BH27-'2.0 Patients'!BG27</f>
        <v>0</v>
      </c>
      <c r="X37" s="2003">
        <f>'2.0 Patients'!BH29-'2.0 Patients'!BG29</f>
        <v>0</v>
      </c>
      <c r="Y37" s="2002">
        <f>'2.0 Patients'!BT27-'2.0 Patients'!BS27</f>
        <v>0</v>
      </c>
      <c r="Z37" s="2004">
        <f>'2.0 Patients'!BT29-'2.0 Patients'!BS29</f>
        <v>0</v>
      </c>
      <c r="AA37" s="2005"/>
      <c r="AB37" s="2002">
        <f>'2.0 Patients'!X33-'2.0 Patients'!W33</f>
        <v>0</v>
      </c>
      <c r="AC37" s="2003">
        <f>'2.0 Patients'!X35-'2.0 Patients'!W35</f>
        <v>0</v>
      </c>
      <c r="AD37" s="2002">
        <f>'2.0 Patients'!AJ33-'2.0 Patients'!AI33</f>
        <v>0</v>
      </c>
      <c r="AE37" s="2003">
        <f>'2.0 Patients'!AJ35-'2.0 Patients'!AI35</f>
        <v>0</v>
      </c>
      <c r="AF37" s="2002">
        <f>'2.0 Patients'!AV33-'2.0 Patients'!AU33</f>
        <v>0</v>
      </c>
      <c r="AG37" s="2003">
        <f>'2.0 Patients'!AV35-'2.0 Patients'!AU35</f>
        <v>0</v>
      </c>
      <c r="AH37" s="2002">
        <f>'2.0 Patients'!BH33-'2.0 Patients'!BG33</f>
        <v>0</v>
      </c>
      <c r="AI37" s="2003">
        <f>'2.0 Patients'!BH35-'2.0 Patients'!BG35</f>
        <v>0</v>
      </c>
      <c r="AJ37" s="2002">
        <f>'2.0 Patients'!BT33-'2.0 Patients'!BS33</f>
        <v>0</v>
      </c>
      <c r="AK37" s="2004">
        <f>'2.0 Patients'!BT35-'2.0 Patients'!BS35</f>
        <v>0</v>
      </c>
      <c r="AL37" s="2005"/>
      <c r="AM37" s="4"/>
    </row>
    <row r="38" spans="1:39">
      <c r="A38" s="4"/>
      <c r="B38" s="1678"/>
      <c r="C38" s="1974"/>
      <c r="D38" s="1975" t="str">
        <f>$D$24</f>
        <v>Month 8</v>
      </c>
      <c r="E38" s="2001"/>
      <c r="F38" s="2002">
        <f>'2.0 Patients'!Y21-'2.0 Patients'!X21</f>
        <v>0</v>
      </c>
      <c r="G38" s="2003">
        <f>'2.0 Patients'!Y23-'2.0 Patients'!X23</f>
        <v>0</v>
      </c>
      <c r="H38" s="2002">
        <f>'2.0 Patients'!AK21-'2.0 Patients'!AJ21</f>
        <v>0</v>
      </c>
      <c r="I38" s="2003">
        <f>'2.0 Patients'!AK23-'2.0 Patients'!AJ23</f>
        <v>0</v>
      </c>
      <c r="J38" s="2002">
        <f>'2.0 Patients'!AW21-'2.0 Patients'!AV21</f>
        <v>0</v>
      </c>
      <c r="K38" s="2003">
        <f>'2.0 Patients'!AW23-'2.0 Patients'!AV23</f>
        <v>0</v>
      </c>
      <c r="L38" s="2002">
        <f>'2.0 Patients'!BI21-'2.0 Patients'!BH21</f>
        <v>0</v>
      </c>
      <c r="M38" s="2003">
        <f>'2.0 Patients'!BI23-'2.0 Patients'!BH23</f>
        <v>0</v>
      </c>
      <c r="N38" s="2002">
        <f>'2.0 Patients'!BU21-'2.0 Patients'!BT21</f>
        <v>0</v>
      </c>
      <c r="O38" s="2004">
        <f>'2.0 Patients'!BU23-'2.0 Patients'!BT23</f>
        <v>0</v>
      </c>
      <c r="P38" s="1576"/>
      <c r="Q38" s="2002">
        <f>'2.0 Patients'!Y27-'2.0 Patients'!X27</f>
        <v>0</v>
      </c>
      <c r="R38" s="2003">
        <f>'2.0 Patients'!Y29-'2.0 Patients'!X29</f>
        <v>0</v>
      </c>
      <c r="S38" s="2002">
        <f>'2.0 Patients'!AK27-'2.0 Patients'!AJ27</f>
        <v>0</v>
      </c>
      <c r="T38" s="2003">
        <f>'2.0 Patients'!AK29-'2.0 Patients'!AJ29</f>
        <v>0</v>
      </c>
      <c r="U38" s="2002">
        <f>'2.0 Patients'!AW27-'2.0 Patients'!AV27</f>
        <v>0</v>
      </c>
      <c r="V38" s="2003">
        <f>'2.0 Patients'!AW29-'2.0 Patients'!AV29</f>
        <v>0</v>
      </c>
      <c r="W38" s="2002">
        <f>'2.0 Patients'!BI27-'2.0 Patients'!BH27</f>
        <v>0</v>
      </c>
      <c r="X38" s="2003">
        <f>'2.0 Patients'!BI29-'2.0 Patients'!BH29</f>
        <v>0</v>
      </c>
      <c r="Y38" s="2002">
        <f>'2.0 Patients'!BU27-'2.0 Patients'!BT27</f>
        <v>0</v>
      </c>
      <c r="Z38" s="2004">
        <f>'2.0 Patients'!BU29-'2.0 Patients'!BT29</f>
        <v>0</v>
      </c>
      <c r="AA38" s="2005"/>
      <c r="AB38" s="2002">
        <f>'2.0 Patients'!Y33-'2.0 Patients'!X33</f>
        <v>0</v>
      </c>
      <c r="AC38" s="2003">
        <f>'2.0 Patients'!Y35-'2.0 Patients'!X35</f>
        <v>0</v>
      </c>
      <c r="AD38" s="2002">
        <f>'2.0 Patients'!AK33-'2.0 Patients'!AJ33</f>
        <v>0</v>
      </c>
      <c r="AE38" s="2003">
        <f>'2.0 Patients'!AK35-'2.0 Patients'!AJ35</f>
        <v>0</v>
      </c>
      <c r="AF38" s="2002">
        <f>'2.0 Patients'!AW33-'2.0 Patients'!AV33</f>
        <v>0</v>
      </c>
      <c r="AG38" s="2003">
        <f>'2.0 Patients'!AW35-'2.0 Patients'!AV35</f>
        <v>0</v>
      </c>
      <c r="AH38" s="2002">
        <f>'2.0 Patients'!BI33-'2.0 Patients'!BH33</f>
        <v>0</v>
      </c>
      <c r="AI38" s="2003">
        <f>'2.0 Patients'!BI35-'2.0 Patients'!BH35</f>
        <v>0</v>
      </c>
      <c r="AJ38" s="2002">
        <f>'2.0 Patients'!BU33-'2.0 Patients'!BT33</f>
        <v>0</v>
      </c>
      <c r="AK38" s="2004">
        <f>'2.0 Patients'!BU35-'2.0 Patients'!BT35</f>
        <v>0</v>
      </c>
      <c r="AL38" s="2005"/>
      <c r="AM38" s="4"/>
    </row>
    <row r="39" spans="1:39">
      <c r="A39" s="4"/>
      <c r="B39" s="1678"/>
      <c r="C39" s="1974"/>
      <c r="D39" s="1975" t="str">
        <f>$D$25</f>
        <v>Month 9</v>
      </c>
      <c r="E39" s="2001"/>
      <c r="F39" s="2002">
        <f>'2.0 Patients'!Z21-'2.0 Patients'!Y21</f>
        <v>0</v>
      </c>
      <c r="G39" s="2003">
        <f>'2.0 Patients'!Z23-'2.0 Patients'!Y23</f>
        <v>0</v>
      </c>
      <c r="H39" s="2002">
        <f>'2.0 Patients'!AL21-'2.0 Patients'!AK21</f>
        <v>0</v>
      </c>
      <c r="I39" s="2003">
        <f>'2.0 Patients'!AL23-'2.0 Patients'!AK23</f>
        <v>0</v>
      </c>
      <c r="J39" s="2002">
        <f>'2.0 Patients'!AX21-'2.0 Patients'!AW21</f>
        <v>0</v>
      </c>
      <c r="K39" s="2003">
        <f>'2.0 Patients'!AX23-'2.0 Patients'!AW23</f>
        <v>0</v>
      </c>
      <c r="L39" s="2002">
        <f>'2.0 Patients'!BJ21-'2.0 Patients'!BI21</f>
        <v>0</v>
      </c>
      <c r="M39" s="2003">
        <f>'2.0 Patients'!BJ23-'2.0 Patients'!BI23</f>
        <v>0</v>
      </c>
      <c r="N39" s="2002">
        <f>'2.0 Patients'!BV21-'2.0 Patients'!BU21</f>
        <v>0</v>
      </c>
      <c r="O39" s="2004">
        <f>'2.0 Patients'!BV23-'2.0 Patients'!BU23</f>
        <v>0</v>
      </c>
      <c r="P39" s="1576"/>
      <c r="Q39" s="2002">
        <f>'2.0 Patients'!Z27-'2.0 Patients'!Y27</f>
        <v>0</v>
      </c>
      <c r="R39" s="2003">
        <f>'2.0 Patients'!Z29-'2.0 Patients'!Y29</f>
        <v>0</v>
      </c>
      <c r="S39" s="2002">
        <f>'2.0 Patients'!AL27-'2.0 Patients'!AK27</f>
        <v>0</v>
      </c>
      <c r="T39" s="2003">
        <f>'2.0 Patients'!AL29-'2.0 Patients'!AK29</f>
        <v>0</v>
      </c>
      <c r="U39" s="2002">
        <f>'2.0 Patients'!AX27-'2.0 Patients'!AW27</f>
        <v>0</v>
      </c>
      <c r="V39" s="2003">
        <f>'2.0 Patients'!AX29-'2.0 Patients'!AW29</f>
        <v>0</v>
      </c>
      <c r="W39" s="2002">
        <f>'2.0 Patients'!BJ27-'2.0 Patients'!BI27</f>
        <v>0</v>
      </c>
      <c r="X39" s="2003">
        <f>'2.0 Patients'!BJ29-'2.0 Patients'!BI29</f>
        <v>0</v>
      </c>
      <c r="Y39" s="2002">
        <f>'2.0 Patients'!BV27-'2.0 Patients'!BU27</f>
        <v>0</v>
      </c>
      <c r="Z39" s="2004">
        <f>'2.0 Patients'!BV29-'2.0 Patients'!BU29</f>
        <v>0</v>
      </c>
      <c r="AA39" s="2005"/>
      <c r="AB39" s="2002">
        <f>'2.0 Patients'!Z33-'2.0 Patients'!Y33</f>
        <v>0</v>
      </c>
      <c r="AC39" s="2003">
        <f>'2.0 Patients'!Z35-'2.0 Patients'!Y35</f>
        <v>0</v>
      </c>
      <c r="AD39" s="2002">
        <f>'2.0 Patients'!AL33-'2.0 Patients'!AK33</f>
        <v>0</v>
      </c>
      <c r="AE39" s="2003">
        <f>'2.0 Patients'!AL35-'2.0 Patients'!AK35</f>
        <v>0</v>
      </c>
      <c r="AF39" s="2002">
        <f>'2.0 Patients'!AX33-'2.0 Patients'!AW33</f>
        <v>0</v>
      </c>
      <c r="AG39" s="2003">
        <f>'2.0 Patients'!AX35-'2.0 Patients'!AW35</f>
        <v>0</v>
      </c>
      <c r="AH39" s="2002">
        <f>'2.0 Patients'!BJ33-'2.0 Patients'!BI33</f>
        <v>0</v>
      </c>
      <c r="AI39" s="2003">
        <f>'2.0 Patients'!BJ35-'2.0 Patients'!BI35</f>
        <v>0</v>
      </c>
      <c r="AJ39" s="2002">
        <f>'2.0 Patients'!BV33-'2.0 Patients'!BU33</f>
        <v>0</v>
      </c>
      <c r="AK39" s="2004">
        <f>'2.0 Patients'!BV35-'2.0 Patients'!BU35</f>
        <v>0</v>
      </c>
      <c r="AL39" s="2005"/>
      <c r="AM39" s="4"/>
    </row>
    <row r="40" spans="1:39">
      <c r="A40" s="4"/>
      <c r="B40" s="1678"/>
      <c r="C40" s="1974"/>
      <c r="D40" s="1975" t="str">
        <f>$D$26</f>
        <v>Month 10</v>
      </c>
      <c r="E40" s="2001"/>
      <c r="F40" s="2002">
        <f>'2.0 Patients'!AA21-'2.0 Patients'!Z21</f>
        <v>0</v>
      </c>
      <c r="G40" s="2003">
        <f>'2.0 Patients'!AA23-'2.0 Patients'!Z23</f>
        <v>0</v>
      </c>
      <c r="H40" s="2002">
        <f>'2.0 Patients'!AM21-'2.0 Patients'!AL21</f>
        <v>0</v>
      </c>
      <c r="I40" s="2003">
        <f>'2.0 Patients'!AM23-'2.0 Patients'!AL23</f>
        <v>0</v>
      </c>
      <c r="J40" s="2002">
        <f>'2.0 Patients'!AY21-'2.0 Patients'!AX21</f>
        <v>0</v>
      </c>
      <c r="K40" s="2003">
        <f>'2.0 Patients'!AY23-'2.0 Patients'!AX23</f>
        <v>0</v>
      </c>
      <c r="L40" s="2002">
        <f>'2.0 Patients'!BK21-'2.0 Patients'!BJ21</f>
        <v>0</v>
      </c>
      <c r="M40" s="2003">
        <f>'2.0 Patients'!BK23-'2.0 Patients'!BJ23</f>
        <v>0</v>
      </c>
      <c r="N40" s="2002">
        <f>'2.0 Patients'!BW21-'2.0 Patients'!BV21</f>
        <v>0</v>
      </c>
      <c r="O40" s="2004">
        <f>'2.0 Patients'!BW23-'2.0 Patients'!BV23</f>
        <v>0</v>
      </c>
      <c r="P40" s="1576"/>
      <c r="Q40" s="2002">
        <f>'2.0 Patients'!AA27-'2.0 Patients'!Z27</f>
        <v>0</v>
      </c>
      <c r="R40" s="2003">
        <f>'2.0 Patients'!AA29-'2.0 Patients'!Z29</f>
        <v>0</v>
      </c>
      <c r="S40" s="2002">
        <f>'2.0 Patients'!AM27-'2.0 Patients'!AL27</f>
        <v>0</v>
      </c>
      <c r="T40" s="2003">
        <f>'2.0 Patients'!AM29-'2.0 Patients'!AL29</f>
        <v>0</v>
      </c>
      <c r="U40" s="2002">
        <f>'2.0 Patients'!AY27-'2.0 Patients'!AX27</f>
        <v>0</v>
      </c>
      <c r="V40" s="2003">
        <f>'2.0 Patients'!AY29-'2.0 Patients'!AX29</f>
        <v>0</v>
      </c>
      <c r="W40" s="2002">
        <f>'2.0 Patients'!BK27-'2.0 Patients'!BJ27</f>
        <v>0</v>
      </c>
      <c r="X40" s="2003">
        <f>'2.0 Patients'!BK29-'2.0 Patients'!BJ29</f>
        <v>0</v>
      </c>
      <c r="Y40" s="2002">
        <f>'2.0 Patients'!BW27-'2.0 Patients'!BV27</f>
        <v>0</v>
      </c>
      <c r="Z40" s="2004">
        <f>'2.0 Patients'!BW29-'2.0 Patients'!BV29</f>
        <v>0</v>
      </c>
      <c r="AA40" s="2005"/>
      <c r="AB40" s="2002">
        <f>'2.0 Patients'!AA33-'2.0 Patients'!Z33</f>
        <v>0</v>
      </c>
      <c r="AC40" s="2003">
        <f>'2.0 Patients'!AA35-'2.0 Patients'!Z35</f>
        <v>0</v>
      </c>
      <c r="AD40" s="2002">
        <f>'2.0 Patients'!AM33-'2.0 Patients'!AL33</f>
        <v>0</v>
      </c>
      <c r="AE40" s="2003">
        <f>'2.0 Patients'!AM35-'2.0 Patients'!AL35</f>
        <v>0</v>
      </c>
      <c r="AF40" s="2002">
        <f>'2.0 Patients'!AY33-'2.0 Patients'!AX33</f>
        <v>0</v>
      </c>
      <c r="AG40" s="2003">
        <f>'2.0 Patients'!AY35-'2.0 Patients'!AX35</f>
        <v>0</v>
      </c>
      <c r="AH40" s="2002">
        <f>'2.0 Patients'!BK33-'2.0 Patients'!BJ33</f>
        <v>0</v>
      </c>
      <c r="AI40" s="2003">
        <f>'2.0 Patients'!BK35-'2.0 Patients'!BJ35</f>
        <v>0</v>
      </c>
      <c r="AJ40" s="2002">
        <f>'2.0 Patients'!BW33-'2.0 Patients'!BV33</f>
        <v>0</v>
      </c>
      <c r="AK40" s="2004">
        <f>'2.0 Patients'!BW35-'2.0 Patients'!BV35</f>
        <v>0</v>
      </c>
      <c r="AL40" s="2005"/>
      <c r="AM40" s="4"/>
    </row>
    <row r="41" spans="1:39">
      <c r="A41" s="4"/>
      <c r="B41" s="1678"/>
      <c r="C41" s="1974"/>
      <c r="D41" s="1975" t="str">
        <f>$D$27</f>
        <v>Month 11</v>
      </c>
      <c r="E41" s="2001"/>
      <c r="F41" s="2002">
        <f>'2.0 Patients'!AB21-'2.0 Patients'!AA21</f>
        <v>0</v>
      </c>
      <c r="G41" s="2003">
        <f>'2.0 Patients'!AB23-'2.0 Patients'!AA23</f>
        <v>0</v>
      </c>
      <c r="H41" s="2002">
        <f>'2.0 Patients'!AN21-'2.0 Patients'!AM21</f>
        <v>0</v>
      </c>
      <c r="I41" s="2003">
        <f>'2.0 Patients'!AN23-'2.0 Patients'!AM23</f>
        <v>0</v>
      </c>
      <c r="J41" s="2002">
        <f>'2.0 Patients'!AZ21-'2.0 Patients'!AY21</f>
        <v>0</v>
      </c>
      <c r="K41" s="2003">
        <f>'2.0 Patients'!AZ23-'2.0 Patients'!AY23</f>
        <v>0</v>
      </c>
      <c r="L41" s="2002">
        <f>'2.0 Patients'!BL21-'2.0 Patients'!BK21</f>
        <v>0</v>
      </c>
      <c r="M41" s="2003">
        <f>'2.0 Patients'!BL23-'2.0 Patients'!BK23</f>
        <v>0</v>
      </c>
      <c r="N41" s="2002">
        <f>'2.0 Patients'!BX21-'2.0 Patients'!BW21</f>
        <v>0</v>
      </c>
      <c r="O41" s="2004">
        <f>'2.0 Patients'!BX23-'2.0 Patients'!BW23</f>
        <v>0</v>
      </c>
      <c r="P41" s="1576"/>
      <c r="Q41" s="2002">
        <f>'2.0 Patients'!AB27-'2.0 Patients'!AA27</f>
        <v>0</v>
      </c>
      <c r="R41" s="2003">
        <f>'2.0 Patients'!AB29-'2.0 Patients'!AA29</f>
        <v>0</v>
      </c>
      <c r="S41" s="2002">
        <f>'2.0 Patients'!AN27-'2.0 Patients'!AM27</f>
        <v>0</v>
      </c>
      <c r="T41" s="2003">
        <f>'2.0 Patients'!AN29-'2.0 Patients'!AM29</f>
        <v>0</v>
      </c>
      <c r="U41" s="2002">
        <f>'2.0 Patients'!AZ27-'2.0 Patients'!AY27</f>
        <v>0</v>
      </c>
      <c r="V41" s="2003">
        <f>'2.0 Patients'!AZ29-'2.0 Patients'!AY29</f>
        <v>0</v>
      </c>
      <c r="W41" s="2002">
        <f>'2.0 Patients'!BL27-'2.0 Patients'!BK27</f>
        <v>0</v>
      </c>
      <c r="X41" s="2003">
        <f>'2.0 Patients'!BL29-'2.0 Patients'!BK29</f>
        <v>0</v>
      </c>
      <c r="Y41" s="2002">
        <f>'2.0 Patients'!BX27-'2.0 Patients'!BW27</f>
        <v>0</v>
      </c>
      <c r="Z41" s="2004">
        <f>'2.0 Patients'!BX29-'2.0 Patients'!BW29</f>
        <v>0</v>
      </c>
      <c r="AA41" s="2005"/>
      <c r="AB41" s="2002">
        <f>'2.0 Patients'!AB33-'2.0 Patients'!AA33</f>
        <v>0</v>
      </c>
      <c r="AC41" s="2003">
        <f>'2.0 Patients'!AB35-'2.0 Patients'!AA35</f>
        <v>0</v>
      </c>
      <c r="AD41" s="2002">
        <f>'2.0 Patients'!AN33-'2.0 Patients'!AM33</f>
        <v>0</v>
      </c>
      <c r="AE41" s="2003">
        <f>'2.0 Patients'!AN35-'2.0 Patients'!AM35</f>
        <v>0</v>
      </c>
      <c r="AF41" s="2002">
        <f>'2.0 Patients'!AZ33-'2.0 Patients'!AY33</f>
        <v>0</v>
      </c>
      <c r="AG41" s="2003">
        <f>'2.0 Patients'!AZ35-'2.0 Patients'!AY35</f>
        <v>0</v>
      </c>
      <c r="AH41" s="2002">
        <f>'2.0 Patients'!BL33-'2.0 Patients'!BK33</f>
        <v>0</v>
      </c>
      <c r="AI41" s="2003">
        <f>'2.0 Patients'!BL35-'2.0 Patients'!BK35</f>
        <v>0</v>
      </c>
      <c r="AJ41" s="2002">
        <f>'2.0 Patients'!BX33-'2.0 Patients'!BW33</f>
        <v>0</v>
      </c>
      <c r="AK41" s="2004">
        <f>'2.0 Patients'!BX35-'2.0 Patients'!BW35</f>
        <v>0</v>
      </c>
      <c r="AL41" s="2005"/>
      <c r="AM41" s="4"/>
    </row>
    <row r="42" spans="1:39" s="1" customFormat="1">
      <c r="A42" s="1852"/>
      <c r="B42" s="1975"/>
      <c r="C42" s="1974"/>
      <c r="D42" s="1975" t="str">
        <f>$D$28</f>
        <v>Month 12</v>
      </c>
      <c r="E42" s="2001"/>
      <c r="F42" s="2002">
        <f>'2.0 Patients'!AC21-'2.0 Patients'!AB21</f>
        <v>0</v>
      </c>
      <c r="G42" s="2003">
        <f>'2.0 Patients'!AC23-'2.0 Patients'!AB23</f>
        <v>0</v>
      </c>
      <c r="H42" s="2002">
        <f>'2.0 Patients'!AO21-'2.0 Patients'!AN21</f>
        <v>0</v>
      </c>
      <c r="I42" s="2003">
        <f>'2.0 Patients'!AO23-'2.0 Patients'!AN23</f>
        <v>0</v>
      </c>
      <c r="J42" s="2002">
        <f>'2.0 Patients'!BA21-'2.0 Patients'!AZ21</f>
        <v>0</v>
      </c>
      <c r="K42" s="2003">
        <f>'2.0 Patients'!BA23-'2.0 Patients'!AZ23</f>
        <v>0</v>
      </c>
      <c r="L42" s="2002">
        <f>'2.0 Patients'!BM21-'2.0 Patients'!BL21</f>
        <v>0</v>
      </c>
      <c r="M42" s="2003">
        <f>'2.0 Patients'!BM23-'2.0 Patients'!BL23</f>
        <v>0</v>
      </c>
      <c r="N42" s="2002">
        <f>'2.0 Patients'!BY21-'2.0 Patients'!BX21</f>
        <v>0</v>
      </c>
      <c r="O42" s="2004">
        <f>'2.0 Patients'!BY23-'2.0 Patients'!BX23</f>
        <v>0</v>
      </c>
      <c r="P42" s="1576"/>
      <c r="Q42" s="2002">
        <f>'2.0 Patients'!AC27-'2.0 Patients'!AB27</f>
        <v>0</v>
      </c>
      <c r="R42" s="2003">
        <f>'2.0 Patients'!AC29-'2.0 Patients'!AB29</f>
        <v>0</v>
      </c>
      <c r="S42" s="2002">
        <f>'2.0 Patients'!AO27-'2.0 Patients'!AN27</f>
        <v>0</v>
      </c>
      <c r="T42" s="2003">
        <f>'2.0 Patients'!AO29-'2.0 Patients'!AN29</f>
        <v>0</v>
      </c>
      <c r="U42" s="2002">
        <f>'2.0 Patients'!BA27-'2.0 Patients'!AZ27</f>
        <v>0</v>
      </c>
      <c r="V42" s="2003">
        <f>'2.0 Patients'!BA29-'2.0 Patients'!AZ29</f>
        <v>0</v>
      </c>
      <c r="W42" s="2002">
        <f>'2.0 Patients'!BM27-'2.0 Patients'!BL27</f>
        <v>0</v>
      </c>
      <c r="X42" s="2003">
        <f>'2.0 Patients'!BM29-'2.0 Patients'!BL29</f>
        <v>0</v>
      </c>
      <c r="Y42" s="2002">
        <f>'2.0 Patients'!BY27-'2.0 Patients'!BX27</f>
        <v>0</v>
      </c>
      <c r="Z42" s="2004">
        <f>'2.0 Patients'!BY29-'2.0 Patients'!BX29</f>
        <v>0</v>
      </c>
      <c r="AA42" s="1576"/>
      <c r="AB42" s="2002">
        <f>'2.0 Patients'!AC33-'2.0 Patients'!AB33</f>
        <v>0</v>
      </c>
      <c r="AC42" s="2003">
        <f>'2.0 Patients'!AC35-'2.0 Patients'!AB35</f>
        <v>0</v>
      </c>
      <c r="AD42" s="2002">
        <f>'2.0 Patients'!AO33-'2.0 Patients'!AN33</f>
        <v>0</v>
      </c>
      <c r="AE42" s="2003">
        <f>'2.0 Patients'!AO35-'2.0 Patients'!AN35</f>
        <v>0</v>
      </c>
      <c r="AF42" s="2002">
        <f>'2.0 Patients'!BA33-'2.0 Patients'!AZ33</f>
        <v>0</v>
      </c>
      <c r="AG42" s="2003">
        <f>'2.0 Patients'!BA35-'2.0 Patients'!AZ35</f>
        <v>0</v>
      </c>
      <c r="AH42" s="2002">
        <f>'2.0 Patients'!BM33-'2.0 Patients'!BL33</f>
        <v>0</v>
      </c>
      <c r="AI42" s="2003">
        <f>'2.0 Patients'!BM35-'2.0 Patients'!BL35</f>
        <v>0</v>
      </c>
      <c r="AJ42" s="2002">
        <f>'2.0 Patients'!BY33-'2.0 Patients'!BX33</f>
        <v>0</v>
      </c>
      <c r="AK42" s="2004">
        <f>'2.0 Patients'!BY35-'2.0 Patients'!BX35</f>
        <v>0</v>
      </c>
      <c r="AL42" s="1576"/>
      <c r="AM42" s="1852"/>
    </row>
    <row r="43" spans="1:39" s="2" customFormat="1">
      <c r="A43" s="1853"/>
      <c r="B43" s="1996"/>
      <c r="C43" s="1997"/>
      <c r="D43" s="1586"/>
      <c r="E43" s="2006" t="s">
        <v>3254</v>
      </c>
      <c r="F43" s="2007">
        <f t="shared" ref="F43:O43" si="39">SUM(F31:F42)</f>
        <v>0</v>
      </c>
      <c r="G43" s="2008">
        <f t="shared" si="39"/>
        <v>0</v>
      </c>
      <c r="H43" s="2007">
        <f t="shared" si="39"/>
        <v>0</v>
      </c>
      <c r="I43" s="2008">
        <f t="shared" si="39"/>
        <v>0</v>
      </c>
      <c r="J43" s="2007">
        <f t="shared" si="39"/>
        <v>0</v>
      </c>
      <c r="K43" s="2008">
        <f t="shared" si="39"/>
        <v>0</v>
      </c>
      <c r="L43" s="2007">
        <f t="shared" si="39"/>
        <v>0</v>
      </c>
      <c r="M43" s="2008">
        <f t="shared" si="39"/>
        <v>0</v>
      </c>
      <c r="N43" s="2007">
        <f t="shared" si="39"/>
        <v>0</v>
      </c>
      <c r="O43" s="2009">
        <f t="shared" si="39"/>
        <v>0</v>
      </c>
      <c r="P43" s="1585"/>
      <c r="Q43" s="2007">
        <f t="shared" ref="Q43:Z43" si="40">SUM(Q31:Q42)</f>
        <v>0</v>
      </c>
      <c r="R43" s="2008">
        <f t="shared" si="40"/>
        <v>0</v>
      </c>
      <c r="S43" s="2007">
        <f t="shared" si="40"/>
        <v>0</v>
      </c>
      <c r="T43" s="2008">
        <f t="shared" si="40"/>
        <v>0</v>
      </c>
      <c r="U43" s="2007">
        <f t="shared" si="40"/>
        <v>0</v>
      </c>
      <c r="V43" s="2008">
        <f t="shared" si="40"/>
        <v>0</v>
      </c>
      <c r="W43" s="2007">
        <f t="shared" si="40"/>
        <v>0</v>
      </c>
      <c r="X43" s="2008">
        <f t="shared" si="40"/>
        <v>0</v>
      </c>
      <c r="Y43" s="2007">
        <f t="shared" si="40"/>
        <v>0</v>
      </c>
      <c r="Z43" s="2009">
        <f t="shared" si="40"/>
        <v>0</v>
      </c>
      <c r="AA43" s="1996"/>
      <c r="AB43" s="2007">
        <f t="shared" ref="AB43:AK43" si="41">SUM(AB31:AB42)</f>
        <v>0</v>
      </c>
      <c r="AC43" s="2008">
        <f t="shared" si="41"/>
        <v>0</v>
      </c>
      <c r="AD43" s="2007">
        <f t="shared" si="41"/>
        <v>0</v>
      </c>
      <c r="AE43" s="2008">
        <f t="shared" si="41"/>
        <v>0</v>
      </c>
      <c r="AF43" s="2007">
        <f t="shared" si="41"/>
        <v>0</v>
      </c>
      <c r="AG43" s="2008">
        <f t="shared" si="41"/>
        <v>0</v>
      </c>
      <c r="AH43" s="2007">
        <f t="shared" si="41"/>
        <v>0</v>
      </c>
      <c r="AI43" s="2008">
        <f t="shared" si="41"/>
        <v>0</v>
      </c>
      <c r="AJ43" s="2007">
        <f t="shared" si="41"/>
        <v>0</v>
      </c>
      <c r="AK43" s="2009">
        <f t="shared" si="41"/>
        <v>0</v>
      </c>
      <c r="AL43" s="1996"/>
      <c r="AM43" s="1853"/>
    </row>
    <row r="44" spans="1:39">
      <c r="A44" s="4"/>
      <c r="B44" s="1678"/>
      <c r="C44" s="1975"/>
      <c r="D44" s="1975"/>
      <c r="E44" s="2001"/>
      <c r="F44" s="2003"/>
      <c r="G44" s="2003"/>
      <c r="H44" s="2003"/>
      <c r="I44" s="2003"/>
      <c r="J44" s="2003"/>
      <c r="K44" s="2003"/>
      <c r="L44" s="2003"/>
      <c r="M44" s="2003"/>
      <c r="N44" s="2003"/>
      <c r="O44" s="2003"/>
      <c r="P44" s="1576"/>
      <c r="Q44" s="2003"/>
      <c r="R44" s="2003"/>
      <c r="S44" s="2003"/>
      <c r="T44" s="2003"/>
      <c r="U44" s="2003"/>
      <c r="V44" s="2003"/>
      <c r="W44" s="2003"/>
      <c r="X44" s="2003"/>
      <c r="Y44" s="2003"/>
      <c r="Z44" s="2003"/>
      <c r="AA44" s="2005"/>
      <c r="AB44" s="2003"/>
      <c r="AC44" s="2003"/>
      <c r="AD44" s="2003"/>
      <c r="AE44" s="2003"/>
      <c r="AF44" s="2003"/>
      <c r="AG44" s="2003"/>
      <c r="AH44" s="2003"/>
      <c r="AI44" s="2003"/>
      <c r="AJ44" s="2003"/>
      <c r="AK44" s="2003"/>
      <c r="AL44" s="2005"/>
      <c r="AM44" s="4"/>
    </row>
    <row r="45" spans="1:39">
      <c r="A45" s="4"/>
      <c r="B45" s="1678"/>
      <c r="C45" s="1678"/>
      <c r="D45" s="1678"/>
      <c r="E45" s="2005"/>
      <c r="F45" s="2005"/>
      <c r="G45" s="2005"/>
      <c r="H45" s="2005"/>
      <c r="I45" s="2005"/>
      <c r="J45" s="2005"/>
      <c r="K45" s="2005"/>
      <c r="L45" s="2005"/>
      <c r="M45" s="2005"/>
      <c r="N45" s="2005"/>
      <c r="O45" s="2005"/>
      <c r="P45" s="2005"/>
      <c r="Q45" s="2005"/>
      <c r="R45" s="2005"/>
      <c r="S45" s="2005"/>
      <c r="T45" s="2005"/>
      <c r="U45" s="2005"/>
      <c r="V45" s="2005"/>
      <c r="W45" s="2005"/>
      <c r="X45" s="2005"/>
      <c r="Y45" s="2005"/>
      <c r="Z45" s="2005"/>
      <c r="AA45" s="2005"/>
      <c r="AB45" s="2005"/>
      <c r="AC45" s="2005"/>
      <c r="AD45" s="2005"/>
      <c r="AE45" s="2005"/>
      <c r="AF45" s="2005"/>
      <c r="AG45" s="2005"/>
      <c r="AH45" s="2005"/>
      <c r="AI45" s="2005"/>
      <c r="AJ45" s="2005"/>
      <c r="AK45" s="2005"/>
      <c r="AL45" s="2005"/>
      <c r="AM45" s="4"/>
    </row>
    <row r="46" spans="1:39" s="3" customFormat="1">
      <c r="A46" s="4"/>
      <c r="C46" s="1665" t="s">
        <v>1571</v>
      </c>
      <c r="D46" s="1666"/>
      <c r="E46" s="1666"/>
      <c r="F46" s="1667"/>
      <c r="G46" s="1667"/>
      <c r="H46" s="1667"/>
      <c r="I46" s="1667"/>
      <c r="J46" s="1667"/>
      <c r="K46" s="1667"/>
      <c r="L46" s="1667"/>
      <c r="M46" s="1667"/>
      <c r="N46" s="1667"/>
      <c r="O46" s="1667"/>
      <c r="P46" s="1669"/>
      <c r="Q46" s="1667"/>
      <c r="R46" s="1667"/>
      <c r="S46" s="1667"/>
      <c r="T46" s="1667"/>
      <c r="U46" s="1667"/>
      <c r="V46" s="1667"/>
      <c r="W46" s="1667"/>
      <c r="X46" s="1667"/>
      <c r="Y46" s="1667"/>
      <c r="Z46" s="1667"/>
      <c r="AA46" s="1670"/>
      <c r="AB46" s="1667"/>
      <c r="AC46" s="1667"/>
      <c r="AD46" s="1667"/>
      <c r="AE46" s="1667"/>
      <c r="AF46" s="1667"/>
      <c r="AG46" s="1667"/>
      <c r="AH46" s="1667"/>
      <c r="AI46" s="1667"/>
      <c r="AJ46" s="1667"/>
      <c r="AK46" s="1668"/>
      <c r="AM46" s="4"/>
    </row>
    <row r="47" spans="1:39">
      <c r="A47" s="4"/>
      <c r="B47" s="1678"/>
      <c r="C47" s="1974"/>
      <c r="D47" s="1975"/>
      <c r="E47" s="1975"/>
      <c r="F47" s="1677"/>
      <c r="G47" s="1677"/>
      <c r="H47" s="1677"/>
      <c r="I47" s="1677"/>
      <c r="J47" s="1677"/>
      <c r="K47" s="1677"/>
      <c r="L47" s="1677"/>
      <c r="M47" s="1677"/>
      <c r="N47" s="1677"/>
      <c r="O47" s="1676"/>
      <c r="P47" s="1975"/>
      <c r="Q47" s="1677"/>
      <c r="R47" s="1677"/>
      <c r="S47" s="1677"/>
      <c r="T47" s="1677"/>
      <c r="U47" s="1677"/>
      <c r="V47" s="1677"/>
      <c r="W47" s="1677"/>
      <c r="X47" s="1677"/>
      <c r="Y47" s="1677"/>
      <c r="Z47" s="1676"/>
      <c r="AA47" s="1678"/>
      <c r="AB47" s="1677"/>
      <c r="AC47" s="1677"/>
      <c r="AD47" s="1677"/>
      <c r="AE47" s="1677"/>
      <c r="AF47" s="1677"/>
      <c r="AG47" s="1677"/>
      <c r="AH47" s="1677"/>
      <c r="AI47" s="1677"/>
      <c r="AJ47" s="1677"/>
      <c r="AK47" s="1676"/>
      <c r="AL47" s="1678"/>
      <c r="AM47" s="4"/>
    </row>
    <row r="48" spans="1:39">
      <c r="A48" s="4"/>
      <c r="B48" s="1678"/>
      <c r="C48" s="1976"/>
      <c r="D48" s="1977"/>
      <c r="E48" s="1977"/>
      <c r="F48" s="1978" t="s">
        <v>1090</v>
      </c>
      <c r="G48" s="1935"/>
      <c r="H48" s="1978" t="s">
        <v>1091</v>
      </c>
      <c r="I48" s="1935"/>
      <c r="J48" s="1978" t="s">
        <v>2165</v>
      </c>
      <c r="K48" s="1935"/>
      <c r="L48" s="1978" t="s">
        <v>2166</v>
      </c>
      <c r="M48" s="1935"/>
      <c r="N48" s="1978" t="s">
        <v>2167</v>
      </c>
      <c r="O48" s="1936"/>
      <c r="P48" s="1977"/>
      <c r="Q48" s="1978" t="s">
        <v>1090</v>
      </c>
      <c r="R48" s="1935"/>
      <c r="S48" s="1978" t="s">
        <v>1091</v>
      </c>
      <c r="T48" s="1935"/>
      <c r="U48" s="1978" t="s">
        <v>2165</v>
      </c>
      <c r="V48" s="1935"/>
      <c r="W48" s="1978" t="s">
        <v>2166</v>
      </c>
      <c r="X48" s="1935"/>
      <c r="Y48" s="1978" t="s">
        <v>2167</v>
      </c>
      <c r="Z48" s="1936"/>
      <c r="AA48" s="1678"/>
      <c r="AB48" s="1978" t="s">
        <v>1090</v>
      </c>
      <c r="AC48" s="1935"/>
      <c r="AD48" s="1978" t="s">
        <v>1091</v>
      </c>
      <c r="AE48" s="1935"/>
      <c r="AF48" s="1978" t="s">
        <v>2165</v>
      </c>
      <c r="AG48" s="1935"/>
      <c r="AH48" s="1978" t="s">
        <v>2166</v>
      </c>
      <c r="AI48" s="1935"/>
      <c r="AJ48" s="1978" t="s">
        <v>2167</v>
      </c>
      <c r="AK48" s="1936"/>
      <c r="AL48" s="1678"/>
      <c r="AM48" s="4"/>
    </row>
    <row r="49" spans="1:39">
      <c r="A49" s="4"/>
      <c r="B49" s="1678"/>
      <c r="C49" s="1974"/>
      <c r="D49" s="1975"/>
      <c r="E49" s="1677" t="s">
        <v>3253</v>
      </c>
      <c r="F49" s="1979">
        <f>F9</f>
        <v>90</v>
      </c>
      <c r="G49" s="1980">
        <f>F49</f>
        <v>90</v>
      </c>
      <c r="H49" s="1979">
        <f t="shared" ref="H49:O49" si="42">G49</f>
        <v>90</v>
      </c>
      <c r="I49" s="1980">
        <f t="shared" si="42"/>
        <v>90</v>
      </c>
      <c r="J49" s="1979">
        <f t="shared" si="42"/>
        <v>90</v>
      </c>
      <c r="K49" s="1980">
        <f t="shared" si="42"/>
        <v>90</v>
      </c>
      <c r="L49" s="1979">
        <f t="shared" si="42"/>
        <v>90</v>
      </c>
      <c r="M49" s="1980">
        <f t="shared" si="42"/>
        <v>90</v>
      </c>
      <c r="N49" s="1979">
        <f t="shared" si="42"/>
        <v>90</v>
      </c>
      <c r="O49" s="1980">
        <f t="shared" si="42"/>
        <v>90</v>
      </c>
      <c r="P49" s="1975"/>
      <c r="Q49" s="1979">
        <f>Q9</f>
        <v>40</v>
      </c>
      <c r="R49" s="1980">
        <f>Q49</f>
        <v>40</v>
      </c>
      <c r="S49" s="1979">
        <f t="shared" ref="S49:Z49" si="43">R49</f>
        <v>40</v>
      </c>
      <c r="T49" s="1980">
        <f t="shared" si="43"/>
        <v>40</v>
      </c>
      <c r="U49" s="1979">
        <f t="shared" si="43"/>
        <v>40</v>
      </c>
      <c r="V49" s="1980">
        <f t="shared" si="43"/>
        <v>40</v>
      </c>
      <c r="W49" s="1979">
        <f t="shared" si="43"/>
        <v>40</v>
      </c>
      <c r="X49" s="1980">
        <f t="shared" si="43"/>
        <v>40</v>
      </c>
      <c r="Y49" s="1979">
        <f t="shared" si="43"/>
        <v>40</v>
      </c>
      <c r="Z49" s="1980">
        <f t="shared" si="43"/>
        <v>40</v>
      </c>
      <c r="AA49" s="1678"/>
      <c r="AB49" s="1979">
        <f>AB9</f>
        <v>40</v>
      </c>
      <c r="AC49" s="1980">
        <f>AB49</f>
        <v>40</v>
      </c>
      <c r="AD49" s="1979">
        <f t="shared" ref="AD49:AK49" si="44">AC49</f>
        <v>40</v>
      </c>
      <c r="AE49" s="1980">
        <f t="shared" si="44"/>
        <v>40</v>
      </c>
      <c r="AF49" s="1979">
        <f t="shared" si="44"/>
        <v>40</v>
      </c>
      <c r="AG49" s="1980">
        <f t="shared" si="44"/>
        <v>40</v>
      </c>
      <c r="AH49" s="1979">
        <f t="shared" si="44"/>
        <v>40</v>
      </c>
      <c r="AI49" s="1980">
        <f t="shared" si="44"/>
        <v>40</v>
      </c>
      <c r="AJ49" s="1979">
        <f t="shared" si="44"/>
        <v>40</v>
      </c>
      <c r="AK49" s="1980">
        <f t="shared" si="44"/>
        <v>40</v>
      </c>
      <c r="AL49" s="1678"/>
      <c r="AM49" s="4"/>
    </row>
    <row r="50" spans="1:39">
      <c r="A50" s="4"/>
      <c r="B50" s="1678"/>
      <c r="C50" s="1974"/>
      <c r="D50" s="1975"/>
      <c r="E50" s="1975"/>
      <c r="F50" s="1981"/>
      <c r="G50" s="1982"/>
      <c r="H50" s="1981"/>
      <c r="I50" s="1982"/>
      <c r="J50" s="1981"/>
      <c r="K50" s="1982"/>
      <c r="L50" s="1981"/>
      <c r="M50" s="1982"/>
      <c r="N50" s="1981"/>
      <c r="O50" s="1982"/>
      <c r="P50" s="1975"/>
      <c r="Q50" s="1981"/>
      <c r="R50" s="1982"/>
      <c r="S50" s="1981"/>
      <c r="T50" s="1982"/>
      <c r="U50" s="1981"/>
      <c r="V50" s="1982"/>
      <c r="W50" s="1981"/>
      <c r="X50" s="1982"/>
      <c r="Y50" s="1981"/>
      <c r="Z50" s="1982"/>
      <c r="AA50" s="1678"/>
      <c r="AB50" s="1981"/>
      <c r="AC50" s="1982"/>
      <c r="AD50" s="1981"/>
      <c r="AE50" s="1982"/>
      <c r="AF50" s="1981"/>
      <c r="AG50" s="1982"/>
      <c r="AH50" s="1981"/>
      <c r="AI50" s="1982"/>
      <c r="AJ50" s="1981"/>
      <c r="AK50" s="1982"/>
      <c r="AL50" s="1678"/>
      <c r="AM50" s="4"/>
    </row>
    <row r="51" spans="1:39">
      <c r="A51" s="4"/>
      <c r="B51" s="1678"/>
      <c r="C51" s="1974"/>
      <c r="D51" s="1975"/>
      <c r="E51" s="1677" t="s">
        <v>3666</v>
      </c>
      <c r="F51" s="1983">
        <f t="shared" ref="F51:O51" si="45">F69</f>
        <v>48</v>
      </c>
      <c r="G51" s="1984">
        <f t="shared" si="45"/>
        <v>2</v>
      </c>
      <c r="H51" s="1983">
        <f t="shared" si="45"/>
        <v>48</v>
      </c>
      <c r="I51" s="1984">
        <f t="shared" si="45"/>
        <v>2</v>
      </c>
      <c r="J51" s="1983">
        <f t="shared" si="45"/>
        <v>48</v>
      </c>
      <c r="K51" s="1984">
        <f t="shared" si="45"/>
        <v>2</v>
      </c>
      <c r="L51" s="1983">
        <f t="shared" si="45"/>
        <v>48</v>
      </c>
      <c r="M51" s="1984">
        <f t="shared" si="45"/>
        <v>2</v>
      </c>
      <c r="N51" s="1983">
        <f t="shared" si="45"/>
        <v>48</v>
      </c>
      <c r="O51" s="1984">
        <f t="shared" si="45"/>
        <v>2</v>
      </c>
      <c r="P51" s="1975"/>
      <c r="Q51" s="1983">
        <f t="shared" ref="Q51:Z51" si="46">Q69</f>
        <v>14</v>
      </c>
      <c r="R51" s="1984">
        <f t="shared" si="46"/>
        <v>6</v>
      </c>
      <c r="S51" s="1983">
        <f t="shared" si="46"/>
        <v>14</v>
      </c>
      <c r="T51" s="1984">
        <f t="shared" si="46"/>
        <v>6</v>
      </c>
      <c r="U51" s="1983">
        <f t="shared" si="46"/>
        <v>14</v>
      </c>
      <c r="V51" s="1984">
        <f t="shared" si="46"/>
        <v>6</v>
      </c>
      <c r="W51" s="1983">
        <f t="shared" si="46"/>
        <v>14</v>
      </c>
      <c r="X51" s="1984">
        <f t="shared" si="46"/>
        <v>6</v>
      </c>
      <c r="Y51" s="1983">
        <f t="shared" si="46"/>
        <v>14</v>
      </c>
      <c r="Z51" s="1984">
        <f t="shared" si="46"/>
        <v>6</v>
      </c>
      <c r="AA51" s="1678"/>
      <c r="AB51" s="1983">
        <f t="shared" ref="AB51:AK51" si="47">AB69</f>
        <v>5</v>
      </c>
      <c r="AC51" s="1984">
        <f t="shared" si="47"/>
        <v>0</v>
      </c>
      <c r="AD51" s="1983">
        <f t="shared" si="47"/>
        <v>5</v>
      </c>
      <c r="AE51" s="1984">
        <f t="shared" si="47"/>
        <v>0</v>
      </c>
      <c r="AF51" s="1983">
        <f t="shared" si="47"/>
        <v>5</v>
      </c>
      <c r="AG51" s="1984">
        <f t="shared" si="47"/>
        <v>0</v>
      </c>
      <c r="AH51" s="1983">
        <f t="shared" si="47"/>
        <v>5</v>
      </c>
      <c r="AI51" s="1984">
        <f t="shared" si="47"/>
        <v>0</v>
      </c>
      <c r="AJ51" s="1983">
        <f t="shared" si="47"/>
        <v>5</v>
      </c>
      <c r="AK51" s="1984">
        <f t="shared" si="47"/>
        <v>0</v>
      </c>
      <c r="AL51" s="1678"/>
      <c r="AM51" s="4"/>
    </row>
    <row r="52" spans="1:39">
      <c r="A52" s="4"/>
      <c r="B52" s="1678"/>
      <c r="C52" s="1974"/>
      <c r="D52" s="1975"/>
      <c r="E52" s="1985" t="s">
        <v>3255</v>
      </c>
      <c r="F52" s="1986">
        <f>SUM(F51,G51)/F49</f>
        <v>0.55555555555555558</v>
      </c>
      <c r="G52" s="1982"/>
      <c r="H52" s="1986">
        <f>SUM(H51,I51)/H49</f>
        <v>0.55555555555555558</v>
      </c>
      <c r="I52" s="1982"/>
      <c r="J52" s="1986">
        <f>SUM(J51,K51)/J49</f>
        <v>0.55555555555555558</v>
      </c>
      <c r="K52" s="1982"/>
      <c r="L52" s="1986">
        <f>SUM(L51,M51)/L49</f>
        <v>0.55555555555555558</v>
      </c>
      <c r="M52" s="1982"/>
      <c r="N52" s="1986">
        <f>SUM(N51,O51)/N49</f>
        <v>0.55555555555555558</v>
      </c>
      <c r="O52" s="1982"/>
      <c r="P52" s="1975"/>
      <c r="Q52" s="1986">
        <f>SUM(Q51,R51)/Q49</f>
        <v>0.5</v>
      </c>
      <c r="R52" s="1982"/>
      <c r="S52" s="1986">
        <f>SUM(S51,T51)/S49</f>
        <v>0.5</v>
      </c>
      <c r="T52" s="1982"/>
      <c r="U52" s="1986">
        <f>SUM(U51,V51)/U49</f>
        <v>0.5</v>
      </c>
      <c r="V52" s="1982"/>
      <c r="W52" s="1986">
        <f>SUM(W51,X51)/W49</f>
        <v>0.5</v>
      </c>
      <c r="X52" s="1982"/>
      <c r="Y52" s="1986">
        <f>SUM(Y51,Z51)/Y49</f>
        <v>0.5</v>
      </c>
      <c r="Z52" s="1982"/>
      <c r="AA52" s="1678"/>
      <c r="AB52" s="1986">
        <f>SUM(AB51,AC51)/AB49</f>
        <v>0.125</v>
      </c>
      <c r="AC52" s="1982"/>
      <c r="AD52" s="1986">
        <f>SUM(AD51,AE51)/AD49</f>
        <v>0.125</v>
      </c>
      <c r="AE52" s="1982"/>
      <c r="AF52" s="1986">
        <f>SUM(AF51,AG51)/AF49</f>
        <v>0.125</v>
      </c>
      <c r="AG52" s="1982"/>
      <c r="AH52" s="1986">
        <f>SUM(AH51,AI51)/AH49</f>
        <v>0.125</v>
      </c>
      <c r="AI52" s="1982"/>
      <c r="AJ52" s="1986">
        <f>SUM(AJ51,AK51)/AJ49</f>
        <v>0.125</v>
      </c>
      <c r="AK52" s="1982"/>
      <c r="AL52" s="1678"/>
      <c r="AM52" s="4"/>
    </row>
    <row r="53" spans="1:39">
      <c r="A53" s="4"/>
      <c r="B53" s="1678"/>
      <c r="C53" s="1974"/>
      <c r="D53" s="1975"/>
      <c r="E53" s="1975"/>
      <c r="F53" s="1981"/>
      <c r="G53" s="1982"/>
      <c r="H53" s="1981"/>
      <c r="I53" s="1982"/>
      <c r="J53" s="1981"/>
      <c r="K53" s="1982"/>
      <c r="L53" s="1981"/>
      <c r="M53" s="1982"/>
      <c r="N53" s="1981"/>
      <c r="O53" s="1982"/>
      <c r="P53" s="1975"/>
      <c r="Q53" s="1981"/>
      <c r="R53" s="1982"/>
      <c r="S53" s="1981"/>
      <c r="T53" s="1982"/>
      <c r="U53" s="1981"/>
      <c r="V53" s="1982"/>
      <c r="W53" s="1981"/>
      <c r="X53" s="1982"/>
      <c r="Y53" s="1981"/>
      <c r="Z53" s="1982"/>
      <c r="AA53" s="1678"/>
      <c r="AB53" s="1981"/>
      <c r="AC53" s="1982"/>
      <c r="AD53" s="1981"/>
      <c r="AE53" s="1982"/>
      <c r="AF53" s="1981"/>
      <c r="AG53" s="1982"/>
      <c r="AH53" s="1981"/>
      <c r="AI53" s="1982"/>
      <c r="AJ53" s="1981"/>
      <c r="AK53" s="1982"/>
      <c r="AL53" s="1678"/>
      <c r="AM53" s="4"/>
    </row>
    <row r="54" spans="1:39">
      <c r="A54" s="4"/>
      <c r="B54" s="1678"/>
      <c r="C54" s="1974"/>
      <c r="D54" s="1975"/>
      <c r="E54" s="1677" t="s">
        <v>3517</v>
      </c>
      <c r="F54" s="1987"/>
      <c r="G54" s="1988"/>
      <c r="H54" s="1989">
        <f>(SUM(H51,I51)/(SUM(F51,G51))-1)</f>
        <v>0</v>
      </c>
      <c r="I54" s="1988"/>
      <c r="J54" s="1989">
        <f>(SUM(J51,K51)/(SUM(H51,I51))-1)</f>
        <v>0</v>
      </c>
      <c r="K54" s="1988"/>
      <c r="L54" s="1989">
        <f>(SUM(L51,M51)/(SUM(J51,K51))-1)</f>
        <v>0</v>
      </c>
      <c r="M54" s="1988"/>
      <c r="N54" s="1989">
        <f>(SUM(N51,O51)/(SUM(L51,M51))-1)</f>
        <v>0</v>
      </c>
      <c r="O54" s="1988"/>
      <c r="P54" s="1975"/>
      <c r="Q54" s="1987"/>
      <c r="R54" s="1988"/>
      <c r="S54" s="1989">
        <f>(SUM(S51,T51)/(SUM(Q51,R51))-1)</f>
        <v>0</v>
      </c>
      <c r="T54" s="1988"/>
      <c r="U54" s="1989">
        <f>(SUM(U51,V51)/(SUM(S51,T51))-1)</f>
        <v>0</v>
      </c>
      <c r="V54" s="1988"/>
      <c r="W54" s="1989">
        <f>(SUM(W51,X51)/(SUM(U51,V51))-1)</f>
        <v>0</v>
      </c>
      <c r="X54" s="1988"/>
      <c r="Y54" s="1989">
        <f>(SUM(Y51,Z51)/(SUM(W51,X51))-1)</f>
        <v>0</v>
      </c>
      <c r="Z54" s="1988"/>
      <c r="AA54" s="1678"/>
      <c r="AB54" s="1987"/>
      <c r="AC54" s="1988"/>
      <c r="AD54" s="1989">
        <f>(SUM(AD51,AE51)/(SUM(AB51,AC51))-1)</f>
        <v>0</v>
      </c>
      <c r="AE54" s="1988"/>
      <c r="AF54" s="1989">
        <f>(SUM(AF51,AG51)/(SUM(AD51,AE51))-1)</f>
        <v>0</v>
      </c>
      <c r="AG54" s="1988"/>
      <c r="AH54" s="1989">
        <f>(SUM(AH51,AI51)/(SUM(AF51,AG51))-1)</f>
        <v>0</v>
      </c>
      <c r="AI54" s="1988"/>
      <c r="AJ54" s="1989">
        <f>(SUM(AJ51,AK51)/(SUM(AH51,AI51))-1)</f>
        <v>0</v>
      </c>
      <c r="AK54" s="1988"/>
      <c r="AL54" s="1678"/>
      <c r="AM54" s="4"/>
    </row>
    <row r="55" spans="1:39">
      <c r="A55" s="4"/>
      <c r="B55" s="1678"/>
      <c r="C55" s="1990"/>
      <c r="D55" s="1991"/>
      <c r="E55" s="1991"/>
      <c r="F55" s="1992" t="s">
        <v>463</v>
      </c>
      <c r="G55" s="1993" t="s">
        <v>464</v>
      </c>
      <c r="H55" s="1992" t="s">
        <v>463</v>
      </c>
      <c r="I55" s="1993" t="s">
        <v>464</v>
      </c>
      <c r="J55" s="1992" t="s">
        <v>463</v>
      </c>
      <c r="K55" s="1993" t="s">
        <v>464</v>
      </c>
      <c r="L55" s="1992" t="s">
        <v>463</v>
      </c>
      <c r="M55" s="1993" t="s">
        <v>464</v>
      </c>
      <c r="N55" s="1992" t="s">
        <v>463</v>
      </c>
      <c r="O55" s="1993" t="s">
        <v>464</v>
      </c>
      <c r="P55" s="1678"/>
      <c r="Q55" s="1992" t="s">
        <v>463</v>
      </c>
      <c r="R55" s="1993" t="s">
        <v>464</v>
      </c>
      <c r="S55" s="1971"/>
      <c r="T55" s="1972"/>
      <c r="U55" s="1971"/>
      <c r="V55" s="1972"/>
      <c r="W55" s="1971"/>
      <c r="X55" s="1972"/>
      <c r="Y55" s="1971"/>
      <c r="Z55" s="1972"/>
      <c r="AA55" s="1678"/>
      <c r="AB55" s="1992" t="s">
        <v>463</v>
      </c>
      <c r="AC55" s="1993" t="s">
        <v>464</v>
      </c>
      <c r="AD55" s="1971"/>
      <c r="AE55" s="1972"/>
      <c r="AF55" s="1971"/>
      <c r="AG55" s="1972"/>
      <c r="AH55" s="1971"/>
      <c r="AI55" s="1972"/>
      <c r="AJ55" s="1971"/>
      <c r="AK55" s="1972"/>
      <c r="AL55" s="1678"/>
      <c r="AM55" s="4"/>
    </row>
    <row r="56" spans="1:39">
      <c r="A56" s="4"/>
      <c r="B56" s="1678"/>
      <c r="C56" s="1974" t="s">
        <v>724</v>
      </c>
      <c r="D56" s="1975"/>
      <c r="E56" s="1975"/>
      <c r="F56" s="1994">
        <f>'2.0 Patients'!Q47</f>
        <v>48</v>
      </c>
      <c r="G56" s="1995">
        <f>'2.0 Patients'!Q49</f>
        <v>2</v>
      </c>
      <c r="H56" s="1675"/>
      <c r="I56" s="1676"/>
      <c r="J56" s="1677"/>
      <c r="K56" s="1676"/>
      <c r="L56" s="1677"/>
      <c r="M56" s="1676"/>
      <c r="N56" s="1677"/>
      <c r="O56" s="1676"/>
      <c r="P56" s="1678"/>
      <c r="Q56" s="1994">
        <f>'2.0 Patients'!Q53</f>
        <v>14</v>
      </c>
      <c r="R56" s="1995">
        <f>'2.0 Patients'!Q55</f>
        <v>6</v>
      </c>
      <c r="S56" s="1675"/>
      <c r="T56" s="1676"/>
      <c r="U56" s="1677"/>
      <c r="V56" s="1676"/>
      <c r="W56" s="1677"/>
      <c r="X56" s="1676"/>
      <c r="Y56" s="1677"/>
      <c r="Z56" s="1676"/>
      <c r="AA56" s="1678"/>
      <c r="AB56" s="1994">
        <f>'2.0 Patients'!Q59</f>
        <v>5</v>
      </c>
      <c r="AC56" s="1995">
        <f>'2.0 Patients'!Q61</f>
        <v>0</v>
      </c>
      <c r="AD56" s="1675"/>
      <c r="AE56" s="1676"/>
      <c r="AF56" s="1677"/>
      <c r="AG56" s="1676"/>
      <c r="AH56" s="1677"/>
      <c r="AI56" s="1676"/>
      <c r="AJ56" s="1677"/>
      <c r="AK56" s="1676"/>
      <c r="AL56" s="1678"/>
      <c r="AM56" s="4"/>
    </row>
    <row r="57" spans="1:39">
      <c r="A57" s="4"/>
      <c r="B57" s="1678" t="s">
        <v>729</v>
      </c>
      <c r="C57" s="1974"/>
      <c r="D57" s="1671" t="str">
        <f>$D$17</f>
        <v>Month 1</v>
      </c>
      <c r="E57" s="1671"/>
      <c r="F57" s="1672">
        <f>MIN(+F56+F71,F$49-G57)</f>
        <v>48</v>
      </c>
      <c r="G57" s="1673">
        <f>MIN(+G56+G71,G$49)</f>
        <v>2</v>
      </c>
      <c r="H57" s="1674">
        <f>MIN(+F68+H71,H49-I57)</f>
        <v>48</v>
      </c>
      <c r="I57" s="1673">
        <f>MIN(+G68+I71,I49)</f>
        <v>2</v>
      </c>
      <c r="J57" s="1674">
        <f>MIN(+H68+J71,J49-K57)</f>
        <v>48</v>
      </c>
      <c r="K57" s="1673">
        <f>MIN(+I68+K71,K49)</f>
        <v>2</v>
      </c>
      <c r="L57" s="1674">
        <f>MIN(+J68+L71,L49-M57)</f>
        <v>48</v>
      </c>
      <c r="M57" s="1673">
        <f>MIN(+K68+M71,M49)</f>
        <v>2</v>
      </c>
      <c r="N57" s="1674">
        <f>MIN(+L68+N71,N49-O57)</f>
        <v>48</v>
      </c>
      <c r="O57" s="1673">
        <f>MIN(+M68+O71,O49)</f>
        <v>2</v>
      </c>
      <c r="P57" s="6"/>
      <c r="Q57" s="1672">
        <f>MIN(+Q56+Q71,Q$49-R57)</f>
        <v>14</v>
      </c>
      <c r="R57" s="1673">
        <f>MIN(+R56+R71,R$49)</f>
        <v>6</v>
      </c>
      <c r="S57" s="1674">
        <f>MIN(+Q68+S71,S49-T57)</f>
        <v>14</v>
      </c>
      <c r="T57" s="1673">
        <f>MIN(+R68+T71,T49)</f>
        <v>6</v>
      </c>
      <c r="U57" s="1674">
        <f>MIN(+S68+U71,U49-V57)</f>
        <v>14</v>
      </c>
      <c r="V57" s="1673">
        <f>MIN(+T68+V71,V49)</f>
        <v>6</v>
      </c>
      <c r="W57" s="1674">
        <f>MIN(+U68+W71,W49-X57)</f>
        <v>14</v>
      </c>
      <c r="X57" s="1673">
        <f>MIN(+V68+X71,X49)</f>
        <v>6</v>
      </c>
      <c r="Y57" s="1674">
        <f>MIN(+W68+Y71,Y49-Z57)</f>
        <v>14</v>
      </c>
      <c r="Z57" s="1673">
        <f>MIN(+X68+Z71,Z49)</f>
        <v>6</v>
      </c>
      <c r="AA57" s="6"/>
      <c r="AB57" s="1672">
        <f>MIN(+AB56+AB71,AB$49-AC57)</f>
        <v>5</v>
      </c>
      <c r="AC57" s="1673">
        <f>MIN(+AC56+AC71,AC$49)</f>
        <v>0</v>
      </c>
      <c r="AD57" s="1674">
        <f>MIN(+AB68+AD71,AD49-AE57)</f>
        <v>5</v>
      </c>
      <c r="AE57" s="1673">
        <f>MIN(+AC68+AE71,AE49)</f>
        <v>0</v>
      </c>
      <c r="AF57" s="1674">
        <f>MIN(+AD68+AF71,AF49-AG57)</f>
        <v>5</v>
      </c>
      <c r="AG57" s="1673">
        <f>MIN(+AE68+AG71,AG49)</f>
        <v>0</v>
      </c>
      <c r="AH57" s="1674">
        <f>MIN(+AF68+AH71,AH49-AI57)</f>
        <v>5</v>
      </c>
      <c r="AI57" s="1673">
        <f>MIN(+AG68+AI71,AI49)</f>
        <v>0</v>
      </c>
      <c r="AJ57" s="1674">
        <f>MIN(+AH68+AJ71,AJ49-AK57)</f>
        <v>5</v>
      </c>
      <c r="AK57" s="1673">
        <f>MIN(+AI68+AK71,AK49)</f>
        <v>0</v>
      </c>
      <c r="AL57" s="6"/>
      <c r="AM57" s="4"/>
    </row>
    <row r="58" spans="1:39">
      <c r="A58" s="4"/>
      <c r="B58" s="1678"/>
      <c r="C58" s="1974"/>
      <c r="D58" s="1671" t="str">
        <f>$D$18</f>
        <v>Month 2</v>
      </c>
      <c r="E58" s="1671"/>
      <c r="F58" s="1672">
        <f t="shared" ref="F58:F68" si="48">MIN(+F57+F72,F$49-G58)</f>
        <v>48</v>
      </c>
      <c r="G58" s="1673">
        <f t="shared" ref="G58:G68" si="49">MIN(+G57+G72,G$49)</f>
        <v>2</v>
      </c>
      <c r="H58" s="1672">
        <f>MIN(+H57+H72,H$49-I58)</f>
        <v>48</v>
      </c>
      <c r="I58" s="1673">
        <f>MIN(+I57+I72,I$49)</f>
        <v>2</v>
      </c>
      <c r="J58" s="1672">
        <f>MIN(+J57+J72,J$49-K58)</f>
        <v>48</v>
      </c>
      <c r="K58" s="1673">
        <f>MIN(+K57+K72,K$49)</f>
        <v>2</v>
      </c>
      <c r="L58" s="1672">
        <f>MIN(+L57+L72,L$49-M58)</f>
        <v>48</v>
      </c>
      <c r="M58" s="1673">
        <f>MIN(+M57+M72,M$49)</f>
        <v>2</v>
      </c>
      <c r="N58" s="1672">
        <f>MIN(+N57+N72,N$49-O58)</f>
        <v>48</v>
      </c>
      <c r="O58" s="1673">
        <f>MIN(+O57+O72,O$49)</f>
        <v>2</v>
      </c>
      <c r="P58" s="6"/>
      <c r="Q58" s="1672">
        <f t="shared" ref="Q58:Q68" si="50">MIN(+Q57+Q72,Q$49-R58)</f>
        <v>14</v>
      </c>
      <c r="R58" s="1673">
        <f t="shared" ref="R58:R68" si="51">MIN(+R57+R72,R$49)</f>
        <v>6</v>
      </c>
      <c r="S58" s="1672">
        <f>MIN(+S57+S72,S$49-T58)</f>
        <v>14</v>
      </c>
      <c r="T58" s="1673">
        <f>MIN(+T57+T72,T$49)</f>
        <v>6</v>
      </c>
      <c r="U58" s="1672">
        <f>MIN(+U57+U72,U$49-V58)</f>
        <v>14</v>
      </c>
      <c r="V58" s="1673">
        <f>MIN(+V57+V72,V$49)</f>
        <v>6</v>
      </c>
      <c r="W58" s="1672">
        <f>MIN(+W57+W72,W$49-X58)</f>
        <v>14</v>
      </c>
      <c r="X58" s="1673">
        <f>MIN(+X57+X72,X$49)</f>
        <v>6</v>
      </c>
      <c r="Y58" s="1672">
        <f>MIN(+Y57+Y72,Y$49-Z58)</f>
        <v>14</v>
      </c>
      <c r="Z58" s="1673">
        <f>MIN(+Z57+Z72,Z$49)</f>
        <v>6</v>
      </c>
      <c r="AA58" s="6"/>
      <c r="AB58" s="1672">
        <f t="shared" ref="AB58:AB68" si="52">MIN(+AB57+AB72,AB$49-AC58)</f>
        <v>5</v>
      </c>
      <c r="AC58" s="1673">
        <f t="shared" ref="AC58:AC68" si="53">MIN(+AC57+AC72,AC$49)</f>
        <v>0</v>
      </c>
      <c r="AD58" s="1672">
        <f>MIN(+AD57+AD72,AD$49-AE58)</f>
        <v>5</v>
      </c>
      <c r="AE58" s="1673">
        <f>MIN(+AE57+AE72,AE$49)</f>
        <v>0</v>
      </c>
      <c r="AF58" s="1672">
        <f>MIN(+AF57+AF72,AF$49-AG58)</f>
        <v>5</v>
      </c>
      <c r="AG58" s="1673">
        <f>MIN(+AG57+AG72,AG$49)</f>
        <v>0</v>
      </c>
      <c r="AH58" s="1672">
        <f>MIN(+AH57+AH72,AH$49-AI58)</f>
        <v>5</v>
      </c>
      <c r="AI58" s="1673">
        <f>MIN(+AI57+AI72,AI$49)</f>
        <v>0</v>
      </c>
      <c r="AJ58" s="1672">
        <f>MIN(+AJ57+AJ72,AJ$49-AK58)</f>
        <v>5</v>
      </c>
      <c r="AK58" s="1673">
        <f>MIN(+AK57+AK72,AK$49)</f>
        <v>0</v>
      </c>
      <c r="AL58" s="6"/>
      <c r="AM58" s="4"/>
    </row>
    <row r="59" spans="1:39">
      <c r="A59" s="4"/>
      <c r="B59" s="1678"/>
      <c r="C59" s="1974"/>
      <c r="D59" s="1671" t="str">
        <f>$D$19</f>
        <v>Month 3</v>
      </c>
      <c r="E59" s="1671"/>
      <c r="F59" s="1672">
        <f t="shared" si="48"/>
        <v>48</v>
      </c>
      <c r="G59" s="1673">
        <f t="shared" si="49"/>
        <v>2</v>
      </c>
      <c r="H59" s="1672">
        <f t="shared" ref="H59:H68" si="54">MIN(+H58+H73,H$49-I59)</f>
        <v>48</v>
      </c>
      <c r="I59" s="1673">
        <f t="shared" ref="I59:I68" si="55">MIN(+I58+I73,I$49)</f>
        <v>2</v>
      </c>
      <c r="J59" s="1672">
        <f t="shared" ref="J59:J68" si="56">MIN(+J58+J73,J$49-K59)</f>
        <v>48</v>
      </c>
      <c r="K59" s="1673">
        <f t="shared" ref="K59:K68" si="57">MIN(+K58+K73,K$49)</f>
        <v>2</v>
      </c>
      <c r="L59" s="1672">
        <f t="shared" ref="L59:L68" si="58">MIN(+L58+L73,L$49-M59)</f>
        <v>48</v>
      </c>
      <c r="M59" s="1673">
        <f t="shared" ref="M59:M68" si="59">MIN(+M58+M73,M$49)</f>
        <v>2</v>
      </c>
      <c r="N59" s="1672">
        <f t="shared" ref="N59:N68" si="60">MIN(+N58+N73,N$49-O59)</f>
        <v>48</v>
      </c>
      <c r="O59" s="1673">
        <f t="shared" ref="O59:O68" si="61">MIN(+O58+O73,O$49)</f>
        <v>2</v>
      </c>
      <c r="P59" s="6"/>
      <c r="Q59" s="1672">
        <f t="shared" si="50"/>
        <v>14</v>
      </c>
      <c r="R59" s="1673">
        <f t="shared" si="51"/>
        <v>6</v>
      </c>
      <c r="S59" s="1672">
        <f t="shared" ref="S59:S68" si="62">MIN(+S58+S73,S$49-T59)</f>
        <v>14</v>
      </c>
      <c r="T59" s="1673">
        <f t="shared" ref="T59:T68" si="63">MIN(+T58+T73,T$49)</f>
        <v>6</v>
      </c>
      <c r="U59" s="1672">
        <f>'2.0 Patients'!AR53</f>
        <v>14</v>
      </c>
      <c r="V59" s="1673">
        <f>'2.0 Patients'!AR55</f>
        <v>6</v>
      </c>
      <c r="W59" s="1672">
        <f t="shared" ref="W59:W68" si="64">MIN(+W58+W73,W$49-X59)</f>
        <v>14</v>
      </c>
      <c r="X59" s="1673">
        <f t="shared" ref="X59:X68" si="65">MIN(+X58+X73,X$49)</f>
        <v>6</v>
      </c>
      <c r="Y59" s="1672">
        <f t="shared" ref="Y59:Y68" si="66">MIN(+Y58+Y73,Y$49-Z59)</f>
        <v>14</v>
      </c>
      <c r="Z59" s="1673">
        <f t="shared" ref="Z59:Z68" si="67">MIN(+Z58+Z73,Z$49)</f>
        <v>6</v>
      </c>
      <c r="AA59" s="6"/>
      <c r="AB59" s="1672">
        <f t="shared" si="52"/>
        <v>5</v>
      </c>
      <c r="AC59" s="1673">
        <f t="shared" si="53"/>
        <v>0</v>
      </c>
      <c r="AD59" s="1672">
        <f t="shared" ref="AD59:AD68" si="68">MIN(+AD58+AD73,AD$49-AE59)</f>
        <v>5</v>
      </c>
      <c r="AE59" s="1673">
        <f t="shared" ref="AE59:AE68" si="69">MIN(+AE58+AE73,AE$49)</f>
        <v>0</v>
      </c>
      <c r="AF59" s="1672">
        <f t="shared" ref="AF59:AF68" si="70">MIN(+AF58+AF73,AF$49-AG59)</f>
        <v>5</v>
      </c>
      <c r="AG59" s="1673">
        <f t="shared" ref="AG59:AG68" si="71">MIN(+AG58+AG73,AG$49)</f>
        <v>0</v>
      </c>
      <c r="AH59" s="1672">
        <f t="shared" ref="AH59:AH68" si="72">MIN(+AH58+AH73,AH$49-AI59)</f>
        <v>5</v>
      </c>
      <c r="AI59" s="1673">
        <f t="shared" ref="AI59:AI68" si="73">MIN(+AI58+AI73,AI$49)</f>
        <v>0</v>
      </c>
      <c r="AJ59" s="1672">
        <f t="shared" ref="AJ59:AJ68" si="74">MIN(+AJ58+AJ73,AJ$49-AK59)</f>
        <v>5</v>
      </c>
      <c r="AK59" s="1673">
        <f t="shared" ref="AK59:AK68" si="75">MIN(+AK58+AK73,AK$49)</f>
        <v>0</v>
      </c>
      <c r="AL59" s="6"/>
      <c r="AM59" s="4"/>
    </row>
    <row r="60" spans="1:39">
      <c r="A60" s="4"/>
      <c r="B60" s="1678"/>
      <c r="C60" s="1974"/>
      <c r="D60" s="1671" t="str">
        <f>$D$20</f>
        <v>Month 4</v>
      </c>
      <c r="E60" s="1671"/>
      <c r="F60" s="1672">
        <f t="shared" si="48"/>
        <v>48</v>
      </c>
      <c r="G60" s="1673">
        <f t="shared" si="49"/>
        <v>2</v>
      </c>
      <c r="H60" s="1672">
        <f t="shared" si="54"/>
        <v>48</v>
      </c>
      <c r="I60" s="1673">
        <f t="shared" si="55"/>
        <v>2</v>
      </c>
      <c r="J60" s="1672">
        <f t="shared" si="56"/>
        <v>48</v>
      </c>
      <c r="K60" s="1673">
        <f t="shared" si="57"/>
        <v>2</v>
      </c>
      <c r="L60" s="1672">
        <f t="shared" si="58"/>
        <v>48</v>
      </c>
      <c r="M60" s="1673">
        <f t="shared" si="59"/>
        <v>2</v>
      </c>
      <c r="N60" s="1672">
        <f t="shared" si="60"/>
        <v>48</v>
      </c>
      <c r="O60" s="1673">
        <f t="shared" si="61"/>
        <v>2</v>
      </c>
      <c r="P60" s="6"/>
      <c r="Q60" s="1672">
        <f t="shared" si="50"/>
        <v>14</v>
      </c>
      <c r="R60" s="1673">
        <f t="shared" si="51"/>
        <v>6</v>
      </c>
      <c r="S60" s="1672">
        <f t="shared" si="62"/>
        <v>14</v>
      </c>
      <c r="T60" s="1673">
        <f t="shared" si="63"/>
        <v>6</v>
      </c>
      <c r="U60" s="1672">
        <f>'2.0 Patients'!AS53</f>
        <v>14</v>
      </c>
      <c r="V60" s="1673">
        <f>'2.0 Patients'!AS55</f>
        <v>6</v>
      </c>
      <c r="W60" s="1672">
        <f t="shared" si="64"/>
        <v>14</v>
      </c>
      <c r="X60" s="1673">
        <f t="shared" si="65"/>
        <v>6</v>
      </c>
      <c r="Y60" s="1672">
        <f t="shared" si="66"/>
        <v>14</v>
      </c>
      <c r="Z60" s="1673">
        <f t="shared" si="67"/>
        <v>6</v>
      </c>
      <c r="AA60" s="6"/>
      <c r="AB60" s="1672">
        <f t="shared" si="52"/>
        <v>5</v>
      </c>
      <c r="AC60" s="1673">
        <f t="shared" si="53"/>
        <v>0</v>
      </c>
      <c r="AD60" s="1672">
        <f t="shared" si="68"/>
        <v>5</v>
      </c>
      <c r="AE60" s="1673">
        <f t="shared" si="69"/>
        <v>0</v>
      </c>
      <c r="AF60" s="1672">
        <f t="shared" si="70"/>
        <v>5</v>
      </c>
      <c r="AG60" s="1673">
        <f t="shared" si="71"/>
        <v>0</v>
      </c>
      <c r="AH60" s="1672">
        <f t="shared" si="72"/>
        <v>5</v>
      </c>
      <c r="AI60" s="1673">
        <f t="shared" si="73"/>
        <v>0</v>
      </c>
      <c r="AJ60" s="1672">
        <f t="shared" si="74"/>
        <v>5</v>
      </c>
      <c r="AK60" s="1673">
        <f t="shared" si="75"/>
        <v>0</v>
      </c>
      <c r="AL60" s="6"/>
      <c r="AM60" s="4"/>
    </row>
    <row r="61" spans="1:39">
      <c r="A61" s="4"/>
      <c r="B61" s="1678"/>
      <c r="C61" s="1974"/>
      <c r="D61" s="1671" t="str">
        <f>$D$21</f>
        <v>Month 5</v>
      </c>
      <c r="E61" s="1671"/>
      <c r="F61" s="1672">
        <f t="shared" si="48"/>
        <v>48</v>
      </c>
      <c r="G61" s="1673">
        <f t="shared" si="49"/>
        <v>2</v>
      </c>
      <c r="H61" s="1672">
        <f t="shared" si="54"/>
        <v>48</v>
      </c>
      <c r="I61" s="1673">
        <f t="shared" si="55"/>
        <v>2</v>
      </c>
      <c r="J61" s="1672">
        <f t="shared" si="56"/>
        <v>48</v>
      </c>
      <c r="K61" s="1673">
        <f t="shared" si="57"/>
        <v>2</v>
      </c>
      <c r="L61" s="1672">
        <f t="shared" si="58"/>
        <v>48</v>
      </c>
      <c r="M61" s="1673">
        <f t="shared" si="59"/>
        <v>2</v>
      </c>
      <c r="N61" s="1672">
        <f t="shared" si="60"/>
        <v>48</v>
      </c>
      <c r="O61" s="1673">
        <f t="shared" si="61"/>
        <v>2</v>
      </c>
      <c r="P61" s="6"/>
      <c r="Q61" s="1672">
        <f t="shared" si="50"/>
        <v>14</v>
      </c>
      <c r="R61" s="1673">
        <f t="shared" si="51"/>
        <v>6</v>
      </c>
      <c r="S61" s="1672">
        <f t="shared" si="62"/>
        <v>14</v>
      </c>
      <c r="T61" s="1673">
        <f t="shared" si="63"/>
        <v>6</v>
      </c>
      <c r="U61" s="1672">
        <f>'2.0 Patients'!AT53</f>
        <v>14</v>
      </c>
      <c r="V61" s="1673">
        <f>'2.0 Patients'!AT55</f>
        <v>6</v>
      </c>
      <c r="W61" s="1672">
        <f t="shared" si="64"/>
        <v>14</v>
      </c>
      <c r="X61" s="1673">
        <f t="shared" si="65"/>
        <v>6</v>
      </c>
      <c r="Y61" s="1672">
        <f t="shared" si="66"/>
        <v>14</v>
      </c>
      <c r="Z61" s="1673">
        <f t="shared" si="67"/>
        <v>6</v>
      </c>
      <c r="AA61" s="6"/>
      <c r="AB61" s="1672">
        <f t="shared" si="52"/>
        <v>5</v>
      </c>
      <c r="AC61" s="1673">
        <f t="shared" si="53"/>
        <v>0</v>
      </c>
      <c r="AD61" s="1672">
        <f t="shared" si="68"/>
        <v>5</v>
      </c>
      <c r="AE61" s="1673">
        <f t="shared" si="69"/>
        <v>0</v>
      </c>
      <c r="AF61" s="1672">
        <f t="shared" si="70"/>
        <v>5</v>
      </c>
      <c r="AG61" s="1673">
        <f t="shared" si="71"/>
        <v>0</v>
      </c>
      <c r="AH61" s="1672">
        <f t="shared" si="72"/>
        <v>5</v>
      </c>
      <c r="AI61" s="1673">
        <f t="shared" si="73"/>
        <v>0</v>
      </c>
      <c r="AJ61" s="1672">
        <f t="shared" si="74"/>
        <v>5</v>
      </c>
      <c r="AK61" s="1673">
        <f t="shared" si="75"/>
        <v>0</v>
      </c>
      <c r="AL61" s="6"/>
      <c r="AM61" s="4"/>
    </row>
    <row r="62" spans="1:39">
      <c r="A62" s="4"/>
      <c r="B62" s="1678"/>
      <c r="C62" s="1974"/>
      <c r="D62" s="1671" t="str">
        <f>$D$22</f>
        <v>Month 6</v>
      </c>
      <c r="E62" s="1671"/>
      <c r="F62" s="1672">
        <f t="shared" si="48"/>
        <v>48</v>
      </c>
      <c r="G62" s="1673">
        <f t="shared" si="49"/>
        <v>2</v>
      </c>
      <c r="H62" s="1672">
        <f t="shared" si="54"/>
        <v>48</v>
      </c>
      <c r="I62" s="1673">
        <f t="shared" si="55"/>
        <v>2</v>
      </c>
      <c r="J62" s="1672">
        <f t="shared" si="56"/>
        <v>48</v>
      </c>
      <c r="K62" s="1673">
        <f t="shared" si="57"/>
        <v>2</v>
      </c>
      <c r="L62" s="1672">
        <f t="shared" si="58"/>
        <v>48</v>
      </c>
      <c r="M62" s="1673">
        <f t="shared" si="59"/>
        <v>2</v>
      </c>
      <c r="N62" s="1672">
        <f t="shared" si="60"/>
        <v>48</v>
      </c>
      <c r="O62" s="1673">
        <f t="shared" si="61"/>
        <v>2</v>
      </c>
      <c r="P62" s="6"/>
      <c r="Q62" s="1672">
        <f t="shared" si="50"/>
        <v>14</v>
      </c>
      <c r="R62" s="1673">
        <f t="shared" si="51"/>
        <v>6</v>
      </c>
      <c r="S62" s="1672">
        <f t="shared" si="62"/>
        <v>14</v>
      </c>
      <c r="T62" s="1673">
        <f t="shared" si="63"/>
        <v>6</v>
      </c>
      <c r="U62" s="1672">
        <f>'2.0 Patients'!AU53</f>
        <v>14</v>
      </c>
      <c r="V62" s="1673">
        <f>'2.0 Patients'!AU55</f>
        <v>6</v>
      </c>
      <c r="W62" s="1672">
        <f t="shared" si="64"/>
        <v>14</v>
      </c>
      <c r="X62" s="1673">
        <f t="shared" si="65"/>
        <v>6</v>
      </c>
      <c r="Y62" s="1672">
        <f t="shared" si="66"/>
        <v>14</v>
      </c>
      <c r="Z62" s="1673">
        <f t="shared" si="67"/>
        <v>6</v>
      </c>
      <c r="AA62" s="6"/>
      <c r="AB62" s="1672">
        <f t="shared" si="52"/>
        <v>5</v>
      </c>
      <c r="AC62" s="1673">
        <f t="shared" si="53"/>
        <v>0</v>
      </c>
      <c r="AD62" s="1672">
        <f t="shared" si="68"/>
        <v>5</v>
      </c>
      <c r="AE62" s="1673">
        <f t="shared" si="69"/>
        <v>0</v>
      </c>
      <c r="AF62" s="1672">
        <f t="shared" si="70"/>
        <v>5</v>
      </c>
      <c r="AG62" s="1673">
        <f t="shared" si="71"/>
        <v>0</v>
      </c>
      <c r="AH62" s="1672">
        <f t="shared" si="72"/>
        <v>5</v>
      </c>
      <c r="AI62" s="1673">
        <f t="shared" si="73"/>
        <v>0</v>
      </c>
      <c r="AJ62" s="1672">
        <f t="shared" si="74"/>
        <v>5</v>
      </c>
      <c r="AK62" s="1673">
        <f t="shared" si="75"/>
        <v>0</v>
      </c>
      <c r="AL62" s="6"/>
      <c r="AM62" s="4"/>
    </row>
    <row r="63" spans="1:39">
      <c r="A63" s="4"/>
      <c r="B63" s="1678"/>
      <c r="C63" s="1974"/>
      <c r="D63" s="1671" t="str">
        <f>$D$23</f>
        <v>Month 7</v>
      </c>
      <c r="E63" s="1671"/>
      <c r="F63" s="1672">
        <f t="shared" si="48"/>
        <v>48</v>
      </c>
      <c r="G63" s="1673">
        <f t="shared" si="49"/>
        <v>2</v>
      </c>
      <c r="H63" s="1672">
        <f t="shared" si="54"/>
        <v>48</v>
      </c>
      <c r="I63" s="1673">
        <f t="shared" si="55"/>
        <v>2</v>
      </c>
      <c r="J63" s="1672">
        <f t="shared" si="56"/>
        <v>48</v>
      </c>
      <c r="K63" s="1673">
        <f t="shared" si="57"/>
        <v>2</v>
      </c>
      <c r="L63" s="1672">
        <f t="shared" si="58"/>
        <v>48</v>
      </c>
      <c r="M63" s="1673">
        <f t="shared" si="59"/>
        <v>2</v>
      </c>
      <c r="N63" s="1672">
        <f t="shared" si="60"/>
        <v>48</v>
      </c>
      <c r="O63" s="1673">
        <f t="shared" si="61"/>
        <v>2</v>
      </c>
      <c r="P63" s="6"/>
      <c r="Q63" s="1672">
        <f t="shared" si="50"/>
        <v>14</v>
      </c>
      <c r="R63" s="1673">
        <f t="shared" si="51"/>
        <v>6</v>
      </c>
      <c r="S63" s="1672">
        <f t="shared" si="62"/>
        <v>14</v>
      </c>
      <c r="T63" s="1673">
        <f t="shared" si="63"/>
        <v>6</v>
      </c>
      <c r="U63" s="1672">
        <f>'2.0 Patients'!AV53</f>
        <v>14</v>
      </c>
      <c r="V63" s="1673">
        <f>'2.0 Patients'!AV55</f>
        <v>6</v>
      </c>
      <c r="W63" s="1672">
        <f t="shared" si="64"/>
        <v>14</v>
      </c>
      <c r="X63" s="1673">
        <f t="shared" si="65"/>
        <v>6</v>
      </c>
      <c r="Y63" s="1672">
        <f t="shared" si="66"/>
        <v>14</v>
      </c>
      <c r="Z63" s="1673">
        <f t="shared" si="67"/>
        <v>6</v>
      </c>
      <c r="AA63" s="6"/>
      <c r="AB63" s="1672">
        <f t="shared" si="52"/>
        <v>5</v>
      </c>
      <c r="AC63" s="1673">
        <f t="shared" si="53"/>
        <v>0</v>
      </c>
      <c r="AD63" s="1672">
        <f t="shared" si="68"/>
        <v>5</v>
      </c>
      <c r="AE63" s="1673">
        <f t="shared" si="69"/>
        <v>0</v>
      </c>
      <c r="AF63" s="1672">
        <f t="shared" si="70"/>
        <v>5</v>
      </c>
      <c r="AG63" s="1673">
        <f t="shared" si="71"/>
        <v>0</v>
      </c>
      <c r="AH63" s="1672">
        <f t="shared" si="72"/>
        <v>5</v>
      </c>
      <c r="AI63" s="1673">
        <f t="shared" si="73"/>
        <v>0</v>
      </c>
      <c r="AJ63" s="1672">
        <f t="shared" si="74"/>
        <v>5</v>
      </c>
      <c r="AK63" s="1673">
        <f t="shared" si="75"/>
        <v>0</v>
      </c>
      <c r="AL63" s="6"/>
      <c r="AM63" s="4"/>
    </row>
    <row r="64" spans="1:39">
      <c r="A64" s="4"/>
      <c r="B64" s="1678"/>
      <c r="C64" s="1974"/>
      <c r="D64" s="1671" t="str">
        <f>$D$24</f>
        <v>Month 8</v>
      </c>
      <c r="E64" s="1671"/>
      <c r="F64" s="1672">
        <f t="shared" si="48"/>
        <v>48</v>
      </c>
      <c r="G64" s="1673">
        <f t="shared" si="49"/>
        <v>2</v>
      </c>
      <c r="H64" s="1672">
        <f t="shared" si="54"/>
        <v>48</v>
      </c>
      <c r="I64" s="1673">
        <f t="shared" si="55"/>
        <v>2</v>
      </c>
      <c r="J64" s="1672">
        <f t="shared" si="56"/>
        <v>48</v>
      </c>
      <c r="K64" s="1673">
        <f t="shared" si="57"/>
        <v>2</v>
      </c>
      <c r="L64" s="1672">
        <f t="shared" si="58"/>
        <v>48</v>
      </c>
      <c r="M64" s="1673">
        <f t="shared" si="59"/>
        <v>2</v>
      </c>
      <c r="N64" s="1672">
        <f t="shared" si="60"/>
        <v>48</v>
      </c>
      <c r="O64" s="1673">
        <f t="shared" si="61"/>
        <v>2</v>
      </c>
      <c r="P64" s="6"/>
      <c r="Q64" s="1672">
        <f t="shared" si="50"/>
        <v>14</v>
      </c>
      <c r="R64" s="1673">
        <f t="shared" si="51"/>
        <v>6</v>
      </c>
      <c r="S64" s="1672">
        <f t="shared" si="62"/>
        <v>14</v>
      </c>
      <c r="T64" s="1673">
        <f t="shared" si="63"/>
        <v>6</v>
      </c>
      <c r="U64" s="1672">
        <f>'2.0 Patients'!AW53</f>
        <v>14</v>
      </c>
      <c r="V64" s="1673">
        <f>'2.0 Patients'!AW55</f>
        <v>6</v>
      </c>
      <c r="W64" s="1672">
        <f t="shared" si="64"/>
        <v>14</v>
      </c>
      <c r="X64" s="1673">
        <f t="shared" si="65"/>
        <v>6</v>
      </c>
      <c r="Y64" s="1672">
        <f t="shared" si="66"/>
        <v>14</v>
      </c>
      <c r="Z64" s="1673">
        <f t="shared" si="67"/>
        <v>6</v>
      </c>
      <c r="AA64" s="6"/>
      <c r="AB64" s="1672">
        <f t="shared" si="52"/>
        <v>5</v>
      </c>
      <c r="AC64" s="1673">
        <f t="shared" si="53"/>
        <v>0</v>
      </c>
      <c r="AD64" s="1672">
        <f t="shared" si="68"/>
        <v>5</v>
      </c>
      <c r="AE64" s="1673">
        <f t="shared" si="69"/>
        <v>0</v>
      </c>
      <c r="AF64" s="1672">
        <f t="shared" si="70"/>
        <v>5</v>
      </c>
      <c r="AG64" s="1673">
        <f t="shared" si="71"/>
        <v>0</v>
      </c>
      <c r="AH64" s="1672">
        <f t="shared" si="72"/>
        <v>5</v>
      </c>
      <c r="AI64" s="1673">
        <f t="shared" si="73"/>
        <v>0</v>
      </c>
      <c r="AJ64" s="1672">
        <f t="shared" si="74"/>
        <v>5</v>
      </c>
      <c r="AK64" s="1673">
        <f t="shared" si="75"/>
        <v>0</v>
      </c>
      <c r="AL64" s="6"/>
      <c r="AM64" s="4"/>
    </row>
    <row r="65" spans="1:39">
      <c r="A65" s="4"/>
      <c r="B65" s="1678"/>
      <c r="C65" s="1974"/>
      <c r="D65" s="1671" t="str">
        <f>$D$25</f>
        <v>Month 9</v>
      </c>
      <c r="E65" s="1671"/>
      <c r="F65" s="1672">
        <f t="shared" si="48"/>
        <v>48</v>
      </c>
      <c r="G65" s="1673">
        <f t="shared" si="49"/>
        <v>2</v>
      </c>
      <c r="H65" s="1672">
        <f t="shared" si="54"/>
        <v>48</v>
      </c>
      <c r="I65" s="1673">
        <f t="shared" si="55"/>
        <v>2</v>
      </c>
      <c r="J65" s="1672">
        <f t="shared" si="56"/>
        <v>48</v>
      </c>
      <c r="K65" s="1673">
        <f t="shared" si="57"/>
        <v>2</v>
      </c>
      <c r="L65" s="1672">
        <f t="shared" si="58"/>
        <v>48</v>
      </c>
      <c r="M65" s="1673">
        <f t="shared" si="59"/>
        <v>2</v>
      </c>
      <c r="N65" s="1672">
        <f t="shared" si="60"/>
        <v>48</v>
      </c>
      <c r="O65" s="1673">
        <f t="shared" si="61"/>
        <v>2</v>
      </c>
      <c r="P65" s="6"/>
      <c r="Q65" s="1672">
        <f t="shared" si="50"/>
        <v>14</v>
      </c>
      <c r="R65" s="1673">
        <f t="shared" si="51"/>
        <v>6</v>
      </c>
      <c r="S65" s="1672">
        <f t="shared" si="62"/>
        <v>14</v>
      </c>
      <c r="T65" s="1673">
        <f t="shared" si="63"/>
        <v>6</v>
      </c>
      <c r="U65" s="1672">
        <f>'2.0 Patients'!AX53</f>
        <v>14</v>
      </c>
      <c r="V65" s="1673">
        <f>'2.0 Patients'!AX55</f>
        <v>6</v>
      </c>
      <c r="W65" s="1672">
        <f t="shared" si="64"/>
        <v>14</v>
      </c>
      <c r="X65" s="1673">
        <f t="shared" si="65"/>
        <v>6</v>
      </c>
      <c r="Y65" s="1672">
        <f t="shared" si="66"/>
        <v>14</v>
      </c>
      <c r="Z65" s="1673">
        <f t="shared" si="67"/>
        <v>6</v>
      </c>
      <c r="AA65" s="6"/>
      <c r="AB65" s="1672">
        <f t="shared" si="52"/>
        <v>5</v>
      </c>
      <c r="AC65" s="1673">
        <f t="shared" si="53"/>
        <v>0</v>
      </c>
      <c r="AD65" s="1672">
        <f t="shared" si="68"/>
        <v>5</v>
      </c>
      <c r="AE65" s="1673">
        <f t="shared" si="69"/>
        <v>0</v>
      </c>
      <c r="AF65" s="1672">
        <f t="shared" si="70"/>
        <v>5</v>
      </c>
      <c r="AG65" s="1673">
        <f t="shared" si="71"/>
        <v>0</v>
      </c>
      <c r="AH65" s="1672">
        <f t="shared" si="72"/>
        <v>5</v>
      </c>
      <c r="AI65" s="1673">
        <f t="shared" si="73"/>
        <v>0</v>
      </c>
      <c r="AJ65" s="1672">
        <f t="shared" si="74"/>
        <v>5</v>
      </c>
      <c r="AK65" s="1673">
        <f t="shared" si="75"/>
        <v>0</v>
      </c>
      <c r="AL65" s="6"/>
      <c r="AM65" s="4"/>
    </row>
    <row r="66" spans="1:39">
      <c r="A66" s="4"/>
      <c r="B66" s="1678"/>
      <c r="C66" s="1974"/>
      <c r="D66" s="1671" t="str">
        <f>$D$26</f>
        <v>Month 10</v>
      </c>
      <c r="E66" s="1671"/>
      <c r="F66" s="1672">
        <f t="shared" si="48"/>
        <v>48</v>
      </c>
      <c r="G66" s="1673">
        <f t="shared" si="49"/>
        <v>2</v>
      </c>
      <c r="H66" s="1672">
        <f t="shared" si="54"/>
        <v>48</v>
      </c>
      <c r="I66" s="1673">
        <f t="shared" si="55"/>
        <v>2</v>
      </c>
      <c r="J66" s="1672">
        <f t="shared" si="56"/>
        <v>48</v>
      </c>
      <c r="K66" s="1673">
        <f t="shared" si="57"/>
        <v>2</v>
      </c>
      <c r="L66" s="1672">
        <f t="shared" si="58"/>
        <v>48</v>
      </c>
      <c r="M66" s="1673">
        <f t="shared" si="59"/>
        <v>2</v>
      </c>
      <c r="N66" s="1672">
        <f t="shared" si="60"/>
        <v>48</v>
      </c>
      <c r="O66" s="1673">
        <f t="shared" si="61"/>
        <v>2</v>
      </c>
      <c r="P66" s="6"/>
      <c r="Q66" s="1672">
        <f t="shared" si="50"/>
        <v>14</v>
      </c>
      <c r="R66" s="1673">
        <f t="shared" si="51"/>
        <v>6</v>
      </c>
      <c r="S66" s="1672">
        <f t="shared" si="62"/>
        <v>14</v>
      </c>
      <c r="T66" s="1673">
        <f t="shared" si="63"/>
        <v>6</v>
      </c>
      <c r="U66" s="1672">
        <f>'2.0 Patients'!AY53</f>
        <v>14</v>
      </c>
      <c r="V66" s="1673">
        <f>'2.0 Patients'!AY55</f>
        <v>6</v>
      </c>
      <c r="W66" s="1672">
        <f t="shared" si="64"/>
        <v>14</v>
      </c>
      <c r="X66" s="1673">
        <f t="shared" si="65"/>
        <v>6</v>
      </c>
      <c r="Y66" s="1672">
        <f t="shared" si="66"/>
        <v>14</v>
      </c>
      <c r="Z66" s="1673">
        <f t="shared" si="67"/>
        <v>6</v>
      </c>
      <c r="AA66" s="6"/>
      <c r="AB66" s="1672">
        <f t="shared" si="52"/>
        <v>5</v>
      </c>
      <c r="AC66" s="1673">
        <f t="shared" si="53"/>
        <v>0</v>
      </c>
      <c r="AD66" s="1672">
        <f t="shared" si="68"/>
        <v>5</v>
      </c>
      <c r="AE66" s="1673">
        <f t="shared" si="69"/>
        <v>0</v>
      </c>
      <c r="AF66" s="1672">
        <f t="shared" si="70"/>
        <v>5</v>
      </c>
      <c r="AG66" s="1673">
        <f t="shared" si="71"/>
        <v>0</v>
      </c>
      <c r="AH66" s="1672">
        <f t="shared" si="72"/>
        <v>5</v>
      </c>
      <c r="AI66" s="1673">
        <f t="shared" si="73"/>
        <v>0</v>
      </c>
      <c r="AJ66" s="1672">
        <f t="shared" si="74"/>
        <v>5</v>
      </c>
      <c r="AK66" s="1673">
        <f t="shared" si="75"/>
        <v>0</v>
      </c>
      <c r="AL66" s="6"/>
      <c r="AM66" s="4"/>
    </row>
    <row r="67" spans="1:39">
      <c r="A67" s="4"/>
      <c r="B67" s="1678"/>
      <c r="C67" s="1974"/>
      <c r="D67" s="1671" t="str">
        <f>$D$27</f>
        <v>Month 11</v>
      </c>
      <c r="E67" s="1671"/>
      <c r="F67" s="1672">
        <f t="shared" si="48"/>
        <v>48</v>
      </c>
      <c r="G67" s="1673">
        <f t="shared" si="49"/>
        <v>2</v>
      </c>
      <c r="H67" s="1672">
        <f t="shared" si="54"/>
        <v>48</v>
      </c>
      <c r="I67" s="1673">
        <f t="shared" si="55"/>
        <v>2</v>
      </c>
      <c r="J67" s="1672">
        <f t="shared" si="56"/>
        <v>48</v>
      </c>
      <c r="K67" s="1673">
        <f t="shared" si="57"/>
        <v>2</v>
      </c>
      <c r="L67" s="1672">
        <f t="shared" si="58"/>
        <v>48</v>
      </c>
      <c r="M67" s="1673">
        <f t="shared" si="59"/>
        <v>2</v>
      </c>
      <c r="N67" s="1672">
        <f t="shared" si="60"/>
        <v>48</v>
      </c>
      <c r="O67" s="1673">
        <f t="shared" si="61"/>
        <v>2</v>
      </c>
      <c r="P67" s="6"/>
      <c r="Q67" s="1672">
        <f t="shared" si="50"/>
        <v>14</v>
      </c>
      <c r="R67" s="1673">
        <f t="shared" si="51"/>
        <v>6</v>
      </c>
      <c r="S67" s="1672">
        <f t="shared" si="62"/>
        <v>14</v>
      </c>
      <c r="T67" s="1673">
        <f t="shared" si="63"/>
        <v>6</v>
      </c>
      <c r="U67" s="1672">
        <f>'2.0 Patients'!AZ53</f>
        <v>14</v>
      </c>
      <c r="V67" s="1673">
        <f>'2.0 Patients'!AZ55</f>
        <v>6</v>
      </c>
      <c r="W67" s="1672">
        <f t="shared" si="64"/>
        <v>14</v>
      </c>
      <c r="X67" s="1673">
        <f t="shared" si="65"/>
        <v>6</v>
      </c>
      <c r="Y67" s="1672">
        <f t="shared" si="66"/>
        <v>14</v>
      </c>
      <c r="Z67" s="1673">
        <f t="shared" si="67"/>
        <v>6</v>
      </c>
      <c r="AA67" s="6"/>
      <c r="AB67" s="1672">
        <f t="shared" si="52"/>
        <v>5</v>
      </c>
      <c r="AC67" s="1673">
        <f t="shared" si="53"/>
        <v>0</v>
      </c>
      <c r="AD67" s="1672">
        <f t="shared" si="68"/>
        <v>5</v>
      </c>
      <c r="AE67" s="1673">
        <f t="shared" si="69"/>
        <v>0</v>
      </c>
      <c r="AF67" s="1672">
        <f t="shared" si="70"/>
        <v>5</v>
      </c>
      <c r="AG67" s="1673">
        <f t="shared" si="71"/>
        <v>0</v>
      </c>
      <c r="AH67" s="1672">
        <f t="shared" si="72"/>
        <v>5</v>
      </c>
      <c r="AI67" s="1673">
        <f t="shared" si="73"/>
        <v>0</v>
      </c>
      <c r="AJ67" s="1672">
        <f t="shared" si="74"/>
        <v>5</v>
      </c>
      <c r="AK67" s="1673">
        <f t="shared" si="75"/>
        <v>0</v>
      </c>
      <c r="AL67" s="6"/>
      <c r="AM67" s="4"/>
    </row>
    <row r="68" spans="1:39">
      <c r="A68" s="4"/>
      <c r="B68" s="1678"/>
      <c r="C68" s="1974"/>
      <c r="D68" s="1671" t="str">
        <f>$D$28</f>
        <v>Month 12</v>
      </c>
      <c r="E68" s="1671"/>
      <c r="F68" s="1672">
        <f t="shared" si="48"/>
        <v>48</v>
      </c>
      <c r="G68" s="1673">
        <f t="shared" si="49"/>
        <v>2</v>
      </c>
      <c r="H68" s="1672">
        <f t="shared" si="54"/>
        <v>48</v>
      </c>
      <c r="I68" s="1673">
        <f t="shared" si="55"/>
        <v>2</v>
      </c>
      <c r="J68" s="1672">
        <f t="shared" si="56"/>
        <v>48</v>
      </c>
      <c r="K68" s="1673">
        <f t="shared" si="57"/>
        <v>2</v>
      </c>
      <c r="L68" s="1672">
        <f t="shared" si="58"/>
        <v>48</v>
      </c>
      <c r="M68" s="1673">
        <f t="shared" si="59"/>
        <v>2</v>
      </c>
      <c r="N68" s="1672">
        <f t="shared" si="60"/>
        <v>48</v>
      </c>
      <c r="O68" s="1673">
        <f t="shared" si="61"/>
        <v>2</v>
      </c>
      <c r="P68" s="6"/>
      <c r="Q68" s="1672">
        <f t="shared" si="50"/>
        <v>14</v>
      </c>
      <c r="R68" s="1673">
        <f t="shared" si="51"/>
        <v>6</v>
      </c>
      <c r="S68" s="1672">
        <f t="shared" si="62"/>
        <v>14</v>
      </c>
      <c r="T68" s="1673">
        <f t="shared" si="63"/>
        <v>6</v>
      </c>
      <c r="U68" s="1672">
        <f>'2.0 Patients'!BA53</f>
        <v>14</v>
      </c>
      <c r="V68" s="1673">
        <f>'2.0 Patients'!BA55</f>
        <v>6</v>
      </c>
      <c r="W68" s="1672">
        <f t="shared" si="64"/>
        <v>14</v>
      </c>
      <c r="X68" s="1673">
        <f t="shared" si="65"/>
        <v>6</v>
      </c>
      <c r="Y68" s="1672">
        <f t="shared" si="66"/>
        <v>14</v>
      </c>
      <c r="Z68" s="1673">
        <f t="shared" si="67"/>
        <v>6</v>
      </c>
      <c r="AA68" s="6"/>
      <c r="AB68" s="1672">
        <f t="shared" si="52"/>
        <v>5</v>
      </c>
      <c r="AC68" s="1673">
        <f t="shared" si="53"/>
        <v>0</v>
      </c>
      <c r="AD68" s="1672">
        <f t="shared" si="68"/>
        <v>5</v>
      </c>
      <c r="AE68" s="1673">
        <f t="shared" si="69"/>
        <v>0</v>
      </c>
      <c r="AF68" s="1672">
        <f t="shared" si="70"/>
        <v>5</v>
      </c>
      <c r="AG68" s="1673">
        <f t="shared" si="71"/>
        <v>0</v>
      </c>
      <c r="AH68" s="1672">
        <f t="shared" si="72"/>
        <v>5</v>
      </c>
      <c r="AI68" s="1673">
        <f t="shared" si="73"/>
        <v>0</v>
      </c>
      <c r="AJ68" s="1672">
        <f t="shared" si="74"/>
        <v>5</v>
      </c>
      <c r="AK68" s="1673">
        <f t="shared" si="75"/>
        <v>0</v>
      </c>
      <c r="AL68" s="6"/>
      <c r="AM68" s="4"/>
    </row>
    <row r="69" spans="1:39">
      <c r="A69" s="4"/>
      <c r="B69" s="1678"/>
      <c r="C69" s="1990"/>
      <c r="D69" s="1991"/>
      <c r="E69" s="1971" t="s">
        <v>726</v>
      </c>
      <c r="F69" s="2010">
        <f t="shared" ref="F69:O69" si="76">AVERAGE(F57:F68)</f>
        <v>48</v>
      </c>
      <c r="G69" s="2011">
        <f t="shared" si="76"/>
        <v>2</v>
      </c>
      <c r="H69" s="2010">
        <f t="shared" si="76"/>
        <v>48</v>
      </c>
      <c r="I69" s="2011">
        <f t="shared" si="76"/>
        <v>2</v>
      </c>
      <c r="J69" s="2010">
        <f t="shared" si="76"/>
        <v>48</v>
      </c>
      <c r="K69" s="2011">
        <f t="shared" si="76"/>
        <v>2</v>
      </c>
      <c r="L69" s="2010">
        <f t="shared" si="76"/>
        <v>48</v>
      </c>
      <c r="M69" s="2011">
        <f t="shared" si="76"/>
        <v>2</v>
      </c>
      <c r="N69" s="2010">
        <f t="shared" si="76"/>
        <v>48</v>
      </c>
      <c r="O69" s="2011">
        <f t="shared" si="76"/>
        <v>2</v>
      </c>
      <c r="P69" s="1991"/>
      <c r="Q69" s="2010">
        <f t="shared" ref="Q69:Z69" si="77">AVERAGE(Q57:Q68)</f>
        <v>14</v>
      </c>
      <c r="R69" s="2011">
        <f t="shared" si="77"/>
        <v>6</v>
      </c>
      <c r="S69" s="2010">
        <f t="shared" si="77"/>
        <v>14</v>
      </c>
      <c r="T69" s="2011">
        <f t="shared" si="77"/>
        <v>6</v>
      </c>
      <c r="U69" s="2010">
        <f t="shared" si="77"/>
        <v>14</v>
      </c>
      <c r="V69" s="2011">
        <f t="shared" si="77"/>
        <v>6</v>
      </c>
      <c r="W69" s="2010">
        <f t="shared" si="77"/>
        <v>14</v>
      </c>
      <c r="X69" s="2011">
        <f t="shared" si="77"/>
        <v>6</v>
      </c>
      <c r="Y69" s="2010">
        <f t="shared" si="77"/>
        <v>14</v>
      </c>
      <c r="Z69" s="2011">
        <f t="shared" si="77"/>
        <v>6</v>
      </c>
      <c r="AA69" s="1678"/>
      <c r="AB69" s="2010">
        <f t="shared" ref="AB69:AK69" si="78">AVERAGE(AB57:AB68)</f>
        <v>5</v>
      </c>
      <c r="AC69" s="2011">
        <f t="shared" si="78"/>
        <v>0</v>
      </c>
      <c r="AD69" s="2010">
        <f t="shared" si="78"/>
        <v>5</v>
      </c>
      <c r="AE69" s="2011">
        <f t="shared" si="78"/>
        <v>0</v>
      </c>
      <c r="AF69" s="2010">
        <f t="shared" si="78"/>
        <v>5</v>
      </c>
      <c r="AG69" s="2011">
        <f t="shared" si="78"/>
        <v>0</v>
      </c>
      <c r="AH69" s="2010">
        <f t="shared" si="78"/>
        <v>5</v>
      </c>
      <c r="AI69" s="2011">
        <f t="shared" si="78"/>
        <v>0</v>
      </c>
      <c r="AJ69" s="2010">
        <f t="shared" si="78"/>
        <v>5</v>
      </c>
      <c r="AK69" s="2011">
        <f t="shared" si="78"/>
        <v>0</v>
      </c>
      <c r="AL69" s="1678"/>
      <c r="AM69" s="4"/>
    </row>
    <row r="70" spans="1:39">
      <c r="A70" s="4"/>
      <c r="B70" s="1678"/>
      <c r="C70" s="1974" t="s">
        <v>3665</v>
      </c>
      <c r="D70" s="1975"/>
      <c r="E70" s="2001"/>
      <c r="F70" s="2002"/>
      <c r="G70" s="2003"/>
      <c r="H70" s="2002"/>
      <c r="I70" s="2003"/>
      <c r="J70" s="2002"/>
      <c r="K70" s="2003"/>
      <c r="L70" s="2002"/>
      <c r="M70" s="2003"/>
      <c r="N70" s="2002"/>
      <c r="O70" s="2004"/>
      <c r="P70" s="1576"/>
      <c r="Q70" s="2002"/>
      <c r="R70" s="2003"/>
      <c r="S70" s="2002"/>
      <c r="T70" s="2003"/>
      <c r="U70" s="2002"/>
      <c r="V70" s="2003"/>
      <c r="W70" s="2002"/>
      <c r="X70" s="2003"/>
      <c r="Y70" s="2002"/>
      <c r="Z70" s="2004"/>
      <c r="AA70" s="2005"/>
      <c r="AB70" s="2002"/>
      <c r="AC70" s="2003"/>
      <c r="AD70" s="2002"/>
      <c r="AE70" s="2003"/>
      <c r="AF70" s="2002"/>
      <c r="AG70" s="2003"/>
      <c r="AH70" s="2002"/>
      <c r="AI70" s="2003"/>
      <c r="AJ70" s="2002"/>
      <c r="AK70" s="2004"/>
      <c r="AL70" s="2005"/>
      <c r="AM70" s="4"/>
    </row>
    <row r="71" spans="1:39">
      <c r="A71" s="4"/>
      <c r="B71" s="1678"/>
      <c r="C71" s="1974"/>
      <c r="D71" s="1975" t="str">
        <f>$D$17</f>
        <v>Month 1</v>
      </c>
      <c r="E71" s="2001"/>
      <c r="F71" s="2002">
        <f>'2.0 Patients'!R47-'2.0 Patients'!Q47</f>
        <v>0</v>
      </c>
      <c r="G71" s="2003">
        <f>'2.0 Patients'!R49-'2.0 Patients'!Q49</f>
        <v>0</v>
      </c>
      <c r="H71" s="2002">
        <f>'2.0 Patients'!AD47-'2.0 Patients'!AC47</f>
        <v>0</v>
      </c>
      <c r="I71" s="2003">
        <f>'2.0 Patients'!AD49-'2.0 Patients'!AC49</f>
        <v>0</v>
      </c>
      <c r="J71" s="2002">
        <f>'2.0 Patients'!AP47-'2.0 Patients'!AO47</f>
        <v>0</v>
      </c>
      <c r="K71" s="2003">
        <f>'2.0 Patients'!AP49-'2.0 Patients'!AO49</f>
        <v>0</v>
      </c>
      <c r="L71" s="2002">
        <f>'2.0 Patients'!BB47-'2.0 Patients'!BA47</f>
        <v>0</v>
      </c>
      <c r="M71" s="2003">
        <f>'2.0 Patients'!BB49-'2.0 Patients'!BA49</f>
        <v>0</v>
      </c>
      <c r="N71" s="2002">
        <f>'2.0 Patients'!BN47-'2.0 Patients'!BM47</f>
        <v>0</v>
      </c>
      <c r="O71" s="2004">
        <f>'2.0 Patients'!BN49-'2.0 Patients'!BM49</f>
        <v>0</v>
      </c>
      <c r="P71" s="1576"/>
      <c r="Q71" s="2002">
        <f>'2.0 Patients'!R53-'2.0 Patients'!Q53</f>
        <v>0</v>
      </c>
      <c r="R71" s="2003">
        <f>'2.0 Patients'!R55-'2.0 Patients'!Q55</f>
        <v>0</v>
      </c>
      <c r="S71" s="2002">
        <f>'2.0 Patients'!AD53-'2.0 Patients'!AC53</f>
        <v>0</v>
      </c>
      <c r="T71" s="2003">
        <f>'2.0 Patients'!AD55-'2.0 Patients'!AC55</f>
        <v>0</v>
      </c>
      <c r="U71" s="2002">
        <f>'2.0 Patients'!AP53-'2.0 Patients'!AO53</f>
        <v>0</v>
      </c>
      <c r="V71" s="2003">
        <f>'2.0 Patients'!AP55-'2.0 Patients'!AO55</f>
        <v>0</v>
      </c>
      <c r="W71" s="2002">
        <f>'2.0 Patients'!BB53-'2.0 Patients'!BA53</f>
        <v>0</v>
      </c>
      <c r="X71" s="2003">
        <f>'2.0 Patients'!BB55-'2.0 Patients'!BA55</f>
        <v>0</v>
      </c>
      <c r="Y71" s="2002">
        <f>'2.0 Patients'!BN53-'2.0 Patients'!BM53</f>
        <v>0</v>
      </c>
      <c r="Z71" s="2004">
        <f>'2.0 Patients'!BN55-'2.0 Patients'!BM55</f>
        <v>0</v>
      </c>
      <c r="AA71" s="2005"/>
      <c r="AB71" s="2002">
        <f>'2.0 Patients'!R59-'2.0 Patients'!Q59</f>
        <v>0</v>
      </c>
      <c r="AC71" s="2003">
        <f>'2.0 Patients'!R61-'2.0 Patients'!Q61</f>
        <v>0</v>
      </c>
      <c r="AD71" s="2002">
        <f>'2.0 Patients'!AD59-'2.0 Patients'!AC59</f>
        <v>0</v>
      </c>
      <c r="AE71" s="2003">
        <f>'2.0 Patients'!AD61-'2.0 Patients'!AC61</f>
        <v>0</v>
      </c>
      <c r="AF71" s="2002">
        <f>'2.0 Patients'!AP59-'2.0 Patients'!AO59</f>
        <v>0</v>
      </c>
      <c r="AG71" s="2003">
        <f>'2.0 Patients'!AP61-'2.0 Patients'!AO61</f>
        <v>0</v>
      </c>
      <c r="AH71" s="2002">
        <f>'2.0 Patients'!BB59-'2.0 Patients'!BA59</f>
        <v>0</v>
      </c>
      <c r="AI71" s="2003">
        <f>'2.0 Patients'!BB61-'2.0 Patients'!BA61</f>
        <v>0</v>
      </c>
      <c r="AJ71" s="2002">
        <f>'2.0 Patients'!BN59-'2.0 Patients'!BM59</f>
        <v>0</v>
      </c>
      <c r="AK71" s="2004">
        <f>'2.0 Patients'!BN61-'2.0 Patients'!BM61</f>
        <v>0</v>
      </c>
      <c r="AL71" s="2005"/>
      <c r="AM71" s="4"/>
    </row>
    <row r="72" spans="1:39">
      <c r="A72" s="4"/>
      <c r="B72" s="1678"/>
      <c r="C72" s="1974"/>
      <c r="D72" s="1975" t="str">
        <f>$D$18</f>
        <v>Month 2</v>
      </c>
      <c r="E72" s="2001"/>
      <c r="F72" s="2002">
        <f>'2.0 Patients'!S47-'2.0 Patients'!R47</f>
        <v>0</v>
      </c>
      <c r="G72" s="2003">
        <f>'2.0 Patients'!S49-'2.0 Patients'!R49</f>
        <v>0</v>
      </c>
      <c r="H72" s="2002">
        <f>'2.0 Patients'!AE47-'2.0 Patients'!AD47</f>
        <v>0</v>
      </c>
      <c r="I72" s="2003">
        <f>'2.0 Patients'!AE49-'2.0 Patients'!AD49</f>
        <v>0</v>
      </c>
      <c r="J72" s="2002">
        <f>'2.0 Patients'!AQ47-'2.0 Patients'!AP47</f>
        <v>0</v>
      </c>
      <c r="K72" s="2003">
        <f>'2.0 Patients'!AQ49-'2.0 Patients'!AP49</f>
        <v>0</v>
      </c>
      <c r="L72" s="2002">
        <f>'2.0 Patients'!BC47-'2.0 Patients'!BB47</f>
        <v>0</v>
      </c>
      <c r="M72" s="2003">
        <f>'2.0 Patients'!BC49-'2.0 Patients'!BB49</f>
        <v>0</v>
      </c>
      <c r="N72" s="2002">
        <f>'2.0 Patients'!BO47-'2.0 Patients'!BN47</f>
        <v>0</v>
      </c>
      <c r="O72" s="2004">
        <f>'2.0 Patients'!BO49-'2.0 Patients'!BN49</f>
        <v>0</v>
      </c>
      <c r="P72" s="1576"/>
      <c r="Q72" s="2002">
        <f>'2.0 Patients'!S53-'2.0 Patients'!R53</f>
        <v>0</v>
      </c>
      <c r="R72" s="2003">
        <f>'2.0 Patients'!S55-'2.0 Patients'!R55</f>
        <v>0</v>
      </c>
      <c r="S72" s="2002">
        <f>'2.0 Patients'!AE53-'2.0 Patients'!AD53</f>
        <v>0</v>
      </c>
      <c r="T72" s="2003">
        <f>'2.0 Patients'!AE55-'2.0 Patients'!AD55</f>
        <v>0</v>
      </c>
      <c r="U72" s="2002">
        <f>'2.0 Patients'!AQ53-'2.0 Patients'!AP53</f>
        <v>0</v>
      </c>
      <c r="V72" s="2003">
        <f>'2.0 Patients'!AQ55-'2.0 Patients'!AP55</f>
        <v>0</v>
      </c>
      <c r="W72" s="2002">
        <f>'2.0 Patients'!BC53-'2.0 Patients'!BB53</f>
        <v>0</v>
      </c>
      <c r="X72" s="2003">
        <f>'2.0 Patients'!BC55-'2.0 Patients'!BB55</f>
        <v>0</v>
      </c>
      <c r="Y72" s="2002">
        <f>'2.0 Patients'!BO53-'2.0 Patients'!BN53</f>
        <v>0</v>
      </c>
      <c r="Z72" s="2004">
        <f>'2.0 Patients'!BO55-'2.0 Patients'!BN55</f>
        <v>0</v>
      </c>
      <c r="AA72" s="2005"/>
      <c r="AB72" s="2002">
        <f>'2.0 Patients'!S59-'2.0 Patients'!R59</f>
        <v>0</v>
      </c>
      <c r="AC72" s="2003">
        <f>'2.0 Patients'!S61-'2.0 Patients'!R61</f>
        <v>0</v>
      </c>
      <c r="AD72" s="2002">
        <f>'2.0 Patients'!AE59-'2.0 Patients'!AD59</f>
        <v>0</v>
      </c>
      <c r="AE72" s="2003">
        <f>'2.0 Patients'!AE61-'2.0 Patients'!AD61</f>
        <v>0</v>
      </c>
      <c r="AF72" s="2002">
        <f>'2.0 Patients'!AQ59-'2.0 Patients'!AP59</f>
        <v>0</v>
      </c>
      <c r="AG72" s="2003">
        <f>'2.0 Patients'!AQ61-'2.0 Patients'!AP61</f>
        <v>0</v>
      </c>
      <c r="AH72" s="2002">
        <f>'2.0 Patients'!BC59-'2.0 Patients'!BB59</f>
        <v>0</v>
      </c>
      <c r="AI72" s="2003">
        <f>'2.0 Patients'!BC61-'2.0 Patients'!BB61</f>
        <v>0</v>
      </c>
      <c r="AJ72" s="2002">
        <f>'2.0 Patients'!BO59-'2.0 Patients'!BN59</f>
        <v>0</v>
      </c>
      <c r="AK72" s="2004">
        <f>'2.0 Patients'!BO61-'2.0 Patients'!BN61</f>
        <v>0</v>
      </c>
      <c r="AL72" s="2005"/>
      <c r="AM72" s="4"/>
    </row>
    <row r="73" spans="1:39">
      <c r="A73" s="4"/>
      <c r="B73" s="1678"/>
      <c r="C73" s="1974"/>
      <c r="D73" s="1975" t="str">
        <f>$D$19</f>
        <v>Month 3</v>
      </c>
      <c r="E73" s="2001"/>
      <c r="F73" s="2002">
        <f>'2.0 Patients'!T47-'2.0 Patients'!S47</f>
        <v>0</v>
      </c>
      <c r="G73" s="2003">
        <f>'2.0 Patients'!T49-'2.0 Patients'!S49</f>
        <v>0</v>
      </c>
      <c r="H73" s="2002">
        <f>'2.0 Patients'!AF47-'2.0 Patients'!AE47</f>
        <v>0</v>
      </c>
      <c r="I73" s="2003">
        <f>'2.0 Patients'!AF49-'2.0 Patients'!AE49</f>
        <v>0</v>
      </c>
      <c r="J73" s="2002">
        <f>'2.0 Patients'!AR47-'2.0 Patients'!AQ47</f>
        <v>0</v>
      </c>
      <c r="K73" s="2003">
        <f>'2.0 Patients'!AR49-'2.0 Patients'!AQ49</f>
        <v>0</v>
      </c>
      <c r="L73" s="2002">
        <f>'2.0 Patients'!BD47-'2.0 Patients'!BC47</f>
        <v>0</v>
      </c>
      <c r="M73" s="2003">
        <f>'2.0 Patients'!BD49-'2.0 Patients'!BC49</f>
        <v>0</v>
      </c>
      <c r="N73" s="2002">
        <f>'2.0 Patients'!BP47-'2.0 Patients'!BO47</f>
        <v>0</v>
      </c>
      <c r="O73" s="2004">
        <f>'2.0 Patients'!BP49-'2.0 Patients'!BO49</f>
        <v>0</v>
      </c>
      <c r="P73" s="1576"/>
      <c r="Q73" s="2002">
        <f>'2.0 Patients'!T53-'2.0 Patients'!S53</f>
        <v>0</v>
      </c>
      <c r="R73" s="2003">
        <f>'2.0 Patients'!T55-'2.0 Patients'!S55</f>
        <v>0</v>
      </c>
      <c r="S73" s="2002">
        <f>'2.0 Patients'!AF53-'2.0 Patients'!AE53</f>
        <v>0</v>
      </c>
      <c r="T73" s="2003">
        <f>'2.0 Patients'!AF55-'2.0 Patients'!AE55</f>
        <v>0</v>
      </c>
      <c r="U73" s="2002">
        <f>'2.0 Patients'!AR53-'2.0 Patients'!AQ53</f>
        <v>0</v>
      </c>
      <c r="V73" s="2003">
        <f>'2.0 Patients'!AR55-'2.0 Patients'!AQ55</f>
        <v>0</v>
      </c>
      <c r="W73" s="2002">
        <f>'2.0 Patients'!BD53-'2.0 Patients'!BC53</f>
        <v>0</v>
      </c>
      <c r="X73" s="2003">
        <f>'2.0 Patients'!BD55-'2.0 Patients'!BC55</f>
        <v>0</v>
      </c>
      <c r="Y73" s="2002">
        <f>'2.0 Patients'!BP53-'2.0 Patients'!BO53</f>
        <v>0</v>
      </c>
      <c r="Z73" s="2004">
        <f>'2.0 Patients'!BP55-'2.0 Patients'!BO55</f>
        <v>0</v>
      </c>
      <c r="AA73" s="2005"/>
      <c r="AB73" s="2002">
        <f>'2.0 Patients'!T59-'2.0 Patients'!S59</f>
        <v>0</v>
      </c>
      <c r="AC73" s="2003">
        <f>'2.0 Patients'!T61-'2.0 Patients'!S61</f>
        <v>0</v>
      </c>
      <c r="AD73" s="2002">
        <f>'2.0 Patients'!AF59-'2.0 Patients'!AE59</f>
        <v>0</v>
      </c>
      <c r="AE73" s="2003">
        <f>'2.0 Patients'!AF61-'2.0 Patients'!AE61</f>
        <v>0</v>
      </c>
      <c r="AF73" s="2002">
        <f>'2.0 Patients'!AR59-'2.0 Patients'!AQ59</f>
        <v>0</v>
      </c>
      <c r="AG73" s="2003">
        <f>'2.0 Patients'!AR61-'2.0 Patients'!AQ61</f>
        <v>0</v>
      </c>
      <c r="AH73" s="2002">
        <f>'2.0 Patients'!BD59-'2.0 Patients'!BC59</f>
        <v>0</v>
      </c>
      <c r="AI73" s="2003">
        <f>'2.0 Patients'!BD61-'2.0 Patients'!BC61</f>
        <v>0</v>
      </c>
      <c r="AJ73" s="2002">
        <f>'2.0 Patients'!BP59-'2.0 Patients'!BO59</f>
        <v>0</v>
      </c>
      <c r="AK73" s="2004">
        <f>'2.0 Patients'!BP61-'2.0 Patients'!BO61</f>
        <v>0</v>
      </c>
      <c r="AL73" s="2005"/>
      <c r="AM73" s="4"/>
    </row>
    <row r="74" spans="1:39">
      <c r="A74" s="4"/>
      <c r="B74" s="1678"/>
      <c r="C74" s="1974"/>
      <c r="D74" s="1975" t="str">
        <f>$D$20</f>
        <v>Month 4</v>
      </c>
      <c r="E74" s="2001"/>
      <c r="F74" s="2002">
        <f>'2.0 Patients'!U47-'2.0 Patients'!T47</f>
        <v>0</v>
      </c>
      <c r="G74" s="2003">
        <f>'2.0 Patients'!U49-'2.0 Patients'!T49</f>
        <v>0</v>
      </c>
      <c r="H74" s="2002">
        <f>'2.0 Patients'!AG47-'2.0 Patients'!AF47</f>
        <v>0</v>
      </c>
      <c r="I74" s="2003">
        <f>'2.0 Patients'!AG49-'2.0 Patients'!AF49</f>
        <v>0</v>
      </c>
      <c r="J74" s="2002">
        <f>'2.0 Patients'!AS47-'2.0 Patients'!AR47</f>
        <v>0</v>
      </c>
      <c r="K74" s="2003">
        <f>'2.0 Patients'!AS49-'2.0 Patients'!AR49</f>
        <v>0</v>
      </c>
      <c r="L74" s="2002">
        <f>'2.0 Patients'!BE47-'2.0 Patients'!BD47</f>
        <v>0</v>
      </c>
      <c r="M74" s="2003">
        <f>'2.0 Patients'!BE49-'2.0 Patients'!BD49</f>
        <v>0</v>
      </c>
      <c r="N74" s="2002">
        <f>'2.0 Patients'!BQ47-'2.0 Patients'!BP47</f>
        <v>0</v>
      </c>
      <c r="O74" s="2004">
        <f>'2.0 Patients'!BQ49-'2.0 Patients'!BP49</f>
        <v>0</v>
      </c>
      <c r="P74" s="1576"/>
      <c r="Q74" s="2002">
        <f>'2.0 Patients'!U53-'2.0 Patients'!T53</f>
        <v>0</v>
      </c>
      <c r="R74" s="2003">
        <f>'2.0 Patients'!U55-'2.0 Patients'!T55</f>
        <v>0</v>
      </c>
      <c r="S74" s="2002">
        <f>'2.0 Patients'!AG53-'2.0 Patients'!AF53</f>
        <v>0</v>
      </c>
      <c r="T74" s="2003">
        <f>'2.0 Patients'!AG55-'2.0 Patients'!AF55</f>
        <v>0</v>
      </c>
      <c r="U74" s="2002">
        <f>'2.0 Patients'!AS53-'2.0 Patients'!AR53</f>
        <v>0</v>
      </c>
      <c r="V74" s="2003">
        <f>'2.0 Patients'!AS55-'2.0 Patients'!AR55</f>
        <v>0</v>
      </c>
      <c r="W74" s="2002">
        <f>'2.0 Patients'!BE53-'2.0 Patients'!BD53</f>
        <v>0</v>
      </c>
      <c r="X74" s="2003">
        <f>'2.0 Patients'!BE55-'2.0 Patients'!BD55</f>
        <v>0</v>
      </c>
      <c r="Y74" s="2002">
        <f>'2.0 Patients'!BQ53-'2.0 Patients'!BP53</f>
        <v>0</v>
      </c>
      <c r="Z74" s="2004">
        <f>'2.0 Patients'!BQ55-'2.0 Patients'!BP55</f>
        <v>0</v>
      </c>
      <c r="AA74" s="2005"/>
      <c r="AB74" s="2002">
        <f>'2.0 Patients'!U59-'2.0 Patients'!T59</f>
        <v>0</v>
      </c>
      <c r="AC74" s="2003">
        <f>'2.0 Patients'!U61-'2.0 Patients'!T61</f>
        <v>0</v>
      </c>
      <c r="AD74" s="2002">
        <f>'2.0 Patients'!AG59-'2.0 Patients'!AF59</f>
        <v>0</v>
      </c>
      <c r="AE74" s="2003">
        <f>'2.0 Patients'!AG61-'2.0 Patients'!AF61</f>
        <v>0</v>
      </c>
      <c r="AF74" s="2002">
        <f>'2.0 Patients'!AS59-'2.0 Patients'!AR59</f>
        <v>0</v>
      </c>
      <c r="AG74" s="2003">
        <f>'2.0 Patients'!AS61-'2.0 Patients'!AR61</f>
        <v>0</v>
      </c>
      <c r="AH74" s="2002">
        <f>'2.0 Patients'!BE59-'2.0 Patients'!BD59</f>
        <v>0</v>
      </c>
      <c r="AI74" s="2003">
        <f>'2.0 Patients'!BE61-'2.0 Patients'!BD61</f>
        <v>0</v>
      </c>
      <c r="AJ74" s="2002">
        <f>'2.0 Patients'!BQ59-'2.0 Patients'!BP59</f>
        <v>0</v>
      </c>
      <c r="AK74" s="2004">
        <f>'2.0 Patients'!BQ61-'2.0 Patients'!BP61</f>
        <v>0</v>
      </c>
      <c r="AL74" s="2005"/>
      <c r="AM74" s="4"/>
    </row>
    <row r="75" spans="1:39">
      <c r="A75" s="4"/>
      <c r="B75" s="1678"/>
      <c r="C75" s="1974"/>
      <c r="D75" s="1975" t="str">
        <f>$D$21</f>
        <v>Month 5</v>
      </c>
      <c r="E75" s="2001"/>
      <c r="F75" s="2002">
        <f>'2.0 Patients'!V47-'2.0 Patients'!U47</f>
        <v>0</v>
      </c>
      <c r="G75" s="2003">
        <f>'2.0 Patients'!V49-'2.0 Patients'!U49</f>
        <v>0</v>
      </c>
      <c r="H75" s="2002">
        <f>'2.0 Patients'!AH47-'2.0 Patients'!AG47</f>
        <v>0</v>
      </c>
      <c r="I75" s="2003">
        <f>'2.0 Patients'!AH49-'2.0 Patients'!AG49</f>
        <v>0</v>
      </c>
      <c r="J75" s="2002">
        <f>'2.0 Patients'!AT47-'2.0 Patients'!AS47</f>
        <v>0</v>
      </c>
      <c r="K75" s="2003">
        <f>'2.0 Patients'!AT49-'2.0 Patients'!AS49</f>
        <v>0</v>
      </c>
      <c r="L75" s="2002">
        <f>'2.0 Patients'!BF47-'2.0 Patients'!BE47</f>
        <v>0</v>
      </c>
      <c r="M75" s="2003">
        <f>'2.0 Patients'!BF49-'2.0 Patients'!BE49</f>
        <v>0</v>
      </c>
      <c r="N75" s="2002">
        <f>'2.0 Patients'!BR47-'2.0 Patients'!BQ47</f>
        <v>0</v>
      </c>
      <c r="O75" s="2004">
        <f>'2.0 Patients'!BR49-'2.0 Patients'!BQ49</f>
        <v>0</v>
      </c>
      <c r="P75" s="1576"/>
      <c r="Q75" s="2002">
        <f>'2.0 Patients'!V53-'2.0 Patients'!U53</f>
        <v>0</v>
      </c>
      <c r="R75" s="2003">
        <f>'2.0 Patients'!V55-'2.0 Patients'!U55</f>
        <v>0</v>
      </c>
      <c r="S75" s="2002">
        <f>'2.0 Patients'!AH53-'2.0 Patients'!AG53</f>
        <v>0</v>
      </c>
      <c r="T75" s="2003">
        <f>'2.0 Patients'!AH55-'2.0 Patients'!AG55</f>
        <v>0</v>
      </c>
      <c r="U75" s="2002">
        <f>'2.0 Patients'!AT53-'2.0 Patients'!AS53</f>
        <v>0</v>
      </c>
      <c r="V75" s="2003">
        <f>'2.0 Patients'!AT55-'2.0 Patients'!AS55</f>
        <v>0</v>
      </c>
      <c r="W75" s="2002">
        <f>'2.0 Patients'!BF53-'2.0 Patients'!BE53</f>
        <v>0</v>
      </c>
      <c r="X75" s="2003">
        <f>'2.0 Patients'!BF55-'2.0 Patients'!BE55</f>
        <v>0</v>
      </c>
      <c r="Y75" s="2002">
        <f>'2.0 Patients'!BR53-'2.0 Patients'!BQ53</f>
        <v>0</v>
      </c>
      <c r="Z75" s="2004">
        <f>'2.0 Patients'!BR55-'2.0 Patients'!BQ55</f>
        <v>0</v>
      </c>
      <c r="AA75" s="2005"/>
      <c r="AB75" s="2002">
        <f>'2.0 Patients'!V59-'2.0 Patients'!U59</f>
        <v>0</v>
      </c>
      <c r="AC75" s="2003">
        <f>'2.0 Patients'!V61-'2.0 Patients'!U61</f>
        <v>0</v>
      </c>
      <c r="AD75" s="2002">
        <f>'2.0 Patients'!AH59-'2.0 Patients'!AG59</f>
        <v>0</v>
      </c>
      <c r="AE75" s="2003">
        <f>'2.0 Patients'!AH61-'2.0 Patients'!AG61</f>
        <v>0</v>
      </c>
      <c r="AF75" s="2002">
        <f>'2.0 Patients'!AT59-'2.0 Patients'!AS59</f>
        <v>0</v>
      </c>
      <c r="AG75" s="2003">
        <f>'2.0 Patients'!AT61-'2.0 Patients'!AS61</f>
        <v>0</v>
      </c>
      <c r="AH75" s="2002">
        <f>'2.0 Patients'!BF59-'2.0 Patients'!BE59</f>
        <v>0</v>
      </c>
      <c r="AI75" s="2003">
        <f>'2.0 Patients'!BF61-'2.0 Patients'!BE61</f>
        <v>0</v>
      </c>
      <c r="AJ75" s="2002">
        <f>'2.0 Patients'!BR59-'2.0 Patients'!BQ59</f>
        <v>0</v>
      </c>
      <c r="AK75" s="2004">
        <f>'2.0 Patients'!BR61-'2.0 Patients'!BQ61</f>
        <v>0</v>
      </c>
      <c r="AL75" s="2005"/>
      <c r="AM75" s="4"/>
    </row>
    <row r="76" spans="1:39">
      <c r="A76" s="4"/>
      <c r="B76" s="1678"/>
      <c r="C76" s="1974"/>
      <c r="D76" s="1975" t="str">
        <f>$D$22</f>
        <v>Month 6</v>
      </c>
      <c r="E76" s="2001"/>
      <c r="F76" s="2002">
        <f>'2.0 Patients'!W47-'2.0 Patients'!V47</f>
        <v>0</v>
      </c>
      <c r="G76" s="2003">
        <f>'2.0 Patients'!W49-'2.0 Patients'!V49</f>
        <v>0</v>
      </c>
      <c r="H76" s="2002">
        <f>'2.0 Patients'!AI47-'2.0 Patients'!AH47</f>
        <v>0</v>
      </c>
      <c r="I76" s="2003">
        <f>'2.0 Patients'!AI49-'2.0 Patients'!AH49</f>
        <v>0</v>
      </c>
      <c r="J76" s="2002">
        <f>'2.0 Patients'!AU47-'2.0 Patients'!AT47</f>
        <v>0</v>
      </c>
      <c r="K76" s="2003">
        <f>'2.0 Patients'!AU49-'2.0 Patients'!AT49</f>
        <v>0</v>
      </c>
      <c r="L76" s="2002">
        <f>'2.0 Patients'!BG47-'2.0 Patients'!BF47</f>
        <v>0</v>
      </c>
      <c r="M76" s="2003">
        <f>'2.0 Patients'!BG49-'2.0 Patients'!BF49</f>
        <v>0</v>
      </c>
      <c r="N76" s="2002">
        <f>'2.0 Patients'!BS47-'2.0 Patients'!BR47</f>
        <v>0</v>
      </c>
      <c r="O76" s="2004">
        <f>'2.0 Patients'!BS49-'2.0 Patients'!BR49</f>
        <v>0</v>
      </c>
      <c r="P76" s="1576"/>
      <c r="Q76" s="2002">
        <f>'2.0 Patients'!W53-'2.0 Patients'!V53</f>
        <v>0</v>
      </c>
      <c r="R76" s="2003">
        <f>'2.0 Patients'!W55-'2.0 Patients'!V55</f>
        <v>0</v>
      </c>
      <c r="S76" s="2002">
        <f>'2.0 Patients'!AI53-'2.0 Patients'!AH53</f>
        <v>0</v>
      </c>
      <c r="T76" s="2003">
        <f>'2.0 Patients'!AI55-'2.0 Patients'!AH55</f>
        <v>0</v>
      </c>
      <c r="U76" s="2002">
        <f>'2.0 Patients'!AU53-'2.0 Patients'!AT53</f>
        <v>0</v>
      </c>
      <c r="V76" s="2003">
        <f>'2.0 Patients'!AU55-'2.0 Patients'!AT55</f>
        <v>0</v>
      </c>
      <c r="W76" s="2002">
        <f>'2.0 Patients'!BG53-'2.0 Patients'!BF53</f>
        <v>0</v>
      </c>
      <c r="X76" s="2003">
        <f>'2.0 Patients'!BG55-'2.0 Patients'!BF55</f>
        <v>0</v>
      </c>
      <c r="Y76" s="2002">
        <f>'2.0 Patients'!BS53-'2.0 Patients'!BR53</f>
        <v>0</v>
      </c>
      <c r="Z76" s="2004">
        <f>'2.0 Patients'!BS55-'2.0 Patients'!BR55</f>
        <v>0</v>
      </c>
      <c r="AA76" s="2005"/>
      <c r="AB76" s="2002">
        <f>'2.0 Patients'!W59-'2.0 Patients'!V59</f>
        <v>0</v>
      </c>
      <c r="AC76" s="2003">
        <f>'2.0 Patients'!W61-'2.0 Patients'!V61</f>
        <v>0</v>
      </c>
      <c r="AD76" s="2002">
        <f>'2.0 Patients'!AI59-'2.0 Patients'!AH59</f>
        <v>0</v>
      </c>
      <c r="AE76" s="2003">
        <f>'2.0 Patients'!AI61-'2.0 Patients'!AH61</f>
        <v>0</v>
      </c>
      <c r="AF76" s="2002">
        <f>'2.0 Patients'!AU59-'2.0 Patients'!AT59</f>
        <v>0</v>
      </c>
      <c r="AG76" s="2003">
        <f>'2.0 Patients'!AU61-'2.0 Patients'!AT61</f>
        <v>0</v>
      </c>
      <c r="AH76" s="2002">
        <f>'2.0 Patients'!BG59-'2.0 Patients'!BF59</f>
        <v>0</v>
      </c>
      <c r="AI76" s="2003">
        <f>'2.0 Patients'!BG61-'2.0 Patients'!BF61</f>
        <v>0</v>
      </c>
      <c r="AJ76" s="2002">
        <f>'2.0 Patients'!BS59-'2.0 Patients'!BR59</f>
        <v>0</v>
      </c>
      <c r="AK76" s="2004">
        <f>'2.0 Patients'!BS61-'2.0 Patients'!BR61</f>
        <v>0</v>
      </c>
      <c r="AL76" s="2005"/>
      <c r="AM76" s="4"/>
    </row>
    <row r="77" spans="1:39">
      <c r="A77" s="4"/>
      <c r="B77" s="1678"/>
      <c r="C77" s="1974"/>
      <c r="D77" s="1975" t="str">
        <f>$D$23</f>
        <v>Month 7</v>
      </c>
      <c r="E77" s="2001"/>
      <c r="F77" s="2002">
        <f>'2.0 Patients'!X47-'2.0 Patients'!W47</f>
        <v>0</v>
      </c>
      <c r="G77" s="2003">
        <f>'2.0 Patients'!X49-'2.0 Patients'!W49</f>
        <v>0</v>
      </c>
      <c r="H77" s="2002">
        <f>'2.0 Patients'!AJ47-'2.0 Patients'!AI47</f>
        <v>0</v>
      </c>
      <c r="I77" s="2003">
        <f>'2.0 Patients'!AJ49-'2.0 Patients'!AI49</f>
        <v>0</v>
      </c>
      <c r="J77" s="2002">
        <f>'2.0 Patients'!AV47-'2.0 Patients'!AU47</f>
        <v>0</v>
      </c>
      <c r="K77" s="2003">
        <f>'2.0 Patients'!AV49-'2.0 Patients'!AU49</f>
        <v>0</v>
      </c>
      <c r="L77" s="2002">
        <f>'2.0 Patients'!BH47-'2.0 Patients'!BG47</f>
        <v>0</v>
      </c>
      <c r="M77" s="2003">
        <f>'2.0 Patients'!BH49-'2.0 Patients'!BG49</f>
        <v>0</v>
      </c>
      <c r="N77" s="2002">
        <f>'2.0 Patients'!BT47-'2.0 Patients'!BS47</f>
        <v>0</v>
      </c>
      <c r="O77" s="2004">
        <f>'2.0 Patients'!BT49-'2.0 Patients'!BS49</f>
        <v>0</v>
      </c>
      <c r="P77" s="1576"/>
      <c r="Q77" s="2002">
        <f>'2.0 Patients'!X53-'2.0 Patients'!W53</f>
        <v>0</v>
      </c>
      <c r="R77" s="2003">
        <f>'2.0 Patients'!X55-'2.0 Patients'!W55</f>
        <v>0</v>
      </c>
      <c r="S77" s="2002">
        <f>'2.0 Patients'!AJ53-'2.0 Patients'!AI53</f>
        <v>0</v>
      </c>
      <c r="T77" s="2003">
        <f>'2.0 Patients'!AJ55-'2.0 Patients'!AI55</f>
        <v>0</v>
      </c>
      <c r="U77" s="2002">
        <f>'2.0 Patients'!AV53-'2.0 Patients'!AU53</f>
        <v>0</v>
      </c>
      <c r="V77" s="2003">
        <f>'2.0 Patients'!AV55-'2.0 Patients'!AU55</f>
        <v>0</v>
      </c>
      <c r="W77" s="2002">
        <f>'2.0 Patients'!BH53-'2.0 Patients'!BG53</f>
        <v>0</v>
      </c>
      <c r="X77" s="2003">
        <f>'2.0 Patients'!BH55-'2.0 Patients'!BG55</f>
        <v>0</v>
      </c>
      <c r="Y77" s="2002">
        <f>'2.0 Patients'!BT53-'2.0 Patients'!BS53</f>
        <v>0</v>
      </c>
      <c r="Z77" s="2004">
        <f>'2.0 Patients'!BT55-'2.0 Patients'!BS55</f>
        <v>0</v>
      </c>
      <c r="AA77" s="2005"/>
      <c r="AB77" s="2002">
        <f>'2.0 Patients'!X59-'2.0 Patients'!W59</f>
        <v>0</v>
      </c>
      <c r="AC77" s="2003">
        <f>'2.0 Patients'!X61-'2.0 Patients'!W61</f>
        <v>0</v>
      </c>
      <c r="AD77" s="2002">
        <f>'2.0 Patients'!AJ59-'2.0 Patients'!AI59</f>
        <v>0</v>
      </c>
      <c r="AE77" s="2003">
        <f>'2.0 Patients'!AJ61-'2.0 Patients'!AI61</f>
        <v>0</v>
      </c>
      <c r="AF77" s="2002">
        <f>'2.0 Patients'!AV59-'2.0 Patients'!AU59</f>
        <v>0</v>
      </c>
      <c r="AG77" s="2003">
        <f>'2.0 Patients'!AV61-'2.0 Patients'!AU61</f>
        <v>0</v>
      </c>
      <c r="AH77" s="2002">
        <f>'2.0 Patients'!BH59-'2.0 Patients'!BG59</f>
        <v>0</v>
      </c>
      <c r="AI77" s="2003">
        <f>'2.0 Patients'!BH61-'2.0 Patients'!BG61</f>
        <v>0</v>
      </c>
      <c r="AJ77" s="2002">
        <f>'2.0 Patients'!BT59-'2.0 Patients'!BS59</f>
        <v>0</v>
      </c>
      <c r="AK77" s="2004">
        <f>'2.0 Patients'!BT61-'2.0 Patients'!BS61</f>
        <v>0</v>
      </c>
      <c r="AL77" s="2005"/>
      <c r="AM77" s="4"/>
    </row>
    <row r="78" spans="1:39">
      <c r="A78" s="4"/>
      <c r="B78" s="1678"/>
      <c r="C78" s="1974"/>
      <c r="D78" s="1975" t="str">
        <f>$D$24</f>
        <v>Month 8</v>
      </c>
      <c r="E78" s="2001"/>
      <c r="F78" s="2002">
        <f>'2.0 Patients'!Y47-'2.0 Patients'!X47</f>
        <v>0</v>
      </c>
      <c r="G78" s="2003">
        <f>'2.0 Patients'!Y49-'2.0 Patients'!X49</f>
        <v>0</v>
      </c>
      <c r="H78" s="2002">
        <f>'2.0 Patients'!AK47-'2.0 Patients'!AJ47</f>
        <v>0</v>
      </c>
      <c r="I78" s="2003">
        <f>'2.0 Patients'!AK49-'2.0 Patients'!AJ49</f>
        <v>0</v>
      </c>
      <c r="J78" s="2002">
        <f>'2.0 Patients'!AW47-'2.0 Patients'!AV47</f>
        <v>0</v>
      </c>
      <c r="K78" s="2003">
        <f>'2.0 Patients'!AW49-'2.0 Patients'!AV49</f>
        <v>0</v>
      </c>
      <c r="L78" s="2002">
        <f>'2.0 Patients'!BI47-'2.0 Patients'!BH47</f>
        <v>0</v>
      </c>
      <c r="M78" s="2003">
        <f>'2.0 Patients'!BI49-'2.0 Patients'!BH49</f>
        <v>0</v>
      </c>
      <c r="N78" s="2002">
        <f>'2.0 Patients'!BU47-'2.0 Patients'!BT47</f>
        <v>0</v>
      </c>
      <c r="O78" s="2004">
        <f>'2.0 Patients'!BU49-'2.0 Patients'!BT49</f>
        <v>0</v>
      </c>
      <c r="P78" s="1576"/>
      <c r="Q78" s="2002">
        <f>'2.0 Patients'!Y53-'2.0 Patients'!X53</f>
        <v>0</v>
      </c>
      <c r="R78" s="2003">
        <f>'2.0 Patients'!Y55-'2.0 Patients'!X55</f>
        <v>0</v>
      </c>
      <c r="S78" s="2002">
        <f>'2.0 Patients'!AK53-'2.0 Patients'!AJ53</f>
        <v>0</v>
      </c>
      <c r="T78" s="2003">
        <f>'2.0 Patients'!AK55-'2.0 Patients'!AJ55</f>
        <v>0</v>
      </c>
      <c r="U78" s="2002">
        <f>'2.0 Patients'!AW53-'2.0 Patients'!AV53</f>
        <v>0</v>
      </c>
      <c r="V78" s="2003">
        <f>'2.0 Patients'!AW55-'2.0 Patients'!AV55</f>
        <v>0</v>
      </c>
      <c r="W78" s="2002">
        <f>'2.0 Patients'!BI53-'2.0 Patients'!BH53</f>
        <v>0</v>
      </c>
      <c r="X78" s="2003">
        <f>'2.0 Patients'!BI55-'2.0 Patients'!BH55</f>
        <v>0</v>
      </c>
      <c r="Y78" s="2002">
        <f>'2.0 Patients'!BU53-'2.0 Patients'!BT53</f>
        <v>0</v>
      </c>
      <c r="Z78" s="2004">
        <f>'2.0 Patients'!BU55-'2.0 Patients'!BT55</f>
        <v>0</v>
      </c>
      <c r="AA78" s="2005"/>
      <c r="AB78" s="2002">
        <f>'2.0 Patients'!Y59-'2.0 Patients'!X59</f>
        <v>0</v>
      </c>
      <c r="AC78" s="2003">
        <f>'2.0 Patients'!Y61-'2.0 Patients'!X61</f>
        <v>0</v>
      </c>
      <c r="AD78" s="2002">
        <f>'2.0 Patients'!AK59-'2.0 Patients'!AJ59</f>
        <v>0</v>
      </c>
      <c r="AE78" s="2003">
        <f>'2.0 Patients'!AK61-'2.0 Patients'!AJ61</f>
        <v>0</v>
      </c>
      <c r="AF78" s="2002">
        <f>'2.0 Patients'!AW59-'2.0 Patients'!AV59</f>
        <v>0</v>
      </c>
      <c r="AG78" s="2003">
        <f>'2.0 Patients'!AW61-'2.0 Patients'!AV61</f>
        <v>0</v>
      </c>
      <c r="AH78" s="2002">
        <f>'2.0 Patients'!BI59-'2.0 Patients'!BH59</f>
        <v>0</v>
      </c>
      <c r="AI78" s="2003">
        <f>'2.0 Patients'!BI61-'2.0 Patients'!BH61</f>
        <v>0</v>
      </c>
      <c r="AJ78" s="2002">
        <f>'2.0 Patients'!BU59-'2.0 Patients'!BT59</f>
        <v>0</v>
      </c>
      <c r="AK78" s="2004">
        <f>'2.0 Patients'!BU61-'2.0 Patients'!BT61</f>
        <v>0</v>
      </c>
      <c r="AL78" s="2005"/>
      <c r="AM78" s="4"/>
    </row>
    <row r="79" spans="1:39">
      <c r="A79" s="4"/>
      <c r="B79" s="1678"/>
      <c r="C79" s="1974"/>
      <c r="D79" s="1975" t="str">
        <f>$D$25</f>
        <v>Month 9</v>
      </c>
      <c r="E79" s="2001"/>
      <c r="F79" s="2002">
        <f>'2.0 Patients'!Z47-'2.0 Patients'!Y47</f>
        <v>0</v>
      </c>
      <c r="G79" s="2003">
        <f>'2.0 Patients'!Z49-'2.0 Patients'!Y49</f>
        <v>0</v>
      </c>
      <c r="H79" s="2002">
        <f>'2.0 Patients'!AL47-'2.0 Patients'!AK47</f>
        <v>0</v>
      </c>
      <c r="I79" s="2003">
        <f>'2.0 Patients'!AL49-'2.0 Patients'!AK49</f>
        <v>0</v>
      </c>
      <c r="J79" s="2002">
        <f>'2.0 Patients'!AX47-'2.0 Patients'!AW47</f>
        <v>0</v>
      </c>
      <c r="K79" s="2003">
        <f>'2.0 Patients'!AX49-'2.0 Patients'!AW49</f>
        <v>0</v>
      </c>
      <c r="L79" s="2002">
        <f>'2.0 Patients'!BJ47-'2.0 Patients'!BI47</f>
        <v>0</v>
      </c>
      <c r="M79" s="2003">
        <f>'2.0 Patients'!BJ49-'2.0 Patients'!BI49</f>
        <v>0</v>
      </c>
      <c r="N79" s="2002">
        <f>'2.0 Patients'!BV47-'2.0 Patients'!BU47</f>
        <v>0</v>
      </c>
      <c r="O79" s="2004">
        <f>'2.0 Patients'!BV49-'2.0 Patients'!BU49</f>
        <v>0</v>
      </c>
      <c r="P79" s="1576"/>
      <c r="Q79" s="2002">
        <f>'2.0 Patients'!Z53-'2.0 Patients'!Y53</f>
        <v>0</v>
      </c>
      <c r="R79" s="2003">
        <f>'2.0 Patients'!Z55-'2.0 Patients'!Y55</f>
        <v>0</v>
      </c>
      <c r="S79" s="2002">
        <f>'2.0 Patients'!AL53-'2.0 Patients'!AK53</f>
        <v>0</v>
      </c>
      <c r="T79" s="2003">
        <f>'2.0 Patients'!AL55-'2.0 Patients'!AK55</f>
        <v>0</v>
      </c>
      <c r="U79" s="2002">
        <f>'2.0 Patients'!AX53-'2.0 Patients'!AW53</f>
        <v>0</v>
      </c>
      <c r="V79" s="2003">
        <f>'2.0 Patients'!AX55-'2.0 Patients'!AW55</f>
        <v>0</v>
      </c>
      <c r="W79" s="2002">
        <f>'2.0 Patients'!BJ53-'2.0 Patients'!BI53</f>
        <v>0</v>
      </c>
      <c r="X79" s="2003">
        <f>'2.0 Patients'!BJ55-'2.0 Patients'!BI55</f>
        <v>0</v>
      </c>
      <c r="Y79" s="2002">
        <f>'2.0 Patients'!BV53-'2.0 Patients'!BU53</f>
        <v>0</v>
      </c>
      <c r="Z79" s="2004">
        <f>'2.0 Patients'!BV55-'2.0 Patients'!BU55</f>
        <v>0</v>
      </c>
      <c r="AA79" s="2005"/>
      <c r="AB79" s="2002">
        <f>'2.0 Patients'!Z59-'2.0 Patients'!Y59</f>
        <v>0</v>
      </c>
      <c r="AC79" s="2003">
        <f>'2.0 Patients'!Z61-'2.0 Patients'!Y61</f>
        <v>0</v>
      </c>
      <c r="AD79" s="2002">
        <f>'2.0 Patients'!AL59-'2.0 Patients'!AK59</f>
        <v>0</v>
      </c>
      <c r="AE79" s="2003">
        <f>'2.0 Patients'!AL61-'2.0 Patients'!AK61</f>
        <v>0</v>
      </c>
      <c r="AF79" s="2002">
        <f>'2.0 Patients'!AX59-'2.0 Patients'!AW59</f>
        <v>0</v>
      </c>
      <c r="AG79" s="2003">
        <f>'2.0 Patients'!AX61-'2.0 Patients'!AW61</f>
        <v>0</v>
      </c>
      <c r="AH79" s="2002">
        <f>'2.0 Patients'!BJ59-'2.0 Patients'!BI59</f>
        <v>0</v>
      </c>
      <c r="AI79" s="2003">
        <f>'2.0 Patients'!BJ61-'2.0 Patients'!BI61</f>
        <v>0</v>
      </c>
      <c r="AJ79" s="2002">
        <f>'2.0 Patients'!BV59-'2.0 Patients'!BU59</f>
        <v>0</v>
      </c>
      <c r="AK79" s="2004">
        <f>'2.0 Patients'!BV61-'2.0 Patients'!BU61</f>
        <v>0</v>
      </c>
      <c r="AL79" s="2005"/>
      <c r="AM79" s="4"/>
    </row>
    <row r="80" spans="1:39">
      <c r="A80" s="4"/>
      <c r="B80" s="1678"/>
      <c r="C80" s="1974"/>
      <c r="D80" s="1975" t="str">
        <f>$D$26</f>
        <v>Month 10</v>
      </c>
      <c r="E80" s="2001"/>
      <c r="F80" s="2002">
        <f>'2.0 Patients'!AA47-'2.0 Patients'!Z47</f>
        <v>0</v>
      </c>
      <c r="G80" s="2003">
        <f>'2.0 Patients'!AA49-'2.0 Patients'!Z49</f>
        <v>0</v>
      </c>
      <c r="H80" s="2002">
        <f>'2.0 Patients'!AM47-'2.0 Patients'!AL47</f>
        <v>0</v>
      </c>
      <c r="I80" s="2003">
        <f>'2.0 Patients'!AM49-'2.0 Patients'!AL49</f>
        <v>0</v>
      </c>
      <c r="J80" s="2002">
        <f>'2.0 Patients'!AY47-'2.0 Patients'!AX47</f>
        <v>0</v>
      </c>
      <c r="K80" s="2003">
        <f>'2.0 Patients'!AY49-'2.0 Patients'!AX49</f>
        <v>0</v>
      </c>
      <c r="L80" s="2002">
        <f>'2.0 Patients'!BK47-'2.0 Patients'!BJ47</f>
        <v>0</v>
      </c>
      <c r="M80" s="2003">
        <f>'2.0 Patients'!BK49-'2.0 Patients'!BJ49</f>
        <v>0</v>
      </c>
      <c r="N80" s="2002">
        <f>'2.0 Patients'!BW47-'2.0 Patients'!BV47</f>
        <v>0</v>
      </c>
      <c r="O80" s="2004">
        <f>'2.0 Patients'!BW49-'2.0 Patients'!BV49</f>
        <v>0</v>
      </c>
      <c r="P80" s="1576"/>
      <c r="Q80" s="2002">
        <f>'2.0 Patients'!AA53-'2.0 Patients'!Z53</f>
        <v>0</v>
      </c>
      <c r="R80" s="2003">
        <f>'2.0 Patients'!AA55-'2.0 Patients'!Z55</f>
        <v>0</v>
      </c>
      <c r="S80" s="2002">
        <f>'2.0 Patients'!AM53-'2.0 Patients'!AL53</f>
        <v>0</v>
      </c>
      <c r="T80" s="2003">
        <f>'2.0 Patients'!AM55-'2.0 Patients'!AL55</f>
        <v>0</v>
      </c>
      <c r="U80" s="2002">
        <f>'2.0 Patients'!AY53-'2.0 Patients'!AX53</f>
        <v>0</v>
      </c>
      <c r="V80" s="2003">
        <f>'2.0 Patients'!AY55-'2.0 Patients'!AX55</f>
        <v>0</v>
      </c>
      <c r="W80" s="2002">
        <f>'2.0 Patients'!BK53-'2.0 Patients'!BJ53</f>
        <v>0</v>
      </c>
      <c r="X80" s="2003">
        <f>'2.0 Patients'!BK55-'2.0 Patients'!BJ55</f>
        <v>0</v>
      </c>
      <c r="Y80" s="2002">
        <f>'2.0 Patients'!BW53-'2.0 Patients'!BV53</f>
        <v>0</v>
      </c>
      <c r="Z80" s="2004">
        <f>'2.0 Patients'!BW55-'2.0 Patients'!BV55</f>
        <v>0</v>
      </c>
      <c r="AA80" s="2005"/>
      <c r="AB80" s="2002">
        <f>'2.0 Patients'!AA59-'2.0 Patients'!Z59</f>
        <v>0</v>
      </c>
      <c r="AC80" s="2003">
        <f>'2.0 Patients'!AA61-'2.0 Patients'!Z61</f>
        <v>0</v>
      </c>
      <c r="AD80" s="2002">
        <f>'2.0 Patients'!AM59-'2.0 Patients'!AL59</f>
        <v>0</v>
      </c>
      <c r="AE80" s="2003">
        <f>'2.0 Patients'!AM61-'2.0 Patients'!AL61</f>
        <v>0</v>
      </c>
      <c r="AF80" s="2002">
        <f>'2.0 Patients'!AY59-'2.0 Patients'!AX59</f>
        <v>0</v>
      </c>
      <c r="AG80" s="2003">
        <f>'2.0 Patients'!AY61-'2.0 Patients'!AX61</f>
        <v>0</v>
      </c>
      <c r="AH80" s="2002">
        <f>'2.0 Patients'!BK59-'2.0 Patients'!BJ59</f>
        <v>0</v>
      </c>
      <c r="AI80" s="2003">
        <f>'2.0 Patients'!BK61-'2.0 Patients'!BJ61</f>
        <v>0</v>
      </c>
      <c r="AJ80" s="2002">
        <f>'2.0 Patients'!BW59-'2.0 Patients'!BV59</f>
        <v>0</v>
      </c>
      <c r="AK80" s="2004">
        <f>'2.0 Patients'!BW61-'2.0 Patients'!BV61</f>
        <v>0</v>
      </c>
      <c r="AL80" s="2005"/>
      <c r="AM80" s="4"/>
    </row>
    <row r="81" spans="1:39">
      <c r="A81" s="4"/>
      <c r="B81" s="1678"/>
      <c r="C81" s="1974"/>
      <c r="D81" s="1975" t="str">
        <f>$D$27</f>
        <v>Month 11</v>
      </c>
      <c r="E81" s="2001"/>
      <c r="F81" s="2002">
        <f>'2.0 Patients'!AB47-'2.0 Patients'!AA47</f>
        <v>0</v>
      </c>
      <c r="G81" s="2003">
        <f>'2.0 Patients'!AB49-'2.0 Patients'!AA49</f>
        <v>0</v>
      </c>
      <c r="H81" s="2002">
        <f>'2.0 Patients'!AN47-'2.0 Patients'!AM47</f>
        <v>0</v>
      </c>
      <c r="I81" s="2003">
        <f>'2.0 Patients'!AN49-'2.0 Patients'!AM49</f>
        <v>0</v>
      </c>
      <c r="J81" s="2002">
        <f>'2.0 Patients'!AZ47-'2.0 Patients'!AY47</f>
        <v>0</v>
      </c>
      <c r="K81" s="2003">
        <f>'2.0 Patients'!AZ49-'2.0 Patients'!AY49</f>
        <v>0</v>
      </c>
      <c r="L81" s="2002">
        <f>'2.0 Patients'!BL47-'2.0 Patients'!BK47</f>
        <v>0</v>
      </c>
      <c r="M81" s="2003">
        <f>'2.0 Patients'!BL49-'2.0 Patients'!BK49</f>
        <v>0</v>
      </c>
      <c r="N81" s="2002">
        <f>'2.0 Patients'!BX47-'2.0 Patients'!BW47</f>
        <v>0</v>
      </c>
      <c r="O81" s="2004">
        <f>'2.0 Patients'!BX49-'2.0 Patients'!BW49</f>
        <v>0</v>
      </c>
      <c r="P81" s="1576"/>
      <c r="Q81" s="2002">
        <f>'2.0 Patients'!AB53-'2.0 Patients'!AA53</f>
        <v>0</v>
      </c>
      <c r="R81" s="2003">
        <f>'2.0 Patients'!AB55-'2.0 Patients'!AA55</f>
        <v>0</v>
      </c>
      <c r="S81" s="2002">
        <f>'2.0 Patients'!AN53-'2.0 Patients'!AM53</f>
        <v>0</v>
      </c>
      <c r="T81" s="2003">
        <f>'2.0 Patients'!AN55-'2.0 Patients'!AM55</f>
        <v>0</v>
      </c>
      <c r="U81" s="2002">
        <f>'2.0 Patients'!AZ53-'2.0 Patients'!AY53</f>
        <v>0</v>
      </c>
      <c r="V81" s="2003">
        <f>'2.0 Patients'!AZ55-'2.0 Patients'!AY55</f>
        <v>0</v>
      </c>
      <c r="W81" s="2002">
        <f>'2.0 Patients'!BL53-'2.0 Patients'!BK53</f>
        <v>0</v>
      </c>
      <c r="X81" s="2003">
        <f>'2.0 Patients'!BL55-'2.0 Patients'!BK55</f>
        <v>0</v>
      </c>
      <c r="Y81" s="2002">
        <f>'2.0 Patients'!BX53-'2.0 Patients'!BW53</f>
        <v>0</v>
      </c>
      <c r="Z81" s="2004">
        <f>'2.0 Patients'!BX55-'2.0 Patients'!BW55</f>
        <v>0</v>
      </c>
      <c r="AA81" s="2005"/>
      <c r="AB81" s="2002">
        <f>'2.0 Patients'!AB59-'2.0 Patients'!AA59</f>
        <v>0</v>
      </c>
      <c r="AC81" s="2003">
        <f>'2.0 Patients'!AB61-'2.0 Patients'!AA61</f>
        <v>0</v>
      </c>
      <c r="AD81" s="2002">
        <f>'2.0 Patients'!AN59-'2.0 Patients'!AM59</f>
        <v>0</v>
      </c>
      <c r="AE81" s="2003">
        <f>'2.0 Patients'!AN61-'2.0 Patients'!AM61</f>
        <v>0</v>
      </c>
      <c r="AF81" s="2002">
        <f>'2.0 Patients'!AZ59-'2.0 Patients'!AY59</f>
        <v>0</v>
      </c>
      <c r="AG81" s="2003">
        <f>'2.0 Patients'!AZ61-'2.0 Patients'!AY61</f>
        <v>0</v>
      </c>
      <c r="AH81" s="2002">
        <f>'2.0 Patients'!BL59-'2.0 Patients'!BK59</f>
        <v>0</v>
      </c>
      <c r="AI81" s="2003">
        <f>'2.0 Patients'!BL61-'2.0 Patients'!BK61</f>
        <v>0</v>
      </c>
      <c r="AJ81" s="2002">
        <f>'2.0 Patients'!BX59-'2.0 Patients'!BW59</f>
        <v>0</v>
      </c>
      <c r="AK81" s="2004">
        <f>'2.0 Patients'!BX61-'2.0 Patients'!BW61</f>
        <v>0</v>
      </c>
      <c r="AL81" s="2005"/>
      <c r="AM81" s="4"/>
    </row>
    <row r="82" spans="1:39" s="1" customFormat="1">
      <c r="A82" s="1852"/>
      <c r="B82" s="1975"/>
      <c r="C82" s="1974"/>
      <c r="D82" s="1975" t="str">
        <f>$D$28</f>
        <v>Month 12</v>
      </c>
      <c r="E82" s="2001"/>
      <c r="F82" s="2002">
        <f>'2.0 Patients'!AC47-'2.0 Patients'!AB47</f>
        <v>0</v>
      </c>
      <c r="G82" s="2003">
        <f>'2.0 Patients'!AC49-'2.0 Patients'!AB49</f>
        <v>0</v>
      </c>
      <c r="H82" s="2002">
        <f>'2.0 Patients'!AO47-'2.0 Patients'!AN47</f>
        <v>0</v>
      </c>
      <c r="I82" s="2003">
        <f>'2.0 Patients'!AO49-'2.0 Patients'!AN49</f>
        <v>0</v>
      </c>
      <c r="J82" s="2002">
        <f>'2.0 Patients'!BA47-'2.0 Patients'!AZ47</f>
        <v>0</v>
      </c>
      <c r="K82" s="2003">
        <f>'2.0 Patients'!BA49-'2.0 Patients'!AZ49</f>
        <v>0</v>
      </c>
      <c r="L82" s="2002">
        <f>'2.0 Patients'!BM47-'2.0 Patients'!BL47</f>
        <v>0</v>
      </c>
      <c r="M82" s="2003">
        <f>'2.0 Patients'!BM49-'2.0 Patients'!BL49</f>
        <v>0</v>
      </c>
      <c r="N82" s="2002">
        <f>'2.0 Patients'!BY47-'2.0 Patients'!BX47</f>
        <v>0</v>
      </c>
      <c r="O82" s="2004">
        <f>'2.0 Patients'!BY49-'2.0 Patients'!BX49</f>
        <v>0</v>
      </c>
      <c r="P82" s="1576"/>
      <c r="Q82" s="2002">
        <f>'2.0 Patients'!AC53-'2.0 Patients'!AB53</f>
        <v>0</v>
      </c>
      <c r="R82" s="2003">
        <f>'2.0 Patients'!AC55-'2.0 Patients'!AB55</f>
        <v>0</v>
      </c>
      <c r="S82" s="2002">
        <f>'2.0 Patients'!AO53-'2.0 Patients'!AN53</f>
        <v>0</v>
      </c>
      <c r="T82" s="2003">
        <f>'2.0 Patients'!AO55-'2.0 Patients'!AN55</f>
        <v>0</v>
      </c>
      <c r="U82" s="2002">
        <f>'2.0 Patients'!BA53-'2.0 Patients'!AZ53</f>
        <v>0</v>
      </c>
      <c r="V82" s="2003">
        <f>'2.0 Patients'!BA55-'2.0 Patients'!AZ55</f>
        <v>0</v>
      </c>
      <c r="W82" s="2002">
        <f>'2.0 Patients'!BM53-'2.0 Patients'!BL53</f>
        <v>0</v>
      </c>
      <c r="X82" s="2003">
        <f>'2.0 Patients'!BM55-'2.0 Patients'!BL55</f>
        <v>0</v>
      </c>
      <c r="Y82" s="2002">
        <f>'2.0 Patients'!BY53-'2.0 Patients'!BX53</f>
        <v>0</v>
      </c>
      <c r="Z82" s="2004">
        <f>'2.0 Patients'!BY55-'2.0 Patients'!BX55</f>
        <v>0</v>
      </c>
      <c r="AA82" s="1576"/>
      <c r="AB82" s="2002">
        <f>'2.0 Patients'!AC59-'2.0 Patients'!AB59</f>
        <v>0</v>
      </c>
      <c r="AC82" s="2003">
        <f>'2.0 Patients'!AC61-'2.0 Patients'!AB61</f>
        <v>0</v>
      </c>
      <c r="AD82" s="2002">
        <f>'2.0 Patients'!AO59-'2.0 Patients'!AN59</f>
        <v>0</v>
      </c>
      <c r="AE82" s="2003">
        <f>'2.0 Patients'!AO61-'2.0 Patients'!AN61</f>
        <v>0</v>
      </c>
      <c r="AF82" s="2002">
        <f>'2.0 Patients'!BA59-'2.0 Patients'!AZ59</f>
        <v>0</v>
      </c>
      <c r="AG82" s="2003">
        <f>'2.0 Patients'!BA61-'2.0 Patients'!AZ61</f>
        <v>0</v>
      </c>
      <c r="AH82" s="2002">
        <f>'2.0 Patients'!BM59-'2.0 Patients'!BL59</f>
        <v>0</v>
      </c>
      <c r="AI82" s="2003">
        <f>'2.0 Patients'!BM61-'2.0 Patients'!BL61</f>
        <v>0</v>
      </c>
      <c r="AJ82" s="2002">
        <f>'2.0 Patients'!BY59-'2.0 Patients'!BX59</f>
        <v>0</v>
      </c>
      <c r="AK82" s="2004">
        <f>'2.0 Patients'!BY61-'2.0 Patients'!BX61</f>
        <v>0</v>
      </c>
      <c r="AL82" s="1576"/>
      <c r="AM82" s="1852"/>
    </row>
    <row r="83" spans="1:39" s="2" customFormat="1">
      <c r="A83" s="1853"/>
      <c r="B83" s="1996"/>
      <c r="C83" s="1997"/>
      <c r="D83" s="1586"/>
      <c r="E83" s="2006" t="s">
        <v>3254</v>
      </c>
      <c r="F83" s="2007">
        <f t="shared" ref="F83:O83" si="79">SUM(F71:F82)</f>
        <v>0</v>
      </c>
      <c r="G83" s="2008">
        <f t="shared" si="79"/>
        <v>0</v>
      </c>
      <c r="H83" s="2007">
        <f t="shared" si="79"/>
        <v>0</v>
      </c>
      <c r="I83" s="2008">
        <f t="shared" si="79"/>
        <v>0</v>
      </c>
      <c r="J83" s="2007">
        <f t="shared" si="79"/>
        <v>0</v>
      </c>
      <c r="K83" s="2008">
        <f t="shared" si="79"/>
        <v>0</v>
      </c>
      <c r="L83" s="2007">
        <f t="shared" si="79"/>
        <v>0</v>
      </c>
      <c r="M83" s="2008">
        <f t="shared" si="79"/>
        <v>0</v>
      </c>
      <c r="N83" s="2007">
        <f t="shared" si="79"/>
        <v>0</v>
      </c>
      <c r="O83" s="2009">
        <f t="shared" si="79"/>
        <v>0</v>
      </c>
      <c r="P83" s="1585"/>
      <c r="Q83" s="2007">
        <f t="shared" ref="Q83:Z83" si="80">SUM(Q71:Q82)</f>
        <v>0</v>
      </c>
      <c r="R83" s="2008">
        <f t="shared" si="80"/>
        <v>0</v>
      </c>
      <c r="S83" s="2007">
        <f t="shared" si="80"/>
        <v>0</v>
      </c>
      <c r="T83" s="2008">
        <f t="shared" si="80"/>
        <v>0</v>
      </c>
      <c r="U83" s="2007">
        <f t="shared" si="80"/>
        <v>0</v>
      </c>
      <c r="V83" s="2008">
        <f t="shared" si="80"/>
        <v>0</v>
      </c>
      <c r="W83" s="2007">
        <f t="shared" si="80"/>
        <v>0</v>
      </c>
      <c r="X83" s="2008">
        <f t="shared" si="80"/>
        <v>0</v>
      </c>
      <c r="Y83" s="2007">
        <f t="shared" si="80"/>
        <v>0</v>
      </c>
      <c r="Z83" s="2009">
        <f t="shared" si="80"/>
        <v>0</v>
      </c>
      <c r="AA83" s="1996"/>
      <c r="AB83" s="2007">
        <f t="shared" ref="AB83:AK83" si="81">SUM(AB71:AB82)</f>
        <v>0</v>
      </c>
      <c r="AC83" s="2008">
        <f t="shared" si="81"/>
        <v>0</v>
      </c>
      <c r="AD83" s="2007">
        <f t="shared" si="81"/>
        <v>0</v>
      </c>
      <c r="AE83" s="2008">
        <f t="shared" si="81"/>
        <v>0</v>
      </c>
      <c r="AF83" s="2007">
        <f t="shared" si="81"/>
        <v>0</v>
      </c>
      <c r="AG83" s="2008">
        <f t="shared" si="81"/>
        <v>0</v>
      </c>
      <c r="AH83" s="2007">
        <f t="shared" si="81"/>
        <v>0</v>
      </c>
      <c r="AI83" s="2008">
        <f t="shared" si="81"/>
        <v>0</v>
      </c>
      <c r="AJ83" s="2007">
        <f t="shared" si="81"/>
        <v>0</v>
      </c>
      <c r="AK83" s="2009">
        <f t="shared" si="81"/>
        <v>0</v>
      </c>
      <c r="AL83" s="1996"/>
      <c r="AM83" s="1853"/>
    </row>
    <row r="84" spans="1:39">
      <c r="A84" s="4"/>
      <c r="B84" s="1678"/>
      <c r="C84" s="1678"/>
      <c r="D84" s="1678"/>
      <c r="E84" s="1678"/>
      <c r="F84" s="1678"/>
      <c r="G84" s="1678"/>
      <c r="H84" s="1678"/>
      <c r="I84" s="1678"/>
      <c r="J84" s="1678"/>
      <c r="K84" s="1678"/>
      <c r="L84" s="1678"/>
      <c r="M84" s="1678"/>
      <c r="N84" s="1678"/>
      <c r="O84" s="1678"/>
      <c r="P84" s="1678"/>
      <c r="Q84" s="1678"/>
      <c r="R84" s="1678"/>
      <c r="S84" s="1678"/>
      <c r="T84" s="1678"/>
      <c r="U84" s="1678"/>
      <c r="V84" s="1678"/>
      <c r="W84" s="1678"/>
      <c r="X84" s="1678"/>
      <c r="Y84" s="1678"/>
      <c r="Z84" s="1678"/>
      <c r="AA84" s="1678"/>
      <c r="AB84" s="1678"/>
      <c r="AC84" s="1678"/>
      <c r="AD84" s="1678"/>
      <c r="AE84" s="1678"/>
      <c r="AF84" s="1678"/>
      <c r="AG84" s="1678"/>
      <c r="AH84" s="1678"/>
      <c r="AI84" s="1678"/>
      <c r="AJ84" s="1678"/>
      <c r="AK84" s="1678"/>
      <c r="AL84" s="1678"/>
      <c r="AM84" s="4"/>
    </row>
    <row r="85" spans="1:39" s="3" customFormat="1">
      <c r="A85" s="4"/>
      <c r="C85" s="1665" t="s">
        <v>1858</v>
      </c>
      <c r="D85" s="1666"/>
      <c r="E85" s="1666"/>
      <c r="F85" s="1667"/>
      <c r="G85" s="1667"/>
      <c r="H85" s="1667"/>
      <c r="I85" s="1667"/>
      <c r="J85" s="1667"/>
      <c r="K85" s="1667"/>
      <c r="L85" s="1667"/>
      <c r="M85" s="1667"/>
      <c r="N85" s="1667"/>
      <c r="O85" s="1667"/>
      <c r="P85" s="1669"/>
      <c r="Q85" s="1667"/>
      <c r="R85" s="1667"/>
      <c r="S85" s="1667"/>
      <c r="T85" s="1667"/>
      <c r="U85" s="1667"/>
      <c r="V85" s="1667"/>
      <c r="W85" s="1667"/>
      <c r="X85" s="1667"/>
      <c r="Y85" s="1667"/>
      <c r="Z85" s="1667"/>
      <c r="AA85" s="1670"/>
      <c r="AB85" s="1667"/>
      <c r="AC85" s="1667"/>
      <c r="AD85" s="1667"/>
      <c r="AE85" s="1667"/>
      <c r="AF85" s="1667"/>
      <c r="AG85" s="1667"/>
      <c r="AH85" s="1667"/>
      <c r="AI85" s="1667"/>
      <c r="AJ85" s="1667"/>
      <c r="AK85" s="1668"/>
      <c r="AL85" s="1678"/>
      <c r="AM85" s="4"/>
    </row>
    <row r="86" spans="1:39">
      <c r="A86" s="4"/>
      <c r="B86" s="1678"/>
      <c r="C86" s="1974"/>
      <c r="D86" s="1975"/>
      <c r="E86" s="1975"/>
      <c r="F86" s="1677"/>
      <c r="G86" s="1677"/>
      <c r="H86" s="1677"/>
      <c r="I86" s="1677"/>
      <c r="J86" s="1677"/>
      <c r="K86" s="1677"/>
      <c r="L86" s="1677"/>
      <c r="M86" s="1677"/>
      <c r="N86" s="1677"/>
      <c r="O86" s="1676"/>
      <c r="P86" s="1975"/>
      <c r="Q86" s="1677"/>
      <c r="R86" s="1677"/>
      <c r="S86" s="1677"/>
      <c r="T86" s="1677"/>
      <c r="U86" s="1677"/>
      <c r="V86" s="1677"/>
      <c r="W86" s="1677"/>
      <c r="X86" s="1677"/>
      <c r="Y86" s="1677"/>
      <c r="Z86" s="1676"/>
      <c r="AA86" s="1678"/>
      <c r="AB86" s="1677"/>
      <c r="AC86" s="1677"/>
      <c r="AD86" s="1677"/>
      <c r="AE86" s="1677"/>
      <c r="AF86" s="1677"/>
      <c r="AG86" s="1677"/>
      <c r="AH86" s="1677"/>
      <c r="AI86" s="1677"/>
      <c r="AJ86" s="1677"/>
      <c r="AK86" s="1676"/>
      <c r="AL86" s="1678"/>
      <c r="AM86" s="4"/>
    </row>
    <row r="87" spans="1:39">
      <c r="A87" s="4"/>
      <c r="B87" s="1678"/>
      <c r="C87" s="1976"/>
      <c r="D87" s="1977"/>
      <c r="E87" s="1977"/>
      <c r="F87" s="1978" t="s">
        <v>1090</v>
      </c>
      <c r="G87" s="1935"/>
      <c r="H87" s="1978" t="s">
        <v>1091</v>
      </c>
      <c r="I87" s="1935"/>
      <c r="J87" s="1978" t="s">
        <v>2165</v>
      </c>
      <c r="K87" s="1935"/>
      <c r="L87" s="1978" t="s">
        <v>2166</v>
      </c>
      <c r="M87" s="1935"/>
      <c r="N87" s="1978" t="s">
        <v>2167</v>
      </c>
      <c r="O87" s="1936"/>
      <c r="P87" s="1977"/>
      <c r="Q87" s="1978" t="s">
        <v>1090</v>
      </c>
      <c r="R87" s="1935"/>
      <c r="S87" s="1978" t="s">
        <v>1091</v>
      </c>
      <c r="T87" s="1935"/>
      <c r="U87" s="1978" t="s">
        <v>2165</v>
      </c>
      <c r="V87" s="1935"/>
      <c r="W87" s="1978" t="s">
        <v>2166</v>
      </c>
      <c r="X87" s="1935"/>
      <c r="Y87" s="1978" t="s">
        <v>2167</v>
      </c>
      <c r="Z87" s="1936"/>
      <c r="AA87" s="1678"/>
      <c r="AB87" s="1978" t="s">
        <v>1090</v>
      </c>
      <c r="AC87" s="1935"/>
      <c r="AD87" s="1978" t="s">
        <v>1091</v>
      </c>
      <c r="AE87" s="1935"/>
      <c r="AF87" s="1978" t="s">
        <v>2165</v>
      </c>
      <c r="AG87" s="1935"/>
      <c r="AH87" s="1978" t="s">
        <v>2166</v>
      </c>
      <c r="AI87" s="1935"/>
      <c r="AJ87" s="1978" t="s">
        <v>2167</v>
      </c>
      <c r="AK87" s="1936"/>
      <c r="AL87" s="1678"/>
      <c r="AM87" s="4"/>
    </row>
    <row r="88" spans="1:39">
      <c r="A88" s="4"/>
      <c r="B88" s="1678"/>
      <c r="C88" s="1974"/>
      <c r="D88" s="1975"/>
      <c r="E88" s="1677" t="s">
        <v>3253</v>
      </c>
      <c r="F88" s="1979">
        <f>endstation*('2.0 Patients'!I10+'2.0 Patients'!I11)</f>
        <v>92</v>
      </c>
      <c r="G88" s="1980">
        <f>F88</f>
        <v>92</v>
      </c>
      <c r="H88" s="1979">
        <f>'2.0 Patients'!J8*('2.0 Patients'!J10+'2.0 Patients'!J11)</f>
        <v>92</v>
      </c>
      <c r="I88" s="1980">
        <f t="shared" ref="I88:O88" si="82">H88</f>
        <v>92</v>
      </c>
      <c r="J88" s="1979">
        <f>'2.0 Patients'!K8*('2.0 Patients'!K10+'2.0 Patients'!K11)</f>
        <v>92</v>
      </c>
      <c r="K88" s="1980">
        <f t="shared" si="82"/>
        <v>92</v>
      </c>
      <c r="L88" s="1979">
        <f>'2.0 Patients'!L8*('2.0 Patients'!L10+'2.0 Patients'!L11)</f>
        <v>92</v>
      </c>
      <c r="M88" s="1980">
        <f t="shared" si="82"/>
        <v>92</v>
      </c>
      <c r="N88" s="1979">
        <f>'2.0 Patients'!M8*('2.0 Patients'!M10+'2.0 Patients'!M11)</f>
        <v>115</v>
      </c>
      <c r="O88" s="1980">
        <f t="shared" si="82"/>
        <v>115</v>
      </c>
      <c r="P88" s="1975"/>
      <c r="Q88" s="1979">
        <f>'2.0 Patients'!I12*20</f>
        <v>40</v>
      </c>
      <c r="R88" s="1980">
        <f>Q88</f>
        <v>40</v>
      </c>
      <c r="S88" s="1979">
        <f>'2.0 Patients'!J12*20</f>
        <v>40</v>
      </c>
      <c r="T88" s="1980">
        <f t="shared" ref="T88:Z88" si="83">S88</f>
        <v>40</v>
      </c>
      <c r="U88" s="1979">
        <f>'2.0 Patients'!K12*20</f>
        <v>40</v>
      </c>
      <c r="V88" s="1980">
        <f t="shared" si="83"/>
        <v>40</v>
      </c>
      <c r="W88" s="1979">
        <f>'2.0 Patients'!L12*20</f>
        <v>40</v>
      </c>
      <c r="X88" s="1980">
        <f t="shared" si="83"/>
        <v>40</v>
      </c>
      <c r="Y88" s="1979">
        <f>'2.0 Patients'!M12*20</f>
        <v>40</v>
      </c>
      <c r="Z88" s="1980">
        <f t="shared" si="83"/>
        <v>40</v>
      </c>
      <c r="AA88" s="1678"/>
      <c r="AB88" s="1979">
        <f>'2.0 Patients'!I13*20</f>
        <v>40</v>
      </c>
      <c r="AC88" s="1980">
        <f>AB88</f>
        <v>40</v>
      </c>
      <c r="AD88" s="1979">
        <f>'2.0 Patients'!J13*20</f>
        <v>40</v>
      </c>
      <c r="AE88" s="1980">
        <f t="shared" ref="AE88:AK88" si="84">AD88</f>
        <v>40</v>
      </c>
      <c r="AF88" s="1979">
        <f>'2.0 Patients'!K13*20</f>
        <v>40</v>
      </c>
      <c r="AG88" s="1980">
        <f t="shared" si="84"/>
        <v>40</v>
      </c>
      <c r="AH88" s="1979">
        <f>'2.0 Patients'!L13*20</f>
        <v>40</v>
      </c>
      <c r="AI88" s="1980">
        <f t="shared" si="84"/>
        <v>40</v>
      </c>
      <c r="AJ88" s="1979">
        <f>'2.0 Patients'!K13*20</f>
        <v>40</v>
      </c>
      <c r="AK88" s="1980">
        <f t="shared" si="84"/>
        <v>40</v>
      </c>
      <c r="AL88" s="1678"/>
      <c r="AM88" s="4"/>
    </row>
    <row r="89" spans="1:39">
      <c r="A89" s="4"/>
      <c r="B89" s="1678"/>
      <c r="C89" s="1974"/>
      <c r="D89" s="1975"/>
      <c r="E89" s="1975"/>
      <c r="F89" s="1981"/>
      <c r="G89" s="1982"/>
      <c r="H89" s="1981"/>
      <c r="I89" s="1982"/>
      <c r="J89" s="1981"/>
      <c r="K89" s="1982"/>
      <c r="L89" s="1981"/>
      <c r="M89" s="1982"/>
      <c r="N89" s="1981"/>
      <c r="O89" s="1982"/>
      <c r="P89" s="1975"/>
      <c r="Q89" s="1981"/>
      <c r="R89" s="1982"/>
      <c r="S89" s="1981"/>
      <c r="T89" s="1982"/>
      <c r="U89" s="1981"/>
      <c r="V89" s="1982"/>
      <c r="W89" s="1981"/>
      <c r="X89" s="1982"/>
      <c r="Y89" s="1981"/>
      <c r="Z89" s="1982"/>
      <c r="AA89" s="1678"/>
      <c r="AB89" s="1981"/>
      <c r="AC89" s="1982"/>
      <c r="AD89" s="1981"/>
      <c r="AE89" s="1982"/>
      <c r="AF89" s="1981"/>
      <c r="AG89" s="1982"/>
      <c r="AH89" s="1981"/>
      <c r="AI89" s="1982"/>
      <c r="AJ89" s="1981"/>
      <c r="AK89" s="1982"/>
      <c r="AL89" s="1678"/>
      <c r="AM89" s="4"/>
    </row>
    <row r="90" spans="1:39">
      <c r="A90" s="4"/>
      <c r="B90" s="1678"/>
      <c r="C90" s="1974"/>
      <c r="D90" s="1975"/>
      <c r="E90" s="1677" t="s">
        <v>3666</v>
      </c>
      <c r="F90" s="1983">
        <f t="shared" ref="F90:O90" si="85">F108</f>
        <v>12.458333333333334</v>
      </c>
      <c r="G90" s="1984">
        <f t="shared" si="85"/>
        <v>2.0833333333333335</v>
      </c>
      <c r="H90" s="1983">
        <f t="shared" si="85"/>
        <v>32.75</v>
      </c>
      <c r="I90" s="1984">
        <f t="shared" si="85"/>
        <v>4.0833333333333321</v>
      </c>
      <c r="J90" s="1983">
        <f t="shared" si="85"/>
        <v>47.5</v>
      </c>
      <c r="K90" s="1984">
        <f t="shared" si="85"/>
        <v>5.5416666666666643</v>
      </c>
      <c r="L90" s="1983">
        <f t="shared" si="85"/>
        <v>59.5</v>
      </c>
      <c r="M90" s="1984">
        <f t="shared" si="85"/>
        <v>6.5416666666666599</v>
      </c>
      <c r="N90" s="1983">
        <f t="shared" si="85"/>
        <v>69.333333333333371</v>
      </c>
      <c r="O90" s="1984">
        <f t="shared" si="85"/>
        <v>7.5416666666666581</v>
      </c>
      <c r="P90" s="1975"/>
      <c r="Q90" s="1983">
        <f t="shared" ref="Q90:Z90" si="86">Q108</f>
        <v>3.25</v>
      </c>
      <c r="R90" s="1984">
        <f t="shared" si="86"/>
        <v>1</v>
      </c>
      <c r="S90" s="1983">
        <f t="shared" si="86"/>
        <v>8.7083333333333321</v>
      </c>
      <c r="T90" s="1984">
        <f t="shared" si="86"/>
        <v>1.5416666666666661</v>
      </c>
      <c r="U90" s="1983">
        <f t="shared" si="86"/>
        <v>13.166666666666666</v>
      </c>
      <c r="V90" s="1984">
        <f t="shared" si="86"/>
        <v>1.9999999999999998</v>
      </c>
      <c r="W90" s="1983">
        <f t="shared" si="86"/>
        <v>17.166666666666664</v>
      </c>
      <c r="X90" s="1984">
        <f t="shared" si="86"/>
        <v>2.541666666666667</v>
      </c>
      <c r="Y90" s="1983">
        <f t="shared" si="86"/>
        <v>20.083333333333336</v>
      </c>
      <c r="Z90" s="1984">
        <f t="shared" si="86"/>
        <v>3.5416666666666683</v>
      </c>
      <c r="AA90" s="1678"/>
      <c r="AB90" s="1983">
        <f t="shared" ref="AB90:AK90" si="87">AB108</f>
        <v>1.0833333333333333</v>
      </c>
      <c r="AC90" s="1984">
        <f t="shared" si="87"/>
        <v>1</v>
      </c>
      <c r="AD90" s="1983">
        <f t="shared" si="87"/>
        <v>3.625</v>
      </c>
      <c r="AE90" s="1984">
        <f t="shared" si="87"/>
        <v>1</v>
      </c>
      <c r="AF90" s="1983">
        <f t="shared" si="87"/>
        <v>5.5416666666666643</v>
      </c>
      <c r="AG90" s="1984">
        <f t="shared" si="87"/>
        <v>1.5416666666666661</v>
      </c>
      <c r="AH90" s="1983">
        <f t="shared" si="87"/>
        <v>6.5416666666666599</v>
      </c>
      <c r="AI90" s="1984">
        <f t="shared" si="87"/>
        <v>1.9999999999999998</v>
      </c>
      <c r="AJ90" s="1983">
        <f t="shared" si="87"/>
        <v>7.5416666666666581</v>
      </c>
      <c r="AK90" s="1984">
        <f t="shared" si="87"/>
        <v>1.9999999999999998</v>
      </c>
      <c r="AL90" s="1678"/>
      <c r="AM90" s="4"/>
    </row>
    <row r="91" spans="1:39">
      <c r="A91" s="4"/>
      <c r="B91" s="1678"/>
      <c r="C91" s="1974"/>
      <c r="D91" s="1975"/>
      <c r="E91" s="1985" t="s">
        <v>3255</v>
      </c>
      <c r="F91" s="1986">
        <f>SUM(F90,G90)/F88</f>
        <v>0.15806159420289856</v>
      </c>
      <c r="G91" s="1982"/>
      <c r="H91" s="1986">
        <f>SUM(H90,I90)/H88</f>
        <v>0.40036231884057966</v>
      </c>
      <c r="I91" s="1982"/>
      <c r="J91" s="1986">
        <f>SUM(J90,K90)/J88</f>
        <v>0.57653985507246375</v>
      </c>
      <c r="K91" s="1982"/>
      <c r="L91" s="1986">
        <f>SUM(L90,M90)/L88</f>
        <v>0.71784420289855067</v>
      </c>
      <c r="M91" s="1982"/>
      <c r="N91" s="1986">
        <f>SUM(N90,O90)/N88</f>
        <v>0.66847826086956541</v>
      </c>
      <c r="O91" s="1982"/>
      <c r="P91" s="1975"/>
      <c r="Q91" s="1986">
        <f>SUM(Q90,R90)/Q88</f>
        <v>0.10625</v>
      </c>
      <c r="R91" s="1982"/>
      <c r="S91" s="1986">
        <f>SUM(S90,T90)/S88</f>
        <v>0.25624999999999998</v>
      </c>
      <c r="T91" s="1982"/>
      <c r="U91" s="1986">
        <f>SUM(U90,V90)/U88</f>
        <v>0.37916666666666665</v>
      </c>
      <c r="V91" s="1982"/>
      <c r="W91" s="1986">
        <f>SUM(W90,X90)/W88</f>
        <v>0.4927083333333333</v>
      </c>
      <c r="X91" s="1982"/>
      <c r="Y91" s="1986">
        <f>SUM(Y90,Z90)/Y88</f>
        <v>0.59062500000000007</v>
      </c>
      <c r="Z91" s="1982"/>
      <c r="AA91" s="1678"/>
      <c r="AB91" s="1986">
        <f>SUM(AB90,AC90)/AB88</f>
        <v>5.2083333333333329E-2</v>
      </c>
      <c r="AC91" s="1982"/>
      <c r="AD91" s="1986">
        <f>SUM(AD90,AE90)/AD88</f>
        <v>0.11562500000000001</v>
      </c>
      <c r="AE91" s="1982"/>
      <c r="AF91" s="1986">
        <f>SUM(AF90,AG90)/AF88</f>
        <v>0.17708333333333326</v>
      </c>
      <c r="AG91" s="1982"/>
      <c r="AH91" s="1986">
        <f>SUM(AH90,AI90)/AH88</f>
        <v>0.21354166666666646</v>
      </c>
      <c r="AI91" s="1982"/>
      <c r="AJ91" s="1986">
        <f>SUM(AJ90,AK90)/AJ88</f>
        <v>0.23854166666666643</v>
      </c>
      <c r="AK91" s="1982"/>
      <c r="AL91" s="1678"/>
      <c r="AM91" s="4"/>
    </row>
    <row r="92" spans="1:39">
      <c r="A92" s="4"/>
      <c r="B92" s="1678"/>
      <c r="C92" s="1974"/>
      <c r="D92" s="1975"/>
      <c r="E92" s="1975"/>
      <c r="F92" s="1981"/>
      <c r="G92" s="1982"/>
      <c r="H92" s="1981"/>
      <c r="I92" s="1982"/>
      <c r="J92" s="1981"/>
      <c r="K92" s="1982"/>
      <c r="L92" s="1981"/>
      <c r="M92" s="1982"/>
      <c r="N92" s="1981"/>
      <c r="O92" s="1982"/>
      <c r="P92" s="1975"/>
      <c r="Q92" s="1981"/>
      <c r="R92" s="1982"/>
      <c r="S92" s="1981"/>
      <c r="T92" s="1982"/>
      <c r="U92" s="1981"/>
      <c r="V92" s="1982"/>
      <c r="W92" s="1981"/>
      <c r="X92" s="1982"/>
      <c r="Y92" s="1981"/>
      <c r="Z92" s="1982"/>
      <c r="AA92" s="1678"/>
      <c r="AB92" s="1981"/>
      <c r="AC92" s="1982"/>
      <c r="AD92" s="1981"/>
      <c r="AE92" s="1982"/>
      <c r="AF92" s="1981"/>
      <c r="AG92" s="1982"/>
      <c r="AH92" s="1981"/>
      <c r="AI92" s="1982"/>
      <c r="AJ92" s="1981"/>
      <c r="AK92" s="1982"/>
      <c r="AL92" s="1678"/>
      <c r="AM92" s="4"/>
    </row>
    <row r="93" spans="1:39">
      <c r="A93" s="4"/>
      <c r="B93" s="1678"/>
      <c r="C93" s="1974"/>
      <c r="D93" s="1975"/>
      <c r="E93" s="1677" t="s">
        <v>3517</v>
      </c>
      <c r="F93" s="1987"/>
      <c r="G93" s="1988"/>
      <c r="H93" s="1989">
        <f>(SUM(H90,I90)/(SUM(F90,G90))-1)</f>
        <v>1.5329512893982802</v>
      </c>
      <c r="I93" s="1988"/>
      <c r="J93" s="1989">
        <f>(SUM(J90,K90)/(SUM(H90,I90))-1)</f>
        <v>0.44004524886877849</v>
      </c>
      <c r="K93" s="1988"/>
      <c r="L93" s="1989">
        <f>(SUM(L90,M90)/(SUM(J90,K90))-1)</f>
        <v>0.24509033778476019</v>
      </c>
      <c r="M93" s="1988"/>
      <c r="N93" s="1989">
        <f>(SUM(N90,O90)/(SUM(L90,M90))-1)</f>
        <v>0.16403785488959044</v>
      </c>
      <c r="O93" s="1988"/>
      <c r="P93" s="1975"/>
      <c r="Q93" s="1987"/>
      <c r="R93" s="1988"/>
      <c r="S93" s="1989">
        <f>(SUM(S90,T90)/(SUM(Q90,R90))-1)</f>
        <v>1.4117647058823524</v>
      </c>
      <c r="T93" s="1988"/>
      <c r="U93" s="1989">
        <f>(SUM(U90,V90)/(SUM(S90,T90))-1)</f>
        <v>0.47967479674796776</v>
      </c>
      <c r="V93" s="1988"/>
      <c r="W93" s="1989">
        <f>(SUM(W90,X90)/(SUM(U90,V90))-1)</f>
        <v>0.2994505494505495</v>
      </c>
      <c r="X93" s="1988"/>
      <c r="Y93" s="1989">
        <f>(SUM(Y90,Z90)/(SUM(W90,X90))-1)</f>
        <v>0.1987315010570827</v>
      </c>
      <c r="Z93" s="1988"/>
      <c r="AA93" s="1678"/>
      <c r="AB93" s="1987"/>
      <c r="AC93" s="1988"/>
      <c r="AD93" s="1989">
        <f>(SUM(AD90,AE90)/(SUM(AB90,AC90))-1)</f>
        <v>1.2200000000000002</v>
      </c>
      <c r="AE93" s="1988"/>
      <c r="AF93" s="1989">
        <f>(SUM(AF90,AG90)/(SUM(AD90,AE90))-1)</f>
        <v>0.53153153153153099</v>
      </c>
      <c r="AG93" s="1988"/>
      <c r="AH93" s="1989">
        <f>(SUM(AH90,AI90)/(SUM(AF90,AG90))-1)</f>
        <v>0.20588235294117596</v>
      </c>
      <c r="AI93" s="1988"/>
      <c r="AJ93" s="1989">
        <f>(SUM(AJ90,AK90)/(SUM(AH90,AI90))-1)</f>
        <v>0.1170731707317072</v>
      </c>
      <c r="AK93" s="1988"/>
      <c r="AL93" s="1678"/>
      <c r="AM93" s="4"/>
    </row>
    <row r="94" spans="1:39">
      <c r="A94" s="4"/>
      <c r="B94" s="1678"/>
      <c r="C94" s="1990"/>
      <c r="D94" s="1991"/>
      <c r="E94" s="1991"/>
      <c r="F94" s="1992" t="s">
        <v>463</v>
      </c>
      <c r="G94" s="1993" t="s">
        <v>464</v>
      </c>
      <c r="H94" s="1992" t="s">
        <v>463</v>
      </c>
      <c r="I94" s="1993" t="s">
        <v>464</v>
      </c>
      <c r="J94" s="1992" t="s">
        <v>463</v>
      </c>
      <c r="K94" s="1993" t="s">
        <v>464</v>
      </c>
      <c r="L94" s="1992" t="s">
        <v>463</v>
      </c>
      <c r="M94" s="1993" t="s">
        <v>464</v>
      </c>
      <c r="N94" s="1992" t="s">
        <v>463</v>
      </c>
      <c r="O94" s="1993" t="s">
        <v>464</v>
      </c>
      <c r="P94" s="1678"/>
      <c r="Q94" s="1992" t="s">
        <v>463</v>
      </c>
      <c r="R94" s="1993" t="s">
        <v>464</v>
      </c>
      <c r="S94" s="1992" t="s">
        <v>463</v>
      </c>
      <c r="T94" s="1993" t="s">
        <v>464</v>
      </c>
      <c r="U94" s="1992" t="s">
        <v>463</v>
      </c>
      <c r="V94" s="1993" t="s">
        <v>464</v>
      </c>
      <c r="W94" s="1992" t="s">
        <v>463</v>
      </c>
      <c r="X94" s="1993" t="s">
        <v>464</v>
      </c>
      <c r="Y94" s="1992" t="s">
        <v>463</v>
      </c>
      <c r="Z94" s="1993" t="s">
        <v>464</v>
      </c>
      <c r="AA94" s="1678"/>
      <c r="AB94" s="1992" t="s">
        <v>463</v>
      </c>
      <c r="AC94" s="1993" t="s">
        <v>464</v>
      </c>
      <c r="AD94" s="1992" t="s">
        <v>463</v>
      </c>
      <c r="AE94" s="1993" t="s">
        <v>464</v>
      </c>
      <c r="AF94" s="1992" t="s">
        <v>463</v>
      </c>
      <c r="AG94" s="1993" t="s">
        <v>464</v>
      </c>
      <c r="AH94" s="1992" t="s">
        <v>463</v>
      </c>
      <c r="AI94" s="1993" t="s">
        <v>464</v>
      </c>
      <c r="AJ94" s="1992" t="s">
        <v>463</v>
      </c>
      <c r="AK94" s="1993" t="s">
        <v>464</v>
      </c>
      <c r="AL94" s="1678"/>
      <c r="AM94" s="4"/>
    </row>
    <row r="95" spans="1:39">
      <c r="A95" s="4"/>
      <c r="B95" s="1678"/>
      <c r="C95" s="1974" t="s">
        <v>724</v>
      </c>
      <c r="D95" s="1975"/>
      <c r="E95" s="1975"/>
      <c r="F95" s="1994">
        <f>'2.0 Patients'!Q74</f>
        <v>0</v>
      </c>
      <c r="G95" s="1995">
        <f>'2.0 Patients'!Q76</f>
        <v>1</v>
      </c>
      <c r="H95" s="1675"/>
      <c r="I95" s="1676"/>
      <c r="J95" s="1677"/>
      <c r="K95" s="1676"/>
      <c r="L95" s="1677"/>
      <c r="M95" s="1676"/>
      <c r="N95" s="1677"/>
      <c r="O95" s="1676"/>
      <c r="P95" s="1678"/>
      <c r="Q95" s="1994">
        <f>'2.0 Patients'!Q80</f>
        <v>0</v>
      </c>
      <c r="R95" s="1995">
        <f>'2.0 Patients'!Q82</f>
        <v>1</v>
      </c>
      <c r="S95" s="1675"/>
      <c r="T95" s="1676"/>
      <c r="U95" s="1677"/>
      <c r="V95" s="1676"/>
      <c r="W95" s="1677"/>
      <c r="X95" s="1676"/>
      <c r="Y95" s="1677"/>
      <c r="Z95" s="1676"/>
      <c r="AA95" s="1678"/>
      <c r="AB95" s="1994">
        <f>'2.0 Patients'!Q86</f>
        <v>0</v>
      </c>
      <c r="AC95" s="1995">
        <f>'2.0 Patients'!Q88</f>
        <v>1</v>
      </c>
      <c r="AD95" s="1675"/>
      <c r="AE95" s="1676"/>
      <c r="AF95" s="1677"/>
      <c r="AG95" s="1676"/>
      <c r="AH95" s="1677"/>
      <c r="AI95" s="1676"/>
      <c r="AJ95" s="1677"/>
      <c r="AK95" s="1676"/>
      <c r="AL95" s="1678"/>
      <c r="AM95" s="4"/>
    </row>
    <row r="96" spans="1:39">
      <c r="A96" s="4"/>
      <c r="B96" s="1678" t="s">
        <v>727</v>
      </c>
      <c r="C96" s="1974"/>
      <c r="D96" s="1671" t="str">
        <f>$D$17</f>
        <v>Month 1</v>
      </c>
      <c r="E96" s="1671"/>
      <c r="F96" s="1672">
        <f>MIN(+F95+F110,F$88-G96)</f>
        <v>1.9166666666666667</v>
      </c>
      <c r="G96" s="1673">
        <f>MIN(+G95+G110,G88)</f>
        <v>1.1666666666666667</v>
      </c>
      <c r="H96" s="1674">
        <f>MIN(+F107+H110,H88-I96)</f>
        <v>24.500000000000004</v>
      </c>
      <c r="I96" s="1673">
        <f>MIN(+G107+I110,I88)</f>
        <v>3.1666666666666661</v>
      </c>
      <c r="J96" s="1674">
        <f>MIN(+H107+J110,J88-K96)</f>
        <v>42</v>
      </c>
      <c r="K96" s="1673">
        <f>MIN(+I107+K110,K88)</f>
        <v>5.083333333333333</v>
      </c>
      <c r="L96" s="1674">
        <f>MIN(+J107+L110,L88-M96)</f>
        <v>54</v>
      </c>
      <c r="M96" s="1673">
        <f>MIN(+K107+M110,M88)</f>
        <v>6.0833333333333295</v>
      </c>
      <c r="N96" s="1674">
        <f>MIN(+L107+N110,N88-O96)</f>
        <v>65.666666666666671</v>
      </c>
      <c r="O96" s="1673">
        <f>MIN(+M107+O110,O88)</f>
        <v>7.0833333333333259</v>
      </c>
      <c r="P96" s="6"/>
      <c r="Q96" s="1672">
        <f>MIN(+Q95+Q110,Q$88-R96)</f>
        <v>0.5</v>
      </c>
      <c r="R96" s="1673">
        <f>MIN(+R95+R110,R$88)</f>
        <v>1</v>
      </c>
      <c r="S96" s="1674">
        <f>MIN(+Q107+S110,S88-T96)</f>
        <v>6.416666666666667</v>
      </c>
      <c r="T96" s="1673">
        <f>MIN(+R107+T110,T88)</f>
        <v>1.0833333333333333</v>
      </c>
      <c r="U96" s="1674">
        <f>MIN(+S107+U110,U88-V96)</f>
        <v>11.33333333333333</v>
      </c>
      <c r="V96" s="1673">
        <f>MIN(+T107+V110,V88)</f>
        <v>1.9999999999999991</v>
      </c>
      <c r="W96" s="1674">
        <f>MIN(+U107+W110,W88-X96)</f>
        <v>15.333333333333337</v>
      </c>
      <c r="X96" s="1673">
        <f>MIN(+V107+X110,X88)</f>
        <v>2.0833333333333326</v>
      </c>
      <c r="Y96" s="1674">
        <f>MIN(+W107+Y110,Y88-Z96)</f>
        <v>19.166666666666661</v>
      </c>
      <c r="Z96" s="1673">
        <f>MIN(+X107+Z110,Z88)</f>
        <v>3.0833333333333344</v>
      </c>
      <c r="AA96" s="6"/>
      <c r="AB96" s="1672">
        <f>MIN(+AB95+AB110,AB$88-AC96)</f>
        <v>0.16666666666666666</v>
      </c>
      <c r="AC96" s="1673">
        <f>MIN(+AC95+AC110,AC$88)</f>
        <v>1</v>
      </c>
      <c r="AD96" s="1674">
        <f>MIN(+AB107+AD110,AD88-AE96)</f>
        <v>2.25</v>
      </c>
      <c r="AE96" s="1673">
        <f>MIN(+AC107+AE110,AE88)</f>
        <v>1</v>
      </c>
      <c r="AF96" s="1674">
        <f>MIN(+AD107+AF110,AF88-AG96)</f>
        <v>5.083333333333333</v>
      </c>
      <c r="AG96" s="1673">
        <f>MIN(+AE107+AG110,AG88)</f>
        <v>1.0833333333333333</v>
      </c>
      <c r="AH96" s="1674">
        <f>MIN(+AF107+AH110,AH88-AI96)</f>
        <v>6.0833333333333295</v>
      </c>
      <c r="AI96" s="1673">
        <f>MIN(+AG107+AI110,AI88)</f>
        <v>1.9999999999999991</v>
      </c>
      <c r="AJ96" s="1674">
        <f>MIN(+AH107+AJ110,AJ88-AK96)</f>
        <v>7.0833333333333259</v>
      </c>
      <c r="AK96" s="1673">
        <f>MIN(+AI107+AK110,AK88)</f>
        <v>1.9999999999999991</v>
      </c>
      <c r="AL96" s="6"/>
      <c r="AM96" s="4"/>
    </row>
    <row r="97" spans="1:39">
      <c r="A97" s="4"/>
      <c r="B97" s="1678"/>
      <c r="C97" s="1974"/>
      <c r="D97" s="1671" t="str">
        <f>$D$18</f>
        <v>Month 2</v>
      </c>
      <c r="E97" s="1671"/>
      <c r="F97" s="1672">
        <f t="shared" ref="F97:F107" si="88">MIN(+F96+F111,F$88-G97)</f>
        <v>3.8333333333333335</v>
      </c>
      <c r="G97" s="1673">
        <f t="shared" ref="G97:G107" si="89">MIN(+G96+G111,G$88)</f>
        <v>1.3333333333333335</v>
      </c>
      <c r="H97" s="1672">
        <f>MIN(+H96+H111,H$88-I97)</f>
        <v>26.000000000000004</v>
      </c>
      <c r="I97" s="1673">
        <f>MIN(+I96+I111,I$88)</f>
        <v>3.3333333333333326</v>
      </c>
      <c r="J97" s="1672">
        <f>MIN(+J96+J111,J$88-K97)</f>
        <v>43</v>
      </c>
      <c r="K97" s="1673">
        <f>MIN(+K96+K111,K$88)</f>
        <v>5.1666666666666661</v>
      </c>
      <c r="L97" s="1672">
        <f>MIN(+L96+L111,L$88-M97)</f>
        <v>55</v>
      </c>
      <c r="M97" s="1673">
        <f>MIN(+M96+M111,M$88)</f>
        <v>6.1666666666666625</v>
      </c>
      <c r="N97" s="1672">
        <f>MIN(+N96+N111,N$88-O97)</f>
        <v>66.333333333333343</v>
      </c>
      <c r="O97" s="1673">
        <f>MIN(+O96+O111,O$88)</f>
        <v>7.166666666666659</v>
      </c>
      <c r="P97" s="6"/>
      <c r="Q97" s="1672">
        <f t="shared" ref="Q97:Q107" si="90">MIN(+Q96+Q111,Q$88-R97)</f>
        <v>1</v>
      </c>
      <c r="R97" s="1673">
        <f t="shared" ref="R97:R107" si="91">MIN(+R96+R111,R$88)</f>
        <v>1</v>
      </c>
      <c r="S97" s="1672">
        <f>MIN(+S96+S111,S$88-T97)</f>
        <v>6.8333333333333339</v>
      </c>
      <c r="T97" s="1673">
        <f>MIN(+T96+T111,T$88)</f>
        <v>1.1666666666666665</v>
      </c>
      <c r="U97" s="1672">
        <f>MIN(+U96+U111,U$88-V97)</f>
        <v>11.666666666666664</v>
      </c>
      <c r="V97" s="1673">
        <f>MIN(+V96+V111,V$88)</f>
        <v>1.9999999999999991</v>
      </c>
      <c r="W97" s="1672">
        <f>MIN(+W96+W111,W$88-X97)</f>
        <v>15.666666666666671</v>
      </c>
      <c r="X97" s="1673">
        <f>MIN(+X96+X111,X$88)</f>
        <v>2.1666666666666661</v>
      </c>
      <c r="Y97" s="1672">
        <f>MIN(+Y96+Y111,Y$88-Z97)</f>
        <v>19.333333333333329</v>
      </c>
      <c r="Z97" s="1673">
        <f>MIN(+Z96+Z111,Z$88)</f>
        <v>3.1666666666666679</v>
      </c>
      <c r="AA97" s="6"/>
      <c r="AB97" s="1672">
        <f t="shared" ref="AB97:AB107" si="92">MIN(+AB96+AB111,AB$88-AC97)</f>
        <v>0.33333333333333331</v>
      </c>
      <c r="AC97" s="1673">
        <f t="shared" ref="AC97:AC107" si="93">MIN(+AC96+AC111,AC$88)</f>
        <v>1</v>
      </c>
      <c r="AD97" s="1672">
        <f>MIN(+AD96+AD111,AD$88-AE97)</f>
        <v>2.5</v>
      </c>
      <c r="AE97" s="1673">
        <f>MIN(+AE96+AE111,AE$88)</f>
        <v>1</v>
      </c>
      <c r="AF97" s="1672">
        <f>MIN(+AF96+AF111,AF$88-AG97)</f>
        <v>5.1666666666666661</v>
      </c>
      <c r="AG97" s="1673">
        <f>MIN(+AG96+AG111,AG$88)</f>
        <v>1.1666666666666665</v>
      </c>
      <c r="AH97" s="1672">
        <f>MIN(+AH96+AH111,AH$88-AI97)</f>
        <v>6.1666666666666625</v>
      </c>
      <c r="AI97" s="1673">
        <f>MIN(+AI96+AI111,AI$88)</f>
        <v>1.9999999999999991</v>
      </c>
      <c r="AJ97" s="1672">
        <f>MIN(+AJ96+AJ111,AJ$88-AK97)</f>
        <v>7.166666666666659</v>
      </c>
      <c r="AK97" s="1673">
        <f>MIN(+AK96+AK111,AK$88)</f>
        <v>1.9999999999999991</v>
      </c>
      <c r="AL97" s="6"/>
      <c r="AM97" s="4"/>
    </row>
    <row r="98" spans="1:39">
      <c r="A98" s="4"/>
      <c r="B98" s="1678"/>
      <c r="C98" s="1974"/>
      <c r="D98" s="1671" t="str">
        <f>$D$19</f>
        <v>Month 3</v>
      </c>
      <c r="E98" s="1671"/>
      <c r="F98" s="1672">
        <f t="shared" si="88"/>
        <v>5.75</v>
      </c>
      <c r="G98" s="1673">
        <f t="shared" si="89"/>
        <v>1.5000000000000002</v>
      </c>
      <c r="H98" s="1672">
        <f t="shared" ref="H98:H107" si="94">MIN(+H97+H112,H$88-I98)</f>
        <v>27.500000000000004</v>
      </c>
      <c r="I98" s="1673">
        <f t="shared" ref="I98:I107" si="95">MIN(+I97+I112,I$88)</f>
        <v>3.4999999999999991</v>
      </c>
      <c r="J98" s="1672">
        <f t="shared" ref="J98:J107" si="96">MIN(+J97+J112,J$88-K98)</f>
        <v>44</v>
      </c>
      <c r="K98" s="1673">
        <f t="shared" ref="K98:K107" si="97">MIN(+K97+K112,K$88)</f>
        <v>5.2499999999999991</v>
      </c>
      <c r="L98" s="1672">
        <f t="shared" ref="L98:L107" si="98">MIN(+L97+L112,L$88-M98)</f>
        <v>56</v>
      </c>
      <c r="M98" s="1673">
        <f t="shared" ref="M98:M107" si="99">MIN(+M97+M112,M$88)</f>
        <v>6.2499999999999956</v>
      </c>
      <c r="N98" s="1672">
        <f t="shared" ref="N98:N107" si="100">MIN(+N97+N112,N$88-O98)</f>
        <v>67.000000000000014</v>
      </c>
      <c r="O98" s="1673">
        <f t="shared" ref="O98:O107" si="101">MIN(+O97+O112,O$88)</f>
        <v>7.249999999999992</v>
      </c>
      <c r="P98" s="6"/>
      <c r="Q98" s="1672">
        <f t="shared" si="90"/>
        <v>1.5</v>
      </c>
      <c r="R98" s="1673">
        <f t="shared" si="91"/>
        <v>1</v>
      </c>
      <c r="S98" s="1672">
        <f t="shared" ref="S98:S107" si="102">MIN(+S97+S112,S$88-T98)</f>
        <v>7.2500000000000009</v>
      </c>
      <c r="T98" s="1673">
        <f t="shared" ref="T98:T107" si="103">MIN(+T97+T112,T$88)</f>
        <v>1.2499999999999998</v>
      </c>
      <c r="U98" s="1672">
        <f t="shared" ref="U98:U107" si="104">MIN(+U97+U112,U$88-V98)</f>
        <v>11.999999999999998</v>
      </c>
      <c r="V98" s="1673">
        <f t="shared" ref="V98:V107" si="105">MIN(+V97+V112,V$88)</f>
        <v>1.9999999999999991</v>
      </c>
      <c r="W98" s="1672">
        <f t="shared" ref="W98:W107" si="106">MIN(+W97+W112,W$88-X98)</f>
        <v>16.000000000000004</v>
      </c>
      <c r="X98" s="1673">
        <f t="shared" ref="X98:X107" si="107">MIN(+X97+X112,X$88)</f>
        <v>2.2499999999999996</v>
      </c>
      <c r="Y98" s="1672">
        <f t="shared" ref="Y98:Y107" si="108">MIN(+Y97+Y112,Y$88-Z98)</f>
        <v>19.499999999999996</v>
      </c>
      <c r="Z98" s="1673">
        <f t="shared" ref="Z98:Z107" si="109">MIN(+Z97+Z112,Z$88)</f>
        <v>3.2500000000000013</v>
      </c>
      <c r="AA98" s="6"/>
      <c r="AB98" s="1672">
        <f t="shared" si="92"/>
        <v>0.5</v>
      </c>
      <c r="AC98" s="1673">
        <f t="shared" si="93"/>
        <v>1</v>
      </c>
      <c r="AD98" s="1672">
        <f t="shared" ref="AD98:AD107" si="110">MIN(+AD97+AD112,AD$88-AE98)</f>
        <v>2.75</v>
      </c>
      <c r="AE98" s="1673">
        <f t="shared" ref="AE98:AE107" si="111">MIN(+AE97+AE112,AE$88)</f>
        <v>1</v>
      </c>
      <c r="AF98" s="1672">
        <f t="shared" ref="AF98:AF107" si="112">MIN(+AF97+AF112,AF$88-AG98)</f>
        <v>5.2499999999999991</v>
      </c>
      <c r="AG98" s="1673">
        <f t="shared" ref="AG98:AG107" si="113">MIN(+AG97+AG112,AG$88)</f>
        <v>1.2499999999999998</v>
      </c>
      <c r="AH98" s="1672">
        <f t="shared" ref="AH98:AH107" si="114">MIN(+AH97+AH112,AH$88-AI98)</f>
        <v>6.2499999999999956</v>
      </c>
      <c r="AI98" s="1673">
        <f t="shared" ref="AI98:AI107" si="115">MIN(+AI97+AI112,AI$88)</f>
        <v>1.9999999999999991</v>
      </c>
      <c r="AJ98" s="1672">
        <f t="shared" ref="AJ98:AJ107" si="116">MIN(+AJ97+AJ112,AJ$88-AK98)</f>
        <v>7.249999999999992</v>
      </c>
      <c r="AK98" s="1673">
        <f t="shared" ref="AK98:AK107" si="117">MIN(+AK97+AK112,AK$88)</f>
        <v>1.9999999999999991</v>
      </c>
      <c r="AL98" s="6"/>
      <c r="AM98" s="4"/>
    </row>
    <row r="99" spans="1:39">
      <c r="A99" s="4"/>
      <c r="B99" s="1678"/>
      <c r="C99" s="1974"/>
      <c r="D99" s="1671" t="str">
        <f>$D$20</f>
        <v>Month 4</v>
      </c>
      <c r="E99" s="1671"/>
      <c r="F99" s="1672">
        <f t="shared" si="88"/>
        <v>7.666666666666667</v>
      </c>
      <c r="G99" s="1673">
        <f t="shared" si="89"/>
        <v>1.666666666666667</v>
      </c>
      <c r="H99" s="1672">
        <f t="shared" si="94"/>
        <v>29.000000000000004</v>
      </c>
      <c r="I99" s="1673">
        <f t="shared" si="95"/>
        <v>3.6666666666666656</v>
      </c>
      <c r="J99" s="1672">
        <f t="shared" si="96"/>
        <v>45</v>
      </c>
      <c r="K99" s="1673">
        <f t="shared" si="97"/>
        <v>5.3333333333333321</v>
      </c>
      <c r="L99" s="1672">
        <f t="shared" si="98"/>
        <v>57</v>
      </c>
      <c r="M99" s="1673">
        <f t="shared" si="99"/>
        <v>6.3333333333333286</v>
      </c>
      <c r="N99" s="1672">
        <f t="shared" si="100"/>
        <v>67.666666666666686</v>
      </c>
      <c r="O99" s="1673">
        <f t="shared" si="101"/>
        <v>7.333333333333325</v>
      </c>
      <c r="P99" s="6"/>
      <c r="Q99" s="1672">
        <f t="shared" si="90"/>
        <v>2</v>
      </c>
      <c r="R99" s="1673">
        <f t="shared" si="91"/>
        <v>1</v>
      </c>
      <c r="S99" s="1672">
        <f t="shared" si="102"/>
        <v>7.6666666666666679</v>
      </c>
      <c r="T99" s="1673">
        <f t="shared" si="103"/>
        <v>1.333333333333333</v>
      </c>
      <c r="U99" s="1672">
        <f t="shared" si="104"/>
        <v>12.333333333333332</v>
      </c>
      <c r="V99" s="1673">
        <f t="shared" si="105"/>
        <v>1.9999999999999991</v>
      </c>
      <c r="W99" s="1672">
        <f t="shared" si="106"/>
        <v>16.333333333333336</v>
      </c>
      <c r="X99" s="1673">
        <f t="shared" si="107"/>
        <v>2.333333333333333</v>
      </c>
      <c r="Y99" s="1672">
        <f t="shared" si="108"/>
        <v>19.666666666666664</v>
      </c>
      <c r="Z99" s="1673">
        <f t="shared" si="109"/>
        <v>3.3333333333333348</v>
      </c>
      <c r="AA99" s="6"/>
      <c r="AB99" s="1672">
        <f t="shared" si="92"/>
        <v>0.66666666666666663</v>
      </c>
      <c r="AC99" s="1673">
        <f t="shared" si="93"/>
        <v>1</v>
      </c>
      <c r="AD99" s="1672">
        <f t="shared" si="110"/>
        <v>3</v>
      </c>
      <c r="AE99" s="1673">
        <f t="shared" si="111"/>
        <v>1</v>
      </c>
      <c r="AF99" s="1672">
        <f t="shared" si="112"/>
        <v>5.3333333333333321</v>
      </c>
      <c r="AG99" s="1673">
        <f t="shared" si="113"/>
        <v>1.333333333333333</v>
      </c>
      <c r="AH99" s="1672">
        <f t="shared" si="114"/>
        <v>6.3333333333333286</v>
      </c>
      <c r="AI99" s="1673">
        <f t="shared" si="115"/>
        <v>1.9999999999999991</v>
      </c>
      <c r="AJ99" s="1672">
        <f t="shared" si="116"/>
        <v>7.333333333333325</v>
      </c>
      <c r="AK99" s="1673">
        <f t="shared" si="117"/>
        <v>1.9999999999999991</v>
      </c>
      <c r="AL99" s="6"/>
      <c r="AM99" s="4"/>
    </row>
    <row r="100" spans="1:39">
      <c r="A100" s="4"/>
      <c r="B100" s="1678"/>
      <c r="C100" s="1974"/>
      <c r="D100" s="1671" t="str">
        <f>$D$21</f>
        <v>Month 5</v>
      </c>
      <c r="E100" s="1671"/>
      <c r="F100" s="1672">
        <f t="shared" si="88"/>
        <v>9.5833333333333339</v>
      </c>
      <c r="G100" s="1673">
        <f t="shared" si="89"/>
        <v>1.8333333333333337</v>
      </c>
      <c r="H100" s="1672">
        <f t="shared" si="94"/>
        <v>30.500000000000004</v>
      </c>
      <c r="I100" s="1673">
        <f t="shared" si="95"/>
        <v>3.8333333333333321</v>
      </c>
      <c r="J100" s="1672">
        <f t="shared" si="96"/>
        <v>46</v>
      </c>
      <c r="K100" s="1673">
        <f t="shared" si="97"/>
        <v>5.4166666666666652</v>
      </c>
      <c r="L100" s="1672">
        <f t="shared" si="98"/>
        <v>58</v>
      </c>
      <c r="M100" s="1673">
        <f t="shared" si="99"/>
        <v>6.4166666666666616</v>
      </c>
      <c r="N100" s="1672">
        <f t="shared" si="100"/>
        <v>68.333333333333357</v>
      </c>
      <c r="O100" s="1673">
        <f t="shared" si="101"/>
        <v>7.4166666666666581</v>
      </c>
      <c r="P100" s="6"/>
      <c r="Q100" s="1672">
        <f t="shared" si="90"/>
        <v>2.5</v>
      </c>
      <c r="R100" s="1673">
        <f t="shared" si="91"/>
        <v>1</v>
      </c>
      <c r="S100" s="1672">
        <f t="shared" si="102"/>
        <v>8.0833333333333339</v>
      </c>
      <c r="T100" s="1673">
        <f t="shared" si="103"/>
        <v>1.4166666666666663</v>
      </c>
      <c r="U100" s="1672">
        <f t="shared" si="104"/>
        <v>12.666666666666666</v>
      </c>
      <c r="V100" s="1673">
        <f t="shared" si="105"/>
        <v>1.9999999999999991</v>
      </c>
      <c r="W100" s="1672">
        <f t="shared" si="106"/>
        <v>16.666666666666668</v>
      </c>
      <c r="X100" s="1673">
        <f t="shared" si="107"/>
        <v>2.4166666666666665</v>
      </c>
      <c r="Y100" s="1672">
        <f t="shared" si="108"/>
        <v>19.833333333333332</v>
      </c>
      <c r="Z100" s="1673">
        <f t="shared" si="109"/>
        <v>3.4166666666666683</v>
      </c>
      <c r="AA100" s="6"/>
      <c r="AB100" s="1672">
        <f t="shared" si="92"/>
        <v>0.83333333333333326</v>
      </c>
      <c r="AC100" s="1673">
        <f t="shared" si="93"/>
        <v>1</v>
      </c>
      <c r="AD100" s="1672">
        <f t="shared" si="110"/>
        <v>3.25</v>
      </c>
      <c r="AE100" s="1673">
        <f t="shared" si="111"/>
        <v>1</v>
      </c>
      <c r="AF100" s="1672">
        <f t="shared" si="112"/>
        <v>5.4166666666666652</v>
      </c>
      <c r="AG100" s="1673">
        <f t="shared" si="113"/>
        <v>1.4166666666666663</v>
      </c>
      <c r="AH100" s="1672">
        <f t="shared" si="114"/>
        <v>6.4166666666666616</v>
      </c>
      <c r="AI100" s="1673">
        <f t="shared" si="115"/>
        <v>1.9999999999999991</v>
      </c>
      <c r="AJ100" s="1672">
        <f t="shared" si="116"/>
        <v>7.4166666666666581</v>
      </c>
      <c r="AK100" s="1673">
        <f t="shared" si="117"/>
        <v>1.9999999999999991</v>
      </c>
      <c r="AL100" s="6"/>
      <c r="AM100" s="4"/>
    </row>
    <row r="101" spans="1:39">
      <c r="A101" s="4"/>
      <c r="B101" s="1678"/>
      <c r="C101" s="1974"/>
      <c r="D101" s="1671" t="str">
        <f>$D$22</f>
        <v>Month 6</v>
      </c>
      <c r="E101" s="1671"/>
      <c r="F101" s="1672">
        <f t="shared" si="88"/>
        <v>11.5</v>
      </c>
      <c r="G101" s="1673">
        <f t="shared" si="89"/>
        <v>2.0000000000000004</v>
      </c>
      <c r="H101" s="1672">
        <f t="shared" si="94"/>
        <v>32</v>
      </c>
      <c r="I101" s="1673">
        <f t="shared" si="95"/>
        <v>3.9999999999999987</v>
      </c>
      <c r="J101" s="1672">
        <f t="shared" si="96"/>
        <v>47</v>
      </c>
      <c r="K101" s="1673">
        <f t="shared" si="97"/>
        <v>5.4999999999999982</v>
      </c>
      <c r="L101" s="1672">
        <f t="shared" si="98"/>
        <v>59</v>
      </c>
      <c r="M101" s="1673">
        <f t="shared" si="99"/>
        <v>6.4999999999999947</v>
      </c>
      <c r="N101" s="1672">
        <f t="shared" si="100"/>
        <v>69.000000000000028</v>
      </c>
      <c r="O101" s="1673">
        <f t="shared" si="101"/>
        <v>7.4999999999999911</v>
      </c>
      <c r="P101" s="6"/>
      <c r="Q101" s="1672">
        <f t="shared" si="90"/>
        <v>3</v>
      </c>
      <c r="R101" s="1673">
        <f t="shared" si="91"/>
        <v>1</v>
      </c>
      <c r="S101" s="1672">
        <f t="shared" si="102"/>
        <v>8.5</v>
      </c>
      <c r="T101" s="1673">
        <f t="shared" si="103"/>
        <v>1.4999999999999996</v>
      </c>
      <c r="U101" s="1672">
        <f t="shared" si="104"/>
        <v>13</v>
      </c>
      <c r="V101" s="1673">
        <f t="shared" si="105"/>
        <v>1.9999999999999991</v>
      </c>
      <c r="W101" s="1672">
        <f t="shared" si="106"/>
        <v>17</v>
      </c>
      <c r="X101" s="1673">
        <f t="shared" si="107"/>
        <v>2.5</v>
      </c>
      <c r="Y101" s="1672">
        <f t="shared" si="108"/>
        <v>20</v>
      </c>
      <c r="Z101" s="1673">
        <f t="shared" si="109"/>
        <v>3.5000000000000018</v>
      </c>
      <c r="AA101" s="6"/>
      <c r="AB101" s="1672">
        <f t="shared" si="92"/>
        <v>0.99999999999999989</v>
      </c>
      <c r="AC101" s="1673">
        <f t="shared" si="93"/>
        <v>1</v>
      </c>
      <c r="AD101" s="1672">
        <f t="shared" si="110"/>
        <v>3.5</v>
      </c>
      <c r="AE101" s="1673">
        <f t="shared" si="111"/>
        <v>1</v>
      </c>
      <c r="AF101" s="1672">
        <f t="shared" si="112"/>
        <v>5.4999999999999982</v>
      </c>
      <c r="AG101" s="1673">
        <f t="shared" si="113"/>
        <v>1.4999999999999996</v>
      </c>
      <c r="AH101" s="1672">
        <f t="shared" si="114"/>
        <v>6.4999999999999947</v>
      </c>
      <c r="AI101" s="1673">
        <f t="shared" si="115"/>
        <v>1.9999999999999991</v>
      </c>
      <c r="AJ101" s="1672">
        <f t="shared" si="116"/>
        <v>7.4999999999999911</v>
      </c>
      <c r="AK101" s="1673">
        <f t="shared" si="117"/>
        <v>1.9999999999999991</v>
      </c>
      <c r="AL101" s="6"/>
      <c r="AM101" s="4"/>
    </row>
    <row r="102" spans="1:39">
      <c r="A102" s="4"/>
      <c r="B102" s="1678"/>
      <c r="C102" s="1974"/>
      <c r="D102" s="1671" t="str">
        <f>$D$23</f>
        <v>Month 7</v>
      </c>
      <c r="E102" s="1671"/>
      <c r="F102" s="1672">
        <f t="shared" si="88"/>
        <v>13.416666666666666</v>
      </c>
      <c r="G102" s="1673">
        <f t="shared" si="89"/>
        <v>2.166666666666667</v>
      </c>
      <c r="H102" s="1672">
        <f t="shared" si="94"/>
        <v>33.5</v>
      </c>
      <c r="I102" s="1673">
        <f t="shared" si="95"/>
        <v>4.1666666666666652</v>
      </c>
      <c r="J102" s="1672">
        <f t="shared" si="96"/>
        <v>48</v>
      </c>
      <c r="K102" s="1673">
        <f t="shared" si="97"/>
        <v>5.5833333333333313</v>
      </c>
      <c r="L102" s="1672">
        <f t="shared" si="98"/>
        <v>60</v>
      </c>
      <c r="M102" s="1673">
        <f t="shared" si="99"/>
        <v>6.5833333333333277</v>
      </c>
      <c r="N102" s="1672">
        <f t="shared" si="100"/>
        <v>69.6666666666667</v>
      </c>
      <c r="O102" s="1673">
        <f t="shared" si="101"/>
        <v>7.5833333333333242</v>
      </c>
      <c r="P102" s="6"/>
      <c r="Q102" s="1672">
        <f t="shared" si="90"/>
        <v>3.5</v>
      </c>
      <c r="R102" s="1673">
        <f t="shared" si="91"/>
        <v>1</v>
      </c>
      <c r="S102" s="1672">
        <f t="shared" si="102"/>
        <v>8.9166666666666661</v>
      </c>
      <c r="T102" s="1673">
        <f t="shared" si="103"/>
        <v>1.5833333333333328</v>
      </c>
      <c r="U102" s="1672">
        <f t="shared" si="104"/>
        <v>13.333333333333334</v>
      </c>
      <c r="V102" s="1673">
        <f t="shared" si="105"/>
        <v>1.9999999999999991</v>
      </c>
      <c r="W102" s="1672">
        <f t="shared" si="106"/>
        <v>17.333333333333332</v>
      </c>
      <c r="X102" s="1673">
        <f t="shared" si="107"/>
        <v>2.5833333333333335</v>
      </c>
      <c r="Y102" s="1672">
        <f t="shared" si="108"/>
        <v>20.166666666666668</v>
      </c>
      <c r="Z102" s="1673">
        <f t="shared" si="109"/>
        <v>3.5833333333333353</v>
      </c>
      <c r="AA102" s="6"/>
      <c r="AB102" s="1672">
        <f t="shared" si="92"/>
        <v>1.1666666666666665</v>
      </c>
      <c r="AC102" s="1673">
        <f t="shared" si="93"/>
        <v>1</v>
      </c>
      <c r="AD102" s="1672">
        <f t="shared" si="110"/>
        <v>3.75</v>
      </c>
      <c r="AE102" s="1673">
        <f t="shared" si="111"/>
        <v>1</v>
      </c>
      <c r="AF102" s="1672">
        <f t="shared" si="112"/>
        <v>5.5833333333333313</v>
      </c>
      <c r="AG102" s="1673">
        <f t="shared" si="113"/>
        <v>1.5833333333333328</v>
      </c>
      <c r="AH102" s="1672">
        <f t="shared" si="114"/>
        <v>6.5833333333333277</v>
      </c>
      <c r="AI102" s="1673">
        <f t="shared" si="115"/>
        <v>1.9999999999999991</v>
      </c>
      <c r="AJ102" s="1672">
        <f t="shared" si="116"/>
        <v>7.5833333333333242</v>
      </c>
      <c r="AK102" s="1673">
        <f t="shared" si="117"/>
        <v>1.9999999999999991</v>
      </c>
      <c r="AL102" s="6"/>
      <c r="AM102" s="4"/>
    </row>
    <row r="103" spans="1:39">
      <c r="A103" s="4"/>
      <c r="B103" s="1678"/>
      <c r="C103" s="1974"/>
      <c r="D103" s="1671" t="str">
        <f>$D$24</f>
        <v>Month 8</v>
      </c>
      <c r="E103" s="1671"/>
      <c r="F103" s="1672">
        <f t="shared" si="88"/>
        <v>15.333333333333332</v>
      </c>
      <c r="G103" s="1673">
        <f t="shared" si="89"/>
        <v>2.3333333333333335</v>
      </c>
      <c r="H103" s="1672">
        <f t="shared" si="94"/>
        <v>35</v>
      </c>
      <c r="I103" s="1673">
        <f t="shared" si="95"/>
        <v>4.3333333333333321</v>
      </c>
      <c r="J103" s="1672">
        <f t="shared" si="96"/>
        <v>49</v>
      </c>
      <c r="K103" s="1673">
        <f t="shared" si="97"/>
        <v>5.6666666666666643</v>
      </c>
      <c r="L103" s="1672">
        <f t="shared" si="98"/>
        <v>61</v>
      </c>
      <c r="M103" s="1673">
        <f t="shared" si="99"/>
        <v>6.6666666666666607</v>
      </c>
      <c r="N103" s="1672">
        <f t="shared" si="100"/>
        <v>70.333333333333371</v>
      </c>
      <c r="O103" s="1673">
        <f t="shared" si="101"/>
        <v>7.6666666666666572</v>
      </c>
      <c r="P103" s="6"/>
      <c r="Q103" s="1672">
        <f t="shared" si="90"/>
        <v>4</v>
      </c>
      <c r="R103" s="1673">
        <f t="shared" si="91"/>
        <v>1</v>
      </c>
      <c r="S103" s="1672">
        <f t="shared" si="102"/>
        <v>9.3333333333333321</v>
      </c>
      <c r="T103" s="1673">
        <f t="shared" si="103"/>
        <v>1.6666666666666661</v>
      </c>
      <c r="U103" s="1672">
        <f t="shared" si="104"/>
        <v>13.666666666666668</v>
      </c>
      <c r="V103" s="1673">
        <f t="shared" si="105"/>
        <v>1.9999999999999991</v>
      </c>
      <c r="W103" s="1672">
        <f t="shared" si="106"/>
        <v>17.666666666666664</v>
      </c>
      <c r="X103" s="1673">
        <f t="shared" si="107"/>
        <v>2.666666666666667</v>
      </c>
      <c r="Y103" s="1672">
        <f t="shared" si="108"/>
        <v>20.333333333333336</v>
      </c>
      <c r="Z103" s="1673">
        <f t="shared" si="109"/>
        <v>3.6666666666666687</v>
      </c>
      <c r="AA103" s="6"/>
      <c r="AB103" s="1672">
        <f t="shared" si="92"/>
        <v>1.3333333333333333</v>
      </c>
      <c r="AC103" s="1673">
        <f t="shared" si="93"/>
        <v>1</v>
      </c>
      <c r="AD103" s="1672">
        <f t="shared" si="110"/>
        <v>4</v>
      </c>
      <c r="AE103" s="1673">
        <f t="shared" si="111"/>
        <v>1</v>
      </c>
      <c r="AF103" s="1672">
        <f t="shared" si="112"/>
        <v>5.6666666666666643</v>
      </c>
      <c r="AG103" s="1673">
        <f t="shared" si="113"/>
        <v>1.6666666666666661</v>
      </c>
      <c r="AH103" s="1672">
        <f t="shared" si="114"/>
        <v>6.6666666666666607</v>
      </c>
      <c r="AI103" s="1673">
        <f t="shared" si="115"/>
        <v>1.9999999999999991</v>
      </c>
      <c r="AJ103" s="1672">
        <f t="shared" si="116"/>
        <v>7.6666666666666572</v>
      </c>
      <c r="AK103" s="1673">
        <f t="shared" si="117"/>
        <v>1.9999999999999991</v>
      </c>
      <c r="AL103" s="6"/>
      <c r="AM103" s="4"/>
    </row>
    <row r="104" spans="1:39">
      <c r="A104" s="4"/>
      <c r="B104" s="1678"/>
      <c r="C104" s="1974"/>
      <c r="D104" s="1671" t="str">
        <f>$D$25</f>
        <v>Month 9</v>
      </c>
      <c r="E104" s="1671"/>
      <c r="F104" s="1672">
        <f t="shared" si="88"/>
        <v>17.25</v>
      </c>
      <c r="G104" s="1673">
        <f t="shared" si="89"/>
        <v>2.5</v>
      </c>
      <c r="H104" s="1672">
        <f t="shared" si="94"/>
        <v>36.5</v>
      </c>
      <c r="I104" s="1673">
        <f t="shared" si="95"/>
        <v>4.4999999999999991</v>
      </c>
      <c r="J104" s="1672">
        <f t="shared" si="96"/>
        <v>50</v>
      </c>
      <c r="K104" s="1673">
        <f t="shared" si="97"/>
        <v>5.7499999999999973</v>
      </c>
      <c r="L104" s="1672">
        <f t="shared" si="98"/>
        <v>62</v>
      </c>
      <c r="M104" s="1673">
        <f t="shared" si="99"/>
        <v>6.7499999999999938</v>
      </c>
      <c r="N104" s="1672">
        <f t="shared" si="100"/>
        <v>71.000000000000043</v>
      </c>
      <c r="O104" s="1673">
        <f t="shared" si="101"/>
        <v>7.7499999999999902</v>
      </c>
      <c r="P104" s="6"/>
      <c r="Q104" s="1672">
        <f t="shared" si="90"/>
        <v>4.5</v>
      </c>
      <c r="R104" s="1673">
        <f t="shared" si="91"/>
        <v>1</v>
      </c>
      <c r="S104" s="1672">
        <f t="shared" si="102"/>
        <v>9.7499999999999982</v>
      </c>
      <c r="T104" s="1673">
        <f t="shared" si="103"/>
        <v>1.7499999999999993</v>
      </c>
      <c r="U104" s="1672">
        <f t="shared" si="104"/>
        <v>14.000000000000002</v>
      </c>
      <c r="V104" s="1673">
        <f t="shared" si="105"/>
        <v>1.9999999999999991</v>
      </c>
      <c r="W104" s="1672">
        <f t="shared" si="106"/>
        <v>17.999999999999996</v>
      </c>
      <c r="X104" s="1673">
        <f t="shared" si="107"/>
        <v>2.7500000000000004</v>
      </c>
      <c r="Y104" s="1672">
        <f t="shared" si="108"/>
        <v>20.500000000000004</v>
      </c>
      <c r="Z104" s="1673">
        <f t="shared" si="109"/>
        <v>3.7500000000000022</v>
      </c>
      <c r="AA104" s="6"/>
      <c r="AB104" s="1672">
        <f t="shared" si="92"/>
        <v>1.5</v>
      </c>
      <c r="AC104" s="1673">
        <f t="shared" si="93"/>
        <v>1</v>
      </c>
      <c r="AD104" s="1672">
        <f t="shared" si="110"/>
        <v>4.25</v>
      </c>
      <c r="AE104" s="1673">
        <f t="shared" si="111"/>
        <v>1</v>
      </c>
      <c r="AF104" s="1672">
        <f t="shared" si="112"/>
        <v>5.7499999999999973</v>
      </c>
      <c r="AG104" s="1673">
        <f t="shared" si="113"/>
        <v>1.7499999999999993</v>
      </c>
      <c r="AH104" s="1672">
        <f t="shared" si="114"/>
        <v>6.7499999999999938</v>
      </c>
      <c r="AI104" s="1673">
        <f t="shared" si="115"/>
        <v>1.9999999999999991</v>
      </c>
      <c r="AJ104" s="1672">
        <f t="shared" si="116"/>
        <v>7.7499999999999902</v>
      </c>
      <c r="AK104" s="1673">
        <f t="shared" si="117"/>
        <v>1.9999999999999991</v>
      </c>
      <c r="AL104" s="6"/>
      <c r="AM104" s="4"/>
    </row>
    <row r="105" spans="1:39">
      <c r="A105" s="4"/>
      <c r="B105" s="1678"/>
      <c r="C105" s="1974"/>
      <c r="D105" s="1671" t="str">
        <f>$D$26</f>
        <v>Month 10</v>
      </c>
      <c r="E105" s="1671"/>
      <c r="F105" s="1672">
        <f t="shared" si="88"/>
        <v>19.166666666666668</v>
      </c>
      <c r="G105" s="1673">
        <f t="shared" si="89"/>
        <v>2.6666666666666665</v>
      </c>
      <c r="H105" s="1672">
        <f t="shared" si="94"/>
        <v>38</v>
      </c>
      <c r="I105" s="1673">
        <f t="shared" si="95"/>
        <v>4.6666666666666661</v>
      </c>
      <c r="J105" s="1672">
        <f t="shared" si="96"/>
        <v>51</v>
      </c>
      <c r="K105" s="1673">
        <f t="shared" si="97"/>
        <v>5.8333333333333304</v>
      </c>
      <c r="L105" s="1672">
        <f t="shared" si="98"/>
        <v>63</v>
      </c>
      <c r="M105" s="1673">
        <f t="shared" si="99"/>
        <v>6.8333333333333268</v>
      </c>
      <c r="N105" s="1672">
        <f t="shared" si="100"/>
        <v>71.666666666666714</v>
      </c>
      <c r="O105" s="1673">
        <f t="shared" si="101"/>
        <v>7.8333333333333233</v>
      </c>
      <c r="P105" s="6"/>
      <c r="Q105" s="1672">
        <f t="shared" si="90"/>
        <v>5</v>
      </c>
      <c r="R105" s="1673">
        <f t="shared" si="91"/>
        <v>1</v>
      </c>
      <c r="S105" s="1672">
        <f t="shared" si="102"/>
        <v>10.166666666666664</v>
      </c>
      <c r="T105" s="1673">
        <f t="shared" si="103"/>
        <v>1.8333333333333326</v>
      </c>
      <c r="U105" s="1672">
        <f t="shared" si="104"/>
        <v>14.333333333333336</v>
      </c>
      <c r="V105" s="1673">
        <f t="shared" si="105"/>
        <v>1.9999999999999991</v>
      </c>
      <c r="W105" s="1672">
        <f t="shared" si="106"/>
        <v>18.333333333333329</v>
      </c>
      <c r="X105" s="1673">
        <f t="shared" si="107"/>
        <v>2.8333333333333339</v>
      </c>
      <c r="Y105" s="1672">
        <f t="shared" si="108"/>
        <v>20.666666666666671</v>
      </c>
      <c r="Z105" s="1673">
        <f t="shared" si="109"/>
        <v>3.8333333333333357</v>
      </c>
      <c r="AA105" s="6"/>
      <c r="AB105" s="1672">
        <f t="shared" si="92"/>
        <v>1.6666666666666667</v>
      </c>
      <c r="AC105" s="1673">
        <f t="shared" si="93"/>
        <v>1</v>
      </c>
      <c r="AD105" s="1672">
        <f t="shared" si="110"/>
        <v>4.5</v>
      </c>
      <c r="AE105" s="1673">
        <f t="shared" si="111"/>
        <v>1</v>
      </c>
      <c r="AF105" s="1672">
        <f t="shared" si="112"/>
        <v>5.8333333333333304</v>
      </c>
      <c r="AG105" s="1673">
        <f t="shared" si="113"/>
        <v>1.8333333333333326</v>
      </c>
      <c r="AH105" s="1672">
        <f t="shared" si="114"/>
        <v>6.8333333333333268</v>
      </c>
      <c r="AI105" s="1673">
        <f t="shared" si="115"/>
        <v>1.9999999999999991</v>
      </c>
      <c r="AJ105" s="1672">
        <f t="shared" si="116"/>
        <v>7.8333333333333233</v>
      </c>
      <c r="AK105" s="1673">
        <f t="shared" si="117"/>
        <v>1.9999999999999991</v>
      </c>
      <c r="AL105" s="6"/>
      <c r="AM105" s="4"/>
    </row>
    <row r="106" spans="1:39">
      <c r="A106" s="4"/>
      <c r="B106" s="1678"/>
      <c r="C106" s="1974"/>
      <c r="D106" s="1671" t="str">
        <f>$D$27</f>
        <v>Month 11</v>
      </c>
      <c r="E106" s="1671"/>
      <c r="F106" s="1672">
        <f t="shared" si="88"/>
        <v>21.083333333333336</v>
      </c>
      <c r="G106" s="1673">
        <f t="shared" si="89"/>
        <v>2.833333333333333</v>
      </c>
      <c r="H106" s="1672">
        <f t="shared" si="94"/>
        <v>39.5</v>
      </c>
      <c r="I106" s="1673">
        <f t="shared" si="95"/>
        <v>4.833333333333333</v>
      </c>
      <c r="J106" s="1672">
        <f t="shared" si="96"/>
        <v>52</v>
      </c>
      <c r="K106" s="1673">
        <f t="shared" si="97"/>
        <v>5.9166666666666634</v>
      </c>
      <c r="L106" s="1672">
        <f t="shared" si="98"/>
        <v>64</v>
      </c>
      <c r="M106" s="1673">
        <f t="shared" si="99"/>
        <v>6.9166666666666599</v>
      </c>
      <c r="N106" s="1672">
        <f t="shared" si="100"/>
        <v>72.333333333333385</v>
      </c>
      <c r="O106" s="1673">
        <f t="shared" si="101"/>
        <v>7.9166666666666563</v>
      </c>
      <c r="P106" s="6"/>
      <c r="Q106" s="1672">
        <f t="shared" si="90"/>
        <v>5.5</v>
      </c>
      <c r="R106" s="1673">
        <f t="shared" si="91"/>
        <v>1</v>
      </c>
      <c r="S106" s="1672">
        <f t="shared" si="102"/>
        <v>10.58333333333333</v>
      </c>
      <c r="T106" s="1673">
        <f t="shared" si="103"/>
        <v>1.9166666666666659</v>
      </c>
      <c r="U106" s="1672">
        <f t="shared" si="104"/>
        <v>14.66666666666667</v>
      </c>
      <c r="V106" s="1673">
        <f t="shared" si="105"/>
        <v>1.9999999999999991</v>
      </c>
      <c r="W106" s="1672">
        <f t="shared" si="106"/>
        <v>18.666666666666661</v>
      </c>
      <c r="X106" s="1673">
        <f t="shared" si="107"/>
        <v>2.9166666666666674</v>
      </c>
      <c r="Y106" s="1672">
        <f t="shared" si="108"/>
        <v>20.833333333333339</v>
      </c>
      <c r="Z106" s="1673">
        <f t="shared" si="109"/>
        <v>3.9166666666666692</v>
      </c>
      <c r="AA106" s="6"/>
      <c r="AB106" s="1672">
        <f t="shared" si="92"/>
        <v>1.8333333333333335</v>
      </c>
      <c r="AC106" s="1673">
        <f t="shared" si="93"/>
        <v>1</v>
      </c>
      <c r="AD106" s="1672">
        <f t="shared" si="110"/>
        <v>4.75</v>
      </c>
      <c r="AE106" s="1673">
        <f t="shared" si="111"/>
        <v>1</v>
      </c>
      <c r="AF106" s="1672">
        <f t="shared" si="112"/>
        <v>5.9166666666666634</v>
      </c>
      <c r="AG106" s="1673">
        <f t="shared" si="113"/>
        <v>1.9166666666666659</v>
      </c>
      <c r="AH106" s="1672">
        <f t="shared" si="114"/>
        <v>6.9166666666666599</v>
      </c>
      <c r="AI106" s="1673">
        <f t="shared" si="115"/>
        <v>1.9999999999999991</v>
      </c>
      <c r="AJ106" s="1672">
        <f t="shared" si="116"/>
        <v>7.9166666666666563</v>
      </c>
      <c r="AK106" s="1673">
        <f t="shared" si="117"/>
        <v>1.9999999999999991</v>
      </c>
      <c r="AL106" s="6"/>
      <c r="AM106" s="4"/>
    </row>
    <row r="107" spans="1:39">
      <c r="A107" s="4"/>
      <c r="B107" s="1678"/>
      <c r="C107" s="1974"/>
      <c r="D107" s="1671" t="str">
        <f>$D$28</f>
        <v>Month 12</v>
      </c>
      <c r="E107" s="1671"/>
      <c r="F107" s="1672">
        <f t="shared" si="88"/>
        <v>23.000000000000004</v>
      </c>
      <c r="G107" s="1673">
        <f t="shared" si="89"/>
        <v>2.9999999999999996</v>
      </c>
      <c r="H107" s="1672">
        <f t="shared" si="94"/>
        <v>41</v>
      </c>
      <c r="I107" s="1673">
        <f t="shared" si="95"/>
        <v>5</v>
      </c>
      <c r="J107" s="1672">
        <f t="shared" si="96"/>
        <v>53</v>
      </c>
      <c r="K107" s="1673">
        <f t="shared" si="97"/>
        <v>5.9999999999999964</v>
      </c>
      <c r="L107" s="1672">
        <f t="shared" si="98"/>
        <v>65</v>
      </c>
      <c r="M107" s="1673">
        <f t="shared" si="99"/>
        <v>6.9999999999999929</v>
      </c>
      <c r="N107" s="1672">
        <f t="shared" si="100"/>
        <v>73.000000000000057</v>
      </c>
      <c r="O107" s="1673">
        <f t="shared" si="101"/>
        <v>7.9999999999999893</v>
      </c>
      <c r="P107" s="6"/>
      <c r="Q107" s="1672">
        <f t="shared" si="90"/>
        <v>6</v>
      </c>
      <c r="R107" s="1673">
        <f t="shared" si="91"/>
        <v>1</v>
      </c>
      <c r="S107" s="1672">
        <f t="shared" si="102"/>
        <v>10.999999999999996</v>
      </c>
      <c r="T107" s="1673">
        <f t="shared" si="103"/>
        <v>1.9999999999999991</v>
      </c>
      <c r="U107" s="1672">
        <f t="shared" si="104"/>
        <v>15.000000000000004</v>
      </c>
      <c r="V107" s="1673">
        <f t="shared" si="105"/>
        <v>1.9999999999999991</v>
      </c>
      <c r="W107" s="1672">
        <f t="shared" si="106"/>
        <v>18.999999999999993</v>
      </c>
      <c r="X107" s="1673">
        <f t="shared" si="107"/>
        <v>3.0000000000000009</v>
      </c>
      <c r="Y107" s="1672">
        <f t="shared" si="108"/>
        <v>21.000000000000007</v>
      </c>
      <c r="Z107" s="1673">
        <f t="shared" si="109"/>
        <v>4.0000000000000027</v>
      </c>
      <c r="AA107" s="6"/>
      <c r="AB107" s="1672">
        <f t="shared" si="92"/>
        <v>2</v>
      </c>
      <c r="AC107" s="1673">
        <f t="shared" si="93"/>
        <v>1</v>
      </c>
      <c r="AD107" s="1672">
        <f t="shared" si="110"/>
        <v>5</v>
      </c>
      <c r="AE107" s="1673">
        <f t="shared" si="111"/>
        <v>1</v>
      </c>
      <c r="AF107" s="1672">
        <f t="shared" si="112"/>
        <v>5.9999999999999964</v>
      </c>
      <c r="AG107" s="1673">
        <f t="shared" si="113"/>
        <v>1.9999999999999991</v>
      </c>
      <c r="AH107" s="1672">
        <f t="shared" si="114"/>
        <v>6.9999999999999929</v>
      </c>
      <c r="AI107" s="1673">
        <f t="shared" si="115"/>
        <v>1.9999999999999991</v>
      </c>
      <c r="AJ107" s="1672">
        <f t="shared" si="116"/>
        <v>7.9999999999999893</v>
      </c>
      <c r="AK107" s="1673">
        <f t="shared" si="117"/>
        <v>1.9999999999999991</v>
      </c>
      <c r="AL107" s="6"/>
      <c r="AM107" s="4"/>
    </row>
    <row r="108" spans="1:39">
      <c r="A108" s="4"/>
      <c r="B108" s="1678"/>
      <c r="C108" s="1990"/>
      <c r="D108" s="1991"/>
      <c r="E108" s="1971" t="s">
        <v>726</v>
      </c>
      <c r="F108" s="2010">
        <f t="shared" ref="F108:O108" si="118">AVERAGE(F96:F107)</f>
        <v>12.458333333333334</v>
      </c>
      <c r="G108" s="2011">
        <f t="shared" si="118"/>
        <v>2.0833333333333335</v>
      </c>
      <c r="H108" s="2010">
        <f t="shared" si="118"/>
        <v>32.75</v>
      </c>
      <c r="I108" s="2011">
        <f t="shared" si="118"/>
        <v>4.0833333333333321</v>
      </c>
      <c r="J108" s="2010">
        <f t="shared" si="118"/>
        <v>47.5</v>
      </c>
      <c r="K108" s="2011">
        <f t="shared" si="118"/>
        <v>5.5416666666666643</v>
      </c>
      <c r="L108" s="2010">
        <f t="shared" si="118"/>
        <v>59.5</v>
      </c>
      <c r="M108" s="2011">
        <f t="shared" si="118"/>
        <v>6.5416666666666599</v>
      </c>
      <c r="N108" s="2010">
        <f t="shared" si="118"/>
        <v>69.333333333333371</v>
      </c>
      <c r="O108" s="2011">
        <f t="shared" si="118"/>
        <v>7.5416666666666581</v>
      </c>
      <c r="P108" s="1991"/>
      <c r="Q108" s="2010">
        <f t="shared" ref="Q108:Z108" si="119">AVERAGE(Q96:Q107)</f>
        <v>3.25</v>
      </c>
      <c r="R108" s="2011">
        <f t="shared" si="119"/>
        <v>1</v>
      </c>
      <c r="S108" s="2010">
        <f t="shared" si="119"/>
        <v>8.7083333333333321</v>
      </c>
      <c r="T108" s="2011">
        <f t="shared" si="119"/>
        <v>1.5416666666666661</v>
      </c>
      <c r="U108" s="2010">
        <f t="shared" si="119"/>
        <v>13.166666666666666</v>
      </c>
      <c r="V108" s="2011">
        <f t="shared" si="119"/>
        <v>1.9999999999999998</v>
      </c>
      <c r="W108" s="2010">
        <f t="shared" si="119"/>
        <v>17.166666666666664</v>
      </c>
      <c r="X108" s="2011">
        <f t="shared" si="119"/>
        <v>2.541666666666667</v>
      </c>
      <c r="Y108" s="2010">
        <f t="shared" si="119"/>
        <v>20.083333333333336</v>
      </c>
      <c r="Z108" s="2011">
        <f t="shared" si="119"/>
        <v>3.5416666666666683</v>
      </c>
      <c r="AA108" s="1678"/>
      <c r="AB108" s="2010">
        <f t="shared" ref="AB108:AK108" si="120">AVERAGE(AB96:AB107)</f>
        <v>1.0833333333333333</v>
      </c>
      <c r="AC108" s="2011">
        <f t="shared" si="120"/>
        <v>1</v>
      </c>
      <c r="AD108" s="2010">
        <f t="shared" si="120"/>
        <v>3.625</v>
      </c>
      <c r="AE108" s="2011">
        <f t="shared" si="120"/>
        <v>1</v>
      </c>
      <c r="AF108" s="2010">
        <f t="shared" si="120"/>
        <v>5.5416666666666643</v>
      </c>
      <c r="AG108" s="2011">
        <f t="shared" si="120"/>
        <v>1.5416666666666661</v>
      </c>
      <c r="AH108" s="2010">
        <f t="shared" si="120"/>
        <v>6.5416666666666599</v>
      </c>
      <c r="AI108" s="2011">
        <f t="shared" si="120"/>
        <v>1.9999999999999998</v>
      </c>
      <c r="AJ108" s="2010">
        <f t="shared" si="120"/>
        <v>7.5416666666666581</v>
      </c>
      <c r="AK108" s="2011">
        <f t="shared" si="120"/>
        <v>1.9999999999999998</v>
      </c>
      <c r="AL108" s="1678"/>
      <c r="AM108" s="4"/>
    </row>
    <row r="109" spans="1:39">
      <c r="A109" s="4"/>
      <c r="B109" s="1678"/>
      <c r="C109" s="1974" t="s">
        <v>3665</v>
      </c>
      <c r="D109" s="1975"/>
      <c r="E109" s="2001"/>
      <c r="F109" s="2002"/>
      <c r="G109" s="2003"/>
      <c r="H109" s="2002"/>
      <c r="I109" s="2003"/>
      <c r="J109" s="2002"/>
      <c r="K109" s="2003"/>
      <c r="L109" s="2002"/>
      <c r="M109" s="2003"/>
      <c r="N109" s="2002"/>
      <c r="O109" s="2004"/>
      <c r="P109" s="1576"/>
      <c r="Q109" s="2002"/>
      <c r="R109" s="2003"/>
      <c r="S109" s="2002"/>
      <c r="T109" s="2003"/>
      <c r="U109" s="2002"/>
      <c r="V109" s="2003"/>
      <c r="W109" s="2002"/>
      <c r="X109" s="2003"/>
      <c r="Y109" s="2002"/>
      <c r="Z109" s="2004"/>
      <c r="AA109" s="2005"/>
      <c r="AB109" s="2002"/>
      <c r="AC109" s="2003"/>
      <c r="AD109" s="2002"/>
      <c r="AE109" s="2003"/>
      <c r="AF109" s="2002"/>
      <c r="AG109" s="2003"/>
      <c r="AH109" s="2002"/>
      <c r="AI109" s="2003"/>
      <c r="AJ109" s="2002"/>
      <c r="AK109" s="2004"/>
      <c r="AL109" s="2005"/>
      <c r="AM109" s="4"/>
    </row>
    <row r="110" spans="1:39">
      <c r="A110" s="4"/>
      <c r="B110" s="1678"/>
      <c r="C110" s="1974"/>
      <c r="D110" s="1975" t="str">
        <f>$D$17</f>
        <v>Month 1</v>
      </c>
      <c r="E110" s="2001"/>
      <c r="F110" s="2002">
        <f>'2.0 Patients'!R74-'2.0 Patients'!Q74</f>
        <v>1.9166666666666667</v>
      </c>
      <c r="G110" s="2003">
        <f>'2.0 Patients'!R76-'2.0 Patients'!Q76</f>
        <v>0.16666666666666674</v>
      </c>
      <c r="H110" s="2002">
        <f>'2.0 Patients'!AD74-'2.0 Patients'!AC74</f>
        <v>1.5</v>
      </c>
      <c r="I110" s="2003">
        <f>'2.0 Patients'!AD76-'2.0 Patients'!AC76</f>
        <v>0.16666666666666652</v>
      </c>
      <c r="J110" s="2002">
        <f>'2.0 Patients'!AP74-'2.0 Patients'!AO74</f>
        <v>1</v>
      </c>
      <c r="K110" s="2003">
        <f>'2.0 Patients'!AP76-'2.0 Patients'!AO76</f>
        <v>8.3333333333333037E-2</v>
      </c>
      <c r="L110" s="2002">
        <f>'2.0 Patients'!BB74-'2.0 Patients'!BA74</f>
        <v>1</v>
      </c>
      <c r="M110" s="2003">
        <f>'2.0 Patients'!BB76-'2.0 Patients'!BA76</f>
        <v>8.3333333333333037E-2</v>
      </c>
      <c r="N110" s="2002">
        <f>'2.0 Patients'!BN74-'2.0 Patients'!BM74</f>
        <v>0.6666666666666714</v>
      </c>
      <c r="O110" s="2004">
        <f>'2.0 Patients'!BN76-'2.0 Patients'!BM76</f>
        <v>8.3333333333333037E-2</v>
      </c>
      <c r="P110" s="1576"/>
      <c r="Q110" s="2002">
        <f>'2.0 Patients'!R80-'2.0 Patients'!Q80</f>
        <v>0.5</v>
      </c>
      <c r="R110" s="2003">
        <f>'2.0 Patients'!R82-'2.0 Patients'!Q82</f>
        <v>0</v>
      </c>
      <c r="S110" s="2002">
        <f>'2.0 Patients'!AD80-'2.0 Patients'!AC80</f>
        <v>0.41666666666666696</v>
      </c>
      <c r="T110" s="2003">
        <f>'2.0 Patients'!AD82-'2.0 Patients'!AC82</f>
        <v>8.3333333333333259E-2</v>
      </c>
      <c r="U110" s="2002">
        <f>'2.0 Patients'!AP80-'2.0 Patients'!AO80</f>
        <v>0.33333333333333393</v>
      </c>
      <c r="V110" s="2003">
        <f>'2.0 Patients'!AP82-'2.0 Patients'!AO82</f>
        <v>0</v>
      </c>
      <c r="W110" s="2002">
        <f>'2.0 Patients'!BB80-'2.0 Patients'!BA80</f>
        <v>0.33333333333333393</v>
      </c>
      <c r="X110" s="2003">
        <f>'2.0 Patients'!BB82-'2.0 Patients'!BA82</f>
        <v>8.3333333333333481E-2</v>
      </c>
      <c r="Y110" s="2002">
        <f>'2.0 Patients'!BN80-'2.0 Patients'!BM80</f>
        <v>0.16666666666666785</v>
      </c>
      <c r="Z110" s="2004">
        <f>'2.0 Patients'!BN82-'2.0 Patients'!BM82</f>
        <v>8.3333333333333481E-2</v>
      </c>
      <c r="AA110" s="2005"/>
      <c r="AB110" s="2002">
        <f>'2.0 Patients'!R86-'2.0 Patients'!Q86</f>
        <v>0.16666666666666666</v>
      </c>
      <c r="AC110" s="2003">
        <f>'2.0 Patients'!R88-'2.0 Patients'!Q88</f>
        <v>0</v>
      </c>
      <c r="AD110" s="2002">
        <f>'2.0 Patients'!AD86-'2.0 Patients'!AC86</f>
        <v>0.25</v>
      </c>
      <c r="AE110" s="2003">
        <f>'2.0 Patients'!AD88-'2.0 Patients'!AC88</f>
        <v>0</v>
      </c>
      <c r="AF110" s="2002">
        <f>'2.0 Patients'!AP86-'2.0 Patients'!AO86</f>
        <v>8.3333333333333037E-2</v>
      </c>
      <c r="AG110" s="2003">
        <f>'2.0 Patients'!AP88-'2.0 Patients'!AO88</f>
        <v>8.3333333333333259E-2</v>
      </c>
      <c r="AH110" s="2002">
        <f>'2.0 Patients'!BB86-'2.0 Patients'!BA86</f>
        <v>8.3333333333333037E-2</v>
      </c>
      <c r="AI110" s="2003">
        <f>'2.0 Patients'!BB88-'2.0 Patients'!BA88</f>
        <v>0</v>
      </c>
      <c r="AJ110" s="2002">
        <f>'2.0 Patients'!BN86-'2.0 Patients'!BM86</f>
        <v>8.3333333333333037E-2</v>
      </c>
      <c r="AK110" s="2004">
        <f>'2.0 Patients'!BN88-'2.0 Patients'!BM88</f>
        <v>0</v>
      </c>
      <c r="AL110" s="2005"/>
      <c r="AM110" s="4"/>
    </row>
    <row r="111" spans="1:39">
      <c r="A111" s="4"/>
      <c r="B111" s="1678"/>
      <c r="C111" s="1974"/>
      <c r="D111" s="1975" t="str">
        <f>$D$18</f>
        <v>Month 2</v>
      </c>
      <c r="E111" s="2001"/>
      <c r="F111" s="2002">
        <f>'2.0 Patients'!S74-'2.0 Patients'!R74</f>
        <v>1.9166666666666667</v>
      </c>
      <c r="G111" s="2003">
        <f>'2.0 Patients'!S76-'2.0 Patients'!R76</f>
        <v>0.16666666666666674</v>
      </c>
      <c r="H111" s="2002">
        <f>'2.0 Patients'!AE74-'2.0 Patients'!AD74</f>
        <v>1.5</v>
      </c>
      <c r="I111" s="2003">
        <f>'2.0 Patients'!AE76-'2.0 Patients'!AD76</f>
        <v>0.16666666666666652</v>
      </c>
      <c r="J111" s="2002">
        <f>'2.0 Patients'!AQ74-'2.0 Patients'!AP74</f>
        <v>1</v>
      </c>
      <c r="K111" s="2003">
        <f>'2.0 Patients'!AQ76-'2.0 Patients'!AP76</f>
        <v>8.3333333333333037E-2</v>
      </c>
      <c r="L111" s="2002">
        <f>'2.0 Patients'!BC74-'2.0 Patients'!BB74</f>
        <v>1</v>
      </c>
      <c r="M111" s="2003">
        <f>'2.0 Patients'!BC76-'2.0 Patients'!BB76</f>
        <v>8.3333333333333037E-2</v>
      </c>
      <c r="N111" s="2002">
        <f>'2.0 Patients'!BO74-'2.0 Patients'!BN74</f>
        <v>0.6666666666666714</v>
      </c>
      <c r="O111" s="2004">
        <f>'2.0 Patients'!BO76-'2.0 Patients'!BN76</f>
        <v>8.3333333333333037E-2</v>
      </c>
      <c r="P111" s="1576"/>
      <c r="Q111" s="2002">
        <f>'2.0 Patients'!S80-'2.0 Patients'!R80</f>
        <v>0.5</v>
      </c>
      <c r="R111" s="2003">
        <f>'2.0 Patients'!S82-'2.0 Patients'!R82</f>
        <v>0</v>
      </c>
      <c r="S111" s="2002">
        <f>'2.0 Patients'!AE80-'2.0 Patients'!AD80</f>
        <v>0.41666666666666696</v>
      </c>
      <c r="T111" s="2003">
        <f>'2.0 Patients'!AE82-'2.0 Patients'!AD82</f>
        <v>8.3333333333333259E-2</v>
      </c>
      <c r="U111" s="2002">
        <f>'2.0 Patients'!AQ80-'2.0 Patients'!AP80</f>
        <v>0.33333333333333393</v>
      </c>
      <c r="V111" s="2003">
        <f>'2.0 Patients'!AQ82-'2.0 Patients'!AP82</f>
        <v>0</v>
      </c>
      <c r="W111" s="2002">
        <f>'2.0 Patients'!BC80-'2.0 Patients'!BB80</f>
        <v>0.33333333333333393</v>
      </c>
      <c r="X111" s="2003">
        <f>'2.0 Patients'!BC82-'2.0 Patients'!BB82</f>
        <v>8.3333333333333481E-2</v>
      </c>
      <c r="Y111" s="2002">
        <f>'2.0 Patients'!BO80-'2.0 Patients'!BN80</f>
        <v>0.16666666666666785</v>
      </c>
      <c r="Z111" s="2004">
        <f>'2.0 Patients'!BO82-'2.0 Patients'!BN82</f>
        <v>8.3333333333333481E-2</v>
      </c>
      <c r="AA111" s="2005"/>
      <c r="AB111" s="2002">
        <f>'2.0 Patients'!S86-'2.0 Patients'!R86</f>
        <v>0.16666666666666666</v>
      </c>
      <c r="AC111" s="2003">
        <f>'2.0 Patients'!S88-'2.0 Patients'!R88</f>
        <v>0</v>
      </c>
      <c r="AD111" s="2002">
        <f>'2.0 Patients'!AE86-'2.0 Patients'!AD86</f>
        <v>0.25</v>
      </c>
      <c r="AE111" s="2003">
        <f>'2.0 Patients'!AE88-'2.0 Patients'!AD88</f>
        <v>0</v>
      </c>
      <c r="AF111" s="2002">
        <f>'2.0 Patients'!AQ86-'2.0 Patients'!AP86</f>
        <v>8.3333333333333037E-2</v>
      </c>
      <c r="AG111" s="2003">
        <f>'2.0 Patients'!AQ88-'2.0 Patients'!AP88</f>
        <v>8.3333333333333259E-2</v>
      </c>
      <c r="AH111" s="2002">
        <f>'2.0 Patients'!BC86-'2.0 Patients'!BB86</f>
        <v>8.3333333333333037E-2</v>
      </c>
      <c r="AI111" s="2003">
        <f>'2.0 Patients'!BC88-'2.0 Patients'!BB88</f>
        <v>0</v>
      </c>
      <c r="AJ111" s="2002">
        <f>'2.0 Patients'!BO86-'2.0 Patients'!BN86</f>
        <v>8.3333333333333037E-2</v>
      </c>
      <c r="AK111" s="2004">
        <f>'2.0 Patients'!BO88-'2.0 Patients'!BN88</f>
        <v>0</v>
      </c>
      <c r="AL111" s="2005"/>
      <c r="AM111" s="4"/>
    </row>
    <row r="112" spans="1:39">
      <c r="A112" s="4"/>
      <c r="B112" s="1678"/>
      <c r="C112" s="1974"/>
      <c r="D112" s="1975" t="str">
        <f>$D$19</f>
        <v>Month 3</v>
      </c>
      <c r="E112" s="2001"/>
      <c r="F112" s="2002">
        <f>'2.0 Patients'!T74-'2.0 Patients'!S74</f>
        <v>1.9166666666666665</v>
      </c>
      <c r="G112" s="2003">
        <f>'2.0 Patients'!T76-'2.0 Patients'!S76</f>
        <v>0.16666666666666674</v>
      </c>
      <c r="H112" s="2002">
        <f>'2.0 Patients'!AF74-'2.0 Patients'!AE74</f>
        <v>1.5</v>
      </c>
      <c r="I112" s="2003">
        <f>'2.0 Patients'!AF76-'2.0 Patients'!AE76</f>
        <v>0.16666666666666652</v>
      </c>
      <c r="J112" s="2002">
        <f>'2.0 Patients'!AR74-'2.0 Patients'!AQ74</f>
        <v>1</v>
      </c>
      <c r="K112" s="2003">
        <f>'2.0 Patients'!AR76-'2.0 Patients'!AQ76</f>
        <v>8.3333333333333037E-2</v>
      </c>
      <c r="L112" s="2002">
        <f>'2.0 Patients'!BD74-'2.0 Patients'!BC74</f>
        <v>1</v>
      </c>
      <c r="M112" s="2003">
        <f>'2.0 Patients'!BD76-'2.0 Patients'!BC76</f>
        <v>8.3333333333333037E-2</v>
      </c>
      <c r="N112" s="2002">
        <f>'2.0 Patients'!BP74-'2.0 Patients'!BO74</f>
        <v>0.6666666666666714</v>
      </c>
      <c r="O112" s="2004">
        <f>'2.0 Patients'!BP76-'2.0 Patients'!BO76</f>
        <v>8.3333333333333037E-2</v>
      </c>
      <c r="P112" s="1576"/>
      <c r="Q112" s="2002">
        <f>'2.0 Patients'!T80-'2.0 Patients'!S80</f>
        <v>0.5</v>
      </c>
      <c r="R112" s="2003">
        <f>'2.0 Patients'!T82-'2.0 Patients'!S82</f>
        <v>0</v>
      </c>
      <c r="S112" s="2002">
        <f>'2.0 Patients'!AF80-'2.0 Patients'!AE80</f>
        <v>0.41666666666666696</v>
      </c>
      <c r="T112" s="2003">
        <f>'2.0 Patients'!AF82-'2.0 Patients'!AE82</f>
        <v>8.3333333333333259E-2</v>
      </c>
      <c r="U112" s="2002">
        <f>'2.0 Patients'!AR80-'2.0 Patients'!AQ80</f>
        <v>0.33333333333333393</v>
      </c>
      <c r="V112" s="2003">
        <f>'2.0 Patients'!AR82-'2.0 Patients'!AQ82</f>
        <v>0</v>
      </c>
      <c r="W112" s="2002">
        <f>'2.0 Patients'!BD80-'2.0 Patients'!BC80</f>
        <v>0.33333333333333215</v>
      </c>
      <c r="X112" s="2003">
        <f>'2.0 Patients'!BD82-'2.0 Patients'!BC82</f>
        <v>8.3333333333333481E-2</v>
      </c>
      <c r="Y112" s="2002">
        <f>'2.0 Patients'!BP80-'2.0 Patients'!BO80</f>
        <v>0.16666666666666785</v>
      </c>
      <c r="Z112" s="2004">
        <f>'2.0 Patients'!BP82-'2.0 Patients'!BO82</f>
        <v>8.3333333333333481E-2</v>
      </c>
      <c r="AA112" s="2005"/>
      <c r="AB112" s="2002">
        <f>'2.0 Patients'!T86-'2.0 Patients'!S86</f>
        <v>0.16666666666666669</v>
      </c>
      <c r="AC112" s="2003">
        <f>'2.0 Patients'!T88-'2.0 Patients'!S88</f>
        <v>0</v>
      </c>
      <c r="AD112" s="2002">
        <f>'2.0 Patients'!AF86-'2.0 Patients'!AE86</f>
        <v>0.25</v>
      </c>
      <c r="AE112" s="2003">
        <f>'2.0 Patients'!AF88-'2.0 Patients'!AE88</f>
        <v>0</v>
      </c>
      <c r="AF112" s="2002">
        <f>'2.0 Patients'!AR86-'2.0 Patients'!AQ86</f>
        <v>8.3333333333333037E-2</v>
      </c>
      <c r="AG112" s="2003">
        <f>'2.0 Patients'!AR88-'2.0 Patients'!AQ88</f>
        <v>8.3333333333333259E-2</v>
      </c>
      <c r="AH112" s="2002">
        <f>'2.0 Patients'!BD86-'2.0 Patients'!BC86</f>
        <v>8.3333333333333037E-2</v>
      </c>
      <c r="AI112" s="2003">
        <f>'2.0 Patients'!BD88-'2.0 Patients'!BC88</f>
        <v>0</v>
      </c>
      <c r="AJ112" s="2002">
        <f>'2.0 Patients'!BP86-'2.0 Patients'!BO86</f>
        <v>8.3333333333333037E-2</v>
      </c>
      <c r="AK112" s="2004">
        <f>'2.0 Patients'!BP88-'2.0 Patients'!BO88</f>
        <v>0</v>
      </c>
      <c r="AL112" s="2005"/>
      <c r="AM112" s="4"/>
    </row>
    <row r="113" spans="1:39">
      <c r="A113" s="4"/>
      <c r="B113" s="1678"/>
      <c r="C113" s="1974"/>
      <c r="D113" s="1975" t="str">
        <f>$D$20</f>
        <v>Month 4</v>
      </c>
      <c r="E113" s="2001"/>
      <c r="F113" s="2002">
        <f>'2.0 Patients'!U74-'2.0 Patients'!T74</f>
        <v>1.916666666666667</v>
      </c>
      <c r="G113" s="2003">
        <f>'2.0 Patients'!U76-'2.0 Patients'!T76</f>
        <v>0.16666666666666674</v>
      </c>
      <c r="H113" s="2002">
        <f>'2.0 Patients'!AG74-'2.0 Patients'!AF74</f>
        <v>1.5</v>
      </c>
      <c r="I113" s="2003">
        <f>'2.0 Patients'!AG76-'2.0 Patients'!AF76</f>
        <v>0.16666666666666652</v>
      </c>
      <c r="J113" s="2002">
        <f>'2.0 Patients'!AS74-'2.0 Patients'!AR74</f>
        <v>1</v>
      </c>
      <c r="K113" s="2003">
        <f>'2.0 Patients'!AS76-'2.0 Patients'!AR76</f>
        <v>8.3333333333333037E-2</v>
      </c>
      <c r="L113" s="2002">
        <f>'2.0 Patients'!BE74-'2.0 Patients'!BD74</f>
        <v>1</v>
      </c>
      <c r="M113" s="2003">
        <f>'2.0 Patients'!BE76-'2.0 Patients'!BD76</f>
        <v>8.3333333333333037E-2</v>
      </c>
      <c r="N113" s="2002">
        <f>'2.0 Patients'!BQ74-'2.0 Patients'!BP74</f>
        <v>0.6666666666666714</v>
      </c>
      <c r="O113" s="2004">
        <f>'2.0 Patients'!BQ76-'2.0 Patients'!BP76</f>
        <v>8.3333333333333037E-2</v>
      </c>
      <c r="P113" s="1576"/>
      <c r="Q113" s="2002">
        <f>'2.0 Patients'!U80-'2.0 Patients'!T80</f>
        <v>0.5</v>
      </c>
      <c r="R113" s="2003">
        <f>'2.0 Patients'!U82-'2.0 Patients'!T82</f>
        <v>0</v>
      </c>
      <c r="S113" s="2002">
        <f>'2.0 Patients'!AG80-'2.0 Patients'!AF80</f>
        <v>0.41666666666666696</v>
      </c>
      <c r="T113" s="2003">
        <f>'2.0 Patients'!AG82-'2.0 Patients'!AF82</f>
        <v>8.3333333333333259E-2</v>
      </c>
      <c r="U113" s="2002">
        <f>'2.0 Patients'!AS80-'2.0 Patients'!AR80</f>
        <v>0.33333333333333393</v>
      </c>
      <c r="V113" s="2003">
        <f>'2.0 Patients'!AS82-'2.0 Patients'!AR82</f>
        <v>0</v>
      </c>
      <c r="W113" s="2002">
        <f>'2.0 Patients'!BE80-'2.0 Patients'!BD80</f>
        <v>0.33333333333333215</v>
      </c>
      <c r="X113" s="2003">
        <f>'2.0 Patients'!BE82-'2.0 Patients'!BD82</f>
        <v>8.3333333333333481E-2</v>
      </c>
      <c r="Y113" s="2002">
        <f>'2.0 Patients'!BQ80-'2.0 Patients'!BP80</f>
        <v>0.16666666666666785</v>
      </c>
      <c r="Z113" s="2004">
        <f>'2.0 Patients'!BQ82-'2.0 Patients'!BP82</f>
        <v>8.3333333333333481E-2</v>
      </c>
      <c r="AA113" s="2005"/>
      <c r="AB113" s="2002">
        <f>'2.0 Patients'!U86-'2.0 Patients'!T86</f>
        <v>0.16666666666666663</v>
      </c>
      <c r="AC113" s="2003">
        <f>'2.0 Patients'!U88-'2.0 Patients'!T88</f>
        <v>0</v>
      </c>
      <c r="AD113" s="2002">
        <f>'2.0 Patients'!AG86-'2.0 Patients'!AF86</f>
        <v>0.25</v>
      </c>
      <c r="AE113" s="2003">
        <f>'2.0 Patients'!AG88-'2.0 Patients'!AF88</f>
        <v>0</v>
      </c>
      <c r="AF113" s="2002">
        <f>'2.0 Patients'!AS86-'2.0 Patients'!AR86</f>
        <v>8.3333333333333037E-2</v>
      </c>
      <c r="AG113" s="2003">
        <f>'2.0 Patients'!AS88-'2.0 Patients'!AR88</f>
        <v>8.3333333333333259E-2</v>
      </c>
      <c r="AH113" s="2002">
        <f>'2.0 Patients'!BE86-'2.0 Patients'!BD86</f>
        <v>8.3333333333333037E-2</v>
      </c>
      <c r="AI113" s="2003">
        <f>'2.0 Patients'!BE88-'2.0 Patients'!BD88</f>
        <v>0</v>
      </c>
      <c r="AJ113" s="2002">
        <f>'2.0 Patients'!BQ86-'2.0 Patients'!BP86</f>
        <v>8.3333333333333037E-2</v>
      </c>
      <c r="AK113" s="2004">
        <f>'2.0 Patients'!BQ88-'2.0 Patients'!BP88</f>
        <v>0</v>
      </c>
      <c r="AL113" s="2005"/>
      <c r="AM113" s="4"/>
    </row>
    <row r="114" spans="1:39">
      <c r="A114" s="4"/>
      <c r="B114" s="1678"/>
      <c r="C114" s="1974"/>
      <c r="D114" s="1975" t="str">
        <f>$D$21</f>
        <v>Month 5</v>
      </c>
      <c r="E114" s="2001"/>
      <c r="F114" s="2002">
        <f>'2.0 Patients'!V74-'2.0 Patients'!U74</f>
        <v>1.916666666666667</v>
      </c>
      <c r="G114" s="2003">
        <f>'2.0 Patients'!V76-'2.0 Patients'!U76</f>
        <v>0.16666666666666674</v>
      </c>
      <c r="H114" s="2002">
        <f>'2.0 Patients'!AH74-'2.0 Patients'!AG74</f>
        <v>1.5</v>
      </c>
      <c r="I114" s="2003">
        <f>'2.0 Patients'!AH76-'2.0 Patients'!AG76</f>
        <v>0.16666666666666652</v>
      </c>
      <c r="J114" s="2002">
        <f>'2.0 Patients'!AT74-'2.0 Patients'!AS74</f>
        <v>1</v>
      </c>
      <c r="K114" s="2003">
        <f>'2.0 Patients'!AT76-'2.0 Patients'!AS76</f>
        <v>8.3333333333333037E-2</v>
      </c>
      <c r="L114" s="2002">
        <f>'2.0 Patients'!BF74-'2.0 Patients'!BE74</f>
        <v>1</v>
      </c>
      <c r="M114" s="2003">
        <f>'2.0 Patients'!BF76-'2.0 Patients'!BE76</f>
        <v>8.3333333333333037E-2</v>
      </c>
      <c r="N114" s="2002">
        <f>'2.0 Patients'!BR74-'2.0 Patients'!BQ74</f>
        <v>0.6666666666666714</v>
      </c>
      <c r="O114" s="2004">
        <f>'2.0 Patients'!BR76-'2.0 Patients'!BQ76</f>
        <v>8.3333333333333037E-2</v>
      </c>
      <c r="P114" s="1576"/>
      <c r="Q114" s="2002">
        <f>'2.0 Patients'!V80-'2.0 Patients'!U80</f>
        <v>0.5</v>
      </c>
      <c r="R114" s="2003">
        <f>'2.0 Patients'!V82-'2.0 Patients'!U82</f>
        <v>0</v>
      </c>
      <c r="S114" s="2002">
        <f>'2.0 Patients'!AH80-'2.0 Patients'!AG80</f>
        <v>0.41666666666666607</v>
      </c>
      <c r="T114" s="2003">
        <f>'2.0 Patients'!AH82-'2.0 Patients'!AG82</f>
        <v>8.3333333333333259E-2</v>
      </c>
      <c r="U114" s="2002">
        <f>'2.0 Patients'!AT80-'2.0 Patients'!AS80</f>
        <v>0.33333333333333393</v>
      </c>
      <c r="V114" s="2003">
        <f>'2.0 Patients'!AT82-'2.0 Patients'!AS82</f>
        <v>0</v>
      </c>
      <c r="W114" s="2002">
        <f>'2.0 Patients'!BF80-'2.0 Patients'!BE80</f>
        <v>0.33333333333333215</v>
      </c>
      <c r="X114" s="2003">
        <f>'2.0 Patients'!BF82-'2.0 Patients'!BE82</f>
        <v>8.3333333333333481E-2</v>
      </c>
      <c r="Y114" s="2002">
        <f>'2.0 Patients'!BR80-'2.0 Patients'!BQ80</f>
        <v>0.16666666666666785</v>
      </c>
      <c r="Z114" s="2004">
        <f>'2.0 Patients'!BR82-'2.0 Patients'!BQ82</f>
        <v>8.3333333333333481E-2</v>
      </c>
      <c r="AA114" s="2005"/>
      <c r="AB114" s="2002">
        <f>'2.0 Patients'!V86-'2.0 Patients'!U86</f>
        <v>0.16666666666666663</v>
      </c>
      <c r="AC114" s="2003">
        <f>'2.0 Patients'!V88-'2.0 Patients'!U88</f>
        <v>0</v>
      </c>
      <c r="AD114" s="2002">
        <f>'2.0 Patients'!AH86-'2.0 Patients'!AG86</f>
        <v>0.25</v>
      </c>
      <c r="AE114" s="2003">
        <f>'2.0 Patients'!AH88-'2.0 Patients'!AG88</f>
        <v>0</v>
      </c>
      <c r="AF114" s="2002">
        <f>'2.0 Patients'!AT86-'2.0 Patients'!AS86</f>
        <v>8.3333333333333037E-2</v>
      </c>
      <c r="AG114" s="2003">
        <f>'2.0 Patients'!AT88-'2.0 Patients'!AS88</f>
        <v>8.3333333333333259E-2</v>
      </c>
      <c r="AH114" s="2002">
        <f>'2.0 Patients'!BF86-'2.0 Patients'!BE86</f>
        <v>8.3333333333333037E-2</v>
      </c>
      <c r="AI114" s="2003">
        <f>'2.0 Patients'!BF88-'2.0 Patients'!BE88</f>
        <v>0</v>
      </c>
      <c r="AJ114" s="2002">
        <f>'2.0 Patients'!BR86-'2.0 Patients'!BQ86</f>
        <v>8.3333333333333037E-2</v>
      </c>
      <c r="AK114" s="2004">
        <f>'2.0 Patients'!BR88-'2.0 Patients'!BQ88</f>
        <v>0</v>
      </c>
      <c r="AL114" s="2005"/>
      <c r="AM114" s="4"/>
    </row>
    <row r="115" spans="1:39">
      <c r="A115" s="4"/>
      <c r="B115" s="1678"/>
      <c r="C115" s="1974"/>
      <c r="D115" s="1975" t="str">
        <f>$D$22</f>
        <v>Month 6</v>
      </c>
      <c r="E115" s="2001"/>
      <c r="F115" s="2002">
        <f>'2.0 Patients'!W74-'2.0 Patients'!V74</f>
        <v>1.9166666666666661</v>
      </c>
      <c r="G115" s="2003">
        <f>'2.0 Patients'!W76-'2.0 Patients'!V76</f>
        <v>0.16666666666666674</v>
      </c>
      <c r="H115" s="2002">
        <f>'2.0 Patients'!AI74-'2.0 Patients'!AH74</f>
        <v>1.4999999999999964</v>
      </c>
      <c r="I115" s="2003">
        <f>'2.0 Patients'!AI76-'2.0 Patients'!AH76</f>
        <v>0.16666666666666652</v>
      </c>
      <c r="J115" s="2002">
        <f>'2.0 Patients'!AU74-'2.0 Patients'!AT74</f>
        <v>1</v>
      </c>
      <c r="K115" s="2003">
        <f>'2.0 Patients'!AU76-'2.0 Patients'!AT76</f>
        <v>8.3333333333333037E-2</v>
      </c>
      <c r="L115" s="2002">
        <f>'2.0 Patients'!BG74-'2.0 Patients'!BF74</f>
        <v>1</v>
      </c>
      <c r="M115" s="2003">
        <f>'2.0 Patients'!BG76-'2.0 Patients'!BF76</f>
        <v>8.3333333333333037E-2</v>
      </c>
      <c r="N115" s="2002">
        <f>'2.0 Patients'!BS74-'2.0 Patients'!BR74</f>
        <v>0.6666666666666714</v>
      </c>
      <c r="O115" s="2004">
        <f>'2.0 Patients'!BS76-'2.0 Patients'!BR76</f>
        <v>8.3333333333333037E-2</v>
      </c>
      <c r="P115" s="1576"/>
      <c r="Q115" s="2002">
        <f>'2.0 Patients'!W80-'2.0 Patients'!V80</f>
        <v>0.5</v>
      </c>
      <c r="R115" s="2003">
        <f>'2.0 Patients'!W82-'2.0 Patients'!V82</f>
        <v>0</v>
      </c>
      <c r="S115" s="2002">
        <f>'2.0 Patients'!AI80-'2.0 Patients'!AH80</f>
        <v>0.41666666666666607</v>
      </c>
      <c r="T115" s="2003">
        <f>'2.0 Patients'!AI82-'2.0 Patients'!AH82</f>
        <v>8.3333333333333259E-2</v>
      </c>
      <c r="U115" s="2002">
        <f>'2.0 Patients'!AU80-'2.0 Patients'!AT80</f>
        <v>0.33333333333333393</v>
      </c>
      <c r="V115" s="2003">
        <f>'2.0 Patients'!AU82-'2.0 Patients'!AT82</f>
        <v>0</v>
      </c>
      <c r="W115" s="2002">
        <f>'2.0 Patients'!BG80-'2.0 Patients'!BF80</f>
        <v>0.33333333333333215</v>
      </c>
      <c r="X115" s="2003">
        <f>'2.0 Patients'!BG82-'2.0 Patients'!BF82</f>
        <v>8.3333333333333481E-2</v>
      </c>
      <c r="Y115" s="2002">
        <f>'2.0 Patients'!BS80-'2.0 Patients'!BR80</f>
        <v>0.16666666666666785</v>
      </c>
      <c r="Z115" s="2004">
        <f>'2.0 Patients'!BS82-'2.0 Patients'!BR82</f>
        <v>8.3333333333333481E-2</v>
      </c>
      <c r="AA115" s="2005"/>
      <c r="AB115" s="2002">
        <f>'2.0 Patients'!W86-'2.0 Patients'!V86</f>
        <v>0.16666666666666663</v>
      </c>
      <c r="AC115" s="2003">
        <f>'2.0 Patients'!W88-'2.0 Patients'!V88</f>
        <v>0</v>
      </c>
      <c r="AD115" s="2002">
        <f>'2.0 Patients'!AI86-'2.0 Patients'!AH86</f>
        <v>0.25</v>
      </c>
      <c r="AE115" s="2003">
        <f>'2.0 Patients'!AI88-'2.0 Patients'!AH88</f>
        <v>0</v>
      </c>
      <c r="AF115" s="2002">
        <f>'2.0 Patients'!AU86-'2.0 Patients'!AT86</f>
        <v>8.3333333333333037E-2</v>
      </c>
      <c r="AG115" s="2003">
        <f>'2.0 Patients'!AU88-'2.0 Patients'!AT88</f>
        <v>8.3333333333333259E-2</v>
      </c>
      <c r="AH115" s="2002">
        <f>'2.0 Patients'!BG86-'2.0 Patients'!BF86</f>
        <v>8.3333333333333037E-2</v>
      </c>
      <c r="AI115" s="2003">
        <f>'2.0 Patients'!BG88-'2.0 Patients'!BF88</f>
        <v>0</v>
      </c>
      <c r="AJ115" s="2002">
        <f>'2.0 Patients'!BS86-'2.0 Patients'!BR86</f>
        <v>8.3333333333333037E-2</v>
      </c>
      <c r="AK115" s="2004">
        <f>'2.0 Patients'!BS88-'2.0 Patients'!BR88</f>
        <v>0</v>
      </c>
      <c r="AL115" s="2005"/>
      <c r="AM115" s="4"/>
    </row>
    <row r="116" spans="1:39">
      <c r="A116" s="4"/>
      <c r="B116" s="1678"/>
      <c r="C116" s="1974"/>
      <c r="D116" s="1975" t="str">
        <f>$D$23</f>
        <v>Month 7</v>
      </c>
      <c r="E116" s="2001"/>
      <c r="F116" s="2002">
        <f>'2.0 Patients'!X74-'2.0 Patients'!W74</f>
        <v>1.9166666666666661</v>
      </c>
      <c r="G116" s="2003">
        <f>'2.0 Patients'!X76-'2.0 Patients'!W76</f>
        <v>0.16666666666666652</v>
      </c>
      <c r="H116" s="2002">
        <f>'2.0 Patients'!AJ74-'2.0 Patients'!AI74</f>
        <v>1.5</v>
      </c>
      <c r="I116" s="2003">
        <f>'2.0 Patients'!AJ76-'2.0 Patients'!AI76</f>
        <v>0.16666666666666652</v>
      </c>
      <c r="J116" s="2002">
        <f>'2.0 Patients'!AV74-'2.0 Patients'!AU74</f>
        <v>1</v>
      </c>
      <c r="K116" s="2003">
        <f>'2.0 Patients'!AV76-'2.0 Patients'!AU76</f>
        <v>8.3333333333333037E-2</v>
      </c>
      <c r="L116" s="2002">
        <f>'2.0 Patients'!BH74-'2.0 Patients'!BG74</f>
        <v>1</v>
      </c>
      <c r="M116" s="2003">
        <f>'2.0 Patients'!BH76-'2.0 Patients'!BG76</f>
        <v>8.3333333333333037E-2</v>
      </c>
      <c r="N116" s="2002">
        <f>'2.0 Patients'!BT74-'2.0 Patients'!BS74</f>
        <v>0.6666666666666714</v>
      </c>
      <c r="O116" s="2004">
        <f>'2.0 Patients'!BT76-'2.0 Patients'!BS76</f>
        <v>8.3333333333333037E-2</v>
      </c>
      <c r="P116" s="1576"/>
      <c r="Q116" s="2002">
        <f>'2.0 Patients'!X80-'2.0 Patients'!W80</f>
        <v>0.5</v>
      </c>
      <c r="R116" s="2003">
        <f>'2.0 Patients'!X82-'2.0 Patients'!W82</f>
        <v>0</v>
      </c>
      <c r="S116" s="2002">
        <f>'2.0 Patients'!AJ80-'2.0 Patients'!AI80</f>
        <v>0.41666666666666607</v>
      </c>
      <c r="T116" s="2003">
        <f>'2.0 Patients'!AJ82-'2.0 Patients'!AI82</f>
        <v>8.3333333333333259E-2</v>
      </c>
      <c r="U116" s="2002">
        <f>'2.0 Patients'!AV80-'2.0 Patients'!AU80</f>
        <v>0.33333333333333393</v>
      </c>
      <c r="V116" s="2003">
        <f>'2.0 Patients'!AV82-'2.0 Patients'!AU82</f>
        <v>0</v>
      </c>
      <c r="W116" s="2002">
        <f>'2.0 Patients'!BH80-'2.0 Patients'!BG80</f>
        <v>0.33333333333333215</v>
      </c>
      <c r="X116" s="2003">
        <f>'2.0 Patients'!BH82-'2.0 Patients'!BG82</f>
        <v>8.3333333333333481E-2</v>
      </c>
      <c r="Y116" s="2002">
        <f>'2.0 Patients'!BT80-'2.0 Patients'!BS80</f>
        <v>0.16666666666666785</v>
      </c>
      <c r="Z116" s="2004">
        <f>'2.0 Patients'!BT82-'2.0 Patients'!BS82</f>
        <v>8.3333333333333481E-2</v>
      </c>
      <c r="AA116" s="2005"/>
      <c r="AB116" s="2002">
        <f>'2.0 Patients'!X86-'2.0 Patients'!W86</f>
        <v>0.16666666666666663</v>
      </c>
      <c r="AC116" s="2003">
        <f>'2.0 Patients'!X88-'2.0 Patients'!W88</f>
        <v>0</v>
      </c>
      <c r="AD116" s="2002">
        <f>'2.0 Patients'!AJ86-'2.0 Patients'!AI86</f>
        <v>0.25</v>
      </c>
      <c r="AE116" s="2003">
        <f>'2.0 Patients'!AJ88-'2.0 Patients'!AI88</f>
        <v>0</v>
      </c>
      <c r="AF116" s="2002">
        <f>'2.0 Patients'!AV86-'2.0 Patients'!AU86</f>
        <v>8.3333333333333037E-2</v>
      </c>
      <c r="AG116" s="2003">
        <f>'2.0 Patients'!AV88-'2.0 Patients'!AU88</f>
        <v>8.3333333333333259E-2</v>
      </c>
      <c r="AH116" s="2002">
        <f>'2.0 Patients'!BH86-'2.0 Patients'!BG86</f>
        <v>8.3333333333333037E-2</v>
      </c>
      <c r="AI116" s="2003">
        <f>'2.0 Patients'!BH88-'2.0 Patients'!BG88</f>
        <v>0</v>
      </c>
      <c r="AJ116" s="2002">
        <f>'2.0 Patients'!BT86-'2.0 Patients'!BS86</f>
        <v>8.3333333333333037E-2</v>
      </c>
      <c r="AK116" s="2004">
        <f>'2.0 Patients'!BT88-'2.0 Patients'!BS88</f>
        <v>0</v>
      </c>
      <c r="AL116" s="2005"/>
      <c r="AM116" s="4"/>
    </row>
    <row r="117" spans="1:39">
      <c r="A117" s="4"/>
      <c r="B117" s="1678"/>
      <c r="C117" s="1974"/>
      <c r="D117" s="1975" t="str">
        <f>$D$24</f>
        <v>Month 8</v>
      </c>
      <c r="E117" s="2001"/>
      <c r="F117" s="2002">
        <f>'2.0 Patients'!Y74-'2.0 Patients'!X74</f>
        <v>1.9166666666666661</v>
      </c>
      <c r="G117" s="2003">
        <f>'2.0 Patients'!Y76-'2.0 Patients'!X76</f>
        <v>0.16666666666666652</v>
      </c>
      <c r="H117" s="2002">
        <f>'2.0 Patients'!AK74-'2.0 Patients'!AJ74</f>
        <v>1.5</v>
      </c>
      <c r="I117" s="2003">
        <f>'2.0 Patients'!AK76-'2.0 Patients'!AJ76</f>
        <v>0.16666666666666696</v>
      </c>
      <c r="J117" s="2002">
        <f>'2.0 Patients'!AW74-'2.0 Patients'!AV74</f>
        <v>1</v>
      </c>
      <c r="K117" s="2003">
        <f>'2.0 Patients'!AW76-'2.0 Patients'!AV76</f>
        <v>8.3333333333333037E-2</v>
      </c>
      <c r="L117" s="2002">
        <f>'2.0 Patients'!BI74-'2.0 Patients'!BH74</f>
        <v>1</v>
      </c>
      <c r="M117" s="2003">
        <f>'2.0 Patients'!BI76-'2.0 Patients'!BH76</f>
        <v>8.3333333333333037E-2</v>
      </c>
      <c r="N117" s="2002">
        <f>'2.0 Patients'!BU74-'2.0 Patients'!BT74</f>
        <v>0.6666666666666714</v>
      </c>
      <c r="O117" s="2004">
        <f>'2.0 Patients'!BU76-'2.0 Patients'!BT76</f>
        <v>8.3333333333333037E-2</v>
      </c>
      <c r="P117" s="1576"/>
      <c r="Q117" s="2002">
        <f>'2.0 Patients'!Y80-'2.0 Patients'!X80</f>
        <v>0.5</v>
      </c>
      <c r="R117" s="2003">
        <f>'2.0 Patients'!Y82-'2.0 Patients'!X82</f>
        <v>0</v>
      </c>
      <c r="S117" s="2002">
        <f>'2.0 Patients'!AK80-'2.0 Patients'!AJ80</f>
        <v>0.41666666666666607</v>
      </c>
      <c r="T117" s="2003">
        <f>'2.0 Patients'!AK82-'2.0 Patients'!AJ82</f>
        <v>8.3333333333333259E-2</v>
      </c>
      <c r="U117" s="2002">
        <f>'2.0 Patients'!AW80-'2.0 Patients'!AV80</f>
        <v>0.33333333333333393</v>
      </c>
      <c r="V117" s="2003">
        <f>'2.0 Patients'!AW82-'2.0 Patients'!AV82</f>
        <v>0</v>
      </c>
      <c r="W117" s="2002">
        <f>'2.0 Patients'!BI80-'2.0 Patients'!BH80</f>
        <v>0.33333333333333215</v>
      </c>
      <c r="X117" s="2003">
        <f>'2.0 Patients'!BI82-'2.0 Patients'!BH82</f>
        <v>8.3333333333333481E-2</v>
      </c>
      <c r="Y117" s="2002">
        <f>'2.0 Patients'!BU80-'2.0 Patients'!BT80</f>
        <v>0.16666666666666785</v>
      </c>
      <c r="Z117" s="2004">
        <f>'2.0 Patients'!BU82-'2.0 Patients'!BT82</f>
        <v>8.3333333333333481E-2</v>
      </c>
      <c r="AA117" s="2005"/>
      <c r="AB117" s="2002">
        <f>'2.0 Patients'!Y86-'2.0 Patients'!X86</f>
        <v>0.16666666666666674</v>
      </c>
      <c r="AC117" s="2003">
        <f>'2.0 Patients'!Y88-'2.0 Patients'!X88</f>
        <v>0</v>
      </c>
      <c r="AD117" s="2002">
        <f>'2.0 Patients'!AK86-'2.0 Patients'!AJ86</f>
        <v>0.25</v>
      </c>
      <c r="AE117" s="2003">
        <f>'2.0 Patients'!AK88-'2.0 Patients'!AJ88</f>
        <v>0</v>
      </c>
      <c r="AF117" s="2002">
        <f>'2.0 Patients'!AW86-'2.0 Patients'!AV86</f>
        <v>8.3333333333333037E-2</v>
      </c>
      <c r="AG117" s="2003">
        <f>'2.0 Patients'!AW88-'2.0 Patients'!AV88</f>
        <v>8.3333333333333259E-2</v>
      </c>
      <c r="AH117" s="2002">
        <f>'2.0 Patients'!BI86-'2.0 Patients'!BH86</f>
        <v>8.3333333333333037E-2</v>
      </c>
      <c r="AI117" s="2003">
        <f>'2.0 Patients'!BI88-'2.0 Patients'!BH88</f>
        <v>0</v>
      </c>
      <c r="AJ117" s="2002">
        <f>'2.0 Patients'!BU86-'2.0 Patients'!BT86</f>
        <v>8.3333333333333037E-2</v>
      </c>
      <c r="AK117" s="2004">
        <f>'2.0 Patients'!BU88-'2.0 Patients'!BT88</f>
        <v>0</v>
      </c>
      <c r="AL117" s="2005"/>
      <c r="AM117" s="4"/>
    </row>
    <row r="118" spans="1:39">
      <c r="A118" s="4"/>
      <c r="B118" s="1678"/>
      <c r="C118" s="1974"/>
      <c r="D118" s="1975" t="str">
        <f>$D$25</f>
        <v>Month 9</v>
      </c>
      <c r="E118" s="2001"/>
      <c r="F118" s="2002">
        <f>'2.0 Patients'!Z74-'2.0 Patients'!Y74</f>
        <v>1.9166666666666679</v>
      </c>
      <c r="G118" s="2003">
        <f>'2.0 Patients'!Z76-'2.0 Patients'!Y76</f>
        <v>0.16666666666666652</v>
      </c>
      <c r="H118" s="2002">
        <f>'2.0 Patients'!AL74-'2.0 Patients'!AK74</f>
        <v>1.5</v>
      </c>
      <c r="I118" s="2003">
        <f>'2.0 Patients'!AL76-'2.0 Patients'!AK76</f>
        <v>0.16666666666666696</v>
      </c>
      <c r="J118" s="2002">
        <f>'2.0 Patients'!AX74-'2.0 Patients'!AW74</f>
        <v>1</v>
      </c>
      <c r="K118" s="2003">
        <f>'2.0 Patients'!AX76-'2.0 Patients'!AW76</f>
        <v>8.3333333333333037E-2</v>
      </c>
      <c r="L118" s="2002">
        <f>'2.0 Patients'!BJ74-'2.0 Patients'!BI74</f>
        <v>1</v>
      </c>
      <c r="M118" s="2003">
        <f>'2.0 Patients'!BJ76-'2.0 Patients'!BI76</f>
        <v>8.3333333333333037E-2</v>
      </c>
      <c r="N118" s="2002">
        <f>'2.0 Patients'!BV74-'2.0 Patients'!BU74</f>
        <v>0.6666666666666714</v>
      </c>
      <c r="O118" s="2004">
        <f>'2.0 Patients'!BV76-'2.0 Patients'!BU76</f>
        <v>8.3333333333333037E-2</v>
      </c>
      <c r="P118" s="1576"/>
      <c r="Q118" s="2002">
        <f>'2.0 Patients'!Z80-'2.0 Patients'!Y80</f>
        <v>0.5</v>
      </c>
      <c r="R118" s="2003">
        <f>'2.0 Patients'!Z82-'2.0 Patients'!Y82</f>
        <v>0</v>
      </c>
      <c r="S118" s="2002">
        <f>'2.0 Patients'!AL80-'2.0 Patients'!AK80</f>
        <v>0.41666666666666607</v>
      </c>
      <c r="T118" s="2003">
        <f>'2.0 Patients'!AL82-'2.0 Patients'!AK82</f>
        <v>8.3333333333333259E-2</v>
      </c>
      <c r="U118" s="2002">
        <f>'2.0 Patients'!AX80-'2.0 Patients'!AW80</f>
        <v>0.33333333333333393</v>
      </c>
      <c r="V118" s="2003">
        <f>'2.0 Patients'!AX82-'2.0 Patients'!AW82</f>
        <v>0</v>
      </c>
      <c r="W118" s="2002">
        <f>'2.0 Patients'!BJ80-'2.0 Patients'!BI80</f>
        <v>0.33333333333333215</v>
      </c>
      <c r="X118" s="2003">
        <f>'2.0 Patients'!BJ82-'2.0 Patients'!BI82</f>
        <v>8.3333333333333481E-2</v>
      </c>
      <c r="Y118" s="2002">
        <f>'2.0 Patients'!BV80-'2.0 Patients'!BU80</f>
        <v>0.16666666666666785</v>
      </c>
      <c r="Z118" s="2004">
        <f>'2.0 Patients'!BV82-'2.0 Patients'!BU82</f>
        <v>8.3333333333333481E-2</v>
      </c>
      <c r="AA118" s="2005"/>
      <c r="AB118" s="2002">
        <f>'2.0 Patients'!Z86-'2.0 Patients'!Y86</f>
        <v>0.16666666666666674</v>
      </c>
      <c r="AC118" s="2003">
        <f>'2.0 Patients'!Z88-'2.0 Patients'!Y88</f>
        <v>0</v>
      </c>
      <c r="AD118" s="2002">
        <f>'2.0 Patients'!AL86-'2.0 Patients'!AK86</f>
        <v>0.25</v>
      </c>
      <c r="AE118" s="2003">
        <f>'2.0 Patients'!AL88-'2.0 Patients'!AK88</f>
        <v>0</v>
      </c>
      <c r="AF118" s="2002">
        <f>'2.0 Patients'!AX86-'2.0 Patients'!AW86</f>
        <v>8.3333333333333037E-2</v>
      </c>
      <c r="AG118" s="2003">
        <f>'2.0 Patients'!AX88-'2.0 Patients'!AW88</f>
        <v>8.3333333333333259E-2</v>
      </c>
      <c r="AH118" s="2002">
        <f>'2.0 Patients'!BJ86-'2.0 Patients'!BI86</f>
        <v>8.3333333333333037E-2</v>
      </c>
      <c r="AI118" s="2003">
        <f>'2.0 Patients'!BJ88-'2.0 Patients'!BI88</f>
        <v>0</v>
      </c>
      <c r="AJ118" s="2002">
        <f>'2.0 Patients'!BV86-'2.0 Patients'!BU86</f>
        <v>8.3333333333333037E-2</v>
      </c>
      <c r="AK118" s="2004">
        <f>'2.0 Patients'!BV88-'2.0 Patients'!BU88</f>
        <v>0</v>
      </c>
      <c r="AL118" s="2005"/>
      <c r="AM118" s="4"/>
    </row>
    <row r="119" spans="1:39">
      <c r="A119" s="4"/>
      <c r="B119" s="1678"/>
      <c r="C119" s="1974"/>
      <c r="D119" s="1975" t="str">
        <f>$D$26</f>
        <v>Month 10</v>
      </c>
      <c r="E119" s="2001"/>
      <c r="F119" s="2002">
        <f>'2.0 Patients'!AA74-'2.0 Patients'!Z74</f>
        <v>1.9166666666666679</v>
      </c>
      <c r="G119" s="2003">
        <f>'2.0 Patients'!AA76-'2.0 Patients'!Z76</f>
        <v>0.16666666666666652</v>
      </c>
      <c r="H119" s="2002">
        <f>'2.0 Patients'!AM74-'2.0 Patients'!AL74</f>
        <v>1.5</v>
      </c>
      <c r="I119" s="2003">
        <f>'2.0 Patients'!AM76-'2.0 Patients'!AL76</f>
        <v>0.16666666666666696</v>
      </c>
      <c r="J119" s="2002">
        <f>'2.0 Patients'!AY74-'2.0 Patients'!AX74</f>
        <v>1</v>
      </c>
      <c r="K119" s="2003">
        <f>'2.0 Patients'!AY76-'2.0 Patients'!AX76</f>
        <v>8.3333333333333037E-2</v>
      </c>
      <c r="L119" s="2002">
        <f>'2.0 Patients'!BK74-'2.0 Patients'!BJ74</f>
        <v>1</v>
      </c>
      <c r="M119" s="2003">
        <f>'2.0 Patients'!BK76-'2.0 Patients'!BJ76</f>
        <v>8.3333333333333037E-2</v>
      </c>
      <c r="N119" s="2002">
        <f>'2.0 Patients'!BW74-'2.0 Patients'!BV74</f>
        <v>0.6666666666666714</v>
      </c>
      <c r="O119" s="2004">
        <f>'2.0 Patients'!BW76-'2.0 Patients'!BV76</f>
        <v>8.3333333333333037E-2</v>
      </c>
      <c r="P119" s="1576"/>
      <c r="Q119" s="2002">
        <f>'2.0 Patients'!AA80-'2.0 Patients'!Z80</f>
        <v>0.5</v>
      </c>
      <c r="R119" s="2003">
        <f>'2.0 Patients'!AA82-'2.0 Patients'!Z82</f>
        <v>0</v>
      </c>
      <c r="S119" s="2002">
        <f>'2.0 Patients'!AM80-'2.0 Patients'!AL80</f>
        <v>0.41666666666666607</v>
      </c>
      <c r="T119" s="2003">
        <f>'2.0 Patients'!AM82-'2.0 Patients'!AL82</f>
        <v>8.3333333333333259E-2</v>
      </c>
      <c r="U119" s="2002">
        <f>'2.0 Patients'!AY80-'2.0 Patients'!AX80</f>
        <v>0.33333333333333393</v>
      </c>
      <c r="V119" s="2003">
        <f>'2.0 Patients'!AY82-'2.0 Patients'!AX82</f>
        <v>0</v>
      </c>
      <c r="W119" s="2002">
        <f>'2.0 Patients'!BK80-'2.0 Patients'!BJ80</f>
        <v>0.33333333333333215</v>
      </c>
      <c r="X119" s="2003">
        <f>'2.0 Patients'!BK82-'2.0 Patients'!BJ82</f>
        <v>8.3333333333333481E-2</v>
      </c>
      <c r="Y119" s="2002">
        <f>'2.0 Patients'!BW80-'2.0 Patients'!BV80</f>
        <v>0.16666666666666785</v>
      </c>
      <c r="Z119" s="2004">
        <f>'2.0 Patients'!BW82-'2.0 Patients'!BV82</f>
        <v>8.3333333333333481E-2</v>
      </c>
      <c r="AA119" s="2005"/>
      <c r="AB119" s="2002">
        <f>'2.0 Patients'!AA86-'2.0 Patients'!Z86</f>
        <v>0.16666666666666674</v>
      </c>
      <c r="AC119" s="2003">
        <f>'2.0 Patients'!AA88-'2.0 Patients'!Z88</f>
        <v>0</v>
      </c>
      <c r="AD119" s="2002">
        <f>'2.0 Patients'!AM86-'2.0 Patients'!AL86</f>
        <v>0.25</v>
      </c>
      <c r="AE119" s="2003">
        <f>'2.0 Patients'!AM88-'2.0 Patients'!AL88</f>
        <v>0</v>
      </c>
      <c r="AF119" s="2002">
        <f>'2.0 Patients'!AY86-'2.0 Patients'!AX86</f>
        <v>8.3333333333333037E-2</v>
      </c>
      <c r="AG119" s="2003">
        <f>'2.0 Patients'!AY88-'2.0 Patients'!AX88</f>
        <v>8.3333333333333259E-2</v>
      </c>
      <c r="AH119" s="2002">
        <f>'2.0 Patients'!BK86-'2.0 Patients'!BJ86</f>
        <v>8.3333333333333037E-2</v>
      </c>
      <c r="AI119" s="2003">
        <f>'2.0 Patients'!BK88-'2.0 Patients'!BJ88</f>
        <v>0</v>
      </c>
      <c r="AJ119" s="2002">
        <f>'2.0 Patients'!BW86-'2.0 Patients'!BV86</f>
        <v>8.3333333333333037E-2</v>
      </c>
      <c r="AK119" s="2004">
        <f>'2.0 Patients'!BW88-'2.0 Patients'!BV88</f>
        <v>0</v>
      </c>
      <c r="AL119" s="2005"/>
      <c r="AM119" s="4"/>
    </row>
    <row r="120" spans="1:39">
      <c r="A120" s="4"/>
      <c r="B120" s="1678"/>
      <c r="C120" s="1974"/>
      <c r="D120" s="1975" t="str">
        <f>$D$27</f>
        <v>Month 11</v>
      </c>
      <c r="E120" s="2001"/>
      <c r="F120" s="2002">
        <f>'2.0 Patients'!AB74-'2.0 Patients'!AA74</f>
        <v>1.9166666666666679</v>
      </c>
      <c r="G120" s="2003">
        <f>'2.0 Patients'!AB76-'2.0 Patients'!AA76</f>
        <v>0.16666666666666652</v>
      </c>
      <c r="H120" s="2002">
        <f>'2.0 Patients'!AN74-'2.0 Patients'!AM74</f>
        <v>1.5</v>
      </c>
      <c r="I120" s="2003">
        <f>'2.0 Patients'!AN76-'2.0 Patients'!AM76</f>
        <v>0.16666666666666696</v>
      </c>
      <c r="J120" s="2002">
        <f>'2.0 Patients'!AZ74-'2.0 Patients'!AY74</f>
        <v>1</v>
      </c>
      <c r="K120" s="2003">
        <f>'2.0 Patients'!AZ76-'2.0 Patients'!AY76</f>
        <v>8.3333333333333037E-2</v>
      </c>
      <c r="L120" s="2002">
        <f>'2.0 Patients'!BL74-'2.0 Patients'!BK74</f>
        <v>1</v>
      </c>
      <c r="M120" s="2003">
        <f>'2.0 Patients'!BL76-'2.0 Patients'!BK76</f>
        <v>8.3333333333333037E-2</v>
      </c>
      <c r="N120" s="2002">
        <f>'2.0 Patients'!BX74-'2.0 Patients'!BW74</f>
        <v>0.6666666666666714</v>
      </c>
      <c r="O120" s="2004">
        <f>'2.0 Patients'!BX76-'2.0 Patients'!BW76</f>
        <v>8.3333333333333037E-2</v>
      </c>
      <c r="P120" s="1576"/>
      <c r="Q120" s="2002">
        <f>'2.0 Patients'!AB80-'2.0 Patients'!AA80</f>
        <v>0.5</v>
      </c>
      <c r="R120" s="2003">
        <f>'2.0 Patients'!AB82-'2.0 Patients'!AA82</f>
        <v>0</v>
      </c>
      <c r="S120" s="2002">
        <f>'2.0 Patients'!AN80-'2.0 Patients'!AM80</f>
        <v>0.41666666666666607</v>
      </c>
      <c r="T120" s="2003">
        <f>'2.0 Patients'!AN82-'2.0 Patients'!AM82</f>
        <v>8.3333333333333259E-2</v>
      </c>
      <c r="U120" s="2002">
        <f>'2.0 Patients'!AZ80-'2.0 Patients'!AY80</f>
        <v>0.33333333333333393</v>
      </c>
      <c r="V120" s="2003">
        <f>'2.0 Patients'!AZ82-'2.0 Patients'!AY82</f>
        <v>0</v>
      </c>
      <c r="W120" s="2002">
        <f>'2.0 Patients'!BL80-'2.0 Patients'!BK80</f>
        <v>0.33333333333333215</v>
      </c>
      <c r="X120" s="2003">
        <f>'2.0 Patients'!BL82-'2.0 Patients'!BK82</f>
        <v>8.3333333333333481E-2</v>
      </c>
      <c r="Y120" s="2002">
        <f>'2.0 Patients'!BX80-'2.0 Patients'!BW80</f>
        <v>0.16666666666666785</v>
      </c>
      <c r="Z120" s="2004">
        <f>'2.0 Patients'!BX82-'2.0 Patients'!BW82</f>
        <v>8.3333333333333481E-2</v>
      </c>
      <c r="AA120" s="2005"/>
      <c r="AB120" s="2002">
        <f>'2.0 Patients'!AB86-'2.0 Patients'!AA86</f>
        <v>0.16666666666666674</v>
      </c>
      <c r="AC120" s="2003">
        <f>'2.0 Patients'!AB88-'2.0 Patients'!AA88</f>
        <v>0</v>
      </c>
      <c r="AD120" s="2002">
        <f>'2.0 Patients'!AN86-'2.0 Patients'!AM86</f>
        <v>0.25</v>
      </c>
      <c r="AE120" s="2003">
        <f>'2.0 Patients'!AN88-'2.0 Patients'!AM88</f>
        <v>0</v>
      </c>
      <c r="AF120" s="2002">
        <f>'2.0 Patients'!AZ86-'2.0 Patients'!AY86</f>
        <v>8.3333333333333037E-2</v>
      </c>
      <c r="AG120" s="2003">
        <f>'2.0 Patients'!AZ88-'2.0 Patients'!AY88</f>
        <v>8.3333333333333259E-2</v>
      </c>
      <c r="AH120" s="2002">
        <f>'2.0 Patients'!BL86-'2.0 Patients'!BK86</f>
        <v>8.3333333333333037E-2</v>
      </c>
      <c r="AI120" s="2003">
        <f>'2.0 Patients'!BL88-'2.0 Patients'!BK88</f>
        <v>0</v>
      </c>
      <c r="AJ120" s="2002">
        <f>'2.0 Patients'!BX86-'2.0 Patients'!BW86</f>
        <v>8.3333333333333037E-2</v>
      </c>
      <c r="AK120" s="2004">
        <f>'2.0 Patients'!BX88-'2.0 Patients'!BW88</f>
        <v>0</v>
      </c>
      <c r="AL120" s="2005"/>
      <c r="AM120" s="4"/>
    </row>
    <row r="121" spans="1:39" s="1" customFormat="1">
      <c r="A121" s="1852"/>
      <c r="B121" s="1975"/>
      <c r="C121" s="1974"/>
      <c r="D121" s="1975" t="str">
        <f>$D$28</f>
        <v>Month 12</v>
      </c>
      <c r="E121" s="2001"/>
      <c r="F121" s="2002">
        <f>'2.0 Patients'!AC74-'2.0 Patients'!AB74</f>
        <v>1.9166666666666679</v>
      </c>
      <c r="G121" s="2003">
        <f>'2.0 Patients'!AC76-'2.0 Patients'!AB76</f>
        <v>0.16666666666666652</v>
      </c>
      <c r="H121" s="2002">
        <f>'2.0 Patients'!AO74-'2.0 Patients'!AN74</f>
        <v>1.5</v>
      </c>
      <c r="I121" s="2003">
        <f>'2.0 Patients'!AO76-'2.0 Patients'!AN76</f>
        <v>0.16666666666666696</v>
      </c>
      <c r="J121" s="2002">
        <f>'2.0 Patients'!BA74-'2.0 Patients'!AZ74</f>
        <v>1</v>
      </c>
      <c r="K121" s="2003">
        <f>'2.0 Patients'!BA76-'2.0 Patients'!AZ76</f>
        <v>8.3333333333333037E-2</v>
      </c>
      <c r="L121" s="2002">
        <f>'2.0 Patients'!BM74-'2.0 Patients'!BL74</f>
        <v>1</v>
      </c>
      <c r="M121" s="2003">
        <f>'2.0 Patients'!BM76-'2.0 Patients'!BL76</f>
        <v>8.3333333333333037E-2</v>
      </c>
      <c r="N121" s="2002">
        <f>'2.0 Patients'!BY74-'2.0 Patients'!BX74</f>
        <v>0.6666666666666714</v>
      </c>
      <c r="O121" s="2004">
        <f>'2.0 Patients'!BY76-'2.0 Patients'!BX76</f>
        <v>8.3333333333333037E-2</v>
      </c>
      <c r="P121" s="1576"/>
      <c r="Q121" s="2002">
        <f>'2.0 Patients'!AC80-'2.0 Patients'!AB80</f>
        <v>0.5</v>
      </c>
      <c r="R121" s="2003">
        <f>'2.0 Patients'!AC82-'2.0 Patients'!AB82</f>
        <v>0</v>
      </c>
      <c r="S121" s="2002">
        <f>'2.0 Patients'!AO80-'2.0 Patients'!AN80</f>
        <v>0.41666666666666607</v>
      </c>
      <c r="T121" s="2003">
        <f>'2.0 Patients'!AO82-'2.0 Patients'!AN82</f>
        <v>8.3333333333333259E-2</v>
      </c>
      <c r="U121" s="2002">
        <f>'2.0 Patients'!BA80-'2.0 Patients'!AZ80</f>
        <v>0.33333333333333393</v>
      </c>
      <c r="V121" s="2003">
        <f>'2.0 Patients'!BA82-'2.0 Patients'!AZ82</f>
        <v>0</v>
      </c>
      <c r="W121" s="2002">
        <f>'2.0 Patients'!BM80-'2.0 Patients'!BL80</f>
        <v>0.33333333333333215</v>
      </c>
      <c r="X121" s="2003">
        <f>'2.0 Patients'!BM82-'2.0 Patients'!BL82</f>
        <v>8.3333333333333481E-2</v>
      </c>
      <c r="Y121" s="2002">
        <f>'2.0 Patients'!BY80-'2.0 Patients'!BX80</f>
        <v>0.16666666666666785</v>
      </c>
      <c r="Z121" s="2004">
        <f>'2.0 Patients'!BY82-'2.0 Patients'!BX82</f>
        <v>8.3333333333333481E-2</v>
      </c>
      <c r="AA121" s="1576"/>
      <c r="AB121" s="2002">
        <f>'2.0 Patients'!AC86-'2.0 Patients'!AB86</f>
        <v>0.16666666666666652</v>
      </c>
      <c r="AC121" s="2003">
        <f>'2.0 Patients'!AC88-'2.0 Patients'!AB88</f>
        <v>0</v>
      </c>
      <c r="AD121" s="2002">
        <f>'2.0 Patients'!AO86-'2.0 Patients'!AN86</f>
        <v>0.25</v>
      </c>
      <c r="AE121" s="2003">
        <f>'2.0 Patients'!AO88-'2.0 Patients'!AN88</f>
        <v>0</v>
      </c>
      <c r="AF121" s="2002">
        <f>'2.0 Patients'!BA86-'2.0 Patients'!AZ86</f>
        <v>8.3333333333333037E-2</v>
      </c>
      <c r="AG121" s="2003">
        <f>'2.0 Patients'!BA88-'2.0 Patients'!AZ88</f>
        <v>8.3333333333333259E-2</v>
      </c>
      <c r="AH121" s="2002">
        <f>'2.0 Patients'!BM86-'2.0 Patients'!BL86</f>
        <v>8.3333333333333037E-2</v>
      </c>
      <c r="AI121" s="2003">
        <f>'2.0 Patients'!BM88-'2.0 Patients'!BL88</f>
        <v>0</v>
      </c>
      <c r="AJ121" s="2002">
        <f>'2.0 Patients'!BY86-'2.0 Patients'!BX86</f>
        <v>8.3333333333333037E-2</v>
      </c>
      <c r="AK121" s="2004">
        <f>'2.0 Patients'!BY88-'2.0 Patients'!BX88</f>
        <v>0</v>
      </c>
      <c r="AL121" s="1576"/>
      <c r="AM121" s="1852"/>
    </row>
    <row r="122" spans="1:39" s="2" customFormat="1">
      <c r="A122" s="1853"/>
      <c r="B122" s="1996"/>
      <c r="C122" s="1997"/>
      <c r="D122" s="1586"/>
      <c r="E122" s="2006" t="s">
        <v>3254</v>
      </c>
      <c r="F122" s="2007">
        <f t="shared" ref="F122:O122" si="121">SUM(F110:F121)</f>
        <v>23.000000000000004</v>
      </c>
      <c r="G122" s="2008">
        <f t="shared" si="121"/>
        <v>1.9999999999999996</v>
      </c>
      <c r="H122" s="2007">
        <f t="shared" si="121"/>
        <v>17.999999999999996</v>
      </c>
      <c r="I122" s="2008">
        <f t="shared" si="121"/>
        <v>2.0000000000000004</v>
      </c>
      <c r="J122" s="2007">
        <f t="shared" si="121"/>
        <v>12</v>
      </c>
      <c r="K122" s="2008">
        <f t="shared" si="121"/>
        <v>0.99999999999999645</v>
      </c>
      <c r="L122" s="2007">
        <f t="shared" si="121"/>
        <v>12</v>
      </c>
      <c r="M122" s="2008">
        <f t="shared" si="121"/>
        <v>0.99999999999999645</v>
      </c>
      <c r="N122" s="2007">
        <f t="shared" si="121"/>
        <v>8.0000000000000568</v>
      </c>
      <c r="O122" s="2009">
        <f t="shared" si="121"/>
        <v>0.99999999999999645</v>
      </c>
      <c r="P122" s="1585"/>
      <c r="Q122" s="2007">
        <f t="shared" ref="Q122:Z122" si="122">SUM(Q110:Q121)</f>
        <v>6</v>
      </c>
      <c r="R122" s="2008">
        <f t="shared" si="122"/>
        <v>0</v>
      </c>
      <c r="S122" s="2007">
        <f t="shared" si="122"/>
        <v>4.9999999999999964</v>
      </c>
      <c r="T122" s="2008">
        <f t="shared" si="122"/>
        <v>0.99999999999999911</v>
      </c>
      <c r="U122" s="2007">
        <f t="shared" si="122"/>
        <v>4.0000000000000071</v>
      </c>
      <c r="V122" s="2008">
        <f t="shared" si="122"/>
        <v>0</v>
      </c>
      <c r="W122" s="2007">
        <f t="shared" si="122"/>
        <v>3.9999999999999893</v>
      </c>
      <c r="X122" s="2008">
        <f t="shared" si="122"/>
        <v>1.0000000000000018</v>
      </c>
      <c r="Y122" s="2007">
        <f t="shared" si="122"/>
        <v>2.0000000000000142</v>
      </c>
      <c r="Z122" s="2009">
        <f t="shared" si="122"/>
        <v>1.0000000000000018</v>
      </c>
      <c r="AA122" s="1996"/>
      <c r="AB122" s="2007">
        <f t="shared" ref="AB122:AK122" si="123">SUM(AB110:AB121)</f>
        <v>2</v>
      </c>
      <c r="AC122" s="2008">
        <f t="shared" si="123"/>
        <v>0</v>
      </c>
      <c r="AD122" s="2007">
        <f t="shared" si="123"/>
        <v>3</v>
      </c>
      <c r="AE122" s="2008">
        <f t="shared" si="123"/>
        <v>0</v>
      </c>
      <c r="AF122" s="2007">
        <f t="shared" si="123"/>
        <v>0.99999999999999645</v>
      </c>
      <c r="AG122" s="2008">
        <f t="shared" si="123"/>
        <v>0.99999999999999911</v>
      </c>
      <c r="AH122" s="2007">
        <f t="shared" si="123"/>
        <v>0.99999999999999645</v>
      </c>
      <c r="AI122" s="2008">
        <f t="shared" si="123"/>
        <v>0</v>
      </c>
      <c r="AJ122" s="2007">
        <f t="shared" si="123"/>
        <v>0.99999999999999645</v>
      </c>
      <c r="AK122" s="2009">
        <f t="shared" si="123"/>
        <v>0</v>
      </c>
      <c r="AL122" s="1996"/>
      <c r="AM122" s="1853"/>
    </row>
    <row r="123" spans="1:39">
      <c r="A123" s="4"/>
      <c r="B123" s="1678"/>
      <c r="C123" s="1678"/>
      <c r="D123" s="1678"/>
      <c r="E123" s="1678"/>
      <c r="F123" s="1678"/>
      <c r="G123" s="1678"/>
      <c r="H123" s="1678"/>
      <c r="I123" s="1678"/>
      <c r="J123" s="1678"/>
      <c r="K123" s="1678"/>
      <c r="L123" s="1678"/>
      <c r="M123" s="1678"/>
      <c r="N123" s="1678"/>
      <c r="O123" s="1678"/>
      <c r="P123" s="1678"/>
      <c r="Q123" s="1678"/>
      <c r="R123" s="1678"/>
      <c r="S123" s="1678"/>
      <c r="T123" s="1678"/>
      <c r="U123" s="1678"/>
      <c r="V123" s="1678"/>
      <c r="W123" s="1678"/>
      <c r="X123" s="1678"/>
      <c r="Y123" s="1678"/>
      <c r="Z123" s="1678"/>
      <c r="AA123" s="1678"/>
      <c r="AB123" s="1678"/>
      <c r="AC123" s="1678"/>
      <c r="AD123" s="1678"/>
      <c r="AE123" s="1678"/>
      <c r="AF123" s="1678"/>
      <c r="AG123" s="1678"/>
      <c r="AH123" s="1678"/>
      <c r="AI123" s="1678"/>
      <c r="AJ123" s="1678"/>
      <c r="AK123" s="1678"/>
      <c r="AL123" s="1678"/>
      <c r="AM123" s="4"/>
    </row>
    <row r="124" spans="1:39">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row>
  </sheetData>
  <sheetProtection password="CC45" sheet="1" objects="1" scenarios="1"/>
  <mergeCells count="3">
    <mergeCell ref="F5:O5"/>
    <mergeCell ref="Q5:Z5"/>
    <mergeCell ref="AB5:AK5"/>
  </mergeCells>
  <phoneticPr fontId="18" type="noConversion"/>
  <pageMargins left="0.75" right="0.75" top="1" bottom="1" header="0.5" footer="0.5"/>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sheetPr codeName="Sheet23" enableFormatConditionsCalculation="0">
    <tabColor indexed="45"/>
    <pageSetUpPr fitToPage="1"/>
  </sheetPr>
  <dimension ref="A1:L77"/>
  <sheetViews>
    <sheetView zoomScale="70" workbookViewId="0"/>
  </sheetViews>
  <sheetFormatPr defaultRowHeight="12.75"/>
  <cols>
    <col min="1" max="2" width="2.7109375" customWidth="1"/>
    <col min="3" max="3" width="20.7109375" customWidth="1"/>
    <col min="4" max="9" width="13.7109375" customWidth="1"/>
  </cols>
  <sheetData>
    <row r="1" spans="1:9">
      <c r="A1" s="1"/>
      <c r="B1" s="1"/>
      <c r="C1" s="1"/>
      <c r="D1" s="1"/>
      <c r="E1" s="1"/>
      <c r="F1" s="1"/>
      <c r="G1" s="1"/>
      <c r="H1" s="1"/>
      <c r="I1" s="1"/>
    </row>
    <row r="2" spans="1:9">
      <c r="A2" s="1"/>
      <c r="B2" s="1"/>
      <c r="C2" s="1"/>
      <c r="D2" s="1"/>
      <c r="E2" s="1"/>
      <c r="F2" s="1"/>
      <c r="G2" s="1"/>
      <c r="H2" s="1"/>
      <c r="I2" s="1"/>
    </row>
    <row r="3" spans="1:9" ht="20.25">
      <c r="A3" s="1608" t="s">
        <v>516</v>
      </c>
      <c r="B3" s="1511"/>
      <c r="C3" s="1511"/>
      <c r="D3" s="1511"/>
      <c r="E3" s="1511"/>
      <c r="F3" s="1511"/>
      <c r="G3" s="1511"/>
      <c r="H3" s="1511"/>
      <c r="I3" s="1511"/>
    </row>
    <row r="6" spans="1:9">
      <c r="A6" s="1609" t="s">
        <v>2682</v>
      </c>
    </row>
    <row r="7" spans="1:9" ht="6" customHeight="1"/>
    <row r="8" spans="1:9">
      <c r="A8" t="s">
        <v>517</v>
      </c>
      <c r="D8" s="1610">
        <f ca="1">PtrCF!I15</f>
        <v>-1429179.768777879</v>
      </c>
      <c r="E8" s="1610"/>
    </row>
    <row r="9" spans="1:9">
      <c r="A9" t="s">
        <v>2577</v>
      </c>
      <c r="D9" s="1611">
        <v>0.8</v>
      </c>
    </row>
    <row r="11" spans="1:9">
      <c r="A11" t="s">
        <v>2578</v>
      </c>
      <c r="D11" s="1610">
        <f ca="1">D8-D12</f>
        <v>-285835.9537555757</v>
      </c>
    </row>
    <row r="12" spans="1:9">
      <c r="A12" t="s">
        <v>2579</v>
      </c>
      <c r="D12" s="1610">
        <f ca="1">D8*D9</f>
        <v>-1143343.8150223033</v>
      </c>
    </row>
    <row r="13" spans="1:9">
      <c r="D13" s="1612"/>
    </row>
    <row r="14" spans="1:9">
      <c r="A14" s="1609" t="s">
        <v>2580</v>
      </c>
      <c r="D14" s="1612"/>
    </row>
    <row r="15" spans="1:9" ht="6" customHeight="1">
      <c r="D15" s="1612"/>
    </row>
    <row r="16" spans="1:9">
      <c r="A16" t="s">
        <v>2581</v>
      </c>
      <c r="D16" s="1613">
        <v>0.06</v>
      </c>
    </row>
    <row r="17" spans="1:9">
      <c r="A17" t="s">
        <v>2582</v>
      </c>
      <c r="D17" s="1612">
        <v>10</v>
      </c>
    </row>
    <row r="18" spans="1:9">
      <c r="D18" s="1612"/>
    </row>
    <row r="19" spans="1:9">
      <c r="D19" s="1612"/>
    </row>
    <row r="21" spans="1:9">
      <c r="A21" s="1609" t="s">
        <v>2583</v>
      </c>
      <c r="D21" s="1614" t="str">
        <f>PtrCF!G19</f>
        <v>Year 0</v>
      </c>
      <c r="E21" s="1614" t="str">
        <f>PtrCF!H19</f>
        <v>Year 1</v>
      </c>
      <c r="F21" s="1614" t="str">
        <f>PtrCF!I19</f>
        <v>Year 2</v>
      </c>
      <c r="G21" s="1614" t="str">
        <f>PtrCF!J19</f>
        <v>Year 3</v>
      </c>
      <c r="H21" s="1614" t="str">
        <f>PtrCF!K19</f>
        <v>Year 4</v>
      </c>
      <c r="I21" s="1614" t="str">
        <f>PtrCF!L19</f>
        <v>Year 5</v>
      </c>
    </row>
    <row r="23" spans="1:9">
      <c r="A23" s="1615" t="s">
        <v>2584</v>
      </c>
    </row>
    <row r="24" spans="1:9">
      <c r="D24" s="1616"/>
      <c r="E24" s="1616"/>
      <c r="F24" s="1616"/>
      <c r="G24" s="1616"/>
      <c r="H24" s="1616"/>
      <c r="I24" s="1616"/>
    </row>
    <row r="25" spans="1:9">
      <c r="A25" t="str">
        <f>PtrCF!D41</f>
        <v>Partner Share @ 40.0%</v>
      </c>
      <c r="D25" s="1616">
        <f>PtrCF!G41</f>
        <v>-972118.62641622243</v>
      </c>
      <c r="E25" s="1616">
        <f>PtrCF!H41</f>
        <v>-251141.33659114214</v>
      </c>
      <c r="F25" s="1616">
        <f>PtrCF!I41</f>
        <v>-16798.35446752686</v>
      </c>
      <c r="G25" s="1616">
        <f>PtrCF!J41</f>
        <v>152097.1833459397</v>
      </c>
      <c r="H25" s="1616">
        <f>PtrCF!K41</f>
        <v>231325.56200528584</v>
      </c>
      <c r="I25" s="1616">
        <f>PtrCF!L41</f>
        <v>377848.47187969025</v>
      </c>
    </row>
    <row r="26" spans="1:9">
      <c r="D26" s="1616"/>
      <c r="E26" s="1616"/>
      <c r="F26" s="1616"/>
      <c r="G26" s="1616"/>
      <c r="H26" s="1616"/>
      <c r="I26" s="1616"/>
    </row>
    <row r="27" spans="1:9">
      <c r="B27" s="1617" t="s">
        <v>1383</v>
      </c>
      <c r="C27" s="1618"/>
      <c r="D27" s="1619">
        <f>IRR(D25:I25,0.1)</f>
        <v>-0.1124559952913351</v>
      </c>
    </row>
    <row r="30" spans="1:9">
      <c r="A30" s="1615" t="s">
        <v>2585</v>
      </c>
    </row>
    <row r="32" spans="1:9">
      <c r="A32" t="s">
        <v>2586</v>
      </c>
    </row>
    <row r="33" spans="1:12">
      <c r="C33" t="s">
        <v>2587</v>
      </c>
      <c r="D33" s="1610">
        <f ca="1">-D12</f>
        <v>1143343.8150223033</v>
      </c>
    </row>
    <row r="34" spans="1:12">
      <c r="C34" t="s">
        <v>2588</v>
      </c>
      <c r="E34" s="1620">
        <f t="shared" ref="E34:I35" ca="1" si="0">E49</f>
        <v>-65170.597456271287</v>
      </c>
      <c r="F34" s="1620">
        <f t="shared" ca="1" si="0"/>
        <v>-58310.534566137459</v>
      </c>
      <c r="G34" s="1620">
        <f t="shared" ca="1" si="0"/>
        <v>-51450.471676003654</v>
      </c>
      <c r="H34" s="1620">
        <f t="shared" ca="1" si="0"/>
        <v>-44590.408785869826</v>
      </c>
      <c r="I34" s="1620">
        <f t="shared" ca="1" si="0"/>
        <v>-37730.345895736013</v>
      </c>
    </row>
    <row r="35" spans="1:12">
      <c r="C35" t="s">
        <v>2589</v>
      </c>
      <c r="E35" s="1620">
        <f t="shared" ca="1" si="0"/>
        <v>-114334.38150223033</v>
      </c>
      <c r="F35" s="1620">
        <f t="shared" ca="1" si="0"/>
        <v>-114334.38150223033</v>
      </c>
      <c r="G35" s="1620">
        <f t="shared" ca="1" si="0"/>
        <v>-114334.38150223033</v>
      </c>
      <c r="H35" s="1620">
        <f t="shared" ca="1" si="0"/>
        <v>-114334.38150223033</v>
      </c>
      <c r="I35" s="1620">
        <f t="shared" ca="1" si="0"/>
        <v>-114334.38150223033</v>
      </c>
    </row>
    <row r="36" spans="1:12">
      <c r="C36" t="s">
        <v>2590</v>
      </c>
      <c r="I36" s="1620">
        <f ca="1">I47</f>
        <v>-571671.90751115174</v>
      </c>
    </row>
    <row r="37" spans="1:12" ht="6" customHeight="1">
      <c r="D37" s="1511"/>
      <c r="E37" s="1511"/>
      <c r="F37" s="1511"/>
      <c r="G37" s="1511"/>
      <c r="H37" s="1511"/>
      <c r="I37" s="1621"/>
    </row>
    <row r="38" spans="1:12" ht="6" customHeight="1"/>
    <row r="39" spans="1:12">
      <c r="B39" t="s">
        <v>2591</v>
      </c>
      <c r="D39" s="1610">
        <f t="shared" ref="D39:I39" ca="1" si="1">D25+SUM(D33:D37)</f>
        <v>171225.18860608083</v>
      </c>
      <c r="E39" s="1610">
        <f t="shared" ca="1" si="1"/>
        <v>-430646.31554964377</v>
      </c>
      <c r="F39" s="1610">
        <f t="shared" ca="1" si="1"/>
        <v>-189443.27053589464</v>
      </c>
      <c r="G39" s="1610">
        <f t="shared" ca="1" si="1"/>
        <v>-13687.669832294283</v>
      </c>
      <c r="H39" s="1610">
        <f t="shared" ca="1" si="1"/>
        <v>72400.771717185678</v>
      </c>
      <c r="I39" s="1610">
        <f t="shared" ca="1" si="1"/>
        <v>-345888.16302942781</v>
      </c>
    </row>
    <row r="41" spans="1:12">
      <c r="B41" s="1617" t="s">
        <v>1383</v>
      </c>
      <c r="C41" s="1618"/>
      <c r="D41" s="1619">
        <f ca="1">IRR(D39:I39,0.1)</f>
        <v>1.9149614584727952</v>
      </c>
      <c r="E41" s="1616"/>
      <c r="F41" s="1616"/>
      <c r="G41" s="1616"/>
      <c r="H41" s="1616"/>
      <c r="I41" s="1616"/>
      <c r="J41" s="1616"/>
      <c r="K41" s="1616"/>
      <c r="L41" s="1616"/>
    </row>
    <row r="42" spans="1:12">
      <c r="D42" s="1616"/>
      <c r="E42" s="1616"/>
      <c r="F42" s="1616"/>
      <c r="G42" s="1616"/>
      <c r="H42" s="1616"/>
      <c r="I42" s="1616"/>
      <c r="J42" s="1616"/>
      <c r="K42" s="1616"/>
      <c r="L42" s="1616"/>
    </row>
    <row r="43" spans="1:12">
      <c r="D43" s="1616"/>
      <c r="E43" s="1616"/>
      <c r="F43" s="1616"/>
      <c r="G43" s="1616"/>
      <c r="H43" s="1616"/>
      <c r="I43" s="1616"/>
      <c r="J43" s="1616"/>
      <c r="K43" s="1616"/>
      <c r="L43" s="1616"/>
    </row>
    <row r="44" spans="1:12">
      <c r="A44" s="1622" t="s">
        <v>2590</v>
      </c>
      <c r="D44" s="1616"/>
      <c r="E44" s="1616"/>
      <c r="F44" s="1616"/>
      <c r="G44" s="1616"/>
      <c r="H44" s="1616"/>
      <c r="I44" s="1616"/>
      <c r="J44" s="1616"/>
      <c r="K44" s="1616"/>
      <c r="L44" s="1616"/>
    </row>
    <row r="45" spans="1:12">
      <c r="D45" s="1616"/>
      <c r="E45" s="1616"/>
      <c r="F45" s="1616"/>
      <c r="G45" s="1616"/>
      <c r="H45" s="1616"/>
      <c r="I45" s="1616"/>
      <c r="J45" s="1616"/>
      <c r="K45" s="1616"/>
      <c r="L45" s="1616"/>
    </row>
    <row r="46" spans="1:12">
      <c r="B46" t="s">
        <v>2592</v>
      </c>
      <c r="D46" s="1616"/>
      <c r="E46" s="1616">
        <f ca="1">D12</f>
        <v>-1143343.8150223033</v>
      </c>
      <c r="F46" s="1616">
        <f ca="1">E47</f>
        <v>-1029009.433520073</v>
      </c>
      <c r="G46" s="1616">
        <f ca="1">F47</f>
        <v>-914675.05201784265</v>
      </c>
      <c r="H46" s="1616">
        <f ca="1">G47</f>
        <v>-800340.67051561235</v>
      </c>
      <c r="I46" s="1616">
        <f ca="1">H47</f>
        <v>-686006.28901338205</v>
      </c>
      <c r="J46" s="1616"/>
      <c r="K46" s="1616"/>
      <c r="L46" s="1616"/>
    </row>
    <row r="47" spans="1:12">
      <c r="B47" t="s">
        <v>2593</v>
      </c>
      <c r="D47" s="1616"/>
      <c r="E47" s="1616">
        <f ca="1">E46-($D$12/$D$17)</f>
        <v>-1029009.433520073</v>
      </c>
      <c r="F47" s="1616">
        <f ca="1">F46-($D$12/$D$17)</f>
        <v>-914675.05201784265</v>
      </c>
      <c r="G47" s="1616">
        <f ca="1">G46-($D$12/$D$17)</f>
        <v>-800340.67051561235</v>
      </c>
      <c r="H47" s="1616">
        <f ca="1">H46-($D$12/$D$17)</f>
        <v>-686006.28901338205</v>
      </c>
      <c r="I47" s="1616">
        <f ca="1">I46-($D$12/$D$17)</f>
        <v>-571671.90751115174</v>
      </c>
      <c r="J47" s="1616"/>
      <c r="K47" s="1616"/>
      <c r="L47" s="1616"/>
    </row>
    <row r="48" spans="1:12">
      <c r="D48" s="1616"/>
      <c r="E48" s="1616"/>
      <c r="F48" s="1616"/>
      <c r="G48" s="1616"/>
      <c r="H48" s="1616"/>
      <c r="I48" s="1616"/>
      <c r="J48" s="1616"/>
      <c r="K48" s="1616"/>
      <c r="L48" s="1616"/>
    </row>
    <row r="49" spans="2:12">
      <c r="B49" t="s">
        <v>2594</v>
      </c>
      <c r="D49" s="1616"/>
      <c r="E49" s="1616">
        <f ca="1">AVERAGE(E46:E47)*$D$16</f>
        <v>-65170.597456271287</v>
      </c>
      <c r="F49" s="1616">
        <f ca="1">AVERAGE(F46:F47)*$D$16</f>
        <v>-58310.534566137459</v>
      </c>
      <c r="G49" s="1616">
        <f ca="1">AVERAGE(G46:G47)*$D$16</f>
        <v>-51450.471676003654</v>
      </c>
      <c r="H49" s="1616">
        <f ca="1">AVERAGE(H46:H47)*$D$16</f>
        <v>-44590.408785869826</v>
      </c>
      <c r="I49" s="1616">
        <f ca="1">AVERAGE(I46:I47)*$D$16</f>
        <v>-37730.345895736013</v>
      </c>
      <c r="J49" s="1616"/>
      <c r="K49" s="1616"/>
      <c r="L49" s="1616"/>
    </row>
    <row r="50" spans="2:12">
      <c r="B50" t="s">
        <v>2589</v>
      </c>
      <c r="D50" s="1616"/>
      <c r="E50" s="1616">
        <f ca="1">$D$12/$D$17</f>
        <v>-114334.38150223033</v>
      </c>
      <c r="F50" s="1616">
        <f ca="1">$D$12/$D$17</f>
        <v>-114334.38150223033</v>
      </c>
      <c r="G50" s="1616">
        <f ca="1">$D$12/$D$17</f>
        <v>-114334.38150223033</v>
      </c>
      <c r="H50" s="1616">
        <f ca="1">$D$12/$D$17</f>
        <v>-114334.38150223033</v>
      </c>
      <c r="I50" s="1616">
        <f ca="1">$D$12/$D$17</f>
        <v>-114334.38150223033</v>
      </c>
      <c r="J50" s="1616"/>
      <c r="K50" s="1616"/>
      <c r="L50" s="1616"/>
    </row>
    <row r="51" spans="2:12">
      <c r="D51" s="1616"/>
      <c r="E51" s="1616"/>
      <c r="F51" s="1616"/>
      <c r="G51" s="1616"/>
      <c r="H51" s="1616"/>
      <c r="I51" s="1616"/>
      <c r="J51" s="1616"/>
      <c r="K51" s="1616"/>
      <c r="L51" s="1616"/>
    </row>
    <row r="52" spans="2:12">
      <c r="D52" s="1616"/>
      <c r="E52" s="1616"/>
      <c r="F52" s="1616"/>
      <c r="G52" s="1616"/>
      <c r="H52" s="1616"/>
      <c r="I52" s="1616"/>
      <c r="J52" s="1616"/>
      <c r="K52" s="1616"/>
      <c r="L52" s="1616"/>
    </row>
    <row r="53" spans="2:12">
      <c r="D53" s="1616"/>
      <c r="E53" s="1616"/>
      <c r="F53" s="1616"/>
      <c r="G53" s="1616"/>
      <c r="H53" s="1616"/>
      <c r="I53" s="1616"/>
      <c r="J53" s="1616"/>
      <c r="K53" s="1616"/>
      <c r="L53" s="1616"/>
    </row>
    <row r="54" spans="2:12">
      <c r="D54" s="1616"/>
      <c r="E54" s="1616"/>
      <c r="F54" s="1616"/>
      <c r="G54" s="1616"/>
      <c r="H54" s="1616"/>
      <c r="I54" s="1616"/>
      <c r="J54" s="1616"/>
      <c r="K54" s="1616"/>
      <c r="L54" s="1616"/>
    </row>
    <row r="55" spans="2:12">
      <c r="D55" s="1616"/>
      <c r="E55" s="1616"/>
      <c r="F55" s="1616"/>
      <c r="G55" s="1616"/>
      <c r="H55" s="1616"/>
      <c r="I55" s="1616"/>
      <c r="J55" s="1616"/>
      <c r="K55" s="1616"/>
      <c r="L55" s="1616"/>
    </row>
    <row r="56" spans="2:12">
      <c r="D56" s="1616"/>
      <c r="E56" s="1616"/>
      <c r="F56" s="1616"/>
      <c r="G56" s="1616"/>
      <c r="H56" s="1616"/>
      <c r="I56" s="1616"/>
      <c r="J56" s="1616"/>
      <c r="K56" s="1616"/>
      <c r="L56" s="1616"/>
    </row>
    <row r="57" spans="2:12">
      <c r="D57" s="1616"/>
      <c r="E57" s="1616"/>
      <c r="F57" s="1616"/>
      <c r="G57" s="1616"/>
      <c r="H57" s="1616"/>
      <c r="I57" s="1616"/>
      <c r="J57" s="1616"/>
      <c r="K57" s="1616"/>
      <c r="L57" s="1616"/>
    </row>
    <row r="58" spans="2:12">
      <c r="D58" s="1616"/>
      <c r="E58" s="1616"/>
      <c r="F58" s="1616"/>
      <c r="G58" s="1616"/>
      <c r="H58" s="1616"/>
      <c r="I58" s="1616"/>
      <c r="J58" s="1616"/>
      <c r="K58" s="1616"/>
      <c r="L58" s="1616"/>
    </row>
    <row r="59" spans="2:12">
      <c r="D59" s="1616"/>
      <c r="E59" s="1616"/>
      <c r="F59" s="1616"/>
      <c r="G59" s="1616"/>
      <c r="H59" s="1616"/>
      <c r="I59" s="1616"/>
      <c r="J59" s="1616"/>
      <c r="K59" s="1616"/>
      <c r="L59" s="1616"/>
    </row>
    <row r="60" spans="2:12">
      <c r="D60" s="1616"/>
      <c r="E60" s="1616"/>
      <c r="F60" s="1616"/>
      <c r="G60" s="1616"/>
      <c r="H60" s="1616"/>
      <c r="I60" s="1616"/>
      <c r="J60" s="1616"/>
      <c r="K60" s="1616"/>
      <c r="L60" s="1616"/>
    </row>
    <row r="61" spans="2:12">
      <c r="D61" s="1616"/>
      <c r="E61" s="1616"/>
      <c r="F61" s="1616"/>
      <c r="G61" s="1616"/>
      <c r="H61" s="1616"/>
      <c r="I61" s="1616"/>
      <c r="J61" s="1616"/>
      <c r="K61" s="1616"/>
      <c r="L61" s="1616"/>
    </row>
    <row r="62" spans="2:12">
      <c r="D62" s="1616"/>
      <c r="E62" s="1616"/>
      <c r="F62" s="1616"/>
      <c r="G62" s="1616"/>
      <c r="H62" s="1616"/>
      <c r="I62" s="1616"/>
      <c r="J62" s="1616"/>
      <c r="K62" s="1616"/>
      <c r="L62" s="1616"/>
    </row>
    <row r="63" spans="2:12">
      <c r="D63" s="1616"/>
      <c r="E63" s="1616"/>
      <c r="F63" s="1616"/>
      <c r="G63" s="1616"/>
      <c r="H63" s="1616"/>
      <c r="I63" s="1616"/>
      <c r="J63" s="1616"/>
      <c r="K63" s="1616"/>
      <c r="L63" s="1616"/>
    </row>
    <row r="64" spans="2:12">
      <c r="D64" s="1616"/>
      <c r="E64" s="1616"/>
      <c r="F64" s="1616"/>
      <c r="G64" s="1616"/>
      <c r="H64" s="1616"/>
      <c r="I64" s="1616"/>
      <c r="J64" s="1616"/>
      <c r="K64" s="1616"/>
      <c r="L64" s="1616"/>
    </row>
    <row r="65" spans="4:12">
      <c r="D65" s="1616"/>
      <c r="E65" s="1616"/>
      <c r="F65" s="1616"/>
      <c r="G65" s="1616"/>
      <c r="H65" s="1616"/>
      <c r="I65" s="1616"/>
      <c r="J65" s="1616"/>
      <c r="K65" s="1616"/>
      <c r="L65" s="1616"/>
    </row>
    <row r="66" spans="4:12">
      <c r="D66" s="1616"/>
      <c r="E66" s="1616"/>
      <c r="F66" s="1616"/>
      <c r="G66" s="1616"/>
      <c r="H66" s="1616"/>
      <c r="I66" s="1616"/>
      <c r="J66" s="1616"/>
      <c r="K66" s="1616"/>
      <c r="L66" s="1616"/>
    </row>
    <row r="67" spans="4:12">
      <c r="D67" s="1616"/>
      <c r="E67" s="1616"/>
      <c r="F67" s="1616"/>
      <c r="G67" s="1616"/>
      <c r="H67" s="1616"/>
      <c r="I67" s="1616"/>
      <c r="J67" s="1616"/>
      <c r="K67" s="1616"/>
      <c r="L67" s="1616"/>
    </row>
    <row r="68" spans="4:12">
      <c r="D68" s="1616"/>
      <c r="E68" s="1616"/>
      <c r="F68" s="1616"/>
      <c r="G68" s="1616"/>
      <c r="H68" s="1616"/>
      <c r="I68" s="1616"/>
      <c r="J68" s="1616"/>
      <c r="K68" s="1616"/>
      <c r="L68" s="1616"/>
    </row>
    <row r="69" spans="4:12">
      <c r="D69" s="1616"/>
      <c r="E69" s="1616"/>
      <c r="F69" s="1616"/>
      <c r="G69" s="1616"/>
      <c r="H69" s="1616"/>
      <c r="I69" s="1616"/>
      <c r="J69" s="1616"/>
      <c r="K69" s="1616"/>
      <c r="L69" s="1616"/>
    </row>
    <row r="70" spans="4:12">
      <c r="D70" s="1616"/>
      <c r="E70" s="1616"/>
      <c r="F70" s="1616"/>
      <c r="G70" s="1616"/>
      <c r="H70" s="1616"/>
      <c r="I70" s="1616"/>
      <c r="J70" s="1616"/>
      <c r="K70" s="1616"/>
      <c r="L70" s="1616"/>
    </row>
    <row r="71" spans="4:12">
      <c r="D71" s="1616"/>
      <c r="E71" s="1616"/>
      <c r="F71" s="1616"/>
      <c r="G71" s="1616"/>
      <c r="H71" s="1616"/>
      <c r="I71" s="1616"/>
      <c r="J71" s="1616"/>
      <c r="K71" s="1616"/>
      <c r="L71" s="1616"/>
    </row>
    <row r="72" spans="4:12">
      <c r="D72" s="1616"/>
      <c r="E72" s="1616"/>
      <c r="F72" s="1616"/>
      <c r="G72" s="1616"/>
      <c r="H72" s="1616"/>
      <c r="I72" s="1616"/>
      <c r="J72" s="1616"/>
      <c r="K72" s="1616"/>
      <c r="L72" s="1616"/>
    </row>
    <row r="73" spans="4:12">
      <c r="D73" s="1616"/>
      <c r="E73" s="1616"/>
      <c r="F73" s="1616"/>
      <c r="G73" s="1616"/>
      <c r="H73" s="1616"/>
      <c r="I73" s="1616"/>
      <c r="J73" s="1616"/>
      <c r="K73" s="1616"/>
      <c r="L73" s="1616"/>
    </row>
    <row r="74" spans="4:12">
      <c r="D74" s="1616"/>
      <c r="E74" s="1616"/>
      <c r="F74" s="1616"/>
      <c r="G74" s="1616"/>
      <c r="H74" s="1616"/>
      <c r="I74" s="1616"/>
      <c r="J74" s="1616"/>
      <c r="K74" s="1616"/>
      <c r="L74" s="1616"/>
    </row>
    <row r="75" spans="4:12">
      <c r="D75" s="1616"/>
      <c r="E75" s="1616"/>
      <c r="F75" s="1616"/>
      <c r="G75" s="1616"/>
      <c r="H75" s="1616"/>
      <c r="I75" s="1616"/>
      <c r="J75" s="1616"/>
      <c r="K75" s="1616"/>
      <c r="L75" s="1616"/>
    </row>
    <row r="76" spans="4:12">
      <c r="D76" s="1616"/>
      <c r="E76" s="1616"/>
      <c r="F76" s="1616"/>
      <c r="G76" s="1616"/>
      <c r="H76" s="1616"/>
      <c r="I76" s="1616"/>
      <c r="J76" s="1616"/>
      <c r="K76" s="1616"/>
      <c r="L76" s="1616"/>
    </row>
    <row r="77" spans="4:12">
      <c r="D77" s="1616"/>
      <c r="E77" s="1616"/>
      <c r="F77" s="1616"/>
      <c r="G77" s="1616"/>
      <c r="H77" s="1616"/>
      <c r="I77" s="1616"/>
      <c r="J77" s="1616"/>
      <c r="K77" s="1616"/>
      <c r="L77" s="1616"/>
    </row>
  </sheetData>
  <phoneticPr fontId="18" type="noConversion"/>
  <pageMargins left="0.75" right="0.75" top="1" bottom="1" header="0.5" footer="0.5"/>
  <pageSetup scale="84" orientation="portrait" r:id="rId1"/>
  <headerFooter alignWithMargins="0"/>
</worksheet>
</file>

<file path=xl/worksheets/sheet6.xml><?xml version="1.0" encoding="utf-8"?>
<worksheet xmlns="http://schemas.openxmlformats.org/spreadsheetml/2006/main" xmlns:r="http://schemas.openxmlformats.org/officeDocument/2006/relationships">
  <sheetPr codeName="Sheet28" enableFormatConditionsCalculation="0">
    <tabColor indexed="47"/>
    <pageSetUpPr fitToPage="1"/>
  </sheetPr>
  <dimension ref="A1:O29"/>
  <sheetViews>
    <sheetView view="pageBreakPreview" topLeftCell="A495" zoomScaleNormal="75" zoomScaleSheetLayoutView="100" workbookViewId="0"/>
  </sheetViews>
  <sheetFormatPr defaultRowHeight="12.75" outlineLevelRow="1"/>
  <cols>
    <col min="1" max="1" width="1.7109375" style="1570" customWidth="1"/>
    <col min="2" max="2" width="32.140625" style="1571" customWidth="1"/>
    <col min="3" max="15" width="12.7109375" style="1571" customWidth="1"/>
    <col min="16" max="16384" width="9.140625" style="1571"/>
  </cols>
  <sheetData>
    <row r="1" spans="1:15" s="1578" customFormat="1" ht="18">
      <c r="A1" s="1576"/>
      <c r="B1" s="1577" t="str">
        <f>Project</f>
        <v>Southbend Downtown</v>
      </c>
    </row>
    <row r="2" spans="1:15" s="1581" customFormat="1">
      <c r="A2" s="1579"/>
      <c r="B2" s="1580" t="s">
        <v>2494</v>
      </c>
      <c r="D2" s="1582"/>
    </row>
    <row r="3" spans="1:15" s="1584" customFormat="1">
      <c r="A3" s="1583"/>
    </row>
    <row r="4" spans="1:15" s="1586" customFormat="1">
      <c r="A4" s="1585"/>
      <c r="C4" s="1587" t="s">
        <v>345</v>
      </c>
      <c r="D4" s="1587" t="s">
        <v>346</v>
      </c>
      <c r="E4" s="1587" t="s">
        <v>347</v>
      </c>
      <c r="F4" s="1587" t="s">
        <v>348</v>
      </c>
      <c r="G4" s="1587" t="s">
        <v>349</v>
      </c>
      <c r="H4" s="1587" t="s">
        <v>350</v>
      </c>
      <c r="I4" s="1587" t="s">
        <v>351</v>
      </c>
      <c r="J4" s="1587" t="s">
        <v>352</v>
      </c>
      <c r="K4" s="1587" t="s">
        <v>353</v>
      </c>
      <c r="L4" s="1587" t="s">
        <v>3653</v>
      </c>
      <c r="M4" s="1587" t="s">
        <v>3654</v>
      </c>
      <c r="N4" s="1587" t="s">
        <v>3655</v>
      </c>
      <c r="O4" s="1587" t="s">
        <v>3656</v>
      </c>
    </row>
    <row r="5" spans="1:15" s="1584" customFormat="1">
      <c r="A5" s="1583"/>
      <c r="B5" s="1584" t="s">
        <v>2495</v>
      </c>
      <c r="D5" s="1588">
        <f>'5. Financials'!R69</f>
        <v>34793.333012901297</v>
      </c>
      <c r="E5" s="1588">
        <f>'5. Financials'!S69</f>
        <v>44876.114520261865</v>
      </c>
      <c r="F5" s="1588">
        <f>'5. Financials'!T69</f>
        <v>54958.896027622432</v>
      </c>
      <c r="G5" s="1588">
        <f>'5. Financials'!U69</f>
        <v>65041.677534982999</v>
      </c>
      <c r="H5" s="1588">
        <f>'5. Financials'!V69</f>
        <v>75124.459042343573</v>
      </c>
      <c r="I5" s="1588">
        <f>'5. Financials'!W69</f>
        <v>85207.240549704133</v>
      </c>
      <c r="J5" s="1588">
        <f>'5. Financials'!X69</f>
        <v>95290.022057064707</v>
      </c>
      <c r="K5" s="1588">
        <f>'5. Financials'!Y69</f>
        <v>105372.80356442525</v>
      </c>
      <c r="L5" s="1588">
        <f>'5. Financials'!Z69</f>
        <v>115455.58507178584</v>
      </c>
      <c r="M5" s="1588">
        <f>'5. Financials'!AA69</f>
        <v>125538.3665791464</v>
      </c>
      <c r="N5" s="1588">
        <f>'5. Financials'!AB69</f>
        <v>135621.14808650699</v>
      </c>
      <c r="O5" s="1588">
        <f>'5. Financials'!AC69</f>
        <v>145703.92959386754</v>
      </c>
    </row>
    <row r="6" spans="1:15" s="1584" customFormat="1">
      <c r="A6" s="1583"/>
      <c r="B6" s="1584" t="s">
        <v>2496</v>
      </c>
      <c r="D6" s="1589">
        <f>'5. Financials'!R70</f>
        <v>0</v>
      </c>
      <c r="E6" s="1589">
        <f>'5. Financials'!S70</f>
        <v>0</v>
      </c>
      <c r="F6" s="1589">
        <f>'5. Financials'!T70</f>
        <v>0</v>
      </c>
      <c r="G6" s="1589">
        <f>'5. Financials'!U70</f>
        <v>0</v>
      </c>
      <c r="H6" s="1589">
        <f>'5. Financials'!V70</f>
        <v>0</v>
      </c>
      <c r="I6" s="1589">
        <f>'5. Financials'!W70</f>
        <v>0</v>
      </c>
      <c r="J6" s="1589">
        <f>'5. Financials'!X70</f>
        <v>0</v>
      </c>
      <c r="K6" s="1589">
        <f>'5. Financials'!Y70</f>
        <v>169188.69194984398</v>
      </c>
      <c r="L6" s="1589">
        <f>'5. Financials'!Z70</f>
        <v>247209.25938792032</v>
      </c>
      <c r="M6" s="1589">
        <f>'5. Financials'!AA70</f>
        <v>103346.6264356287</v>
      </c>
      <c r="N6" s="1589">
        <f>'5. Financials'!AB70</f>
        <v>113429.40794298926</v>
      </c>
      <c r="O6" s="1589">
        <f>'5. Financials'!AC70</f>
        <v>123512.18945034985</v>
      </c>
    </row>
    <row r="7" spans="1:15" hidden="1" outlineLevel="1">
      <c r="B7" s="1572" t="s">
        <v>1405</v>
      </c>
      <c r="D7" s="1573">
        <f>SUM($D5:D5)-SUM($D6:D6)</f>
        <v>34793.333012901297</v>
      </c>
      <c r="E7" s="1573">
        <f>SUM($D5:E5)-SUM($D6:E6)</f>
        <v>79669.447533163155</v>
      </c>
      <c r="F7" s="1573">
        <f>SUM($D5:F5)-SUM($D6:F6)</f>
        <v>134628.34356078558</v>
      </c>
      <c r="G7" s="1573">
        <f>SUM($D5:G5)-SUM($D6:G6)</f>
        <v>199670.02109576858</v>
      </c>
      <c r="H7" s="1573">
        <f>SUM($D5:H5)-SUM($D6:H6)</f>
        <v>274794.48013811215</v>
      </c>
      <c r="I7" s="1573">
        <f>SUM($D5:I5)-SUM($D6:I6)</f>
        <v>360001.72068781627</v>
      </c>
      <c r="J7" s="1573">
        <f>SUM($D5:J5)-SUM($D6:J6)</f>
        <v>455291.74274488096</v>
      </c>
      <c r="K7" s="1573">
        <f>SUM($D5:K5)-SUM($D6:K6)</f>
        <v>391475.85435946216</v>
      </c>
      <c r="L7" s="1573">
        <f>SUM($D5:L5)-SUM($D6:L6)</f>
        <v>259722.18004332774</v>
      </c>
      <c r="M7" s="1573">
        <f>SUM($D5:M5)-SUM($D6:M6)</f>
        <v>281913.92018684541</v>
      </c>
      <c r="N7" s="1573">
        <f>SUM($D5:N5)-SUM($D6:N6)</f>
        <v>304105.66033036308</v>
      </c>
      <c r="O7" s="1573">
        <f>SUM($D5:O5)-SUM($D6:O6)</f>
        <v>326297.40047388081</v>
      </c>
    </row>
    <row r="8" spans="1:15" s="1584" customFormat="1" collapsed="1">
      <c r="A8" s="1583"/>
      <c r="B8" s="1584" t="s">
        <v>2497</v>
      </c>
      <c r="D8" s="1589">
        <f>'5. Financials'!R94</f>
        <v>93301.443436468559</v>
      </c>
      <c r="E8" s="1589">
        <f>'5. Financials'!S94</f>
        <v>96378.014766148481</v>
      </c>
      <c r="F8" s="1589">
        <f>'5. Financials'!T94</f>
        <v>99454.586095828403</v>
      </c>
      <c r="G8" s="1589">
        <f>'5. Financials'!U94</f>
        <v>102531.15742550833</v>
      </c>
      <c r="H8" s="1589">
        <f>'5. Financials'!V94</f>
        <v>105607.72875518825</v>
      </c>
      <c r="I8" s="1589">
        <f>'5. Financials'!W94</f>
        <v>108684.30008486818</v>
      </c>
      <c r="J8" s="1589">
        <f>'5. Financials'!X94</f>
        <v>116162.53808121478</v>
      </c>
      <c r="K8" s="1589">
        <f>'5. Financials'!Y94</f>
        <v>119239.10941089469</v>
      </c>
      <c r="L8" s="1589">
        <f>'5. Financials'!Z94</f>
        <v>122315.68074057461</v>
      </c>
      <c r="M8" s="1589">
        <f>'5. Financials'!AA94</f>
        <v>127245.58540358787</v>
      </c>
      <c r="N8" s="1589">
        <f>'5. Financials'!AB94</f>
        <v>130322.1567332678</v>
      </c>
      <c r="O8" s="1589">
        <f>'5. Financials'!AC94</f>
        <v>133398.72806294775</v>
      </c>
    </row>
    <row r="9" spans="1:15" hidden="1" outlineLevel="1">
      <c r="B9" s="1572" t="s">
        <v>3528</v>
      </c>
      <c r="D9" s="1574">
        <f t="shared" ref="D9:O9" si="0">D5-D8</f>
        <v>-58508.110423567261</v>
      </c>
      <c r="E9" s="1574">
        <f t="shared" si="0"/>
        <v>-51501.900245886616</v>
      </c>
      <c r="F9" s="1574">
        <f t="shared" si="0"/>
        <v>-44495.690068205971</v>
      </c>
      <c r="G9" s="1574">
        <f t="shared" si="0"/>
        <v>-37489.479890525326</v>
      </c>
      <c r="H9" s="1574">
        <f t="shared" si="0"/>
        <v>-30483.269712844674</v>
      </c>
      <c r="I9" s="1574">
        <f t="shared" si="0"/>
        <v>-23477.059535164051</v>
      </c>
      <c r="J9" s="1574">
        <f t="shared" si="0"/>
        <v>-20872.516024150071</v>
      </c>
      <c r="K9" s="1574">
        <f t="shared" si="0"/>
        <v>-13866.305846469433</v>
      </c>
      <c r="L9" s="1574">
        <f t="shared" si="0"/>
        <v>-6860.0956687887665</v>
      </c>
      <c r="M9" s="1574">
        <f t="shared" si="0"/>
        <v>-1707.218824441472</v>
      </c>
      <c r="N9" s="1574">
        <f t="shared" si="0"/>
        <v>5298.9913532391947</v>
      </c>
      <c r="O9" s="1574">
        <f t="shared" si="0"/>
        <v>12305.201530919789</v>
      </c>
    </row>
    <row r="10" spans="1:15" hidden="1" outlineLevel="1">
      <c r="B10" s="1572" t="s">
        <v>3927</v>
      </c>
      <c r="D10" s="1574">
        <f>'5. Financials'!R97</f>
        <v>13159.418194444444</v>
      </c>
      <c r="E10" s="1574">
        <f>'5. Financials'!S97</f>
        <v>13159.418194444444</v>
      </c>
      <c r="F10" s="1574">
        <f>'5. Financials'!T97</f>
        <v>13159.418194444444</v>
      </c>
      <c r="G10" s="1574">
        <f>'5. Financials'!U97</f>
        <v>13159.418194444444</v>
      </c>
      <c r="H10" s="1574">
        <f>'5. Financials'!V97</f>
        <v>13159.418194444444</v>
      </c>
      <c r="I10" s="1574">
        <f>'5. Financials'!W97</f>
        <v>13159.418194444444</v>
      </c>
      <c r="J10" s="1574">
        <f>'5. Financials'!X97</f>
        <v>13159.418194444444</v>
      </c>
      <c r="K10" s="1574">
        <f>'5. Financials'!Y97</f>
        <v>13159.418194444444</v>
      </c>
      <c r="L10" s="1574">
        <f>'5. Financials'!Z97</f>
        <v>13159.418194444444</v>
      </c>
      <c r="M10" s="1574">
        <f>'5. Financials'!AA97</f>
        <v>13159.418194444444</v>
      </c>
      <c r="N10" s="1574">
        <f>'5. Financials'!AB97</f>
        <v>13159.418194444444</v>
      </c>
      <c r="O10" s="1574">
        <f>'5. Financials'!AC97</f>
        <v>13159.418194444444</v>
      </c>
    </row>
    <row r="11" spans="1:15" hidden="1" outlineLevel="1">
      <c r="B11" s="1572" t="s">
        <v>1701</v>
      </c>
      <c r="D11" s="1574">
        <f>'5. Financials'!R98</f>
        <v>543.75</v>
      </c>
      <c r="E11" s="1574">
        <f>'5. Financials'!S98</f>
        <v>543.75</v>
      </c>
      <c r="F11" s="1574">
        <f>'5. Financials'!T98</f>
        <v>543.75</v>
      </c>
      <c r="G11" s="1574">
        <f>'5. Financials'!U98</f>
        <v>543.75</v>
      </c>
      <c r="H11" s="1574">
        <f>'5. Financials'!V98</f>
        <v>543.75</v>
      </c>
      <c r="I11" s="1574">
        <f>'5. Financials'!W98</f>
        <v>543.75</v>
      </c>
      <c r="J11" s="1574">
        <f>'5. Financials'!X98</f>
        <v>543.75</v>
      </c>
      <c r="K11" s="1574">
        <f>'5. Financials'!Y98</f>
        <v>543.75</v>
      </c>
      <c r="L11" s="1574">
        <f>'5. Financials'!Z98</f>
        <v>543.75</v>
      </c>
      <c r="M11" s="1574">
        <f>'5. Financials'!AA98</f>
        <v>543.75</v>
      </c>
      <c r="N11" s="1574">
        <f>'5. Financials'!AB98</f>
        <v>543.75</v>
      </c>
      <c r="O11" s="1574">
        <f>'5. Financials'!AC98</f>
        <v>543.75</v>
      </c>
    </row>
    <row r="12" spans="1:15" hidden="1" outlineLevel="1">
      <c r="B12" s="1572" t="s">
        <v>3527</v>
      </c>
      <c r="D12" s="1573">
        <f>D9-D10-D11</f>
        <v>-72211.278618011711</v>
      </c>
      <c r="E12" s="1573">
        <f t="shared" ref="E12:O12" si="1">E9-E10-E11</f>
        <v>-65205.068440331059</v>
      </c>
      <c r="F12" s="1573">
        <f t="shared" si="1"/>
        <v>-58198.858262650414</v>
      </c>
      <c r="G12" s="1573">
        <f t="shared" si="1"/>
        <v>-51192.648084969769</v>
      </c>
      <c r="H12" s="1573">
        <f t="shared" si="1"/>
        <v>-44186.437907289117</v>
      </c>
      <c r="I12" s="1573">
        <f t="shared" si="1"/>
        <v>-37180.227729608494</v>
      </c>
      <c r="J12" s="1573">
        <f t="shared" si="1"/>
        <v>-34575.684218594513</v>
      </c>
      <c r="K12" s="1573">
        <f t="shared" si="1"/>
        <v>-27569.474040913876</v>
      </c>
      <c r="L12" s="1573">
        <f t="shared" si="1"/>
        <v>-20563.263863233209</v>
      </c>
      <c r="M12" s="1573">
        <f t="shared" si="1"/>
        <v>-15410.387018885916</v>
      </c>
      <c r="N12" s="1573">
        <f t="shared" si="1"/>
        <v>-8404.1768412052497</v>
      </c>
      <c r="O12" s="1573">
        <f t="shared" si="1"/>
        <v>-1397.9666635246558</v>
      </c>
    </row>
    <row r="13" spans="1:15" hidden="1" outlineLevel="1">
      <c r="B13" s="1572" t="s">
        <v>3847</v>
      </c>
      <c r="D13" s="1573">
        <f>D10+D11</f>
        <v>13703.168194444444</v>
      </c>
      <c r="E13" s="1573">
        <f t="shared" ref="E13:O13" si="2">E10+E11</f>
        <v>13703.168194444444</v>
      </c>
      <c r="F13" s="1573">
        <f t="shared" si="2"/>
        <v>13703.168194444444</v>
      </c>
      <c r="G13" s="1573">
        <f t="shared" si="2"/>
        <v>13703.168194444444</v>
      </c>
      <c r="H13" s="1573">
        <f t="shared" si="2"/>
        <v>13703.168194444444</v>
      </c>
      <c r="I13" s="1573">
        <f t="shared" si="2"/>
        <v>13703.168194444444</v>
      </c>
      <c r="J13" s="1573">
        <f t="shared" si="2"/>
        <v>13703.168194444444</v>
      </c>
      <c r="K13" s="1573">
        <f t="shared" si="2"/>
        <v>13703.168194444444</v>
      </c>
      <c r="L13" s="1573">
        <f t="shared" si="2"/>
        <v>13703.168194444444</v>
      </c>
      <c r="M13" s="1573">
        <f t="shared" si="2"/>
        <v>13703.168194444444</v>
      </c>
      <c r="N13" s="1573">
        <f t="shared" si="2"/>
        <v>13703.168194444444</v>
      </c>
      <c r="O13" s="1573">
        <f t="shared" si="2"/>
        <v>13703.168194444444</v>
      </c>
    </row>
    <row r="14" spans="1:15" hidden="1" outlineLevel="1">
      <c r="B14" s="1572" t="s">
        <v>3848</v>
      </c>
      <c r="D14" s="1573"/>
      <c r="E14" s="1573"/>
      <c r="F14" s="1573"/>
      <c r="G14" s="1573"/>
      <c r="H14" s="1573"/>
      <c r="I14" s="1573"/>
      <c r="J14" s="1573"/>
      <c r="K14" s="1573"/>
      <c r="L14" s="1573"/>
      <c r="M14" s="1573"/>
      <c r="N14" s="1573"/>
      <c r="O14" s="1573"/>
    </row>
    <row r="15" spans="1:15" hidden="1" outlineLevel="1">
      <c r="B15" s="1575" t="s">
        <v>1405</v>
      </c>
      <c r="D15" s="1573">
        <f t="shared" ref="D15:O15" si="3">C7-D7</f>
        <v>-34793.333012901297</v>
      </c>
      <c r="E15" s="1573">
        <f t="shared" si="3"/>
        <v>-44876.114520261857</v>
      </c>
      <c r="F15" s="1573">
        <f t="shared" si="3"/>
        <v>-54958.896027622424</v>
      </c>
      <c r="G15" s="1573">
        <f t="shared" si="3"/>
        <v>-65041.677534982999</v>
      </c>
      <c r="H15" s="1573">
        <f t="shared" si="3"/>
        <v>-75124.459042343573</v>
      </c>
      <c r="I15" s="1573">
        <f t="shared" si="3"/>
        <v>-85207.240549704118</v>
      </c>
      <c r="J15" s="1573">
        <f t="shared" si="3"/>
        <v>-95290.022057064692</v>
      </c>
      <c r="K15" s="1573">
        <f t="shared" si="3"/>
        <v>63815.888385418802</v>
      </c>
      <c r="L15" s="1573">
        <f t="shared" si="3"/>
        <v>131753.67431613442</v>
      </c>
      <c r="M15" s="1573">
        <f t="shared" si="3"/>
        <v>-22191.740143517673</v>
      </c>
      <c r="N15" s="1573">
        <f t="shared" si="3"/>
        <v>-22191.740143517673</v>
      </c>
      <c r="O15" s="1573">
        <f t="shared" si="3"/>
        <v>-22191.740143517731</v>
      </c>
    </row>
    <row r="16" spans="1:15" hidden="1" outlineLevel="1">
      <c r="B16" s="1575" t="s">
        <v>1406</v>
      </c>
      <c r="D16" s="1573">
        <f>'5. Financials'!R182</f>
        <v>-1620.3609013048967</v>
      </c>
      <c r="E16" s="1573">
        <f>'5. Financials'!S182</f>
        <v>-909.35388868694827</v>
      </c>
      <c r="F16" s="1573">
        <f>'5. Financials'!T182</f>
        <v>-909.35388868694918</v>
      </c>
      <c r="G16" s="1573">
        <f>'5. Financials'!U182</f>
        <v>-909.35388868694781</v>
      </c>
      <c r="H16" s="1573">
        <f>'5. Financials'!V182</f>
        <v>-909.35388868694827</v>
      </c>
      <c r="I16" s="1573">
        <f>'5. Financials'!W182</f>
        <v>-909.35388868694736</v>
      </c>
      <c r="J16" s="1573">
        <f>'5. Financials'!X182</f>
        <v>-909.35388868694918</v>
      </c>
      <c r="K16" s="1573">
        <f>'5. Financials'!Y182</f>
        <v>-909.35388868695009</v>
      </c>
      <c r="L16" s="1573">
        <f>'5. Financials'!Z182</f>
        <v>-909.35388868695009</v>
      </c>
      <c r="M16" s="1573">
        <f>'5. Financials'!AA182</f>
        <v>-909.35388868694645</v>
      </c>
      <c r="N16" s="1573">
        <f>'5. Financials'!AB182</f>
        <v>-909.35388868695009</v>
      </c>
      <c r="O16" s="1573">
        <f>'5. Financials'!AC182</f>
        <v>-909.35388868694645</v>
      </c>
    </row>
    <row r="17" spans="1:15" hidden="1" outlineLevel="1">
      <c r="B17" s="1575" t="s">
        <v>1695</v>
      </c>
      <c r="D17" s="1573">
        <f>'5. Financials'!R183</f>
        <v>36162.370795436436</v>
      </c>
      <c r="E17" s="1573">
        <f>'5. Financials'!S183</f>
        <v>2269.9488090910781</v>
      </c>
      <c r="F17" s="1573">
        <f>'5. Financials'!T183</f>
        <v>2269.9488090910818</v>
      </c>
      <c r="G17" s="1573">
        <f>'5. Financials'!U183</f>
        <v>2269.9488090910818</v>
      </c>
      <c r="H17" s="1573">
        <f>'5. Financials'!V183</f>
        <v>2269.9488090910781</v>
      </c>
      <c r="I17" s="1573">
        <f>'5. Financials'!W183</f>
        <v>2269.9488090910781</v>
      </c>
      <c r="J17" s="1573">
        <f>'5. Financials'!X183</f>
        <v>4324.0599202021913</v>
      </c>
      <c r="K17" s="1573">
        <f>'5. Financials'!Y183</f>
        <v>2269.9488090910818</v>
      </c>
      <c r="L17" s="1573">
        <f>'5. Financials'!Z183</f>
        <v>2269.9488090910745</v>
      </c>
      <c r="M17" s="1573">
        <f>'5. Financials'!AA183</f>
        <v>3134.8376979799723</v>
      </c>
      <c r="N17" s="1573">
        <f>'5. Financials'!AB183</f>
        <v>2269.9488090910818</v>
      </c>
      <c r="O17" s="1573">
        <f>'5. Financials'!AC183</f>
        <v>2269.9488090910818</v>
      </c>
    </row>
    <row r="18" spans="1:15" hidden="1" outlineLevel="1">
      <c r="B18" s="1572" t="s">
        <v>3849</v>
      </c>
      <c r="D18" s="1573">
        <f>SUM(D12:D17)</f>
        <v>-58759.433542337036</v>
      </c>
      <c r="E18" s="1573">
        <f t="shared" ref="E18:O18" si="4">SUM(E12:E17)</f>
        <v>-95017.419845744342</v>
      </c>
      <c r="F18" s="1573">
        <f t="shared" si="4"/>
        <v>-98093.991175424249</v>
      </c>
      <c r="G18" s="1573">
        <f t="shared" si="4"/>
        <v>-101170.5625051042</v>
      </c>
      <c r="H18" s="1573">
        <f t="shared" si="4"/>
        <v>-104247.13383478412</v>
      </c>
      <c r="I18" s="1573">
        <f t="shared" si="4"/>
        <v>-107323.70516446405</v>
      </c>
      <c r="J18" s="1573">
        <f t="shared" si="4"/>
        <v>-112747.83204969953</v>
      </c>
      <c r="K18" s="1573">
        <f t="shared" si="4"/>
        <v>51310.177459353501</v>
      </c>
      <c r="L18" s="1573">
        <f t="shared" si="4"/>
        <v>126254.17356774978</v>
      </c>
      <c r="M18" s="1573">
        <f t="shared" si="4"/>
        <v>-21673.475158666119</v>
      </c>
      <c r="N18" s="1573">
        <f t="shared" si="4"/>
        <v>-15532.153869874346</v>
      </c>
      <c r="O18" s="1573">
        <f t="shared" si="4"/>
        <v>-8525.9436921938068</v>
      </c>
    </row>
    <row r="19" spans="1:15" hidden="1" outlineLevel="1">
      <c r="B19" s="1572"/>
      <c r="D19" s="1573"/>
      <c r="E19" s="1573"/>
      <c r="F19" s="1573"/>
      <c r="G19" s="1573"/>
      <c r="H19" s="1573"/>
      <c r="I19" s="1573"/>
      <c r="J19" s="1573"/>
      <c r="K19" s="1573"/>
      <c r="L19" s="1573"/>
      <c r="M19" s="1573"/>
      <c r="N19" s="1573"/>
      <c r="O19" s="1573"/>
    </row>
    <row r="20" spans="1:15" hidden="1" outlineLevel="1">
      <c r="B20" s="1572" t="s">
        <v>1697</v>
      </c>
      <c r="D20" s="1573">
        <f>'5. Financials'!R186</f>
        <v>-6860.5034722222217</v>
      </c>
      <c r="E20" s="1573">
        <f>'5. Financials'!S186</f>
        <v>-6860.5034722222217</v>
      </c>
      <c r="F20" s="1573">
        <f>'5. Financials'!T186</f>
        <v>-6860.5034722222217</v>
      </c>
      <c r="G20" s="1573">
        <f>'5. Financials'!U186</f>
        <v>-6860.5034722222217</v>
      </c>
      <c r="H20" s="1573">
        <f>'5. Financials'!V186</f>
        <v>-6860.5034722222217</v>
      </c>
      <c r="I20" s="1573">
        <f>'5. Financials'!W186</f>
        <v>-6860.5034722222217</v>
      </c>
      <c r="J20" s="1573">
        <f>'5. Financials'!X186</f>
        <v>-6860.5034722222217</v>
      </c>
      <c r="K20" s="1573">
        <f>'5. Financials'!Y186</f>
        <v>-6860.5034722222217</v>
      </c>
      <c r="L20" s="1573">
        <f>'5. Financials'!Z186</f>
        <v>-6860.5034722222217</v>
      </c>
      <c r="M20" s="1573">
        <f>'5. Financials'!AA186</f>
        <v>-6860.5034722222217</v>
      </c>
      <c r="N20" s="1573">
        <f>'5. Financials'!AB186</f>
        <v>-6860.5034722222217</v>
      </c>
      <c r="O20" s="1573">
        <f>'5. Financials'!AC186</f>
        <v>-6860.5034722222217</v>
      </c>
    </row>
    <row r="21" spans="1:15" hidden="1" outlineLevel="1">
      <c r="B21" s="1572"/>
      <c r="D21" s="1573"/>
      <c r="E21" s="1573"/>
      <c r="F21" s="1573"/>
      <c r="G21" s="1573"/>
      <c r="H21" s="1573"/>
      <c r="I21" s="1573"/>
      <c r="J21" s="1573"/>
      <c r="K21" s="1573"/>
      <c r="L21" s="1573"/>
      <c r="M21" s="1573"/>
      <c r="N21" s="1573"/>
      <c r="O21" s="1573"/>
    </row>
    <row r="22" spans="1:15" hidden="1" outlineLevel="1">
      <c r="B22" s="1572" t="s">
        <v>1688</v>
      </c>
      <c r="D22" s="1573">
        <f>'5. Financials'!R188</f>
        <v>0</v>
      </c>
      <c r="E22" s="1573">
        <f>'5. Financials'!S188</f>
        <v>0</v>
      </c>
      <c r="F22" s="1573">
        <f>'5. Financials'!T188</f>
        <v>0</v>
      </c>
      <c r="G22" s="1573">
        <f>'5. Financials'!U188</f>
        <v>0</v>
      </c>
      <c r="H22" s="1573">
        <f>'5. Financials'!V188</f>
        <v>0</v>
      </c>
      <c r="I22" s="1573">
        <f>'5. Financials'!W188</f>
        <v>0</v>
      </c>
      <c r="J22" s="1573">
        <f>'5. Financials'!X188</f>
        <v>0</v>
      </c>
      <c r="K22" s="1573">
        <f>'5. Financials'!Y188</f>
        <v>0</v>
      </c>
      <c r="L22" s="1573">
        <f>'5. Financials'!Z188</f>
        <v>0</v>
      </c>
      <c r="M22" s="1573">
        <f>'5. Financials'!AA188</f>
        <v>0</v>
      </c>
      <c r="N22" s="1573">
        <f>'5. Financials'!AB188</f>
        <v>0</v>
      </c>
      <c r="O22" s="1573">
        <f>'5. Financials'!AC188</f>
        <v>0</v>
      </c>
    </row>
    <row r="23" spans="1:15" hidden="1" outlineLevel="1">
      <c r="B23" s="1572" t="s">
        <v>1689</v>
      </c>
      <c r="D23" s="1573">
        <f>'5. Financials'!R189</f>
        <v>0</v>
      </c>
      <c r="E23" s="1573">
        <f>'5. Financials'!S189</f>
        <v>0</v>
      </c>
      <c r="F23" s="1573">
        <f>'5. Financials'!T189</f>
        <v>0</v>
      </c>
      <c r="G23" s="1573">
        <f>'5. Financials'!U189</f>
        <v>0</v>
      </c>
      <c r="H23" s="1573">
        <f>'5. Financials'!V189</f>
        <v>0</v>
      </c>
      <c r="I23" s="1573">
        <f>'5. Financials'!W189</f>
        <v>0</v>
      </c>
      <c r="J23" s="1573">
        <f>'5. Financials'!X189</f>
        <v>0</v>
      </c>
      <c r="K23" s="1573">
        <f>'5. Financials'!Y189</f>
        <v>0</v>
      </c>
      <c r="L23" s="1573">
        <f>'5. Financials'!Z189</f>
        <v>0</v>
      </c>
      <c r="M23" s="1573">
        <f>'5. Financials'!AA189</f>
        <v>0</v>
      </c>
      <c r="N23" s="1573">
        <f>'5. Financials'!AB189</f>
        <v>0</v>
      </c>
      <c r="O23" s="1573">
        <f>'5. Financials'!AC189</f>
        <v>0</v>
      </c>
    </row>
    <row r="24" spans="1:15" hidden="1" outlineLevel="1">
      <c r="B24" s="1572" t="s">
        <v>1690</v>
      </c>
      <c r="D24" s="1573">
        <f>SUM(D22:D23)</f>
        <v>0</v>
      </c>
      <c r="E24" s="1573">
        <f t="shared" ref="E24:O24" si="5">SUM(E22:E23)</f>
        <v>0</v>
      </c>
      <c r="F24" s="1573">
        <f t="shared" si="5"/>
        <v>0</v>
      </c>
      <c r="G24" s="1573">
        <f t="shared" si="5"/>
        <v>0</v>
      </c>
      <c r="H24" s="1573">
        <f t="shared" si="5"/>
        <v>0</v>
      </c>
      <c r="I24" s="1573">
        <f t="shared" si="5"/>
        <v>0</v>
      </c>
      <c r="J24" s="1573">
        <f t="shared" si="5"/>
        <v>0</v>
      </c>
      <c r="K24" s="1573">
        <f t="shared" si="5"/>
        <v>0</v>
      </c>
      <c r="L24" s="1573">
        <f t="shared" si="5"/>
        <v>0</v>
      </c>
      <c r="M24" s="1573">
        <f t="shared" si="5"/>
        <v>0</v>
      </c>
      <c r="N24" s="1573">
        <f t="shared" si="5"/>
        <v>0</v>
      </c>
      <c r="O24" s="1573">
        <f t="shared" si="5"/>
        <v>0</v>
      </c>
    </row>
    <row r="25" spans="1:15" hidden="1" outlineLevel="1">
      <c r="B25" s="1572"/>
      <c r="D25" s="1573"/>
      <c r="E25" s="1574"/>
      <c r="F25" s="1574"/>
      <c r="G25" s="1574"/>
      <c r="H25" s="1574"/>
      <c r="I25" s="1574"/>
      <c r="J25" s="1574"/>
      <c r="K25" s="1574"/>
      <c r="L25" s="1574"/>
      <c r="M25" s="1574"/>
      <c r="N25" s="1574"/>
      <c r="O25" s="1574"/>
    </row>
    <row r="26" spans="1:15" hidden="1" outlineLevel="1">
      <c r="B26" s="1572" t="s">
        <v>1692</v>
      </c>
      <c r="D26" s="1573">
        <f ca="1">C28</f>
        <v>1142652.855904141</v>
      </c>
      <c r="E26" s="1573">
        <f ca="1">D28</f>
        <v>1077032.9188895817</v>
      </c>
      <c r="F26" s="1573">
        <f t="shared" ref="F26:O26" ca="1" si="6">E28</f>
        <v>975154.99557161517</v>
      </c>
      <c r="G26" s="1573">
        <f t="shared" ca="1" si="6"/>
        <v>870200.50092396874</v>
      </c>
      <c r="H26" s="1573">
        <f t="shared" ca="1" si="6"/>
        <v>762169.43494664226</v>
      </c>
      <c r="I26" s="1573">
        <f t="shared" ca="1" si="6"/>
        <v>651061.79763963586</v>
      </c>
      <c r="J26" s="1573">
        <f t="shared" ca="1" si="6"/>
        <v>536877.58900294965</v>
      </c>
      <c r="K26" s="1573">
        <f t="shared" ca="1" si="6"/>
        <v>417269.2534810279</v>
      </c>
      <c r="L26" s="1573">
        <f t="shared" ca="1" si="6"/>
        <v>461718.92746815918</v>
      </c>
      <c r="M26" s="1573">
        <f t="shared" ca="1" si="6"/>
        <v>581112.59756368678</v>
      </c>
      <c r="N26" s="1573">
        <f t="shared" ca="1" si="6"/>
        <v>552578.61893279839</v>
      </c>
      <c r="O26" s="1573">
        <f t="shared" ca="1" si="6"/>
        <v>530185.96159070183</v>
      </c>
    </row>
    <row r="27" spans="1:15" s="1584" customFormat="1" ht="13.5" collapsed="1" thickBot="1">
      <c r="A27" s="1583"/>
      <c r="B27" s="1584" t="s">
        <v>706</v>
      </c>
      <c r="D27" s="1589">
        <f>SUM(D18,D20,D24)</f>
        <v>-65619.937014559255</v>
      </c>
      <c r="E27" s="1589">
        <f>SUM(E18,E20,E24)</f>
        <v>-101877.92331796656</v>
      </c>
      <c r="F27" s="1589">
        <f t="shared" ref="F27:O27" si="7">SUM(F18,F20,F24)</f>
        <v>-104954.49464764647</v>
      </c>
      <c r="G27" s="1589">
        <f t="shared" si="7"/>
        <v>-108031.06597732642</v>
      </c>
      <c r="H27" s="1589">
        <f t="shared" si="7"/>
        <v>-111107.63730700634</v>
      </c>
      <c r="I27" s="1589">
        <f t="shared" si="7"/>
        <v>-114184.20863668626</v>
      </c>
      <c r="J27" s="1589">
        <f t="shared" si="7"/>
        <v>-119608.33552192175</v>
      </c>
      <c r="K27" s="1589">
        <f t="shared" si="7"/>
        <v>44449.673987131282</v>
      </c>
      <c r="L27" s="1589">
        <f t="shared" si="7"/>
        <v>119393.67009552756</v>
      </c>
      <c r="M27" s="1589">
        <f t="shared" si="7"/>
        <v>-28533.978630888341</v>
      </c>
      <c r="N27" s="1589">
        <f t="shared" si="7"/>
        <v>-22392.657342096569</v>
      </c>
      <c r="O27" s="1589">
        <f t="shared" si="7"/>
        <v>-15386.447164416029</v>
      </c>
    </row>
    <row r="28" spans="1:15" s="1584" customFormat="1" ht="13.5" thickBot="1">
      <c r="A28" s="1583"/>
      <c r="B28" s="1584" t="s">
        <v>707</v>
      </c>
      <c r="C28" s="1590">
        <f ca="1">PtrMonthlyCF!G43</f>
        <v>1142652.855904141</v>
      </c>
      <c r="D28" s="1588">
        <f ca="1">D26+D27</f>
        <v>1077032.9188895817</v>
      </c>
      <c r="E28" s="1588">
        <f ca="1">E26+E27</f>
        <v>975154.99557161517</v>
      </c>
      <c r="F28" s="1588">
        <f t="shared" ref="F28:O28" ca="1" si="8">F26+F27</f>
        <v>870200.50092396874</v>
      </c>
      <c r="G28" s="1588">
        <f t="shared" ca="1" si="8"/>
        <v>762169.43494664226</v>
      </c>
      <c r="H28" s="1588">
        <f t="shared" ca="1" si="8"/>
        <v>651061.79763963586</v>
      </c>
      <c r="I28" s="1588">
        <f t="shared" ca="1" si="8"/>
        <v>536877.58900294965</v>
      </c>
      <c r="J28" s="1588">
        <f t="shared" ca="1" si="8"/>
        <v>417269.2534810279</v>
      </c>
      <c r="K28" s="1588">
        <f t="shared" ca="1" si="8"/>
        <v>461718.92746815918</v>
      </c>
      <c r="L28" s="1588">
        <f t="shared" ca="1" si="8"/>
        <v>581112.59756368678</v>
      </c>
      <c r="M28" s="1588">
        <f t="shared" ca="1" si="8"/>
        <v>552578.61893279839</v>
      </c>
      <c r="N28" s="1588">
        <f t="shared" ca="1" si="8"/>
        <v>530185.96159070183</v>
      </c>
      <c r="O28" s="1588">
        <f t="shared" ca="1" si="8"/>
        <v>514799.51442628581</v>
      </c>
    </row>
    <row r="29" spans="1:15" s="1584" customFormat="1">
      <c r="A29" s="1583"/>
      <c r="D29" s="1591"/>
      <c r="E29" s="1592"/>
      <c r="F29" s="1592"/>
      <c r="G29" s="1592"/>
      <c r="H29" s="1592"/>
      <c r="I29" s="1592"/>
      <c r="J29" s="1592"/>
      <c r="K29" s="1592"/>
      <c r="L29" s="1592"/>
      <c r="M29" s="1592"/>
      <c r="N29" s="1592"/>
      <c r="O29" s="1592"/>
    </row>
  </sheetData>
  <phoneticPr fontId="18" type="noConversion"/>
  <pageMargins left="0.75" right="0.75" top="1" bottom="1" header="0.5" footer="0.5"/>
  <pageSetup scale="62" orientation="landscape" horizontalDpi="300" verticalDpi="300" r:id="rId1"/>
  <headerFooter alignWithMargins="0"/>
</worksheet>
</file>

<file path=xl/worksheets/sheet7.xml><?xml version="1.0" encoding="utf-8"?>
<worksheet xmlns="http://schemas.openxmlformats.org/spreadsheetml/2006/main" xmlns:r="http://schemas.openxmlformats.org/officeDocument/2006/relationships">
  <sheetPr codeName="Sheet25" enableFormatConditionsCalculation="0">
    <tabColor indexed="47"/>
    <pageSetUpPr autoPageBreaks="0" fitToPage="1"/>
  </sheetPr>
  <dimension ref="A3:Y75"/>
  <sheetViews>
    <sheetView showGridLines="0" topLeftCell="A19" zoomScale="400" zoomScaleNormal="144" zoomScaleSheetLayoutView="100" workbookViewId="0"/>
  </sheetViews>
  <sheetFormatPr defaultColWidth="12.5703125" defaultRowHeight="11.25" outlineLevelRow="1"/>
  <cols>
    <col min="1" max="5" width="2.7109375" style="961" customWidth="1"/>
    <col min="6" max="6" width="25.7109375" style="961" customWidth="1"/>
    <col min="7" max="7" width="10.7109375" style="191" customWidth="1"/>
    <col min="8" max="20" width="9.7109375" style="191" customWidth="1"/>
    <col min="21" max="22" width="2.7109375" style="191" customWidth="1"/>
    <col min="23" max="23" width="2.7109375" style="109" customWidth="1"/>
    <col min="24" max="25" width="8.7109375" style="191" customWidth="1"/>
    <col min="26" max="16384" width="12.5703125" style="191"/>
  </cols>
  <sheetData>
    <row r="3" spans="2:25">
      <c r="B3" s="960"/>
      <c r="C3" s="959" t="s">
        <v>1706</v>
      </c>
      <c r="D3" s="960"/>
      <c r="E3" s="960"/>
      <c r="F3" s="960"/>
      <c r="G3" s="194"/>
      <c r="H3" s="194"/>
      <c r="I3" s="194"/>
      <c r="J3" s="194"/>
      <c r="K3" s="194"/>
      <c r="L3" s="194"/>
      <c r="M3" s="194"/>
      <c r="N3" s="194"/>
      <c r="O3" s="194"/>
      <c r="P3" s="194"/>
      <c r="Q3" s="194"/>
      <c r="R3" s="194"/>
      <c r="S3" s="194"/>
      <c r="T3" s="194"/>
      <c r="U3" s="194"/>
      <c r="V3" s="194"/>
    </row>
    <row r="4" spans="2:25">
      <c r="B4" s="960"/>
      <c r="D4" s="962"/>
      <c r="E4" s="962"/>
      <c r="F4" s="962"/>
      <c r="G4" s="1535"/>
      <c r="H4" s="1535"/>
      <c r="I4" s="1535"/>
      <c r="J4" s="1535"/>
      <c r="K4" s="1535"/>
      <c r="L4" s="1535"/>
      <c r="M4" s="1535"/>
      <c r="N4" s="1535"/>
      <c r="O4" s="1535"/>
      <c r="P4" s="1535"/>
      <c r="Q4" s="1535"/>
      <c r="R4" s="1535"/>
      <c r="S4" s="1535"/>
      <c r="T4" s="1535"/>
      <c r="V4" s="194"/>
    </row>
    <row r="5" spans="2:25">
      <c r="B5" s="960"/>
      <c r="D5" s="670" t="str">
        <f>"Partnership:  "&amp;Project</f>
        <v>Partnership:  Southbend Downtown</v>
      </c>
      <c r="E5" s="670"/>
      <c r="F5" s="670"/>
      <c r="G5" s="670"/>
      <c r="H5" s="670"/>
      <c r="I5" s="670"/>
      <c r="J5" s="670"/>
      <c r="K5" s="670"/>
      <c r="L5" s="670"/>
      <c r="M5" s="670"/>
      <c r="N5" s="670"/>
      <c r="O5" s="670"/>
      <c r="P5" s="670"/>
      <c r="Q5" s="670"/>
      <c r="R5" s="670"/>
      <c r="S5" s="670"/>
      <c r="T5" s="670"/>
      <c r="V5" s="194"/>
    </row>
    <row r="6" spans="2:25">
      <c r="B6" s="960"/>
      <c r="D6" s="670" t="s">
        <v>560</v>
      </c>
      <c r="E6" s="670"/>
      <c r="F6" s="670"/>
      <c r="G6" s="670"/>
      <c r="H6" s="670"/>
      <c r="I6" s="670"/>
      <c r="J6" s="670"/>
      <c r="K6" s="670"/>
      <c r="L6" s="670"/>
      <c r="M6" s="670"/>
      <c r="N6" s="670"/>
      <c r="O6" s="670"/>
      <c r="P6" s="670"/>
      <c r="Q6" s="670"/>
      <c r="R6" s="670"/>
      <c r="S6" s="670"/>
      <c r="T6" s="670"/>
      <c r="V6" s="194"/>
    </row>
    <row r="7" spans="2:25">
      <c r="B7" s="960"/>
      <c r="G7" s="196"/>
      <c r="H7" s="196"/>
      <c r="I7" s="196"/>
      <c r="J7" s="196"/>
      <c r="K7" s="196"/>
      <c r="L7" s="196"/>
      <c r="M7" s="196"/>
      <c r="N7" s="196"/>
      <c r="O7" s="196"/>
      <c r="P7" s="196"/>
      <c r="Q7" s="196"/>
      <c r="R7" s="196"/>
      <c r="S7" s="196"/>
      <c r="V7" s="194"/>
    </row>
    <row r="8" spans="2:25">
      <c r="B8" s="960"/>
      <c r="D8" s="963" t="s">
        <v>1331</v>
      </c>
      <c r="E8" s="964"/>
      <c r="F8" s="964"/>
      <c r="G8" s="623"/>
      <c r="H8" s="623"/>
      <c r="I8" s="623"/>
      <c r="J8" s="623"/>
      <c r="K8" s="623"/>
      <c r="L8" s="623"/>
      <c r="M8" s="623"/>
      <c r="N8" s="623"/>
      <c r="O8" s="623"/>
      <c r="P8" s="623"/>
      <c r="Q8" s="623"/>
      <c r="R8" s="623"/>
      <c r="S8" s="623"/>
      <c r="T8" s="623"/>
      <c r="V8" s="194"/>
    </row>
    <row r="9" spans="2:25">
      <c r="B9" s="960"/>
      <c r="D9" s="965"/>
      <c r="E9" s="966"/>
      <c r="F9" s="966"/>
      <c r="G9" s="625" t="s">
        <v>2659</v>
      </c>
      <c r="H9" s="625"/>
      <c r="I9" s="625"/>
      <c r="J9" s="625"/>
      <c r="K9" s="625"/>
      <c r="L9" s="625"/>
      <c r="M9" s="625"/>
      <c r="N9" s="625"/>
      <c r="O9" s="625"/>
      <c r="P9" s="625"/>
      <c r="Q9" s="625"/>
      <c r="R9" s="625"/>
      <c r="S9" s="625"/>
      <c r="T9" s="625" t="s">
        <v>2681</v>
      </c>
      <c r="V9" s="194"/>
    </row>
    <row r="10" spans="2:25">
      <c r="B10" s="960"/>
      <c r="D10" s="965"/>
      <c r="E10" s="966"/>
      <c r="F10" s="966"/>
      <c r="G10" s="198"/>
      <c r="H10" s="198"/>
      <c r="I10" s="198"/>
      <c r="J10" s="198"/>
      <c r="K10" s="198"/>
      <c r="L10" s="198"/>
      <c r="M10" s="198"/>
      <c r="N10" s="198"/>
      <c r="O10" s="198"/>
      <c r="P10" s="198"/>
      <c r="Q10" s="198"/>
      <c r="R10" s="198"/>
      <c r="S10" s="198"/>
      <c r="T10" s="1282"/>
      <c r="V10" s="194"/>
    </row>
    <row r="11" spans="2:25">
      <c r="B11" s="960"/>
      <c r="D11" s="965" t="s">
        <v>2862</v>
      </c>
      <c r="E11" s="966"/>
      <c r="F11" s="966"/>
      <c r="G11" s="198">
        <f>-'5. Financials'!$H$249</f>
        <v>-2100398.42</v>
      </c>
      <c r="H11" s="198"/>
      <c r="I11" s="198"/>
      <c r="J11" s="198"/>
      <c r="K11" s="198"/>
      <c r="L11" s="198"/>
      <c r="M11" s="198"/>
      <c r="N11" s="198"/>
      <c r="O11" s="198"/>
      <c r="P11" s="198"/>
      <c r="Q11" s="198"/>
      <c r="R11" s="198"/>
      <c r="S11" s="198"/>
      <c r="T11" s="1282">
        <f>PartnerOwnership</f>
        <v>0.1</v>
      </c>
      <c r="V11" s="194"/>
      <c r="X11" s="1290">
        <v>0.1</v>
      </c>
      <c r="Y11" s="191" t="s">
        <v>90</v>
      </c>
    </row>
    <row r="12" spans="2:25">
      <c r="B12" s="960"/>
      <c r="D12" s="965" t="s">
        <v>2860</v>
      </c>
      <c r="E12" s="966"/>
      <c r="F12" s="966"/>
      <c r="G12" s="198">
        <f>-'5. Financials'!H169</f>
        <v>-1407301.001944697</v>
      </c>
      <c r="H12" s="198"/>
      <c r="I12" s="198"/>
      <c r="J12" s="198"/>
      <c r="K12" s="198"/>
      <c r="L12" s="198"/>
      <c r="M12" s="198"/>
      <c r="N12" s="198"/>
      <c r="O12" s="198"/>
      <c r="P12" s="198"/>
      <c r="Q12" s="198"/>
      <c r="R12" s="198"/>
      <c r="S12" s="198"/>
      <c r="T12" s="1282">
        <f>PartnerOwnership</f>
        <v>0.1</v>
      </c>
      <c r="V12" s="194"/>
      <c r="W12" s="201"/>
      <c r="X12" s="961"/>
    </row>
    <row r="13" spans="2:25">
      <c r="B13" s="960"/>
      <c r="D13" s="965" t="s">
        <v>2364</v>
      </c>
      <c r="E13" s="966"/>
      <c r="F13" s="966"/>
      <c r="G13" s="198">
        <f>-PtrIS!$P$32</f>
        <v>-65250</v>
      </c>
      <c r="H13" s="198"/>
      <c r="I13" s="198"/>
      <c r="J13" s="198"/>
      <c r="K13" s="198"/>
      <c r="L13" s="198"/>
      <c r="M13" s="198"/>
      <c r="N13" s="198"/>
      <c r="O13" s="198"/>
      <c r="P13" s="198"/>
      <c r="Q13" s="198"/>
      <c r="R13" s="198"/>
      <c r="S13" s="198"/>
      <c r="T13" s="1282">
        <f>PartnerOwnership</f>
        <v>0.1</v>
      </c>
      <c r="V13" s="194"/>
      <c r="W13" s="201"/>
    </row>
    <row r="14" spans="2:25" outlineLevel="1">
      <c r="B14" s="960"/>
      <c r="D14" s="965" t="s">
        <v>1037</v>
      </c>
      <c r="E14" s="966"/>
      <c r="F14" s="966"/>
      <c r="G14" s="198">
        <v>0</v>
      </c>
      <c r="H14" s="198"/>
      <c r="I14" s="198"/>
      <c r="J14" s="198"/>
      <c r="K14" s="198"/>
      <c r="L14" s="198"/>
      <c r="M14" s="198"/>
      <c r="N14" s="198"/>
      <c r="O14" s="198"/>
      <c r="P14" s="198"/>
      <c r="Q14" s="198"/>
      <c r="R14" s="198"/>
      <c r="S14" s="198"/>
      <c r="T14" s="1283">
        <f>(1-DVAOwnership)</f>
        <v>0.4</v>
      </c>
      <c r="V14" s="194"/>
      <c r="W14" s="201"/>
    </row>
    <row r="15" spans="2:25" outlineLevel="1">
      <c r="B15" s="960"/>
      <c r="D15" s="965" t="s">
        <v>2861</v>
      </c>
      <c r="E15" s="966"/>
      <c r="F15" s="966"/>
      <c r="G15" s="202" t="e">
        <f>-#REF!</f>
        <v>#REF!</v>
      </c>
      <c r="H15" s="1539"/>
      <c r="I15" s="1539"/>
      <c r="J15" s="1539"/>
      <c r="K15" s="1539"/>
      <c r="L15" s="1539"/>
      <c r="M15" s="1539"/>
      <c r="N15" s="1539"/>
      <c r="O15" s="1539"/>
      <c r="P15" s="1539"/>
      <c r="Q15" s="1539"/>
      <c r="R15" s="1539"/>
      <c r="S15" s="1539"/>
      <c r="T15" s="1283">
        <f>(1-DVAOwnership)</f>
        <v>0.4</v>
      </c>
      <c r="V15" s="194"/>
      <c r="W15" s="201"/>
    </row>
    <row r="16" spans="2:25">
      <c r="B16" s="960"/>
      <c r="D16" s="967"/>
      <c r="E16" s="966"/>
      <c r="F16" s="966"/>
      <c r="G16" s="204" t="e">
        <f>SUM(G10:G15)</f>
        <v>#REF!</v>
      </c>
      <c r="H16" s="1540"/>
      <c r="I16" s="1540"/>
      <c r="J16" s="1540"/>
      <c r="K16" s="1540"/>
      <c r="L16" s="1540"/>
      <c r="M16" s="1540"/>
      <c r="N16" s="1540"/>
      <c r="O16" s="1540"/>
      <c r="P16" s="1540"/>
      <c r="Q16" s="1540"/>
      <c r="R16" s="1540"/>
      <c r="S16" s="1540"/>
      <c r="T16" s="627"/>
      <c r="V16" s="194"/>
    </row>
    <row r="17" spans="1:23">
      <c r="B17" s="960"/>
      <c r="D17" s="968"/>
      <c r="E17" s="969"/>
      <c r="F17" s="969"/>
      <c r="G17" s="630"/>
      <c r="H17" s="630"/>
      <c r="I17" s="630"/>
      <c r="J17" s="630"/>
      <c r="K17" s="630"/>
      <c r="L17" s="630"/>
      <c r="M17" s="630"/>
      <c r="N17" s="630"/>
      <c r="O17" s="630"/>
      <c r="P17" s="630"/>
      <c r="Q17" s="630"/>
      <c r="R17" s="630"/>
      <c r="S17" s="630"/>
      <c r="T17" s="629"/>
      <c r="V17" s="194"/>
    </row>
    <row r="18" spans="1:23" s="206" customFormat="1">
      <c r="A18" s="970"/>
      <c r="B18" s="971"/>
      <c r="C18" s="970"/>
      <c r="D18" s="970"/>
      <c r="E18" s="970"/>
      <c r="F18" s="970"/>
      <c r="G18" s="207"/>
      <c r="H18" s="207"/>
      <c r="I18" s="207"/>
      <c r="J18" s="207"/>
      <c r="K18" s="207"/>
      <c r="L18" s="207"/>
      <c r="M18" s="207"/>
      <c r="N18" s="207"/>
      <c r="O18" s="207"/>
      <c r="P18" s="207"/>
      <c r="Q18" s="207"/>
      <c r="R18" s="207"/>
      <c r="S18" s="207"/>
      <c r="V18" s="205"/>
      <c r="W18" s="208"/>
    </row>
    <row r="19" spans="1:23" s="206" customFormat="1">
      <c r="A19" s="970"/>
      <c r="B19" s="971"/>
      <c r="C19" s="970"/>
      <c r="D19" s="970"/>
      <c r="E19" s="970"/>
      <c r="F19" s="970"/>
      <c r="G19" s="207"/>
      <c r="H19" s="207"/>
      <c r="I19" s="207"/>
      <c r="J19" s="207"/>
      <c r="K19" s="207"/>
      <c r="L19" s="207"/>
      <c r="M19" s="207"/>
      <c r="N19" s="207"/>
      <c r="O19" s="207"/>
      <c r="P19" s="207"/>
      <c r="Q19" s="207"/>
      <c r="R19" s="207"/>
      <c r="S19" s="207"/>
      <c r="V19" s="205"/>
      <c r="W19" s="208"/>
    </row>
    <row r="20" spans="1:23" s="206" customFormat="1">
      <c r="A20" s="970"/>
      <c r="B20" s="971"/>
      <c r="C20" s="970"/>
      <c r="D20" s="970"/>
      <c r="E20" s="970"/>
      <c r="F20" s="970"/>
      <c r="G20" s="207"/>
      <c r="H20" s="1560" t="s">
        <v>1090</v>
      </c>
      <c r="I20" s="1560"/>
      <c r="J20" s="1560"/>
      <c r="K20" s="1560"/>
      <c r="L20" s="1560"/>
      <c r="M20" s="1560"/>
      <c r="N20" s="1560"/>
      <c r="O20" s="1560"/>
      <c r="P20" s="1560"/>
      <c r="Q20" s="1560"/>
      <c r="R20" s="1560"/>
      <c r="S20" s="1560"/>
      <c r="T20" s="209"/>
      <c r="V20" s="205"/>
      <c r="W20" s="208"/>
    </row>
    <row r="21" spans="1:23" s="206" customFormat="1">
      <c r="A21" s="970"/>
      <c r="B21" s="971"/>
      <c r="C21" s="970"/>
      <c r="D21" s="972"/>
      <c r="E21" s="972"/>
      <c r="F21" s="972"/>
      <c r="G21" s="211" t="s">
        <v>1857</v>
      </c>
      <c r="H21" s="1557">
        <v>1</v>
      </c>
      <c r="I21" s="1558">
        <f>H21+1</f>
        <v>2</v>
      </c>
      <c r="J21" s="1558">
        <f t="shared" ref="J21:S21" si="0">I21+1</f>
        <v>3</v>
      </c>
      <c r="K21" s="1558">
        <f t="shared" si="0"/>
        <v>4</v>
      </c>
      <c r="L21" s="1558">
        <f t="shared" si="0"/>
        <v>5</v>
      </c>
      <c r="M21" s="1558">
        <f t="shared" si="0"/>
        <v>6</v>
      </c>
      <c r="N21" s="1558">
        <f t="shared" si="0"/>
        <v>7</v>
      </c>
      <c r="O21" s="1558">
        <f t="shared" si="0"/>
        <v>8</v>
      </c>
      <c r="P21" s="1558">
        <f t="shared" si="0"/>
        <v>9</v>
      </c>
      <c r="Q21" s="1558">
        <f t="shared" si="0"/>
        <v>10</v>
      </c>
      <c r="R21" s="1558">
        <f t="shared" si="0"/>
        <v>11</v>
      </c>
      <c r="S21" s="1559">
        <f t="shared" si="0"/>
        <v>12</v>
      </c>
      <c r="T21" s="211" t="s">
        <v>1090</v>
      </c>
      <c r="V21" s="205"/>
      <c r="W21" s="208"/>
    </row>
    <row r="22" spans="1:23" s="219" customFormat="1">
      <c r="A22" s="970"/>
      <c r="B22" s="971"/>
      <c r="C22" s="970"/>
      <c r="D22" s="973"/>
      <c r="E22" s="973"/>
      <c r="F22" s="973"/>
      <c r="G22" s="235"/>
      <c r="H22" s="1545"/>
      <c r="I22" s="235"/>
      <c r="J22" s="235"/>
      <c r="K22" s="235"/>
      <c r="L22" s="235"/>
      <c r="M22" s="235"/>
      <c r="N22" s="235"/>
      <c r="O22" s="235"/>
      <c r="P22" s="235"/>
      <c r="Q22" s="235"/>
      <c r="R22" s="235"/>
      <c r="S22" s="1546"/>
      <c r="T22" s="235"/>
      <c r="V22" s="233"/>
      <c r="W22" s="236"/>
    </row>
    <row r="23" spans="1:23" s="219" customFormat="1">
      <c r="A23" s="970"/>
      <c r="B23" s="971"/>
      <c r="C23" s="970"/>
      <c r="D23" s="974" t="s">
        <v>1708</v>
      </c>
      <c r="E23" s="973"/>
      <c r="F23" s="973"/>
      <c r="G23" s="235"/>
      <c r="H23" s="1545"/>
      <c r="I23" s="235"/>
      <c r="J23" s="235"/>
      <c r="K23" s="235"/>
      <c r="L23" s="235"/>
      <c r="M23" s="235"/>
      <c r="N23" s="235"/>
      <c r="O23" s="235"/>
      <c r="P23" s="235"/>
      <c r="Q23" s="235"/>
      <c r="R23" s="235"/>
      <c r="S23" s="1546"/>
      <c r="T23" s="235"/>
      <c r="V23" s="233"/>
      <c r="W23" s="236"/>
    </row>
    <row r="24" spans="1:23" s="242" customFormat="1">
      <c r="A24" s="970"/>
      <c r="B24" s="971"/>
      <c r="C24" s="970"/>
      <c r="D24" s="975"/>
      <c r="E24" s="975" t="s">
        <v>3853</v>
      </c>
      <c r="F24" s="975"/>
      <c r="G24" s="243">
        <f>'5. Financials'!H99</f>
        <v>-264648.14604055602</v>
      </c>
      <c r="H24" s="1547">
        <f>'5. Financials'!R178</f>
        <v>-72211.278618011711</v>
      </c>
      <c r="I24" s="243">
        <f>'5. Financials'!S178</f>
        <v>-65205.068440331059</v>
      </c>
      <c r="J24" s="243">
        <f>'5. Financials'!T178</f>
        <v>-58198.858262650414</v>
      </c>
      <c r="K24" s="243">
        <f>'5. Financials'!U178</f>
        <v>-51192.648084969769</v>
      </c>
      <c r="L24" s="243">
        <f>'5. Financials'!V178</f>
        <v>-44186.437907289117</v>
      </c>
      <c r="M24" s="243">
        <f>'5. Financials'!W178</f>
        <v>-37180.227729608494</v>
      </c>
      <c r="N24" s="243">
        <f>'5. Financials'!X178</f>
        <v>-34575.684218594513</v>
      </c>
      <c r="O24" s="243">
        <f>'5. Financials'!Y178</f>
        <v>-27569.474040913876</v>
      </c>
      <c r="P24" s="243">
        <f>'5. Financials'!Z178</f>
        <v>-20563.263863233209</v>
      </c>
      <c r="Q24" s="243">
        <f>'5. Financials'!AA178</f>
        <v>-15410.387018885916</v>
      </c>
      <c r="R24" s="243">
        <f>'5. Financials'!AB178</f>
        <v>-8404.1768412052497</v>
      </c>
      <c r="S24" s="1548">
        <f>'5. Financials'!AC178</f>
        <v>-1397.9666635246558</v>
      </c>
      <c r="T24" s="1564">
        <f>'5. Financials'!I178</f>
        <v>-436095.47168921819</v>
      </c>
      <c r="V24" s="241"/>
      <c r="W24" s="245"/>
    </row>
    <row r="25" spans="1:23" s="219" customFormat="1">
      <c r="A25" s="970"/>
      <c r="B25" s="971"/>
      <c r="C25" s="970"/>
      <c r="D25" s="975"/>
      <c r="E25" s="975" t="s">
        <v>3854</v>
      </c>
      <c r="F25" s="975"/>
      <c r="G25" s="217">
        <f>'5. Financials'!H179</f>
        <v>0</v>
      </c>
      <c r="H25" s="1549">
        <f>'5. Financials'!R179</f>
        <v>13703.168194444444</v>
      </c>
      <c r="I25" s="215">
        <f>'5. Financials'!S179</f>
        <v>13703.168194444444</v>
      </c>
      <c r="J25" s="215">
        <f>'5. Financials'!T179</f>
        <v>13703.168194444444</v>
      </c>
      <c r="K25" s="215">
        <f>'5. Financials'!U179</f>
        <v>13703.168194444444</v>
      </c>
      <c r="L25" s="215">
        <f>'5. Financials'!V179</f>
        <v>13703.168194444444</v>
      </c>
      <c r="M25" s="215">
        <f>'5. Financials'!W179</f>
        <v>13703.168194444444</v>
      </c>
      <c r="N25" s="215">
        <f>'5. Financials'!X179</f>
        <v>13703.168194444444</v>
      </c>
      <c r="O25" s="215">
        <f>'5. Financials'!Y179</f>
        <v>13703.168194444444</v>
      </c>
      <c r="P25" s="215">
        <f>'5. Financials'!Z179</f>
        <v>13703.168194444444</v>
      </c>
      <c r="Q25" s="215">
        <f>'5. Financials'!AA179</f>
        <v>13703.168194444444</v>
      </c>
      <c r="R25" s="215">
        <f>'5. Financials'!AB179</f>
        <v>13703.168194444444</v>
      </c>
      <c r="S25" s="1550">
        <f>'5. Financials'!AC179</f>
        <v>13703.168194444444</v>
      </c>
      <c r="T25" s="1565">
        <f>'5. Financials'!I179</f>
        <v>164438.01833333334</v>
      </c>
      <c r="V25" s="233"/>
      <c r="W25" s="236"/>
    </row>
    <row r="26" spans="1:23" s="219" customFormat="1">
      <c r="A26" s="970"/>
      <c r="B26" s="971"/>
      <c r="C26" s="970"/>
      <c r="D26" s="975"/>
      <c r="E26" s="975" t="s">
        <v>3848</v>
      </c>
      <c r="F26" s="975"/>
      <c r="G26" s="217"/>
      <c r="H26" s="1549"/>
      <c r="I26" s="215"/>
      <c r="J26" s="215"/>
      <c r="K26" s="215"/>
      <c r="L26" s="215"/>
      <c r="M26" s="215"/>
      <c r="N26" s="215"/>
      <c r="O26" s="215"/>
      <c r="P26" s="215"/>
      <c r="Q26" s="215"/>
      <c r="R26" s="215"/>
      <c r="S26" s="1550"/>
      <c r="T26" s="1565"/>
      <c r="V26" s="233"/>
      <c r="W26" s="236"/>
    </row>
    <row r="27" spans="1:23" s="219" customFormat="1">
      <c r="A27" s="970"/>
      <c r="B27" s="971"/>
      <c r="C27" s="970"/>
      <c r="D27" s="975"/>
      <c r="E27" s="975"/>
      <c r="F27" s="975" t="s">
        <v>2858</v>
      </c>
      <c r="G27" s="217">
        <f>'5. Financials'!H181</f>
        <v>0</v>
      </c>
      <c r="H27" s="1549">
        <f>'5. Financials'!R181</f>
        <v>-34793.333012901297</v>
      </c>
      <c r="I27" s="215">
        <f>'5. Financials'!S181</f>
        <v>-44876.114520261857</v>
      </c>
      <c r="J27" s="215">
        <f>'5. Financials'!T181</f>
        <v>-54958.896027622424</v>
      </c>
      <c r="K27" s="215">
        <f>'5. Financials'!U181</f>
        <v>-65041.677534982999</v>
      </c>
      <c r="L27" s="215">
        <f>'5. Financials'!V181</f>
        <v>-75124.459042343573</v>
      </c>
      <c r="M27" s="215">
        <f>'5. Financials'!W181</f>
        <v>-85207.240549704118</v>
      </c>
      <c r="N27" s="215">
        <f>'5. Financials'!X181</f>
        <v>-95290.022057064692</v>
      </c>
      <c r="O27" s="215">
        <f>'5. Financials'!Y181</f>
        <v>63815.888385418802</v>
      </c>
      <c r="P27" s="215">
        <f>'5. Financials'!Z181</f>
        <v>131753.67431613442</v>
      </c>
      <c r="Q27" s="215">
        <f>'5. Financials'!AA181</f>
        <v>-22191.740143517673</v>
      </c>
      <c r="R27" s="215">
        <f>'5. Financials'!AB181</f>
        <v>-22191.740143517673</v>
      </c>
      <c r="S27" s="1550">
        <f>'5. Financials'!AC181</f>
        <v>-22191.740143517731</v>
      </c>
      <c r="T27" s="1565">
        <f>'5. Financials'!I181</f>
        <v>-326297.40047388081</v>
      </c>
      <c r="V27" s="233"/>
      <c r="W27" s="236"/>
    </row>
    <row r="28" spans="1:23" s="219" customFormat="1">
      <c r="A28" s="970"/>
      <c r="B28" s="971"/>
      <c r="C28" s="970"/>
      <c r="D28" s="975"/>
      <c r="E28" s="975"/>
      <c r="F28" s="975" t="s">
        <v>1406</v>
      </c>
      <c r="G28" s="215">
        <f>'5. Financials'!H182</f>
        <v>0</v>
      </c>
      <c r="H28" s="1549">
        <f>'5. Financials'!R182</f>
        <v>-1620.3609013048967</v>
      </c>
      <c r="I28" s="215">
        <f>'5. Financials'!S182</f>
        <v>-909.35388868694827</v>
      </c>
      <c r="J28" s="215">
        <f>'5. Financials'!T182</f>
        <v>-909.35388868694918</v>
      </c>
      <c r="K28" s="215">
        <f>'5. Financials'!U182</f>
        <v>-909.35388868694781</v>
      </c>
      <c r="L28" s="215">
        <f>'5. Financials'!V182</f>
        <v>-909.35388868694827</v>
      </c>
      <c r="M28" s="215">
        <f>'5. Financials'!W182</f>
        <v>-909.35388868694736</v>
      </c>
      <c r="N28" s="215">
        <f>'5. Financials'!X182</f>
        <v>-909.35388868694918</v>
      </c>
      <c r="O28" s="215">
        <f>'5. Financials'!Y182</f>
        <v>-909.35388868695009</v>
      </c>
      <c r="P28" s="215">
        <f>'5. Financials'!Z182</f>
        <v>-909.35388868695009</v>
      </c>
      <c r="Q28" s="215">
        <f>'5. Financials'!AA182</f>
        <v>-909.35388868694645</v>
      </c>
      <c r="R28" s="215">
        <f>'5. Financials'!AB182</f>
        <v>-909.35388868695009</v>
      </c>
      <c r="S28" s="1550">
        <f>'5. Financials'!AC182</f>
        <v>-909.35388868694645</v>
      </c>
      <c r="T28" s="1485">
        <f>'5. Financials'!I182</f>
        <v>-11623.25367686133</v>
      </c>
      <c r="V28" s="233"/>
      <c r="W28" s="236"/>
    </row>
    <row r="29" spans="1:23" s="219" customFormat="1">
      <c r="A29" s="970"/>
      <c r="B29" s="971"/>
      <c r="C29" s="970"/>
      <c r="D29" s="975"/>
      <c r="E29" s="975"/>
      <c r="F29" s="975" t="s">
        <v>1695</v>
      </c>
      <c r="G29" s="215">
        <f>'5. Financials'!H183</f>
        <v>0</v>
      </c>
      <c r="H29" s="1549">
        <f>'5. Financials'!R183</f>
        <v>36162.370795436436</v>
      </c>
      <c r="I29" s="215">
        <f>'5. Financials'!S183</f>
        <v>2269.9488090910781</v>
      </c>
      <c r="J29" s="215">
        <f>'5. Financials'!T183</f>
        <v>2269.9488090910818</v>
      </c>
      <c r="K29" s="215">
        <f>'5. Financials'!U183</f>
        <v>2269.9488090910818</v>
      </c>
      <c r="L29" s="215">
        <f>'5. Financials'!V183</f>
        <v>2269.9488090910781</v>
      </c>
      <c r="M29" s="215">
        <f>'5. Financials'!W183</f>
        <v>2269.9488090910781</v>
      </c>
      <c r="N29" s="215">
        <f>'5. Financials'!X183</f>
        <v>4324.0599202021913</v>
      </c>
      <c r="O29" s="215">
        <f>'5. Financials'!Y183</f>
        <v>2269.9488090910818</v>
      </c>
      <c r="P29" s="215">
        <f>'5. Financials'!Z183</f>
        <v>2269.9488090910745</v>
      </c>
      <c r="Q29" s="215">
        <f>'5. Financials'!AA183</f>
        <v>3134.8376979799723</v>
      </c>
      <c r="R29" s="215">
        <f>'5. Financials'!AB183</f>
        <v>2269.9488090910818</v>
      </c>
      <c r="S29" s="1550">
        <f>'5. Financials'!AC183</f>
        <v>2269.9488090910818</v>
      </c>
      <c r="T29" s="1485">
        <f>'5. Financials'!I183</f>
        <v>64050.807695438314</v>
      </c>
      <c r="V29" s="233"/>
    </row>
    <row r="30" spans="1:23" s="219" customFormat="1">
      <c r="A30" s="970"/>
      <c r="B30" s="971"/>
      <c r="C30" s="970"/>
      <c r="D30" s="975"/>
      <c r="E30" s="975"/>
      <c r="F30" s="975" t="s">
        <v>1608</v>
      </c>
      <c r="G30" s="215"/>
      <c r="H30" s="1549"/>
      <c r="I30" s="215"/>
      <c r="J30" s="215"/>
      <c r="K30" s="215"/>
      <c r="L30" s="215"/>
      <c r="M30" s="215"/>
      <c r="N30" s="215"/>
      <c r="O30" s="215"/>
      <c r="P30" s="215"/>
      <c r="Q30" s="215"/>
      <c r="R30" s="215"/>
      <c r="S30" s="1550"/>
      <c r="T30" s="1485"/>
      <c r="V30" s="233"/>
    </row>
    <row r="31" spans="1:23" s="219" customFormat="1">
      <c r="A31" s="970"/>
      <c r="B31" s="971"/>
      <c r="C31" s="970"/>
      <c r="D31" s="975"/>
      <c r="E31" s="975" t="s">
        <v>3852</v>
      </c>
      <c r="F31" s="975"/>
      <c r="G31" s="215">
        <f>G13</f>
        <v>-65250</v>
      </c>
      <c r="H31" s="1549"/>
      <c r="I31" s="215"/>
      <c r="J31" s="215"/>
      <c r="K31" s="215"/>
      <c r="L31" s="215"/>
      <c r="M31" s="215"/>
      <c r="N31" s="215"/>
      <c r="O31" s="215"/>
      <c r="P31" s="215"/>
      <c r="Q31" s="215"/>
      <c r="R31" s="215"/>
      <c r="S31" s="1550"/>
      <c r="T31" s="1485"/>
      <c r="V31" s="233"/>
    </row>
    <row r="32" spans="1:23" s="219" customFormat="1">
      <c r="A32" s="970"/>
      <c r="B32" s="971"/>
      <c r="C32" s="970"/>
      <c r="D32" s="975"/>
      <c r="E32" s="975"/>
      <c r="F32" s="975"/>
      <c r="G32" s="215"/>
      <c r="H32" s="1549"/>
      <c r="I32" s="215"/>
      <c r="J32" s="215"/>
      <c r="K32" s="215"/>
      <c r="L32" s="215"/>
      <c r="M32" s="215"/>
      <c r="N32" s="215"/>
      <c r="O32" s="215"/>
      <c r="P32" s="215"/>
      <c r="Q32" s="215"/>
      <c r="R32" s="215"/>
      <c r="S32" s="1550"/>
      <c r="T32" s="1485"/>
      <c r="V32" s="233"/>
    </row>
    <row r="33" spans="1:25" s="219" customFormat="1">
      <c r="A33" s="970"/>
      <c r="B33" s="971"/>
      <c r="C33" s="970"/>
      <c r="D33" s="975" t="s">
        <v>2859</v>
      </c>
      <c r="E33" s="975"/>
      <c r="F33" s="975"/>
      <c r="G33" s="215"/>
      <c r="H33" s="1549"/>
      <c r="I33" s="215"/>
      <c r="J33" s="215"/>
      <c r="K33" s="215"/>
      <c r="L33" s="215"/>
      <c r="M33" s="215"/>
      <c r="N33" s="215"/>
      <c r="O33" s="215"/>
      <c r="P33" s="215"/>
      <c r="Q33" s="215"/>
      <c r="R33" s="215"/>
      <c r="S33" s="1550"/>
      <c r="T33" s="1485"/>
      <c r="V33" s="233"/>
    </row>
    <row r="34" spans="1:25" s="219" customFormat="1">
      <c r="A34" s="970"/>
      <c r="B34" s="971"/>
      <c r="C34" s="970"/>
      <c r="D34" s="975"/>
      <c r="E34" s="975" t="s">
        <v>1697</v>
      </c>
      <c r="F34" s="975"/>
      <c r="G34" s="215">
        <f>G11</f>
        <v>-2100398.42</v>
      </c>
      <c r="H34" s="1549">
        <f>'5. Financials'!R186</f>
        <v>-6860.5034722222217</v>
      </c>
      <c r="I34" s="215">
        <f>'5. Financials'!S186</f>
        <v>-6860.5034722222217</v>
      </c>
      <c r="J34" s="215">
        <f>'5. Financials'!T186</f>
        <v>-6860.5034722222217</v>
      </c>
      <c r="K34" s="215">
        <f>'5. Financials'!U186</f>
        <v>-6860.5034722222217</v>
      </c>
      <c r="L34" s="215">
        <f>'5. Financials'!V186</f>
        <v>-6860.5034722222217</v>
      </c>
      <c r="M34" s="215">
        <f>'5. Financials'!W186</f>
        <v>-6860.5034722222217</v>
      </c>
      <c r="N34" s="215">
        <f>'5. Financials'!X186</f>
        <v>-6860.5034722222217</v>
      </c>
      <c r="O34" s="215">
        <f>'5. Financials'!Y186</f>
        <v>-6860.5034722222217</v>
      </c>
      <c r="P34" s="215">
        <f>'5. Financials'!Z186</f>
        <v>-6860.5034722222217</v>
      </c>
      <c r="Q34" s="215">
        <f>'5. Financials'!AA186</f>
        <v>-6860.5034722222217</v>
      </c>
      <c r="R34" s="215">
        <f>'5. Financials'!AB186</f>
        <v>-6860.5034722222217</v>
      </c>
      <c r="S34" s="1550">
        <f>'5. Financials'!AC186</f>
        <v>-6860.5034722222217</v>
      </c>
      <c r="T34" s="1485">
        <f>'5. Financials'!I186</f>
        <v>-82326.041666666657</v>
      </c>
      <c r="V34" s="233"/>
    </row>
    <row r="35" spans="1:25" s="219" customFormat="1">
      <c r="A35" s="970"/>
      <c r="B35" s="971"/>
      <c r="C35" s="970"/>
      <c r="D35" s="975"/>
      <c r="E35" s="975" t="s">
        <v>1830</v>
      </c>
      <c r="F35" s="975"/>
      <c r="G35" s="215"/>
      <c r="H35" s="1549"/>
      <c r="I35" s="215"/>
      <c r="J35" s="215"/>
      <c r="K35" s="215"/>
      <c r="L35" s="215"/>
      <c r="M35" s="215"/>
      <c r="N35" s="215"/>
      <c r="O35" s="215"/>
      <c r="P35" s="215"/>
      <c r="Q35" s="215"/>
      <c r="R35" s="215"/>
      <c r="S35" s="1550"/>
      <c r="T35" s="1485"/>
      <c r="V35" s="233"/>
      <c r="X35" s="735">
        <v>5</v>
      </c>
      <c r="Y35" s="219" t="s">
        <v>751</v>
      </c>
    </row>
    <row r="36" spans="1:25" s="219" customFormat="1">
      <c r="A36" s="970"/>
      <c r="B36" s="971"/>
      <c r="C36" s="970"/>
      <c r="D36" s="975"/>
      <c r="E36" s="975"/>
      <c r="F36" s="975"/>
      <c r="G36" s="215"/>
      <c r="H36" s="1549"/>
      <c r="I36" s="215"/>
      <c r="J36" s="215"/>
      <c r="K36" s="215"/>
      <c r="L36" s="215"/>
      <c r="M36" s="215"/>
      <c r="N36" s="215"/>
      <c r="O36" s="215"/>
      <c r="P36" s="215"/>
      <c r="Q36" s="215"/>
      <c r="R36" s="215"/>
      <c r="S36" s="1550"/>
      <c r="T36" s="1485"/>
      <c r="V36" s="233"/>
      <c r="X36" s="735"/>
    </row>
    <row r="37" spans="1:25" s="219" customFormat="1">
      <c r="A37" s="970"/>
      <c r="B37" s="971"/>
      <c r="C37" s="970"/>
      <c r="D37" s="975" t="s">
        <v>558</v>
      </c>
      <c r="E37" s="975"/>
      <c r="F37" s="975"/>
      <c r="G37" s="215"/>
      <c r="H37" s="1549"/>
      <c r="I37" s="215"/>
      <c r="J37" s="215"/>
      <c r="K37" s="215"/>
      <c r="L37" s="215"/>
      <c r="M37" s="215"/>
      <c r="N37" s="215"/>
      <c r="O37" s="215"/>
      <c r="P37" s="215"/>
      <c r="Q37" s="215"/>
      <c r="R37" s="215"/>
      <c r="S37" s="1550"/>
      <c r="T37" s="1485"/>
      <c r="V37" s="233"/>
      <c r="X37" s="735"/>
    </row>
    <row r="38" spans="1:25" s="219" customFormat="1">
      <c r="A38" s="970"/>
      <c r="B38" s="971"/>
      <c r="C38" s="970"/>
      <c r="D38" s="975"/>
      <c r="E38" s="975" t="s">
        <v>559</v>
      </c>
      <c r="F38" s="975"/>
      <c r="G38" s="215">
        <f>G12-G24</f>
        <v>-1142652.855904141</v>
      </c>
      <c r="H38" s="1549">
        <f>'5. Financials'!R189</f>
        <v>0</v>
      </c>
      <c r="I38" s="215">
        <f>'5. Financials'!S189</f>
        <v>0</v>
      </c>
      <c r="J38" s="215">
        <f>'5. Financials'!T189</f>
        <v>0</v>
      </c>
      <c r="K38" s="215">
        <f>'5. Financials'!U189</f>
        <v>0</v>
      </c>
      <c r="L38" s="215">
        <f>'5. Financials'!V189</f>
        <v>0</v>
      </c>
      <c r="M38" s="215">
        <f>'5. Financials'!W189</f>
        <v>0</v>
      </c>
      <c r="N38" s="215">
        <f>'5. Financials'!X189</f>
        <v>0</v>
      </c>
      <c r="O38" s="215">
        <f>'5. Financials'!Y189</f>
        <v>0</v>
      </c>
      <c r="P38" s="215">
        <f>'5. Financials'!Z189</f>
        <v>0</v>
      </c>
      <c r="Q38" s="215">
        <f>'5. Financials'!AA189</f>
        <v>0</v>
      </c>
      <c r="R38" s="215">
        <f>'5. Financials'!AB189</f>
        <v>0</v>
      </c>
      <c r="S38" s="1550">
        <f>'5. Financials'!AC189</f>
        <v>0</v>
      </c>
      <c r="T38" s="1485">
        <f>SUM(H38:S38)</f>
        <v>0</v>
      </c>
      <c r="V38" s="233"/>
      <c r="X38" s="735"/>
    </row>
    <row r="39" spans="1:25" s="219" customFormat="1">
      <c r="A39" s="970"/>
      <c r="B39" s="971"/>
      <c r="C39" s="970"/>
      <c r="D39" s="975"/>
      <c r="E39" s="975"/>
      <c r="F39" s="975"/>
      <c r="G39" s="220"/>
      <c r="H39" s="1551"/>
      <c r="I39" s="220"/>
      <c r="J39" s="220"/>
      <c r="K39" s="220"/>
      <c r="L39" s="220"/>
      <c r="M39" s="220"/>
      <c r="N39" s="220"/>
      <c r="O39" s="220"/>
      <c r="P39" s="220"/>
      <c r="Q39" s="220"/>
      <c r="R39" s="220"/>
      <c r="S39" s="1552"/>
      <c r="T39" s="1566"/>
      <c r="V39" s="233"/>
      <c r="W39" s="236"/>
    </row>
    <row r="40" spans="1:25" s="242" customFormat="1">
      <c r="A40" s="970"/>
      <c r="B40" s="971"/>
      <c r="C40" s="970"/>
      <c r="D40" s="975" t="s">
        <v>2603</v>
      </c>
      <c r="E40" s="976"/>
      <c r="F40" s="976"/>
      <c r="G40" s="1561"/>
      <c r="H40" s="1562">
        <f t="shared" ref="H40:S40" si="1">SUM(H24:H39)</f>
        <v>-65619.937014559255</v>
      </c>
      <c r="I40" s="1561">
        <f t="shared" si="1"/>
        <v>-101877.92331796656</v>
      </c>
      <c r="J40" s="1561">
        <f t="shared" si="1"/>
        <v>-104954.49464764647</v>
      </c>
      <c r="K40" s="1561">
        <f t="shared" si="1"/>
        <v>-108031.06597732642</v>
      </c>
      <c r="L40" s="1561">
        <f t="shared" si="1"/>
        <v>-111107.63730700634</v>
      </c>
      <c r="M40" s="1561">
        <f t="shared" si="1"/>
        <v>-114184.20863668626</v>
      </c>
      <c r="N40" s="1561">
        <f t="shared" si="1"/>
        <v>-119608.33552192175</v>
      </c>
      <c r="O40" s="1561">
        <f t="shared" si="1"/>
        <v>44449.673987131282</v>
      </c>
      <c r="P40" s="1561">
        <f t="shared" si="1"/>
        <v>119393.67009552756</v>
      </c>
      <c r="Q40" s="1561">
        <f t="shared" si="1"/>
        <v>-28533.978630888341</v>
      </c>
      <c r="R40" s="1561">
        <f t="shared" si="1"/>
        <v>-22392.657342096569</v>
      </c>
      <c r="S40" s="1563">
        <f t="shared" si="1"/>
        <v>-15386.447164416029</v>
      </c>
      <c r="T40" s="1567">
        <f>SUM(T24:T39)</f>
        <v>-627853.34147785534</v>
      </c>
      <c r="V40" s="241"/>
      <c r="W40" s="245"/>
    </row>
    <row r="41" spans="1:25" s="242" customFormat="1">
      <c r="A41" s="970"/>
      <c r="B41" s="971"/>
      <c r="C41" s="970"/>
      <c r="D41" s="975"/>
      <c r="E41" s="976"/>
      <c r="F41" s="976"/>
      <c r="G41" s="243"/>
      <c r="H41" s="1547"/>
      <c r="I41" s="243"/>
      <c r="J41" s="243"/>
      <c r="K41" s="243"/>
      <c r="L41" s="243"/>
      <c r="M41" s="243"/>
      <c r="N41" s="243"/>
      <c r="O41" s="243"/>
      <c r="P41" s="243"/>
      <c r="Q41" s="243"/>
      <c r="R41" s="243"/>
      <c r="S41" s="1548"/>
      <c r="T41" s="1564"/>
      <c r="V41" s="241"/>
      <c r="W41" s="245"/>
    </row>
    <row r="42" spans="1:25" s="242" customFormat="1">
      <c r="A42" s="970"/>
      <c r="B42" s="971"/>
      <c r="C42" s="970"/>
      <c r="D42" s="975" t="s">
        <v>556</v>
      </c>
      <c r="E42" s="976"/>
      <c r="F42" s="976"/>
      <c r="G42" s="220"/>
      <c r="H42" s="1551">
        <f ca="1">'5. Financials'!Q139</f>
        <v>1142652.855904141</v>
      </c>
      <c r="I42" s="220">
        <f ca="1">H43</f>
        <v>1077032.9188895817</v>
      </c>
      <c r="J42" s="220">
        <f t="shared" ref="J42:S42" ca="1" si="2">I43</f>
        <v>975154.99557161517</v>
      </c>
      <c r="K42" s="220">
        <f t="shared" ca="1" si="2"/>
        <v>870200.50092396874</v>
      </c>
      <c r="L42" s="220">
        <f t="shared" ca="1" si="2"/>
        <v>762169.43494664226</v>
      </c>
      <c r="M42" s="220">
        <f t="shared" ca="1" si="2"/>
        <v>651061.79763963586</v>
      </c>
      <c r="N42" s="220">
        <f t="shared" ca="1" si="2"/>
        <v>536877.58900294965</v>
      </c>
      <c r="O42" s="220">
        <f t="shared" ca="1" si="2"/>
        <v>417269.2534810279</v>
      </c>
      <c r="P42" s="220">
        <f t="shared" ca="1" si="2"/>
        <v>461718.92746815918</v>
      </c>
      <c r="Q42" s="220">
        <f t="shared" ca="1" si="2"/>
        <v>581112.59756368678</v>
      </c>
      <c r="R42" s="220">
        <f t="shared" ca="1" si="2"/>
        <v>552578.61893279839</v>
      </c>
      <c r="S42" s="1552">
        <f t="shared" ca="1" si="2"/>
        <v>530185.96159070183</v>
      </c>
      <c r="T42" s="1566">
        <f ca="1">H42</f>
        <v>1142652.855904141</v>
      </c>
      <c r="V42" s="241"/>
      <c r="W42" s="245"/>
    </row>
    <row r="43" spans="1:25" s="242" customFormat="1">
      <c r="A43" s="970"/>
      <c r="B43" s="971"/>
      <c r="C43" s="970"/>
      <c r="D43" s="975" t="s">
        <v>557</v>
      </c>
      <c r="E43" s="976"/>
      <c r="F43" s="976"/>
      <c r="G43" s="243">
        <f ca="1">H42</f>
        <v>1142652.855904141</v>
      </c>
      <c r="H43" s="1547">
        <f ca="1">H40+H42</f>
        <v>1077032.9188895817</v>
      </c>
      <c r="I43" s="243">
        <f ca="1">I40+I42</f>
        <v>975154.99557161517</v>
      </c>
      <c r="J43" s="243">
        <f t="shared" ref="J43:T43" ca="1" si="3">J40+J42</f>
        <v>870200.50092396874</v>
      </c>
      <c r="K43" s="243">
        <f t="shared" ca="1" si="3"/>
        <v>762169.43494664226</v>
      </c>
      <c r="L43" s="243">
        <f t="shared" ca="1" si="3"/>
        <v>651061.79763963586</v>
      </c>
      <c r="M43" s="243">
        <f t="shared" ca="1" si="3"/>
        <v>536877.58900294965</v>
      </c>
      <c r="N43" s="243">
        <f t="shared" ca="1" si="3"/>
        <v>417269.2534810279</v>
      </c>
      <c r="O43" s="243">
        <f t="shared" ca="1" si="3"/>
        <v>461718.92746815918</v>
      </c>
      <c r="P43" s="243">
        <f t="shared" ca="1" si="3"/>
        <v>581112.59756368678</v>
      </c>
      <c r="Q43" s="243">
        <f t="shared" ca="1" si="3"/>
        <v>552578.61893279839</v>
      </c>
      <c r="R43" s="243">
        <f t="shared" ca="1" si="3"/>
        <v>530185.96159070183</v>
      </c>
      <c r="S43" s="1548">
        <f t="shared" ca="1" si="3"/>
        <v>514799.51442628581</v>
      </c>
      <c r="T43" s="1564">
        <f t="shared" ca="1" si="3"/>
        <v>514799.51442628563</v>
      </c>
      <c r="V43" s="241"/>
      <c r="W43" s="245"/>
    </row>
    <row r="44" spans="1:25" s="219" customFormat="1">
      <c r="A44" s="970"/>
      <c r="B44" s="971"/>
      <c r="C44" s="970"/>
      <c r="D44" s="976"/>
      <c r="E44" s="976"/>
      <c r="F44" s="976"/>
      <c r="G44" s="215"/>
      <c r="H44" s="1549"/>
      <c r="I44" s="215"/>
      <c r="J44" s="215"/>
      <c r="K44" s="215"/>
      <c r="L44" s="215"/>
      <c r="M44" s="215"/>
      <c r="N44" s="215"/>
      <c r="O44" s="215"/>
      <c r="P44" s="215"/>
      <c r="Q44" s="215"/>
      <c r="R44" s="215"/>
      <c r="S44" s="1550"/>
      <c r="T44" s="1485"/>
      <c r="V44" s="233"/>
      <c r="W44" s="236"/>
    </row>
    <row r="45" spans="1:25" s="219" customFormat="1" outlineLevel="1">
      <c r="A45" s="970"/>
      <c r="B45" s="971"/>
      <c r="C45" s="970"/>
      <c r="D45" s="975" t="s">
        <v>1833</v>
      </c>
      <c r="E45" s="976"/>
      <c r="F45" s="976"/>
      <c r="G45" s="215">
        <f ca="1">'5. Financials'!H189</f>
        <v>3572949.4219446969</v>
      </c>
      <c r="H45" s="1549"/>
      <c r="I45" s="215"/>
      <c r="J45" s="215"/>
      <c r="K45" s="215"/>
      <c r="L45" s="215"/>
      <c r="M45" s="215"/>
      <c r="N45" s="215"/>
      <c r="O45" s="215"/>
      <c r="P45" s="215"/>
      <c r="Q45" s="215"/>
      <c r="R45" s="215"/>
      <c r="S45" s="1550"/>
      <c r="T45" s="1485">
        <f>'5. Financials'!I189</f>
        <v>0</v>
      </c>
      <c r="V45" s="233"/>
      <c r="W45" s="236"/>
    </row>
    <row r="46" spans="1:25" s="219" customFormat="1" outlineLevel="1">
      <c r="A46" s="970"/>
      <c r="B46" s="971"/>
      <c r="C46" s="970"/>
      <c r="D46" s="977" t="s">
        <v>1694</v>
      </c>
      <c r="E46" s="978"/>
      <c r="F46" s="978"/>
      <c r="G46" s="632">
        <f ca="1">ROUND(G40+G45,0)</f>
        <v>3572949</v>
      </c>
      <c r="H46" s="1553"/>
      <c r="I46" s="632"/>
      <c r="J46" s="632"/>
      <c r="K46" s="632"/>
      <c r="L46" s="632"/>
      <c r="M46" s="632"/>
      <c r="N46" s="632"/>
      <c r="O46" s="632"/>
      <c r="P46" s="632"/>
      <c r="Q46" s="632"/>
      <c r="R46" s="632"/>
      <c r="S46" s="1554"/>
      <c r="T46" s="1568">
        <f>ROUND(T40+T45,0)</f>
        <v>-627853</v>
      </c>
      <c r="V46" s="233"/>
      <c r="W46" s="236"/>
    </row>
    <row r="47" spans="1:25" s="219" customFormat="1" outlineLevel="1">
      <c r="A47" s="970"/>
      <c r="B47" s="971"/>
      <c r="C47" s="970"/>
      <c r="D47" s="976"/>
      <c r="E47" s="976"/>
      <c r="F47" s="976"/>
      <c r="G47" s="215"/>
      <c r="H47" s="1549"/>
      <c r="I47" s="215"/>
      <c r="J47" s="215"/>
      <c r="K47" s="215"/>
      <c r="L47" s="215"/>
      <c r="M47" s="215"/>
      <c r="N47" s="215"/>
      <c r="O47" s="215"/>
      <c r="P47" s="215"/>
      <c r="Q47" s="215"/>
      <c r="R47" s="215"/>
      <c r="S47" s="1550"/>
      <c r="T47" s="1485"/>
      <c r="V47" s="233"/>
      <c r="W47" s="236"/>
    </row>
    <row r="48" spans="1:25" s="242" customFormat="1" ht="12" thickBot="1">
      <c r="A48" s="970"/>
      <c r="B48" s="971"/>
      <c r="C48" s="970"/>
      <c r="D48" s="979" t="str">
        <f>"Partner Share of Distributions @ "&amp;TEXT(PartnerOwnership,"0%")</f>
        <v>Partner Share of Distributions @ 10%</v>
      </c>
      <c r="E48" s="979"/>
      <c r="F48" s="979"/>
      <c r="G48" s="248">
        <v>0</v>
      </c>
      <c r="H48" s="1555">
        <f t="shared" ref="H48:T48" si="4">-H38*PartnerOwnership</f>
        <v>0</v>
      </c>
      <c r="I48" s="248">
        <f t="shared" si="4"/>
        <v>0</v>
      </c>
      <c r="J48" s="248">
        <f t="shared" si="4"/>
        <v>0</v>
      </c>
      <c r="K48" s="248">
        <f t="shared" si="4"/>
        <v>0</v>
      </c>
      <c r="L48" s="248">
        <f t="shared" si="4"/>
        <v>0</v>
      </c>
      <c r="M48" s="248">
        <f t="shared" si="4"/>
        <v>0</v>
      </c>
      <c r="N48" s="248">
        <f t="shared" si="4"/>
        <v>0</v>
      </c>
      <c r="O48" s="248">
        <f t="shared" si="4"/>
        <v>0</v>
      </c>
      <c r="P48" s="248">
        <f t="shared" si="4"/>
        <v>0</v>
      </c>
      <c r="Q48" s="248">
        <f t="shared" si="4"/>
        <v>0</v>
      </c>
      <c r="R48" s="248">
        <f t="shared" si="4"/>
        <v>0</v>
      </c>
      <c r="S48" s="1556">
        <f t="shared" si="4"/>
        <v>0</v>
      </c>
      <c r="T48" s="1569">
        <f t="shared" si="4"/>
        <v>0</v>
      </c>
      <c r="V48" s="241"/>
      <c r="W48" s="245"/>
    </row>
    <row r="49" spans="1:23" s="242" customFormat="1" ht="12" thickTop="1">
      <c r="A49" s="970"/>
      <c r="B49" s="971"/>
      <c r="C49" s="970"/>
      <c r="D49" s="979"/>
      <c r="E49" s="979"/>
      <c r="F49" s="979"/>
      <c r="G49" s="1544"/>
      <c r="H49" s="1544"/>
      <c r="I49" s="1544"/>
      <c r="J49" s="1544"/>
      <c r="K49" s="1544"/>
      <c r="L49" s="1544"/>
      <c r="M49" s="1544"/>
      <c r="N49" s="1544"/>
      <c r="O49" s="1544"/>
      <c r="P49" s="1544"/>
      <c r="Q49" s="1544"/>
      <c r="R49" s="1544"/>
      <c r="S49" s="1544"/>
      <c r="T49" s="1544"/>
      <c r="V49" s="241"/>
      <c r="W49" s="245"/>
    </row>
    <row r="50" spans="1:23" s="219" customFormat="1">
      <c r="A50" s="970"/>
      <c r="B50" s="971"/>
      <c r="C50" s="970"/>
      <c r="D50" s="976"/>
      <c r="E50" s="976"/>
      <c r="F50" s="976"/>
      <c r="G50" s="215"/>
      <c r="H50" s="215"/>
      <c r="I50" s="215"/>
      <c r="J50" s="215"/>
      <c r="K50" s="215"/>
      <c r="L50" s="215"/>
      <c r="M50" s="215"/>
      <c r="N50" s="215"/>
      <c r="O50" s="215"/>
      <c r="P50" s="215"/>
      <c r="Q50" s="215"/>
      <c r="R50" s="215"/>
      <c r="S50" s="215"/>
      <c r="T50" s="215"/>
      <c r="V50" s="233"/>
      <c r="W50" s="236"/>
    </row>
    <row r="51" spans="1:23" s="219" customFormat="1" outlineLevel="1" collapsed="1">
      <c r="A51" s="970"/>
      <c r="B51" s="971"/>
      <c r="C51" s="970"/>
      <c r="D51" s="975" t="s">
        <v>2525</v>
      </c>
      <c r="E51" s="975"/>
      <c r="F51" s="975"/>
      <c r="G51" s="2207"/>
      <c r="H51" s="217"/>
      <c r="I51" s="217"/>
      <c r="J51" s="217"/>
      <c r="K51" s="217"/>
      <c r="L51" s="217"/>
      <c r="M51" s="217"/>
      <c r="N51" s="217"/>
      <c r="O51" s="217"/>
      <c r="P51" s="217"/>
      <c r="Q51" s="217"/>
      <c r="R51" s="217"/>
      <c r="S51" s="217"/>
      <c r="T51" s="217" t="e">
        <f>'5. Financials'!#REF!</f>
        <v>#REF!</v>
      </c>
      <c r="V51" s="233"/>
      <c r="W51" s="236"/>
    </row>
    <row r="52" spans="1:23" s="219" customFormat="1" outlineLevel="1">
      <c r="A52" s="970"/>
      <c r="B52" s="971"/>
      <c r="C52" s="970"/>
      <c r="D52" s="975"/>
      <c r="E52" s="975"/>
      <c r="F52" s="975"/>
      <c r="G52" s="217"/>
      <c r="H52" s="217"/>
      <c r="I52" s="217"/>
      <c r="J52" s="217"/>
      <c r="K52" s="217"/>
      <c r="L52" s="217"/>
      <c r="M52" s="217"/>
      <c r="N52" s="217"/>
      <c r="O52" s="217"/>
      <c r="P52" s="217"/>
      <c r="Q52" s="217"/>
      <c r="R52" s="217"/>
      <c r="S52" s="217"/>
      <c r="T52" s="217"/>
      <c r="V52" s="233"/>
      <c r="W52" s="236"/>
    </row>
    <row r="53" spans="1:23" s="219" customFormat="1" ht="12" outlineLevel="1" thickBot="1">
      <c r="A53" s="970"/>
      <c r="B53" s="971"/>
      <c r="C53" s="970"/>
      <c r="D53" s="1538" t="s">
        <v>1707</v>
      </c>
      <c r="E53" s="1538"/>
      <c r="F53" s="1538"/>
      <c r="G53" s="669">
        <f>SUM(G48:G51)</f>
        <v>0</v>
      </c>
      <c r="H53" s="669"/>
      <c r="I53" s="669"/>
      <c r="J53" s="669"/>
      <c r="K53" s="669"/>
      <c r="L53" s="669"/>
      <c r="M53" s="669"/>
      <c r="N53" s="669"/>
      <c r="O53" s="669"/>
      <c r="P53" s="669"/>
      <c r="Q53" s="669"/>
      <c r="R53" s="669"/>
      <c r="S53" s="669"/>
      <c r="T53" s="669" t="e">
        <f>SUM(T48:T51)</f>
        <v>#REF!</v>
      </c>
      <c r="V53" s="233"/>
      <c r="W53" s="236"/>
    </row>
    <row r="54" spans="1:23" s="219" customFormat="1" ht="12" outlineLevel="1" thickTop="1">
      <c r="A54" s="970"/>
      <c r="B54" s="971"/>
      <c r="C54" s="974"/>
      <c r="D54" s="976"/>
      <c r="E54" s="976"/>
      <c r="F54" s="976"/>
      <c r="G54" s="238"/>
      <c r="H54" s="238"/>
      <c r="I54" s="238"/>
      <c r="J54" s="238"/>
      <c r="K54" s="238"/>
      <c r="L54" s="238"/>
      <c r="M54" s="238"/>
      <c r="N54" s="238"/>
      <c r="O54" s="238"/>
      <c r="P54" s="238"/>
      <c r="Q54" s="238"/>
      <c r="R54" s="238"/>
      <c r="S54" s="238"/>
      <c r="T54" s="238"/>
      <c r="U54" s="216"/>
      <c r="V54" s="233"/>
      <c r="W54" s="236"/>
    </row>
    <row r="55" spans="1:23" s="219" customFormat="1">
      <c r="A55" s="970"/>
      <c r="B55" s="971"/>
      <c r="C55" s="974"/>
      <c r="D55" s="958" t="s">
        <v>488</v>
      </c>
      <c r="E55" s="958"/>
      <c r="F55" s="958"/>
      <c r="G55" s="239"/>
      <c r="H55" s="239"/>
      <c r="I55" s="239"/>
      <c r="J55" s="239"/>
      <c r="K55" s="239"/>
      <c r="L55" s="239"/>
      <c r="M55" s="239"/>
      <c r="N55" s="239"/>
      <c r="O55" s="239"/>
      <c r="P55" s="239"/>
      <c r="Q55" s="239"/>
      <c r="R55" s="239"/>
      <c r="S55" s="239"/>
      <c r="T55" s="217"/>
      <c r="V55" s="233"/>
      <c r="W55" s="236"/>
    </row>
    <row r="56" spans="1:23" s="206" customFormat="1">
      <c r="A56" s="970"/>
      <c r="B56" s="971"/>
      <c r="C56" s="974"/>
      <c r="D56" s="970"/>
      <c r="E56" s="980" t="s">
        <v>1550</v>
      </c>
      <c r="F56" s="981"/>
      <c r="G56" s="231">
        <f>SUM(T40:T40)/-SUMIF(G40:T40,"&lt;0")</f>
        <v>-0.44229039450462776</v>
      </c>
      <c r="H56" s="1541"/>
      <c r="I56" s="1541"/>
      <c r="J56" s="1541"/>
      <c r="K56" s="1541"/>
      <c r="L56" s="1541"/>
      <c r="M56" s="1541"/>
      <c r="N56" s="1541"/>
      <c r="O56" s="1541"/>
      <c r="P56" s="1541"/>
      <c r="Q56" s="1541"/>
      <c r="R56" s="1541"/>
      <c r="S56" s="1541"/>
      <c r="T56" s="218"/>
      <c r="V56" s="205"/>
      <c r="W56" s="208"/>
    </row>
    <row r="57" spans="1:23" s="206" customFormat="1">
      <c r="A57" s="970"/>
      <c r="B57" s="971"/>
      <c r="C57" s="974"/>
      <c r="D57" s="970"/>
      <c r="E57" s="982" t="s">
        <v>487</v>
      </c>
      <c r="F57" s="983"/>
      <c r="G57" s="247" t="e">
        <f ca="1">IF(TODAY()&gt;ModelExpirationDate,"Sorry, this model has expired.  Please update template &amp; refresh assumptions.",IRR(G48:T48,0.1))</f>
        <v>#NUM!</v>
      </c>
      <c r="H57" s="1542"/>
      <c r="I57" s="1542"/>
      <c r="J57" s="1542"/>
      <c r="K57" s="1542"/>
      <c r="L57" s="1542"/>
      <c r="M57" s="1542"/>
      <c r="N57" s="1542"/>
      <c r="O57" s="1542"/>
      <c r="P57" s="1542"/>
      <c r="Q57" s="1542"/>
      <c r="R57" s="1542"/>
      <c r="S57" s="1542"/>
      <c r="T57" s="218"/>
      <c r="V57" s="205"/>
      <c r="W57" s="208"/>
    </row>
    <row r="58" spans="1:23" s="206" customFormat="1" outlineLevel="1">
      <c r="A58" s="970"/>
      <c r="B58" s="971"/>
      <c r="C58" s="974"/>
      <c r="D58" s="970"/>
      <c r="E58" s="984"/>
      <c r="F58" s="984"/>
      <c r="G58" s="1479"/>
      <c r="H58" s="1479"/>
      <c r="I58" s="1479"/>
      <c r="J58" s="1479"/>
      <c r="K58" s="1479"/>
      <c r="L58" s="1479"/>
      <c r="M58" s="1479"/>
      <c r="N58" s="1479"/>
      <c r="O58" s="1479"/>
      <c r="P58" s="1479"/>
      <c r="Q58" s="1479"/>
      <c r="R58" s="1479"/>
      <c r="S58" s="1479"/>
      <c r="T58" s="218"/>
      <c r="V58" s="205"/>
      <c r="W58" s="208"/>
    </row>
    <row r="59" spans="1:23" s="206" customFormat="1" outlineLevel="1">
      <c r="A59" s="970"/>
      <c r="B59" s="971"/>
      <c r="C59" s="974"/>
      <c r="D59" s="970" t="s">
        <v>2505</v>
      </c>
      <c r="E59" s="984"/>
      <c r="F59" s="984"/>
      <c r="G59" s="1479"/>
      <c r="H59" s="1479"/>
      <c r="I59" s="1479"/>
      <c r="J59" s="1479"/>
      <c r="K59" s="1479"/>
      <c r="L59" s="1479"/>
      <c r="M59" s="1479"/>
      <c r="N59" s="1479"/>
      <c r="O59" s="1479"/>
      <c r="P59" s="1479"/>
      <c r="Q59" s="1479"/>
      <c r="R59" s="1479"/>
      <c r="S59" s="1479"/>
      <c r="T59" s="218"/>
      <c r="V59" s="205"/>
      <c r="W59" s="208"/>
    </row>
    <row r="60" spans="1:23" s="206" customFormat="1" outlineLevel="1">
      <c r="A60" s="970"/>
      <c r="B60" s="971"/>
      <c r="C60" s="974"/>
      <c r="D60" s="970"/>
      <c r="E60" s="1480" t="s">
        <v>2504</v>
      </c>
      <c r="F60" s="1481"/>
      <c r="G60" s="1482">
        <f>1/12*PtrIS!H26</f>
        <v>112886.7524163748</v>
      </c>
      <c r="H60" s="1543"/>
      <c r="I60" s="1543"/>
      <c r="J60" s="1543"/>
      <c r="K60" s="1543"/>
      <c r="L60" s="1543"/>
      <c r="M60" s="1543"/>
      <c r="N60" s="1543"/>
      <c r="O60" s="1543"/>
      <c r="P60" s="1543"/>
      <c r="Q60" s="1543"/>
      <c r="R60" s="1543"/>
      <c r="S60" s="1543"/>
      <c r="T60" s="218"/>
      <c r="V60" s="205"/>
      <c r="W60" s="208"/>
    </row>
    <row r="61" spans="1:23" s="206" customFormat="1">
      <c r="A61" s="970"/>
      <c r="B61" s="971"/>
      <c r="C61" s="970"/>
      <c r="D61" s="984"/>
      <c r="E61" s="984"/>
      <c r="F61" s="984"/>
      <c r="G61" s="222"/>
      <c r="H61" s="222"/>
      <c r="I61" s="222"/>
      <c r="J61" s="222"/>
      <c r="K61" s="222"/>
      <c r="L61" s="222"/>
      <c r="M61" s="222"/>
      <c r="N61" s="222"/>
      <c r="O61" s="222"/>
      <c r="P61" s="222"/>
      <c r="Q61" s="222"/>
      <c r="R61" s="222"/>
      <c r="S61" s="222"/>
      <c r="T61" s="218"/>
      <c r="V61" s="205"/>
      <c r="W61" s="208"/>
    </row>
    <row r="62" spans="1:23" s="206" customFormat="1" outlineLevel="1">
      <c r="A62" s="970"/>
      <c r="B62" s="971"/>
      <c r="C62" s="970"/>
      <c r="D62" s="984" t="s">
        <v>2526</v>
      </c>
      <c r="E62" s="984"/>
      <c r="F62" s="984"/>
      <c r="G62" s="222"/>
      <c r="H62" s="222"/>
      <c r="I62" s="222"/>
      <c r="J62" s="222"/>
      <c r="K62" s="222"/>
      <c r="L62" s="222"/>
      <c r="M62" s="222"/>
      <c r="N62" s="222"/>
      <c r="O62" s="222"/>
      <c r="P62" s="222"/>
      <c r="Q62" s="222"/>
      <c r="R62" s="222"/>
      <c r="S62" s="222"/>
      <c r="T62" s="218"/>
      <c r="V62" s="205"/>
      <c r="W62" s="208"/>
    </row>
    <row r="63" spans="1:23" s="206" customFormat="1" outlineLevel="1">
      <c r="A63" s="970"/>
      <c r="B63" s="971"/>
      <c r="C63" s="970"/>
      <c r="D63" s="980" t="s">
        <v>1332</v>
      </c>
      <c r="E63" s="981"/>
      <c r="F63" s="981"/>
      <c r="G63" s="231" t="e">
        <f>SUM(G53:T53)/-SUMIF(G53:T53,"&lt;0")</f>
        <v>#REF!</v>
      </c>
      <c r="H63" s="1541"/>
      <c r="I63" s="1541"/>
      <c r="J63" s="1541"/>
      <c r="K63" s="1541"/>
      <c r="L63" s="1541"/>
      <c r="M63" s="1541"/>
      <c r="N63" s="1541"/>
      <c r="O63" s="1541"/>
      <c r="P63" s="1541"/>
      <c r="Q63" s="1541"/>
      <c r="R63" s="1541"/>
      <c r="S63" s="1541"/>
      <c r="T63" s="218"/>
      <c r="V63" s="205"/>
      <c r="W63" s="208"/>
    </row>
    <row r="64" spans="1:23" s="206" customFormat="1" outlineLevel="1">
      <c r="A64" s="970"/>
      <c r="B64" s="971"/>
      <c r="C64" s="970"/>
      <c r="D64" s="1284" t="s">
        <v>1333</v>
      </c>
      <c r="E64" s="1285"/>
      <c r="F64" s="1285"/>
      <c r="G64" s="232" t="e">
        <f>IRR(G53:T53,0.4)</f>
        <v>#VALUE!</v>
      </c>
      <c r="H64" s="1479"/>
      <c r="I64" s="1479"/>
      <c r="J64" s="1479"/>
      <c r="K64" s="1479"/>
      <c r="L64" s="1479"/>
      <c r="M64" s="1479"/>
      <c r="N64" s="1479"/>
      <c r="O64" s="1479"/>
      <c r="P64" s="1479"/>
      <c r="Q64" s="1479"/>
      <c r="R64" s="1479"/>
      <c r="S64" s="1479"/>
      <c r="T64" s="218"/>
      <c r="V64" s="205"/>
      <c r="W64" s="208"/>
    </row>
    <row r="65" spans="1:23" s="206" customFormat="1" outlineLevel="1">
      <c r="A65" s="970"/>
      <c r="B65" s="971"/>
      <c r="C65" s="970"/>
      <c r="D65" s="1286"/>
      <c r="E65" s="1286"/>
      <c r="F65" s="1286"/>
      <c r="G65" s="223"/>
      <c r="H65" s="223"/>
      <c r="I65" s="223"/>
      <c r="J65" s="223"/>
      <c r="K65" s="223"/>
      <c r="L65" s="223"/>
      <c r="M65" s="223"/>
      <c r="N65" s="223"/>
      <c r="O65" s="223"/>
      <c r="P65" s="223"/>
      <c r="Q65" s="223"/>
      <c r="R65" s="223"/>
      <c r="S65" s="223"/>
      <c r="T65" s="224"/>
      <c r="V65" s="205"/>
      <c r="W65" s="208"/>
    </row>
    <row r="66" spans="1:23" s="206" customFormat="1">
      <c r="A66" s="970"/>
      <c r="B66" s="971"/>
      <c r="C66" s="970"/>
      <c r="D66" s="1287" t="str">
        <f>"(a) "&amp;TEXT(X35,"0.0")&amp;"x Year 5 Partnership EBITDA x Partner %"</f>
        <v>(a) 5.0x Year 5 Partnership EBITDA x Partner %</v>
      </c>
      <c r="E66" s="1287"/>
      <c r="F66" s="1287"/>
      <c r="G66" s="1288"/>
      <c r="H66" s="1288"/>
      <c r="I66" s="1288"/>
      <c r="J66" s="1288"/>
      <c r="K66" s="1288"/>
      <c r="L66" s="1288"/>
      <c r="M66" s="1288"/>
      <c r="N66" s="1288"/>
      <c r="O66" s="1288"/>
      <c r="P66" s="1288"/>
      <c r="Q66" s="1288"/>
      <c r="R66" s="1288"/>
      <c r="S66" s="1288"/>
      <c r="V66" s="205"/>
      <c r="W66" s="208"/>
    </row>
    <row r="67" spans="1:23" s="206" customFormat="1" collapsed="1">
      <c r="A67" s="970"/>
      <c r="B67" s="971"/>
      <c r="C67" s="970"/>
      <c r="D67" s="970" t="s">
        <v>1831</v>
      </c>
      <c r="E67" s="1287"/>
      <c r="F67" s="1287"/>
      <c r="V67" s="205"/>
      <c r="W67" s="208"/>
    </row>
    <row r="68" spans="1:23" s="206" customFormat="1">
      <c r="A68" s="970"/>
      <c r="B68" s="971"/>
      <c r="C68" s="970"/>
      <c r="D68" s="1287" t="s">
        <v>1828</v>
      </c>
      <c r="E68" s="1287"/>
      <c r="F68" s="1287"/>
      <c r="G68" s="207"/>
      <c r="H68" s="207"/>
      <c r="I68" s="207"/>
      <c r="J68" s="207"/>
      <c r="K68" s="207"/>
      <c r="L68" s="207"/>
      <c r="M68" s="207"/>
      <c r="N68" s="207"/>
      <c r="O68" s="207"/>
      <c r="P68" s="207"/>
      <c r="Q68" s="207"/>
      <c r="R68" s="207"/>
      <c r="S68" s="207"/>
      <c r="V68" s="205"/>
      <c r="W68" s="208"/>
    </row>
    <row r="69" spans="1:23" s="206" customFormat="1">
      <c r="A69" s="970"/>
      <c r="B69" s="971"/>
      <c r="C69" s="970"/>
      <c r="D69" s="1287" t="s">
        <v>1829</v>
      </c>
      <c r="E69" s="1287"/>
      <c r="F69" s="1287"/>
      <c r="V69" s="205"/>
      <c r="W69" s="208"/>
    </row>
    <row r="70" spans="1:23" s="206" customFormat="1">
      <c r="A70" s="970"/>
      <c r="B70" s="971"/>
      <c r="C70" s="970"/>
      <c r="D70" s="970"/>
      <c r="E70" s="970"/>
      <c r="F70" s="970"/>
      <c r="V70" s="205"/>
      <c r="W70" s="208"/>
    </row>
    <row r="71" spans="1:23" s="206" customFormat="1">
      <c r="A71" s="970"/>
      <c r="B71" s="971"/>
      <c r="C71" s="971"/>
      <c r="D71" s="971"/>
      <c r="E71" s="971"/>
      <c r="F71" s="971"/>
      <c r="G71" s="205"/>
      <c r="H71" s="205"/>
      <c r="I71" s="205"/>
      <c r="J71" s="205"/>
      <c r="K71" s="205"/>
      <c r="L71" s="205"/>
      <c r="M71" s="205"/>
      <c r="N71" s="205"/>
      <c r="O71" s="205"/>
      <c r="P71" s="205"/>
      <c r="Q71" s="205"/>
      <c r="R71" s="205"/>
      <c r="S71" s="205"/>
      <c r="T71" s="205"/>
      <c r="U71" s="205"/>
      <c r="V71" s="205"/>
      <c r="W71" s="208"/>
    </row>
    <row r="72" spans="1:23" s="206" customFormat="1">
      <c r="A72" s="970"/>
      <c r="B72" s="985"/>
      <c r="C72" s="985"/>
      <c r="D72" s="985"/>
      <c r="E72" s="985"/>
      <c r="F72" s="985"/>
      <c r="G72" s="227"/>
      <c r="H72" s="227"/>
      <c r="I72" s="227"/>
      <c r="J72" s="227"/>
      <c r="K72" s="227"/>
      <c r="L72" s="227"/>
      <c r="M72" s="227"/>
      <c r="N72" s="227"/>
      <c r="O72" s="227"/>
      <c r="P72" s="227"/>
      <c r="Q72" s="227"/>
      <c r="R72" s="227"/>
      <c r="S72" s="227"/>
      <c r="T72" s="227"/>
      <c r="U72" s="227"/>
      <c r="V72" s="227"/>
      <c r="W72" s="208"/>
    </row>
    <row r="73" spans="1:23" s="206" customFormat="1">
      <c r="A73" s="970"/>
      <c r="B73" s="985"/>
      <c r="C73" s="985"/>
      <c r="D73" s="985" t="s">
        <v>3792</v>
      </c>
      <c r="E73" s="985"/>
      <c r="F73" s="985"/>
      <c r="G73" s="227"/>
      <c r="H73" s="227"/>
      <c r="I73" s="227"/>
      <c r="J73" s="227"/>
      <c r="K73" s="227"/>
      <c r="L73" s="227"/>
      <c r="M73" s="227"/>
      <c r="N73" s="227"/>
      <c r="O73" s="227"/>
      <c r="P73" s="227"/>
      <c r="Q73" s="227"/>
      <c r="R73" s="227"/>
      <c r="S73" s="227"/>
      <c r="T73" s="227"/>
      <c r="U73" s="227"/>
      <c r="V73" s="227"/>
      <c r="W73" s="208"/>
    </row>
    <row r="74" spans="1:23" s="206" customFormat="1">
      <c r="A74" s="970"/>
      <c r="B74" s="985"/>
      <c r="C74" s="985"/>
      <c r="D74" s="985" t="s">
        <v>2148</v>
      </c>
      <c r="E74" s="985"/>
      <c r="F74" s="985"/>
      <c r="G74" s="230">
        <f ca="1">'1.0 Summary'!K10+180</f>
        <v>41996</v>
      </c>
      <c r="H74" s="230"/>
      <c r="I74" s="230"/>
      <c r="J74" s="230"/>
      <c r="K74" s="230"/>
      <c r="L74" s="230"/>
      <c r="M74" s="230"/>
      <c r="N74" s="230"/>
      <c r="O74" s="230"/>
      <c r="P74" s="230"/>
      <c r="Q74" s="230"/>
      <c r="R74" s="230"/>
      <c r="S74" s="230"/>
      <c r="T74" s="227"/>
      <c r="U74" s="227"/>
      <c r="V74" s="227"/>
      <c r="W74" s="208"/>
    </row>
    <row r="75" spans="1:23" s="206" customFormat="1">
      <c r="A75" s="970"/>
      <c r="B75" s="985"/>
      <c r="C75" s="985"/>
      <c r="D75" s="970"/>
      <c r="E75" s="985"/>
      <c r="F75" s="970"/>
      <c r="G75" s="227"/>
      <c r="H75" s="227"/>
      <c r="I75" s="227"/>
      <c r="J75" s="227"/>
      <c r="K75" s="227"/>
      <c r="L75" s="227"/>
      <c r="M75" s="227"/>
      <c r="N75" s="227"/>
      <c r="O75" s="227"/>
      <c r="P75" s="227"/>
      <c r="Q75" s="227"/>
      <c r="R75" s="227"/>
      <c r="S75" s="227"/>
      <c r="T75" s="227"/>
      <c r="U75" s="227"/>
      <c r="V75" s="227"/>
      <c r="W75" s="208"/>
    </row>
  </sheetData>
  <phoneticPr fontId="0" type="noConversion"/>
  <conditionalFormatting sqref="G46:T46">
    <cfRule type="cellIs" dxfId="129" priority="1" stopIfTrue="1" operator="notEqual">
      <formula>0</formula>
    </cfRule>
  </conditionalFormatting>
  <printOptions horizontalCentered="1"/>
  <pageMargins left="0.5" right="0.5" top="0.75" bottom="0.75" header="0.3" footer="0.3"/>
  <pageSetup scale="74" orientation="landscape" r:id="rId1"/>
  <headerFooter alignWithMargins="0">
    <oddHeader>&amp;L&amp;8For discussion purposes only&amp;C&amp;8Draft - Confidential&amp;R&amp;8Actual Results May Differ From This Forecast</oddHeader>
    <oddFooter>&amp;L&amp;8&amp;F&amp;R&amp;8&amp;D @ &amp;T</oddFooter>
  </headerFooter>
  <legacyDrawing r:id="rId2"/>
</worksheet>
</file>

<file path=xl/worksheets/sheet8.xml><?xml version="1.0" encoding="utf-8"?>
<worksheet xmlns="http://schemas.openxmlformats.org/spreadsheetml/2006/main" xmlns:r="http://schemas.openxmlformats.org/officeDocument/2006/relationships">
  <sheetPr codeName="Sheet47">
    <tabColor indexed="43"/>
    <pageSetUpPr fitToPage="1"/>
  </sheetPr>
  <dimension ref="A1:O49"/>
  <sheetViews>
    <sheetView zoomScale="80" zoomScaleNormal="80" workbookViewId="0"/>
  </sheetViews>
  <sheetFormatPr defaultRowHeight="12.75"/>
  <cols>
    <col min="1" max="5" width="9.140625" style="1678"/>
    <col min="6" max="6" width="15.7109375" style="1678" customWidth="1"/>
    <col min="7" max="7" width="12.7109375" style="1678" customWidth="1"/>
    <col min="8" max="8" width="9.85546875" style="1678" bestFit="1" customWidth="1"/>
    <col min="9" max="9" width="9.140625" style="1678"/>
    <col min="10" max="10" width="15.7109375" style="1678" customWidth="1"/>
    <col min="11" max="11" width="9.140625" style="1678"/>
    <col min="12" max="12" width="15.7109375" style="1678" customWidth="1"/>
    <col min="13" max="13" width="11.7109375" style="1584" customWidth="1"/>
    <col min="14" max="14" width="9.140625" style="1678"/>
    <col min="15" max="15" width="10.5703125" style="1678" bestFit="1" customWidth="1"/>
    <col min="16" max="16384" width="9.140625" style="1678"/>
  </cols>
  <sheetData>
    <row r="1" spans="1:15">
      <c r="A1" s="1975"/>
      <c r="B1" s="1975"/>
      <c r="C1" s="1975"/>
      <c r="D1" s="1975"/>
      <c r="E1" s="1975"/>
      <c r="F1" s="1975"/>
      <c r="G1" s="1975"/>
      <c r="H1" s="1975"/>
      <c r="I1" s="1975"/>
      <c r="J1" s="1975"/>
      <c r="K1" s="1975"/>
      <c r="L1" s="1975"/>
      <c r="M1" s="1583"/>
    </row>
    <row r="2" spans="1:15">
      <c r="A2" s="1975"/>
      <c r="B2" s="1975"/>
      <c r="C2" s="1975"/>
      <c r="D2" s="1975"/>
      <c r="E2" s="1975"/>
      <c r="F2" s="1975"/>
      <c r="G2" s="1975"/>
      <c r="H2" s="1975"/>
      <c r="I2" s="1975"/>
      <c r="J2" s="1975"/>
      <c r="K2" s="1975"/>
      <c r="L2" s="1975"/>
      <c r="M2" s="1583"/>
    </row>
    <row r="3" spans="1:15" ht="20.25">
      <c r="A3" s="2428" t="s">
        <v>4015</v>
      </c>
      <c r="B3" s="1977"/>
      <c r="C3" s="1977"/>
      <c r="D3" s="1977"/>
      <c r="E3" s="1977"/>
      <c r="F3" s="1977"/>
      <c r="G3" s="1977"/>
      <c r="H3" s="1977"/>
      <c r="I3" s="1977"/>
      <c r="J3" s="1977"/>
      <c r="K3" s="1977"/>
      <c r="L3" s="1977"/>
      <c r="M3" s="2429"/>
    </row>
    <row r="6" spans="1:15" ht="15">
      <c r="A6" s="2430" t="s">
        <v>4016</v>
      </c>
    </row>
    <row r="7" spans="1:15" ht="15">
      <c r="A7" s="2431" t="s">
        <v>4017</v>
      </c>
    </row>
    <row r="8" spans="1:15" ht="15">
      <c r="A8" s="2431" t="s">
        <v>4018</v>
      </c>
    </row>
    <row r="9" spans="1:15" ht="15">
      <c r="A9" s="2430" t="s">
        <v>4019</v>
      </c>
    </row>
    <row r="10" spans="1:15" ht="15">
      <c r="A10" s="2431" t="s">
        <v>4020</v>
      </c>
      <c r="J10" s="1921" t="s">
        <v>4021</v>
      </c>
      <c r="K10" s="1921" t="s">
        <v>1671</v>
      </c>
      <c r="L10" s="1921" t="s">
        <v>3099</v>
      </c>
      <c r="M10" s="2432" t="s">
        <v>4022</v>
      </c>
    </row>
    <row r="11" spans="1:15" ht="15">
      <c r="A11" s="2433" t="s">
        <v>4023</v>
      </c>
      <c r="J11" s="2434">
        <f>SUM($F$30)*K11</f>
        <v>315059.76299999998</v>
      </c>
      <c r="K11" s="2435">
        <v>0.15</v>
      </c>
      <c r="L11" s="2434">
        <f ca="1">IF(J11*$F$26*($F$29-M11)/365&lt;0,0,J11*$F$26*($F$29-M11)/365)</f>
        <v>0</v>
      </c>
      <c r="M11" s="2436">
        <f ca="1">IF(F29&gt;F35,F35,F29)</f>
        <v>41816</v>
      </c>
      <c r="N11" s="2437"/>
      <c r="O11" s="2438"/>
    </row>
    <row r="12" spans="1:15" ht="15">
      <c r="A12" s="2433" t="s">
        <v>4024</v>
      </c>
      <c r="J12" s="2434">
        <f>SUM($F$30)*K12</f>
        <v>1050199.21</v>
      </c>
      <c r="K12" s="2435">
        <v>0.5</v>
      </c>
      <c r="L12" s="2434">
        <f ca="1">IF(J12*$F$26*($F$29-M12)/365&lt;0,0,J12*$F$26*($F$29-M12)/365)</f>
        <v>0</v>
      </c>
      <c r="M12" s="2436">
        <f ca="1">$F$35+30</f>
        <v>41936</v>
      </c>
      <c r="O12" s="2437"/>
    </row>
    <row r="13" spans="1:15" ht="15">
      <c r="A13" s="2433" t="s">
        <v>4025</v>
      </c>
      <c r="J13" s="2434">
        <f>SUM($F$30)*K13</f>
        <v>525099.60499999998</v>
      </c>
      <c r="K13" s="2435">
        <v>0.25</v>
      </c>
      <c r="L13" s="2434">
        <f ca="1">IF(J13*$F$26*($F$29-M13)/365&lt;0,0,J13*$F$26*($F$29-M13)/365)</f>
        <v>0</v>
      </c>
      <c r="M13" s="2436">
        <f ca="1">$F$35+90</f>
        <v>41996</v>
      </c>
      <c r="O13" s="2437"/>
    </row>
    <row r="14" spans="1:15" ht="15">
      <c r="A14" s="2433" t="s">
        <v>4026</v>
      </c>
      <c r="J14" s="2434">
        <f>SUM($F$30)*K14</f>
        <v>210039.842</v>
      </c>
      <c r="K14" s="2435">
        <v>0.1</v>
      </c>
      <c r="L14" s="2434">
        <f ca="1">IF(J14*$F$26*($F$29-M14)/365&lt;0,0,J14*$F$26*($F$29-M14)/365)</f>
        <v>0</v>
      </c>
      <c r="M14" s="2436">
        <f ca="1">$F$36+30</f>
        <v>41966</v>
      </c>
    </row>
    <row r="15" spans="1:15" ht="15">
      <c r="A15" s="2431" t="s">
        <v>4027</v>
      </c>
      <c r="J15" s="2439"/>
      <c r="K15" s="2435"/>
      <c r="L15" s="2439"/>
      <c r="M15" s="2440"/>
    </row>
    <row r="16" spans="1:15" ht="15">
      <c r="A16" s="2433" t="s">
        <v>4028</v>
      </c>
      <c r="J16" s="2434">
        <f>K16*$F$32</f>
        <v>211102.73699999999</v>
      </c>
      <c r="K16" s="2435">
        <v>0.15</v>
      </c>
      <c r="L16" s="2434">
        <f ca="1">IF(J16*$F$26*($F$29-M16)/365&lt;0,0,J16*$F$26*($F$29-M16)/365)</f>
        <v>0</v>
      </c>
      <c r="M16" s="2436">
        <f ca="1">$F$35</f>
        <v>41906</v>
      </c>
    </row>
    <row r="17" spans="1:13" ht="15">
      <c r="A17" s="2433" t="s">
        <v>4029</v>
      </c>
      <c r="J17" s="2434">
        <f>K17*$F$32</f>
        <v>703675.79</v>
      </c>
      <c r="K17" s="2435">
        <v>0.5</v>
      </c>
      <c r="L17" s="2434">
        <f ca="1">IF(J17*$F$26*($F$29-M17)/365&lt;0,0,J17*$F$26*($F$29-M17)/365)</f>
        <v>0</v>
      </c>
      <c r="M17" s="2436">
        <f ca="1">$F$36+30</f>
        <v>41966</v>
      </c>
    </row>
    <row r="18" spans="1:13" ht="15">
      <c r="A18" s="2433" t="s">
        <v>4030</v>
      </c>
      <c r="J18" s="2434">
        <f>K18*$F$32</f>
        <v>492573.05300000001</v>
      </c>
      <c r="K18" s="2435">
        <v>0.35</v>
      </c>
      <c r="L18" s="2434">
        <f ca="1">IF(J18*$F$26*($F$29-M18)/365&lt;0,0,J18*$F$26*($F$29-M18)/365)</f>
        <v>0</v>
      </c>
      <c r="M18" s="2436">
        <f ca="1">$F$37+30</f>
        <v>42116</v>
      </c>
    </row>
    <row r="19" spans="1:13" ht="15.75">
      <c r="A19" s="2431" t="s">
        <v>4148</v>
      </c>
      <c r="J19" s="2439"/>
      <c r="K19" s="2435"/>
      <c r="L19" s="2439"/>
      <c r="M19" s="2440"/>
    </row>
    <row r="20" spans="1:13" ht="15">
      <c r="A20" s="2433" t="s">
        <v>4149</v>
      </c>
      <c r="J20" s="2434">
        <f>K20*$F$31</f>
        <v>19575</v>
      </c>
      <c r="K20" s="2435">
        <v>0.3</v>
      </c>
      <c r="L20" s="2434">
        <f ca="1">IF(J20*$F$26*($F$29-M20)/365&lt;0,0,J20*$F$26*($F$29-M20)/365)</f>
        <v>0</v>
      </c>
      <c r="M20" s="2436">
        <f ca="1">$F$35</f>
        <v>41906</v>
      </c>
    </row>
    <row r="21" spans="1:13" ht="15">
      <c r="A21" s="2433" t="s">
        <v>4150</v>
      </c>
      <c r="J21" s="2434">
        <f>K21*$F$31</f>
        <v>26100</v>
      </c>
      <c r="K21" s="2435">
        <v>0.4</v>
      </c>
      <c r="L21" s="2434">
        <f ca="1">IF(J21*$F$26*($F$29-M21)/365&lt;0,0,J21*$F$26*($F$29-M21)/365)</f>
        <v>0</v>
      </c>
      <c r="M21" s="2436">
        <f ca="1">$F$36</f>
        <v>41936</v>
      </c>
    </row>
    <row r="22" spans="1:13" ht="15">
      <c r="A22" s="2433" t="s">
        <v>4151</v>
      </c>
      <c r="J22" s="2434">
        <f>K22*$F$31</f>
        <v>19575</v>
      </c>
      <c r="K22" s="2435">
        <v>0.3</v>
      </c>
      <c r="L22" s="2434">
        <f ca="1">IF(J22*$F$26*($F$29-M22)/365&lt;0,0,J22*$F$26*($F$29-M22)/365)</f>
        <v>0</v>
      </c>
      <c r="M22" s="2436">
        <f ca="1">$F$37</f>
        <v>42086</v>
      </c>
    </row>
    <row r="25" spans="1:13">
      <c r="F25" s="2441"/>
      <c r="G25" s="2441"/>
      <c r="H25" s="2441"/>
      <c r="I25" s="2441"/>
    </row>
    <row r="26" spans="1:13">
      <c r="A26" s="1678" t="s">
        <v>4031</v>
      </c>
      <c r="F26" s="2442">
        <v>3.2500000000000001E-2</v>
      </c>
      <c r="G26" s="2441"/>
      <c r="H26" s="2441"/>
      <c r="I26" s="2441"/>
    </row>
    <row r="27" spans="1:13">
      <c r="A27" s="1678" t="s">
        <v>4032</v>
      </c>
      <c r="F27" s="2443">
        <f>'PtrCF OUTPUT'!PartnerOwnership</f>
        <v>0.4</v>
      </c>
      <c r="G27" s="2441"/>
      <c r="H27" s="2441"/>
      <c r="I27" s="2441"/>
    </row>
    <row r="28" spans="1:13">
      <c r="F28" s="2441"/>
      <c r="G28" s="2441"/>
      <c r="H28" s="2441"/>
      <c r="I28" s="2441"/>
    </row>
    <row r="29" spans="1:13">
      <c r="A29" s="1678" t="s">
        <v>4033</v>
      </c>
      <c r="F29" s="2444">
        <f ca="1">F34</f>
        <v>41816</v>
      </c>
      <c r="G29" s="2447"/>
      <c r="H29" s="2450"/>
      <c r="I29" s="2441"/>
    </row>
    <row r="30" spans="1:13">
      <c r="A30" s="1678" t="s">
        <v>4034</v>
      </c>
      <c r="F30" s="2445">
        <f>-'PtrCF OUTPUT'!G10</f>
        <v>2100398.42</v>
      </c>
      <c r="G30" s="2448"/>
      <c r="H30" s="2451"/>
      <c r="I30" s="2441"/>
    </row>
    <row r="31" spans="1:13">
      <c r="A31" s="1678" t="s">
        <v>4043</v>
      </c>
      <c r="F31" s="2445">
        <f>-'PtrCF OUTPUT'!G12</f>
        <v>65250</v>
      </c>
      <c r="G31" s="2448"/>
      <c r="H31" s="2451"/>
      <c r="I31" s="2441"/>
    </row>
    <row r="32" spans="1:13">
      <c r="A32" s="1678" t="s">
        <v>4044</v>
      </c>
      <c r="F32" s="2445">
        <f>-'PtrCF OUTPUT'!G11</f>
        <v>1407351.58</v>
      </c>
      <c r="G32" s="2448"/>
      <c r="H32" s="2451"/>
      <c r="I32" s="2441"/>
    </row>
    <row r="33" spans="1:10">
      <c r="F33" s="2441"/>
      <c r="G33" s="2448"/>
      <c r="H33" s="2451"/>
      <c r="I33" s="2441"/>
    </row>
    <row r="34" spans="1:10">
      <c r="A34" s="1678" t="s">
        <v>4035</v>
      </c>
      <c r="F34" s="2444">
        <f ca="1">TODAY()</f>
        <v>41816</v>
      </c>
      <c r="G34" s="2449"/>
      <c r="H34" s="2450"/>
      <c r="I34" s="2441"/>
    </row>
    <row r="35" spans="1:10">
      <c r="A35" s="1678" t="s">
        <v>4036</v>
      </c>
      <c r="F35" s="2444">
        <f ca="1">F34+90</f>
        <v>41906</v>
      </c>
      <c r="G35" s="2449"/>
      <c r="H35" s="2450"/>
      <c r="I35" s="2441"/>
    </row>
    <row r="36" spans="1:10">
      <c r="A36" s="1678" t="s">
        <v>4037</v>
      </c>
      <c r="F36" s="2444">
        <f ca="1">F35+30</f>
        <v>41936</v>
      </c>
      <c r="G36" s="2449"/>
      <c r="H36" s="2450"/>
      <c r="I36" s="2441"/>
    </row>
    <row r="37" spans="1:10">
      <c r="A37" s="1678" t="s">
        <v>4038</v>
      </c>
      <c r="F37" s="2444">
        <f ca="1">F35+180</f>
        <v>42086</v>
      </c>
      <c r="G37" s="2449"/>
      <c r="H37" s="2450"/>
      <c r="I37" s="2441"/>
    </row>
    <row r="40" spans="1:10">
      <c r="F40" s="1678" t="s">
        <v>1196</v>
      </c>
      <c r="G40" s="1678" t="s">
        <v>4039</v>
      </c>
    </row>
    <row r="41" spans="1:10" ht="6" customHeight="1"/>
    <row r="42" spans="1:10">
      <c r="A42" s="1678" t="s">
        <v>4040</v>
      </c>
      <c r="F42" s="2445">
        <f ca="1">SUM(L11:L14)</f>
        <v>0</v>
      </c>
      <c r="G42" s="2445">
        <f ca="1">F42*$F$27</f>
        <v>0</v>
      </c>
      <c r="H42" s="1584"/>
      <c r="I42" s="1584"/>
      <c r="J42" s="1584"/>
    </row>
    <row r="43" spans="1:10">
      <c r="A43" s="1678" t="s">
        <v>4041</v>
      </c>
      <c r="F43" s="2754">
        <f ca="1">SUM(L16:L18)</f>
        <v>0</v>
      </c>
      <c r="G43" s="2754">
        <f ca="1">F43*$F$27</f>
        <v>0</v>
      </c>
      <c r="H43" s="1584"/>
      <c r="I43" s="1584"/>
      <c r="J43" s="1584"/>
    </row>
    <row r="44" spans="1:10">
      <c r="A44" s="1678" t="s">
        <v>4152</v>
      </c>
      <c r="F44" s="2446">
        <f ca="1">SUM(L20:L22)</f>
        <v>0</v>
      </c>
      <c r="G44" s="2446">
        <f ca="1">F44*$F$27</f>
        <v>0</v>
      </c>
      <c r="H44" s="1584"/>
      <c r="I44" s="1584"/>
      <c r="J44" s="1584"/>
    </row>
    <row r="45" spans="1:10">
      <c r="F45" s="1584"/>
      <c r="G45" s="1584"/>
      <c r="H45" s="1584"/>
      <c r="I45" s="1584"/>
      <c r="J45" s="1584"/>
    </row>
    <row r="46" spans="1:10">
      <c r="A46" s="1678" t="s">
        <v>4042</v>
      </c>
      <c r="F46" s="2445">
        <f ca="1">SUM(F42:F44)</f>
        <v>0</v>
      </c>
      <c r="G46" s="2445">
        <f ca="1">SUM(G42:G44)</f>
        <v>0</v>
      </c>
      <c r="H46" s="1584"/>
      <c r="I46" s="1584"/>
      <c r="J46" s="1584"/>
    </row>
    <row r="47" spans="1:10">
      <c r="F47" s="1584"/>
      <c r="G47" s="1584"/>
      <c r="H47" s="1584"/>
      <c r="I47" s="1584"/>
      <c r="J47" s="1584"/>
    </row>
    <row r="48" spans="1:10">
      <c r="F48" s="1584"/>
      <c r="G48" s="1584"/>
      <c r="H48" s="1584"/>
      <c r="I48" s="1584"/>
      <c r="J48" s="1584"/>
    </row>
    <row r="49" spans="6:10">
      <c r="F49" s="1584"/>
      <c r="G49" s="1584"/>
      <c r="H49" s="1584"/>
      <c r="I49" s="1584"/>
      <c r="J49" s="1584"/>
    </row>
  </sheetData>
  <sheetProtection sheet="1" objects="1" scenarios="1"/>
  <conditionalFormatting sqref="M11">
    <cfRule type="cellIs" dxfId="128" priority="7" stopIfTrue="1" operator="equal">
      <formula>0</formula>
    </cfRule>
  </conditionalFormatting>
  <conditionalFormatting sqref="F34 F29">
    <cfRule type="cellIs" dxfId="127" priority="6" stopIfTrue="1" operator="equal">
      <formula>0</formula>
    </cfRule>
  </conditionalFormatting>
  <conditionalFormatting sqref="M11">
    <cfRule type="cellIs" dxfId="126" priority="5" stopIfTrue="1" operator="equal">
      <formula>0</formula>
    </cfRule>
  </conditionalFormatting>
  <conditionalFormatting sqref="M11">
    <cfRule type="cellIs" dxfId="125" priority="4" stopIfTrue="1" operator="equal">
      <formula>0</formula>
    </cfRule>
  </conditionalFormatting>
  <conditionalFormatting sqref="F34 F29">
    <cfRule type="cellIs" dxfId="124" priority="3" stopIfTrue="1" operator="equal">
      <formula>0</formula>
    </cfRule>
  </conditionalFormatting>
  <conditionalFormatting sqref="F29">
    <cfRule type="cellIs" dxfId="123" priority="2" stopIfTrue="1" operator="equal">
      <formula>0</formula>
    </cfRule>
  </conditionalFormatting>
  <conditionalFormatting sqref="F34">
    <cfRule type="cellIs" dxfId="122" priority="1" stopIfTrue="1" operator="equal">
      <formula>0</formula>
    </cfRule>
  </conditionalFormatting>
  <pageMargins left="0.75" right="0.75" top="1" bottom="1" header="0.5" footer="0.5"/>
  <pageSetup scale="72" orientation="landscape" r:id="rId1"/>
  <headerFooter alignWithMargins="0"/>
  <legacyDrawing r:id="rId2"/>
</worksheet>
</file>

<file path=xl/worksheets/sheet9.xml><?xml version="1.0" encoding="utf-8"?>
<worksheet xmlns="http://schemas.openxmlformats.org/spreadsheetml/2006/main" xmlns:r="http://schemas.openxmlformats.org/officeDocument/2006/relationships">
  <sheetPr codeName="Sheet8" enableFormatConditionsCalculation="0">
    <tabColor indexed="57"/>
    <pageSetUpPr autoPageBreaks="0"/>
  </sheetPr>
  <dimension ref="B1:X97"/>
  <sheetViews>
    <sheetView showGridLines="0" zoomScaleSheetLayoutView="100" workbookViewId="0"/>
  </sheetViews>
  <sheetFormatPr defaultColWidth="12.5703125" defaultRowHeight="11.25"/>
  <cols>
    <col min="1" max="3" width="2.7109375" style="1349" customWidth="1"/>
    <col min="4" max="4" width="7.7109375" style="1349" customWidth="1"/>
    <col min="5" max="5" width="2.7109375" style="1349" customWidth="1"/>
    <col min="6" max="6" width="7.7109375" style="1349" customWidth="1"/>
    <col min="7" max="7" width="8.7109375" style="1349" customWidth="1"/>
    <col min="8" max="8" width="2.7109375" style="1349" customWidth="1"/>
    <col min="9" max="9" width="7.7109375" style="1349" customWidth="1"/>
    <col min="10" max="10" width="8.7109375" style="1349" customWidth="1"/>
    <col min="11" max="11" width="2.7109375" style="1349" customWidth="1"/>
    <col min="12" max="12" width="7.7109375" style="1349" customWidth="1"/>
    <col min="13" max="13" width="8.7109375" style="1349" customWidth="1"/>
    <col min="14" max="14" width="2.7109375" style="1349" customWidth="1"/>
    <col min="15" max="15" width="7.7109375" style="1349" customWidth="1"/>
    <col min="16" max="16" width="8.7109375" style="1349" customWidth="1"/>
    <col min="17" max="17" width="2.7109375" style="1349" customWidth="1"/>
    <col min="18" max="18" width="7.7109375" style="1349" customWidth="1"/>
    <col min="19" max="19" width="8.7109375" style="1349" customWidth="1"/>
    <col min="20" max="22" width="2.7109375" style="1349" customWidth="1"/>
    <col min="23" max="16384" width="12.5703125" style="1349"/>
  </cols>
  <sheetData>
    <row r="1" spans="2:24">
      <c r="L1" s="1351"/>
    </row>
    <row r="2" spans="2:24">
      <c r="B2" s="1350"/>
      <c r="C2" s="1361" t="s">
        <v>3529</v>
      </c>
      <c r="D2" s="1350"/>
      <c r="E2" s="1350"/>
      <c r="F2" s="1350"/>
      <c r="G2" s="1350"/>
      <c r="H2" s="1350"/>
      <c r="I2" s="1350"/>
      <c r="J2" s="1350"/>
      <c r="K2" s="1350"/>
      <c r="L2" s="1350"/>
      <c r="M2" s="1350"/>
      <c r="N2" s="1350"/>
      <c r="O2" s="1350"/>
      <c r="P2" s="1350"/>
      <c r="Q2" s="1350"/>
      <c r="R2" s="1350"/>
      <c r="S2" s="1350"/>
      <c r="T2" s="1350"/>
      <c r="U2" s="1350"/>
    </row>
    <row r="3" spans="2:24">
      <c r="B3" s="1350"/>
      <c r="C3" s="1362"/>
      <c r="D3" s="1363"/>
      <c r="E3" s="1363"/>
      <c r="F3" s="1363"/>
      <c r="G3" s="1363"/>
      <c r="H3" s="1363"/>
      <c r="I3" s="1363"/>
      <c r="J3" s="1363"/>
      <c r="K3" s="1363"/>
      <c r="L3" s="1363"/>
      <c r="M3" s="1363"/>
      <c r="N3" s="1363"/>
      <c r="O3" s="1363"/>
      <c r="P3" s="1363"/>
      <c r="Q3" s="1363"/>
      <c r="R3" s="1363"/>
      <c r="S3" s="1363"/>
      <c r="T3" s="1363"/>
      <c r="U3" s="1350"/>
    </row>
    <row r="4" spans="2:24">
      <c r="B4" s="1350"/>
      <c r="D4" s="1368" t="str">
        <f>PtrMonthlyCF!D5</f>
        <v>Partnership:  Southbend Downtown</v>
      </c>
      <c r="E4" s="1369"/>
      <c r="F4" s="1354"/>
      <c r="G4" s="1368"/>
      <c r="H4" s="1368"/>
      <c r="I4" s="1368"/>
      <c r="J4" s="1368"/>
      <c r="K4" s="1368"/>
      <c r="L4" s="1368"/>
      <c r="M4" s="1368"/>
      <c r="N4" s="1368"/>
      <c r="O4" s="1368"/>
      <c r="P4" s="1368"/>
      <c r="Q4" s="1369"/>
      <c r="R4" s="1369"/>
      <c r="S4" s="1370"/>
      <c r="U4" s="1350"/>
    </row>
    <row r="5" spans="2:24">
      <c r="B5" s="1350"/>
      <c r="D5" s="1369" t="s">
        <v>113</v>
      </c>
      <c r="E5" s="1369"/>
      <c r="F5" s="1354"/>
      <c r="G5" s="1369"/>
      <c r="H5" s="1369"/>
      <c r="I5" s="1369"/>
      <c r="J5" s="1369"/>
      <c r="K5" s="1369"/>
      <c r="L5" s="1369"/>
      <c r="M5" s="1369"/>
      <c r="N5" s="1369"/>
      <c r="O5" s="1369"/>
      <c r="P5" s="1369"/>
      <c r="Q5" s="1369"/>
      <c r="R5" s="1369"/>
      <c r="S5" s="1370"/>
      <c r="U5" s="1350"/>
    </row>
    <row r="6" spans="2:24">
      <c r="B6" s="1350"/>
      <c r="L6" s="1351"/>
      <c r="U6" s="1350"/>
    </row>
    <row r="7" spans="2:24">
      <c r="B7" s="1350"/>
      <c r="D7" s="1352" t="s">
        <v>114</v>
      </c>
      <c r="E7" s="1352"/>
      <c r="L7" s="1351"/>
      <c r="U7" s="1350"/>
    </row>
    <row r="8" spans="2:24">
      <c r="B8" s="1350"/>
      <c r="F8" s="1353" t="s">
        <v>115</v>
      </c>
      <c r="G8" s="1353"/>
      <c r="H8" s="1354"/>
      <c r="I8" s="1353" t="s">
        <v>1091</v>
      </c>
      <c r="J8" s="1353"/>
      <c r="K8" s="1354"/>
      <c r="L8" s="1353" t="s">
        <v>116</v>
      </c>
      <c r="M8" s="1353"/>
      <c r="N8" s="1354"/>
      <c r="O8" s="1353" t="s">
        <v>2166</v>
      </c>
      <c r="P8" s="1353"/>
      <c r="Q8" s="1354"/>
      <c r="R8" s="1353" t="s">
        <v>2167</v>
      </c>
      <c r="S8" s="1353"/>
      <c r="U8" s="1350"/>
    </row>
    <row r="9" spans="2:24">
      <c r="B9" s="1350"/>
      <c r="D9" s="1373" t="s">
        <v>117</v>
      </c>
      <c r="E9" s="1373"/>
      <c r="F9" s="1375" t="s">
        <v>3666</v>
      </c>
      <c r="G9" s="1375" t="s">
        <v>3529</v>
      </c>
      <c r="H9" s="1375"/>
      <c r="I9" s="1375" t="s">
        <v>3666</v>
      </c>
      <c r="J9" s="1375" t="s">
        <v>3529</v>
      </c>
      <c r="K9" s="1375"/>
      <c r="L9" s="1375" t="s">
        <v>3666</v>
      </c>
      <c r="M9" s="1375" t="s">
        <v>3529</v>
      </c>
      <c r="N9" s="1375"/>
      <c r="O9" s="1375" t="s">
        <v>3666</v>
      </c>
      <c r="P9" s="1375" t="s">
        <v>3529</v>
      </c>
      <c r="Q9" s="1375"/>
      <c r="R9" s="1375" t="s">
        <v>3666</v>
      </c>
      <c r="S9" s="1375" t="s">
        <v>3529</v>
      </c>
      <c r="U9" s="1350"/>
      <c r="W9" s="1510">
        <f>0.42*0.18</f>
        <v>7.5600000000000001E-2</v>
      </c>
      <c r="X9" s="1349" t="s">
        <v>2710</v>
      </c>
    </row>
    <row r="10" spans="2:24">
      <c r="B10" s="1350"/>
      <c r="F10" s="288"/>
      <c r="G10" s="288"/>
      <c r="H10" s="288"/>
      <c r="I10" s="288"/>
      <c r="J10" s="288"/>
      <c r="K10" s="288"/>
      <c r="L10" s="288"/>
      <c r="M10" s="288"/>
      <c r="N10" s="288"/>
      <c r="O10" s="288"/>
      <c r="P10" s="288"/>
      <c r="Q10" s="288"/>
      <c r="R10" s="288"/>
      <c r="S10" s="288"/>
      <c r="U10" s="1350"/>
      <c r="W10" s="1510">
        <f>0.42-W9</f>
        <v>0.34439999999999998</v>
      </c>
      <c r="X10" s="1349" t="s">
        <v>911</v>
      </c>
    </row>
    <row r="11" spans="2:24">
      <c r="B11" s="1350"/>
      <c r="D11" s="1355">
        <v>0</v>
      </c>
      <c r="F11" s="1376">
        <f>'2.0 Patients'!$Q$74+'2.0 Patients'!$Q$76</f>
        <v>1</v>
      </c>
      <c r="G11" s="2208">
        <v>0</v>
      </c>
      <c r="H11" s="288"/>
      <c r="I11" s="1377"/>
      <c r="J11" s="1377"/>
      <c r="K11" s="1377"/>
      <c r="L11" s="1377"/>
      <c r="M11" s="1377"/>
      <c r="N11" s="1377"/>
      <c r="O11" s="1377"/>
      <c r="P11" s="1377"/>
      <c r="Q11" s="1377"/>
      <c r="R11" s="1377"/>
      <c r="S11" s="1377"/>
      <c r="U11" s="1350"/>
    </row>
    <row r="12" spans="2:24">
      <c r="B12" s="1350"/>
      <c r="D12" s="1355">
        <v>1</v>
      </c>
      <c r="E12" s="1355"/>
      <c r="F12" s="1376">
        <f>'2.0 Patients'!$R$74+'2.0 Patients'!$R$76</f>
        <v>3.0833333333333335</v>
      </c>
      <c r="G12" s="1376">
        <f>'5. Financials'!$R$14+'5. Financials'!$R$22</f>
        <v>36.876666666666665</v>
      </c>
      <c r="H12" s="1376"/>
      <c r="I12" s="1378">
        <f>'2.0 Patients'!$AD$74+'2.0 Patients'!$AD$76</f>
        <v>27.666666666666671</v>
      </c>
      <c r="J12" s="1378">
        <f>'5. Financials'!$AD$14+'5. Financials'!$AD$22</f>
        <v>330.89333333333343</v>
      </c>
      <c r="K12" s="1378"/>
      <c r="L12" s="1378">
        <f>'2.0 Patients'!$AP$74+'2.0 Patients'!$AP$76</f>
        <v>47.083333333333336</v>
      </c>
      <c r="M12" s="1378">
        <f>'5. Financials'!$AP$14+'5. Financials'!$AP$22</f>
        <v>563.11666666666667</v>
      </c>
      <c r="N12" s="1378"/>
      <c r="O12" s="1378">
        <f>'2.0 Patients'!$BB$74+'2.0 Patients'!$BB$76</f>
        <v>60.083333333333329</v>
      </c>
      <c r="P12" s="1378">
        <f>'5. Financials'!$BB$14+'5. Financials'!$BB$22</f>
        <v>718.59666666666669</v>
      </c>
      <c r="Q12" s="1378"/>
      <c r="R12" s="1378">
        <f>'2.0 Patients'!$BN$74+'2.0 Patients'!$BN$76</f>
        <v>72.75</v>
      </c>
      <c r="S12" s="1378">
        <f>'5. Financials'!$BN$14+'5. Financials'!$BN$22</f>
        <v>870.08999999999992</v>
      </c>
      <c r="U12" s="1350"/>
    </row>
    <row r="13" spans="2:24">
      <c r="B13" s="1350"/>
      <c r="D13" s="1355">
        <v>2</v>
      </c>
      <c r="E13" s="1355"/>
      <c r="F13" s="1376">
        <f>'2.0 Patients'!$S$74+'2.0 Patients'!$S$76</f>
        <v>5.166666666666667</v>
      </c>
      <c r="G13" s="1376">
        <f>'5. Financials'!$S$14+'5. Financials'!$S$22</f>
        <v>61.793333333333329</v>
      </c>
      <c r="H13" s="1376"/>
      <c r="I13" s="1378">
        <f>'2.0 Patients'!$AE$74+'2.0 Patients'!$AE$76</f>
        <v>29.333333333333336</v>
      </c>
      <c r="J13" s="1378">
        <f>'5. Financials'!$AE$14+'5. Financials'!$AE$22</f>
        <v>350.82666666666677</v>
      </c>
      <c r="K13" s="1378"/>
      <c r="L13" s="1378">
        <f>'2.0 Patients'!$AQ$74+'2.0 Patients'!$AQ$76</f>
        <v>48.166666666666664</v>
      </c>
      <c r="M13" s="1378">
        <f>'5. Financials'!$AQ$14+'5. Financials'!$AQ$22</f>
        <v>576.07333333333338</v>
      </c>
      <c r="N13" s="1378"/>
      <c r="O13" s="1378">
        <f>'2.0 Patients'!$BC$74+'2.0 Patients'!$BC$76</f>
        <v>61.166666666666664</v>
      </c>
      <c r="P13" s="1378">
        <f>'5. Financials'!$BC$14+'5. Financials'!$BC$22</f>
        <v>731.5533333333334</v>
      </c>
      <c r="Q13" s="1378"/>
      <c r="R13" s="1378">
        <f>'2.0 Patients'!$BO$74+'2.0 Patients'!$BO$76</f>
        <v>73.5</v>
      </c>
      <c r="S13" s="1378">
        <f>'5. Financials'!$BO$14+'5. Financials'!$BO$22</f>
        <v>879.06000000000006</v>
      </c>
      <c r="U13" s="1350"/>
    </row>
    <row r="14" spans="2:24">
      <c r="B14" s="1350"/>
      <c r="D14" s="1355">
        <v>3</v>
      </c>
      <c r="E14" s="1355"/>
      <c r="F14" s="1376">
        <f>'2.0 Patients'!$T$74+'2.0 Patients'!$T$76</f>
        <v>7.25</v>
      </c>
      <c r="G14" s="1376">
        <f>'5. Financials'!$T$14+'5. Financials'!$T$22</f>
        <v>86.710000000000008</v>
      </c>
      <c r="H14" s="1376"/>
      <c r="I14" s="1378">
        <f>'2.0 Patients'!$AF$74+'2.0 Patients'!$AF$76</f>
        <v>31.000000000000004</v>
      </c>
      <c r="J14" s="1378">
        <f>'5. Financials'!$AF$14+'5. Financials'!$AF$22</f>
        <v>370.7600000000001</v>
      </c>
      <c r="K14" s="1378"/>
      <c r="L14" s="1378">
        <f>'2.0 Patients'!$AR$74+'2.0 Patients'!$AR$76</f>
        <v>49.25</v>
      </c>
      <c r="M14" s="1378">
        <f>'5. Financials'!$AR$14+'5. Financials'!$AR$22</f>
        <v>589.03</v>
      </c>
      <c r="N14" s="1378"/>
      <c r="O14" s="1378">
        <f>'2.0 Patients'!$BD$74+'2.0 Patients'!$BD$76</f>
        <v>62.249999999999993</v>
      </c>
      <c r="P14" s="1378">
        <f>'5. Financials'!$BD$14+'5. Financials'!$BD$22</f>
        <v>744.5100000000001</v>
      </c>
      <c r="Q14" s="1378"/>
      <c r="R14" s="1378">
        <f>'2.0 Patients'!$BP$74+'2.0 Patients'!$BP$76</f>
        <v>74.25</v>
      </c>
      <c r="S14" s="1378">
        <f>'5. Financials'!$BP$14+'5. Financials'!$BP$22</f>
        <v>888.0300000000002</v>
      </c>
      <c r="U14" s="1350"/>
    </row>
    <row r="15" spans="2:24">
      <c r="B15" s="1350"/>
      <c r="D15" s="1355">
        <v>4</v>
      </c>
      <c r="E15" s="1355"/>
      <c r="F15" s="1376">
        <f>'2.0 Patients'!$U$74+'2.0 Patients'!$U$76</f>
        <v>9.3333333333333339</v>
      </c>
      <c r="G15" s="1376">
        <f>'5. Financials'!$U$14+'5. Financials'!$U$22</f>
        <v>111.62666666666667</v>
      </c>
      <c r="H15" s="1376"/>
      <c r="I15" s="1378">
        <f>'2.0 Patients'!$AG$74+'2.0 Patients'!$AG$76</f>
        <v>32.666666666666671</v>
      </c>
      <c r="J15" s="1378">
        <f>'5. Financials'!$AG$14+'5. Financials'!$AG$22</f>
        <v>390.69333333333338</v>
      </c>
      <c r="K15" s="1378"/>
      <c r="L15" s="1378">
        <f>'2.0 Patients'!$AS$74+'2.0 Patients'!$AS$76</f>
        <v>50.333333333333329</v>
      </c>
      <c r="M15" s="1378">
        <f>'5. Financials'!$AS$14+'5. Financials'!$AS$22</f>
        <v>601.98666666666668</v>
      </c>
      <c r="N15" s="1378"/>
      <c r="O15" s="1378">
        <f>'2.0 Patients'!$BE$74+'2.0 Patients'!$BE$76</f>
        <v>63.333333333333329</v>
      </c>
      <c r="P15" s="1378">
        <f>'5. Financials'!$BE$14+'5. Financials'!$BE$22</f>
        <v>757.4666666666667</v>
      </c>
      <c r="Q15" s="1378"/>
      <c r="R15" s="1378">
        <f>'2.0 Patients'!$BQ$74+'2.0 Patients'!$BQ$76</f>
        <v>75.000000000000014</v>
      </c>
      <c r="S15" s="1378">
        <f>'5. Financials'!$BQ$14+'5. Financials'!$BQ$22</f>
        <v>897.00000000000023</v>
      </c>
      <c r="U15" s="1350"/>
    </row>
    <row r="16" spans="2:24">
      <c r="B16" s="1350"/>
      <c r="D16" s="1355">
        <v>5</v>
      </c>
      <c r="E16" s="1355"/>
      <c r="F16" s="1376">
        <f>'2.0 Patients'!$V$74+'2.0 Patients'!$V$76</f>
        <v>11.416666666666668</v>
      </c>
      <c r="G16" s="1376">
        <f>'5. Financials'!$V$14+'5. Financials'!$V$22</f>
        <v>136.54333333333335</v>
      </c>
      <c r="H16" s="1376"/>
      <c r="I16" s="1378">
        <f>'2.0 Patients'!$AH$74+'2.0 Patients'!$AH$76</f>
        <v>34.333333333333336</v>
      </c>
      <c r="J16" s="1378">
        <f>'5. Financials'!$AH$14+'5. Financials'!$AH$22</f>
        <v>410.62666666666667</v>
      </c>
      <c r="K16" s="1378"/>
      <c r="L16" s="1378">
        <f>'2.0 Patients'!$AT$74+'2.0 Patients'!$AT$76</f>
        <v>51.416666666666664</v>
      </c>
      <c r="M16" s="1378">
        <f>'5. Financials'!$AT$14+'5. Financials'!$AT$22</f>
        <v>614.94333333333327</v>
      </c>
      <c r="N16" s="1378"/>
      <c r="O16" s="1378">
        <f>'2.0 Patients'!$BF$74+'2.0 Patients'!$BF$76</f>
        <v>64.416666666666657</v>
      </c>
      <c r="P16" s="1378">
        <f>'5. Financials'!$BF$14+'5. Financials'!$BF$22</f>
        <v>770.42333333333318</v>
      </c>
      <c r="Q16" s="1378"/>
      <c r="R16" s="1378">
        <f>'2.0 Patients'!$BR$74+'2.0 Patients'!$BR$76</f>
        <v>75.750000000000014</v>
      </c>
      <c r="S16" s="1378">
        <f>'5. Financials'!$BR$14+'5. Financials'!$BR$22</f>
        <v>905.97000000000025</v>
      </c>
      <c r="U16" s="1350"/>
    </row>
    <row r="17" spans="2:21">
      <c r="B17" s="1350"/>
      <c r="D17" s="1355">
        <v>6</v>
      </c>
      <c r="E17" s="1355"/>
      <c r="F17" s="1376">
        <f>'2.0 Patients'!$W$74+'2.0 Patients'!$W$76</f>
        <v>13.5</v>
      </c>
      <c r="G17" s="1376">
        <f>'5. Financials'!$W$14+'5. Financials'!$W$22</f>
        <v>161.46</v>
      </c>
      <c r="H17" s="1376"/>
      <c r="I17" s="1378">
        <f>'2.0 Patients'!$AI$74+'2.0 Patients'!$AI$76</f>
        <v>36</v>
      </c>
      <c r="J17" s="1378">
        <f>'5. Financials'!$AI$14+'5. Financials'!$AI$22</f>
        <v>430.56</v>
      </c>
      <c r="K17" s="1378"/>
      <c r="L17" s="1378">
        <f>'2.0 Patients'!$AU$74+'2.0 Patients'!$AU$76</f>
        <v>52.5</v>
      </c>
      <c r="M17" s="1378">
        <f>'5. Financials'!$AU$14+'5. Financials'!$AU$22</f>
        <v>627.9</v>
      </c>
      <c r="N17" s="1378"/>
      <c r="O17" s="1378">
        <f>'2.0 Patients'!$BG$74+'2.0 Patients'!$BG$76</f>
        <v>65.5</v>
      </c>
      <c r="P17" s="1378">
        <f>'5. Financials'!$BG$14+'5. Financials'!$BG$22</f>
        <v>783.37999999999988</v>
      </c>
      <c r="Q17" s="1378"/>
      <c r="R17" s="1378">
        <f>'2.0 Patients'!$BS$74+'2.0 Patients'!$BS$76</f>
        <v>76.500000000000014</v>
      </c>
      <c r="S17" s="1378">
        <f>'5. Financials'!$BS$14+'5. Financials'!$BS$22</f>
        <v>914.94000000000028</v>
      </c>
      <c r="U17" s="1350"/>
    </row>
    <row r="18" spans="2:21">
      <c r="B18" s="1350"/>
      <c r="D18" s="1355">
        <v>7</v>
      </c>
      <c r="E18" s="1355"/>
      <c r="F18" s="1376">
        <f>'2.0 Patients'!$X$74+'2.0 Patients'!$X$76</f>
        <v>15.583333333333332</v>
      </c>
      <c r="G18" s="1376">
        <f>'5. Financials'!$X$14+'5. Financials'!$X$22</f>
        <v>186.37666666666667</v>
      </c>
      <c r="H18" s="1376"/>
      <c r="I18" s="1378">
        <f>'2.0 Patients'!$AJ$74+'2.0 Patients'!$AJ$76</f>
        <v>37.666666666666664</v>
      </c>
      <c r="J18" s="1378">
        <f>'5. Financials'!$AJ$14+'5. Financials'!$AJ$22</f>
        <v>450.49333333333334</v>
      </c>
      <c r="K18" s="1378"/>
      <c r="L18" s="1378">
        <f>'2.0 Patients'!$AV$74+'2.0 Patients'!$AV$76</f>
        <v>53.583333333333329</v>
      </c>
      <c r="M18" s="1378">
        <f>'5. Financials'!$AV$14+'5. Financials'!$AV$22</f>
        <v>640.85666666666668</v>
      </c>
      <c r="N18" s="1378"/>
      <c r="O18" s="1378">
        <f>'2.0 Patients'!$BH$74+'2.0 Patients'!$BH$76</f>
        <v>66.583333333333329</v>
      </c>
      <c r="P18" s="1378">
        <f>'5. Financials'!$BH$14+'5. Financials'!$BH$22</f>
        <v>796.33666666666659</v>
      </c>
      <c r="Q18" s="1378"/>
      <c r="R18" s="1378">
        <f>'2.0 Patients'!$BT$74+'2.0 Patients'!$BT$76</f>
        <v>77.250000000000028</v>
      </c>
      <c r="S18" s="1378">
        <f>'5. Financials'!$BT$14+'5. Financials'!$BT$22</f>
        <v>923.91000000000031</v>
      </c>
      <c r="U18" s="1350"/>
    </row>
    <row r="19" spans="2:21">
      <c r="B19" s="1350"/>
      <c r="D19" s="1355">
        <v>8</v>
      </c>
      <c r="E19" s="1355"/>
      <c r="F19" s="1376">
        <f>'2.0 Patients'!$Y$74+'2.0 Patients'!$Y$76</f>
        <v>17.666666666666664</v>
      </c>
      <c r="G19" s="1376">
        <f>'5. Financials'!$Y$14+'5. Financials'!$Y$22</f>
        <v>211.29333333333332</v>
      </c>
      <c r="H19" s="1376"/>
      <c r="I19" s="1378">
        <f>'2.0 Patients'!$AK$74+'2.0 Patients'!$AK$76</f>
        <v>39.333333333333329</v>
      </c>
      <c r="J19" s="1378">
        <f>'5. Financials'!$AK$14+'5. Financials'!$AK$22</f>
        <v>470.42666666666662</v>
      </c>
      <c r="K19" s="1378"/>
      <c r="L19" s="1378">
        <f>'2.0 Patients'!$AW$74+'2.0 Patients'!$AW$76</f>
        <v>54.666666666666664</v>
      </c>
      <c r="M19" s="1378">
        <f>'5. Financials'!$AW$14+'5. Financials'!$AW$22</f>
        <v>653.81333333333339</v>
      </c>
      <c r="N19" s="1378"/>
      <c r="O19" s="1378">
        <f>'2.0 Patients'!$BI$74+'2.0 Patients'!$BI$76</f>
        <v>67.666666666666657</v>
      </c>
      <c r="P19" s="1378">
        <f>'5. Financials'!$BI$14+'5. Financials'!$BI$22</f>
        <v>809.29333333333329</v>
      </c>
      <c r="Q19" s="1378"/>
      <c r="R19" s="1378">
        <f>'2.0 Patients'!$BU$74+'2.0 Patients'!$BU$76</f>
        <v>78.000000000000028</v>
      </c>
      <c r="S19" s="1378">
        <f>'5. Financials'!$BU$14+'5. Financials'!$BU$22</f>
        <v>932.88000000000034</v>
      </c>
      <c r="U19" s="1350"/>
    </row>
    <row r="20" spans="2:21">
      <c r="B20" s="1350"/>
      <c r="D20" s="1355">
        <v>9</v>
      </c>
      <c r="E20" s="1355"/>
      <c r="F20" s="1376">
        <f>'2.0 Patients'!$Z$74+'2.0 Patients'!$Z$76</f>
        <v>19.75</v>
      </c>
      <c r="G20" s="1376">
        <f>'5. Financials'!$Z$14+'5. Financials'!$Z$22</f>
        <v>236.21000000000004</v>
      </c>
      <c r="H20" s="1376"/>
      <c r="I20" s="1378">
        <f>'2.0 Patients'!$AL$74+'2.0 Patients'!$AL$76</f>
        <v>41</v>
      </c>
      <c r="J20" s="1378">
        <f>'5. Financials'!$AL$14+'5. Financials'!$AL$22</f>
        <v>490.36</v>
      </c>
      <c r="K20" s="1378"/>
      <c r="L20" s="1378">
        <f>'2.0 Patients'!$AX$74+'2.0 Patients'!$AX$76</f>
        <v>55.75</v>
      </c>
      <c r="M20" s="1378">
        <f>'5. Financials'!$AX$14+'5. Financials'!$AX$22</f>
        <v>666.77</v>
      </c>
      <c r="N20" s="1378"/>
      <c r="O20" s="1378">
        <f>'2.0 Patients'!$BJ$74+'2.0 Patients'!$BJ$76</f>
        <v>68.75</v>
      </c>
      <c r="P20" s="1378">
        <f>'5. Financials'!$BJ$14+'5. Financials'!$BJ$22</f>
        <v>822.24999999999989</v>
      </c>
      <c r="Q20" s="1378"/>
      <c r="R20" s="1378">
        <f>'2.0 Patients'!$BV$74+'2.0 Patients'!$BV$76</f>
        <v>78.750000000000028</v>
      </c>
      <c r="S20" s="1378">
        <f>'5. Financials'!$BV$14+'5. Financials'!$BV$22</f>
        <v>941.85000000000036</v>
      </c>
      <c r="U20" s="1350"/>
    </row>
    <row r="21" spans="2:21">
      <c r="B21" s="1350"/>
      <c r="D21" s="1355">
        <v>10</v>
      </c>
      <c r="E21" s="1355"/>
      <c r="F21" s="1376">
        <f>'2.0 Patients'!$AA$74+'2.0 Patients'!$AA$76</f>
        <v>21.833333333333336</v>
      </c>
      <c r="G21" s="1376">
        <f>'5. Financials'!$AA$14+'5. Financials'!$AA$22</f>
        <v>261.12666666666667</v>
      </c>
      <c r="H21" s="1376"/>
      <c r="I21" s="1378">
        <f>'2.0 Patients'!$AM$74+'2.0 Patients'!$AM$76</f>
        <v>42.666666666666664</v>
      </c>
      <c r="J21" s="1378">
        <f>'5. Financials'!$AM$14+'5. Financials'!$AM$22</f>
        <v>510.29333333333335</v>
      </c>
      <c r="K21" s="1378"/>
      <c r="L21" s="1378">
        <f>'2.0 Patients'!$AY$74+'2.0 Patients'!$AY$76</f>
        <v>56.833333333333329</v>
      </c>
      <c r="M21" s="1378">
        <f>'5. Financials'!$AY$14+'5. Financials'!$AY$22</f>
        <v>679.72666666666669</v>
      </c>
      <c r="N21" s="1378"/>
      <c r="O21" s="1378">
        <f>'2.0 Patients'!$BK$74+'2.0 Patients'!$BK$76</f>
        <v>69.833333333333329</v>
      </c>
      <c r="P21" s="1378">
        <f>'5. Financials'!$BK$14+'5. Financials'!$BK$22</f>
        <v>835.20666666666659</v>
      </c>
      <c r="Q21" s="1378"/>
      <c r="R21" s="1378">
        <f>'2.0 Patients'!$BW$74+'2.0 Patients'!$BW$76</f>
        <v>79.500000000000043</v>
      </c>
      <c r="S21" s="1378">
        <f>'5. Financials'!$BW$14+'5. Financials'!$BW$22</f>
        <v>950.82000000000062</v>
      </c>
      <c r="U21" s="1350"/>
    </row>
    <row r="22" spans="2:21">
      <c r="B22" s="1350"/>
      <c r="D22" s="1355">
        <v>11</v>
      </c>
      <c r="E22" s="1355"/>
      <c r="F22" s="1376">
        <f>'2.0 Patients'!$AB$74+'2.0 Patients'!$AB$76</f>
        <v>23.916666666666668</v>
      </c>
      <c r="G22" s="1376">
        <f>'5. Financials'!$AB$14+'5. Financials'!$AB$22</f>
        <v>286.04333333333341</v>
      </c>
      <c r="H22" s="1376"/>
      <c r="I22" s="1378">
        <f>'2.0 Patients'!$AN$74+'2.0 Patients'!$AN$76</f>
        <v>44.333333333333336</v>
      </c>
      <c r="J22" s="1378">
        <f>'5. Financials'!$AN$14+'5. Financials'!$AN$22</f>
        <v>530.22666666666669</v>
      </c>
      <c r="K22" s="1378"/>
      <c r="L22" s="1378">
        <f>'2.0 Patients'!$AZ$74+'2.0 Patients'!$AZ$76</f>
        <v>57.916666666666664</v>
      </c>
      <c r="M22" s="1378">
        <f>'5. Financials'!$AZ$14+'5. Financials'!$AZ$22</f>
        <v>692.68333333333328</v>
      </c>
      <c r="N22" s="1378"/>
      <c r="O22" s="1378">
        <f>'2.0 Patients'!$BL$74+'2.0 Patients'!$BL$76</f>
        <v>70.916666666666657</v>
      </c>
      <c r="P22" s="1378">
        <f>'5. Financials'!$BL$14+'5. Financials'!$BL$22</f>
        <v>848.1633333333333</v>
      </c>
      <c r="Q22" s="1378"/>
      <c r="R22" s="1378">
        <f>'2.0 Patients'!$BX$74+'2.0 Patients'!$BX$76</f>
        <v>80.250000000000043</v>
      </c>
      <c r="S22" s="1378">
        <f>'5. Financials'!$BX$14+'5. Financials'!$BX$22</f>
        <v>959.79000000000065</v>
      </c>
      <c r="U22" s="1350"/>
    </row>
    <row r="23" spans="2:21">
      <c r="B23" s="1350"/>
      <c r="D23" s="1355">
        <v>12</v>
      </c>
      <c r="E23" s="1355"/>
      <c r="F23" s="1376">
        <f>'2.0 Patients'!$AC$74+'2.0 Patients'!$AC$76</f>
        <v>26.000000000000004</v>
      </c>
      <c r="G23" s="1379">
        <f>'5. Financials'!$AC$14+'5. Financials'!$AC$22</f>
        <v>310.96000000000009</v>
      </c>
      <c r="H23" s="1376"/>
      <c r="I23" s="1378">
        <f>'2.0 Patients'!$AO$74+'2.0 Patients'!$AO$76</f>
        <v>46</v>
      </c>
      <c r="J23" s="1380">
        <f>'5. Financials'!$AO$14+'5. Financials'!$AO$22</f>
        <v>550.16000000000008</v>
      </c>
      <c r="K23" s="1378"/>
      <c r="L23" s="1378">
        <f>'2.0 Patients'!$BA$74+'2.0 Patients'!$BA$76</f>
        <v>59</v>
      </c>
      <c r="M23" s="1380">
        <f>'5. Financials'!$BA$14+'5. Financials'!$BA$22</f>
        <v>705.64</v>
      </c>
      <c r="N23" s="1378"/>
      <c r="O23" s="1378">
        <f>'2.0 Patients'!$BM$74+'2.0 Patients'!$BM$76</f>
        <v>72</v>
      </c>
      <c r="P23" s="1380">
        <f>'5. Financials'!$BM$14+'5. Financials'!$BM$22</f>
        <v>861.12</v>
      </c>
      <c r="Q23" s="1378"/>
      <c r="R23" s="1378">
        <f>'2.0 Patients'!$BY$74+'2.0 Patients'!$BY$76</f>
        <v>81.000000000000043</v>
      </c>
      <c r="S23" s="1380">
        <f>'5. Financials'!$BY$14+'5. Financials'!$BY$22</f>
        <v>968.76000000000056</v>
      </c>
      <c r="U23" s="1350"/>
    </row>
    <row r="24" spans="2:21" ht="12" thickBot="1">
      <c r="B24" s="1350"/>
      <c r="D24" s="1355" t="s">
        <v>3932</v>
      </c>
      <c r="E24" s="1355"/>
      <c r="F24" s="288"/>
      <c r="G24" s="1381">
        <f>SUM(G11:G23)</f>
        <v>2087.02</v>
      </c>
      <c r="H24" s="1382"/>
      <c r="I24" s="1383"/>
      <c r="J24" s="1384">
        <f>SUM(J12:J23)</f>
        <v>5286.3200000000006</v>
      </c>
      <c r="K24" s="1385"/>
      <c r="L24" s="1383"/>
      <c r="M24" s="1384">
        <f>SUM(M12:M23)</f>
        <v>7612.54</v>
      </c>
      <c r="N24" s="1385"/>
      <c r="O24" s="1383"/>
      <c r="P24" s="1384">
        <f>SUM(P12:P23)</f>
        <v>9478.3000000000011</v>
      </c>
      <c r="Q24" s="1385"/>
      <c r="R24" s="1383"/>
      <c r="S24" s="1384">
        <f>SUM(S12:S23)</f>
        <v>11033.100000000004</v>
      </c>
      <c r="U24" s="1350"/>
    </row>
    <row r="25" spans="2:21" ht="12" thickTop="1">
      <c r="B25" s="1350"/>
      <c r="F25" s="288"/>
      <c r="G25" s="1386"/>
      <c r="H25" s="1386"/>
      <c r="I25" s="1383"/>
      <c r="J25" s="1383"/>
      <c r="K25" s="1383"/>
      <c r="L25" s="1383"/>
      <c r="M25" s="1383"/>
      <c r="N25" s="1383"/>
      <c r="O25" s="1383"/>
      <c r="P25" s="1383"/>
      <c r="Q25" s="1383"/>
      <c r="R25" s="1383"/>
      <c r="S25" s="1383"/>
      <c r="U25" s="1350"/>
    </row>
    <row r="26" spans="2:21">
      <c r="B26" s="1350"/>
      <c r="I26" s="1363"/>
      <c r="J26" s="1363"/>
      <c r="K26" s="1363"/>
      <c r="L26" s="1363"/>
      <c r="M26" s="1363"/>
      <c r="N26" s="1363"/>
      <c r="O26" s="1363"/>
      <c r="P26" s="1363"/>
      <c r="Q26" s="1363"/>
      <c r="R26" s="1363"/>
      <c r="S26" s="1363"/>
      <c r="U26" s="1350"/>
    </row>
    <row r="27" spans="2:21">
      <c r="B27" s="1350"/>
      <c r="D27" s="1352" t="s">
        <v>6</v>
      </c>
      <c r="E27" s="1352"/>
      <c r="I27" s="1363"/>
      <c r="J27" s="1363"/>
      <c r="K27" s="1363"/>
      <c r="L27" s="1363"/>
      <c r="M27" s="1363"/>
      <c r="N27" s="1363"/>
      <c r="O27" s="1363"/>
      <c r="P27" s="1363"/>
      <c r="Q27" s="1363"/>
      <c r="R27" s="1363"/>
      <c r="S27" s="1363"/>
      <c r="U27" s="1350"/>
    </row>
    <row r="28" spans="2:21">
      <c r="B28" s="1350"/>
      <c r="F28" s="1353" t="s">
        <v>1090</v>
      </c>
      <c r="G28" s="1353"/>
      <c r="H28" s="1354"/>
      <c r="I28" s="1066" t="s">
        <v>1091</v>
      </c>
      <c r="J28" s="1066"/>
      <c r="K28" s="1371"/>
      <c r="L28" s="1066" t="s">
        <v>116</v>
      </c>
      <c r="M28" s="1066"/>
      <c r="N28" s="1371"/>
      <c r="O28" s="1066" t="s">
        <v>2166</v>
      </c>
      <c r="P28" s="1066"/>
      <c r="Q28" s="1371"/>
      <c r="R28" s="1066" t="s">
        <v>209</v>
      </c>
      <c r="S28" s="1066"/>
      <c r="U28" s="1350"/>
    </row>
    <row r="29" spans="2:21">
      <c r="B29" s="1350"/>
      <c r="D29" s="1373" t="s">
        <v>117</v>
      </c>
      <c r="E29" s="1373"/>
      <c r="F29" s="1375" t="s">
        <v>3666</v>
      </c>
      <c r="G29" s="1375" t="s">
        <v>3529</v>
      </c>
      <c r="H29" s="1375"/>
      <c r="I29" s="1387" t="s">
        <v>3666</v>
      </c>
      <c r="J29" s="1387" t="s">
        <v>3529</v>
      </c>
      <c r="K29" s="1387"/>
      <c r="L29" s="1387" t="s">
        <v>3666</v>
      </c>
      <c r="M29" s="1387" t="s">
        <v>3529</v>
      </c>
      <c r="N29" s="1387"/>
      <c r="O29" s="1387" t="s">
        <v>3666</v>
      </c>
      <c r="P29" s="1387" t="s">
        <v>3529</v>
      </c>
      <c r="Q29" s="1387"/>
      <c r="R29" s="1387" t="s">
        <v>3666</v>
      </c>
      <c r="S29" s="1387" t="s">
        <v>3529</v>
      </c>
      <c r="U29" s="1350"/>
    </row>
    <row r="30" spans="2:21">
      <c r="B30" s="1350"/>
      <c r="F30" s="288"/>
      <c r="G30" s="288"/>
      <c r="H30" s="288"/>
      <c r="I30" s="1377"/>
      <c r="J30" s="1377"/>
      <c r="K30" s="1377"/>
      <c r="L30" s="1377"/>
      <c r="M30" s="1377"/>
      <c r="N30" s="1377"/>
      <c r="O30" s="1377"/>
      <c r="P30" s="1377"/>
      <c r="Q30" s="1377"/>
      <c r="R30" s="1377"/>
      <c r="S30" s="1377"/>
      <c r="U30" s="1350"/>
    </row>
    <row r="31" spans="2:21">
      <c r="B31" s="1350"/>
      <c r="D31" s="1355">
        <v>0</v>
      </c>
      <c r="F31" s="1376">
        <f>'2.0 Patients'!$Q$80+'2.0 Patients'!$Q$82</f>
        <v>1</v>
      </c>
      <c r="G31" s="2208">
        <v>0</v>
      </c>
      <c r="H31" s="288"/>
      <c r="I31" s="1377"/>
      <c r="J31" s="1377"/>
      <c r="K31" s="1377"/>
      <c r="L31" s="1377"/>
      <c r="M31" s="1377"/>
      <c r="N31" s="1377"/>
      <c r="O31" s="1377"/>
      <c r="P31" s="1377"/>
      <c r="Q31" s="1377"/>
      <c r="R31" s="1377"/>
      <c r="S31" s="1377"/>
      <c r="U31" s="1350"/>
    </row>
    <row r="32" spans="2:21">
      <c r="B32" s="1350"/>
      <c r="D32" s="1355">
        <v>1</v>
      </c>
      <c r="E32" s="1355"/>
      <c r="F32" s="1376">
        <f>'2.0 Patients'!$R$80+'2.0 Patients'!$R$82</f>
        <v>1.5</v>
      </c>
      <c r="G32" s="1376">
        <f>'5. Financials'!$R$31+'5. Financials'!$R$39</f>
        <v>18.524999999999999</v>
      </c>
      <c r="H32" s="1376"/>
      <c r="I32" s="1378">
        <f>'2.0 Patients'!$AD$80+'2.0 Patients'!$AD$82</f>
        <v>7.5</v>
      </c>
      <c r="J32" s="1378">
        <f>'5. Financials'!$AD$31+'5. Financials'!$AD$39</f>
        <v>92.624999999999986</v>
      </c>
      <c r="K32" s="1378"/>
      <c r="L32" s="1378">
        <f>'2.0 Patients'!$AP$80+'2.0 Patients'!$AP$82</f>
        <v>13.333333333333329</v>
      </c>
      <c r="M32" s="1378">
        <f>'5. Financials'!$AP$31+'5. Financials'!$AP$39</f>
        <v>164.6666666666666</v>
      </c>
      <c r="N32" s="1378"/>
      <c r="O32" s="1378">
        <f>'2.0 Patients'!$BB$80+'2.0 Patients'!$BB$82</f>
        <v>17.416666666666671</v>
      </c>
      <c r="P32" s="1378">
        <f>'5. Financials'!$BB$31+'5. Financials'!$BB$39</f>
        <v>215.09583333333336</v>
      </c>
      <c r="Q32" s="1378"/>
      <c r="R32" s="1378">
        <f>'2.0 Patients'!$BN$80+'2.0 Patients'!$BN$82</f>
        <v>22.249999999999996</v>
      </c>
      <c r="S32" s="1378">
        <f>'5. Financials'!$BN$31+'5. Financials'!$BN$39</f>
        <v>274.78749999999991</v>
      </c>
      <c r="U32" s="1350"/>
    </row>
    <row r="33" spans="2:21">
      <c r="B33" s="1350"/>
      <c r="D33" s="1355">
        <v>2</v>
      </c>
      <c r="E33" s="1355"/>
      <c r="F33" s="1376">
        <f>'2.0 Patients'!$S$80+'2.0 Patients'!$S$82</f>
        <v>2</v>
      </c>
      <c r="G33" s="1376">
        <f>'5. Financials'!$S$31+'5. Financials'!$S$39</f>
        <v>24.7</v>
      </c>
      <c r="H33" s="1376"/>
      <c r="I33" s="1378">
        <f>'2.0 Patients'!$AE$80+'2.0 Patients'!$AE$82</f>
        <v>8</v>
      </c>
      <c r="J33" s="1378">
        <f>'5. Financials'!$AE$31+'5. Financials'!$AE$39</f>
        <v>98.8</v>
      </c>
      <c r="K33" s="1378"/>
      <c r="L33" s="1378">
        <f>'2.0 Patients'!$AQ$80+'2.0 Patients'!$AQ$82</f>
        <v>13.666666666666664</v>
      </c>
      <c r="M33" s="1378">
        <f>'5. Financials'!$AQ$31+'5. Financials'!$AQ$39</f>
        <v>168.78333333333327</v>
      </c>
      <c r="N33" s="1378"/>
      <c r="O33" s="1378">
        <f>'2.0 Patients'!$BC$80+'2.0 Patients'!$BC$82</f>
        <v>17.833333333333336</v>
      </c>
      <c r="P33" s="1378">
        <f>'5. Financials'!$BC$31+'5. Financials'!$BC$39</f>
        <v>220.2416666666667</v>
      </c>
      <c r="Q33" s="1378"/>
      <c r="R33" s="1378">
        <f>'2.0 Patients'!$BO$80+'2.0 Patients'!$BO$82</f>
        <v>22.499999999999996</v>
      </c>
      <c r="S33" s="1378">
        <f>'5. Financials'!$BO$31+'5. Financials'!$BO$39</f>
        <v>277.87499999999989</v>
      </c>
      <c r="U33" s="1350"/>
    </row>
    <row r="34" spans="2:21">
      <c r="B34" s="1350"/>
      <c r="D34" s="1355">
        <v>3</v>
      </c>
      <c r="E34" s="1355"/>
      <c r="F34" s="1376">
        <f>'2.0 Patients'!$T$80+'2.0 Patients'!$T$82</f>
        <v>2.5</v>
      </c>
      <c r="G34" s="1376">
        <f>'5. Financials'!$T$31+'5. Financials'!$T$39</f>
        <v>30.875</v>
      </c>
      <c r="H34" s="1376"/>
      <c r="I34" s="1378">
        <f>'2.0 Patients'!$AF$80+'2.0 Patients'!$AF$82</f>
        <v>8.5</v>
      </c>
      <c r="J34" s="1378">
        <f>'5. Financials'!$AF$31+'5. Financials'!$AF$39</f>
        <v>104.97500000000002</v>
      </c>
      <c r="K34" s="1378"/>
      <c r="L34" s="1378">
        <f>'2.0 Patients'!$AR$80+'2.0 Patients'!$AR$82</f>
        <v>13.999999999999996</v>
      </c>
      <c r="M34" s="1378">
        <f>'5. Financials'!$AR$31+'5. Financials'!$AR$39</f>
        <v>172.89999999999995</v>
      </c>
      <c r="N34" s="1378"/>
      <c r="O34" s="1378">
        <f>'2.0 Patients'!$BD$80+'2.0 Patients'!$BD$82</f>
        <v>18.250000000000004</v>
      </c>
      <c r="P34" s="1378">
        <f>'5. Financials'!$BD$31+'5. Financials'!$BD$39</f>
        <v>225.38750000000005</v>
      </c>
      <c r="Q34" s="1378"/>
      <c r="R34" s="1378">
        <f>'2.0 Patients'!$BP$80+'2.0 Patients'!$BP$82</f>
        <v>22.749999999999996</v>
      </c>
      <c r="S34" s="1378">
        <f>'5. Financials'!$BP$31+'5. Financials'!$BP$39</f>
        <v>280.96249999999992</v>
      </c>
      <c r="U34" s="1350"/>
    </row>
    <row r="35" spans="2:21">
      <c r="B35" s="1350"/>
      <c r="D35" s="1355">
        <v>4</v>
      </c>
      <c r="E35" s="1355"/>
      <c r="F35" s="1376">
        <f>'2.0 Patients'!$U$80+'2.0 Patients'!$U$82</f>
        <v>3</v>
      </c>
      <c r="G35" s="1376">
        <f>'5. Financials'!$U$31+'5. Financials'!$U$39</f>
        <v>37.049999999999997</v>
      </c>
      <c r="H35" s="1376"/>
      <c r="I35" s="1378">
        <f>'2.0 Patients'!$AG$80+'2.0 Patients'!$AG$82</f>
        <v>9</v>
      </c>
      <c r="J35" s="1378">
        <f>'5. Financials'!$AG$31+'5. Financials'!$AG$39</f>
        <v>111.15</v>
      </c>
      <c r="K35" s="1378"/>
      <c r="L35" s="1378">
        <f>'2.0 Patients'!$AS$80+'2.0 Patients'!$AS$82</f>
        <v>14.333333333333332</v>
      </c>
      <c r="M35" s="1378">
        <f>'5. Financials'!$AS$31+'5. Financials'!$AS$39</f>
        <v>177.01666666666665</v>
      </c>
      <c r="N35" s="1378"/>
      <c r="O35" s="1378">
        <f>'2.0 Patients'!$BE$80+'2.0 Patients'!$BE$82</f>
        <v>18.666666666666668</v>
      </c>
      <c r="P35" s="1378">
        <f>'5. Financials'!$BE$31+'5. Financials'!$BE$39</f>
        <v>230.53333333333336</v>
      </c>
      <c r="Q35" s="1378"/>
      <c r="R35" s="1378">
        <f>'2.0 Patients'!$BQ$80+'2.0 Patients'!$BQ$82</f>
        <v>23</v>
      </c>
      <c r="S35" s="1378">
        <f>'5. Financials'!$BQ$31+'5. Financials'!$BQ$39</f>
        <v>284.04999999999995</v>
      </c>
      <c r="U35" s="1350"/>
    </row>
    <row r="36" spans="2:21">
      <c r="B36" s="1350"/>
      <c r="D36" s="1355">
        <v>5</v>
      </c>
      <c r="E36" s="1355"/>
      <c r="F36" s="1376">
        <f>'2.0 Patients'!$V$80+'2.0 Patients'!$V$82</f>
        <v>3.5</v>
      </c>
      <c r="G36" s="1376">
        <f>'5. Financials'!$V$31+'5. Financials'!$V$39</f>
        <v>43.225000000000001</v>
      </c>
      <c r="H36" s="1376"/>
      <c r="I36" s="1378">
        <f>'2.0 Patients'!$AH$80+'2.0 Patients'!$AH$82</f>
        <v>9.5</v>
      </c>
      <c r="J36" s="1378">
        <f>'5. Financials'!$AH$31+'5. Financials'!$AH$39</f>
        <v>117.32499999999999</v>
      </c>
      <c r="K36" s="1378"/>
      <c r="L36" s="1378">
        <f>'2.0 Patients'!$AT$80+'2.0 Patients'!$AT$82</f>
        <v>14.666666666666664</v>
      </c>
      <c r="M36" s="1378">
        <f>'5. Financials'!$AT$31+'5. Financials'!$AT$39</f>
        <v>181.1333333333333</v>
      </c>
      <c r="N36" s="1378"/>
      <c r="O36" s="1378">
        <f>'2.0 Patients'!$BF$80+'2.0 Patients'!$BF$82</f>
        <v>19.083333333333336</v>
      </c>
      <c r="P36" s="1378">
        <f>'5. Financials'!$BF$31+'5. Financials'!$BF$39</f>
        <v>235.67916666666667</v>
      </c>
      <c r="Q36" s="1378"/>
      <c r="R36" s="1378">
        <f>'2.0 Patients'!$BR$80+'2.0 Patients'!$BR$82</f>
        <v>23.25</v>
      </c>
      <c r="S36" s="1378">
        <f>'5. Financials'!$BR$31+'5. Financials'!$BR$39</f>
        <v>287.13749999999999</v>
      </c>
      <c r="U36" s="1350"/>
    </row>
    <row r="37" spans="2:21">
      <c r="B37" s="1350"/>
      <c r="D37" s="1355">
        <v>6</v>
      </c>
      <c r="E37" s="1355"/>
      <c r="F37" s="1376">
        <f>'2.0 Patients'!$W$80+'2.0 Patients'!$W$82</f>
        <v>4</v>
      </c>
      <c r="G37" s="1376">
        <f>'5. Financials'!$W$31+'5. Financials'!$W$39</f>
        <v>49.4</v>
      </c>
      <c r="H37" s="1376"/>
      <c r="I37" s="1378">
        <f>'2.0 Patients'!$AI$80+'2.0 Patients'!$AI$82</f>
        <v>10</v>
      </c>
      <c r="J37" s="1378">
        <f>'5. Financials'!$AI$31+'5. Financials'!$AI$39</f>
        <v>123.5</v>
      </c>
      <c r="K37" s="1378"/>
      <c r="L37" s="1378">
        <f>'2.0 Patients'!$AU$80+'2.0 Patients'!$AU$82</f>
        <v>15</v>
      </c>
      <c r="M37" s="1378">
        <f>'5. Financials'!$AU$31+'5. Financials'!$AU$39</f>
        <v>185.24999999999997</v>
      </c>
      <c r="N37" s="1378"/>
      <c r="O37" s="1378">
        <f>'2.0 Patients'!$BG$80+'2.0 Patients'!$BG$82</f>
        <v>19.5</v>
      </c>
      <c r="P37" s="1378">
        <f>'5. Financials'!$BG$31+'5. Financials'!$BG$39</f>
        <v>240.82500000000002</v>
      </c>
      <c r="Q37" s="1378"/>
      <c r="R37" s="1378">
        <f>'2.0 Patients'!$BS$80+'2.0 Patients'!$BS$82</f>
        <v>23.5</v>
      </c>
      <c r="S37" s="1378">
        <f>'5. Financials'!$BS$31+'5. Financials'!$BS$39</f>
        <v>290.22500000000002</v>
      </c>
      <c r="U37" s="1350"/>
    </row>
    <row r="38" spans="2:21">
      <c r="B38" s="1350"/>
      <c r="D38" s="1355">
        <v>7</v>
      </c>
      <c r="E38" s="1355"/>
      <c r="F38" s="1376">
        <f>'2.0 Patients'!$X$80+'2.0 Patients'!$X$82</f>
        <v>4.5</v>
      </c>
      <c r="G38" s="1376">
        <f>'5. Financials'!$X$31+'5. Financials'!$X$39</f>
        <v>55.574999999999996</v>
      </c>
      <c r="H38" s="1376"/>
      <c r="I38" s="1378">
        <f>'2.0 Patients'!$AJ$80+'2.0 Patients'!$AJ$82</f>
        <v>10.499999999999998</v>
      </c>
      <c r="J38" s="1378">
        <f>'5. Financials'!$AJ$31+'5. Financials'!$AJ$39</f>
        <v>129.67500000000001</v>
      </c>
      <c r="K38" s="1378"/>
      <c r="L38" s="1378">
        <f>'2.0 Patients'!$AV$80+'2.0 Patients'!$AV$82</f>
        <v>15.333333333333332</v>
      </c>
      <c r="M38" s="1378">
        <f>'5. Financials'!$AV$31+'5. Financials'!$AV$39</f>
        <v>189.36666666666665</v>
      </c>
      <c r="N38" s="1378"/>
      <c r="O38" s="1378">
        <f>'2.0 Patients'!$BH$80+'2.0 Patients'!$BH$82</f>
        <v>19.916666666666664</v>
      </c>
      <c r="P38" s="1378">
        <f>'5. Financials'!$BH$31+'5. Financials'!$BH$39</f>
        <v>245.9708333333333</v>
      </c>
      <c r="Q38" s="1378"/>
      <c r="R38" s="1378">
        <f>'2.0 Patients'!$BT$80+'2.0 Patients'!$BT$82</f>
        <v>23.750000000000004</v>
      </c>
      <c r="S38" s="1378">
        <f>'5. Financials'!$BT$31+'5. Financials'!$BT$39</f>
        <v>293.3125</v>
      </c>
      <c r="U38" s="1350"/>
    </row>
    <row r="39" spans="2:21">
      <c r="B39" s="1350"/>
      <c r="D39" s="1355">
        <v>8</v>
      </c>
      <c r="E39" s="1355"/>
      <c r="F39" s="1376">
        <f>'2.0 Patients'!$Y$80+'2.0 Patients'!$Y$82</f>
        <v>5</v>
      </c>
      <c r="G39" s="1376">
        <f>'5. Financials'!$Y$31+'5. Financials'!$Y$39</f>
        <v>61.75</v>
      </c>
      <c r="H39" s="1376"/>
      <c r="I39" s="1378">
        <f>'2.0 Patients'!$AK$80+'2.0 Patients'!$AK$82</f>
        <v>10.999999999999998</v>
      </c>
      <c r="J39" s="1378">
        <f>'5. Financials'!$AK$31+'5. Financials'!$AK$39</f>
        <v>135.84999999999997</v>
      </c>
      <c r="K39" s="1378"/>
      <c r="L39" s="1378">
        <f>'2.0 Patients'!$AW$80+'2.0 Patients'!$AW$82</f>
        <v>15.666666666666668</v>
      </c>
      <c r="M39" s="1378">
        <f>'5. Financials'!$AW$31+'5. Financials'!$AW$39</f>
        <v>193.48333333333332</v>
      </c>
      <c r="N39" s="1378"/>
      <c r="O39" s="1378">
        <f>'2.0 Patients'!$BI$80+'2.0 Patients'!$BI$82</f>
        <v>20.333333333333332</v>
      </c>
      <c r="P39" s="1378">
        <f>'5. Financials'!$BI$31+'5. Financials'!$BI$39</f>
        <v>251.11666666666662</v>
      </c>
      <c r="Q39" s="1378"/>
      <c r="R39" s="1378">
        <f>'2.0 Patients'!$BU$80+'2.0 Patients'!$BU$82</f>
        <v>24.000000000000004</v>
      </c>
      <c r="S39" s="1378">
        <f>'5. Financials'!$BU$31+'5. Financials'!$BU$39</f>
        <v>296.40000000000003</v>
      </c>
      <c r="U39" s="1350"/>
    </row>
    <row r="40" spans="2:21">
      <c r="B40" s="1350"/>
      <c r="D40" s="1355">
        <v>9</v>
      </c>
      <c r="E40" s="1355"/>
      <c r="F40" s="1376">
        <f>'2.0 Patients'!$Z$80+'2.0 Patients'!$Z$82</f>
        <v>5.5</v>
      </c>
      <c r="G40" s="1376">
        <f>'5. Financials'!$Z$31+'5. Financials'!$Z$39</f>
        <v>67.924999999999997</v>
      </c>
      <c r="H40" s="1376"/>
      <c r="I40" s="1378">
        <f>'2.0 Patients'!$AL$80+'2.0 Patients'!$AL$82</f>
        <v>11.499999999999998</v>
      </c>
      <c r="J40" s="1378">
        <f>'5. Financials'!$AL$31+'5. Financials'!$AL$39</f>
        <v>142.02499999999995</v>
      </c>
      <c r="K40" s="1378"/>
      <c r="L40" s="1378">
        <f>'2.0 Patients'!$AX$80+'2.0 Patients'!$AX$82</f>
        <v>16</v>
      </c>
      <c r="M40" s="1378">
        <f>'5. Financials'!$AX$31+'5. Financials'!$AX$39</f>
        <v>197.6</v>
      </c>
      <c r="N40" s="1378"/>
      <c r="O40" s="1378">
        <f>'2.0 Patients'!$BJ$80+'2.0 Patients'!$BJ$82</f>
        <v>20.749999999999996</v>
      </c>
      <c r="P40" s="1378">
        <f>'5. Financials'!$BJ$31+'5. Financials'!$BJ$39</f>
        <v>256.26249999999993</v>
      </c>
      <c r="Q40" s="1378"/>
      <c r="R40" s="1378">
        <f>'2.0 Patients'!$BV$80+'2.0 Patients'!$BV$82</f>
        <v>24.250000000000007</v>
      </c>
      <c r="S40" s="1378">
        <f>'5. Financials'!$BV$31+'5. Financials'!$BV$39</f>
        <v>299.48750000000007</v>
      </c>
      <c r="U40" s="1350"/>
    </row>
    <row r="41" spans="2:21">
      <c r="B41" s="1350"/>
      <c r="D41" s="1355">
        <v>10</v>
      </c>
      <c r="E41" s="1355"/>
      <c r="F41" s="1376">
        <f>'2.0 Patients'!$AA$80+'2.0 Patients'!$AA$82</f>
        <v>6</v>
      </c>
      <c r="G41" s="1376">
        <f>'5. Financials'!$AA$31+'5. Financials'!$AA$39</f>
        <v>74.099999999999994</v>
      </c>
      <c r="H41" s="1376"/>
      <c r="I41" s="1378">
        <f>'2.0 Patients'!$AM$80+'2.0 Patients'!$AM$82</f>
        <v>11.999999999999996</v>
      </c>
      <c r="J41" s="1378">
        <f>'5. Financials'!$AM$31+'5. Financials'!$AM$39</f>
        <v>148.19999999999996</v>
      </c>
      <c r="K41" s="1378"/>
      <c r="L41" s="1378">
        <f>'2.0 Patients'!$AY$80+'2.0 Patients'!$AY$82</f>
        <v>16.333333333333336</v>
      </c>
      <c r="M41" s="1378">
        <f>'5. Financials'!$AY$31+'5. Financials'!$AY$39</f>
        <v>201.71666666666667</v>
      </c>
      <c r="N41" s="1378"/>
      <c r="O41" s="1378">
        <f>'2.0 Patients'!$BK$80+'2.0 Patients'!$BK$82</f>
        <v>21.166666666666664</v>
      </c>
      <c r="P41" s="1378">
        <f>'5. Financials'!$BK$31+'5. Financials'!$BK$39</f>
        <v>261.4083333333333</v>
      </c>
      <c r="Q41" s="1378"/>
      <c r="R41" s="1378">
        <f>'2.0 Patients'!$BW$80+'2.0 Patients'!$BW$82</f>
        <v>24.500000000000007</v>
      </c>
      <c r="S41" s="1378">
        <f>'5. Financials'!$BW$31+'5. Financials'!$BW$39</f>
        <v>302.57500000000005</v>
      </c>
      <c r="U41" s="1350"/>
    </row>
    <row r="42" spans="2:21">
      <c r="B42" s="1350"/>
      <c r="D42" s="1355">
        <v>11</v>
      </c>
      <c r="E42" s="1355"/>
      <c r="F42" s="1376">
        <f>'2.0 Patients'!$AB$80+'2.0 Patients'!$AB$82</f>
        <v>6.5</v>
      </c>
      <c r="G42" s="1376">
        <f>'5. Financials'!$AB$31+'5. Financials'!$AB$39</f>
        <v>80.274999999999991</v>
      </c>
      <c r="H42" s="1376"/>
      <c r="I42" s="1378">
        <f>'2.0 Patients'!$AN$80+'2.0 Patients'!$AN$82</f>
        <v>12.499999999999996</v>
      </c>
      <c r="J42" s="1378">
        <f>'5. Financials'!$AN$31+'5. Financials'!$AN$39</f>
        <v>154.37499999999994</v>
      </c>
      <c r="K42" s="1378"/>
      <c r="L42" s="1378">
        <f>'2.0 Patients'!$AZ$80+'2.0 Patients'!$AZ$82</f>
        <v>16.666666666666668</v>
      </c>
      <c r="M42" s="1378">
        <f>'5. Financials'!$AZ$31+'5. Financials'!$AZ$39</f>
        <v>205.83333333333334</v>
      </c>
      <c r="N42" s="1378"/>
      <c r="O42" s="1378">
        <f>'2.0 Patients'!$BL$80+'2.0 Patients'!$BL$82</f>
        <v>21.583333333333329</v>
      </c>
      <c r="P42" s="1378">
        <f>'5. Financials'!$BL$31+'5. Financials'!$BL$39</f>
        <v>266.55416666666662</v>
      </c>
      <c r="Q42" s="1378"/>
      <c r="R42" s="1378">
        <f>'2.0 Patients'!$BX$80+'2.0 Patients'!$BX$82</f>
        <v>24.750000000000007</v>
      </c>
      <c r="S42" s="1378">
        <f>'5. Financials'!$BX$31+'5. Financials'!$BX$39</f>
        <v>305.66250000000008</v>
      </c>
      <c r="U42" s="1350"/>
    </row>
    <row r="43" spans="2:21">
      <c r="B43" s="1350"/>
      <c r="D43" s="1355">
        <v>12</v>
      </c>
      <c r="E43" s="1355"/>
      <c r="F43" s="1376">
        <f>'2.0 Patients'!$AC$80+'2.0 Patients'!$AC$82</f>
        <v>7</v>
      </c>
      <c r="G43" s="1379">
        <f>'5. Financials'!$AC$31+'5. Financials'!$AC$39</f>
        <v>86.449999999999989</v>
      </c>
      <c r="H43" s="1376"/>
      <c r="I43" s="1378">
        <f>'2.0 Patients'!$AO$80+'2.0 Patients'!$AO$82</f>
        <v>12.999999999999996</v>
      </c>
      <c r="J43" s="1380">
        <f>'5. Financials'!$AO$31+'5. Financials'!$AO$39</f>
        <v>160.54999999999993</v>
      </c>
      <c r="K43" s="1378"/>
      <c r="L43" s="1378">
        <f>'2.0 Patients'!$BA$80+'2.0 Patients'!$BA$82</f>
        <v>17.000000000000004</v>
      </c>
      <c r="M43" s="1380">
        <f>'5. Financials'!$BA$31+'5. Financials'!$BA$39</f>
        <v>209.95000000000007</v>
      </c>
      <c r="N43" s="1378"/>
      <c r="O43" s="1378">
        <f>'2.0 Patients'!$BM$80+'2.0 Patients'!$BM$82</f>
        <v>21.999999999999993</v>
      </c>
      <c r="P43" s="1380">
        <f>'5. Financials'!$BM$31+'5. Financials'!$BM$39</f>
        <v>271.69999999999993</v>
      </c>
      <c r="Q43" s="1378"/>
      <c r="R43" s="1378">
        <f>'2.0 Patients'!$BY$80+'2.0 Patients'!$BY$82</f>
        <v>25.000000000000011</v>
      </c>
      <c r="S43" s="1380">
        <f>'5. Financials'!$BY$31+'5. Financials'!$BY$39</f>
        <v>308.75000000000011</v>
      </c>
      <c r="U43" s="1350"/>
    </row>
    <row r="44" spans="2:21" ht="12" thickBot="1">
      <c r="B44" s="1350"/>
      <c r="D44" s="1355" t="s">
        <v>3932</v>
      </c>
      <c r="E44" s="1355"/>
      <c r="F44" s="288"/>
      <c r="G44" s="1381">
        <f>SUM(G31:G43)</f>
        <v>629.84999999999991</v>
      </c>
      <c r="H44" s="1382"/>
      <c r="I44" s="1383"/>
      <c r="J44" s="1384">
        <f>SUM(J32:J43)</f>
        <v>1519.0499999999997</v>
      </c>
      <c r="K44" s="1385"/>
      <c r="L44" s="1383"/>
      <c r="M44" s="1384">
        <f>SUM(M32:M43)</f>
        <v>2247.6999999999998</v>
      </c>
      <c r="N44" s="1385"/>
      <c r="O44" s="1383"/>
      <c r="P44" s="1384">
        <f>SUM(P32:P43)</f>
        <v>2920.7749999999996</v>
      </c>
      <c r="Q44" s="1385"/>
      <c r="R44" s="1383"/>
      <c r="S44" s="1384">
        <f>SUM(S32:S43)</f>
        <v>3501.2249999999999</v>
      </c>
      <c r="U44" s="1350"/>
    </row>
    <row r="45" spans="2:21" ht="12" thickTop="1">
      <c r="B45" s="1350"/>
      <c r="F45" s="288"/>
      <c r="G45" s="288"/>
      <c r="H45" s="288"/>
      <c r="I45" s="1377"/>
      <c r="J45" s="1377"/>
      <c r="K45" s="1377"/>
      <c r="L45" s="1377"/>
      <c r="M45" s="1377"/>
      <c r="N45" s="1377"/>
      <c r="O45" s="1377"/>
      <c r="P45" s="1377"/>
      <c r="Q45" s="1377"/>
      <c r="R45" s="1377"/>
      <c r="S45" s="1377"/>
      <c r="U45" s="1350"/>
    </row>
    <row r="46" spans="2:21">
      <c r="B46" s="1350"/>
      <c r="F46" s="288"/>
      <c r="G46" s="288"/>
      <c r="H46" s="288"/>
      <c r="I46" s="1377"/>
      <c r="J46" s="1377"/>
      <c r="K46" s="1377"/>
      <c r="L46" s="1377"/>
      <c r="M46" s="1377"/>
      <c r="N46" s="1377"/>
      <c r="O46" s="1377"/>
      <c r="P46" s="1377"/>
      <c r="Q46" s="1377"/>
      <c r="R46" s="1377"/>
      <c r="S46" s="1377"/>
      <c r="U46" s="1350"/>
    </row>
    <row r="47" spans="2:21">
      <c r="B47" s="1350"/>
      <c r="D47" s="1352" t="s">
        <v>3515</v>
      </c>
      <c r="E47" s="1352"/>
      <c r="I47" s="1363"/>
      <c r="J47" s="1363"/>
      <c r="K47" s="1363"/>
      <c r="L47" s="1363"/>
      <c r="M47" s="1363"/>
      <c r="N47" s="1363"/>
      <c r="O47" s="1363"/>
      <c r="P47" s="1363"/>
      <c r="Q47" s="1363"/>
      <c r="R47" s="1363"/>
      <c r="S47" s="1363"/>
      <c r="U47" s="1350"/>
    </row>
    <row r="48" spans="2:21">
      <c r="B48" s="1350"/>
      <c r="F48" s="1353" t="s">
        <v>1090</v>
      </c>
      <c r="G48" s="1353"/>
      <c r="H48" s="1354"/>
      <c r="I48" s="1066" t="s">
        <v>1091</v>
      </c>
      <c r="J48" s="1066"/>
      <c r="K48" s="1371"/>
      <c r="L48" s="1066" t="s">
        <v>116</v>
      </c>
      <c r="M48" s="1066"/>
      <c r="N48" s="1371"/>
      <c r="O48" s="1066" t="s">
        <v>2166</v>
      </c>
      <c r="P48" s="1066"/>
      <c r="Q48" s="1371"/>
      <c r="R48" s="1066" t="s">
        <v>209</v>
      </c>
      <c r="S48" s="1066"/>
      <c r="U48" s="1350"/>
    </row>
    <row r="49" spans="2:21">
      <c r="B49" s="1350"/>
      <c r="D49" s="1373" t="s">
        <v>117</v>
      </c>
      <c r="E49" s="1373"/>
      <c r="F49" s="1375" t="s">
        <v>3666</v>
      </c>
      <c r="G49" s="1375" t="s">
        <v>3529</v>
      </c>
      <c r="H49" s="1375"/>
      <c r="I49" s="1387" t="s">
        <v>3666</v>
      </c>
      <c r="J49" s="1387" t="s">
        <v>3529</v>
      </c>
      <c r="K49" s="1387"/>
      <c r="L49" s="1387" t="s">
        <v>3666</v>
      </c>
      <c r="M49" s="1387" t="s">
        <v>3529</v>
      </c>
      <c r="N49" s="1387"/>
      <c r="O49" s="1387" t="s">
        <v>3666</v>
      </c>
      <c r="P49" s="1387" t="s">
        <v>3529</v>
      </c>
      <c r="Q49" s="1387"/>
      <c r="R49" s="1387" t="s">
        <v>3666</v>
      </c>
      <c r="S49" s="1387" t="s">
        <v>3529</v>
      </c>
      <c r="U49" s="1350"/>
    </row>
    <row r="50" spans="2:21">
      <c r="B50" s="1350"/>
      <c r="F50" s="288"/>
      <c r="G50" s="288"/>
      <c r="H50" s="288"/>
      <c r="I50" s="1377"/>
      <c r="J50" s="1377"/>
      <c r="K50" s="1377"/>
      <c r="L50" s="1377"/>
      <c r="M50" s="1377"/>
      <c r="N50" s="1377"/>
      <c r="O50" s="1377"/>
      <c r="P50" s="1377"/>
      <c r="Q50" s="1377"/>
      <c r="R50" s="1377"/>
      <c r="S50" s="1377"/>
      <c r="U50" s="1350"/>
    </row>
    <row r="51" spans="2:21">
      <c r="B51" s="1350"/>
      <c r="D51" s="1355">
        <v>0</v>
      </c>
      <c r="F51" s="1376">
        <f>'2.0 Patients'!$Q$86+'2.0 Patients'!$Q$88</f>
        <v>1</v>
      </c>
      <c r="G51" s="2208">
        <v>0</v>
      </c>
      <c r="H51" s="288"/>
      <c r="I51" s="1377"/>
      <c r="J51" s="1377"/>
      <c r="K51" s="1377"/>
      <c r="L51" s="1377"/>
      <c r="M51" s="1377"/>
      <c r="N51" s="1377"/>
      <c r="O51" s="1377"/>
      <c r="P51" s="1377"/>
      <c r="Q51" s="1377"/>
      <c r="R51" s="1377"/>
      <c r="S51" s="1377"/>
      <c r="U51" s="1350"/>
    </row>
    <row r="52" spans="2:21">
      <c r="B52" s="1350"/>
      <c r="D52" s="1355">
        <v>1</v>
      </c>
      <c r="E52" s="1355"/>
      <c r="F52" s="1376">
        <f>'2.0 Patients'!$R$86+'2.0 Patients'!$R$88</f>
        <v>1.1666666666666667</v>
      </c>
      <c r="G52" s="1376">
        <f>'5. Financials'!$R$48+'5. Financials'!$R$56</f>
        <v>20.8</v>
      </c>
      <c r="H52" s="1376"/>
      <c r="I52" s="1378">
        <f>'2.0 Patients'!$AD$86+'2.0 Patients'!$AD$88</f>
        <v>3.25</v>
      </c>
      <c r="J52" s="1378">
        <f>'5. Financials'!$AD$48+'5. Financials'!$AD$56</f>
        <v>47.883333333333333</v>
      </c>
      <c r="K52" s="1378"/>
      <c r="L52" s="1378">
        <f>'2.0 Patients'!$AP$86+'2.0 Patients'!$AP$88</f>
        <v>6.1666666666666661</v>
      </c>
      <c r="M52" s="1378">
        <f>'5. Financials'!$AP$48+'5. Financials'!$AP$56</f>
        <v>86.269444444444446</v>
      </c>
      <c r="N52" s="1378"/>
      <c r="O52" s="1378">
        <f>'2.0 Patients'!$BB$86+'2.0 Patients'!$BB$88</f>
        <v>8.0833333333333286</v>
      </c>
      <c r="P52" s="1378">
        <f>'5. Financials'!$BB$48+'5. Financials'!$BB$56</f>
        <v>116.34999999999994</v>
      </c>
      <c r="Q52" s="1378"/>
      <c r="R52" s="1378">
        <f>'2.0 Patients'!$BN$86+'2.0 Patients'!$BN$88</f>
        <v>9.083333333333325</v>
      </c>
      <c r="S52" s="1378">
        <f>'5. Financials'!$BN$48+'5. Financials'!$BN$56</f>
        <v>129.34999999999991</v>
      </c>
      <c r="U52" s="1350"/>
    </row>
    <row r="53" spans="2:21">
      <c r="B53" s="1350"/>
      <c r="D53" s="1355">
        <v>2</v>
      </c>
      <c r="E53" s="1355"/>
      <c r="F53" s="1376">
        <f>'2.0 Patients'!$S$86+'2.0 Patients'!$S$88</f>
        <v>1.3333333333333333</v>
      </c>
      <c r="G53" s="1376">
        <f>'5. Financials'!$S$48+'5. Financials'!$S$56</f>
        <v>22.966666666666665</v>
      </c>
      <c r="H53" s="1376"/>
      <c r="I53" s="1378">
        <f>'2.0 Patients'!$AE$86+'2.0 Patients'!$AE$88</f>
        <v>3.5</v>
      </c>
      <c r="J53" s="1378">
        <f>'5. Financials'!$AE$48+'5. Financials'!$AE$56</f>
        <v>51.133333333333333</v>
      </c>
      <c r="K53" s="1378"/>
      <c r="L53" s="1378">
        <f>'2.0 Patients'!$AQ$86+'2.0 Patients'!$AQ$88</f>
        <v>6.3333333333333321</v>
      </c>
      <c r="M53" s="1378">
        <f>'5. Financials'!$AQ$48+'5. Financials'!$AQ$56</f>
        <v>88.905555555555537</v>
      </c>
      <c r="N53" s="1378"/>
      <c r="O53" s="1378">
        <f>'2.0 Patients'!$BC$86+'2.0 Patients'!$BC$88</f>
        <v>8.1666666666666607</v>
      </c>
      <c r="P53" s="1378">
        <f>'5. Financials'!$BC$48+'5. Financials'!$BC$56</f>
        <v>117.43333333333327</v>
      </c>
      <c r="Q53" s="1378"/>
      <c r="R53" s="1378">
        <f>'2.0 Patients'!$BO$86+'2.0 Patients'!$BO$88</f>
        <v>9.1666666666666572</v>
      </c>
      <c r="S53" s="1378">
        <f>'5. Financials'!$BO$48+'5. Financials'!$BO$56</f>
        <v>130.43333333333322</v>
      </c>
      <c r="U53" s="1350"/>
    </row>
    <row r="54" spans="2:21">
      <c r="B54" s="1350"/>
      <c r="D54" s="1355">
        <v>3</v>
      </c>
      <c r="E54" s="1355"/>
      <c r="F54" s="1376">
        <f>'2.0 Patients'!$T$86+'2.0 Patients'!$T$88</f>
        <v>1.5</v>
      </c>
      <c r="G54" s="1376">
        <f>'5. Financials'!$T$48+'5. Financials'!$T$56</f>
        <v>25.133333333333333</v>
      </c>
      <c r="H54" s="1376"/>
      <c r="I54" s="1378">
        <f>'2.0 Patients'!$AF$86+'2.0 Patients'!$AF$88</f>
        <v>3.75</v>
      </c>
      <c r="J54" s="1378">
        <f>'5. Financials'!$AF$48+'5. Financials'!$AF$56</f>
        <v>54.383333333333333</v>
      </c>
      <c r="K54" s="1378"/>
      <c r="L54" s="1378">
        <f>'2.0 Patients'!$AR$86+'2.0 Patients'!$AR$88</f>
        <v>6.4999999999999991</v>
      </c>
      <c r="M54" s="1378">
        <f>'5. Financials'!$AR$48+'5. Financials'!$AR$56</f>
        <v>91.541666666666643</v>
      </c>
      <c r="N54" s="1378"/>
      <c r="O54" s="1378">
        <f>'2.0 Patients'!$BD$86+'2.0 Patients'!$BD$88</f>
        <v>8.2499999999999947</v>
      </c>
      <c r="P54" s="1378">
        <f>'5. Financials'!$BD$48+'5. Financials'!$BD$56</f>
        <v>118.51666666666659</v>
      </c>
      <c r="Q54" s="1378"/>
      <c r="R54" s="1378">
        <f>'2.0 Patients'!$BP$86+'2.0 Patients'!$BP$88</f>
        <v>9.2499999999999911</v>
      </c>
      <c r="S54" s="1378">
        <f>'5. Financials'!$BP$48+'5. Financials'!$BP$56</f>
        <v>131.51666666666654</v>
      </c>
      <c r="U54" s="1350"/>
    </row>
    <row r="55" spans="2:21">
      <c r="B55" s="1350"/>
      <c r="D55" s="1355">
        <v>4</v>
      </c>
      <c r="E55" s="1355"/>
      <c r="F55" s="1376">
        <f>'2.0 Patients'!$U$86+'2.0 Patients'!$U$88</f>
        <v>1.6666666666666665</v>
      </c>
      <c r="G55" s="1376">
        <f>'5. Financials'!$U$48+'5. Financials'!$U$56</f>
        <v>27.299999999999997</v>
      </c>
      <c r="H55" s="1376"/>
      <c r="I55" s="1378">
        <f>'2.0 Patients'!$AG$86+'2.0 Patients'!$AG$88</f>
        <v>4</v>
      </c>
      <c r="J55" s="1378">
        <f>'5. Financials'!$AG$48+'5. Financials'!$AG$56</f>
        <v>57.633333333333333</v>
      </c>
      <c r="K55" s="1378"/>
      <c r="L55" s="1378">
        <f>'2.0 Patients'!$AS$86+'2.0 Patients'!$AS$88</f>
        <v>6.6666666666666652</v>
      </c>
      <c r="M55" s="1378">
        <f>'5. Financials'!$AS$48+'5. Financials'!$AS$56</f>
        <v>94.177777777777749</v>
      </c>
      <c r="N55" s="1378"/>
      <c r="O55" s="1378">
        <f>'2.0 Patients'!$BE$86+'2.0 Patients'!$BE$88</f>
        <v>8.3333333333333286</v>
      </c>
      <c r="P55" s="1378">
        <f>'5. Financials'!$BE$48+'5. Financials'!$BE$56</f>
        <v>119.59999999999992</v>
      </c>
      <c r="Q55" s="1378"/>
      <c r="R55" s="1378">
        <f>'2.0 Patients'!$BQ$86+'2.0 Patients'!$BQ$88</f>
        <v>9.333333333333325</v>
      </c>
      <c r="S55" s="1378">
        <f>'5. Financials'!$BQ$48+'5. Financials'!$BQ$56</f>
        <v>132.59999999999985</v>
      </c>
      <c r="U55" s="1350"/>
    </row>
    <row r="56" spans="2:21">
      <c r="B56" s="1350"/>
      <c r="D56" s="1355">
        <v>5</v>
      </c>
      <c r="E56" s="1355"/>
      <c r="F56" s="1376">
        <f>'2.0 Patients'!$V$86+'2.0 Patients'!$V$88</f>
        <v>1.8333333333333333</v>
      </c>
      <c r="G56" s="1376">
        <f>'5. Financials'!$V$48+'5. Financials'!$V$56</f>
        <v>29.466666666666669</v>
      </c>
      <c r="H56" s="1376"/>
      <c r="I56" s="1378">
        <f>'2.0 Patients'!$AH$86+'2.0 Patients'!$AH$88</f>
        <v>4.25</v>
      </c>
      <c r="J56" s="1378">
        <f>'5. Financials'!$AH$48+'5. Financials'!$AH$56</f>
        <v>60.883333333333333</v>
      </c>
      <c r="K56" s="1378"/>
      <c r="L56" s="1378">
        <f>'2.0 Patients'!$AT$86+'2.0 Patients'!$AT$88</f>
        <v>6.8333333333333313</v>
      </c>
      <c r="M56" s="1378">
        <f>'5. Financials'!$AT$48+'5. Financials'!$AT$56</f>
        <v>96.813888888888854</v>
      </c>
      <c r="N56" s="1378"/>
      <c r="O56" s="1378">
        <f>'2.0 Patients'!$BF$86+'2.0 Patients'!$BF$88</f>
        <v>8.4166666666666607</v>
      </c>
      <c r="P56" s="1378">
        <f>'5. Financials'!$BF$48+'5. Financials'!$BF$56</f>
        <v>120.68333333333327</v>
      </c>
      <c r="Q56" s="1378"/>
      <c r="R56" s="1378">
        <f>'2.0 Patients'!$BR$86+'2.0 Patients'!$BR$88</f>
        <v>9.4166666666666572</v>
      </c>
      <c r="S56" s="1378">
        <f>'5. Financials'!$BR$48+'5. Financials'!$BR$56</f>
        <v>133.68333333333322</v>
      </c>
      <c r="U56" s="1350"/>
    </row>
    <row r="57" spans="2:21">
      <c r="B57" s="1350"/>
      <c r="D57" s="1355">
        <v>6</v>
      </c>
      <c r="E57" s="1355"/>
      <c r="F57" s="1376">
        <f>'2.0 Patients'!$W$86+'2.0 Patients'!$W$88</f>
        <v>2</v>
      </c>
      <c r="G57" s="1376">
        <f>'5. Financials'!$W$48+'5. Financials'!$W$56</f>
        <v>31.633333333333333</v>
      </c>
      <c r="H57" s="1376"/>
      <c r="I57" s="1378">
        <f>'2.0 Patients'!$AI$86+'2.0 Patients'!$AI$88</f>
        <v>4.5</v>
      </c>
      <c r="J57" s="1378">
        <f>'5. Financials'!$AI$48+'5. Financials'!$AI$56</f>
        <v>64.133333333333326</v>
      </c>
      <c r="K57" s="1378"/>
      <c r="L57" s="1378">
        <f>'2.0 Patients'!$AU$86+'2.0 Patients'!$AU$88</f>
        <v>6.9999999999999982</v>
      </c>
      <c r="M57" s="1378">
        <f>'5. Financials'!$AU$48+'5. Financials'!$AU$56</f>
        <v>99.44999999999996</v>
      </c>
      <c r="N57" s="1378"/>
      <c r="O57" s="1378">
        <f>'2.0 Patients'!$BG$86+'2.0 Patients'!$BG$88</f>
        <v>8.4999999999999929</v>
      </c>
      <c r="P57" s="1378">
        <f>'5. Financials'!$BG$48+'5. Financials'!$BG$56</f>
        <v>121.76666666666659</v>
      </c>
      <c r="Q57" s="1378"/>
      <c r="R57" s="1378">
        <f>'2.0 Patients'!$BS$86+'2.0 Patients'!$BS$88</f>
        <v>9.4999999999999893</v>
      </c>
      <c r="S57" s="1378">
        <f>'5. Financials'!$BS$48+'5. Financials'!$BS$56</f>
        <v>134.76666666666654</v>
      </c>
      <c r="U57" s="1350"/>
    </row>
    <row r="58" spans="2:21">
      <c r="B58" s="1350"/>
      <c r="D58" s="1355">
        <v>7</v>
      </c>
      <c r="E58" s="1355"/>
      <c r="F58" s="1376">
        <f>'2.0 Patients'!$X$86+'2.0 Patients'!$X$88</f>
        <v>2.1666666666666665</v>
      </c>
      <c r="G58" s="1376">
        <f>'5. Financials'!$X$48+'5. Financials'!$X$56</f>
        <v>33.799999999999997</v>
      </c>
      <c r="H58" s="1376"/>
      <c r="I58" s="1378">
        <f>'2.0 Patients'!$AJ$86+'2.0 Patients'!$AJ$88</f>
        <v>4.75</v>
      </c>
      <c r="J58" s="1378">
        <f>'5. Financials'!$AJ$48+'5. Financials'!$AJ$56</f>
        <v>67.383333333333326</v>
      </c>
      <c r="K58" s="1378"/>
      <c r="L58" s="1378">
        <f>'2.0 Patients'!$AV$86+'2.0 Patients'!$AV$88</f>
        <v>7.1666666666666643</v>
      </c>
      <c r="M58" s="1378">
        <f>'5. Financials'!$AV$48+'5. Financials'!$AV$56</f>
        <v>102.08611111111107</v>
      </c>
      <c r="N58" s="1378"/>
      <c r="O58" s="1378">
        <f>'2.0 Patients'!$BH$86+'2.0 Patients'!$BH$88</f>
        <v>8.5833333333333268</v>
      </c>
      <c r="P58" s="1378">
        <f>'5. Financials'!$BH$48+'5. Financials'!$BH$56</f>
        <v>122.84999999999991</v>
      </c>
      <c r="Q58" s="1378"/>
      <c r="R58" s="1378">
        <f>'2.0 Patients'!$BT$86+'2.0 Patients'!$BT$88</f>
        <v>9.5833333333333233</v>
      </c>
      <c r="S58" s="1378">
        <f>'5. Financials'!$BT$48+'5. Financials'!$BT$56</f>
        <v>135.84999999999985</v>
      </c>
      <c r="U58" s="1350"/>
    </row>
    <row r="59" spans="2:21">
      <c r="B59" s="1350"/>
      <c r="D59" s="1355">
        <v>8</v>
      </c>
      <c r="E59" s="1355"/>
      <c r="F59" s="1376">
        <f>'2.0 Patients'!$Y$86+'2.0 Patients'!$Y$88</f>
        <v>2.333333333333333</v>
      </c>
      <c r="G59" s="1376">
        <f>'5. Financials'!$Y$48+'5. Financials'!$Y$56</f>
        <v>35.966666666666669</v>
      </c>
      <c r="H59" s="1376"/>
      <c r="I59" s="1378">
        <f>'2.0 Patients'!$AK$86+'2.0 Patients'!$AK$88</f>
        <v>5</v>
      </c>
      <c r="J59" s="1378">
        <f>'5. Financials'!$AK$48+'5. Financials'!$AK$56</f>
        <v>70.633333333333326</v>
      </c>
      <c r="K59" s="1378"/>
      <c r="L59" s="1378">
        <f>'2.0 Patients'!$AW$86+'2.0 Patients'!$AW$88</f>
        <v>7.3333333333333304</v>
      </c>
      <c r="M59" s="1378">
        <f>'5. Financials'!$AW$48+'5. Financials'!$AW$56</f>
        <v>104.72222222222219</v>
      </c>
      <c r="N59" s="1378"/>
      <c r="O59" s="1378">
        <f>'2.0 Patients'!$BI$86+'2.0 Patients'!$BI$88</f>
        <v>8.6666666666666607</v>
      </c>
      <c r="P59" s="1378">
        <f>'5. Financials'!$BI$48+'5. Financials'!$BI$56</f>
        <v>123.93333333333324</v>
      </c>
      <c r="Q59" s="1378"/>
      <c r="R59" s="1378">
        <f>'2.0 Patients'!$BU$86+'2.0 Patients'!$BU$88</f>
        <v>9.6666666666666572</v>
      </c>
      <c r="S59" s="1378">
        <f>'5. Financials'!$BU$48+'5. Financials'!$BU$56</f>
        <v>136.93333333333322</v>
      </c>
      <c r="U59" s="1350"/>
    </row>
    <row r="60" spans="2:21">
      <c r="B60" s="1350"/>
      <c r="D60" s="1355">
        <v>9</v>
      </c>
      <c r="E60" s="1355"/>
      <c r="F60" s="1376">
        <f>'2.0 Patients'!$Z$86+'2.0 Patients'!$Z$88</f>
        <v>2.5</v>
      </c>
      <c r="G60" s="1376">
        <f>'5. Financials'!$Z$48+'5. Financials'!$Z$56</f>
        <v>38.133333333333333</v>
      </c>
      <c r="H60" s="1376"/>
      <c r="I60" s="1378">
        <f>'2.0 Patients'!$AL$86+'2.0 Patients'!$AL$88</f>
        <v>5.25</v>
      </c>
      <c r="J60" s="1378">
        <f>'5. Financials'!$AL$48+'5. Financials'!$AL$56</f>
        <v>73.883333333333326</v>
      </c>
      <c r="K60" s="1378"/>
      <c r="L60" s="1378">
        <f>'2.0 Patients'!$AX$86+'2.0 Patients'!$AX$88</f>
        <v>7.4999999999999964</v>
      </c>
      <c r="M60" s="1378">
        <f>'5. Financials'!$AX$48+'5. Financials'!$AX$56</f>
        <v>107.35833333333329</v>
      </c>
      <c r="N60" s="1378"/>
      <c r="O60" s="1378">
        <f>'2.0 Patients'!$BJ$86+'2.0 Patients'!$BJ$88</f>
        <v>8.7499999999999929</v>
      </c>
      <c r="P60" s="1378">
        <f>'5. Financials'!$BJ$48+'5. Financials'!$BJ$56</f>
        <v>125.01666666666658</v>
      </c>
      <c r="Q60" s="1378"/>
      <c r="R60" s="1378">
        <f>'2.0 Patients'!$BV$86+'2.0 Patients'!$BV$88</f>
        <v>9.7499999999999893</v>
      </c>
      <c r="S60" s="1378">
        <f>'5. Financials'!$BV$48+'5. Financials'!$BV$56</f>
        <v>138.01666666666654</v>
      </c>
      <c r="U60" s="1350"/>
    </row>
    <row r="61" spans="2:21">
      <c r="B61" s="1350"/>
      <c r="D61" s="1355">
        <v>10</v>
      </c>
      <c r="E61" s="1355"/>
      <c r="F61" s="1376">
        <f>'2.0 Patients'!$AA$86+'2.0 Patients'!$AA$88</f>
        <v>2.666666666666667</v>
      </c>
      <c r="G61" s="1376">
        <f>'5. Financials'!$AA$48+'5. Financials'!$AA$56</f>
        <v>40.299999999999997</v>
      </c>
      <c r="H61" s="1376"/>
      <c r="I61" s="1378">
        <f>'2.0 Patients'!$AM$86+'2.0 Patients'!$AM$88</f>
        <v>5.5</v>
      </c>
      <c r="J61" s="1378">
        <f>'5. Financials'!$AM$48+'5. Financials'!$AM$56</f>
        <v>77.133333333333326</v>
      </c>
      <c r="K61" s="1378"/>
      <c r="L61" s="1378">
        <f>'2.0 Patients'!$AY$86+'2.0 Patients'!$AY$88</f>
        <v>7.6666666666666625</v>
      </c>
      <c r="M61" s="1378">
        <f>'5. Financials'!$AY$48+'5. Financials'!$AY$56</f>
        <v>109.9944444444444</v>
      </c>
      <c r="N61" s="1378"/>
      <c r="O61" s="1378">
        <f>'2.0 Patients'!$BK$86+'2.0 Patients'!$BK$88</f>
        <v>8.833333333333325</v>
      </c>
      <c r="P61" s="1378">
        <f>'5. Financials'!$BK$48+'5. Financials'!$BK$56</f>
        <v>126.09999999999989</v>
      </c>
      <c r="Q61" s="1378"/>
      <c r="R61" s="1378">
        <f>'2.0 Patients'!$BW$86+'2.0 Patients'!$BW$88</f>
        <v>9.8333333333333215</v>
      </c>
      <c r="S61" s="1378">
        <f>'5. Financials'!$BW$48+'5. Financials'!$BW$56</f>
        <v>139.09999999999985</v>
      </c>
      <c r="U61" s="1350"/>
    </row>
    <row r="62" spans="2:21">
      <c r="B62" s="1350"/>
      <c r="D62" s="1355">
        <v>11</v>
      </c>
      <c r="E62" s="1355"/>
      <c r="F62" s="1376">
        <f>'2.0 Patients'!$AB$86+'2.0 Patients'!$AB$88</f>
        <v>2.8333333333333335</v>
      </c>
      <c r="G62" s="1376">
        <f>'5. Financials'!$AB$48+'5. Financials'!$AB$56</f>
        <v>42.466666666666669</v>
      </c>
      <c r="H62" s="1376"/>
      <c r="I62" s="1378">
        <f>'2.0 Patients'!$AN$86+'2.0 Patients'!$AN$88</f>
        <v>5.75</v>
      </c>
      <c r="J62" s="1378">
        <f>'5. Financials'!$AN$48+'5. Financials'!$AN$56</f>
        <v>80.383333333333326</v>
      </c>
      <c r="K62" s="1378"/>
      <c r="L62" s="1378">
        <f>'2.0 Patients'!$AZ$86+'2.0 Patients'!$AZ$88</f>
        <v>7.8333333333333295</v>
      </c>
      <c r="M62" s="1378">
        <f>'5. Financials'!$AZ$48+'5. Financials'!$AZ$56</f>
        <v>112.63055555555549</v>
      </c>
      <c r="N62" s="1378"/>
      <c r="O62" s="1378">
        <f>'2.0 Patients'!$BL$86+'2.0 Patients'!$BL$88</f>
        <v>8.916666666666659</v>
      </c>
      <c r="P62" s="1378">
        <f>'5. Financials'!$BL$48+'5. Financials'!$BL$56</f>
        <v>127.18333333333322</v>
      </c>
      <c r="Q62" s="1378"/>
      <c r="R62" s="1378">
        <f>'2.0 Patients'!$BX$86+'2.0 Patients'!$BX$88</f>
        <v>9.9166666666666554</v>
      </c>
      <c r="S62" s="1378">
        <f>'5. Financials'!$BX$48+'5. Financials'!$BX$56</f>
        <v>140.18333333333317</v>
      </c>
      <c r="U62" s="1350"/>
    </row>
    <row r="63" spans="2:21">
      <c r="B63" s="1350"/>
      <c r="D63" s="1355">
        <v>12</v>
      </c>
      <c r="E63" s="1355"/>
      <c r="F63" s="1376">
        <f>'2.0 Patients'!$AC$86+'2.0 Patients'!$AC$88</f>
        <v>3</v>
      </c>
      <c r="G63" s="1379">
        <f>'5. Financials'!$AC$48+'5. Financials'!$AC$56</f>
        <v>44.633333333333333</v>
      </c>
      <c r="H63" s="1376"/>
      <c r="I63" s="1378">
        <f>'2.0 Patients'!$AO$86+'2.0 Patients'!$AO$88</f>
        <v>6</v>
      </c>
      <c r="J63" s="1380">
        <f>'5. Financials'!$AO$48+'5. Financials'!$AO$56</f>
        <v>83.633333333333326</v>
      </c>
      <c r="K63" s="1378"/>
      <c r="L63" s="1378">
        <f>'2.0 Patients'!$BA$86+'2.0 Patients'!$BA$88</f>
        <v>7.9999999999999956</v>
      </c>
      <c r="M63" s="1380">
        <f>'5. Financials'!$BA$48+'5. Financials'!$BA$56</f>
        <v>115.26666666666661</v>
      </c>
      <c r="N63" s="1378"/>
      <c r="O63" s="1378">
        <f>'2.0 Patients'!$BM$86+'2.0 Patients'!$BM$88</f>
        <v>8.9999999999999929</v>
      </c>
      <c r="P63" s="1380">
        <f>'5. Financials'!$BM$48+'5. Financials'!$BM$56</f>
        <v>128.26666666666654</v>
      </c>
      <c r="Q63" s="1378"/>
      <c r="R63" s="1378">
        <f>'2.0 Patients'!$BY$86+'2.0 Patients'!$BY$88</f>
        <v>9.9999999999999893</v>
      </c>
      <c r="S63" s="1380">
        <f>'5. Financials'!$BY$48+'5. Financials'!$BY$56</f>
        <v>141.26666666666654</v>
      </c>
      <c r="U63" s="1350"/>
    </row>
    <row r="64" spans="2:21" ht="12" thickBot="1">
      <c r="B64" s="1350"/>
      <c r="D64" s="1355" t="s">
        <v>3932</v>
      </c>
      <c r="E64" s="1355"/>
      <c r="F64" s="288"/>
      <c r="G64" s="1381">
        <f>SUM(G51:G63)</f>
        <v>392.6</v>
      </c>
      <c r="H64" s="1382"/>
      <c r="I64" s="1386"/>
      <c r="J64" s="1381">
        <f>SUM(J52:J63)</f>
        <v>789.1</v>
      </c>
      <c r="K64" s="1382"/>
      <c r="L64" s="1386"/>
      <c r="M64" s="1381">
        <f>SUM(M52:M63)</f>
        <v>1209.2166666666665</v>
      </c>
      <c r="N64" s="1382"/>
      <c r="O64" s="1386"/>
      <c r="P64" s="1381">
        <f>SUM(P52:P63)</f>
        <v>1467.6999999999989</v>
      </c>
      <c r="Q64" s="1382"/>
      <c r="R64" s="1386"/>
      <c r="S64" s="1381">
        <f>SUM(S52:S63)</f>
        <v>1623.6999999999985</v>
      </c>
      <c r="U64" s="1350"/>
    </row>
    <row r="65" spans="2:21" ht="12" thickTop="1">
      <c r="B65" s="1350"/>
      <c r="F65" s="288"/>
      <c r="G65" s="288"/>
      <c r="H65" s="288"/>
      <c r="I65" s="288"/>
      <c r="J65" s="288"/>
      <c r="K65" s="288"/>
      <c r="L65" s="288"/>
      <c r="M65" s="288"/>
      <c r="N65" s="288"/>
      <c r="O65" s="288"/>
      <c r="P65" s="288"/>
      <c r="Q65" s="288"/>
      <c r="R65" s="288"/>
      <c r="S65" s="288"/>
      <c r="U65" s="1350"/>
    </row>
    <row r="66" spans="2:21">
      <c r="B66" s="1350"/>
      <c r="D66" s="1357"/>
      <c r="E66" s="1357"/>
      <c r="F66" s="1357"/>
      <c r="G66" s="1372"/>
      <c r="H66" s="1372"/>
      <c r="I66" s="1372"/>
      <c r="J66" s="1372"/>
      <c r="K66" s="1372"/>
      <c r="L66" s="1372"/>
      <c r="M66" s="1372"/>
      <c r="N66" s="1372"/>
      <c r="O66" s="1372"/>
      <c r="P66" s="1372"/>
      <c r="Q66" s="1372"/>
      <c r="R66" s="1372"/>
      <c r="S66" s="1372"/>
      <c r="U66" s="1350"/>
    </row>
    <row r="67" spans="2:21">
      <c r="B67" s="1350"/>
      <c r="D67" s="1357"/>
      <c r="E67" s="1357"/>
      <c r="F67" s="1357"/>
      <c r="G67" s="1372"/>
      <c r="H67" s="1372"/>
      <c r="I67" s="1372"/>
      <c r="J67" s="1372"/>
      <c r="K67" s="1372"/>
      <c r="L67" s="1372"/>
      <c r="M67" s="1372"/>
      <c r="N67" s="1372"/>
      <c r="O67" s="1372"/>
      <c r="P67" s="1372"/>
      <c r="Q67" s="1372"/>
      <c r="R67" s="1372"/>
      <c r="S67" s="1372"/>
      <c r="U67" s="1350"/>
    </row>
    <row r="68" spans="2:21">
      <c r="B68" s="1350"/>
      <c r="D68" s="1356" t="s">
        <v>2292</v>
      </c>
      <c r="E68" s="1356"/>
      <c r="F68" s="1357"/>
      <c r="G68" s="1372"/>
      <c r="H68" s="1372"/>
      <c r="I68" s="1372"/>
      <c r="J68" s="1372"/>
      <c r="K68" s="1372"/>
      <c r="L68" s="1372"/>
      <c r="M68" s="1372"/>
      <c r="N68" s="1372"/>
      <c r="O68" s="1372"/>
      <c r="P68" s="1372"/>
      <c r="Q68" s="1372"/>
      <c r="R68" s="1372"/>
      <c r="S68" s="1372"/>
      <c r="U68" s="1350"/>
    </row>
    <row r="69" spans="2:21">
      <c r="B69" s="1350"/>
      <c r="D69" s="1357"/>
      <c r="E69" s="1357"/>
      <c r="F69" s="1357"/>
      <c r="G69" s="1374" t="s">
        <v>1090</v>
      </c>
      <c r="H69" s="1388"/>
      <c r="I69" s="1388"/>
      <c r="J69" s="1374" t="s">
        <v>1091</v>
      </c>
      <c r="K69" s="1388"/>
      <c r="L69" s="1388"/>
      <c r="M69" s="1374" t="s">
        <v>2165</v>
      </c>
      <c r="N69" s="1388"/>
      <c r="O69" s="1388"/>
      <c r="P69" s="1374" t="s">
        <v>2166</v>
      </c>
      <c r="Q69" s="1388"/>
      <c r="R69" s="1388"/>
      <c r="S69" s="1374" t="s">
        <v>2167</v>
      </c>
      <c r="U69" s="1350"/>
    </row>
    <row r="70" spans="2:21">
      <c r="B70" s="1350"/>
      <c r="D70" s="1357"/>
      <c r="E70" s="1357"/>
      <c r="F70" s="1357"/>
      <c r="G70" s="1388"/>
      <c r="H70" s="1388"/>
      <c r="I70" s="1388"/>
      <c r="J70" s="1388"/>
      <c r="K70" s="1388"/>
      <c r="L70" s="1388"/>
      <c r="M70" s="1388"/>
      <c r="N70" s="1388"/>
      <c r="O70" s="1388"/>
      <c r="P70" s="1388"/>
      <c r="Q70" s="1388"/>
      <c r="R70" s="1388"/>
      <c r="S70" s="1388"/>
      <c r="U70" s="1350"/>
    </row>
    <row r="71" spans="2:21">
      <c r="B71" s="1350"/>
      <c r="D71" s="1184" t="s">
        <v>210</v>
      </c>
      <c r="E71" s="1184"/>
      <c r="F71" s="1357"/>
      <c r="G71" s="1391">
        <f>F11</f>
        <v>1</v>
      </c>
      <c r="H71" s="1391"/>
      <c r="I71" s="1391"/>
      <c r="J71" s="1391">
        <f>F23</f>
        <v>26.000000000000004</v>
      </c>
      <c r="K71" s="1391"/>
      <c r="L71" s="1391"/>
      <c r="M71" s="1391">
        <f>I23</f>
        <v>46</v>
      </c>
      <c r="N71" s="1391"/>
      <c r="O71" s="1391"/>
      <c r="P71" s="1391">
        <f>L23</f>
        <v>59</v>
      </c>
      <c r="Q71" s="1391"/>
      <c r="R71" s="1391"/>
      <c r="S71" s="1391">
        <f>O23</f>
        <v>72</v>
      </c>
      <c r="U71" s="1350"/>
    </row>
    <row r="72" spans="2:21">
      <c r="B72" s="1350"/>
      <c r="D72" s="1358" t="str">
        <f>"Less "&amp;TEXT(W9,"0.0%")&amp;" Mortality"</f>
        <v>Less 7.6% Mortality</v>
      </c>
      <c r="E72" s="1358"/>
      <c r="F72" s="1357"/>
      <c r="G72" s="1391">
        <f>ROUND(G73*$W$9,0)</f>
        <v>2</v>
      </c>
      <c r="H72" s="1391"/>
      <c r="I72" s="1391"/>
      <c r="J72" s="1391">
        <f>ROUND(J73*$W$9,0)</f>
        <v>3</v>
      </c>
      <c r="K72" s="1391"/>
      <c r="L72" s="1391"/>
      <c r="M72" s="1391">
        <f>ROUND(M73*$W$9,0)</f>
        <v>4</v>
      </c>
      <c r="N72" s="1391"/>
      <c r="O72" s="1391"/>
      <c r="P72" s="1391">
        <f>ROUND(P73*$W$9,0)</f>
        <v>5</v>
      </c>
      <c r="Q72" s="1391"/>
      <c r="R72" s="1391"/>
      <c r="S72" s="1391">
        <f>ROUND(S73*$W$9,0)</f>
        <v>6</v>
      </c>
      <c r="U72" s="1350"/>
    </row>
    <row r="73" spans="2:21">
      <c r="B73" s="1350"/>
      <c r="D73" s="1184" t="s">
        <v>211</v>
      </c>
      <c r="E73" s="1184"/>
      <c r="F73" s="1357"/>
      <c r="G73" s="1389">
        <f>F23</f>
        <v>26.000000000000004</v>
      </c>
      <c r="H73" s="1391"/>
      <c r="I73" s="1391"/>
      <c r="J73" s="1389">
        <f>I23</f>
        <v>46</v>
      </c>
      <c r="K73" s="1391"/>
      <c r="L73" s="1391"/>
      <c r="M73" s="1389">
        <f>L23</f>
        <v>59</v>
      </c>
      <c r="N73" s="1391"/>
      <c r="O73" s="1391"/>
      <c r="P73" s="1389">
        <f>O23</f>
        <v>72</v>
      </c>
      <c r="Q73" s="1391"/>
      <c r="R73" s="1391"/>
      <c r="S73" s="1389">
        <f>R23</f>
        <v>81.000000000000043</v>
      </c>
      <c r="U73" s="1350"/>
    </row>
    <row r="74" spans="2:21" ht="12" thickBot="1">
      <c r="B74" s="1350"/>
      <c r="D74" s="1359" t="s">
        <v>212</v>
      </c>
      <c r="E74" s="1359"/>
      <c r="F74" s="1392"/>
      <c r="G74" s="1390">
        <f>G73-(G71-G72)</f>
        <v>27.000000000000004</v>
      </c>
      <c r="H74" s="1362"/>
      <c r="I74" s="1362"/>
      <c r="J74" s="1390">
        <f>J73-(J71-J72)</f>
        <v>22.999999999999996</v>
      </c>
      <c r="K74" s="1362"/>
      <c r="L74" s="1362"/>
      <c r="M74" s="1390">
        <f>M73-(M71-M72)</f>
        <v>17</v>
      </c>
      <c r="N74" s="1362"/>
      <c r="O74" s="1362"/>
      <c r="P74" s="1390">
        <f>P73-(P71-P72)</f>
        <v>18</v>
      </c>
      <c r="Q74" s="1362"/>
      <c r="R74" s="1362"/>
      <c r="S74" s="1390">
        <f>S73-(S71-S72)</f>
        <v>15.000000000000043</v>
      </c>
      <c r="U74" s="1350"/>
    </row>
    <row r="75" spans="2:21" ht="12" thickTop="1">
      <c r="B75" s="1350"/>
      <c r="D75" s="1357"/>
      <c r="E75" s="1357"/>
      <c r="F75" s="1357"/>
      <c r="G75" s="1388"/>
      <c r="H75" s="1388"/>
      <c r="I75" s="1388"/>
      <c r="J75" s="1388"/>
      <c r="K75" s="1388"/>
      <c r="L75" s="1388"/>
      <c r="M75" s="1388"/>
      <c r="N75" s="1388"/>
      <c r="O75" s="1388"/>
      <c r="P75" s="1388"/>
      <c r="Q75" s="1388"/>
      <c r="R75" s="1388"/>
      <c r="S75" s="1388"/>
      <c r="U75" s="1350"/>
    </row>
    <row r="76" spans="2:21">
      <c r="B76" s="1350"/>
      <c r="D76" s="1357"/>
      <c r="E76" s="1357"/>
      <c r="F76" s="1357"/>
      <c r="G76" s="1388"/>
      <c r="H76" s="1388"/>
      <c r="I76" s="1388"/>
      <c r="J76" s="1388"/>
      <c r="K76" s="1388"/>
      <c r="L76" s="1388"/>
      <c r="M76" s="1388"/>
      <c r="N76" s="1388"/>
      <c r="O76" s="1388"/>
      <c r="P76" s="1388"/>
      <c r="Q76" s="1388"/>
      <c r="R76" s="1388"/>
      <c r="S76" s="1388"/>
      <c r="U76" s="1350"/>
    </row>
    <row r="77" spans="2:21">
      <c r="B77" s="1350"/>
      <c r="D77" s="1356" t="s">
        <v>2293</v>
      </c>
      <c r="E77" s="1359"/>
      <c r="F77" s="1357"/>
      <c r="G77" s="1388"/>
      <c r="H77" s="1388"/>
      <c r="I77" s="1388"/>
      <c r="J77" s="1388"/>
      <c r="K77" s="1388"/>
      <c r="L77" s="1388"/>
      <c r="M77" s="1388"/>
      <c r="N77" s="1388"/>
      <c r="O77" s="1388"/>
      <c r="P77" s="1388"/>
      <c r="Q77" s="1388"/>
      <c r="R77" s="1388"/>
      <c r="S77" s="1388"/>
      <c r="U77" s="1350"/>
    </row>
    <row r="78" spans="2:21">
      <c r="B78" s="1350"/>
      <c r="D78" s="1357"/>
      <c r="E78" s="1357"/>
      <c r="F78" s="1357"/>
      <c r="G78" s="1374" t="s">
        <v>1090</v>
      </c>
      <c r="H78" s="1388"/>
      <c r="I78" s="1388"/>
      <c r="J78" s="1374" t="s">
        <v>1091</v>
      </c>
      <c r="K78" s="1388"/>
      <c r="L78" s="1388"/>
      <c r="M78" s="1374" t="s">
        <v>2165</v>
      </c>
      <c r="N78" s="1388"/>
      <c r="O78" s="1388"/>
      <c r="P78" s="1374" t="s">
        <v>2166</v>
      </c>
      <c r="Q78" s="1388"/>
      <c r="R78" s="1388"/>
      <c r="S78" s="1374" t="s">
        <v>2167</v>
      </c>
      <c r="U78" s="1350"/>
    </row>
    <row r="79" spans="2:21">
      <c r="B79" s="1350"/>
      <c r="D79" s="1357"/>
      <c r="E79" s="1357"/>
      <c r="F79" s="1357"/>
      <c r="G79" s="1388"/>
      <c r="H79" s="1388"/>
      <c r="I79" s="1388"/>
      <c r="J79" s="1388"/>
      <c r="K79" s="1388"/>
      <c r="L79" s="1388"/>
      <c r="M79" s="1388"/>
      <c r="N79" s="1388"/>
      <c r="O79" s="1388"/>
      <c r="P79" s="1388"/>
      <c r="Q79" s="1388"/>
      <c r="R79" s="1388"/>
      <c r="S79" s="1388"/>
      <c r="U79" s="1350"/>
    </row>
    <row r="80" spans="2:21">
      <c r="B80" s="1350"/>
      <c r="D80" s="1184" t="s">
        <v>210</v>
      </c>
      <c r="E80" s="1184"/>
      <c r="F80" s="1357"/>
      <c r="G80" s="1391">
        <f>F31</f>
        <v>1</v>
      </c>
      <c r="H80" s="1391"/>
      <c r="I80" s="1391"/>
      <c r="J80" s="1391">
        <f>F43</f>
        <v>7</v>
      </c>
      <c r="K80" s="1391"/>
      <c r="L80" s="1391"/>
      <c r="M80" s="1391">
        <f>I43</f>
        <v>12.999999999999996</v>
      </c>
      <c r="N80" s="1391"/>
      <c r="O80" s="1391"/>
      <c r="P80" s="1391">
        <f>L43</f>
        <v>17.000000000000004</v>
      </c>
      <c r="Q80" s="1391"/>
      <c r="R80" s="1391"/>
      <c r="S80" s="1391">
        <f>O43</f>
        <v>21.999999999999993</v>
      </c>
      <c r="U80" s="1350"/>
    </row>
    <row r="81" spans="2:21">
      <c r="B81" s="1350"/>
      <c r="D81" s="1358" t="str">
        <f>"Less "&amp;TEXT($W$9,"0%")&amp;" Mortality"</f>
        <v>Less 8% Mortality</v>
      </c>
      <c r="E81" s="1358"/>
      <c r="F81" s="1357"/>
      <c r="G81" s="1391">
        <f>ROUND(G83*$W$9,0)</f>
        <v>1</v>
      </c>
      <c r="H81" s="1391"/>
      <c r="I81" s="1391"/>
      <c r="J81" s="1391">
        <f>ROUND(J83*$W$9,0)</f>
        <v>1</v>
      </c>
      <c r="K81" s="1391"/>
      <c r="L81" s="1391"/>
      <c r="M81" s="1391">
        <f>ROUND(M83*$W$9,0)</f>
        <v>1</v>
      </c>
      <c r="N81" s="1391"/>
      <c r="O81" s="1391"/>
      <c r="P81" s="1391">
        <f>ROUND(P83*$W$9,0)</f>
        <v>2</v>
      </c>
      <c r="Q81" s="1391"/>
      <c r="R81" s="1391"/>
      <c r="S81" s="1391">
        <f>ROUND(S83*$W$9,0)</f>
        <v>2</v>
      </c>
      <c r="U81" s="1350"/>
    </row>
    <row r="82" spans="2:21">
      <c r="B82" s="1350"/>
      <c r="D82" s="1358" t="str">
        <f>"Less "&amp;TEXT($W$10,"0%")&amp;" Pt Modality Trx"</f>
        <v>Less 34% Pt Modality Trx</v>
      </c>
      <c r="E82" s="1358"/>
      <c r="F82" s="1357"/>
      <c r="G82" s="1391">
        <f>ROUND(G83*$W$10,0)</f>
        <v>2</v>
      </c>
      <c r="H82" s="1391"/>
      <c r="I82" s="1391"/>
      <c r="J82" s="1391">
        <f>ROUND(J83*$W$10,0)</f>
        <v>4</v>
      </c>
      <c r="K82" s="1391"/>
      <c r="L82" s="1391"/>
      <c r="M82" s="1391">
        <f>ROUND(M83*$W$10,0)</f>
        <v>6</v>
      </c>
      <c r="N82" s="1391"/>
      <c r="O82" s="1391"/>
      <c r="P82" s="1391">
        <f>ROUND(P83*$W$10,0)</f>
        <v>8</v>
      </c>
      <c r="Q82" s="1391"/>
      <c r="R82" s="1391"/>
      <c r="S82" s="1391">
        <f>ROUND(S83*$W$10,0)</f>
        <v>9</v>
      </c>
      <c r="U82" s="1350"/>
    </row>
    <row r="83" spans="2:21">
      <c r="B83" s="1350"/>
      <c r="D83" s="1184" t="s">
        <v>211</v>
      </c>
      <c r="E83" s="1184"/>
      <c r="F83" s="1357"/>
      <c r="G83" s="1389">
        <f>F43</f>
        <v>7</v>
      </c>
      <c r="H83" s="1391"/>
      <c r="I83" s="1391"/>
      <c r="J83" s="1389">
        <f>I43</f>
        <v>12.999999999999996</v>
      </c>
      <c r="K83" s="1391"/>
      <c r="L83" s="1391"/>
      <c r="M83" s="1389">
        <f>L43</f>
        <v>17.000000000000004</v>
      </c>
      <c r="N83" s="1391"/>
      <c r="O83" s="1391"/>
      <c r="P83" s="1389">
        <f>O43</f>
        <v>21.999999999999993</v>
      </c>
      <c r="Q83" s="1391"/>
      <c r="R83" s="1391"/>
      <c r="S83" s="1389">
        <f>R43</f>
        <v>25.000000000000011</v>
      </c>
      <c r="U83" s="1350"/>
    </row>
    <row r="84" spans="2:21" ht="12" thickBot="1">
      <c r="B84" s="1350"/>
      <c r="D84" s="1359" t="s">
        <v>212</v>
      </c>
      <c r="E84" s="1359"/>
      <c r="F84" s="1392"/>
      <c r="G84" s="1390">
        <f>G83-G80+G81+G82</f>
        <v>9</v>
      </c>
      <c r="H84" s="1362"/>
      <c r="I84" s="1362"/>
      <c r="J84" s="1390">
        <f>J83-J80+J81+J82</f>
        <v>10.999999999999996</v>
      </c>
      <c r="K84" s="1362"/>
      <c r="L84" s="1362"/>
      <c r="M84" s="1390">
        <f>M83-M80+M81+M82</f>
        <v>11.000000000000007</v>
      </c>
      <c r="N84" s="1362"/>
      <c r="O84" s="1362"/>
      <c r="P84" s="1390">
        <f>P83-P80+P81+P82</f>
        <v>14.999999999999989</v>
      </c>
      <c r="Q84" s="1362"/>
      <c r="R84" s="1362"/>
      <c r="S84" s="1390">
        <f>S83-S80+S81+S82</f>
        <v>14.000000000000018</v>
      </c>
      <c r="U84" s="1350"/>
    </row>
    <row r="85" spans="2:21" ht="12" thickTop="1">
      <c r="B85" s="1350"/>
      <c r="D85" s="1357"/>
      <c r="E85" s="1357"/>
      <c r="F85" s="1357"/>
      <c r="G85" s="1388"/>
      <c r="H85" s="1388"/>
      <c r="I85" s="1388"/>
      <c r="J85" s="1388"/>
      <c r="K85" s="1388"/>
      <c r="L85" s="1388"/>
      <c r="M85" s="1388"/>
      <c r="N85" s="1388"/>
      <c r="O85" s="1388"/>
      <c r="P85" s="1388"/>
      <c r="Q85" s="1388"/>
      <c r="R85" s="1388"/>
      <c r="S85" s="1388"/>
      <c r="U85" s="1350"/>
    </row>
    <row r="86" spans="2:21">
      <c r="B86" s="1350"/>
      <c r="D86" s="1357"/>
      <c r="E86" s="1357"/>
      <c r="F86" s="1357"/>
      <c r="G86" s="1388"/>
      <c r="H86" s="1388"/>
      <c r="I86" s="1388"/>
      <c r="J86" s="1388"/>
      <c r="K86" s="1388"/>
      <c r="L86" s="1388"/>
      <c r="M86" s="1388"/>
      <c r="N86" s="1388"/>
      <c r="O86" s="1388"/>
      <c r="P86" s="1388"/>
      <c r="Q86" s="1388"/>
      <c r="R86" s="1388"/>
      <c r="S86" s="1388"/>
      <c r="U86" s="1350"/>
    </row>
    <row r="87" spans="2:21">
      <c r="B87" s="1350"/>
      <c r="D87" s="1356" t="s">
        <v>2294</v>
      </c>
      <c r="E87" s="1359"/>
      <c r="F87" s="1357"/>
      <c r="G87" s="1388"/>
      <c r="H87" s="1388"/>
      <c r="I87" s="1388"/>
      <c r="J87" s="1388"/>
      <c r="K87" s="1388"/>
      <c r="L87" s="1388"/>
      <c r="M87" s="1388"/>
      <c r="N87" s="1388"/>
      <c r="O87" s="1388"/>
      <c r="P87" s="1388"/>
      <c r="Q87" s="1388"/>
      <c r="R87" s="1388"/>
      <c r="S87" s="1388"/>
      <c r="U87" s="1350"/>
    </row>
    <row r="88" spans="2:21">
      <c r="B88" s="1350"/>
      <c r="D88" s="1357"/>
      <c r="E88" s="1357"/>
      <c r="F88" s="1357"/>
      <c r="G88" s="1374" t="s">
        <v>1090</v>
      </c>
      <c r="H88" s="1388"/>
      <c r="I88" s="1388"/>
      <c r="J88" s="1374" t="s">
        <v>1091</v>
      </c>
      <c r="K88" s="1388"/>
      <c r="L88" s="1388"/>
      <c r="M88" s="1374" t="s">
        <v>2165</v>
      </c>
      <c r="N88" s="1388"/>
      <c r="O88" s="1388"/>
      <c r="P88" s="1374" t="s">
        <v>2166</v>
      </c>
      <c r="Q88" s="1388"/>
      <c r="R88" s="1388"/>
      <c r="S88" s="1374" t="s">
        <v>2167</v>
      </c>
      <c r="U88" s="1350"/>
    </row>
    <row r="89" spans="2:21">
      <c r="B89" s="1350"/>
      <c r="D89" s="1357"/>
      <c r="E89" s="1357"/>
      <c r="F89" s="1357"/>
      <c r="G89" s="1388"/>
      <c r="H89" s="1388"/>
      <c r="I89" s="1388"/>
      <c r="J89" s="1388"/>
      <c r="K89" s="1388"/>
      <c r="L89" s="1388"/>
      <c r="M89" s="1388"/>
      <c r="N89" s="1388"/>
      <c r="O89" s="1388"/>
      <c r="P89" s="1388"/>
      <c r="Q89" s="1388"/>
      <c r="R89" s="1388"/>
      <c r="S89" s="1388"/>
      <c r="U89" s="1350"/>
    </row>
    <row r="90" spans="2:21">
      <c r="B90" s="1350"/>
      <c r="D90" s="1184" t="s">
        <v>210</v>
      </c>
      <c r="E90" s="1184"/>
      <c r="F90" s="1357"/>
      <c r="G90" s="1391">
        <f>F51</f>
        <v>1</v>
      </c>
      <c r="H90" s="1391"/>
      <c r="I90" s="1391"/>
      <c r="J90" s="1391">
        <f>G93</f>
        <v>3</v>
      </c>
      <c r="K90" s="1391"/>
      <c r="L90" s="1391"/>
      <c r="M90" s="1391">
        <f>J93</f>
        <v>6</v>
      </c>
      <c r="N90" s="1391"/>
      <c r="O90" s="1391"/>
      <c r="P90" s="1391">
        <f>M93</f>
        <v>7.9999999999999956</v>
      </c>
      <c r="Q90" s="1391"/>
      <c r="R90" s="1391"/>
      <c r="S90" s="1391">
        <f>P93</f>
        <v>8.9999999999999929</v>
      </c>
      <c r="U90" s="1350"/>
    </row>
    <row r="91" spans="2:21">
      <c r="B91" s="1350"/>
      <c r="D91" s="1358" t="str">
        <f>"Less "&amp;TEXT($W$9,"0%")&amp;" Mortality"</f>
        <v>Less 8% Mortality</v>
      </c>
      <c r="E91" s="1358"/>
      <c r="F91" s="1357"/>
      <c r="G91" s="1391">
        <f>ROUND(G93*$W$9,0)</f>
        <v>0</v>
      </c>
      <c r="H91" s="1391"/>
      <c r="I91" s="1391"/>
      <c r="J91" s="1391">
        <f>ROUND(J93*$W$9,0)</f>
        <v>0</v>
      </c>
      <c r="K91" s="1391"/>
      <c r="L91" s="1391"/>
      <c r="M91" s="1391">
        <f>ROUND(M93*$W$9,0)</f>
        <v>1</v>
      </c>
      <c r="N91" s="1391"/>
      <c r="O91" s="1391"/>
      <c r="P91" s="1391">
        <f>ROUND(P93*$W$9,0)</f>
        <v>1</v>
      </c>
      <c r="Q91" s="1391"/>
      <c r="R91" s="1391"/>
      <c r="S91" s="1391">
        <f>ROUND(S93*$W$9,0)</f>
        <v>1</v>
      </c>
      <c r="U91" s="1350"/>
    </row>
    <row r="92" spans="2:21">
      <c r="B92" s="1350"/>
      <c r="D92" s="1358" t="str">
        <f>"Less "&amp;TEXT($W$10,"0%")&amp;" Pt Modality Trx"</f>
        <v>Less 34% Pt Modality Trx</v>
      </c>
      <c r="E92" s="1358"/>
      <c r="F92" s="1357"/>
      <c r="G92" s="1391">
        <f>ROUND(G93*$W$10,0)</f>
        <v>1</v>
      </c>
      <c r="H92" s="1391"/>
      <c r="I92" s="1391"/>
      <c r="J92" s="1391">
        <f>ROUND(J93*$W$10,0)</f>
        <v>2</v>
      </c>
      <c r="K92" s="1391"/>
      <c r="L92" s="1391"/>
      <c r="M92" s="1391">
        <f>ROUND(M93*$W$10,0)</f>
        <v>3</v>
      </c>
      <c r="N92" s="1391"/>
      <c r="O92" s="1391"/>
      <c r="P92" s="1391">
        <f>ROUND(P93*$W$10,0)</f>
        <v>3</v>
      </c>
      <c r="Q92" s="1391"/>
      <c r="R92" s="1391"/>
      <c r="S92" s="1391">
        <f>ROUND(S93*$W$10,0)</f>
        <v>3</v>
      </c>
      <c r="U92" s="1350"/>
    </row>
    <row r="93" spans="2:21">
      <c r="B93" s="1350"/>
      <c r="D93" s="1184" t="s">
        <v>1217</v>
      </c>
      <c r="E93" s="1184"/>
      <c r="F93" s="1357"/>
      <c r="G93" s="1389">
        <f>F63</f>
        <v>3</v>
      </c>
      <c r="H93" s="1391"/>
      <c r="I93" s="1391"/>
      <c r="J93" s="1389">
        <f>I63</f>
        <v>6</v>
      </c>
      <c r="K93" s="1391"/>
      <c r="L93" s="1391"/>
      <c r="M93" s="1389">
        <f>L63</f>
        <v>7.9999999999999956</v>
      </c>
      <c r="N93" s="1391"/>
      <c r="O93" s="1391"/>
      <c r="P93" s="1389">
        <f>O63</f>
        <v>8.9999999999999929</v>
      </c>
      <c r="Q93" s="1391"/>
      <c r="R93" s="1391"/>
      <c r="S93" s="1389">
        <f>R63</f>
        <v>9.9999999999999893</v>
      </c>
      <c r="U93" s="1350"/>
    </row>
    <row r="94" spans="2:21" ht="12" thickBot="1">
      <c r="B94" s="1350"/>
      <c r="D94" s="1359" t="s">
        <v>212</v>
      </c>
      <c r="E94" s="1359"/>
      <c r="F94" s="1392"/>
      <c r="G94" s="1390">
        <f>G93-G90+G91+G92</f>
        <v>3</v>
      </c>
      <c r="H94" s="1362"/>
      <c r="I94" s="1362"/>
      <c r="J94" s="1390">
        <f>J93-J90+J91+J92</f>
        <v>5</v>
      </c>
      <c r="K94" s="1362"/>
      <c r="L94" s="1362"/>
      <c r="M94" s="1390">
        <f>M93-M90+M91+M92</f>
        <v>5.9999999999999956</v>
      </c>
      <c r="N94" s="1362"/>
      <c r="O94" s="1362"/>
      <c r="P94" s="1390">
        <f>P93-P90+P91+P92</f>
        <v>4.9999999999999973</v>
      </c>
      <c r="Q94" s="1362"/>
      <c r="R94" s="1362"/>
      <c r="S94" s="1390">
        <f>S93-S90+S91+S92</f>
        <v>4.9999999999999964</v>
      </c>
      <c r="U94" s="1350"/>
    </row>
    <row r="95" spans="2:21" ht="12" thickTop="1">
      <c r="B95" s="1350"/>
      <c r="D95" s="1357"/>
      <c r="E95" s="1357"/>
      <c r="F95" s="1357"/>
      <c r="G95" s="1388"/>
      <c r="H95" s="1388"/>
      <c r="I95" s="1388"/>
      <c r="J95" s="1388"/>
      <c r="K95" s="1388"/>
      <c r="L95" s="1388"/>
      <c r="M95" s="1388"/>
      <c r="N95" s="1388"/>
      <c r="O95" s="1388"/>
      <c r="P95" s="1388"/>
      <c r="Q95" s="1388"/>
      <c r="R95" s="1388"/>
      <c r="S95" s="1388"/>
      <c r="U95" s="1350"/>
    </row>
    <row r="96" spans="2:21">
      <c r="B96" s="1350"/>
      <c r="F96" s="1360"/>
      <c r="I96" s="1360"/>
      <c r="L96" s="1360"/>
      <c r="O96" s="1360"/>
      <c r="R96" s="1360"/>
      <c r="U96" s="1350"/>
    </row>
    <row r="97" spans="2:21">
      <c r="B97" s="1350"/>
      <c r="C97" s="1350"/>
      <c r="D97" s="1350"/>
      <c r="E97" s="1350"/>
      <c r="F97" s="1350"/>
      <c r="G97" s="1350"/>
      <c r="H97" s="1350"/>
      <c r="I97" s="1350"/>
      <c r="J97" s="1350"/>
      <c r="K97" s="1350"/>
      <c r="L97" s="1350"/>
      <c r="M97" s="1350"/>
      <c r="N97" s="1350"/>
      <c r="O97" s="1350"/>
      <c r="P97" s="1350"/>
      <c r="Q97" s="1350"/>
      <c r="R97" s="1350"/>
      <c r="S97" s="1350"/>
      <c r="T97" s="1350"/>
      <c r="U97" s="1350"/>
    </row>
  </sheetData>
  <phoneticPr fontId="0" type="noConversion"/>
  <printOptions horizontalCentered="1"/>
  <pageMargins left="0.5" right="0.5" top="0.75" bottom="0.75" header="0.3" footer="0.3"/>
  <pageSetup scale="88" orientation="portrait" r:id="rId1"/>
  <headerFooter alignWithMargins="0">
    <oddHeader>&amp;L&amp;8For Discussion Purposes Only&amp;C&amp;8DRAFT - Confidential&amp;R&amp;8Actual Results May Differ From This Forecast</oddHeader>
    <oddFooter>&amp;L&amp;8&amp;F&amp;R&amp;8&amp;D @ &amp;T</oddFooter>
  </headerFooter>
  <rowBreaks count="1" manualBreakCount="1">
    <brk id="66" max="16383" man="1"/>
  </rowBreaks>
</worksheet>
</file>

<file path=xl/worksheets/sheet10.xml><?xml version="1.0" encoding="utf-8"?>
<worksheet xmlns="http://schemas.openxmlformats.org/spreadsheetml/2006/main" xmlns:r="http://schemas.openxmlformats.org/officeDocument/2006/relationships">
  <sheetPr codeName="Sheet17" enableFormatConditionsCalculation="0">
    <tabColor indexed="57"/>
    <pageSetUpPr autoPageBreaks="0"/>
  </sheetPr>
  <dimension ref="B2:O42"/>
  <sheetViews>
    <sheetView showGridLines="0" zoomScaleSheetLayoutView="100" workbookViewId="0"/>
  </sheetViews>
  <sheetFormatPr defaultColWidth="12.5703125" defaultRowHeight="11.25" outlineLevelRow="1"/>
  <cols>
    <col min="1" max="5" width="2.7109375" style="191" customWidth="1"/>
    <col min="6" max="6" width="30.7109375" style="191" customWidth="1"/>
    <col min="7" max="12" width="10.7109375" style="191" customWidth="1"/>
    <col min="13" max="14" width="2.7109375" style="191" customWidth="1"/>
    <col min="15" max="15" width="2.7109375" style="109" customWidth="1"/>
    <col min="16" max="16384" width="12.5703125" style="191"/>
  </cols>
  <sheetData>
    <row r="2" spans="2:15">
      <c r="B2" s="194"/>
      <c r="C2" s="193" t="s">
        <v>1092</v>
      </c>
      <c r="D2" s="194"/>
      <c r="E2" s="194"/>
      <c r="F2" s="194"/>
      <c r="G2" s="194"/>
      <c r="H2" s="194"/>
      <c r="I2" s="194"/>
      <c r="J2" s="194"/>
      <c r="K2" s="194"/>
      <c r="L2" s="194"/>
      <c r="M2" s="194"/>
      <c r="N2" s="194"/>
    </row>
    <row r="3" spans="2:15">
      <c r="B3" s="194"/>
      <c r="D3" s="195"/>
      <c r="E3" s="195"/>
      <c r="F3" s="195"/>
      <c r="G3" s="3010"/>
      <c r="H3" s="3010"/>
      <c r="I3" s="3010"/>
      <c r="J3" s="3010"/>
      <c r="K3" s="3010"/>
      <c r="L3" s="3010"/>
      <c r="N3" s="194"/>
    </row>
    <row r="4" spans="2:15">
      <c r="B4" s="194"/>
      <c r="D4" s="670" t="str">
        <f>PtrCF!D4</f>
        <v>Partnership:  Southbend Downtown</v>
      </c>
      <c r="E4" s="670"/>
      <c r="F4" s="670"/>
      <c r="G4" s="670"/>
      <c r="H4" s="670"/>
      <c r="I4" s="670"/>
      <c r="J4" s="671"/>
      <c r="K4" s="671"/>
      <c r="L4" s="671"/>
      <c r="N4" s="194"/>
    </row>
    <row r="5" spans="2:15">
      <c r="B5" s="194"/>
      <c r="D5" s="670" t="s">
        <v>1093</v>
      </c>
      <c r="E5" s="670"/>
      <c r="F5" s="670"/>
      <c r="G5" s="670"/>
      <c r="H5" s="670"/>
      <c r="I5" s="670"/>
      <c r="J5" s="671"/>
      <c r="K5" s="671"/>
      <c r="L5" s="671"/>
      <c r="N5" s="194"/>
    </row>
    <row r="6" spans="2:15">
      <c r="B6" s="194"/>
      <c r="G6" s="196"/>
      <c r="N6" s="194"/>
    </row>
    <row r="7" spans="2:15" s="206" customFormat="1">
      <c r="B7" s="205"/>
      <c r="G7" s="207"/>
      <c r="H7" s="209"/>
      <c r="I7" s="209"/>
      <c r="J7" s="209"/>
      <c r="K7" s="209"/>
      <c r="L7" s="209"/>
      <c r="N7" s="205"/>
      <c r="O7" s="208"/>
    </row>
    <row r="8" spans="2:15" s="206" customFormat="1">
      <c r="B8" s="205"/>
      <c r="D8" s="210"/>
      <c r="E8" s="210"/>
      <c r="F8" s="210"/>
      <c r="G8" s="211" t="s">
        <v>1857</v>
      </c>
      <c r="H8" s="211" t="s">
        <v>1090</v>
      </c>
      <c r="I8" s="211" t="s">
        <v>1091</v>
      </c>
      <c r="J8" s="211" t="s">
        <v>2165</v>
      </c>
      <c r="K8" s="211" t="s">
        <v>2166</v>
      </c>
      <c r="L8" s="211" t="s">
        <v>2167</v>
      </c>
      <c r="N8" s="205"/>
      <c r="O8" s="208"/>
    </row>
    <row r="9" spans="2:15" s="219" customFormat="1">
      <c r="B9" s="233"/>
      <c r="D9" s="673"/>
      <c r="E9" s="234"/>
      <c r="F9" s="234"/>
      <c r="G9" s="235"/>
      <c r="H9" s="235"/>
      <c r="I9" s="235"/>
      <c r="J9" s="235"/>
      <c r="K9" s="235"/>
      <c r="L9" s="235"/>
      <c r="N9" s="233"/>
      <c r="O9" s="236"/>
    </row>
    <row r="10" spans="2:15" s="219" customFormat="1">
      <c r="B10" s="233"/>
      <c r="D10" s="672" t="s">
        <v>1413</v>
      </c>
      <c r="E10" s="234"/>
      <c r="F10" s="234"/>
      <c r="G10" s="235"/>
      <c r="H10" s="235"/>
      <c r="I10" s="235"/>
      <c r="J10" s="235"/>
      <c r="K10" s="235"/>
      <c r="L10" s="235"/>
      <c r="N10" s="233"/>
      <c r="O10" s="236"/>
    </row>
    <row r="11" spans="2:15" s="219" customFormat="1">
      <c r="B11" s="233"/>
      <c r="D11" s="673"/>
      <c r="E11" s="234"/>
      <c r="F11" s="234"/>
      <c r="G11" s="235"/>
      <c r="H11" s="235"/>
      <c r="I11" s="235"/>
      <c r="J11" s="235"/>
      <c r="K11" s="235"/>
      <c r="L11" s="235"/>
      <c r="N11" s="233"/>
      <c r="O11" s="236"/>
    </row>
    <row r="12" spans="2:15" s="219" customFormat="1">
      <c r="B12" s="233"/>
      <c r="D12" s="216"/>
      <c r="E12" s="216" t="s">
        <v>1404</v>
      </c>
      <c r="F12" s="234"/>
      <c r="G12" s="235">
        <f ca="1">'5. Financials'!H139</f>
        <v>1142652.855904141</v>
      </c>
      <c r="H12" s="235">
        <f ca="1">'5. Financials'!I139</f>
        <v>514799.51442628563</v>
      </c>
      <c r="I12" s="235">
        <f ca="1">'5. Financials'!J139</f>
        <v>407144.54878236272</v>
      </c>
      <c r="J12" s="235">
        <f ca="1">'5. Financials'!K139</f>
        <v>527898.03262117214</v>
      </c>
      <c r="K12" s="235">
        <f ca="1">'5. Financials'!L139</f>
        <v>642887.45321286656</v>
      </c>
      <c r="L12" s="235">
        <f ca="1">'5. Financials'!M139</f>
        <v>736491.15292169154</v>
      </c>
      <c r="N12" s="233"/>
      <c r="O12" s="236"/>
    </row>
    <row r="13" spans="2:15" s="242" customFormat="1">
      <c r="B13" s="241"/>
      <c r="D13" s="243"/>
      <c r="E13" s="243" t="s">
        <v>1405</v>
      </c>
      <c r="F13" s="243"/>
      <c r="G13" s="243">
        <f>'5. Financials'!H140</f>
        <v>0</v>
      </c>
      <c r="H13" s="243">
        <f>'5. Financials'!I140</f>
        <v>326297.40047388081</v>
      </c>
      <c r="I13" s="243">
        <f>'5. Financials'!J140</f>
        <v>602804.67935724137</v>
      </c>
      <c r="J13" s="243">
        <f>'5. Financials'!K140</f>
        <v>761389.38288608752</v>
      </c>
      <c r="K13" s="243">
        <f>'5. Financials'!L140</f>
        <v>950141.071456898</v>
      </c>
      <c r="L13" s="243">
        <f>'5. Financials'!M140</f>
        <v>1123050.2333293594</v>
      </c>
      <c r="N13" s="241"/>
      <c r="O13" s="245"/>
    </row>
    <row r="14" spans="2:15" s="219" customFormat="1">
      <c r="B14" s="233"/>
      <c r="D14" s="215"/>
      <c r="E14" s="215" t="s">
        <v>1406</v>
      </c>
      <c r="F14" s="215"/>
      <c r="G14" s="220">
        <f>'5. Financials'!H141</f>
        <v>0</v>
      </c>
      <c r="H14" s="220">
        <f>'5. Financials'!I141</f>
        <v>11623.25367686133</v>
      </c>
      <c r="I14" s="220">
        <f>'5. Financials'!J141</f>
        <v>21202.229116267226</v>
      </c>
      <c r="J14" s="220">
        <f>'5. Financials'!K141</f>
        <v>27860.590023630415</v>
      </c>
      <c r="K14" s="220">
        <f>'5. Financials'!L141</f>
        <v>35160.11999080416</v>
      </c>
      <c r="L14" s="220">
        <f>'5. Financials'!M141</f>
        <v>40443.983145814251</v>
      </c>
      <c r="N14" s="233"/>
      <c r="O14" s="236"/>
    </row>
    <row r="15" spans="2:15" s="219" customFormat="1">
      <c r="B15" s="233"/>
      <c r="D15" s="215"/>
      <c r="E15" s="215" t="s">
        <v>1407</v>
      </c>
      <c r="F15" s="215"/>
      <c r="G15" s="217">
        <f ca="1">'5. Financials'!H143</f>
        <v>1142652.855904141</v>
      </c>
      <c r="H15" s="217">
        <f ca="1">'5. Financials'!I143</f>
        <v>852720.16857702774</v>
      </c>
      <c r="I15" s="217">
        <f ca="1">'5. Financials'!J143</f>
        <v>1031151.4572558713</v>
      </c>
      <c r="J15" s="217">
        <f ca="1">'5. Financials'!K143</f>
        <v>1317148.0055308901</v>
      </c>
      <c r="K15" s="217">
        <f ca="1">'5. Financials'!L143</f>
        <v>1628188.6446605688</v>
      </c>
      <c r="L15" s="217">
        <f ca="1">'5. Financials'!M143</f>
        <v>1899985.3693968651</v>
      </c>
      <c r="N15" s="233"/>
      <c r="O15" s="236"/>
    </row>
    <row r="16" spans="2:15" s="219" customFormat="1">
      <c r="B16" s="233"/>
      <c r="D16" s="215"/>
      <c r="E16" s="215"/>
      <c r="F16" s="215"/>
      <c r="G16" s="217"/>
      <c r="H16" s="217"/>
      <c r="I16" s="217"/>
      <c r="J16" s="217"/>
      <c r="K16" s="217"/>
      <c r="L16" s="217"/>
      <c r="N16" s="233"/>
      <c r="O16" s="236"/>
    </row>
    <row r="17" spans="2:15" s="219" customFormat="1">
      <c r="B17" s="233"/>
      <c r="D17" s="215"/>
      <c r="E17" s="215" t="s">
        <v>1408</v>
      </c>
      <c r="F17" s="215"/>
      <c r="G17" s="215">
        <f>'5. Financials'!H145</f>
        <v>2100398.42</v>
      </c>
      <c r="H17" s="215">
        <f>'5. Financials'!I145</f>
        <v>2182724.4616666664</v>
      </c>
      <c r="I17" s="215">
        <f>'5. Financials'!J145</f>
        <v>2274422.2324999999</v>
      </c>
      <c r="J17" s="215">
        <f>'5. Financials'!K145</f>
        <v>2366088.3616666663</v>
      </c>
      <c r="K17" s="215">
        <f>'5. Financials'!L145</f>
        <v>2441782.0328333331</v>
      </c>
      <c r="L17" s="219">
        <f>'5. Financials'!M145</f>
        <v>2510991.938093333</v>
      </c>
      <c r="N17" s="233"/>
      <c r="O17" s="236"/>
    </row>
    <row r="18" spans="2:15" s="219" customFormat="1">
      <c r="B18" s="233"/>
      <c r="D18" s="215"/>
      <c r="E18" s="215" t="s">
        <v>1409</v>
      </c>
      <c r="F18" s="215"/>
      <c r="G18" s="220">
        <f>'5. Financials'!H146</f>
        <v>0</v>
      </c>
      <c r="H18" s="220">
        <f>'5. Financials'!I146</f>
        <v>-157913.01833333334</v>
      </c>
      <c r="I18" s="220">
        <f>'5. Financials'!J146</f>
        <v>-328925.71821428568</v>
      </c>
      <c r="J18" s="220">
        <f>'5. Financials'!K146</f>
        <v>-513033.57940476184</v>
      </c>
      <c r="K18" s="220">
        <f>'5. Financials'!L146</f>
        <v>-707954.82219047612</v>
      </c>
      <c r="L18" s="220">
        <f>'5. Financials'!M146</f>
        <v>-912763.19429904758</v>
      </c>
      <c r="N18" s="233"/>
    </row>
    <row r="19" spans="2:15" s="219" customFormat="1">
      <c r="B19" s="233"/>
      <c r="D19" s="215"/>
      <c r="E19" s="215" t="s">
        <v>1410</v>
      </c>
      <c r="F19" s="215"/>
      <c r="G19" s="215">
        <f>'5. Financials'!H147</f>
        <v>2100398.42</v>
      </c>
      <c r="H19" s="215">
        <f>'5. Financials'!I147</f>
        <v>2024811.4433333331</v>
      </c>
      <c r="I19" s="215">
        <f>'5. Financials'!J147</f>
        <v>1945496.5142857144</v>
      </c>
      <c r="J19" s="215">
        <f>'5. Financials'!K147</f>
        <v>1853054.7822619046</v>
      </c>
      <c r="K19" s="215">
        <f>'5. Financials'!L147</f>
        <v>1733827.210642857</v>
      </c>
      <c r="L19" s="215">
        <f>'5. Financials'!M147</f>
        <v>1598228.7437942855</v>
      </c>
      <c r="N19" s="233"/>
    </row>
    <row r="20" spans="2:15" s="219" customFormat="1">
      <c r="B20" s="233"/>
      <c r="D20" s="215"/>
      <c r="E20" s="215"/>
      <c r="F20" s="215"/>
      <c r="G20" s="215"/>
      <c r="H20" s="215"/>
      <c r="I20" s="215"/>
      <c r="J20" s="215"/>
      <c r="K20" s="215"/>
      <c r="L20" s="215"/>
      <c r="N20" s="233"/>
    </row>
    <row r="21" spans="2:15" s="219" customFormat="1">
      <c r="B21" s="233"/>
      <c r="D21" s="215"/>
      <c r="E21" s="215" t="s">
        <v>1411</v>
      </c>
      <c r="F21" s="215"/>
      <c r="G21" s="215">
        <f>'5. Financials'!H149</f>
        <v>65250</v>
      </c>
      <c r="H21" s="215">
        <f>'5. Financials'!I149</f>
        <v>58725</v>
      </c>
      <c r="I21" s="215">
        <f>'5. Financials'!J149</f>
        <v>52200</v>
      </c>
      <c r="J21" s="215">
        <f>'5. Financials'!K149</f>
        <v>45675</v>
      </c>
      <c r="K21" s="215">
        <f>'5. Financials'!L149</f>
        <v>39150</v>
      </c>
      <c r="L21" s="215">
        <f>'5. Financials'!M149</f>
        <v>32625</v>
      </c>
      <c r="N21" s="233"/>
    </row>
    <row r="22" spans="2:15" s="219" customFormat="1">
      <c r="B22" s="233"/>
      <c r="D22" s="215"/>
      <c r="E22" s="215"/>
      <c r="F22" s="215"/>
      <c r="G22" s="215"/>
      <c r="H22" s="215"/>
      <c r="I22" s="215"/>
      <c r="J22" s="215"/>
      <c r="K22" s="215"/>
      <c r="L22" s="215"/>
      <c r="N22" s="233"/>
    </row>
    <row r="23" spans="2:15" s="219" customFormat="1" ht="12" thickBot="1">
      <c r="B23" s="233"/>
      <c r="D23" s="674" t="s">
        <v>1412</v>
      </c>
      <c r="E23" s="215"/>
      <c r="F23" s="215"/>
      <c r="G23" s="669">
        <f ca="1">'5. Financials'!H151</f>
        <v>3308301.2759041409</v>
      </c>
      <c r="H23" s="669">
        <f ca="1">'5. Financials'!I151</f>
        <v>2936256.6119103609</v>
      </c>
      <c r="I23" s="669">
        <f ca="1">'5. Financials'!J151</f>
        <v>3028847.9715415854</v>
      </c>
      <c r="J23" s="669">
        <f ca="1">'5. Financials'!K151</f>
        <v>3215877.7877927944</v>
      </c>
      <c r="K23" s="669">
        <f ca="1">'5. Financials'!L151</f>
        <v>3401165.8553034258</v>
      </c>
      <c r="L23" s="669">
        <f ca="1">'5. Financials'!M151</f>
        <v>3530839.1131911506</v>
      </c>
      <c r="N23" s="233"/>
    </row>
    <row r="24" spans="2:15" s="219" customFormat="1" ht="12" thickTop="1">
      <c r="B24" s="233"/>
      <c r="D24" s="215"/>
      <c r="E24" s="215"/>
      <c r="F24" s="215"/>
      <c r="G24" s="215"/>
      <c r="H24" s="215"/>
      <c r="I24" s="215"/>
      <c r="J24" s="215"/>
      <c r="K24" s="215"/>
      <c r="L24" s="215"/>
      <c r="N24" s="233"/>
    </row>
    <row r="25" spans="2:15" s="219" customFormat="1">
      <c r="B25" s="233"/>
      <c r="D25" s="674" t="s">
        <v>1414</v>
      </c>
      <c r="E25" s="215"/>
      <c r="F25" s="215"/>
      <c r="G25" s="215"/>
      <c r="H25" s="215"/>
      <c r="I25" s="215"/>
      <c r="J25" s="215"/>
      <c r="K25" s="215"/>
      <c r="L25" s="215"/>
      <c r="N25" s="233"/>
    </row>
    <row r="26" spans="2:15" s="219" customFormat="1">
      <c r="B26" s="233"/>
      <c r="D26" s="215"/>
      <c r="E26" s="215"/>
      <c r="F26" s="215"/>
      <c r="G26" s="215"/>
      <c r="H26" s="215"/>
      <c r="I26" s="215"/>
      <c r="J26" s="215"/>
      <c r="K26" s="215"/>
      <c r="L26" s="215"/>
      <c r="N26" s="233"/>
    </row>
    <row r="27" spans="2:15" s="219" customFormat="1">
      <c r="B27" s="233"/>
      <c r="D27" s="215"/>
      <c r="E27" s="215" t="s">
        <v>1416</v>
      </c>
      <c r="F27" s="215"/>
      <c r="G27" s="215">
        <f>'5. Financials'!H155</f>
        <v>0</v>
      </c>
      <c r="H27" s="215">
        <f>'5. Financials'!I155</f>
        <v>43942.14102877165</v>
      </c>
      <c r="I27" s="215">
        <f>'5. Financials'!J155</f>
        <v>87583.187440321082</v>
      </c>
      <c r="J27" s="215">
        <f>'5. Financials'!K155</f>
        <v>120126.0095734255</v>
      </c>
      <c r="K27" s="215">
        <f>'5. Financials'!L155</f>
        <v>150447.02974797011</v>
      </c>
      <c r="L27" s="215">
        <f>'5. Financials'!M155</f>
        <v>175358.82049541554</v>
      </c>
      <c r="N27" s="233"/>
    </row>
    <row r="28" spans="2:15" s="219" customFormat="1">
      <c r="B28" s="233"/>
      <c r="D28" s="215"/>
      <c r="E28" s="215" t="s">
        <v>1415</v>
      </c>
      <c r="F28" s="215"/>
      <c r="G28" s="215">
        <f>'5. Financials'!H156</f>
        <v>0</v>
      </c>
      <c r="H28" s="215">
        <f>'5. Financials'!I156</f>
        <v>20108.666666666668</v>
      </c>
      <c r="I28" s="215">
        <f>'5. Financials'!J156</f>
        <v>27727.256666666668</v>
      </c>
      <c r="J28" s="215">
        <f>'5. Financials'!K156</f>
        <v>37895.253697777778</v>
      </c>
      <c r="K28" s="215">
        <f>'5. Financials'!L156</f>
        <v>47220.90019757962</v>
      </c>
      <c r="L28" s="215">
        <f>'5. Financials'!M156</f>
        <v>54480.195588333925</v>
      </c>
      <c r="N28" s="233"/>
    </row>
    <row r="29" spans="2:15" s="219" customFormat="1" hidden="1" outlineLevel="1">
      <c r="B29" s="233"/>
      <c r="D29" s="215"/>
      <c r="E29" s="215" t="s">
        <v>1417</v>
      </c>
      <c r="F29" s="215"/>
      <c r="G29" s="215">
        <f>'5. Financials'!H157</f>
        <v>0</v>
      </c>
      <c r="H29" s="215">
        <f>'5. Financials'!I157</f>
        <v>0</v>
      </c>
      <c r="I29" s="215">
        <f>'5. Financials'!J157</f>
        <v>0</v>
      </c>
      <c r="J29" s="215">
        <f>'5. Financials'!K157</f>
        <v>0</v>
      </c>
      <c r="K29" s="215">
        <f>'5. Financials'!L157</f>
        <v>0</v>
      </c>
      <c r="L29" s="215">
        <f>'5. Financials'!M157</f>
        <v>0</v>
      </c>
      <c r="N29" s="233"/>
    </row>
    <row r="30" spans="2:15" s="219" customFormat="1" collapsed="1">
      <c r="B30" s="233"/>
      <c r="D30" s="215"/>
      <c r="E30" s="215" t="s">
        <v>1418</v>
      </c>
      <c r="F30" s="215"/>
      <c r="G30" s="675">
        <f>'5. Financials'!H159</f>
        <v>0</v>
      </c>
      <c r="H30" s="675">
        <f>'5. Financials'!I159</f>
        <v>64050.807695438314</v>
      </c>
      <c r="I30" s="675">
        <f>'5. Financials'!J159</f>
        <v>115310.44410698775</v>
      </c>
      <c r="J30" s="675">
        <f>'5. Financials'!K159</f>
        <v>158021.26327120326</v>
      </c>
      <c r="K30" s="675">
        <f>'5. Financials'!L159</f>
        <v>197667.92994554972</v>
      </c>
      <c r="L30" s="675">
        <f>'5. Financials'!M159</f>
        <v>229839.01608374948</v>
      </c>
      <c r="N30" s="233"/>
    </row>
    <row r="31" spans="2:15" s="219" customFormat="1">
      <c r="B31" s="233"/>
      <c r="D31" s="215"/>
      <c r="E31" s="215"/>
      <c r="F31" s="215"/>
      <c r="G31" s="215"/>
      <c r="H31" s="215"/>
      <c r="I31" s="215"/>
      <c r="J31" s="215"/>
      <c r="K31" s="215"/>
      <c r="L31" s="215"/>
      <c r="N31" s="233"/>
    </row>
    <row r="32" spans="2:15" s="219" customFormat="1">
      <c r="B32" s="233"/>
      <c r="D32" s="215"/>
      <c r="E32" s="215" t="s">
        <v>1419</v>
      </c>
      <c r="F32" s="215"/>
      <c r="G32" s="215">
        <f ca="1">'5. Financials'!H161</f>
        <v>3308301.2759041409</v>
      </c>
      <c r="H32" s="215">
        <f ca="1">'5. Financials'!I161</f>
        <v>2872205.8042149227</v>
      </c>
      <c r="I32" s="215">
        <f ca="1">'5. Financials'!J161</f>
        <v>2913537.5274345977</v>
      </c>
      <c r="J32" s="215">
        <f ca="1">'5. Financials'!K161</f>
        <v>3057856.5245215916</v>
      </c>
      <c r="K32" s="215">
        <f ca="1">'5. Financials'!L161</f>
        <v>3203497.9253578763</v>
      </c>
      <c r="L32" s="215">
        <f ca="1">'5. Financials'!M161</f>
        <v>3301000.097107402</v>
      </c>
      <c r="N32" s="233"/>
    </row>
    <row r="33" spans="2:15" s="219" customFormat="1">
      <c r="B33" s="233"/>
      <c r="D33" s="215"/>
      <c r="E33" s="215"/>
      <c r="F33" s="215"/>
      <c r="G33" s="215"/>
      <c r="H33" s="215"/>
      <c r="I33" s="215"/>
      <c r="J33" s="215"/>
      <c r="K33" s="215"/>
      <c r="L33" s="215"/>
      <c r="N33" s="233"/>
    </row>
    <row r="34" spans="2:15" s="219" customFormat="1" ht="12" thickBot="1">
      <c r="B34" s="233"/>
      <c r="D34" s="674" t="s">
        <v>1420</v>
      </c>
      <c r="E34" s="215"/>
      <c r="F34" s="215"/>
      <c r="G34" s="669">
        <f ca="1">'5. Financials'!H163</f>
        <v>3308301.2759041409</v>
      </c>
      <c r="H34" s="669">
        <f ca="1">'5. Financials'!I163</f>
        <v>2936256.6119103609</v>
      </c>
      <c r="I34" s="669">
        <f ca="1">'5. Financials'!J163</f>
        <v>3028847.9715415854</v>
      </c>
      <c r="J34" s="669">
        <f ca="1">'5. Financials'!K163</f>
        <v>3215877.7877927949</v>
      </c>
      <c r="K34" s="669">
        <f ca="1">'5. Financials'!L163</f>
        <v>3401165.8553034263</v>
      </c>
      <c r="L34" s="669">
        <f ca="1">'5. Financials'!M163</f>
        <v>3530839.1131911515</v>
      </c>
      <c r="N34" s="233"/>
    </row>
    <row r="35" spans="2:15" s="219" customFormat="1" ht="12" thickTop="1">
      <c r="B35" s="233"/>
      <c r="D35" s="215"/>
      <c r="E35" s="215"/>
      <c r="F35" s="215"/>
      <c r="G35" s="215"/>
      <c r="H35" s="215"/>
      <c r="I35" s="215"/>
      <c r="J35" s="215"/>
      <c r="K35" s="215"/>
      <c r="L35" s="215"/>
      <c r="N35" s="233"/>
    </row>
    <row r="36" spans="2:15" s="219" customFormat="1">
      <c r="B36" s="233"/>
      <c r="D36" s="237"/>
      <c r="E36" s="237"/>
      <c r="F36" s="237"/>
      <c r="G36" s="215"/>
      <c r="H36" s="215"/>
      <c r="I36" s="215"/>
      <c r="J36" s="215"/>
      <c r="K36" s="215"/>
      <c r="L36" s="215"/>
      <c r="N36" s="233"/>
      <c r="O36" s="236"/>
    </row>
    <row r="37" spans="2:15" s="206" customFormat="1">
      <c r="B37" s="205"/>
      <c r="D37" s="225"/>
      <c r="E37" s="225"/>
      <c r="F37" s="225"/>
      <c r="G37" s="228"/>
      <c r="I37" s="226"/>
      <c r="J37" s="229"/>
      <c r="K37" s="229"/>
      <c r="L37" s="405" t="s">
        <v>112</v>
      </c>
      <c r="N37" s="205"/>
      <c r="O37" s="208"/>
    </row>
    <row r="38" spans="2:15" s="206" customFormat="1">
      <c r="B38" s="205"/>
      <c r="D38" s="225"/>
      <c r="E38" s="225"/>
      <c r="F38" s="225"/>
      <c r="I38" s="229"/>
      <c r="L38" s="406" t="s">
        <v>2679</v>
      </c>
      <c r="N38" s="205"/>
      <c r="O38" s="208"/>
    </row>
    <row r="39" spans="2:15" s="206" customFormat="1">
      <c r="B39" s="205"/>
      <c r="N39" s="205"/>
      <c r="O39" s="208"/>
    </row>
    <row r="40" spans="2:15" s="206" customFormat="1">
      <c r="B40" s="205"/>
      <c r="C40" s="205"/>
      <c r="D40" s="205"/>
      <c r="E40" s="205"/>
      <c r="F40" s="205"/>
      <c r="G40" s="205"/>
      <c r="H40" s="205"/>
      <c r="I40" s="205"/>
      <c r="J40" s="205"/>
      <c r="K40" s="205"/>
      <c r="L40" s="205"/>
      <c r="M40" s="205"/>
      <c r="N40" s="205"/>
      <c r="O40" s="208"/>
    </row>
    <row r="41" spans="2:15" s="206" customFormat="1">
      <c r="B41" s="227"/>
      <c r="C41" s="227"/>
      <c r="D41" s="227"/>
      <c r="E41" s="227"/>
      <c r="F41" s="227"/>
      <c r="G41" s="227"/>
      <c r="H41" s="227"/>
      <c r="I41" s="227"/>
      <c r="J41" s="227"/>
      <c r="K41" s="227"/>
      <c r="L41" s="227"/>
      <c r="M41" s="227"/>
      <c r="N41" s="227"/>
      <c r="O41" s="208"/>
    </row>
    <row r="42" spans="2:15" s="206" customFormat="1">
      <c r="B42" s="227"/>
      <c r="C42" s="227"/>
      <c r="E42" s="230"/>
      <c r="G42" s="227"/>
      <c r="H42" s="227"/>
      <c r="I42" s="227"/>
      <c r="J42" s="227"/>
      <c r="K42" s="227"/>
      <c r="L42" s="227"/>
      <c r="M42" s="227"/>
      <c r="N42" s="227"/>
      <c r="O42" s="208"/>
    </row>
  </sheetData>
  <mergeCells count="1">
    <mergeCell ref="G3:L3"/>
  </mergeCells>
  <phoneticPr fontId="0" type="noConversion"/>
  <printOptions horizontalCentered="1"/>
  <pageMargins left="0.5" right="0.5" top="0.75" bottom="0.75" header="0.3" footer="0.3"/>
  <pageSetup scale="90" orientation="portrait" r:id="rId1"/>
  <headerFooter alignWithMargins="0">
    <oddHeader>&amp;L&amp;8For discussion purposes only&amp;C&amp;8Draft - Confidential&amp;R&amp;8Actual Results May Differ From This Forecast</oddHeader>
    <oddFooter>&amp;L&amp;8&amp;F&amp;R&amp;8&amp;D @ &amp;T</oddFooter>
  </headerFooter>
</worksheet>
</file>

<file path=xl/worksheets/sheet11.xml><?xml version="1.0" encoding="utf-8"?>
<worksheet xmlns="http://schemas.openxmlformats.org/spreadsheetml/2006/main" xmlns:r="http://schemas.openxmlformats.org/officeDocument/2006/relationships">
  <sheetPr codeName="Sheet7" enableFormatConditionsCalculation="0">
    <tabColor indexed="57"/>
    <pageSetUpPr autoPageBreaks="0"/>
  </sheetPr>
  <dimension ref="B2:R48"/>
  <sheetViews>
    <sheetView showGridLines="0" zoomScaleNormal="80" workbookViewId="0">
      <selection activeCell="P32" sqref="P32"/>
    </sheetView>
  </sheetViews>
  <sheetFormatPr defaultColWidth="12.5703125" defaultRowHeight="11.25" outlineLevelRow="1"/>
  <cols>
    <col min="1" max="5" width="2.7109375" style="109" customWidth="1"/>
    <col min="6" max="6" width="24.7109375" style="109" customWidth="1"/>
    <col min="7" max="12" width="10.7109375" style="109" customWidth="1"/>
    <col min="13" max="15" width="2.7109375" style="109" customWidth="1"/>
    <col min="16" max="19" width="10.7109375" style="109" customWidth="1"/>
    <col min="20" max="16384" width="12.5703125" style="109"/>
  </cols>
  <sheetData>
    <row r="2" spans="2:14">
      <c r="B2" s="371"/>
      <c r="C2" s="193" t="s">
        <v>1216</v>
      </c>
      <c r="D2" s="371"/>
      <c r="E2" s="371"/>
      <c r="F2" s="371"/>
      <c r="G2" s="371"/>
      <c r="H2" s="371"/>
      <c r="I2" s="371"/>
      <c r="J2" s="371"/>
      <c r="K2" s="371"/>
      <c r="L2" s="371"/>
      <c r="M2" s="371"/>
      <c r="N2" s="371"/>
    </row>
    <row r="3" spans="2:14">
      <c r="B3" s="371"/>
      <c r="N3" s="371"/>
    </row>
    <row r="4" spans="2:14">
      <c r="B4" s="371"/>
      <c r="D4" s="956" t="str">
        <f>PtrCF!D4</f>
        <v>Partnership:  Southbend Downtown</v>
      </c>
      <c r="E4" s="671"/>
      <c r="F4" s="671"/>
      <c r="G4" s="671"/>
      <c r="H4" s="671"/>
      <c r="I4" s="671"/>
      <c r="J4" s="671"/>
      <c r="K4" s="671"/>
      <c r="L4" s="671"/>
      <c r="N4" s="371"/>
    </row>
    <row r="5" spans="2:14">
      <c r="B5" s="371"/>
      <c r="D5" s="956" t="s">
        <v>3525</v>
      </c>
      <c r="E5" s="671"/>
      <c r="F5" s="671"/>
      <c r="G5" s="671"/>
      <c r="H5" s="671"/>
      <c r="I5" s="671"/>
      <c r="J5" s="671"/>
      <c r="K5" s="671"/>
      <c r="L5" s="671"/>
      <c r="N5" s="371"/>
    </row>
    <row r="6" spans="2:14">
      <c r="B6" s="371"/>
      <c r="N6" s="371"/>
    </row>
    <row r="7" spans="2:14">
      <c r="B7" s="371"/>
      <c r="N7" s="371"/>
    </row>
    <row r="8" spans="2:14">
      <c r="B8" s="371"/>
      <c r="D8" s="372"/>
      <c r="E8" s="372"/>
      <c r="F8" s="372"/>
      <c r="G8" s="381" t="s">
        <v>1857</v>
      </c>
      <c r="H8" s="381" t="s">
        <v>1090</v>
      </c>
      <c r="I8" s="381" t="s">
        <v>1091</v>
      </c>
      <c r="J8" s="381" t="s">
        <v>2165</v>
      </c>
      <c r="K8" s="381" t="s">
        <v>2166</v>
      </c>
      <c r="L8" s="381" t="s">
        <v>2167</v>
      </c>
      <c r="N8" s="371"/>
    </row>
    <row r="9" spans="2:14">
      <c r="B9" s="371"/>
      <c r="N9" s="371"/>
    </row>
    <row r="10" spans="2:14" hidden="1">
      <c r="B10" s="371"/>
      <c r="D10" s="109" t="s">
        <v>3529</v>
      </c>
      <c r="N10" s="371"/>
    </row>
    <row r="11" spans="2:14" hidden="1">
      <c r="B11" s="371"/>
      <c r="E11" s="109" t="s">
        <v>2708</v>
      </c>
      <c r="G11" s="359"/>
      <c r="H11" s="359">
        <f>'5. Financials'!I14+'5. Financials'!I22</f>
        <v>2087.0200000000004</v>
      </c>
      <c r="I11" s="359">
        <f>'5. Financials'!J14+'5. Financials'!J22</f>
        <v>5286.32</v>
      </c>
      <c r="J11" s="359">
        <f>'5. Financials'!K14+'5. Financials'!K22</f>
        <v>7612.54</v>
      </c>
      <c r="K11" s="359">
        <f>'5. Financials'!L14+'5. Financials'!L22</f>
        <v>9478.2999999999993</v>
      </c>
      <c r="L11" s="359">
        <f>'5. Financials'!M14+'5. Financials'!M22</f>
        <v>11033.100000000002</v>
      </c>
      <c r="N11" s="371"/>
    </row>
    <row r="12" spans="2:14" hidden="1">
      <c r="B12" s="371"/>
      <c r="E12" s="109" t="s">
        <v>6</v>
      </c>
      <c r="G12" s="359"/>
      <c r="H12" s="359">
        <f>'5. Financials'!I31+'5. Financials'!I39</f>
        <v>629.84999999999991</v>
      </c>
      <c r="I12" s="359">
        <f>'5. Financials'!J31+'5. Financials'!J39</f>
        <v>1519.0499999999997</v>
      </c>
      <c r="J12" s="359">
        <f>'5. Financials'!K31+'5. Financials'!K39</f>
        <v>2247.6999999999998</v>
      </c>
      <c r="K12" s="359">
        <f>'5. Financials'!L31+'5. Financials'!L39</f>
        <v>2920.7750000000005</v>
      </c>
      <c r="L12" s="359">
        <f>'5. Financials'!M31+'5. Financials'!M39</f>
        <v>3501.2250000000004</v>
      </c>
      <c r="N12" s="371"/>
    </row>
    <row r="13" spans="2:14" hidden="1">
      <c r="B13" s="371"/>
      <c r="E13" s="109" t="s">
        <v>3515</v>
      </c>
      <c r="G13" s="359"/>
      <c r="H13" s="364">
        <f>'5. Financials'!I48+'5. Financials'!I56</f>
        <v>392.59999999999991</v>
      </c>
      <c r="I13" s="364">
        <f>'5. Financials'!J48+'5. Financials'!J56</f>
        <v>789.09999999999991</v>
      </c>
      <c r="J13" s="364">
        <f>'5. Financials'!K48+'5. Financials'!K56</f>
        <v>1209.2166666666662</v>
      </c>
      <c r="K13" s="364">
        <f>'5. Financials'!L48+'5. Financials'!L56</f>
        <v>1467.6999999999989</v>
      </c>
      <c r="L13" s="364">
        <f>'5. Financials'!M48+'5. Financials'!M56</f>
        <v>1623.6999999999985</v>
      </c>
      <c r="N13" s="371"/>
    </row>
    <row r="14" spans="2:14">
      <c r="B14" s="371"/>
      <c r="D14" s="109" t="s">
        <v>1704</v>
      </c>
      <c r="G14" s="359"/>
      <c r="H14" s="359">
        <f>SUM(H11:H13)</f>
        <v>3109.4700000000003</v>
      </c>
      <c r="I14" s="359">
        <f>SUM(I11:I13)</f>
        <v>7594.4699999999993</v>
      </c>
      <c r="J14" s="359">
        <f>SUM(J11:J13)</f>
        <v>11069.456666666665</v>
      </c>
      <c r="K14" s="359">
        <f>SUM(K11:K13)</f>
        <v>13866.775</v>
      </c>
      <c r="L14" s="359">
        <f>SUM(L11:L13)</f>
        <v>16158.025000000001</v>
      </c>
      <c r="N14" s="371"/>
    </row>
    <row r="15" spans="2:14">
      <c r="B15" s="371"/>
      <c r="D15" s="109" t="s">
        <v>3517</v>
      </c>
      <c r="H15" s="1441" t="s">
        <v>1800</v>
      </c>
      <c r="I15" s="661">
        <f>(I14-H14)/H14</f>
        <v>1.4423679919729082</v>
      </c>
      <c r="J15" s="661">
        <f>(J14-I14)/I14</f>
        <v>0.45756802866647261</v>
      </c>
      <c r="K15" s="661">
        <f>(K14-J14)/J14</f>
        <v>0.25270601959686684</v>
      </c>
      <c r="L15" s="661">
        <f>(L14-K14)/K14</f>
        <v>0.16523308411653048</v>
      </c>
      <c r="N15" s="371"/>
    </row>
    <row r="16" spans="2:14">
      <c r="B16" s="371"/>
      <c r="N16" s="371"/>
    </row>
    <row r="17" spans="2:18">
      <c r="B17" s="371"/>
      <c r="D17" s="374" t="s">
        <v>2168</v>
      </c>
      <c r="G17" s="363"/>
      <c r="H17" s="363">
        <f>'5. Financials'!I69</f>
        <v>1082983.5756406127</v>
      </c>
      <c r="I17" s="363">
        <f>'5. Financials'!J69</f>
        <v>2532441.4687815127</v>
      </c>
      <c r="J17" s="363">
        <f>'5. Financials'!K69</f>
        <v>3637428.211604082</v>
      </c>
      <c r="K17" s="363">
        <f>'5. Financials'!L69</f>
        <v>4542117.8734707786</v>
      </c>
      <c r="L17" s="363">
        <f>'5. Financials'!M69</f>
        <v>5486033.1516347229</v>
      </c>
      <c r="N17" s="371"/>
    </row>
    <row r="18" spans="2:18">
      <c r="B18" s="371"/>
      <c r="G18" s="359"/>
      <c r="H18" s="359"/>
      <c r="I18" s="359"/>
      <c r="J18" s="359"/>
      <c r="K18" s="359"/>
      <c r="L18" s="359"/>
      <c r="N18" s="371"/>
    </row>
    <row r="19" spans="2:18">
      <c r="B19" s="371"/>
      <c r="D19" s="109" t="s">
        <v>3125</v>
      </c>
      <c r="G19" s="359">
        <f>'5. Financials'!H77</f>
        <v>157996.66666666663</v>
      </c>
      <c r="H19" s="359">
        <f>'5. Financials'!I77</f>
        <v>473990</v>
      </c>
      <c r="I19" s="359">
        <f>'5. Financials'!J77</f>
        <v>712986.60000000009</v>
      </c>
      <c r="J19" s="359">
        <f>'5. Financials'!K77</f>
        <v>974449.38079999993</v>
      </c>
      <c r="K19" s="359">
        <f>'5. Financials'!L77</f>
        <v>1214251.719366333</v>
      </c>
      <c r="L19" s="359">
        <f>'5. Financials'!M77</f>
        <v>1400919.3151285865</v>
      </c>
      <c r="N19" s="371"/>
    </row>
    <row r="20" spans="2:18">
      <c r="B20" s="371"/>
      <c r="D20" s="109" t="s">
        <v>3696</v>
      </c>
      <c r="G20" s="359">
        <f>'5. Financials'!H80+'5. Financials'!H86</f>
        <v>0</v>
      </c>
      <c r="H20" s="359">
        <f>'5. Financials'!I80+'5. Financials'!I86</f>
        <v>170275.04457642292</v>
      </c>
      <c r="I20" s="359">
        <f>'5. Financials'!J80+'5. Financials'!J86</f>
        <v>435044.87653484783</v>
      </c>
      <c r="J20" s="359">
        <f>'5. Financials'!K80+'5. Financials'!K86</f>
        <v>642939.30106255028</v>
      </c>
      <c r="K20" s="359">
        <f>'5. Financials'!L80+'5. Financials'!L86</f>
        <v>824654.33565598645</v>
      </c>
      <c r="L20" s="359">
        <f>'5. Financials'!M80+'5. Financials'!M86</f>
        <v>986001.77913472278</v>
      </c>
      <c r="N20" s="371"/>
    </row>
    <row r="21" spans="2:18">
      <c r="B21" s="371"/>
      <c r="D21" s="109" t="s">
        <v>3697</v>
      </c>
      <c r="G21" s="359">
        <f>'5. Financials'!H78</f>
        <v>82367.423999999999</v>
      </c>
      <c r="H21" s="359">
        <f>'5. Financials'!I78</f>
        <v>247102.272</v>
      </c>
      <c r="I21" s="359">
        <f>'5. Financials'!J78</f>
        <v>254515.34015999999</v>
      </c>
      <c r="J21" s="359">
        <f>'5. Financials'!K78</f>
        <v>262150.80036479997</v>
      </c>
      <c r="K21" s="359">
        <f>'5. Financials'!L78</f>
        <v>270015.32437574398</v>
      </c>
      <c r="L21" s="359">
        <f>'5. Financials'!M78</f>
        <v>278115.78410701628</v>
      </c>
      <c r="N21" s="371"/>
    </row>
    <row r="22" spans="2:18">
      <c r="B22" s="371"/>
      <c r="D22" s="109" t="s">
        <v>3698</v>
      </c>
      <c r="G22" s="359">
        <f>'5. Financials'!H79</f>
        <v>0</v>
      </c>
      <c r="H22" s="359">
        <f>'5. Financials'!I79</f>
        <v>169421</v>
      </c>
      <c r="I22" s="359">
        <f>'5. Financials'!J79</f>
        <v>169421</v>
      </c>
      <c r="J22" s="359">
        <f>'5. Financials'!K79</f>
        <v>169421</v>
      </c>
      <c r="K22" s="359">
        <f>'5. Financials'!L79</f>
        <v>169421</v>
      </c>
      <c r="L22" s="359">
        <f>'5. Financials'!M79</f>
        <v>169421</v>
      </c>
      <c r="N22" s="371"/>
    </row>
    <row r="23" spans="2:18">
      <c r="B23" s="371"/>
      <c r="D23" s="109" t="s">
        <v>1699</v>
      </c>
      <c r="G23" s="366">
        <f>'5. Financials'!H93</f>
        <v>0</v>
      </c>
      <c r="H23" s="366">
        <f>'5. Financials'!I93</f>
        <v>86638.686051249024</v>
      </c>
      <c r="I23" s="366">
        <f>'5. Financials'!J93</f>
        <v>202595.31750252101</v>
      </c>
      <c r="J23" s="366">
        <f>'5. Financials'!K93</f>
        <v>290994.25692832656</v>
      </c>
      <c r="K23" s="366">
        <f>'5. Financials'!L93</f>
        <v>363369.42987766227</v>
      </c>
      <c r="L23" s="366">
        <f>'5. Financials'!M93</f>
        <v>438882.65213077783</v>
      </c>
      <c r="N23" s="371"/>
    </row>
    <row r="24" spans="2:18" hidden="1" outlineLevel="1">
      <c r="B24" s="371"/>
      <c r="D24" s="109" t="s">
        <v>1037</v>
      </c>
      <c r="G24" s="366"/>
      <c r="H24" s="366">
        <f>PtrCF!G13</f>
        <v>0</v>
      </c>
      <c r="I24" s="366"/>
      <c r="J24" s="366"/>
      <c r="K24" s="366"/>
      <c r="L24" s="366"/>
      <c r="N24" s="371"/>
    </row>
    <row r="25" spans="2:18" collapsed="1">
      <c r="B25" s="371"/>
      <c r="D25" s="109" t="s">
        <v>213</v>
      </c>
      <c r="G25" s="364">
        <f>'5. Financials'!H85+'5. Financials'!H92</f>
        <v>24284.055373889365</v>
      </c>
      <c r="H25" s="364">
        <f>'5. Financials'!I85+'5. Financials'!I92</f>
        <v>207214.02636882558</v>
      </c>
      <c r="I25" s="364">
        <f>'5. Financials'!J85+'5. Financials'!J92</f>
        <v>473349.83200841025</v>
      </c>
      <c r="J25" s="364">
        <f>'5. Financials'!K85+'5. Financials'!K92</f>
        <v>703032.13964489568</v>
      </c>
      <c r="K25" s="364">
        <f>'5. Financials'!L85+'5. Financials'!L92</f>
        <v>889993.93615153409</v>
      </c>
      <c r="L25" s="364">
        <f>'5. Financials'!M85+'5. Financials'!M92</f>
        <v>1052839.5972851231</v>
      </c>
      <c r="N25" s="371"/>
    </row>
    <row r="26" spans="2:18">
      <c r="B26" s="371"/>
      <c r="D26" s="109" t="s">
        <v>3513</v>
      </c>
      <c r="G26" s="363">
        <f>'5. Financials'!H94</f>
        <v>264648.14604055602</v>
      </c>
      <c r="H26" s="363">
        <f>'5. Financials'!I94</f>
        <v>1354641.0289964976</v>
      </c>
      <c r="I26" s="363">
        <f>'5. Financials'!J94</f>
        <v>2247912.9662057795</v>
      </c>
      <c r="J26" s="363">
        <f>'5. Financials'!K94</f>
        <v>3042986.8788005724</v>
      </c>
      <c r="K26" s="363">
        <f>'5. Financials'!L94</f>
        <v>3731705.7454272597</v>
      </c>
      <c r="L26" s="363">
        <f>'5. Financials'!M94</f>
        <v>4326180.1277862256</v>
      </c>
      <c r="N26" s="371"/>
    </row>
    <row r="27" spans="2:18">
      <c r="B27" s="371"/>
      <c r="G27" s="359"/>
      <c r="H27" s="359"/>
      <c r="I27" s="359"/>
      <c r="J27" s="359"/>
      <c r="K27" s="359"/>
      <c r="L27" s="359"/>
      <c r="N27" s="371"/>
    </row>
    <row r="28" spans="2:18">
      <c r="B28" s="371"/>
      <c r="D28" s="374" t="s">
        <v>2527</v>
      </c>
      <c r="G28" s="363">
        <f>'5. Financials'!H96</f>
        <v>-264648.14604055602</v>
      </c>
      <c r="H28" s="363">
        <f>'5. Financials'!I96</f>
        <v>-271657.45335588488</v>
      </c>
      <c r="I28" s="363">
        <f>'5. Financials'!J96</f>
        <v>284528.50257573323</v>
      </c>
      <c r="J28" s="363">
        <f>'5. Financials'!K96</f>
        <v>594441.33280350966</v>
      </c>
      <c r="K28" s="363">
        <f>'5. Financials'!L96</f>
        <v>810412.12804351887</v>
      </c>
      <c r="L28" s="363">
        <f>'5. Financials'!M96</f>
        <v>1159853.0238484973</v>
      </c>
      <c r="N28" s="371"/>
      <c r="Q28" s="1229"/>
    </row>
    <row r="29" spans="2:18">
      <c r="B29" s="371"/>
      <c r="G29" s="359"/>
      <c r="H29" s="359"/>
      <c r="I29" s="359"/>
      <c r="J29" s="359"/>
      <c r="K29" s="359"/>
      <c r="L29" s="359"/>
      <c r="N29" s="371"/>
    </row>
    <row r="30" spans="2:18">
      <c r="B30" s="371"/>
      <c r="D30" s="109" t="s">
        <v>3847</v>
      </c>
      <c r="G30" s="359"/>
      <c r="H30" s="359">
        <f>H31+H32</f>
        <v>164438.01833333334</v>
      </c>
      <c r="I30" s="359">
        <f>I31+I32</f>
        <v>177537.69988095236</v>
      </c>
      <c r="J30" s="359">
        <f>J31+J32</f>
        <v>190632.86119047616</v>
      </c>
      <c r="K30" s="359">
        <f>K31+K32</f>
        <v>201446.24278571428</v>
      </c>
      <c r="L30" s="359">
        <f>L31+L32</f>
        <v>211333.37210857141</v>
      </c>
      <c r="N30" s="371"/>
    </row>
    <row r="31" spans="2:18">
      <c r="B31" s="371"/>
      <c r="D31" s="109" t="s">
        <v>3927</v>
      </c>
      <c r="G31" s="359"/>
      <c r="H31" s="359">
        <f>'5. Financials'!I97</f>
        <v>157913.01833333334</v>
      </c>
      <c r="I31" s="359">
        <f>'5. Financials'!J97</f>
        <v>171012.69988095236</v>
      </c>
      <c r="J31" s="359">
        <f>'5. Financials'!K97</f>
        <v>184107.86119047616</v>
      </c>
      <c r="K31" s="359">
        <f>'5. Financials'!L97</f>
        <v>194921.24278571428</v>
      </c>
      <c r="L31" s="359">
        <f>'5. Financials'!M97</f>
        <v>204808.37210857141</v>
      </c>
      <c r="N31" s="371"/>
      <c r="P31" s="1796" t="s">
        <v>1863</v>
      </c>
      <c r="R31" s="1797" t="s">
        <v>2693</v>
      </c>
    </row>
    <row r="32" spans="2:18">
      <c r="B32" s="371"/>
      <c r="D32" s="109" t="s">
        <v>1701</v>
      </c>
      <c r="G32" s="364"/>
      <c r="H32" s="364">
        <f>'5. Financials'!I98</f>
        <v>6525</v>
      </c>
      <c r="I32" s="364">
        <f>'5. Financials'!J98</f>
        <v>6525</v>
      </c>
      <c r="J32" s="364">
        <f>'5. Financials'!K98</f>
        <v>6525</v>
      </c>
      <c r="K32" s="364">
        <f>'5. Financials'!L98</f>
        <v>6525</v>
      </c>
      <c r="L32" s="364">
        <f>'5. Financials'!M98</f>
        <v>6525</v>
      </c>
      <c r="N32" s="371"/>
      <c r="P32" s="359">
        <f>$Q$32*(SUM('3. CapEx'!AA18:AA25))</f>
        <v>65250</v>
      </c>
      <c r="Q32" s="1748">
        <v>0.05</v>
      </c>
      <c r="R32" s="109" t="s">
        <v>1797</v>
      </c>
    </row>
    <row r="33" spans="2:18">
      <c r="B33" s="371"/>
      <c r="G33" s="359"/>
      <c r="H33" s="359"/>
      <c r="I33" s="359"/>
      <c r="J33" s="359"/>
      <c r="K33" s="359"/>
      <c r="L33" s="359"/>
      <c r="N33" s="371"/>
      <c r="P33" s="359"/>
      <c r="Q33" s="957"/>
    </row>
    <row r="34" spans="2:18" ht="12" thickBot="1">
      <c r="B34" s="371"/>
      <c r="D34" s="374" t="s">
        <v>1549</v>
      </c>
      <c r="G34" s="986">
        <f>'5. Financials'!H99</f>
        <v>-264648.14604055602</v>
      </c>
      <c r="H34" s="986">
        <f>'5. Financials'!I99</f>
        <v>-436095.47168921819</v>
      </c>
      <c r="I34" s="986">
        <f>'5. Financials'!J99</f>
        <v>106990.80269478087</v>
      </c>
      <c r="J34" s="986">
        <f>'5. Financials'!K99</f>
        <v>403808.4716130335</v>
      </c>
      <c r="K34" s="986">
        <f>'5. Financials'!L99</f>
        <v>608965.88525780453</v>
      </c>
      <c r="L34" s="986">
        <f>'5. Financials'!M99</f>
        <v>948519.65173992584</v>
      </c>
      <c r="N34" s="371"/>
      <c r="P34" s="109" t="s">
        <v>1744</v>
      </c>
    </row>
    <row r="35" spans="2:18" ht="12" thickTop="1">
      <c r="B35" s="371"/>
      <c r="N35" s="371"/>
      <c r="P35" s="109" t="s">
        <v>3289</v>
      </c>
      <c r="Q35" s="1901">
        <f>'5. Financials'!Q288</f>
        <v>10</v>
      </c>
      <c r="R35" s="109" t="s">
        <v>1745</v>
      </c>
    </row>
    <row r="36" spans="2:18">
      <c r="B36" s="371"/>
      <c r="D36" s="109" t="s">
        <v>1768</v>
      </c>
      <c r="N36" s="371"/>
      <c r="P36" s="109" t="s">
        <v>3288</v>
      </c>
      <c r="Q36" s="1901">
        <f>'5. Financials'!Q293</f>
        <v>39</v>
      </c>
      <c r="R36" s="109" t="s">
        <v>1745</v>
      </c>
    </row>
    <row r="37" spans="2:18">
      <c r="B37" s="371"/>
      <c r="E37" s="109" t="s">
        <v>1772</v>
      </c>
      <c r="G37" s="645"/>
      <c r="H37" s="645">
        <f>H17/H14</f>
        <v>348.28558424445731</v>
      </c>
      <c r="I37" s="645">
        <f>I17/I14</f>
        <v>333.45861775496024</v>
      </c>
      <c r="J37" s="645">
        <f>J17/J14</f>
        <v>328.60042919337047</v>
      </c>
      <c r="K37" s="645">
        <f>K17/K14</f>
        <v>327.55401839798935</v>
      </c>
      <c r="L37" s="645">
        <f>L17/L14</f>
        <v>339.52374449443681</v>
      </c>
      <c r="N37" s="371"/>
    </row>
    <row r="38" spans="2:18">
      <c r="B38" s="371"/>
      <c r="E38" s="109" t="s">
        <v>1769</v>
      </c>
      <c r="G38" s="645"/>
      <c r="H38" s="645">
        <f>H28/H14</f>
        <v>-87.36455195126014</v>
      </c>
      <c r="I38" s="645">
        <f>I28/I14</f>
        <v>37.465221743681028</v>
      </c>
      <c r="J38" s="645">
        <f>J28/J14</f>
        <v>53.701039780348424</v>
      </c>
      <c r="K38" s="645">
        <f>K28/K14</f>
        <v>58.442725727035949</v>
      </c>
      <c r="L38" s="645">
        <f>L28/L14</f>
        <v>71.781856003348011</v>
      </c>
      <c r="N38" s="371"/>
    </row>
    <row r="39" spans="2:18">
      <c r="B39" s="371"/>
      <c r="E39" s="109" t="s">
        <v>1770</v>
      </c>
      <c r="G39" s="645"/>
      <c r="H39" s="645">
        <f>H34/H14</f>
        <v>-140.24752504099354</v>
      </c>
      <c r="I39" s="645">
        <f>I34/I14</f>
        <v>14.087988061679205</v>
      </c>
      <c r="J39" s="645">
        <f>J34/J14</f>
        <v>36.479520519649135</v>
      </c>
      <c r="K39" s="645">
        <f>K34/K14</f>
        <v>43.91546594343707</v>
      </c>
      <c r="L39" s="645">
        <f>L34/L14</f>
        <v>58.702697374210388</v>
      </c>
      <c r="N39" s="371"/>
    </row>
    <row r="40" spans="2:18" hidden="1">
      <c r="B40" s="371"/>
      <c r="E40" s="109" t="s">
        <v>1771</v>
      </c>
      <c r="G40" s="661"/>
      <c r="H40" s="661">
        <f>H28/H17</f>
        <v>-0.25084171123758037</v>
      </c>
      <c r="I40" s="661">
        <f>I28/I17</f>
        <v>0.11235343682499184</v>
      </c>
      <c r="J40" s="661">
        <f>J28/J17</f>
        <v>0.1634235229460006</v>
      </c>
      <c r="K40" s="661">
        <f>K28/K17</f>
        <v>0.17842164175811159</v>
      </c>
      <c r="L40" s="661">
        <f>L28/L17</f>
        <v>0.21141925172342158</v>
      </c>
      <c r="N40" s="371"/>
    </row>
    <row r="41" spans="2:18">
      <c r="B41" s="371"/>
      <c r="G41" s="359"/>
      <c r="H41" s="359"/>
      <c r="I41" s="359"/>
      <c r="J41" s="359"/>
      <c r="K41" s="359"/>
      <c r="L41" s="359"/>
      <c r="N41" s="371"/>
    </row>
    <row r="42" spans="2:18" ht="12.75">
      <c r="B42" s="371"/>
      <c r="D42" s="109" t="s">
        <v>3924</v>
      </c>
      <c r="G42" s="1748">
        <f>MgtFee</f>
        <v>0.08</v>
      </c>
      <c r="H42" s="359"/>
      <c r="I42" s="359"/>
      <c r="J42" s="3011" t="s">
        <v>112</v>
      </c>
      <c r="K42" s="3012"/>
      <c r="L42" s="3012"/>
      <c r="N42" s="371"/>
    </row>
    <row r="43" spans="2:18" ht="12.75">
      <c r="B43" s="371"/>
      <c r="G43" s="359"/>
      <c r="H43" s="3013" t="s">
        <v>2679</v>
      </c>
      <c r="I43" s="3012"/>
      <c r="J43" s="3012"/>
      <c r="K43" s="3012"/>
      <c r="L43" s="3012"/>
      <c r="N43" s="371"/>
    </row>
    <row r="44" spans="2:18">
      <c r="B44" s="371"/>
      <c r="G44" s="359"/>
      <c r="H44" s="359"/>
      <c r="I44" s="359"/>
      <c r="J44" s="359"/>
      <c r="K44" s="359"/>
      <c r="L44" s="359"/>
      <c r="N44" s="371"/>
    </row>
    <row r="45" spans="2:18">
      <c r="B45" s="371"/>
      <c r="C45" s="371"/>
      <c r="D45" s="371"/>
      <c r="E45" s="371"/>
      <c r="F45" s="371"/>
      <c r="G45" s="371"/>
      <c r="H45" s="371"/>
      <c r="I45" s="371"/>
      <c r="J45" s="371"/>
      <c r="K45" s="371"/>
      <c r="L45" s="371"/>
      <c r="M45" s="371"/>
      <c r="N45" s="371"/>
    </row>
    <row r="47" spans="2:18">
      <c r="D47" s="109" t="s">
        <v>3924</v>
      </c>
      <c r="H47" s="1748">
        <v>0.08</v>
      </c>
      <c r="I47" s="1748">
        <f>MgtFee</f>
        <v>0.08</v>
      </c>
      <c r="J47" s="1748">
        <f>MgtFee</f>
        <v>0.08</v>
      </c>
      <c r="K47" s="1748">
        <f>MgtFee</f>
        <v>0.08</v>
      </c>
      <c r="L47" s="1748">
        <f>MgtFee</f>
        <v>0.08</v>
      </c>
    </row>
    <row r="48" spans="2:18">
      <c r="D48" s="1798" t="s">
        <v>2694</v>
      </c>
    </row>
  </sheetData>
  <mergeCells count="2">
    <mergeCell ref="J42:L42"/>
    <mergeCell ref="H43:L43"/>
  </mergeCells>
  <phoneticPr fontId="0" type="noConversion"/>
  <conditionalFormatting sqref="R31">
    <cfRule type="expression" dxfId="121" priority="1" stopIfTrue="1">
      <formula>$Q$32&gt;0.0499999999999999</formula>
    </cfRule>
  </conditionalFormatting>
  <conditionalFormatting sqref="D48">
    <cfRule type="expression" dxfId="120" priority="2" stopIfTrue="1">
      <formula>$H$47=0.1</formula>
    </cfRule>
  </conditionalFormatting>
  <printOptions horizontalCentered="1"/>
  <pageMargins left="0.5" right="0.5" top="0.75" bottom="0.75" header="0.3" footer="0.3"/>
  <pageSetup scale="90" orientation="portrait" r:id="rId1"/>
  <headerFooter alignWithMargins="0">
    <oddHeader>&amp;L&amp;8For Discussion Purposes Only&amp;C&amp;8DRAFT - Confidential&amp;R&amp;8Actual Results May Differ From This Forecast</oddHeader>
    <oddFooter>&amp;L&amp;8&amp;F&amp;R&amp;8&amp;D @ &amp;T</oddFooter>
  </headerFooter>
  <legacyDrawing r:id="rId2"/>
</worksheet>
</file>

<file path=xl/worksheets/sheet12.xml><?xml version="1.0" encoding="utf-8"?>
<worksheet xmlns="http://schemas.openxmlformats.org/spreadsheetml/2006/main" xmlns:r="http://schemas.openxmlformats.org/officeDocument/2006/relationships">
  <sheetPr codeName="Sheet40">
    <tabColor indexed="57"/>
    <pageSetUpPr autoPageBreaks="0" fitToPage="1"/>
  </sheetPr>
  <dimension ref="A2:AB68"/>
  <sheetViews>
    <sheetView showGridLines="0" zoomScaleSheetLayoutView="100" workbookViewId="0">
      <selection activeCell="I48" sqref="I48"/>
    </sheetView>
  </sheetViews>
  <sheetFormatPr defaultColWidth="12.5703125" defaultRowHeight="11.25" outlineLevelRow="1" outlineLevelCol="1"/>
  <cols>
    <col min="1" max="5" width="2.7109375" style="961" customWidth="1"/>
    <col min="6" max="6" width="24.28515625" style="961" customWidth="1"/>
    <col min="7" max="12" width="10.7109375" style="191" customWidth="1"/>
    <col min="13" max="13" width="2.7109375" style="191" customWidth="1"/>
    <col min="14" max="14" width="10.7109375" style="191" customWidth="1"/>
    <col min="15" max="16" width="2.7109375" style="191" customWidth="1"/>
    <col min="17" max="17" width="2.7109375" style="109" customWidth="1"/>
    <col min="18" max="19" width="8.7109375" style="191" customWidth="1"/>
    <col min="20" max="25" width="12.5703125" style="191"/>
    <col min="26" max="28" width="10.7109375" style="191" customWidth="1" outlineLevel="1"/>
    <col min="29" max="16384" width="12.5703125" style="191"/>
  </cols>
  <sheetData>
    <row r="2" spans="2:28">
      <c r="B2" s="960"/>
      <c r="C2" s="2107" t="s">
        <v>1706</v>
      </c>
      <c r="D2" s="960"/>
      <c r="E2" s="960"/>
      <c r="F2" s="960"/>
      <c r="G2" s="194"/>
      <c r="H2" s="194"/>
      <c r="I2" s="194"/>
      <c r="J2" s="194"/>
      <c r="K2" s="194"/>
      <c r="L2" s="194"/>
      <c r="M2" s="194"/>
      <c r="N2" s="194"/>
      <c r="O2" s="194"/>
      <c r="P2" s="194"/>
    </row>
    <row r="3" spans="2:28">
      <c r="B3" s="960"/>
      <c r="D3" s="962"/>
      <c r="E3" s="962"/>
      <c r="F3" s="962"/>
      <c r="G3" s="3010"/>
      <c r="H3" s="3010"/>
      <c r="I3" s="3010"/>
      <c r="J3" s="3010"/>
      <c r="K3" s="3010"/>
      <c r="L3" s="3010"/>
      <c r="P3" s="194"/>
    </row>
    <row r="4" spans="2:28">
      <c r="B4" s="960"/>
      <c r="D4" s="3010" t="str">
        <f>"Partnership:  "&amp;Project</f>
        <v>Partnership:  Southbend Downtown</v>
      </c>
      <c r="E4" s="3010"/>
      <c r="F4" s="3010"/>
      <c r="G4" s="3010"/>
      <c r="H4" s="3010"/>
      <c r="I4" s="3010"/>
      <c r="J4" s="3014"/>
      <c r="K4" s="3014"/>
      <c r="L4" s="3014"/>
      <c r="M4" s="3014"/>
      <c r="N4" s="3014"/>
      <c r="P4" s="194"/>
    </row>
    <row r="5" spans="2:28">
      <c r="B5" s="960"/>
      <c r="D5" s="3010" t="s">
        <v>1997</v>
      </c>
      <c r="E5" s="3010"/>
      <c r="F5" s="3010"/>
      <c r="G5" s="3010"/>
      <c r="H5" s="3010"/>
      <c r="I5" s="3010"/>
      <c r="J5" s="3014"/>
      <c r="K5" s="3014"/>
      <c r="L5" s="3014"/>
      <c r="M5" s="3014"/>
      <c r="N5" s="3014"/>
      <c r="P5" s="194"/>
    </row>
    <row r="6" spans="2:28">
      <c r="B6" s="960"/>
      <c r="G6" s="196"/>
      <c r="P6" s="194"/>
    </row>
    <row r="7" spans="2:28" hidden="1">
      <c r="B7" s="960"/>
      <c r="D7" s="963" t="s">
        <v>1331</v>
      </c>
      <c r="E7" s="964"/>
      <c r="F7" s="964"/>
      <c r="G7" s="623"/>
      <c r="H7" s="623"/>
      <c r="I7" s="624" t="s">
        <v>2680</v>
      </c>
      <c r="P7" s="194"/>
    </row>
    <row r="8" spans="2:28" ht="12" hidden="1" thickBot="1">
      <c r="B8" s="960"/>
      <c r="D8" s="965"/>
      <c r="E8" s="966"/>
      <c r="F8" s="966"/>
      <c r="G8" s="625" t="s">
        <v>2659</v>
      </c>
      <c r="H8" s="625" t="s">
        <v>2681</v>
      </c>
      <c r="I8" s="626" t="s">
        <v>2682</v>
      </c>
      <c r="N8" s="197"/>
      <c r="P8" s="194"/>
    </row>
    <row r="9" spans="2:28" ht="12" hidden="1" thickBot="1">
      <c r="B9" s="960"/>
      <c r="D9" s="965"/>
      <c r="E9" s="966"/>
      <c r="F9" s="966"/>
      <c r="G9" s="198"/>
      <c r="H9" s="2108"/>
      <c r="I9" s="199"/>
      <c r="N9" s="197"/>
      <c r="P9" s="194"/>
      <c r="R9" s="2735" t="s">
        <v>4095</v>
      </c>
      <c r="S9" s="2736"/>
      <c r="T9" s="2737"/>
    </row>
    <row r="10" spans="2:28" ht="12" hidden="1" thickBot="1">
      <c r="B10" s="960"/>
      <c r="D10" s="965" t="s">
        <v>2862</v>
      </c>
      <c r="E10" s="966"/>
      <c r="F10" s="966"/>
      <c r="G10" s="198">
        <f>-'5. Financials'!$H$249</f>
        <v>-2100398.42</v>
      </c>
      <c r="H10" s="2108">
        <f>PartnerOwnership</f>
        <v>0.4</v>
      </c>
      <c r="I10" s="200">
        <f>G10*H10</f>
        <v>-840159.36800000002</v>
      </c>
      <c r="N10" s="197"/>
      <c r="P10" s="194"/>
      <c r="R10" s="2738">
        <f>PtrCF!$R$10</f>
        <v>0.4</v>
      </c>
      <c r="S10" s="2739" t="s">
        <v>90</v>
      </c>
      <c r="T10" s="2740"/>
      <c r="Z10" s="2619">
        <f>-'5. Financials'!$H$249</f>
        <v>-2100398.42</v>
      </c>
      <c r="AA10" s="2620"/>
    </row>
    <row r="11" spans="2:28" hidden="1">
      <c r="B11" s="960"/>
      <c r="D11" s="965" t="s">
        <v>794</v>
      </c>
      <c r="E11" s="966"/>
      <c r="F11" s="966"/>
      <c r="G11" s="198">
        <f>AA11</f>
        <v>-1407351.58</v>
      </c>
      <c r="H11" s="2108">
        <f>PartnerOwnership</f>
        <v>0.4</v>
      </c>
      <c r="I11" s="200">
        <f>G11*H11</f>
        <v>-562940.6320000001</v>
      </c>
      <c r="K11" s="1486"/>
      <c r="N11" s="197"/>
      <c r="P11" s="194"/>
      <c r="Q11" s="201"/>
      <c r="R11" s="1886">
        <f>G11-I11</f>
        <v>-844410.94799999997</v>
      </c>
      <c r="Z11" s="2621">
        <f>-'5. Financials'!$H$169</f>
        <v>-1407301.001944697</v>
      </c>
      <c r="AA11" s="2622">
        <f>Z15-Z10-Z12</f>
        <v>-1407351.58</v>
      </c>
    </row>
    <row r="12" spans="2:28" hidden="1">
      <c r="B12" s="960"/>
      <c r="D12" s="965" t="s">
        <v>795</v>
      </c>
      <c r="E12" s="966"/>
      <c r="F12" s="966"/>
      <c r="G12" s="198">
        <f>-PtrIS!$P$32</f>
        <v>-65250</v>
      </c>
      <c r="H12" s="2108">
        <f>PartnerOwnership</f>
        <v>0.4</v>
      </c>
      <c r="I12" s="200">
        <f>G12*H12</f>
        <v>-26100</v>
      </c>
      <c r="N12" s="197"/>
      <c r="P12" s="194"/>
      <c r="Q12" s="201"/>
      <c r="Z12" s="2623">
        <f>-PtrIS!$P$32</f>
        <v>-65250</v>
      </c>
      <c r="AA12" s="2622"/>
    </row>
    <row r="13" spans="2:28" hidden="1" outlineLevel="1">
      <c r="B13" s="960"/>
      <c r="D13" s="965" t="s">
        <v>1037</v>
      </c>
      <c r="E13" s="966"/>
      <c r="F13" s="966"/>
      <c r="G13" s="198">
        <v>0</v>
      </c>
      <c r="H13" s="2108">
        <f>PartnerOwnership</f>
        <v>0.4</v>
      </c>
      <c r="I13" s="200">
        <f>G13*H13</f>
        <v>0</v>
      </c>
      <c r="N13" s="197"/>
      <c r="P13" s="194"/>
      <c r="Q13" s="201"/>
      <c r="Z13" s="2621">
        <v>0</v>
      </c>
      <c r="AA13" s="2622"/>
    </row>
    <row r="14" spans="2:28" hidden="1" collapsed="1">
      <c r="B14" s="960"/>
      <c r="D14" s="965" t="s">
        <v>2861</v>
      </c>
      <c r="E14" s="966"/>
      <c r="F14" s="966"/>
      <c r="G14" s="202">
        <f ca="1">-'JV Pmnt Sched'!$F$46</f>
        <v>0</v>
      </c>
      <c r="H14" s="2108">
        <f>PartnerOwnership</f>
        <v>0.4</v>
      </c>
      <c r="I14" s="203">
        <f ca="1">G14*H14</f>
        <v>0</v>
      </c>
      <c r="N14" s="197"/>
      <c r="P14" s="194"/>
      <c r="Q14" s="201"/>
      <c r="Z14" s="2624">
        <f ca="1">-'JV Pmnt Sched'!$F$46</f>
        <v>0</v>
      </c>
      <c r="AA14" s="2622"/>
    </row>
    <row r="15" spans="2:28" ht="12" hidden="1" thickBot="1">
      <c r="B15" s="960"/>
      <c r="D15" s="967"/>
      <c r="E15" s="966"/>
      <c r="F15" s="966"/>
      <c r="G15" s="204">
        <f ca="1">SUM(G9:G14)</f>
        <v>-3573000</v>
      </c>
      <c r="H15" s="2110"/>
      <c r="I15" s="628">
        <f ca="1">SUM(I9:I14)</f>
        <v>-1429200</v>
      </c>
      <c r="N15" s="197"/>
      <c r="P15" s="194"/>
      <c r="Z15" s="2625">
        <f>ROUNDUP(SUM(Z10:Z12),-3)</f>
        <v>-3573000</v>
      </c>
      <c r="AA15" s="2626"/>
      <c r="AB15" s="191">
        <f ca="1">Z15+Z14</f>
        <v>-3573000</v>
      </c>
    </row>
    <row r="16" spans="2:28" hidden="1">
      <c r="B16" s="960"/>
      <c r="D16" s="2111"/>
      <c r="E16" s="969"/>
      <c r="F16" s="969"/>
      <c r="G16" s="630"/>
      <c r="H16" s="629"/>
      <c r="I16" s="631"/>
      <c r="P16" s="194"/>
    </row>
    <row r="17" spans="1:17" s="206" customFormat="1" hidden="1">
      <c r="A17" s="970"/>
      <c r="B17" s="971"/>
      <c r="C17" s="970"/>
      <c r="D17" s="970"/>
      <c r="E17" s="970"/>
      <c r="F17" s="970"/>
      <c r="G17" s="207"/>
      <c r="P17" s="205"/>
      <c r="Q17" s="208"/>
    </row>
    <row r="18" spans="1:17" s="206" customFormat="1" hidden="1">
      <c r="A18" s="970"/>
      <c r="B18" s="971"/>
      <c r="C18" s="970"/>
      <c r="D18" s="970"/>
      <c r="E18" s="970"/>
      <c r="F18" s="970"/>
      <c r="G18" s="207"/>
      <c r="H18" s="209"/>
      <c r="I18" s="209"/>
      <c r="J18" s="209"/>
      <c r="K18" s="209"/>
      <c r="L18" s="209"/>
      <c r="M18" s="209"/>
      <c r="P18" s="205"/>
      <c r="Q18" s="208"/>
    </row>
    <row r="19" spans="1:17" s="206" customFormat="1">
      <c r="A19" s="970"/>
      <c r="B19" s="971"/>
      <c r="C19" s="970"/>
      <c r="D19" s="972"/>
      <c r="E19" s="972"/>
      <c r="F19" s="972"/>
      <c r="G19" s="211" t="s">
        <v>1857</v>
      </c>
      <c r="H19" s="211" t="s">
        <v>1090</v>
      </c>
      <c r="I19" s="211" t="s">
        <v>1091</v>
      </c>
      <c r="J19" s="211" t="s">
        <v>2165</v>
      </c>
      <c r="K19" s="211" t="s">
        <v>2166</v>
      </c>
      <c r="L19" s="211" t="s">
        <v>2167</v>
      </c>
      <c r="M19" s="212"/>
      <c r="N19" s="213" t="s">
        <v>3565</v>
      </c>
      <c r="P19" s="205"/>
      <c r="Q19" s="208"/>
    </row>
    <row r="20" spans="1:17" s="219" customFormat="1">
      <c r="A20" s="970"/>
      <c r="B20" s="971"/>
      <c r="C20" s="970"/>
      <c r="D20" s="973"/>
      <c r="E20" s="973"/>
      <c r="F20" s="973"/>
      <c r="G20" s="235"/>
      <c r="H20" s="235"/>
      <c r="I20" s="235"/>
      <c r="J20" s="235"/>
      <c r="K20" s="235"/>
      <c r="L20" s="235"/>
      <c r="M20" s="216"/>
      <c r="N20" s="235"/>
      <c r="P20" s="233"/>
      <c r="Q20" s="236"/>
    </row>
    <row r="21" spans="1:17" s="219" customFormat="1">
      <c r="A21" s="970"/>
      <c r="B21" s="971"/>
      <c r="C21" s="970"/>
      <c r="D21" s="974" t="s">
        <v>796</v>
      </c>
      <c r="E21" s="973"/>
      <c r="F21" s="973"/>
      <c r="G21" s="235"/>
      <c r="H21" s="219">
        <f>PtrIS!H14/144</f>
        <v>21.593541666666667</v>
      </c>
      <c r="I21" s="219">
        <f>PtrIS!I14/144</f>
        <v>52.739374999999995</v>
      </c>
      <c r="J21" s="219">
        <f>PtrIS!J14/144</f>
        <v>76.871226851851844</v>
      </c>
      <c r="K21" s="219">
        <f>PtrIS!K14/144</f>
        <v>96.297048611111109</v>
      </c>
      <c r="L21" s="219">
        <f>PtrIS!L14/144</f>
        <v>112.20850694444445</v>
      </c>
      <c r="M21" s="216"/>
      <c r="N21" s="235"/>
      <c r="P21" s="233"/>
      <c r="Q21" s="236"/>
    </row>
    <row r="22" spans="1:17" s="219" customFormat="1">
      <c r="A22" s="970"/>
      <c r="B22" s="971"/>
      <c r="C22" s="970"/>
      <c r="D22" s="2112" t="s">
        <v>2709</v>
      </c>
      <c r="E22" s="974"/>
      <c r="F22" s="973"/>
      <c r="G22" s="235"/>
      <c r="H22" s="235"/>
      <c r="I22" s="2113">
        <f>+I21/H21-1</f>
        <v>1.4423679919729082</v>
      </c>
      <c r="J22" s="2113">
        <f>+J21/I21-1</f>
        <v>0.45756802866647273</v>
      </c>
      <c r="K22" s="2113">
        <f>+K21/J21-1</f>
        <v>0.25270601959686689</v>
      </c>
      <c r="L22" s="2113">
        <f>+L21/K21-1</f>
        <v>0.16523308411653037</v>
      </c>
      <c r="M22" s="216"/>
      <c r="N22" s="235"/>
      <c r="P22" s="233"/>
      <c r="Q22" s="236"/>
    </row>
    <row r="23" spans="1:17" s="219" customFormat="1">
      <c r="A23" s="970"/>
      <c r="B23" s="971"/>
      <c r="C23" s="970"/>
      <c r="D23" s="973"/>
      <c r="E23" s="974"/>
      <c r="F23" s="973"/>
      <c r="G23" s="235"/>
      <c r="H23" s="235"/>
      <c r="I23" s="235"/>
      <c r="J23" s="235"/>
      <c r="K23" s="235"/>
      <c r="L23" s="235"/>
      <c r="M23" s="216"/>
      <c r="N23" s="235"/>
      <c r="P23" s="233"/>
      <c r="Q23" s="236"/>
    </row>
    <row r="24" spans="1:17" s="219" customFormat="1">
      <c r="A24" s="970"/>
      <c r="B24" s="971"/>
      <c r="C24" s="970"/>
      <c r="D24" s="974" t="s">
        <v>3529</v>
      </c>
      <c r="E24" s="974"/>
      <c r="F24" s="973"/>
      <c r="G24" s="235"/>
      <c r="H24" s="235">
        <f>PtrIS!H14</f>
        <v>3109.4700000000003</v>
      </c>
      <c r="I24" s="235">
        <f>PtrIS!I14</f>
        <v>7594.4699999999993</v>
      </c>
      <c r="J24" s="235">
        <f>PtrIS!J14</f>
        <v>11069.456666666665</v>
      </c>
      <c r="K24" s="235">
        <f>PtrIS!K14</f>
        <v>13866.775</v>
      </c>
      <c r="L24" s="235">
        <f>PtrIS!L14</f>
        <v>16158.025000000001</v>
      </c>
      <c r="M24" s="216"/>
      <c r="N24" s="235"/>
      <c r="P24" s="233"/>
      <c r="Q24" s="236"/>
    </row>
    <row r="25" spans="1:17" s="219" customFormat="1">
      <c r="A25" s="970"/>
      <c r="B25" s="971"/>
      <c r="C25" s="970"/>
      <c r="D25" s="2114"/>
      <c r="E25" s="974"/>
      <c r="F25" s="973"/>
      <c r="G25" s="235"/>
      <c r="H25" s="235"/>
      <c r="I25" s="235"/>
      <c r="J25" s="235"/>
      <c r="K25" s="235"/>
      <c r="L25" s="235"/>
      <c r="M25" s="216"/>
      <c r="N25" s="235"/>
      <c r="P25" s="233"/>
      <c r="Q25" s="236"/>
    </row>
    <row r="26" spans="1:17" s="219" customFormat="1">
      <c r="A26" s="970"/>
      <c r="B26" s="971"/>
      <c r="C26" s="970"/>
      <c r="D26" s="974" t="s">
        <v>797</v>
      </c>
      <c r="E26" s="974"/>
      <c r="F26" s="973"/>
      <c r="G26" s="235"/>
      <c r="H26" s="2115">
        <f>PtrIS!H37</f>
        <v>348.28558424445731</v>
      </c>
      <c r="I26" s="2115">
        <f>PtrIS!I37</f>
        <v>333.45861775496024</v>
      </c>
      <c r="J26" s="2115">
        <f>PtrIS!J37</f>
        <v>328.60042919337047</v>
      </c>
      <c r="K26" s="2115">
        <f>PtrIS!K37</f>
        <v>327.55401839798935</v>
      </c>
      <c r="L26" s="2115">
        <f>PtrIS!L37</f>
        <v>339.52374449443681</v>
      </c>
      <c r="M26" s="216"/>
      <c r="N26" s="235"/>
      <c r="P26" s="233"/>
      <c r="Q26" s="236"/>
    </row>
    <row r="27" spans="1:17" s="219" customFormat="1">
      <c r="A27" s="970"/>
      <c r="B27" s="971"/>
      <c r="C27" s="970"/>
      <c r="D27" s="973"/>
      <c r="E27" s="973"/>
      <c r="F27" s="973"/>
      <c r="G27" s="235"/>
      <c r="H27" s="235"/>
      <c r="I27" s="235"/>
      <c r="J27" s="235"/>
      <c r="K27" s="235"/>
      <c r="L27" s="235"/>
      <c r="M27" s="216"/>
      <c r="N27" s="235"/>
      <c r="P27" s="233"/>
      <c r="Q27" s="236"/>
    </row>
    <row r="28" spans="1:17" s="219" customFormat="1">
      <c r="A28" s="970"/>
      <c r="B28" s="971"/>
      <c r="C28" s="970"/>
      <c r="D28" s="974" t="s">
        <v>798</v>
      </c>
      <c r="E28" s="973"/>
      <c r="F28" s="973"/>
      <c r="G28" s="235"/>
      <c r="H28" s="235"/>
      <c r="I28" s="235"/>
      <c r="J28" s="235"/>
      <c r="K28" s="235"/>
      <c r="L28" s="235"/>
      <c r="M28" s="216"/>
      <c r="N28" s="235"/>
      <c r="P28" s="233"/>
      <c r="Q28" s="236"/>
    </row>
    <row r="29" spans="1:17" s="242" customFormat="1">
      <c r="A29" s="970"/>
      <c r="B29" s="971"/>
      <c r="C29" s="970"/>
      <c r="D29" s="975"/>
      <c r="E29" s="975" t="s">
        <v>3528</v>
      </c>
      <c r="F29" s="975"/>
      <c r="G29" s="243">
        <f>('5. Financials'!H99+'5. Financials'!H179)*PartnerOwnership</f>
        <v>-105859.25841622241</v>
      </c>
      <c r="H29" s="243">
        <f>('5. Financials'!I178+'5. Financials'!I179)*PartnerOwnership</f>
        <v>-108662.98134235396</v>
      </c>
      <c r="I29" s="243">
        <f>('5. Financials'!J178+'5. Financials'!J179)*PartnerOwnership</f>
        <v>113811.4010302933</v>
      </c>
      <c r="J29" s="243">
        <f>('5. Financials'!K178+'5. Financials'!K179)*PartnerOwnership</f>
        <v>237776.53312140389</v>
      </c>
      <c r="K29" s="243">
        <f>('5. Financials'!L178+'5. Financials'!L179)*PartnerOwnership</f>
        <v>324164.85121740756</v>
      </c>
      <c r="L29" s="243">
        <f>('5. Financials'!M178+'5. Financials'!M179)*PartnerOwnership</f>
        <v>463941.20953939896</v>
      </c>
      <c r="M29" s="244"/>
      <c r="N29" s="243">
        <f t="shared" ref="N29:N36" si="0">SUM(G29:M29)</f>
        <v>925171.75514992734</v>
      </c>
      <c r="P29" s="241"/>
      <c r="Q29" s="245"/>
    </row>
    <row r="30" spans="1:17" s="219" customFormat="1">
      <c r="A30" s="970"/>
      <c r="B30" s="971"/>
      <c r="C30" s="970"/>
      <c r="D30" s="975"/>
      <c r="E30" s="975" t="s">
        <v>1382</v>
      </c>
      <c r="F30" s="975"/>
      <c r="G30" s="217">
        <f>SUM(G31:G34)</f>
        <v>-457081.37358377769</v>
      </c>
      <c r="H30" s="217">
        <f>SUM(H31:H35)</f>
        <v>141593.39800902066</v>
      </c>
      <c r="I30" s="217">
        <f ca="1">SUM(I31:I35)</f>
        <v>-50868.660906917663</v>
      </c>
      <c r="J30" s="217">
        <f ca="1">SUM(J31:J35)</f>
        <v>-97314.291644321303</v>
      </c>
      <c r="K30" s="217">
        <f ca="1">SUM(K31:K35)</f>
        <v>-108557.58898213285</v>
      </c>
      <c r="L30" s="217">
        <f ca="1">SUM(L31:L35)</f>
        <v>-95850.255439238768</v>
      </c>
      <c r="M30" s="217"/>
      <c r="N30" s="217">
        <f t="shared" ca="1" si="0"/>
        <v>-668078.77254736761</v>
      </c>
      <c r="P30" s="233"/>
      <c r="Q30" s="236"/>
    </row>
    <row r="31" spans="1:17" s="219" customFormat="1" hidden="1" outlineLevel="1">
      <c r="A31" s="970"/>
      <c r="B31" s="971"/>
      <c r="C31" s="970"/>
      <c r="D31" s="975"/>
      <c r="E31" s="975"/>
      <c r="F31" s="975" t="s">
        <v>2858</v>
      </c>
      <c r="G31" s="217">
        <f>'5. Financials'!H181*PartnerOwnership</f>
        <v>0</v>
      </c>
      <c r="H31" s="217">
        <f>'5. Financials'!I181*PartnerOwnership</f>
        <v>-130518.96018955234</v>
      </c>
      <c r="I31" s="217">
        <f>'5. Financials'!J181*PartnerOwnership</f>
        <v>-110602.91155334422</v>
      </c>
      <c r="J31" s="217">
        <f>'5. Financials'!K181*PartnerOwnership</f>
        <v>-63433.881411538459</v>
      </c>
      <c r="K31" s="217">
        <f>'5. Financials'!L181*PartnerOwnership</f>
        <v>-75500.67542832419</v>
      </c>
      <c r="L31" s="217">
        <f>'5. Financials'!M181*PartnerOwnership</f>
        <v>-69163.664748984578</v>
      </c>
      <c r="N31" s="217">
        <f t="shared" si="0"/>
        <v>-449220.09333174379</v>
      </c>
      <c r="P31" s="233"/>
      <c r="Q31" s="236"/>
    </row>
    <row r="32" spans="1:17" s="219" customFormat="1" hidden="1" outlineLevel="1">
      <c r="A32" s="970"/>
      <c r="B32" s="971"/>
      <c r="C32" s="970"/>
      <c r="D32" s="975"/>
      <c r="E32" s="975"/>
      <c r="F32" s="975" t="s">
        <v>1406</v>
      </c>
      <c r="G32" s="215">
        <f>'5. Financials'!H182*PartnerOwnership</f>
        <v>0</v>
      </c>
      <c r="H32" s="215">
        <f>'5. Financials'!I182*PartnerOwnership</f>
        <v>-4649.3014707445318</v>
      </c>
      <c r="I32" s="215">
        <f>'5. Financials'!J182*PartnerOwnership</f>
        <v>-3831.5901757623587</v>
      </c>
      <c r="J32" s="215">
        <f>'5. Financials'!K182*PartnerOwnership</f>
        <v>-2663.3443629452759</v>
      </c>
      <c r="K32" s="215">
        <f>'5. Financials'!L182*PartnerOwnership</f>
        <v>-2919.811986869498</v>
      </c>
      <c r="L32" s="217">
        <f>'5. Financials'!M182*PartnerOwnership</f>
        <v>-2113.5452620040364</v>
      </c>
      <c r="N32" s="219">
        <f t="shared" si="0"/>
        <v>-16177.5932583257</v>
      </c>
      <c r="P32" s="233"/>
      <c r="Q32" s="236"/>
    </row>
    <row r="33" spans="1:23" s="219" customFormat="1" hidden="1" outlineLevel="1">
      <c r="A33" s="970"/>
      <c r="B33" s="971"/>
      <c r="C33" s="970"/>
      <c r="D33" s="975"/>
      <c r="E33" s="975"/>
      <c r="F33" s="975" t="s">
        <v>1695</v>
      </c>
      <c r="G33" s="215">
        <f>'5. Financials'!H183*PartnerOwnership</f>
        <v>0</v>
      </c>
      <c r="H33" s="215">
        <f>'5. Financials'!I183*PartnerOwnership</f>
        <v>25620.323078175326</v>
      </c>
      <c r="I33" s="215">
        <f>'5. Financials'!J183*PartnerOwnership</f>
        <v>20503.854564619771</v>
      </c>
      <c r="J33" s="215">
        <f>'5. Financials'!K183*PartnerOwnership</f>
        <v>17084.327665686211</v>
      </c>
      <c r="K33" s="215">
        <f>'5. Financials'!L183*PartnerOwnership</f>
        <v>15858.666669738584</v>
      </c>
      <c r="L33" s="217">
        <f>'5. Financials'!M183*PartnerOwnership</f>
        <v>12868.434455279894</v>
      </c>
      <c r="N33" s="215">
        <f t="shared" si="0"/>
        <v>91935.606433499779</v>
      </c>
      <c r="P33" s="233"/>
    </row>
    <row r="34" spans="1:23" s="219" customFormat="1" hidden="1" outlineLevel="1">
      <c r="A34" s="970"/>
      <c r="B34" s="971"/>
      <c r="C34" s="970"/>
      <c r="D34" s="975"/>
      <c r="E34" s="975"/>
      <c r="F34" s="975" t="s">
        <v>3390</v>
      </c>
      <c r="G34" s="215">
        <f>I11-G29</f>
        <v>-457081.37358377769</v>
      </c>
      <c r="M34" s="1880"/>
      <c r="N34" s="215">
        <f t="shared" si="0"/>
        <v>-457081.37358377769</v>
      </c>
      <c r="P34" s="233"/>
    </row>
    <row r="35" spans="1:23" s="219" customFormat="1" hidden="1" outlineLevel="1">
      <c r="A35" s="970"/>
      <c r="B35" s="971"/>
      <c r="C35" s="970"/>
      <c r="D35" s="975"/>
      <c r="E35" s="975"/>
      <c r="F35" s="975" t="s">
        <v>799</v>
      </c>
      <c r="G35" s="215"/>
      <c r="H35" s="215">
        <f>-'5. Financials'!I189*PartnerOwnership-SUM('PtrCF OUTPUT'!H29:H29,'PtrCF OUTPUT'!H39,H31:H33)</f>
        <v>251141.3365911422</v>
      </c>
      <c r="I35" s="215">
        <f ca="1">-'5. Financials'!J189*PartnerOwnership-SUM('PtrCF OUTPUT'!I29:I29,'PtrCF OUTPUT'!I39,I31:I33)</f>
        <v>43061.986257569151</v>
      </c>
      <c r="J35" s="215">
        <f ca="1">-'5. Financials'!K189*PartnerOwnership-SUM('PtrCF OUTPUT'!J29:J29,'PtrCF OUTPUT'!J39,J31:J33)</f>
        <v>-48301.393535523777</v>
      </c>
      <c r="K35" s="215">
        <f ca="1">-'5. Financials'!L189*PartnerOwnership-SUM('PtrCF OUTPUT'!K29:K29,'PtrCF OUTPUT'!K39,K31:K33)</f>
        <v>-45995.768236677744</v>
      </c>
      <c r="L35" s="215">
        <f ca="1">-'5. Financials'!M189*PartnerOwnership-SUM('PtrCF OUTPUT'!L29:L29,'PtrCF OUTPUT'!L39,L31:L33)</f>
        <v>-37441.479883530061</v>
      </c>
      <c r="M35" s="1880"/>
      <c r="N35" s="215">
        <f t="shared" ca="1" si="0"/>
        <v>162464.68119297974</v>
      </c>
      <c r="P35" s="233"/>
    </row>
    <row r="36" spans="1:23" s="219" customFormat="1" collapsed="1">
      <c r="A36" s="970"/>
      <c r="B36" s="971"/>
      <c r="C36" s="970"/>
      <c r="D36" s="975"/>
      <c r="E36" s="975" t="s">
        <v>1863</v>
      </c>
      <c r="F36" s="975"/>
      <c r="G36" s="215">
        <f>I12</f>
        <v>-26100</v>
      </c>
      <c r="H36" s="215"/>
      <c r="I36" s="215"/>
      <c r="J36" s="215"/>
      <c r="K36" s="215"/>
      <c r="L36" s="215"/>
      <c r="N36" s="215">
        <f t="shared" si="0"/>
        <v>-26100</v>
      </c>
      <c r="P36" s="233"/>
    </row>
    <row r="37" spans="1:23" s="219" customFormat="1">
      <c r="A37" s="970"/>
      <c r="B37" s="971"/>
      <c r="C37" s="970"/>
      <c r="D37" s="975"/>
      <c r="E37" s="975"/>
      <c r="F37" s="975"/>
      <c r="G37" s="215"/>
      <c r="H37" s="215"/>
      <c r="I37" s="215"/>
      <c r="J37" s="215"/>
      <c r="K37" s="215"/>
      <c r="L37" s="215"/>
      <c r="N37" s="215"/>
      <c r="P37" s="233"/>
    </row>
    <row r="38" spans="1:23" s="219" customFormat="1">
      <c r="A38" s="970"/>
      <c r="B38" s="971"/>
      <c r="C38" s="970"/>
      <c r="D38" s="975" t="s">
        <v>800</v>
      </c>
      <c r="E38" s="975"/>
      <c r="F38" s="975"/>
      <c r="G38" s="215"/>
      <c r="H38" s="215"/>
      <c r="I38" s="215"/>
      <c r="J38" s="215"/>
      <c r="K38" s="215"/>
      <c r="L38" s="215"/>
      <c r="N38" s="215"/>
      <c r="P38" s="233"/>
    </row>
    <row r="39" spans="1:23" s="219" customFormat="1">
      <c r="A39" s="970"/>
      <c r="B39" s="971"/>
      <c r="C39" s="970"/>
      <c r="D39" s="975"/>
      <c r="E39" s="975" t="s">
        <v>1697</v>
      </c>
      <c r="F39" s="975"/>
      <c r="G39" s="215">
        <f>I10</f>
        <v>-840159.36800000002</v>
      </c>
      <c r="H39" s="215">
        <f>'5. Financials'!I186*PartnerOwnership</f>
        <v>-32930.416666666664</v>
      </c>
      <c r="I39" s="215">
        <f>'5. Financials'!J186*PartnerOwnership</f>
        <v>-36679.108333333337</v>
      </c>
      <c r="J39" s="215">
        <f>'5. Financials'!K186*PartnerOwnership</f>
        <v>-36666.451666666653</v>
      </c>
      <c r="K39" s="215">
        <f>'5. Financials'!L186*PartnerOwnership</f>
        <v>-30277.468466666633</v>
      </c>
      <c r="L39" s="219">
        <f>'5. Financials'!M186*PartnerOwnership</f>
        <v>-27683.962103999991</v>
      </c>
      <c r="N39" s="215">
        <f>SUM(G39:M39)</f>
        <v>-1004396.7752373333</v>
      </c>
      <c r="P39" s="233"/>
    </row>
    <row r="40" spans="1:23" s="219" customFormat="1">
      <c r="A40" s="970"/>
      <c r="B40" s="971"/>
      <c r="C40" s="970"/>
      <c r="D40" s="975"/>
      <c r="E40" s="975" t="s">
        <v>417</v>
      </c>
      <c r="F40" s="975"/>
      <c r="G40" s="215"/>
      <c r="H40" s="215"/>
      <c r="I40" s="215"/>
      <c r="J40" s="215"/>
      <c r="K40" s="215"/>
      <c r="L40" s="1485">
        <f>ExitMultiple*'5. Financials'!M96*PartnerOwnership</f>
        <v>2783647.2572363936</v>
      </c>
      <c r="N40" s="215">
        <f>SUM(G40:M40)</f>
        <v>2783647.2572363936</v>
      </c>
      <c r="P40" s="233"/>
      <c r="R40" s="735">
        <v>6</v>
      </c>
      <c r="S40" s="219" t="s">
        <v>751</v>
      </c>
    </row>
    <row r="41" spans="1:23" s="219" customFormat="1">
      <c r="A41" s="970"/>
      <c r="B41" s="971"/>
      <c r="C41" s="970"/>
      <c r="D41" s="2116"/>
      <c r="E41" s="2116"/>
      <c r="F41" s="2116"/>
      <c r="G41" s="220"/>
      <c r="H41" s="220"/>
      <c r="I41" s="220"/>
      <c r="J41" s="220"/>
      <c r="K41" s="220"/>
      <c r="L41" s="220"/>
      <c r="N41" s="220"/>
      <c r="P41" s="233"/>
      <c r="Q41" s="236"/>
    </row>
    <row r="42" spans="1:23" s="242" customFormat="1" ht="12" thickBot="1">
      <c r="A42" s="970"/>
      <c r="B42" s="971"/>
      <c r="C42" s="970"/>
      <c r="D42" s="1538" t="s">
        <v>418</v>
      </c>
      <c r="E42" s="2117"/>
      <c r="F42" s="2117"/>
      <c r="G42" s="246">
        <f>SUM(G29:G30,G36,G39,G40)</f>
        <v>-1429200</v>
      </c>
      <c r="H42" s="246">
        <f>ROUND(SUM(H29:H30,H36,H39,H40),0)</f>
        <v>0</v>
      </c>
      <c r="I42" s="246">
        <f ca="1">SUM(I29:I30,I36,I39,I40)</f>
        <v>26263.631790042302</v>
      </c>
      <c r="J42" s="246">
        <f ca="1">SUM(J29:J30,J36,J39,J40)</f>
        <v>103795.78981041594</v>
      </c>
      <c r="K42" s="246">
        <f ca="1">SUM(K29:K30,K36,K39,K40)</f>
        <v>185329.79376860807</v>
      </c>
      <c r="L42" s="246">
        <f ca="1">SUM(L29:L30,L36,L39,L40)</f>
        <v>3124054.2492325539</v>
      </c>
      <c r="M42" s="243"/>
      <c r="N42" s="246">
        <f ca="1">SUM(G42:M42)</f>
        <v>2010243.4646016201</v>
      </c>
      <c r="P42" s="241"/>
      <c r="Q42" s="245"/>
      <c r="R42" s="2109">
        <v>0.12</v>
      </c>
      <c r="S42" s="242" t="s">
        <v>419</v>
      </c>
    </row>
    <row r="43" spans="1:23" s="242" customFormat="1" ht="12" hidden="1" outlineLevel="1" thickTop="1">
      <c r="A43" s="970"/>
      <c r="B43" s="971"/>
      <c r="C43" s="970"/>
      <c r="D43" s="975"/>
      <c r="E43" s="976"/>
      <c r="F43" s="976"/>
      <c r="G43" s="243"/>
      <c r="H43" s="243"/>
      <c r="I43" s="243"/>
      <c r="J43" s="243"/>
      <c r="K43" s="243"/>
      <c r="L43" s="243"/>
      <c r="M43" s="243"/>
      <c r="N43" s="243"/>
      <c r="P43" s="241"/>
      <c r="Q43" s="245"/>
    </row>
    <row r="44" spans="1:23" s="219" customFormat="1" hidden="1" outlineLevel="1">
      <c r="A44" s="970"/>
      <c r="B44" s="971"/>
      <c r="C44" s="970"/>
      <c r="D44" s="215" t="s">
        <v>420</v>
      </c>
      <c r="E44" s="976"/>
      <c r="F44" s="976"/>
      <c r="G44" s="220"/>
      <c r="H44" s="2118">
        <f>'2.3 Expenses'!T10</f>
        <v>169421</v>
      </c>
      <c r="I44" s="2118">
        <f>'2.3 Expenses'!U10</f>
        <v>169421</v>
      </c>
      <c r="J44" s="2118">
        <f>'2.3 Expenses'!V10</f>
        <v>169421</v>
      </c>
      <c r="K44" s="2118">
        <f>'2.3 Expenses'!W10</f>
        <v>169421</v>
      </c>
      <c r="L44" s="2118">
        <f>SUM(R47,S48:W48)</f>
        <v>902925.26701494399</v>
      </c>
      <c r="M44" s="215"/>
      <c r="N44" s="2119">
        <f>SUM(G44:M44)</f>
        <v>1580609.267014944</v>
      </c>
      <c r="P44" s="233"/>
      <c r="Q44" s="236"/>
      <c r="R44" s="109"/>
      <c r="S44" s="2120">
        <v>1</v>
      </c>
      <c r="T44" s="2120">
        <f>+S44+1</f>
        <v>2</v>
      </c>
      <c r="U44" s="2120">
        <f>+T44+1</f>
        <v>3</v>
      </c>
      <c r="V44" s="2120">
        <f>+U44+1</f>
        <v>4</v>
      </c>
      <c r="W44" s="2120">
        <f>+V44+1</f>
        <v>5</v>
      </c>
    </row>
    <row r="45" spans="1:23" s="242" customFormat="1" ht="12" hidden="1" outlineLevel="1" thickBot="1">
      <c r="A45" s="970"/>
      <c r="B45" s="971"/>
      <c r="C45" s="970"/>
      <c r="D45" s="1538" t="s">
        <v>421</v>
      </c>
      <c r="E45" s="2121"/>
      <c r="F45" s="2121"/>
      <c r="G45" s="2122">
        <f t="shared" ref="G45:L45" si="1">+G42+G44</f>
        <v>-1429200</v>
      </c>
      <c r="H45" s="2122">
        <f t="shared" si="1"/>
        <v>169421</v>
      </c>
      <c r="I45" s="2122">
        <f t="shared" ca="1" si="1"/>
        <v>195684.6317900423</v>
      </c>
      <c r="J45" s="2122">
        <f t="shared" ca="1" si="1"/>
        <v>273216.78981041594</v>
      </c>
      <c r="K45" s="2122">
        <f t="shared" ca="1" si="1"/>
        <v>354750.79376860807</v>
      </c>
      <c r="L45" s="2122">
        <f t="shared" ca="1" si="1"/>
        <v>4026979.5162474979</v>
      </c>
      <c r="M45" s="243"/>
      <c r="N45" s="2122">
        <f ca="1">SUM(G45:M45)</f>
        <v>3590852.7316165641</v>
      </c>
      <c r="P45" s="241"/>
      <c r="Q45" s="245"/>
      <c r="R45" s="109" t="s">
        <v>2167</v>
      </c>
      <c r="S45" s="2123">
        <v>6</v>
      </c>
      <c r="T45" s="2123">
        <f>S45+1</f>
        <v>7</v>
      </c>
      <c r="U45" s="2123">
        <f>T45+1</f>
        <v>8</v>
      </c>
      <c r="V45" s="2123">
        <f>U45+1</f>
        <v>9</v>
      </c>
      <c r="W45" s="2123">
        <f>V45+1</f>
        <v>10</v>
      </c>
    </row>
    <row r="46" spans="1:23" s="219" customFormat="1" ht="12" collapsed="1" thickTop="1">
      <c r="A46" s="970"/>
      <c r="B46" s="971"/>
      <c r="C46" s="970"/>
      <c r="D46" s="976"/>
      <c r="E46" s="976"/>
      <c r="F46" s="976"/>
      <c r="G46" s="215"/>
      <c r="H46" s="215"/>
      <c r="I46" s="215"/>
      <c r="J46" s="215"/>
      <c r="K46" s="215"/>
      <c r="L46" s="215"/>
      <c r="M46" s="215"/>
      <c r="N46" s="217"/>
      <c r="P46" s="233"/>
      <c r="Q46" s="236"/>
      <c r="R46" s="109" t="s">
        <v>422</v>
      </c>
      <c r="S46" s="2124">
        <f>'2.3 Expenses'!X11</f>
        <v>0</v>
      </c>
      <c r="T46" s="109"/>
      <c r="U46" s="191"/>
      <c r="V46" s="191"/>
      <c r="W46" s="191"/>
    </row>
    <row r="47" spans="1:23" s="219" customFormat="1">
      <c r="A47" s="970"/>
      <c r="B47" s="971"/>
      <c r="C47" s="974"/>
      <c r="E47" s="2125" t="s">
        <v>488</v>
      </c>
      <c r="F47" s="958"/>
      <c r="G47" s="239"/>
      <c r="H47" s="217"/>
      <c r="J47" s="979"/>
      <c r="K47" s="975"/>
      <c r="L47" s="240"/>
      <c r="M47" s="216"/>
      <c r="P47" s="233"/>
      <c r="Q47" s="236"/>
      <c r="R47" s="645">
        <f>'2.3 Expenses'!X10</f>
        <v>169421</v>
      </c>
      <c r="S47" s="359">
        <f>R47*(1+$S$46)</f>
        <v>169421</v>
      </c>
      <c r="T47" s="359">
        <f>S47*(1+$S$46)</f>
        <v>169421</v>
      </c>
      <c r="U47" s="359">
        <f>T47*(1+$S$46)</f>
        <v>169421</v>
      </c>
      <c r="V47" s="359">
        <f>U47*(1+$S$46)</f>
        <v>169421</v>
      </c>
      <c r="W47" s="359">
        <f>V47*(1+$S$46)</f>
        <v>169421</v>
      </c>
    </row>
    <row r="48" spans="1:23" s="206" customFormat="1">
      <c r="A48" s="970"/>
      <c r="B48" s="971"/>
      <c r="C48" s="974"/>
      <c r="D48" s="970"/>
      <c r="E48" s="2126" t="s">
        <v>423</v>
      </c>
      <c r="F48" s="2127"/>
      <c r="G48" s="2128">
        <f ca="1">IRR(G42:L42)</f>
        <v>0.19894642120911973</v>
      </c>
      <c r="H48" s="218"/>
      <c r="I48" s="970"/>
      <c r="J48" s="1286"/>
      <c r="K48" s="984"/>
      <c r="L48" s="2931"/>
      <c r="M48" s="212"/>
      <c r="P48" s="205"/>
      <c r="Q48" s="208"/>
      <c r="R48" s="1796" t="s">
        <v>424</v>
      </c>
      <c r="S48" s="359">
        <f>S47/(1+$R$49)^S44</f>
        <v>161353.33333333331</v>
      </c>
      <c r="T48" s="359">
        <f>T47/(1+$R$49)^T44</f>
        <v>153669.84126984127</v>
      </c>
      <c r="U48" s="359">
        <f>U47/(1+$R$49)^U44</f>
        <v>146352.22978080119</v>
      </c>
      <c r="V48" s="359">
        <f>V47/(1+$R$49)^V44</f>
        <v>139383.07598171543</v>
      </c>
      <c r="W48" s="359">
        <f>W47/(1+$R$49)^W44</f>
        <v>132745.78664925278</v>
      </c>
    </row>
    <row r="49" spans="1:23" s="206" customFormat="1">
      <c r="A49" s="970"/>
      <c r="B49" s="971"/>
      <c r="C49" s="974"/>
      <c r="D49" s="970"/>
      <c r="E49" s="982" t="s">
        <v>4226</v>
      </c>
      <c r="F49" s="983"/>
      <c r="G49" s="2129">
        <f ca="1">G42+NPV($R$42, H42:L42)*(1+$R$42)^0.5</f>
        <v>671811.97903158749</v>
      </c>
      <c r="H49" s="218"/>
      <c r="I49" s="970"/>
      <c r="J49" s="1286"/>
      <c r="K49" s="1286"/>
      <c r="L49" s="2932"/>
      <c r="M49" s="212"/>
      <c r="P49" s="205"/>
      <c r="Q49" s="208"/>
      <c r="R49" s="2133">
        <v>0.05</v>
      </c>
      <c r="S49" s="109"/>
      <c r="T49" s="109"/>
      <c r="U49" s="191"/>
      <c r="V49" s="191"/>
      <c r="W49" s="191"/>
    </row>
    <row r="50" spans="1:23" s="206" customFormat="1" ht="11.25" hidden="1" customHeight="1" outlineLevel="1">
      <c r="A50" s="970"/>
      <c r="B50" s="971"/>
      <c r="C50" s="974"/>
      <c r="D50" s="970"/>
      <c r="E50" s="984"/>
      <c r="F50" s="984"/>
      <c r="G50" s="2130"/>
      <c r="H50" s="218"/>
      <c r="I50" s="218"/>
      <c r="J50" s="214"/>
      <c r="K50" s="221"/>
      <c r="L50" s="214"/>
      <c r="M50" s="212"/>
      <c r="P50" s="205"/>
      <c r="Q50" s="208"/>
    </row>
    <row r="51" spans="1:23" s="206" customFormat="1" ht="11.25" hidden="1" customHeight="1" outlineLevel="1">
      <c r="A51" s="970"/>
      <c r="B51" s="971"/>
      <c r="C51" s="974"/>
      <c r="D51" s="970" t="s">
        <v>2505</v>
      </c>
      <c r="E51" s="984"/>
      <c r="F51" s="984"/>
      <c r="G51" s="2130"/>
      <c r="H51" s="218"/>
      <c r="I51" s="218"/>
      <c r="J51" s="214"/>
      <c r="K51" s="221"/>
      <c r="L51" s="214"/>
      <c r="M51" s="212"/>
      <c r="P51" s="205"/>
      <c r="Q51" s="208"/>
    </row>
    <row r="52" spans="1:23" s="206" customFormat="1" ht="11.25" hidden="1" customHeight="1" outlineLevel="1">
      <c r="A52" s="970"/>
      <c r="B52" s="971"/>
      <c r="C52" s="974"/>
      <c r="D52" s="970"/>
      <c r="E52" s="1480" t="s">
        <v>2504</v>
      </c>
      <c r="F52" s="1481"/>
      <c r="G52" s="2131">
        <f>1/12*PtrIS!H26</f>
        <v>112886.7524163748</v>
      </c>
      <c r="H52" s="218"/>
      <c r="I52" s="218"/>
      <c r="J52" s="214"/>
      <c r="K52" s="221"/>
      <c r="L52" s="214"/>
      <c r="M52" s="212"/>
      <c r="P52" s="205"/>
      <c r="Q52" s="208"/>
    </row>
    <row r="53" spans="1:23" s="206" customFormat="1" collapsed="1">
      <c r="A53" s="970"/>
      <c r="B53" s="971"/>
      <c r="C53" s="970"/>
      <c r="D53" s="984"/>
      <c r="E53" s="984"/>
      <c r="F53" s="984"/>
      <c r="G53" s="222"/>
      <c r="H53" s="218"/>
      <c r="I53" s="218"/>
      <c r="J53" s="214"/>
      <c r="K53" s="221"/>
      <c r="L53" s="214"/>
      <c r="M53" s="212"/>
      <c r="P53" s="205"/>
      <c r="Q53" s="208"/>
    </row>
    <row r="54" spans="1:23" s="206" customFormat="1">
      <c r="A54" s="970"/>
      <c r="B54" s="971"/>
      <c r="C54" s="970"/>
      <c r="D54" s="984" t="str">
        <f>"(a)  Assumes "&amp;TEXT(R55, "0")&amp;" months of operating expenses for start-up working capital."</f>
        <v>(a)  Assumes 12 months of operating expenses for start-up working capital.</v>
      </c>
      <c r="E54" s="984"/>
      <c r="F54" s="984"/>
      <c r="G54" s="222"/>
      <c r="H54" s="218"/>
      <c r="I54" s="218"/>
      <c r="J54" s="214"/>
      <c r="K54" s="221"/>
      <c r="L54" s="214"/>
      <c r="M54" s="212"/>
      <c r="P54" s="205"/>
      <c r="Q54" s="208"/>
      <c r="R54" s="206" t="s">
        <v>425</v>
      </c>
    </row>
    <row r="55" spans="1:23" s="206" customFormat="1">
      <c r="A55" s="970"/>
      <c r="B55" s="971"/>
      <c r="C55" s="970"/>
      <c r="D55" s="984" t="str">
        <f>"(b)  Assumes "&amp;TEXT(PtrIS!Q32, "0.0%")&amp;" development fee."</f>
        <v>(b)  Assumes 5.0% development fee.</v>
      </c>
      <c r="E55" s="984"/>
      <c r="F55" s="984"/>
      <c r="G55" s="222"/>
      <c r="H55" s="218"/>
      <c r="I55" s="218"/>
      <c r="J55" s="214"/>
      <c r="K55" s="221"/>
      <c r="L55" s="214"/>
      <c r="P55" s="205"/>
      <c r="Q55" s="208"/>
      <c r="R55" s="2132">
        <f>IF(PtrIS!H26=0,0,-G11/(PtrIS!H26/12))</f>
        <v>12.466933009190337</v>
      </c>
    </row>
    <row r="56" spans="1:23" s="206" customFormat="1" ht="12.75">
      <c r="A56" s="970"/>
      <c r="B56" s="971"/>
      <c r="C56" s="970"/>
      <c r="D56" s="984" t="str">
        <f>"(c)  Assumes year 5 terminal value of "&amp;TEXT(ExitMultiple, "0.0x")&amp;" EBITDA."</f>
        <v>(c)  Assumes year 5 terminal value of 6.0x EBITDA.</v>
      </c>
      <c r="E56" s="984"/>
      <c r="F56" s="984"/>
      <c r="G56" s="222"/>
      <c r="H56" s="218"/>
      <c r="I56" s="218"/>
      <c r="J56" s="229"/>
      <c r="K56" s="3015" t="s">
        <v>112</v>
      </c>
      <c r="L56" s="3012"/>
      <c r="M56" s="3012"/>
      <c r="N56" s="3012"/>
      <c r="P56" s="205"/>
      <c r="Q56" s="208"/>
      <c r="R56" s="2132"/>
    </row>
    <row r="57" spans="1:23" s="206" customFormat="1" ht="12.75">
      <c r="A57" s="970"/>
      <c r="B57" s="971"/>
      <c r="C57" s="970"/>
      <c r="D57" s="984" t="str">
        <f>"(d)  Assumes "&amp;TEXT(R42, "0.0%")&amp;" discount rate."</f>
        <v>(d)  Assumes 12.0% discount rate.</v>
      </c>
      <c r="E57" s="984"/>
      <c r="F57" s="984"/>
      <c r="G57" s="222"/>
      <c r="H57" s="218"/>
      <c r="I57" s="3016" t="s">
        <v>2679</v>
      </c>
      <c r="J57" s="3012"/>
      <c r="K57" s="3012"/>
      <c r="L57" s="3012"/>
      <c r="M57" s="3012"/>
      <c r="N57" s="3012"/>
      <c r="P57" s="205"/>
      <c r="Q57" s="208"/>
      <c r="R57" s="2132"/>
    </row>
    <row r="58" spans="1:23" s="206" customFormat="1" collapsed="1">
      <c r="A58" s="970"/>
      <c r="B58" s="971"/>
      <c r="C58" s="970"/>
      <c r="E58" s="1287"/>
      <c r="F58" s="1287"/>
      <c r="I58" s="226"/>
      <c r="J58" s="226"/>
      <c r="K58" s="226"/>
      <c r="P58" s="205"/>
      <c r="Q58" s="208"/>
    </row>
    <row r="59" spans="1:23" s="206" customFormat="1">
      <c r="A59" s="970"/>
      <c r="B59" s="971"/>
      <c r="C59" s="970"/>
      <c r="D59" s="1287"/>
      <c r="E59" s="1287"/>
      <c r="F59" s="1287"/>
      <c r="G59" s="207"/>
      <c r="I59" s="226"/>
      <c r="P59" s="205"/>
      <c r="Q59" s="208"/>
    </row>
    <row r="60" spans="1:23" s="206" customFormat="1">
      <c r="A60" s="970"/>
      <c r="B60" s="971"/>
      <c r="C60" s="970"/>
      <c r="D60" s="1287"/>
      <c r="E60" s="1287"/>
      <c r="F60" s="1287"/>
      <c r="I60" s="229"/>
      <c r="P60" s="205"/>
      <c r="Q60" s="208"/>
    </row>
    <row r="61" spans="1:23" s="206" customFormat="1">
      <c r="A61" s="970"/>
      <c r="B61" s="971"/>
      <c r="C61" s="970"/>
      <c r="D61" s="970"/>
      <c r="E61" s="970"/>
      <c r="F61" s="970"/>
      <c r="P61" s="205"/>
      <c r="Q61" s="208"/>
    </row>
    <row r="62" spans="1:23" s="206" customFormat="1">
      <c r="A62" s="970"/>
      <c r="B62" s="971"/>
      <c r="C62" s="971"/>
      <c r="D62" s="971"/>
      <c r="E62" s="971"/>
      <c r="F62" s="971"/>
      <c r="G62" s="205"/>
      <c r="H62" s="205"/>
      <c r="I62" s="205"/>
      <c r="J62" s="205"/>
      <c r="K62" s="205"/>
      <c r="L62" s="205"/>
      <c r="M62" s="205"/>
      <c r="N62" s="205"/>
      <c r="O62" s="205"/>
      <c r="P62" s="205"/>
      <c r="Q62" s="208"/>
    </row>
    <row r="63" spans="1:23" s="206" customFormat="1">
      <c r="A63" s="970"/>
      <c r="B63" s="985"/>
      <c r="C63" s="985"/>
      <c r="D63" s="985"/>
      <c r="E63" s="985"/>
      <c r="F63" s="985"/>
      <c r="G63" s="227"/>
      <c r="H63" s="227"/>
      <c r="I63" s="227"/>
      <c r="J63" s="227"/>
      <c r="K63" s="227"/>
      <c r="L63" s="227"/>
      <c r="M63" s="227"/>
      <c r="N63" s="227"/>
      <c r="O63" s="227"/>
      <c r="P63" s="227"/>
      <c r="Q63" s="208"/>
    </row>
    <row r="64" spans="1:23" s="206" customFormat="1">
      <c r="A64" s="970"/>
      <c r="B64" s="985"/>
      <c r="C64" s="985"/>
      <c r="D64" s="985" t="s">
        <v>3792</v>
      </c>
      <c r="E64" s="985"/>
      <c r="F64" s="985"/>
      <c r="G64" s="227"/>
      <c r="H64" s="227"/>
      <c r="I64" s="227"/>
      <c r="J64" s="227"/>
      <c r="K64" s="227"/>
      <c r="L64" s="227"/>
      <c r="M64" s="227"/>
      <c r="N64" s="227"/>
      <c r="O64" s="227"/>
      <c r="P64" s="227"/>
      <c r="Q64" s="208"/>
    </row>
    <row r="65" spans="1:17" s="206" customFormat="1">
      <c r="A65" s="970"/>
      <c r="B65" s="985"/>
      <c r="C65" s="985"/>
      <c r="D65" s="985" t="s">
        <v>2148</v>
      </c>
      <c r="E65" s="985"/>
      <c r="F65" s="985"/>
      <c r="G65" s="230">
        <f ca="1">'1.0 Summary'!K10+180</f>
        <v>41996</v>
      </c>
      <c r="H65" s="227"/>
      <c r="I65" s="227"/>
      <c r="J65" s="227"/>
      <c r="K65" s="227"/>
      <c r="L65" s="227"/>
      <c r="M65" s="227"/>
      <c r="N65" s="227"/>
      <c r="O65" s="227"/>
      <c r="P65" s="227"/>
      <c r="Q65" s="208"/>
    </row>
    <row r="66" spans="1:17" s="206" customFormat="1">
      <c r="A66" s="970"/>
      <c r="B66" s="985"/>
      <c r="C66" s="985"/>
      <c r="D66" s="970"/>
      <c r="E66" s="985"/>
      <c r="F66" s="970"/>
      <c r="G66" s="227"/>
      <c r="H66" s="227"/>
      <c r="I66" s="227"/>
      <c r="J66" s="227"/>
      <c r="K66" s="227"/>
      <c r="L66" s="227"/>
      <c r="M66" s="227"/>
      <c r="N66" s="227"/>
      <c r="O66" s="227"/>
      <c r="P66" s="227"/>
      <c r="Q66" s="208"/>
    </row>
    <row r="67" spans="1:17" s="1486" customFormat="1">
      <c r="A67" s="2140"/>
      <c r="B67" s="2141"/>
      <c r="C67" s="2140"/>
      <c r="D67" s="2140"/>
      <c r="E67" s="2140"/>
      <c r="F67" s="2140"/>
      <c r="G67" s="2142"/>
      <c r="H67" s="2142"/>
      <c r="I67" s="2142"/>
      <c r="J67" s="2142"/>
      <c r="K67" s="2142"/>
      <c r="L67" s="2142"/>
      <c r="Q67" s="640"/>
    </row>
    <row r="68" spans="1:17" s="1486" customFormat="1">
      <c r="A68" s="2140"/>
      <c r="B68" s="2140"/>
      <c r="C68" s="2140"/>
      <c r="D68" s="2140"/>
      <c r="E68" s="2140"/>
      <c r="F68" s="2143"/>
      <c r="Q68" s="640"/>
    </row>
  </sheetData>
  <mergeCells count="5">
    <mergeCell ref="G3:L3"/>
    <mergeCell ref="D4:N4"/>
    <mergeCell ref="D5:N5"/>
    <mergeCell ref="K56:N56"/>
    <mergeCell ref="I57:N57"/>
  </mergeCells>
  <phoneticPr fontId="18" type="noConversion"/>
  <printOptions horizontalCentered="1"/>
  <pageMargins left="0.5" right="0.5" top="0.75" bottom="0.75" header="0.3" footer="0.3"/>
  <pageSetup scale="89" orientation="portrait" r:id="rId1"/>
  <headerFooter alignWithMargins="0">
    <oddHeader>&amp;L&amp;8For discussion purposes only&amp;C&amp;8Draft - Confidential&amp;R&amp;8Actual Results May Differ From This Forecast</oddHeader>
    <oddFooter>&amp;L&amp;8&amp;F&amp;R&amp;8&amp;D @ &amp;T</oddFooter>
  </headerFooter>
  <legacyDrawing r:id="rId2"/>
</worksheet>
</file>

<file path=xl/worksheets/sheet13.xml><?xml version="1.0" encoding="utf-8"?>
<worksheet xmlns="http://schemas.openxmlformats.org/spreadsheetml/2006/main" xmlns:r="http://schemas.openxmlformats.org/officeDocument/2006/relationships">
  <sheetPr codeName="Sheet11" enableFormatConditionsCalculation="0">
    <pageSetUpPr autoPageBreaks="0" fitToPage="1"/>
  </sheetPr>
  <dimension ref="A2:S63"/>
  <sheetViews>
    <sheetView showGridLines="0" zoomScaleSheetLayoutView="100" workbookViewId="0">
      <selection activeCell="R33" sqref="R33"/>
    </sheetView>
  </sheetViews>
  <sheetFormatPr defaultColWidth="12.5703125" defaultRowHeight="11.25" outlineLevelRow="1"/>
  <cols>
    <col min="1" max="1" width="2.7109375" style="961" customWidth="1"/>
    <col min="2" max="2" width="4.140625" style="961" customWidth="1"/>
    <col min="3" max="5" width="2.7109375" style="961" customWidth="1"/>
    <col min="6" max="6" width="20.7109375" style="961" customWidth="1"/>
    <col min="7" max="12" width="10.7109375" style="191" customWidth="1"/>
    <col min="13" max="13" width="2.7109375" style="191" customWidth="1"/>
    <col min="14" max="14" width="10.7109375" style="191" customWidth="1"/>
    <col min="15" max="15" width="2.7109375" style="191" customWidth="1"/>
    <col min="16" max="16" width="4.140625" style="191" customWidth="1"/>
    <col min="17" max="17" width="2.7109375" style="109" customWidth="1"/>
    <col min="18" max="19" width="8.7109375" style="191" customWidth="1"/>
    <col min="20" max="16384" width="12.5703125" style="191"/>
  </cols>
  <sheetData>
    <row r="2" spans="2:19">
      <c r="B2" s="960"/>
      <c r="C2" s="959" t="s">
        <v>1706</v>
      </c>
      <c r="D2" s="960"/>
      <c r="E2" s="960"/>
      <c r="F2" s="960"/>
      <c r="G2" s="194"/>
      <c r="H2" s="194"/>
      <c r="I2" s="194"/>
      <c r="J2" s="194"/>
      <c r="K2" s="194"/>
      <c r="L2" s="194"/>
      <c r="M2" s="194"/>
      <c r="N2" s="194"/>
      <c r="O2" s="194"/>
      <c r="P2" s="194"/>
    </row>
    <row r="3" spans="2:19">
      <c r="B3" s="960"/>
      <c r="D3" s="962"/>
      <c r="E3" s="962"/>
      <c r="F3" s="962"/>
      <c r="G3" s="3010"/>
      <c r="H3" s="3010"/>
      <c r="I3" s="3010"/>
      <c r="J3" s="3010"/>
      <c r="K3" s="3010"/>
      <c r="L3" s="3010"/>
      <c r="P3" s="194"/>
    </row>
    <row r="4" spans="2:19">
      <c r="B4" s="960"/>
      <c r="D4" s="3010" t="str">
        <f>"Partnership:  "&amp;Project</f>
        <v>Partnership:  Southbend Downtown</v>
      </c>
      <c r="E4" s="3010"/>
      <c r="F4" s="3010"/>
      <c r="G4" s="3010"/>
      <c r="H4" s="3010"/>
      <c r="I4" s="3010"/>
      <c r="J4" s="3014"/>
      <c r="K4" s="3014"/>
      <c r="L4" s="3014"/>
      <c r="M4" s="3014"/>
      <c r="N4" s="3014"/>
      <c r="P4" s="194"/>
    </row>
    <row r="5" spans="2:19">
      <c r="B5" s="960"/>
      <c r="D5" s="3010" t="s">
        <v>1997</v>
      </c>
      <c r="E5" s="3010"/>
      <c r="F5" s="3010"/>
      <c r="G5" s="3010"/>
      <c r="H5" s="3010"/>
      <c r="I5" s="3010"/>
      <c r="J5" s="3014"/>
      <c r="K5" s="3014"/>
      <c r="L5" s="3014"/>
      <c r="M5" s="3014"/>
      <c r="N5" s="3014"/>
      <c r="P5" s="194"/>
    </row>
    <row r="6" spans="2:19">
      <c r="B6" s="960"/>
      <c r="G6" s="196"/>
      <c r="P6" s="194"/>
    </row>
    <row r="7" spans="2:19">
      <c r="B7" s="960"/>
      <c r="D7" s="963" t="s">
        <v>1331</v>
      </c>
      <c r="E7" s="964"/>
      <c r="F7" s="964"/>
      <c r="G7" s="623"/>
      <c r="H7" s="623"/>
      <c r="I7" s="624" t="s">
        <v>2680</v>
      </c>
      <c r="P7" s="194"/>
    </row>
    <row r="8" spans="2:19">
      <c r="B8" s="960"/>
      <c r="D8" s="965"/>
      <c r="E8" s="966"/>
      <c r="F8" s="966"/>
      <c r="G8" s="625" t="s">
        <v>2659</v>
      </c>
      <c r="H8" s="625" t="s">
        <v>2681</v>
      </c>
      <c r="I8" s="626" t="s">
        <v>2682</v>
      </c>
      <c r="N8" s="197"/>
      <c r="P8" s="194"/>
    </row>
    <row r="9" spans="2:19">
      <c r="B9" s="960"/>
      <c r="D9" s="965"/>
      <c r="E9" s="966"/>
      <c r="F9" s="966"/>
      <c r="G9" s="198"/>
      <c r="H9" s="1282"/>
      <c r="I9" s="199"/>
      <c r="N9" s="197"/>
      <c r="P9" s="194"/>
    </row>
    <row r="10" spans="2:19">
      <c r="B10" s="960"/>
      <c r="D10" s="965" t="s">
        <v>2862</v>
      </c>
      <c r="E10" s="966"/>
      <c r="F10" s="966"/>
      <c r="G10" s="198">
        <f>-'5. Financials'!$H$249</f>
        <v>-2100398.42</v>
      </c>
      <c r="H10" s="1282">
        <f>PartnerOwnership</f>
        <v>0.4</v>
      </c>
      <c r="I10" s="200">
        <f>G10*H10</f>
        <v>-840159.36800000002</v>
      </c>
      <c r="N10" s="197"/>
      <c r="P10" s="194"/>
      <c r="R10" s="1747">
        <f>IF('1Tab_Input'!B32=0,0,(1-'1Tab_Input'!B32))</f>
        <v>0.4</v>
      </c>
      <c r="S10" s="191" t="s">
        <v>90</v>
      </c>
    </row>
    <row r="11" spans="2:19">
      <c r="B11" s="960"/>
      <c r="D11" s="965" t="s">
        <v>2860</v>
      </c>
      <c r="E11" s="966"/>
      <c r="F11" s="966"/>
      <c r="G11" s="198">
        <f>-'5. Financials'!H169</f>
        <v>-1407301.001944697</v>
      </c>
      <c r="H11" s="1282">
        <f>PartnerOwnership</f>
        <v>0.4</v>
      </c>
      <c r="I11" s="200">
        <f>G11*H11</f>
        <v>-562920.40077787882</v>
      </c>
      <c r="K11" s="1486"/>
      <c r="N11" s="197"/>
      <c r="P11" s="194"/>
      <c r="Q11" s="201"/>
      <c r="R11" s="1886"/>
    </row>
    <row r="12" spans="2:19">
      <c r="B12" s="960"/>
      <c r="D12" s="965" t="s">
        <v>2364</v>
      </c>
      <c r="E12" s="966"/>
      <c r="F12" s="966"/>
      <c r="G12" s="198">
        <f>-PtrIS!$P$32</f>
        <v>-65250</v>
      </c>
      <c r="H12" s="1282">
        <f>PartnerOwnership</f>
        <v>0.4</v>
      </c>
      <c r="I12" s="200">
        <f>G12*H12</f>
        <v>-26100</v>
      </c>
      <c r="N12" s="197"/>
      <c r="P12" s="194"/>
      <c r="Q12" s="201"/>
    </row>
    <row r="13" spans="2:19" hidden="1" outlineLevel="1">
      <c r="B13" s="960"/>
      <c r="D13" s="965" t="s">
        <v>1037</v>
      </c>
      <c r="E13" s="966"/>
      <c r="F13" s="966"/>
      <c r="G13" s="198">
        <v>0</v>
      </c>
      <c r="H13" s="1282">
        <f>PartnerOwnership</f>
        <v>0.4</v>
      </c>
      <c r="I13" s="200">
        <f>G13*H13</f>
        <v>0</v>
      </c>
      <c r="N13" s="197"/>
      <c r="P13" s="194"/>
      <c r="Q13" s="201"/>
    </row>
    <row r="14" spans="2:19" collapsed="1">
      <c r="B14" s="960"/>
      <c r="D14" s="965" t="s">
        <v>2861</v>
      </c>
      <c r="E14" s="966"/>
      <c r="F14" s="966"/>
      <c r="G14" s="202">
        <f ca="1">-'JV Pmnt Sched'!F46</f>
        <v>0</v>
      </c>
      <c r="H14" s="1282">
        <f>PartnerOwnership</f>
        <v>0.4</v>
      </c>
      <c r="I14" s="203">
        <f ca="1">G14*H14</f>
        <v>0</v>
      </c>
      <c r="N14" s="197"/>
      <c r="P14" s="194"/>
      <c r="Q14" s="201"/>
    </row>
    <row r="15" spans="2:19">
      <c r="B15" s="960"/>
      <c r="D15" s="967"/>
      <c r="E15" s="966"/>
      <c r="F15" s="966"/>
      <c r="G15" s="204">
        <f ca="1">SUM(G9:G14)</f>
        <v>-3572949.4219446969</v>
      </c>
      <c r="H15" s="627"/>
      <c r="I15" s="628">
        <f ca="1">SUM(I9:I14)</f>
        <v>-1429179.768777879</v>
      </c>
      <c r="N15" s="197"/>
      <c r="P15" s="194"/>
    </row>
    <row r="16" spans="2:19">
      <c r="B16" s="960"/>
      <c r="D16" s="968"/>
      <c r="E16" s="969"/>
      <c r="F16" s="969"/>
      <c r="G16" s="630"/>
      <c r="H16" s="629"/>
      <c r="I16" s="631"/>
      <c r="P16" s="194"/>
    </row>
    <row r="17" spans="1:17" s="206" customFormat="1">
      <c r="A17" s="970"/>
      <c r="B17" s="971"/>
      <c r="C17" s="970"/>
      <c r="D17" s="970"/>
      <c r="E17" s="970"/>
      <c r="F17" s="970"/>
      <c r="G17" s="207"/>
      <c r="P17" s="205"/>
      <c r="Q17" s="208"/>
    </row>
    <row r="18" spans="1:17" s="206" customFormat="1">
      <c r="A18" s="970"/>
      <c r="B18" s="971"/>
      <c r="C18" s="970"/>
      <c r="D18" s="970"/>
      <c r="E18" s="970"/>
      <c r="F18" s="970"/>
      <c r="G18" s="207"/>
      <c r="H18" s="209"/>
      <c r="I18" s="209"/>
      <c r="J18" s="209"/>
      <c r="K18" s="209"/>
      <c r="L18" s="209"/>
      <c r="M18" s="209"/>
      <c r="P18" s="205"/>
      <c r="Q18" s="208"/>
    </row>
    <row r="19" spans="1:17" s="206" customFormat="1">
      <c r="A19" s="970"/>
      <c r="B19" s="971"/>
      <c r="C19" s="970"/>
      <c r="D19" s="972"/>
      <c r="E19" s="972"/>
      <c r="F19" s="972"/>
      <c r="G19" s="211" t="s">
        <v>1857</v>
      </c>
      <c r="H19" s="211" t="s">
        <v>1090</v>
      </c>
      <c r="I19" s="211" t="s">
        <v>1091</v>
      </c>
      <c r="J19" s="211" t="s">
        <v>2165</v>
      </c>
      <c r="K19" s="211" t="s">
        <v>2166</v>
      </c>
      <c r="L19" s="211" t="s">
        <v>2167</v>
      </c>
      <c r="M19" s="212"/>
      <c r="N19" s="213" t="s">
        <v>3565</v>
      </c>
      <c r="P19" s="205"/>
      <c r="Q19" s="208"/>
    </row>
    <row r="20" spans="1:17" s="219" customFormat="1">
      <c r="A20" s="970"/>
      <c r="B20" s="971"/>
      <c r="C20" s="970"/>
      <c r="D20" s="973"/>
      <c r="E20" s="973"/>
      <c r="F20" s="973"/>
      <c r="G20" s="235"/>
      <c r="H20" s="235"/>
      <c r="I20" s="235"/>
      <c r="J20" s="235"/>
      <c r="K20" s="235"/>
      <c r="L20" s="235"/>
      <c r="M20" s="216"/>
      <c r="N20" s="235"/>
      <c r="P20" s="233"/>
      <c r="Q20" s="236"/>
    </row>
    <row r="21" spans="1:17" s="219" customFormat="1">
      <c r="A21" s="970"/>
      <c r="B21" s="971"/>
      <c r="C21" s="970"/>
      <c r="D21" s="974" t="s">
        <v>1708</v>
      </c>
      <c r="E21" s="973"/>
      <c r="F21" s="973"/>
      <c r="G21" s="235"/>
      <c r="H21" s="235"/>
      <c r="I21" s="235"/>
      <c r="J21" s="235"/>
      <c r="K21" s="235"/>
      <c r="L21" s="235"/>
      <c r="M21" s="216"/>
      <c r="N21" s="235"/>
      <c r="P21" s="233"/>
      <c r="Q21" s="236"/>
    </row>
    <row r="22" spans="1:17" s="242" customFormat="1">
      <c r="A22" s="970"/>
      <c r="B22" s="971"/>
      <c r="C22" s="970"/>
      <c r="D22" s="975"/>
      <c r="E22" s="975" t="s">
        <v>3853</v>
      </c>
      <c r="F22" s="975"/>
      <c r="G22" s="243">
        <f>'5. Financials'!H99</f>
        <v>-264648.14604055602</v>
      </c>
      <c r="H22" s="243">
        <f>'5. Financials'!I178</f>
        <v>-436095.47168921819</v>
      </c>
      <c r="I22" s="243">
        <f>'5. Financials'!J178</f>
        <v>106990.80269478087</v>
      </c>
      <c r="J22" s="243">
        <f>'5. Financials'!K178</f>
        <v>403808.4716130335</v>
      </c>
      <c r="K22" s="243">
        <f>'5. Financials'!L178</f>
        <v>608965.88525780453</v>
      </c>
      <c r="L22" s="243">
        <f>'5. Financials'!M178</f>
        <v>948519.65173992584</v>
      </c>
      <c r="M22" s="244"/>
      <c r="N22" s="243">
        <f>SUM(G22:M22)</f>
        <v>1367541.1935757706</v>
      </c>
      <c r="P22" s="241"/>
      <c r="Q22" s="245"/>
    </row>
    <row r="23" spans="1:17" s="219" customFormat="1">
      <c r="A23" s="970"/>
      <c r="B23" s="971"/>
      <c r="C23" s="970"/>
      <c r="D23" s="975"/>
      <c r="E23" s="975" t="s">
        <v>3854</v>
      </c>
      <c r="F23" s="975"/>
      <c r="G23" s="217">
        <f>'5. Financials'!H179</f>
        <v>0</v>
      </c>
      <c r="H23" s="217">
        <f>'5. Financials'!I179</f>
        <v>164438.01833333334</v>
      </c>
      <c r="I23" s="217">
        <f>'5. Financials'!J179</f>
        <v>177537.69988095236</v>
      </c>
      <c r="J23" s="217">
        <f>'5. Financials'!K179</f>
        <v>190632.86119047616</v>
      </c>
      <c r="K23" s="217">
        <f>'5. Financials'!L179</f>
        <v>201446.24278571428</v>
      </c>
      <c r="L23" s="217">
        <f>'5. Financials'!M179</f>
        <v>211333.37210857141</v>
      </c>
      <c r="N23" s="217">
        <f t="shared" ref="N23:N32" si="0">SUM(G23:M23)</f>
        <v>945388.19429904758</v>
      </c>
      <c r="P23" s="233"/>
      <c r="Q23" s="236"/>
    </row>
    <row r="24" spans="1:17" s="219" customFormat="1">
      <c r="A24" s="970"/>
      <c r="B24" s="971"/>
      <c r="C24" s="970"/>
      <c r="D24" s="975"/>
      <c r="E24" s="975" t="s">
        <v>3848</v>
      </c>
      <c r="F24" s="975"/>
      <c r="G24" s="217"/>
      <c r="H24" s="217"/>
      <c r="I24" s="217"/>
      <c r="J24" s="217"/>
      <c r="K24" s="217"/>
      <c r="L24" s="217"/>
      <c r="N24" s="217"/>
      <c r="P24" s="233"/>
      <c r="Q24" s="236"/>
    </row>
    <row r="25" spans="1:17" s="219" customFormat="1">
      <c r="A25" s="970"/>
      <c r="B25" s="971"/>
      <c r="C25" s="970"/>
      <c r="D25" s="975"/>
      <c r="E25" s="975"/>
      <c r="F25" s="975" t="s">
        <v>2858</v>
      </c>
      <c r="G25" s="217">
        <f>'5. Financials'!H181</f>
        <v>0</v>
      </c>
      <c r="H25" s="217">
        <f>'5. Financials'!I181</f>
        <v>-326297.40047388081</v>
      </c>
      <c r="I25" s="217">
        <f>'5. Financials'!J181</f>
        <v>-276507.27888336056</v>
      </c>
      <c r="J25" s="217">
        <f>'5. Financials'!K181</f>
        <v>-158584.70352884615</v>
      </c>
      <c r="K25" s="217">
        <f>'5. Financials'!L181</f>
        <v>-188751.68857081048</v>
      </c>
      <c r="L25" s="217">
        <f>'5. Financials'!M181</f>
        <v>-172909.16187246144</v>
      </c>
      <c r="N25" s="217">
        <f t="shared" si="0"/>
        <v>-1123050.2333293594</v>
      </c>
      <c r="P25" s="233"/>
      <c r="Q25" s="236"/>
    </row>
    <row r="26" spans="1:17" s="219" customFormat="1">
      <c r="A26" s="970"/>
      <c r="B26" s="971"/>
      <c r="C26" s="970"/>
      <c r="D26" s="975"/>
      <c r="E26" s="975"/>
      <c r="F26" s="975" t="s">
        <v>1406</v>
      </c>
      <c r="G26" s="215">
        <f>'5. Financials'!H182</f>
        <v>0</v>
      </c>
      <c r="H26" s="215">
        <f>'5. Financials'!I182</f>
        <v>-11623.25367686133</v>
      </c>
      <c r="I26" s="215">
        <f>'5. Financials'!J182</f>
        <v>-9578.9754394058964</v>
      </c>
      <c r="J26" s="215">
        <f>'5. Financials'!K182</f>
        <v>-6658.3609073631887</v>
      </c>
      <c r="K26" s="215">
        <f>'5. Financials'!L182</f>
        <v>-7299.5299671737448</v>
      </c>
      <c r="L26" s="217">
        <f>'5. Financials'!M182</f>
        <v>-5283.8631550100908</v>
      </c>
      <c r="N26" s="219">
        <f t="shared" si="0"/>
        <v>-40443.983145814251</v>
      </c>
      <c r="P26" s="233"/>
      <c r="Q26" s="236"/>
    </row>
    <row r="27" spans="1:17" s="219" customFormat="1">
      <c r="A27" s="970"/>
      <c r="B27" s="971"/>
      <c r="C27" s="970"/>
      <c r="D27" s="975"/>
      <c r="E27" s="975"/>
      <c r="F27" s="975" t="s">
        <v>1695</v>
      </c>
      <c r="G27" s="215">
        <f>'5. Financials'!H183</f>
        <v>0</v>
      </c>
      <c r="H27" s="215">
        <f>'5. Financials'!I183</f>
        <v>64050.807695438314</v>
      </c>
      <c r="I27" s="215">
        <f>'5. Financials'!J183</f>
        <v>51259.636411549422</v>
      </c>
      <c r="J27" s="215">
        <f>'5. Financials'!K183</f>
        <v>42710.819164215529</v>
      </c>
      <c r="K27" s="215">
        <f>'5. Financials'!L183</f>
        <v>39646.666674346459</v>
      </c>
      <c r="L27" s="217">
        <f>'5. Financials'!M183</f>
        <v>32171.086138199731</v>
      </c>
      <c r="N27" s="215">
        <f t="shared" si="0"/>
        <v>229839.01608374945</v>
      </c>
      <c r="P27" s="233"/>
    </row>
    <row r="28" spans="1:17" s="219" customFormat="1" hidden="1">
      <c r="A28" s="970"/>
      <c r="B28" s="971"/>
      <c r="C28" s="970"/>
      <c r="D28" s="975"/>
      <c r="E28" s="975"/>
      <c r="F28" s="975"/>
      <c r="G28" s="215"/>
      <c r="H28" s="215"/>
      <c r="I28" s="215"/>
      <c r="J28" s="215"/>
      <c r="K28" s="215"/>
      <c r="L28" s="215"/>
      <c r="M28" s="1880"/>
      <c r="N28" s="215"/>
      <c r="P28" s="233"/>
    </row>
    <row r="29" spans="1:17" s="219" customFormat="1">
      <c r="A29" s="970"/>
      <c r="B29" s="971"/>
      <c r="C29" s="970"/>
      <c r="D29" s="975"/>
      <c r="E29" s="975" t="s">
        <v>3852</v>
      </c>
      <c r="F29" s="975"/>
      <c r="G29" s="215">
        <f>G12+G13</f>
        <v>-65250</v>
      </c>
      <c r="H29" s="215"/>
      <c r="I29" s="215"/>
      <c r="J29" s="215"/>
      <c r="K29" s="215"/>
      <c r="L29" s="215"/>
      <c r="N29" s="215">
        <f t="shared" si="0"/>
        <v>-65250</v>
      </c>
      <c r="P29" s="233"/>
    </row>
    <row r="30" spans="1:17" s="219" customFormat="1">
      <c r="A30" s="970"/>
      <c r="B30" s="971"/>
      <c r="C30" s="970"/>
      <c r="D30" s="975"/>
      <c r="E30" s="975"/>
      <c r="F30" s="975"/>
      <c r="G30" s="215"/>
      <c r="H30" s="215"/>
      <c r="I30" s="215"/>
      <c r="J30" s="215"/>
      <c r="K30" s="215"/>
      <c r="L30" s="215"/>
      <c r="N30" s="215"/>
      <c r="P30" s="233"/>
    </row>
    <row r="31" spans="1:17" s="219" customFormat="1">
      <c r="A31" s="970"/>
      <c r="B31" s="971"/>
      <c r="C31" s="970"/>
      <c r="D31" s="975" t="s">
        <v>2859</v>
      </c>
      <c r="E31" s="975"/>
      <c r="F31" s="975"/>
      <c r="G31" s="215"/>
      <c r="H31" s="215"/>
      <c r="I31" s="215"/>
      <c r="J31" s="215"/>
      <c r="K31" s="215"/>
      <c r="L31" s="215"/>
      <c r="N31" s="215"/>
      <c r="P31" s="233"/>
    </row>
    <row r="32" spans="1:17" s="219" customFormat="1">
      <c r="A32" s="970"/>
      <c r="B32" s="971"/>
      <c r="C32" s="970"/>
      <c r="D32" s="975"/>
      <c r="E32" s="975" t="s">
        <v>1697</v>
      </c>
      <c r="F32" s="975"/>
      <c r="G32" s="215">
        <f>G10</f>
        <v>-2100398.42</v>
      </c>
      <c r="H32" s="215">
        <f>'5. Financials'!I186</f>
        <v>-82326.041666666657</v>
      </c>
      <c r="I32" s="215">
        <f>'5. Financials'!J186</f>
        <v>-91697.770833333343</v>
      </c>
      <c r="J32" s="215">
        <f>'5. Financials'!K186</f>
        <v>-91666.129166666622</v>
      </c>
      <c r="K32" s="215">
        <f>'5. Financials'!L186</f>
        <v>-75693.67116666658</v>
      </c>
      <c r="L32" s="219">
        <f>'5. Financials'!M186</f>
        <v>-69209.90525999997</v>
      </c>
      <c r="N32" s="215">
        <f t="shared" si="0"/>
        <v>-2510991.938093333</v>
      </c>
      <c r="P32" s="233"/>
    </row>
    <row r="33" spans="1:19" s="219" customFormat="1">
      <c r="A33" s="970"/>
      <c r="B33" s="971"/>
      <c r="C33" s="970"/>
      <c r="D33" s="975"/>
      <c r="E33" s="975"/>
      <c r="F33" s="975"/>
      <c r="G33" s="215"/>
      <c r="H33" s="215"/>
      <c r="I33" s="215"/>
      <c r="J33" s="215"/>
      <c r="K33" s="215"/>
      <c r="L33" s="1485"/>
      <c r="N33" s="215"/>
      <c r="P33" s="233"/>
      <c r="R33" s="735">
        <f>'PtrCF OUTPUT'!ExitMultiple</f>
        <v>6</v>
      </c>
      <c r="S33" s="219" t="s">
        <v>751</v>
      </c>
    </row>
    <row r="34" spans="1:19" s="219" customFormat="1">
      <c r="A34" s="970"/>
      <c r="B34" s="971"/>
      <c r="C34" s="970"/>
      <c r="D34" s="975"/>
      <c r="E34" s="975"/>
      <c r="F34" s="975"/>
      <c r="G34" s="220"/>
      <c r="H34" s="220"/>
      <c r="I34" s="220"/>
      <c r="J34" s="220"/>
      <c r="K34" s="220"/>
      <c r="L34" s="220"/>
      <c r="N34" s="220"/>
      <c r="P34" s="233"/>
      <c r="Q34" s="236"/>
    </row>
    <row r="35" spans="1:19" s="242" customFormat="1" ht="12" thickBot="1">
      <c r="A35" s="970"/>
      <c r="B35" s="971"/>
      <c r="C35" s="970"/>
      <c r="D35" s="975" t="s">
        <v>2863</v>
      </c>
      <c r="E35" s="976"/>
      <c r="F35" s="976"/>
      <c r="G35" s="246">
        <f>SUM(G22:G34)</f>
        <v>-2430296.5660405559</v>
      </c>
      <c r="H35" s="246">
        <f>SUM(H22:H33)</f>
        <v>-627853.34147785534</v>
      </c>
      <c r="I35" s="246">
        <f>SUM(I22:I33)</f>
        <v>-41995.886168817146</v>
      </c>
      <c r="J35" s="246">
        <f>SUM(J22:J33)</f>
        <v>380242.95836484921</v>
      </c>
      <c r="K35" s="246">
        <f>SUM(K22:K33)</f>
        <v>578313.90501321456</v>
      </c>
      <c r="L35" s="246">
        <f>SUM(L22:L33)</f>
        <v>944621.17969922558</v>
      </c>
      <c r="M35" s="243"/>
      <c r="N35" s="246">
        <f>SUM(G35:M35)</f>
        <v>-1196967.7506099388</v>
      </c>
      <c r="P35" s="241"/>
      <c r="Q35" s="245"/>
    </row>
    <row r="36" spans="1:19" s="242" customFormat="1" ht="12" thickTop="1">
      <c r="A36" s="970"/>
      <c r="B36" s="971"/>
      <c r="C36" s="970"/>
      <c r="D36" s="975"/>
      <c r="E36" s="976"/>
      <c r="F36" s="976"/>
      <c r="G36" s="243"/>
      <c r="H36" s="243"/>
      <c r="I36" s="243"/>
      <c r="J36" s="243"/>
      <c r="K36" s="243"/>
      <c r="L36" s="243"/>
      <c r="M36" s="243"/>
      <c r="N36" s="243"/>
      <c r="P36" s="241"/>
      <c r="Q36" s="245"/>
    </row>
    <row r="37" spans="1:19" s="219" customFormat="1">
      <c r="A37" s="970"/>
      <c r="B37" s="971"/>
      <c r="C37" s="970"/>
      <c r="D37" s="976"/>
      <c r="E37" s="976"/>
      <c r="F37" s="976"/>
      <c r="G37" s="215"/>
      <c r="H37" s="215"/>
      <c r="I37" s="215"/>
      <c r="J37" s="215"/>
      <c r="K37" s="215"/>
      <c r="L37" s="215"/>
      <c r="M37" s="215"/>
      <c r="N37" s="217"/>
      <c r="P37" s="233"/>
      <c r="Q37" s="236"/>
    </row>
    <row r="38" spans="1:19" s="219" customFormat="1" hidden="1" outlineLevel="1">
      <c r="A38" s="970"/>
      <c r="B38" s="971"/>
      <c r="C38" s="970"/>
      <c r="D38" s="215" t="s">
        <v>1689</v>
      </c>
      <c r="E38" s="976"/>
      <c r="F38" s="976"/>
      <c r="G38" s="215">
        <f ca="1">'5. Financials'!H189</f>
        <v>3572949.4219446969</v>
      </c>
      <c r="H38" s="215">
        <f>'5. Financials'!I189</f>
        <v>0</v>
      </c>
      <c r="I38" s="215">
        <f ca="1">'5. Financials'!J189</f>
        <v>-65659.079475105769</v>
      </c>
      <c r="J38" s="215">
        <f ca="1">'5. Financials'!K189</f>
        <v>-259489.47452603979</v>
      </c>
      <c r="K38" s="215">
        <f ca="1">'5. Financials'!L189</f>
        <v>-463324.48442152014</v>
      </c>
      <c r="L38" s="215">
        <f ca="1">'5. Financials'!M189</f>
        <v>-851017.47999040061</v>
      </c>
      <c r="M38" s="215"/>
      <c r="N38" s="217">
        <f ca="1">SUM(G38:M38)</f>
        <v>1933458.9035316308</v>
      </c>
      <c r="P38" s="233"/>
      <c r="Q38" s="236"/>
    </row>
    <row r="39" spans="1:19" s="219" customFormat="1" hidden="1" outlineLevel="1">
      <c r="A39" s="970"/>
      <c r="B39" s="971"/>
      <c r="C39" s="970"/>
      <c r="D39" s="977" t="s">
        <v>1694</v>
      </c>
      <c r="E39" s="978"/>
      <c r="F39" s="978"/>
      <c r="G39" s="632">
        <f ca="1">ROUND(G35+G38,0)</f>
        <v>1142653</v>
      </c>
      <c r="H39" s="632">
        <f>ROUND(H35+H38,0)</f>
        <v>-627853</v>
      </c>
      <c r="I39" s="632">
        <f ca="1">ROUND(I35+I38,0)</f>
        <v>-107655</v>
      </c>
      <c r="J39" s="632">
        <f ca="1">ROUND(J35+J38,0)</f>
        <v>120753</v>
      </c>
      <c r="K39" s="632">
        <f ca="1">ROUND(K35+K38,0)</f>
        <v>114989</v>
      </c>
      <c r="L39" s="632">
        <f ca="1">ROUND(L35-L33+L38,0)</f>
        <v>93604</v>
      </c>
      <c r="M39" s="215"/>
      <c r="N39" s="217"/>
      <c r="P39" s="233"/>
      <c r="Q39" s="236"/>
    </row>
    <row r="40" spans="1:19" s="219" customFormat="1" hidden="1" outlineLevel="1">
      <c r="A40" s="970"/>
      <c r="B40" s="971"/>
      <c r="C40" s="970"/>
      <c r="D40" s="976"/>
      <c r="E40" s="976"/>
      <c r="F40" s="976"/>
      <c r="G40" s="215"/>
      <c r="H40" s="215"/>
      <c r="I40" s="215"/>
      <c r="J40" s="215"/>
      <c r="K40" s="215"/>
      <c r="L40" s="215"/>
      <c r="M40" s="215"/>
      <c r="N40" s="217"/>
      <c r="P40" s="233"/>
      <c r="Q40" s="236"/>
    </row>
    <row r="41" spans="1:19" s="242" customFormat="1" ht="12" collapsed="1" thickBot="1">
      <c r="A41" s="970"/>
      <c r="B41" s="971"/>
      <c r="C41" s="970"/>
      <c r="D41" s="979" t="str">
        <f>"Partner Share @ "&amp;TEXT(PartnerOwnership,"0.0%")</f>
        <v>Partner Share @ 40.0%</v>
      </c>
      <c r="E41" s="979"/>
      <c r="F41" s="979"/>
      <c r="G41" s="248">
        <f t="shared" ref="G41:L41" si="1">G35*PartnerOwnership</f>
        <v>-972118.62641622243</v>
      </c>
      <c r="H41" s="248">
        <f t="shared" si="1"/>
        <v>-251141.33659114214</v>
      </c>
      <c r="I41" s="248">
        <f t="shared" si="1"/>
        <v>-16798.35446752686</v>
      </c>
      <c r="J41" s="248">
        <f t="shared" si="1"/>
        <v>152097.1833459397</v>
      </c>
      <c r="K41" s="248">
        <f t="shared" si="1"/>
        <v>231325.56200528584</v>
      </c>
      <c r="L41" s="248">
        <f t="shared" si="1"/>
        <v>377848.47187969025</v>
      </c>
      <c r="M41" s="243"/>
      <c r="N41" s="248">
        <f>SUM(G41:M41)</f>
        <v>-478787.10024397558</v>
      </c>
      <c r="P41" s="241"/>
      <c r="Q41" s="245"/>
    </row>
    <row r="42" spans="1:19" s="219" customFormat="1" ht="12" hidden="1" outlineLevel="1" thickTop="1">
      <c r="A42" s="970"/>
      <c r="B42" s="971"/>
      <c r="C42" s="970"/>
      <c r="D42" s="976"/>
      <c r="E42" s="976"/>
      <c r="F42" s="976"/>
      <c r="G42" s="215"/>
      <c r="H42" s="215"/>
      <c r="I42" s="215"/>
      <c r="J42" s="215"/>
      <c r="K42" s="215"/>
      <c r="L42" s="215"/>
      <c r="M42" s="215"/>
      <c r="N42" s="217"/>
      <c r="P42" s="233"/>
      <c r="Q42" s="236"/>
    </row>
    <row r="43" spans="1:19" s="219" customFormat="1" hidden="1" outlineLevel="1">
      <c r="A43" s="970"/>
      <c r="B43" s="971"/>
      <c r="C43" s="974"/>
      <c r="D43" s="975"/>
      <c r="E43" s="975"/>
      <c r="F43" s="975"/>
      <c r="G43" s="240"/>
      <c r="H43" s="217"/>
      <c r="I43" s="217"/>
      <c r="J43" s="240" t="s">
        <v>3930</v>
      </c>
      <c r="K43" s="215"/>
      <c r="L43" s="215"/>
      <c r="P43" s="233"/>
      <c r="Q43" s="236"/>
    </row>
    <row r="44" spans="1:19" s="206" customFormat="1" hidden="1" outlineLevel="1">
      <c r="A44" s="970"/>
      <c r="B44" s="971"/>
      <c r="C44" s="974"/>
      <c r="D44" s="974"/>
      <c r="E44" s="984"/>
      <c r="F44" s="984"/>
      <c r="G44" s="1541"/>
      <c r="H44" s="218"/>
      <c r="I44" s="218"/>
      <c r="J44" s="214" t="s">
        <v>3930</v>
      </c>
      <c r="K44" s="221"/>
      <c r="L44" s="214"/>
      <c r="P44" s="205"/>
      <c r="Q44" s="208"/>
    </row>
    <row r="45" spans="1:19" s="206" customFormat="1" hidden="1" outlineLevel="1">
      <c r="A45" s="970"/>
      <c r="B45" s="971"/>
      <c r="C45" s="974"/>
      <c r="D45" s="974"/>
      <c r="E45" s="1286"/>
      <c r="F45" s="1286"/>
      <c r="G45" s="1542"/>
      <c r="H45" s="218"/>
      <c r="I45" s="218"/>
      <c r="J45" s="214"/>
      <c r="K45" s="221"/>
      <c r="L45" s="214"/>
      <c r="P45" s="205"/>
      <c r="Q45" s="208"/>
    </row>
    <row r="46" spans="1:19" s="206" customFormat="1" hidden="1" outlineLevel="1">
      <c r="A46" s="970"/>
      <c r="B46" s="971"/>
      <c r="C46" s="974"/>
      <c r="D46" s="970"/>
      <c r="E46" s="984"/>
      <c r="F46" s="984"/>
      <c r="G46" s="1479"/>
      <c r="H46" s="218"/>
      <c r="I46" s="218"/>
      <c r="J46" s="214"/>
      <c r="K46" s="221"/>
      <c r="L46" s="214"/>
      <c r="P46" s="205"/>
      <c r="Q46" s="208"/>
    </row>
    <row r="47" spans="1:19" s="206" customFormat="1" hidden="1" outlineLevel="1">
      <c r="A47" s="970"/>
      <c r="B47" s="971"/>
      <c r="C47" s="974"/>
      <c r="D47" s="970" t="s">
        <v>427</v>
      </c>
      <c r="E47" s="984"/>
      <c r="F47" s="984"/>
      <c r="G47" s="1479"/>
      <c r="H47" s="218"/>
      <c r="I47" s="218"/>
      <c r="J47" s="214"/>
      <c r="K47" s="221"/>
      <c r="L47" s="214"/>
      <c r="P47" s="205"/>
      <c r="Q47" s="208"/>
    </row>
    <row r="48" spans="1:19" s="206" customFormat="1" hidden="1" outlineLevel="1">
      <c r="A48" s="970"/>
      <c r="B48" s="971"/>
      <c r="C48" s="974"/>
      <c r="D48" s="970"/>
      <c r="E48" s="1480" t="s">
        <v>2504</v>
      </c>
      <c r="F48" s="1481"/>
      <c r="G48" s="1482">
        <f>1/12*PtrIS!H26</f>
        <v>112886.7524163748</v>
      </c>
      <c r="H48" s="218"/>
      <c r="I48" s="218"/>
      <c r="J48" s="214"/>
      <c r="K48" s="221"/>
      <c r="L48" s="214"/>
      <c r="P48" s="205"/>
      <c r="Q48" s="208"/>
    </row>
    <row r="49" spans="1:17" s="206" customFormat="1" ht="12" collapsed="1" thickTop="1">
      <c r="A49" s="970"/>
      <c r="B49" s="971"/>
      <c r="C49" s="970"/>
      <c r="D49" s="984"/>
      <c r="E49" s="984"/>
      <c r="F49" s="984"/>
      <c r="G49" s="222"/>
      <c r="H49" s="218"/>
      <c r="I49" s="218"/>
      <c r="J49" s="214"/>
      <c r="K49" s="221"/>
      <c r="L49" s="214"/>
      <c r="P49" s="205"/>
      <c r="Q49" s="208"/>
    </row>
    <row r="50" spans="1:17" s="206" customFormat="1">
      <c r="A50" s="970"/>
      <c r="B50" s="971"/>
      <c r="C50" s="970"/>
      <c r="D50" s="1287"/>
      <c r="E50" s="1287"/>
      <c r="F50" s="1287"/>
      <c r="G50" s="1288"/>
      <c r="H50" s="1289"/>
      <c r="I50" s="226"/>
      <c r="J50" s="229"/>
      <c r="K50" s="229"/>
      <c r="N50" s="405"/>
      <c r="P50" s="205"/>
      <c r="Q50" s="208"/>
    </row>
    <row r="51" spans="1:17" s="206" customFormat="1" collapsed="1">
      <c r="A51" s="970"/>
      <c r="B51" s="971"/>
      <c r="C51" s="970"/>
      <c r="D51" s="970"/>
      <c r="E51" s="1287"/>
      <c r="F51" s="1287"/>
      <c r="I51" s="226"/>
      <c r="J51" s="226"/>
      <c r="K51" s="226"/>
      <c r="P51" s="205"/>
      <c r="Q51" s="208"/>
    </row>
    <row r="52" spans="1:17" s="206" customFormat="1">
      <c r="A52" s="970"/>
      <c r="B52" s="971"/>
      <c r="C52" s="970"/>
      <c r="D52" s="1287"/>
      <c r="E52" s="1287"/>
      <c r="F52" s="1287"/>
      <c r="G52" s="207"/>
      <c r="I52" s="226"/>
      <c r="J52" s="229"/>
      <c r="K52" s="229"/>
      <c r="N52" s="405" t="s">
        <v>112</v>
      </c>
      <c r="P52" s="205"/>
      <c r="Q52" s="208"/>
    </row>
    <row r="53" spans="1:17" s="206" customFormat="1">
      <c r="A53" s="970"/>
      <c r="B53" s="971"/>
      <c r="C53" s="970"/>
      <c r="D53" s="1287"/>
      <c r="E53" s="1287"/>
      <c r="F53" s="1287"/>
      <c r="I53" s="229"/>
      <c r="N53" s="406" t="s">
        <v>2679</v>
      </c>
      <c r="P53" s="205"/>
      <c r="Q53" s="208"/>
    </row>
    <row r="54" spans="1:17" s="206" customFormat="1">
      <c r="A54" s="970"/>
      <c r="B54" s="971"/>
      <c r="C54" s="970"/>
      <c r="D54" s="970"/>
      <c r="E54" s="970"/>
      <c r="F54" s="970"/>
      <c r="P54" s="205"/>
      <c r="Q54" s="208"/>
    </row>
    <row r="55" spans="1:17" s="206" customFormat="1">
      <c r="A55" s="970"/>
      <c r="B55" s="971"/>
      <c r="C55" s="971"/>
      <c r="D55" s="971"/>
      <c r="E55" s="971"/>
      <c r="F55" s="971"/>
      <c r="G55" s="205"/>
      <c r="H55" s="205"/>
      <c r="I55" s="205"/>
      <c r="J55" s="205"/>
      <c r="K55" s="205"/>
      <c r="L55" s="205"/>
      <c r="M55" s="205"/>
      <c r="N55" s="205"/>
      <c r="O55" s="205"/>
      <c r="P55" s="205"/>
      <c r="Q55" s="208"/>
    </row>
    <row r="56" spans="1:17" s="206" customFormat="1">
      <c r="A56" s="970"/>
      <c r="B56" s="985"/>
      <c r="C56" s="985"/>
      <c r="D56" s="985"/>
      <c r="E56" s="985"/>
      <c r="F56" s="985"/>
      <c r="G56" s="227"/>
      <c r="H56" s="227"/>
      <c r="I56" s="227"/>
      <c r="J56" s="227"/>
      <c r="K56" s="227"/>
      <c r="L56" s="227"/>
      <c r="M56" s="227"/>
      <c r="N56" s="227"/>
      <c r="O56" s="227"/>
      <c r="P56" s="227"/>
      <c r="Q56" s="208"/>
    </row>
    <row r="57" spans="1:17" s="206" customFormat="1">
      <c r="A57" s="970"/>
      <c r="B57" s="985"/>
      <c r="C57" s="985"/>
      <c r="D57" s="985" t="s">
        <v>3792</v>
      </c>
      <c r="E57" s="985"/>
      <c r="F57" s="985"/>
      <c r="G57" s="227"/>
      <c r="H57" s="227"/>
      <c r="I57" s="227"/>
      <c r="J57" s="227"/>
      <c r="K57" s="227"/>
      <c r="L57" s="227"/>
      <c r="M57" s="227"/>
      <c r="N57" s="227"/>
      <c r="O57" s="227"/>
      <c r="P57" s="227"/>
      <c r="Q57" s="208"/>
    </row>
    <row r="58" spans="1:17" s="206" customFormat="1">
      <c r="A58" s="970"/>
      <c r="B58" s="985"/>
      <c r="C58" s="985"/>
      <c r="D58" s="985" t="s">
        <v>2148</v>
      </c>
      <c r="E58" s="985"/>
      <c r="F58" s="985"/>
      <c r="G58" s="230">
        <f ca="1">'1.0 Summary'!K10+180</f>
        <v>41996</v>
      </c>
      <c r="H58" s="227"/>
      <c r="I58" s="227"/>
      <c r="J58" s="227"/>
      <c r="K58" s="227"/>
      <c r="L58" s="227"/>
      <c r="M58" s="227"/>
      <c r="N58" s="227"/>
      <c r="O58" s="227"/>
      <c r="P58" s="227"/>
      <c r="Q58" s="208"/>
    </row>
    <row r="59" spans="1:17" s="206" customFormat="1">
      <c r="A59" s="970"/>
      <c r="B59" s="985"/>
      <c r="C59" s="985"/>
      <c r="D59" s="970"/>
      <c r="E59" s="985"/>
      <c r="F59" s="970"/>
      <c r="G59" s="227"/>
      <c r="H59" s="227"/>
      <c r="I59" s="227"/>
      <c r="J59" s="227"/>
      <c r="K59" s="227"/>
      <c r="L59" s="227"/>
      <c r="M59" s="227"/>
      <c r="N59" s="227"/>
      <c r="O59" s="227"/>
      <c r="P59" s="227"/>
      <c r="Q59" s="208"/>
    </row>
    <row r="60" spans="1:17" hidden="1" outlineLevel="1">
      <c r="B60" s="2139">
        <f>(1-PartnerOwnership)*100</f>
        <v>60</v>
      </c>
      <c r="D60" s="961" t="str">
        <f>"DVA's share @ "&amp;B60&amp;"%"</f>
        <v>DVA's share @ 60%</v>
      </c>
      <c r="G60" s="1889">
        <f t="shared" ref="G60:N60" si="2">G35*(1-PartnerOwnership)</f>
        <v>-1458177.9396243335</v>
      </c>
      <c r="H60" s="1889">
        <f t="shared" si="2"/>
        <v>-376712.00488671317</v>
      </c>
      <c r="I60" s="1889">
        <f t="shared" si="2"/>
        <v>-25197.531701290285</v>
      </c>
      <c r="J60" s="1889">
        <f t="shared" si="2"/>
        <v>228145.77501890951</v>
      </c>
      <c r="K60" s="1889">
        <f t="shared" si="2"/>
        <v>346988.34300792875</v>
      </c>
      <c r="L60" s="1889">
        <f t="shared" si="2"/>
        <v>566772.70781953528</v>
      </c>
      <c r="M60" s="1889">
        <f t="shared" si="2"/>
        <v>0</v>
      </c>
      <c r="N60" s="1889">
        <f t="shared" si="2"/>
        <v>-718180.65036596323</v>
      </c>
    </row>
    <row r="61" spans="1:17" hidden="1" outlineLevel="1">
      <c r="E61" s="2138" t="s">
        <v>488</v>
      </c>
      <c r="F61" s="2134" t="s">
        <v>1383</v>
      </c>
      <c r="G61" s="2135">
        <f>IRR(G60:L60,0.1)</f>
        <v>-0.11245599529133496</v>
      </c>
    </row>
    <row r="62" spans="1:17" hidden="1" outlineLevel="1">
      <c r="F62" s="2136" t="s">
        <v>426</v>
      </c>
      <c r="G62" s="2137">
        <f>SUM(H35:L35)/-SUMIF(G35:L35,"&lt;0")</f>
        <v>0.39782929497768221</v>
      </c>
    </row>
    <row r="63" spans="1:17" collapsed="1"/>
  </sheetData>
  <mergeCells count="3">
    <mergeCell ref="G3:L3"/>
    <mergeCell ref="D4:N4"/>
    <mergeCell ref="D5:N5"/>
  </mergeCells>
  <phoneticPr fontId="0" type="noConversion"/>
  <conditionalFormatting sqref="G39:L39">
    <cfRule type="cellIs" dxfId="119" priority="1" stopIfTrue="1" operator="notEqual">
      <formula>0</formula>
    </cfRule>
  </conditionalFormatting>
  <printOptions horizontalCentered="1"/>
  <pageMargins left="0.5" right="0.5" top="0.75" bottom="0.75" header="0.3" footer="0.3"/>
  <pageSetup scale="89" orientation="portrait" r:id="rId1"/>
  <headerFooter alignWithMargins="0">
    <oddHeader>&amp;L&amp;8For discussion purposes only&amp;C&amp;8Draft - Confidential&amp;R&amp;8Actual Results May Differ From This Forecast</oddHeader>
    <oddFooter>&amp;L&amp;8&amp;F&amp;R&amp;8&amp;D @ &amp;T</oddFooter>
  </headerFooter>
  <legacyDrawing r:id="rId2"/>
</worksheet>
</file>

<file path=xl/worksheets/sheet14.xml><?xml version="1.0" encoding="utf-8"?>
<worksheet xmlns="http://schemas.openxmlformats.org/spreadsheetml/2006/main" xmlns:r="http://schemas.openxmlformats.org/officeDocument/2006/relationships">
  <sheetPr codeName="Sheet1">
    <pageSetUpPr fitToPage="1"/>
  </sheetPr>
  <dimension ref="B2:Q85"/>
  <sheetViews>
    <sheetView showGridLines="0" zoomScaleSheetLayoutView="100" workbookViewId="0"/>
  </sheetViews>
  <sheetFormatPr defaultRowHeight="11.25"/>
  <cols>
    <col min="1" max="3" width="2.7109375" style="109" customWidth="1"/>
    <col min="4" max="4" width="3.7109375" style="109" customWidth="1"/>
    <col min="5" max="15" width="9.140625" style="109"/>
    <col min="16" max="18" width="2.7109375" style="109" customWidth="1"/>
    <col min="19" max="16384" width="9.140625" style="109"/>
  </cols>
  <sheetData>
    <row r="2" spans="2:17">
      <c r="B2" s="322"/>
      <c r="C2" s="322"/>
      <c r="D2" s="322"/>
      <c r="E2" s="322"/>
      <c r="F2" s="322"/>
      <c r="G2" s="322"/>
      <c r="H2" s="322"/>
      <c r="I2" s="322"/>
      <c r="J2" s="322"/>
      <c r="K2" s="322"/>
      <c r="L2" s="322"/>
      <c r="M2" s="322"/>
      <c r="N2" s="322"/>
      <c r="O2" s="322"/>
      <c r="P2" s="322"/>
      <c r="Q2" s="322"/>
    </row>
    <row r="3" spans="2:17">
      <c r="B3" s="322"/>
      <c r="C3" s="640"/>
      <c r="D3" s="640"/>
      <c r="E3" s="640"/>
      <c r="F3" s="640"/>
      <c r="G3" s="640"/>
      <c r="H3" s="640"/>
      <c r="I3" s="640"/>
      <c r="J3" s="640"/>
      <c r="K3" s="640"/>
      <c r="L3" s="640"/>
      <c r="M3" s="640"/>
      <c r="N3" s="640"/>
      <c r="O3" s="640"/>
      <c r="P3" s="640"/>
      <c r="Q3" s="322"/>
    </row>
    <row r="4" spans="2:17" ht="13.5" thickBot="1">
      <c r="B4" s="322"/>
      <c r="C4" s="327" t="s">
        <v>2696</v>
      </c>
      <c r="D4" s="327"/>
      <c r="E4" s="327"/>
      <c r="F4" s="327"/>
      <c r="G4" s="327"/>
      <c r="H4" s="327"/>
      <c r="I4" s="327"/>
      <c r="J4" s="327"/>
      <c r="K4" s="327"/>
      <c r="L4" s="327"/>
      <c r="M4" s="327"/>
      <c r="N4" s="327"/>
      <c r="O4" s="327"/>
      <c r="P4" s="327"/>
      <c r="Q4" s="322"/>
    </row>
    <row r="5" spans="2:17">
      <c r="B5" s="322"/>
      <c r="Q5" s="322"/>
    </row>
    <row r="6" spans="2:17">
      <c r="B6" s="322"/>
      <c r="D6" s="2147" t="s">
        <v>2222</v>
      </c>
      <c r="Q6" s="322"/>
    </row>
    <row r="7" spans="2:17">
      <c r="B7" s="322"/>
      <c r="E7" s="109" t="s">
        <v>1396</v>
      </c>
      <c r="Q7" s="322"/>
    </row>
    <row r="8" spans="2:17" ht="3" customHeight="1">
      <c r="B8" s="322"/>
      <c r="Q8" s="322"/>
    </row>
    <row r="9" spans="2:17">
      <c r="B9" s="322"/>
      <c r="E9" s="109" t="s">
        <v>2470</v>
      </c>
      <c r="Q9" s="322"/>
    </row>
    <row r="10" spans="2:17" ht="3" customHeight="1">
      <c r="B10" s="322"/>
      <c r="Q10" s="322"/>
    </row>
    <row r="11" spans="2:17">
      <c r="B11" s="322"/>
      <c r="E11" s="323" t="s">
        <v>2471</v>
      </c>
      <c r="F11" s="324"/>
      <c r="G11" s="324"/>
      <c r="H11" s="324"/>
      <c r="I11" s="324"/>
      <c r="J11" s="325"/>
      <c r="Q11" s="322"/>
    </row>
    <row r="12" spans="2:17" ht="3" customHeight="1">
      <c r="B12" s="322"/>
      <c r="Q12" s="322"/>
    </row>
    <row r="13" spans="2:17">
      <c r="B13" s="322"/>
      <c r="E13" s="109" t="s">
        <v>2472</v>
      </c>
      <c r="Q13" s="322"/>
    </row>
    <row r="14" spans="2:17" ht="3" customHeight="1">
      <c r="B14" s="322"/>
      <c r="Q14" s="322"/>
    </row>
    <row r="15" spans="2:17">
      <c r="B15" s="322"/>
      <c r="E15" s="109" t="s">
        <v>2473</v>
      </c>
      <c r="Q15" s="322"/>
    </row>
    <row r="16" spans="2:17" ht="6" customHeight="1">
      <c r="B16" s="322"/>
      <c r="Q16" s="322"/>
    </row>
    <row r="17" spans="2:17">
      <c r="B17" s="322"/>
      <c r="D17" s="2147" t="s">
        <v>429</v>
      </c>
      <c r="Q17" s="322"/>
    </row>
    <row r="18" spans="2:17">
      <c r="B18" s="322"/>
      <c r="D18" s="2146">
        <v>1</v>
      </c>
      <c r="E18" s="109" t="s">
        <v>4012</v>
      </c>
      <c r="Q18" s="322"/>
    </row>
    <row r="19" spans="2:17">
      <c r="B19" s="322"/>
      <c r="D19" s="2146">
        <v>2</v>
      </c>
      <c r="E19" s="109" t="s">
        <v>1536</v>
      </c>
      <c r="Q19" s="322"/>
    </row>
    <row r="20" spans="2:17">
      <c r="B20" s="322"/>
      <c r="D20" s="2146">
        <v>3</v>
      </c>
      <c r="E20" s="109" t="s">
        <v>2112</v>
      </c>
      <c r="Q20" s="322"/>
    </row>
    <row r="21" spans="2:17">
      <c r="B21" s="322"/>
      <c r="D21" s="2146"/>
      <c r="E21" s="2144" t="s">
        <v>2109</v>
      </c>
      <c r="Q21" s="322"/>
    </row>
    <row r="22" spans="2:17">
      <c r="B22" s="322"/>
      <c r="D22" s="2146"/>
      <c r="E22" s="2145" t="s">
        <v>2110</v>
      </c>
      <c r="Q22" s="322"/>
    </row>
    <row r="23" spans="2:17">
      <c r="B23" s="322"/>
      <c r="D23" s="2146"/>
      <c r="E23" s="2145" t="s">
        <v>2111</v>
      </c>
      <c r="Q23" s="322"/>
    </row>
    <row r="24" spans="2:17">
      <c r="B24" s="322"/>
      <c r="D24" s="2146">
        <v>4</v>
      </c>
      <c r="E24" s="109" t="s">
        <v>430</v>
      </c>
      <c r="Q24" s="322"/>
    </row>
    <row r="25" spans="2:17">
      <c r="B25" s="322"/>
      <c r="E25" s="2144" t="s">
        <v>431</v>
      </c>
      <c r="Q25" s="322"/>
    </row>
    <row r="26" spans="2:17">
      <c r="B26" s="322"/>
      <c r="E26" s="2144" t="s">
        <v>432</v>
      </c>
      <c r="Q26" s="322"/>
    </row>
    <row r="27" spans="2:17">
      <c r="B27" s="322"/>
      <c r="E27" s="2145" t="s">
        <v>3819</v>
      </c>
      <c r="Q27" s="322"/>
    </row>
    <row r="28" spans="2:17">
      <c r="B28" s="322"/>
      <c r="E28" s="2145" t="s">
        <v>3820</v>
      </c>
      <c r="Q28" s="322"/>
    </row>
    <row r="29" spans="2:17">
      <c r="B29" s="322"/>
      <c r="E29" s="2145" t="s">
        <v>3821</v>
      </c>
      <c r="Q29" s="322"/>
    </row>
    <row r="30" spans="2:17">
      <c r="B30" s="322"/>
      <c r="D30" s="2146">
        <v>5</v>
      </c>
      <c r="E30" s="109" t="s">
        <v>433</v>
      </c>
      <c r="Q30" s="322"/>
    </row>
    <row r="31" spans="2:17">
      <c r="B31" s="322"/>
      <c r="D31" s="2146">
        <v>6</v>
      </c>
      <c r="E31" s="109" t="s">
        <v>434</v>
      </c>
      <c r="Q31" s="322"/>
    </row>
    <row r="32" spans="2:17">
      <c r="B32" s="322"/>
      <c r="D32" s="2146">
        <v>7</v>
      </c>
      <c r="E32" s="109" t="s">
        <v>2521</v>
      </c>
      <c r="Q32" s="322"/>
    </row>
    <row r="33" spans="2:17">
      <c r="B33" s="322"/>
      <c r="D33" s="2146">
        <v>8</v>
      </c>
      <c r="E33" s="109" t="s">
        <v>2522</v>
      </c>
      <c r="Q33" s="322"/>
    </row>
    <row r="34" spans="2:17">
      <c r="B34" s="322"/>
      <c r="D34" s="2146">
        <v>9</v>
      </c>
      <c r="E34" s="109" t="s">
        <v>3481</v>
      </c>
      <c r="Q34" s="322"/>
    </row>
    <row r="35" spans="2:17">
      <c r="B35" s="322"/>
      <c r="E35" s="2144" t="s">
        <v>2523</v>
      </c>
      <c r="Q35" s="322"/>
    </row>
    <row r="36" spans="2:17">
      <c r="B36" s="322"/>
      <c r="D36" s="2146">
        <v>10</v>
      </c>
      <c r="E36" s="109" t="s">
        <v>2524</v>
      </c>
      <c r="Q36" s="322"/>
    </row>
    <row r="37" spans="2:17" ht="6" customHeight="1">
      <c r="B37" s="322"/>
      <c r="Q37" s="322"/>
    </row>
    <row r="38" spans="2:17">
      <c r="B38" s="322"/>
      <c r="D38" s="2147" t="s">
        <v>2228</v>
      </c>
      <c r="Q38" s="322"/>
    </row>
    <row r="39" spans="2:17">
      <c r="B39" s="322"/>
      <c r="D39" s="109" t="s">
        <v>91</v>
      </c>
      <c r="Q39" s="322"/>
    </row>
    <row r="40" spans="2:17">
      <c r="B40" s="322"/>
      <c r="D40" s="109" t="s">
        <v>2223</v>
      </c>
      <c r="Q40" s="322"/>
    </row>
    <row r="41" spans="2:17">
      <c r="B41" s="322"/>
      <c r="E41" s="109" t="s">
        <v>2183</v>
      </c>
      <c r="Q41" s="322"/>
    </row>
    <row r="42" spans="2:17">
      <c r="B42" s="322"/>
      <c r="E42" s="2144" t="s">
        <v>428</v>
      </c>
      <c r="Q42" s="322"/>
    </row>
    <row r="43" spans="2:17">
      <c r="B43" s="322"/>
      <c r="E43" s="2144" t="s">
        <v>1371</v>
      </c>
      <c r="Q43" s="322"/>
    </row>
    <row r="44" spans="2:17">
      <c r="B44" s="322"/>
      <c r="E44" s="2144" t="s">
        <v>1372</v>
      </c>
      <c r="Q44" s="322"/>
    </row>
    <row r="45" spans="2:17">
      <c r="B45" s="322"/>
      <c r="E45" s="2144" t="s">
        <v>2925</v>
      </c>
      <c r="Q45" s="322"/>
    </row>
    <row r="46" spans="2:17">
      <c r="B46" s="322"/>
      <c r="E46" s="2144" t="s">
        <v>1898</v>
      </c>
      <c r="Q46" s="322"/>
    </row>
    <row r="47" spans="2:17">
      <c r="B47" s="322"/>
      <c r="E47" s="109" t="s">
        <v>2224</v>
      </c>
      <c r="Q47" s="322"/>
    </row>
    <row r="48" spans="2:17">
      <c r="B48" s="322"/>
      <c r="E48" s="2144" t="s">
        <v>1370</v>
      </c>
      <c r="Q48" s="322"/>
    </row>
    <row r="49" spans="2:17">
      <c r="B49" s="322"/>
      <c r="E49" s="2144" t="s">
        <v>1371</v>
      </c>
      <c r="Q49" s="322"/>
    </row>
    <row r="50" spans="2:17">
      <c r="B50" s="322"/>
      <c r="E50" s="2144" t="s">
        <v>1372</v>
      </c>
      <c r="Q50" s="322"/>
    </row>
    <row r="51" spans="2:17">
      <c r="B51" s="322"/>
      <c r="E51" s="2144" t="s">
        <v>2925</v>
      </c>
      <c r="Q51" s="322"/>
    </row>
    <row r="52" spans="2:17">
      <c r="B52" s="322"/>
      <c r="E52" s="2144" t="s">
        <v>1894</v>
      </c>
      <c r="Q52" s="322"/>
    </row>
    <row r="53" spans="2:17">
      <c r="B53" s="322"/>
      <c r="E53" s="2144" t="s">
        <v>1895</v>
      </c>
      <c r="Q53" s="322"/>
    </row>
    <row r="54" spans="2:17">
      <c r="B54" s="322"/>
      <c r="E54" s="2144" t="s">
        <v>1896</v>
      </c>
      <c r="Q54" s="322"/>
    </row>
    <row r="55" spans="2:17">
      <c r="B55" s="322"/>
      <c r="E55" s="2144" t="s">
        <v>1897</v>
      </c>
      <c r="Q55" s="322"/>
    </row>
    <row r="56" spans="2:17">
      <c r="B56" s="322"/>
      <c r="E56" s="2144" t="s">
        <v>2695</v>
      </c>
      <c r="Q56" s="322"/>
    </row>
    <row r="57" spans="2:17">
      <c r="B57" s="322"/>
      <c r="D57" s="109" t="s">
        <v>2697</v>
      </c>
      <c r="Q57" s="322"/>
    </row>
    <row r="58" spans="2:17">
      <c r="B58" s="322"/>
      <c r="D58" s="109" t="s">
        <v>2225</v>
      </c>
      <c r="Q58" s="322"/>
    </row>
    <row r="59" spans="2:17">
      <c r="B59" s="322"/>
      <c r="D59" s="109" t="s">
        <v>3827</v>
      </c>
      <c r="Q59" s="322"/>
    </row>
    <row r="60" spans="2:17">
      <c r="B60" s="322"/>
      <c r="D60" s="2144" t="s">
        <v>3828</v>
      </c>
      <c r="Q60" s="322"/>
    </row>
    <row r="61" spans="2:17">
      <c r="B61" s="322"/>
      <c r="D61" s="109" t="s">
        <v>3824</v>
      </c>
      <c r="Q61" s="322"/>
    </row>
    <row r="62" spans="2:17">
      <c r="B62" s="322"/>
      <c r="D62" s="109" t="s">
        <v>3825</v>
      </c>
      <c r="Q62" s="322"/>
    </row>
    <row r="63" spans="2:17">
      <c r="B63" s="322"/>
      <c r="D63" s="2144" t="s">
        <v>2226</v>
      </c>
      <c r="Q63" s="322"/>
    </row>
    <row r="64" spans="2:17">
      <c r="B64" s="322"/>
      <c r="D64" s="109" t="s">
        <v>3826</v>
      </c>
      <c r="Q64" s="322"/>
    </row>
    <row r="65" spans="2:17">
      <c r="B65" s="322"/>
      <c r="D65" s="109" t="s">
        <v>3839</v>
      </c>
      <c r="Q65" s="322"/>
    </row>
    <row r="66" spans="2:17" ht="6" customHeight="1">
      <c r="B66" s="322"/>
      <c r="Q66" s="322"/>
    </row>
    <row r="67" spans="2:17">
      <c r="B67" s="322"/>
      <c r="D67" s="2147" t="s">
        <v>2227</v>
      </c>
      <c r="Q67" s="322"/>
    </row>
    <row r="68" spans="2:17">
      <c r="B68" s="322"/>
      <c r="E68" s="109" t="s">
        <v>3829</v>
      </c>
      <c r="H68" s="109" t="s">
        <v>428</v>
      </c>
      <c r="J68" s="109" t="s">
        <v>1894</v>
      </c>
      <c r="L68" s="109" t="s">
        <v>1898</v>
      </c>
      <c r="Q68" s="322"/>
    </row>
    <row r="69" spans="2:17">
      <c r="B69" s="322"/>
      <c r="E69" s="109" t="s">
        <v>3830</v>
      </c>
      <c r="H69" s="109" t="s">
        <v>1370</v>
      </c>
      <c r="J69" s="109" t="s">
        <v>1895</v>
      </c>
      <c r="L69" s="109" t="s">
        <v>1899</v>
      </c>
      <c r="Q69" s="322"/>
    </row>
    <row r="70" spans="2:17">
      <c r="B70" s="322"/>
      <c r="E70" s="109" t="s">
        <v>3831</v>
      </c>
      <c r="H70" s="109" t="s">
        <v>1371</v>
      </c>
      <c r="J70" s="109" t="s">
        <v>1896</v>
      </c>
      <c r="L70" s="109" t="s">
        <v>2927</v>
      </c>
      <c r="Q70" s="322"/>
    </row>
    <row r="71" spans="2:17">
      <c r="B71" s="322"/>
      <c r="E71" s="109" t="s">
        <v>3832</v>
      </c>
      <c r="H71" s="109" t="s">
        <v>1372</v>
      </c>
      <c r="J71" s="109" t="s">
        <v>1897</v>
      </c>
      <c r="L71" s="109" t="s">
        <v>181</v>
      </c>
      <c r="Q71" s="322"/>
    </row>
    <row r="72" spans="2:17">
      <c r="B72" s="322"/>
      <c r="E72" s="109" t="s">
        <v>3833</v>
      </c>
      <c r="H72" s="109" t="s">
        <v>2925</v>
      </c>
      <c r="J72" s="109" t="s">
        <v>2926</v>
      </c>
      <c r="L72" s="109" t="s">
        <v>1530</v>
      </c>
      <c r="Q72" s="322"/>
    </row>
    <row r="73" spans="2:17">
      <c r="B73" s="322"/>
      <c r="C73" s="322"/>
      <c r="D73" s="322"/>
      <c r="E73" s="322"/>
      <c r="F73" s="322"/>
      <c r="G73" s="322"/>
      <c r="H73" s="322"/>
      <c r="I73" s="322"/>
      <c r="J73" s="322"/>
      <c r="K73" s="322"/>
      <c r="L73" s="322"/>
      <c r="M73" s="322"/>
      <c r="N73" s="322"/>
      <c r="O73" s="322"/>
      <c r="P73" s="322"/>
      <c r="Q73" s="322"/>
    </row>
    <row r="78" spans="2:17">
      <c r="E78" s="326"/>
    </row>
    <row r="79" spans="2:17">
      <c r="E79" s="326"/>
    </row>
    <row r="80" spans="2:17">
      <c r="E80" s="326"/>
    </row>
    <row r="81" spans="5:5">
      <c r="E81" s="326"/>
    </row>
    <row r="82" spans="5:5">
      <c r="E82" s="326"/>
    </row>
    <row r="83" spans="5:5">
      <c r="E83" s="326"/>
    </row>
    <row r="84" spans="5:5">
      <c r="E84" s="326"/>
    </row>
    <row r="85" spans="5:5">
      <c r="E85" s="326"/>
    </row>
  </sheetData>
  <phoneticPr fontId="0" type="noConversion"/>
  <pageMargins left="0.75" right="0.75" top="0.5" bottom="0.5" header="0.25" footer="0.25"/>
  <pageSetup scale="83" orientation="portrait" r:id="rId1"/>
  <headerFooter alignWithMargins="0">
    <oddFooter>&amp;L&amp;A</oddFooter>
  </headerFooter>
  <legacyDrawing r:id="rId2"/>
</worksheet>
</file>

<file path=xl/worksheets/sheet15.xml><?xml version="1.0" encoding="utf-8"?>
<worksheet xmlns="http://schemas.openxmlformats.org/spreadsheetml/2006/main" xmlns:r="http://schemas.openxmlformats.org/officeDocument/2006/relationships">
  <sheetPr>
    <pageSetUpPr fitToPage="1"/>
  </sheetPr>
  <dimension ref="A1:E22"/>
  <sheetViews>
    <sheetView workbookViewId="0"/>
  </sheetViews>
  <sheetFormatPr defaultRowHeight="12.75"/>
  <cols>
    <col min="1" max="1" width="5.42578125" style="2423" customWidth="1"/>
    <col min="2" max="2" width="81.7109375" style="2423" customWidth="1"/>
    <col min="3" max="3" width="16.42578125" style="2423" customWidth="1"/>
    <col min="4" max="4" width="15.42578125" style="2423" customWidth="1"/>
    <col min="5" max="5" width="26.42578125" style="2423" customWidth="1"/>
    <col min="6" max="16384" width="9.140625" style="2423"/>
  </cols>
  <sheetData>
    <row r="1" spans="1:5" ht="32.25" thickBot="1">
      <c r="A1" s="2417" t="s">
        <v>4136</v>
      </c>
      <c r="B1" s="2417"/>
      <c r="C1" s="2422"/>
      <c r="D1" s="2422"/>
      <c r="E1" s="2422"/>
    </row>
    <row r="2" spans="1:5" ht="8.25" customHeight="1">
      <c r="A2" s="2418"/>
      <c r="B2" s="2418"/>
      <c r="C2" s="2424"/>
      <c r="D2" s="2424"/>
      <c r="E2" s="2424"/>
    </row>
    <row r="3" spans="1:5" ht="15.75">
      <c r="A3" s="2419" t="s">
        <v>3996</v>
      </c>
      <c r="B3" s="2419"/>
      <c r="C3" s="2419" t="s">
        <v>3997</v>
      </c>
      <c r="D3" s="2419" t="s">
        <v>3998</v>
      </c>
      <c r="E3" s="2419" t="s">
        <v>3999</v>
      </c>
    </row>
    <row r="4" spans="1:5" s="2426" customFormat="1" ht="15">
      <c r="A4" s="2426" t="s">
        <v>4013</v>
      </c>
      <c r="C4" s="2426" t="s">
        <v>4000</v>
      </c>
    </row>
    <row r="5" spans="1:5" s="2426" customFormat="1" ht="15">
      <c r="B5" s="2426" t="s">
        <v>4001</v>
      </c>
    </row>
    <row r="6" spans="1:5" s="2426" customFormat="1" ht="15">
      <c r="B6" s="2426" t="s">
        <v>4002</v>
      </c>
    </row>
    <row r="7" spans="1:5" s="2426" customFormat="1" ht="15"/>
    <row r="8" spans="1:5" s="2426" customFormat="1" ht="15">
      <c r="A8" s="2426" t="s">
        <v>4137</v>
      </c>
      <c r="C8" s="2426" t="s">
        <v>4003</v>
      </c>
      <c r="D8" s="2426" t="s">
        <v>4004</v>
      </c>
      <c r="E8" s="2425" t="s">
        <v>4005</v>
      </c>
    </row>
    <row r="9" spans="1:5" s="2426" customFormat="1" ht="15">
      <c r="B9" s="2427" t="s">
        <v>4014</v>
      </c>
    </row>
    <row r="10" spans="1:5" s="2426" customFormat="1" ht="15">
      <c r="B10" s="2427"/>
    </row>
    <row r="11" spans="1:5" s="2426" customFormat="1" ht="15">
      <c r="B11" s="2420" t="s">
        <v>4010</v>
      </c>
      <c r="E11" s="2425"/>
    </row>
    <row r="12" spans="1:5" s="2426" customFormat="1" ht="15">
      <c r="B12" s="2426" t="s">
        <v>4006</v>
      </c>
      <c r="E12" s="2425"/>
    </row>
    <row r="13" spans="1:5" s="2426" customFormat="1" ht="15">
      <c r="B13" s="2426" t="s">
        <v>4138</v>
      </c>
      <c r="E13" s="2425"/>
    </row>
    <row r="14" spans="1:5" s="2426" customFormat="1" ht="15">
      <c r="E14" s="2425"/>
    </row>
    <row r="15" spans="1:5" s="2426" customFormat="1" ht="15">
      <c r="B15" s="2420" t="s">
        <v>4011</v>
      </c>
      <c r="E15" s="2425"/>
    </row>
    <row r="16" spans="1:5" s="2426" customFormat="1" ht="15">
      <c r="B16" s="2426" t="s">
        <v>4007</v>
      </c>
      <c r="E16" s="2425"/>
    </row>
    <row r="17" spans="1:5" s="2426" customFormat="1" ht="15">
      <c r="B17" s="2426" t="s">
        <v>4139</v>
      </c>
      <c r="E17" s="2425"/>
    </row>
    <row r="18" spans="1:5" s="2426" customFormat="1" ht="15"/>
    <row r="19" spans="1:5" s="2426" customFormat="1" ht="15">
      <c r="A19" s="2421" t="s">
        <v>4008</v>
      </c>
    </row>
    <row r="20" spans="1:5" s="2426" customFormat="1" ht="15">
      <c r="A20" s="2421" t="s">
        <v>4147</v>
      </c>
    </row>
    <row r="21" spans="1:5" s="2426" customFormat="1" ht="15"/>
    <row r="22" spans="1:5" s="2426" customFormat="1" ht="15">
      <c r="A22" s="2426" t="s">
        <v>4009</v>
      </c>
    </row>
  </sheetData>
  <hyperlinks>
    <hyperlink ref="E8" r:id="rId1"/>
  </hyperlinks>
  <pageMargins left="0.7" right="0.7" top="0.75" bottom="0.75" header="0.3" footer="0.3"/>
  <pageSetup scale="63" orientation="portrait" r:id="rId2"/>
  <headerFooter>
    <oddHeader>&amp;C&amp;F</oddHeader>
    <oddFooter>&amp;L&amp;A&amp;CPage &amp;P of &amp;N&amp;R&amp;D &amp;T</oddFooter>
  </headerFooter>
</worksheet>
</file>

<file path=xl/worksheets/sheet16.xml><?xml version="1.0" encoding="utf-8"?>
<worksheet xmlns="http://schemas.openxmlformats.org/spreadsheetml/2006/main" xmlns:r="http://schemas.openxmlformats.org/officeDocument/2006/relationships">
  <sheetPr codeName="Sheet41">
    <pageSetUpPr fitToPage="1"/>
  </sheetPr>
  <dimension ref="A1:B39"/>
  <sheetViews>
    <sheetView workbookViewId="0"/>
  </sheetViews>
  <sheetFormatPr defaultRowHeight="12.75"/>
  <cols>
    <col min="1" max="1" width="8.42578125" style="1678" bestFit="1" customWidth="1"/>
    <col min="2" max="2" width="36.85546875" style="1678" bestFit="1" customWidth="1"/>
    <col min="3" max="16384" width="9.140625" style="1678"/>
  </cols>
  <sheetData>
    <row r="1" spans="1:2">
      <c r="A1" s="1925" t="s">
        <v>1529</v>
      </c>
      <c r="B1" s="1936"/>
    </row>
    <row r="2" spans="1:2">
      <c r="A2" s="2211" t="s">
        <v>3482</v>
      </c>
      <c r="B2" s="2211" t="s">
        <v>3509</v>
      </c>
    </row>
    <row r="3" spans="1:2">
      <c r="A3" s="2211" t="s">
        <v>3834</v>
      </c>
      <c r="B3" s="2211" t="s">
        <v>3835</v>
      </c>
    </row>
    <row r="4" spans="1:2">
      <c r="A4" s="2211" t="s">
        <v>3483</v>
      </c>
      <c r="B4" s="2211" t="s">
        <v>3510</v>
      </c>
    </row>
    <row r="5" spans="1:2">
      <c r="A5" s="2211" t="s">
        <v>2107</v>
      </c>
      <c r="B5" s="2211" t="s">
        <v>3493</v>
      </c>
    </row>
    <row r="6" spans="1:2">
      <c r="A6" s="2211" t="s">
        <v>2597</v>
      </c>
      <c r="B6" s="2211" t="s">
        <v>3492</v>
      </c>
    </row>
    <row r="7" spans="1:2">
      <c r="A7" s="2211" t="s">
        <v>3484</v>
      </c>
      <c r="B7" s="2211" t="s">
        <v>3494</v>
      </c>
    </row>
    <row r="8" spans="1:2">
      <c r="A8" s="2211" t="s">
        <v>3507</v>
      </c>
      <c r="B8" s="2211" t="s">
        <v>3508</v>
      </c>
    </row>
    <row r="9" spans="1:2">
      <c r="A9" s="2211" t="s">
        <v>3485</v>
      </c>
      <c r="B9" s="2211" t="s">
        <v>3495</v>
      </c>
    </row>
    <row r="10" spans="1:2">
      <c r="A10" s="2211" t="s">
        <v>2041</v>
      </c>
      <c r="B10" s="2211" t="s">
        <v>1858</v>
      </c>
    </row>
    <row r="11" spans="1:2">
      <c r="A11" s="2211" t="s">
        <v>3503</v>
      </c>
      <c r="B11" s="2211" t="s">
        <v>3504</v>
      </c>
    </row>
    <row r="12" spans="1:2">
      <c r="A12" s="2211" t="s">
        <v>2857</v>
      </c>
      <c r="B12" s="2211" t="s">
        <v>1849</v>
      </c>
    </row>
    <row r="13" spans="1:2">
      <c r="A13" s="2211" t="s">
        <v>2106</v>
      </c>
      <c r="B13" s="2211" t="s">
        <v>3501</v>
      </c>
    </row>
    <row r="14" spans="1:2">
      <c r="A14" s="2211" t="s">
        <v>3486</v>
      </c>
      <c r="B14" s="2211" t="s">
        <v>3512</v>
      </c>
    </row>
    <row r="15" spans="1:2">
      <c r="A15" s="2211" t="s">
        <v>3822</v>
      </c>
      <c r="B15" s="2211" t="s">
        <v>3823</v>
      </c>
    </row>
    <row r="16" spans="1:2">
      <c r="A16" s="2211" t="s">
        <v>1362</v>
      </c>
      <c r="B16" s="2211" t="s">
        <v>3836</v>
      </c>
    </row>
    <row r="17" spans="1:2">
      <c r="A17" s="2211" t="s">
        <v>1383</v>
      </c>
      <c r="B17" s="2211" t="s">
        <v>1532</v>
      </c>
    </row>
    <row r="18" spans="1:2">
      <c r="A18" s="2211" t="s">
        <v>3505</v>
      </c>
      <c r="B18" s="2211" t="s">
        <v>3506</v>
      </c>
    </row>
    <row r="19" spans="1:2">
      <c r="A19" s="2211" t="s">
        <v>3487</v>
      </c>
      <c r="B19" s="2211" t="s">
        <v>3511</v>
      </c>
    </row>
    <row r="20" spans="1:2">
      <c r="A20" s="2211" t="s">
        <v>1523</v>
      </c>
      <c r="B20" s="2211" t="s">
        <v>1524</v>
      </c>
    </row>
    <row r="21" spans="1:2">
      <c r="A21" s="2211" t="s">
        <v>3488</v>
      </c>
      <c r="B21" s="2211" t="s">
        <v>3496</v>
      </c>
    </row>
    <row r="22" spans="1:2">
      <c r="A22" s="2211" t="s">
        <v>1037</v>
      </c>
      <c r="B22" s="2211" t="s">
        <v>3498</v>
      </c>
    </row>
    <row r="23" spans="1:2">
      <c r="A23" s="2211" t="s">
        <v>2105</v>
      </c>
      <c r="B23" s="2211" t="s">
        <v>3502</v>
      </c>
    </row>
    <row r="24" spans="1:2">
      <c r="A24" s="2211" t="s">
        <v>3490</v>
      </c>
      <c r="B24" s="2211" t="s">
        <v>3499</v>
      </c>
    </row>
    <row r="25" spans="1:2">
      <c r="A25" s="2211" t="s">
        <v>1547</v>
      </c>
      <c r="B25" s="2211" t="s">
        <v>1848</v>
      </c>
    </row>
    <row r="26" spans="1:2">
      <c r="A26" s="2211" t="s">
        <v>1990</v>
      </c>
      <c r="B26" s="2211" t="s">
        <v>1548</v>
      </c>
    </row>
    <row r="27" spans="1:2">
      <c r="A27" s="2211" t="s">
        <v>2108</v>
      </c>
      <c r="B27" s="2211" t="s">
        <v>3500</v>
      </c>
    </row>
    <row r="28" spans="1:2">
      <c r="A28" s="2211" t="s">
        <v>3489</v>
      </c>
      <c r="B28" s="2211" t="s">
        <v>3497</v>
      </c>
    </row>
    <row r="29" spans="1:2">
      <c r="A29" s="2211" t="s">
        <v>1530</v>
      </c>
      <c r="B29" s="2211" t="s">
        <v>1531</v>
      </c>
    </row>
    <row r="30" spans="1:2">
      <c r="A30" s="2211" t="s">
        <v>3837</v>
      </c>
      <c r="B30" s="2211" t="s">
        <v>3838</v>
      </c>
    </row>
    <row r="31" spans="1:2">
      <c r="A31" s="2211" t="s">
        <v>3491</v>
      </c>
      <c r="B31" s="2211" t="s">
        <v>1522</v>
      </c>
    </row>
    <row r="32" spans="1:2">
      <c r="A32" s="2211" t="s">
        <v>1525</v>
      </c>
      <c r="B32" s="2211" t="s">
        <v>1526</v>
      </c>
    </row>
    <row r="33" spans="1:2">
      <c r="A33" s="2211" t="s">
        <v>1527</v>
      </c>
      <c r="B33" s="2211" t="s">
        <v>1528</v>
      </c>
    </row>
    <row r="34" spans="1:2" ht="6.95" customHeight="1">
      <c r="A34" s="2211"/>
      <c r="B34" s="2211"/>
    </row>
    <row r="35" spans="1:2">
      <c r="A35" s="2211" t="s">
        <v>1537</v>
      </c>
      <c r="B35" s="2211" t="s">
        <v>1538</v>
      </c>
    </row>
    <row r="36" spans="1:2">
      <c r="A36" s="2211" t="s">
        <v>1539</v>
      </c>
      <c r="B36" s="2211" t="s">
        <v>1540</v>
      </c>
    </row>
    <row r="37" spans="1:2">
      <c r="A37" s="2211" t="s">
        <v>1541</v>
      </c>
      <c r="B37" s="2211" t="s">
        <v>1542</v>
      </c>
    </row>
    <row r="38" spans="1:2">
      <c r="A38" s="2211" t="s">
        <v>1543</v>
      </c>
      <c r="B38" s="2211" t="s">
        <v>1544</v>
      </c>
    </row>
    <row r="39" spans="1:2">
      <c r="A39" s="2211" t="s">
        <v>1545</v>
      </c>
      <c r="B39" s="2211" t="s">
        <v>1546</v>
      </c>
    </row>
  </sheetData>
  <phoneticPr fontId="18" type="noConversion"/>
  <pageMargins left="0.75" right="0.75" top="1" bottom="1" header="0.5" footer="0.5"/>
  <pageSetup orientation="portrait" r:id="rId1"/>
  <headerFooter alignWithMargins="0">
    <oddFooter>&amp;L&amp;A</oddFooter>
  </headerFooter>
</worksheet>
</file>

<file path=xl/worksheets/sheet17.xml><?xml version="1.0" encoding="utf-8"?>
<worksheet xmlns="http://schemas.openxmlformats.org/spreadsheetml/2006/main" xmlns:r="http://schemas.openxmlformats.org/officeDocument/2006/relationships">
  <sheetPr codeName="Sheet42"/>
  <dimension ref="A71"/>
  <sheetViews>
    <sheetView view="pageBreakPreview" zoomScaleSheetLayoutView="100" workbookViewId="0"/>
  </sheetViews>
  <sheetFormatPr defaultRowHeight="12.75"/>
  <cols>
    <col min="1" max="16384" width="9.140625" style="1678"/>
  </cols>
  <sheetData>
    <row r="71" spans="1:1">
      <c r="A71" s="1678" t="s">
        <v>1535</v>
      </c>
    </row>
  </sheetData>
  <sheetProtection sheet="1" objects="1" scenarios="1"/>
  <phoneticPr fontId="18" type="noConversion"/>
  <printOptions horizontalCentered="1"/>
  <pageMargins left="0.75" right="0.75" top="1" bottom="1" header="0.5" footer="0.5"/>
  <pageSetup scale="90" fitToHeight="2" orientation="portrait" r:id="rId1"/>
  <headerFooter alignWithMargins="0"/>
  <drawing r:id="rId2"/>
</worksheet>
</file>

<file path=xl/worksheets/sheet18.xml><?xml version="1.0" encoding="utf-8"?>
<worksheet xmlns="http://schemas.openxmlformats.org/spreadsheetml/2006/main" xmlns:r="http://schemas.openxmlformats.org/officeDocument/2006/relationships">
  <sheetPr codeName="Sheet43" enableFormatConditionsCalculation="0">
    <tabColor indexed="48"/>
    <pageSetUpPr fitToPage="1"/>
  </sheetPr>
  <dimension ref="A1:I102"/>
  <sheetViews>
    <sheetView topLeftCell="A9" zoomScale="75" zoomScaleNormal="75" workbookViewId="0">
      <selection activeCell="A9" sqref="A9"/>
    </sheetView>
  </sheetViews>
  <sheetFormatPr defaultRowHeight="12.75" outlineLevelRow="1"/>
  <cols>
    <col min="1" max="1" width="24.7109375" style="1678" customWidth="1"/>
    <col min="2" max="2" width="14.7109375" style="1918" customWidth="1"/>
    <col min="3" max="8" width="9.140625" style="1678"/>
    <col min="9" max="9" width="15.42578125" style="1678" bestFit="1" customWidth="1"/>
    <col min="10" max="16384" width="9.140625" style="1678"/>
  </cols>
  <sheetData>
    <row r="1" spans="1:9" hidden="1" outlineLevel="1">
      <c r="A1" s="1934" t="s">
        <v>1874</v>
      </c>
      <c r="B1" s="2041" t="s">
        <v>2150</v>
      </c>
      <c r="C1" s="2041" t="s">
        <v>10</v>
      </c>
      <c r="D1" s="2039"/>
      <c r="E1" s="2039"/>
      <c r="F1" s="2039"/>
      <c r="G1" s="2039"/>
      <c r="H1" s="2039"/>
      <c r="I1" s="2039"/>
    </row>
    <row r="2" spans="1:9" hidden="1" outlineLevel="1">
      <c r="A2" s="1934" t="s">
        <v>1875</v>
      </c>
      <c r="B2" s="2041" t="s">
        <v>1876</v>
      </c>
      <c r="C2" s="2041" t="s">
        <v>1877</v>
      </c>
      <c r="D2" s="2043" t="s">
        <v>3794</v>
      </c>
      <c r="E2" s="2039"/>
      <c r="F2" s="2039"/>
      <c r="G2" s="2039"/>
      <c r="H2" s="2039"/>
      <c r="I2" s="2039"/>
    </row>
    <row r="3" spans="1:9" hidden="1" outlineLevel="1">
      <c r="A3" s="1934" t="s">
        <v>2087</v>
      </c>
      <c r="B3" s="2040" t="s">
        <v>3795</v>
      </c>
      <c r="C3" s="2040" t="s">
        <v>3796</v>
      </c>
      <c r="D3" s="2042" t="s">
        <v>3797</v>
      </c>
      <c r="E3" s="2042"/>
      <c r="F3" s="2039"/>
      <c r="G3" s="2039"/>
      <c r="H3" s="2039"/>
      <c r="I3" s="2039"/>
    </row>
    <row r="4" spans="1:9" hidden="1" outlineLevel="1">
      <c r="A4" s="1921" t="s">
        <v>259</v>
      </c>
      <c r="B4" s="2040" t="s">
        <v>3795</v>
      </c>
      <c r="C4" s="2040" t="s">
        <v>3796</v>
      </c>
      <c r="F4" s="2039"/>
      <c r="G4" s="2039"/>
      <c r="H4" s="2039"/>
      <c r="I4" s="2039"/>
    </row>
    <row r="5" spans="1:9" hidden="1" outlineLevel="1">
      <c r="A5" s="1934" t="s">
        <v>3798</v>
      </c>
      <c r="B5" s="2040" t="s">
        <v>3799</v>
      </c>
      <c r="C5" s="2044" t="s">
        <v>3800</v>
      </c>
      <c r="D5" s="2042" t="s">
        <v>3801</v>
      </c>
      <c r="E5" s="2042" t="s">
        <v>3802</v>
      </c>
      <c r="F5" s="2039"/>
      <c r="G5" s="2039"/>
      <c r="H5" s="2039"/>
      <c r="I5" s="2039"/>
    </row>
    <row r="6" spans="1:9" hidden="1" outlineLevel="1">
      <c r="A6" s="1934" t="s">
        <v>3803</v>
      </c>
      <c r="B6" s="2040" t="s">
        <v>3804</v>
      </c>
      <c r="C6" s="2040" t="s">
        <v>3805</v>
      </c>
      <c r="D6" s="2042" t="s">
        <v>45</v>
      </c>
      <c r="E6" s="2042"/>
      <c r="F6" s="2039"/>
      <c r="G6" s="2039"/>
      <c r="H6" s="2039"/>
      <c r="I6" s="2039"/>
    </row>
    <row r="7" spans="1:9" hidden="1" outlineLevel="1">
      <c r="A7" s="1934" t="s">
        <v>46</v>
      </c>
      <c r="B7" s="2040" t="s">
        <v>3587</v>
      </c>
      <c r="C7" s="2040" t="s">
        <v>1877</v>
      </c>
      <c r="D7" s="2042" t="s">
        <v>3586</v>
      </c>
      <c r="E7" s="2039"/>
      <c r="F7" s="1934"/>
      <c r="G7" s="1934"/>
      <c r="H7" s="1934"/>
      <c r="I7" s="1934"/>
    </row>
    <row r="8" spans="1:9" hidden="1" outlineLevel="1">
      <c r="A8" s="1934"/>
      <c r="B8" s="1934"/>
      <c r="C8" s="1934"/>
      <c r="D8" s="1934"/>
      <c r="E8" s="1934"/>
      <c r="F8" s="1934"/>
      <c r="G8" s="1934"/>
      <c r="H8" s="1934"/>
      <c r="I8" s="1934"/>
    </row>
    <row r="9" spans="1:9" ht="15.75" collapsed="1">
      <c r="A9" s="1922" t="s">
        <v>3329</v>
      </c>
      <c r="B9" s="1923"/>
      <c r="C9" s="1923"/>
      <c r="D9" s="1923"/>
      <c r="E9" s="1923"/>
      <c r="F9" s="1923"/>
      <c r="G9" s="1924"/>
      <c r="H9" s="1935"/>
      <c r="I9" s="1936"/>
    </row>
    <row r="10" spans="1:9">
      <c r="A10" s="1925" t="s">
        <v>1871</v>
      </c>
      <c r="B10" s="1926"/>
      <c r="C10" s="1926"/>
      <c r="D10" s="1926"/>
      <c r="E10" s="1926"/>
      <c r="F10" s="1926"/>
      <c r="G10" s="1927"/>
      <c r="H10" s="1935"/>
      <c r="I10" s="1936"/>
    </row>
    <row r="11" spans="1:9" ht="45" customHeight="1">
      <c r="A11" s="3020"/>
      <c r="B11" s="3021"/>
      <c r="C11" s="3021"/>
      <c r="D11" s="3021"/>
      <c r="E11" s="3021"/>
      <c r="F11" s="3021"/>
      <c r="G11" s="3021"/>
      <c r="H11" s="3021"/>
      <c r="I11" s="3022"/>
    </row>
    <row r="12" spans="1:9">
      <c r="A12" s="1925" t="s">
        <v>3332</v>
      </c>
      <c r="B12" s="1926"/>
      <c r="C12" s="1926"/>
      <c r="D12" s="1926"/>
      <c r="E12" s="1926"/>
      <c r="F12" s="1926"/>
      <c r="G12" s="1927"/>
      <c r="H12" s="1935"/>
      <c r="I12" s="1936"/>
    </row>
    <row r="13" spans="1:9" ht="45" customHeight="1">
      <c r="A13" s="3020"/>
      <c r="B13" s="3021"/>
      <c r="C13" s="3021"/>
      <c r="D13" s="3021"/>
      <c r="E13" s="3021"/>
      <c r="F13" s="3021"/>
      <c r="G13" s="3021"/>
      <c r="H13" s="3021"/>
      <c r="I13" s="3022"/>
    </row>
    <row r="14" spans="1:9">
      <c r="A14" s="1925" t="s">
        <v>3333</v>
      </c>
      <c r="B14" s="1926"/>
      <c r="C14" s="1926"/>
      <c r="D14" s="1926"/>
      <c r="E14" s="1926"/>
      <c r="F14" s="1926"/>
      <c r="G14" s="1927"/>
      <c r="H14" s="1935"/>
      <c r="I14" s="1936"/>
    </row>
    <row r="15" spans="1:9" ht="45" customHeight="1">
      <c r="A15" s="3020"/>
      <c r="B15" s="3021"/>
      <c r="C15" s="3021"/>
      <c r="D15" s="3021"/>
      <c r="E15" s="3021"/>
      <c r="F15" s="3021"/>
      <c r="G15" s="3021"/>
      <c r="H15" s="3021"/>
      <c r="I15" s="3022"/>
    </row>
    <row r="16" spans="1:9">
      <c r="A16" s="1925" t="s">
        <v>3334</v>
      </c>
      <c r="B16" s="1926"/>
      <c r="C16" s="1926"/>
      <c r="D16" s="1926"/>
      <c r="E16" s="1926"/>
      <c r="F16" s="1926"/>
      <c r="G16" s="1927"/>
      <c r="H16" s="1935"/>
      <c r="I16" s="1936"/>
    </row>
    <row r="17" spans="1:9" ht="45" customHeight="1">
      <c r="A17" s="3020"/>
      <c r="B17" s="3021"/>
      <c r="C17" s="3021"/>
      <c r="D17" s="3021"/>
      <c r="E17" s="3021"/>
      <c r="F17" s="3021"/>
      <c r="G17" s="3021"/>
      <c r="H17" s="3021"/>
      <c r="I17" s="3022"/>
    </row>
    <row r="18" spans="1:9" ht="5.0999999999999996" customHeight="1"/>
    <row r="19" spans="1:9">
      <c r="A19" s="1918" t="s">
        <v>3336</v>
      </c>
      <c r="B19" s="2054">
        <v>46601</v>
      </c>
    </row>
    <row r="20" spans="1:9">
      <c r="A20" s="1918" t="s">
        <v>1873</v>
      </c>
      <c r="B20" s="2055"/>
    </row>
    <row r="21" spans="1:9">
      <c r="A21" s="1918" t="s">
        <v>3335</v>
      </c>
      <c r="B21" s="2056"/>
    </row>
    <row r="22" spans="1:9">
      <c r="A22" s="1918" t="s">
        <v>1448</v>
      </c>
      <c r="B22" s="3027"/>
      <c r="C22" s="3028"/>
      <c r="D22" s="3028"/>
      <c r="E22" s="3028"/>
      <c r="F22" s="3028"/>
      <c r="G22" s="3028"/>
      <c r="H22" s="3028"/>
      <c r="I22" s="3029"/>
    </row>
    <row r="23" spans="1:9">
      <c r="A23" s="1918" t="s">
        <v>1861</v>
      </c>
      <c r="B23" s="2057"/>
    </row>
    <row r="24" spans="1:9">
      <c r="A24" s="1925" t="s">
        <v>47</v>
      </c>
      <c r="B24" s="1926"/>
      <c r="C24" s="1926"/>
      <c r="D24" s="1926"/>
      <c r="E24" s="1926"/>
      <c r="F24" s="1926"/>
      <c r="G24" s="1927"/>
      <c r="H24" s="1935"/>
      <c r="I24" s="1936"/>
    </row>
    <row r="25" spans="1:9" ht="45" customHeight="1">
      <c r="A25" s="3020"/>
      <c r="B25" s="3021"/>
      <c r="C25" s="3021"/>
      <c r="D25" s="3021"/>
      <c r="E25" s="3021"/>
      <c r="F25" s="3021"/>
      <c r="G25" s="3021"/>
      <c r="H25" s="3021"/>
      <c r="I25" s="3022"/>
    </row>
    <row r="26" spans="1:9" ht="5.0999999999999996" customHeight="1"/>
    <row r="27" spans="1:9">
      <c r="A27" s="1918" t="s">
        <v>1872</v>
      </c>
      <c r="B27" s="2054"/>
    </row>
    <row r="28" spans="1:9" ht="5.0999999999999996" customHeight="1"/>
    <row r="29" spans="1:9">
      <c r="A29" s="1925" t="s">
        <v>3337</v>
      </c>
      <c r="B29" s="1926"/>
      <c r="C29" s="1926"/>
      <c r="D29" s="1926"/>
      <c r="E29" s="1926"/>
      <c r="F29" s="1926"/>
      <c r="G29" s="1927"/>
      <c r="H29" s="1935"/>
      <c r="I29" s="1936"/>
    </row>
    <row r="30" spans="1:9" ht="45" customHeight="1">
      <c r="A30" s="3020"/>
      <c r="B30" s="3021"/>
      <c r="C30" s="3021"/>
      <c r="D30" s="3021"/>
      <c r="E30" s="3021"/>
      <c r="F30" s="3021"/>
      <c r="G30" s="3021"/>
      <c r="H30" s="3021"/>
      <c r="I30" s="3022"/>
    </row>
    <row r="31" spans="1:9">
      <c r="A31" s="1918" t="s">
        <v>3338</v>
      </c>
      <c r="B31" s="3030"/>
      <c r="C31" s="3030"/>
    </row>
    <row r="32" spans="1:9">
      <c r="A32" s="1918" t="s">
        <v>2247</v>
      </c>
      <c r="B32" s="2210">
        <v>0.6</v>
      </c>
    </row>
    <row r="33" spans="1:9">
      <c r="A33" s="1918" t="s">
        <v>258</v>
      </c>
      <c r="B33" s="2054"/>
    </row>
    <row r="34" spans="1:9">
      <c r="A34" s="1918" t="s">
        <v>1869</v>
      </c>
      <c r="B34" s="2054"/>
    </row>
    <row r="35" spans="1:9">
      <c r="A35" s="1918" t="s">
        <v>1870</v>
      </c>
      <c r="B35" s="2054"/>
    </row>
    <row r="36" spans="1:9">
      <c r="A36" s="1918" t="s">
        <v>3672</v>
      </c>
      <c r="B36" s="2054"/>
    </row>
    <row r="37" spans="1:9">
      <c r="A37" s="1925" t="s">
        <v>2362</v>
      </c>
      <c r="B37" s="1926"/>
      <c r="C37" s="1926"/>
      <c r="D37" s="1926"/>
      <c r="E37" s="1926"/>
      <c r="F37" s="1926"/>
      <c r="G37" s="1927"/>
      <c r="H37" s="1935"/>
      <c r="I37" s="1936"/>
    </row>
    <row r="38" spans="1:9" ht="45" customHeight="1">
      <c r="A38" s="3020"/>
      <c r="B38" s="3021"/>
      <c r="C38" s="3021"/>
      <c r="D38" s="3021"/>
      <c r="E38" s="3021"/>
      <c r="F38" s="3021"/>
      <c r="G38" s="3021"/>
      <c r="H38" s="3021"/>
      <c r="I38" s="3022"/>
    </row>
    <row r="39" spans="1:9" ht="15.75">
      <c r="A39" s="1922" t="s">
        <v>3330</v>
      </c>
      <c r="B39" s="1923"/>
      <c r="C39" s="1923"/>
      <c r="D39" s="1923"/>
      <c r="E39" s="1923"/>
      <c r="F39" s="1923"/>
      <c r="G39" s="1924"/>
      <c r="H39" s="1935"/>
      <c r="I39" s="1936"/>
    </row>
    <row r="40" spans="1:9">
      <c r="A40" s="1918" t="s">
        <v>261</v>
      </c>
      <c r="B40" s="2058"/>
    </row>
    <row r="41" spans="1:9">
      <c r="A41" s="1918" t="s">
        <v>262</v>
      </c>
      <c r="B41" s="2059"/>
    </row>
    <row r="42" spans="1:9">
      <c r="A42" s="1918" t="s">
        <v>264</v>
      </c>
      <c r="B42" s="2055"/>
    </row>
    <row r="43" spans="1:9" ht="5.0999999999999996" customHeight="1"/>
    <row r="44" spans="1:9">
      <c r="A44" s="1918" t="s">
        <v>263</v>
      </c>
      <c r="B44" s="2055"/>
      <c r="C44" s="1678" t="s">
        <v>4052</v>
      </c>
    </row>
    <row r="45" spans="1:9">
      <c r="A45" s="1918" t="s">
        <v>4097</v>
      </c>
      <c r="B45" s="2055">
        <v>1</v>
      </c>
      <c r="C45" s="1678" t="s">
        <v>4098</v>
      </c>
    </row>
    <row r="46" spans="1:9">
      <c r="A46" s="1918" t="s">
        <v>3325</v>
      </c>
      <c r="B46" s="2055"/>
    </row>
    <row r="47" spans="1:9">
      <c r="A47" s="1918" t="s">
        <v>3326</v>
      </c>
      <c r="B47" s="2055"/>
    </row>
    <row r="48" spans="1:9">
      <c r="A48" s="1918" t="s">
        <v>3327</v>
      </c>
      <c r="B48" s="2055"/>
    </row>
    <row r="49" spans="1:8">
      <c r="A49" s="1918" t="s">
        <v>3328</v>
      </c>
      <c r="B49" s="2055"/>
    </row>
    <row r="50" spans="1:8" ht="5.0999999999999996" customHeight="1"/>
    <row r="51" spans="1:8">
      <c r="A51" s="1925" t="s">
        <v>3331</v>
      </c>
      <c r="B51" s="1926"/>
      <c r="C51" s="1926"/>
      <c r="D51" s="1927"/>
      <c r="E51" s="1928"/>
      <c r="F51" s="1928"/>
      <c r="G51" s="1928"/>
    </row>
    <row r="52" spans="1:8">
      <c r="A52" s="3019" t="s">
        <v>3324</v>
      </c>
      <c r="B52" s="1929" t="s">
        <v>463</v>
      </c>
      <c r="C52" s="2060"/>
    </row>
    <row r="53" spans="1:8">
      <c r="A53" s="3023"/>
      <c r="B53" s="1919" t="s">
        <v>4104</v>
      </c>
      <c r="C53" s="2055"/>
    </row>
    <row r="54" spans="1:8">
      <c r="A54" s="3023" t="s">
        <v>6</v>
      </c>
      <c r="B54" s="1919" t="str">
        <f>B52</f>
        <v>Govt</v>
      </c>
      <c r="C54" s="2055"/>
    </row>
    <row r="55" spans="1:8">
      <c r="A55" s="3023"/>
      <c r="B55" s="1919" t="str">
        <f>B53</f>
        <v>Non-Govt</v>
      </c>
      <c r="C55" s="2055"/>
    </row>
    <row r="56" spans="1:8">
      <c r="A56" s="3023" t="s">
        <v>1402</v>
      </c>
      <c r="B56" s="1919" t="str">
        <f>B54</f>
        <v>Govt</v>
      </c>
      <c r="C56" s="2055"/>
    </row>
    <row r="57" spans="1:8">
      <c r="A57" s="3023"/>
      <c r="B57" s="1919" t="str">
        <f>B55</f>
        <v>Non-Govt</v>
      </c>
      <c r="C57" s="2055"/>
    </row>
    <row r="58" spans="1:8" ht="5.0999999999999996" customHeight="1"/>
    <row r="59" spans="1:8">
      <c r="A59" s="1925" t="s">
        <v>3322</v>
      </c>
      <c r="B59" s="1926"/>
      <c r="C59" s="1926"/>
      <c r="D59" s="1926"/>
      <c r="E59" s="1926"/>
      <c r="F59" s="1926"/>
      <c r="G59" s="1927"/>
    </row>
    <row r="60" spans="1:8">
      <c r="C60" s="1920" t="s">
        <v>265</v>
      </c>
      <c r="D60" s="1920" t="s">
        <v>1090</v>
      </c>
      <c r="E60" s="1920" t="s">
        <v>1091</v>
      </c>
      <c r="F60" s="1920" t="s">
        <v>2165</v>
      </c>
      <c r="G60" s="1920" t="s">
        <v>2166</v>
      </c>
      <c r="H60" s="1920" t="s">
        <v>2167</v>
      </c>
    </row>
    <row r="61" spans="1:8">
      <c r="A61" s="3023" t="s">
        <v>3324</v>
      </c>
      <c r="B61" s="1919" t="str">
        <f t="shared" ref="B61:B66" si="0">B52</f>
        <v>Govt</v>
      </c>
      <c r="C61" s="2055"/>
      <c r="D61" s="2055"/>
      <c r="E61" s="2055"/>
      <c r="F61" s="2055"/>
      <c r="G61" s="2055"/>
      <c r="H61" s="2055"/>
    </row>
    <row r="62" spans="1:8">
      <c r="A62" s="3023"/>
      <c r="B62" s="1919" t="str">
        <f t="shared" si="0"/>
        <v>Non-Govt</v>
      </c>
      <c r="C62" s="2055"/>
      <c r="D62" s="2055"/>
      <c r="E62" s="2055"/>
      <c r="F62" s="2055"/>
      <c r="G62" s="2055"/>
      <c r="H62" s="2055"/>
    </row>
    <row r="63" spans="1:8">
      <c r="A63" s="3023" t="s">
        <v>6</v>
      </c>
      <c r="B63" s="1919" t="str">
        <f t="shared" si="0"/>
        <v>Govt</v>
      </c>
      <c r="C63" s="2055"/>
      <c r="D63" s="2055"/>
      <c r="E63" s="2055"/>
      <c r="F63" s="2055"/>
      <c r="G63" s="2055"/>
      <c r="H63" s="2055"/>
    </row>
    <row r="64" spans="1:8">
      <c r="A64" s="3023"/>
      <c r="B64" s="1919" t="str">
        <f t="shared" si="0"/>
        <v>Non-Govt</v>
      </c>
      <c r="C64" s="2055"/>
      <c r="D64" s="2055"/>
      <c r="E64" s="2055"/>
      <c r="F64" s="2055"/>
      <c r="G64" s="2055"/>
      <c r="H64" s="2055"/>
    </row>
    <row r="65" spans="1:9">
      <c r="A65" s="3023" t="s">
        <v>1402</v>
      </c>
      <c r="B65" s="1919" t="str">
        <f t="shared" si="0"/>
        <v>Govt</v>
      </c>
      <c r="C65" s="2055"/>
      <c r="D65" s="2055"/>
      <c r="E65" s="2055"/>
      <c r="F65" s="2055"/>
      <c r="G65" s="2055"/>
      <c r="H65" s="2055"/>
    </row>
    <row r="66" spans="1:9">
      <c r="A66" s="3023"/>
      <c r="B66" s="1919" t="str">
        <f t="shared" si="0"/>
        <v>Non-Govt</v>
      </c>
      <c r="C66" s="2055"/>
      <c r="D66" s="2055"/>
      <c r="E66" s="2055"/>
      <c r="F66" s="2055"/>
      <c r="G66" s="2055"/>
      <c r="H66" s="2055"/>
    </row>
    <row r="67" spans="1:9" ht="5.0999999999999996" customHeight="1"/>
    <row r="68" spans="1:9">
      <c r="A68" s="1925" t="s">
        <v>3323</v>
      </c>
      <c r="B68" s="1926"/>
      <c r="C68" s="1926"/>
      <c r="D68" s="1926"/>
      <c r="E68" s="1926"/>
      <c r="F68" s="1926"/>
      <c r="G68" s="1927"/>
    </row>
    <row r="69" spans="1:9">
      <c r="A69" s="1930" t="s">
        <v>49</v>
      </c>
      <c r="B69" s="1931"/>
      <c r="C69" s="1931"/>
      <c r="D69" s="1931"/>
      <c r="E69" s="1931"/>
      <c r="F69" s="1931"/>
      <c r="G69" s="1932"/>
    </row>
    <row r="70" spans="1:9">
      <c r="B70" s="1677"/>
      <c r="C70" s="1920" t="str">
        <f>D60</f>
        <v>Year 1</v>
      </c>
      <c r="D70" s="1920" t="str">
        <f>E60</f>
        <v>Year 2</v>
      </c>
      <c r="E70" s="1920" t="str">
        <f>F60</f>
        <v>Year 3</v>
      </c>
      <c r="F70" s="1920" t="str">
        <f>G60</f>
        <v>Year 4</v>
      </c>
      <c r="G70" s="1920" t="str">
        <f>H60</f>
        <v>Year 5</v>
      </c>
      <c r="I70" s="1921" t="s">
        <v>48</v>
      </c>
    </row>
    <row r="71" spans="1:9" ht="12.75" customHeight="1">
      <c r="A71" s="3024" t="s">
        <v>51</v>
      </c>
      <c r="B71" s="2063" t="s">
        <v>1950</v>
      </c>
      <c r="C71" s="2061"/>
      <c r="D71" s="2061"/>
      <c r="E71" s="2061"/>
      <c r="F71" s="2061"/>
      <c r="G71" s="2061"/>
      <c r="I71" s="2058"/>
    </row>
    <row r="72" spans="1:9">
      <c r="A72" s="3025"/>
      <c r="B72" s="2063" t="s">
        <v>1951</v>
      </c>
      <c r="C72" s="2061"/>
      <c r="D72" s="2061"/>
      <c r="E72" s="2061"/>
      <c r="F72" s="2061"/>
      <c r="G72" s="2061"/>
      <c r="I72" s="2058"/>
    </row>
    <row r="73" spans="1:9">
      <c r="A73" s="3025"/>
      <c r="B73" s="2063" t="s">
        <v>1952</v>
      </c>
      <c r="C73" s="2061"/>
      <c r="D73" s="2061"/>
      <c r="E73" s="2061"/>
      <c r="F73" s="2061"/>
      <c r="G73" s="2061"/>
      <c r="I73" s="2058"/>
    </row>
    <row r="74" spans="1:9">
      <c r="A74" s="3025"/>
      <c r="B74" s="2063" t="s">
        <v>1953</v>
      </c>
      <c r="C74" s="2061"/>
      <c r="D74" s="2061"/>
      <c r="E74" s="2061"/>
      <c r="F74" s="2061"/>
      <c r="G74" s="2061"/>
      <c r="I74" s="2058"/>
    </row>
    <row r="75" spans="1:9">
      <c r="A75" s="3025"/>
      <c r="B75" s="2063" t="s">
        <v>813</v>
      </c>
      <c r="C75" s="2061"/>
      <c r="D75" s="2062"/>
      <c r="E75" s="2062"/>
      <c r="F75" s="2062"/>
      <c r="G75" s="2062"/>
      <c r="I75" s="2058"/>
    </row>
    <row r="76" spans="1:9">
      <c r="A76" s="3026"/>
      <c r="B76" s="2063"/>
      <c r="C76" s="2061"/>
      <c r="D76" s="2062"/>
      <c r="E76" s="2062"/>
      <c r="F76" s="2062"/>
      <c r="G76" s="2062"/>
      <c r="I76" s="2058"/>
    </row>
    <row r="77" spans="1:9" ht="5.0999999999999996" customHeight="1"/>
    <row r="78" spans="1:9">
      <c r="A78" s="1930" t="s">
        <v>50</v>
      </c>
      <c r="B78" s="1931"/>
      <c r="C78" s="1931"/>
      <c r="D78" s="1931"/>
      <c r="E78" s="1931"/>
      <c r="F78" s="1931"/>
      <c r="G78" s="1932"/>
    </row>
    <row r="79" spans="1:9">
      <c r="C79" s="1920" t="str">
        <f>D60</f>
        <v>Year 1</v>
      </c>
      <c r="D79" s="1920" t="str">
        <f>E60</f>
        <v>Year 2</v>
      </c>
      <c r="E79" s="1920" t="str">
        <f>F60</f>
        <v>Year 3</v>
      </c>
      <c r="F79" s="1920" t="str">
        <f>G60</f>
        <v>Year 4</v>
      </c>
      <c r="G79" s="1920" t="str">
        <f>H60</f>
        <v>Year 5</v>
      </c>
      <c r="I79" s="1921" t="str">
        <f>I70</f>
        <v>Annual Salary ($)</v>
      </c>
    </row>
    <row r="80" spans="1:9">
      <c r="A80" s="3017" t="str">
        <f>$A$61</f>
        <v>ICHD</v>
      </c>
      <c r="B80" s="2063" t="s">
        <v>1990</v>
      </c>
      <c r="C80" s="2062"/>
      <c r="D80" s="2062"/>
      <c r="E80" s="2062"/>
      <c r="F80" s="2062"/>
      <c r="G80" s="2062"/>
      <c r="I80" s="2058"/>
    </row>
    <row r="81" spans="1:9">
      <c r="A81" s="3018"/>
      <c r="B81" s="2063" t="s">
        <v>1991</v>
      </c>
      <c r="C81" s="2062"/>
      <c r="D81" s="2062"/>
      <c r="E81" s="2062"/>
      <c r="F81" s="2062"/>
      <c r="G81" s="2062"/>
      <c r="I81" s="2058"/>
    </row>
    <row r="82" spans="1:9">
      <c r="A82" s="3018"/>
      <c r="B82" s="2063" t="s">
        <v>1992</v>
      </c>
      <c r="C82" s="2062"/>
      <c r="D82" s="2062"/>
      <c r="E82" s="2062"/>
      <c r="F82" s="2062"/>
      <c r="G82" s="2062"/>
      <c r="I82" s="2058"/>
    </row>
    <row r="83" spans="1:9">
      <c r="A83" s="3018"/>
      <c r="B83" s="2063" t="s">
        <v>461</v>
      </c>
      <c r="C83" s="2062"/>
      <c r="D83" s="2062"/>
      <c r="E83" s="2062"/>
      <c r="F83" s="2062"/>
      <c r="G83" s="2062"/>
      <c r="I83" s="2058"/>
    </row>
    <row r="84" spans="1:9">
      <c r="A84" s="3018"/>
      <c r="B84" s="2063" t="s">
        <v>1949</v>
      </c>
      <c r="C84" s="2062"/>
      <c r="D84" s="2062"/>
      <c r="E84" s="2062"/>
      <c r="F84" s="2062"/>
      <c r="G84" s="2062"/>
      <c r="I84" s="2058"/>
    </row>
    <row r="85" spans="1:9">
      <c r="A85" s="3018"/>
      <c r="B85" s="2063" t="s">
        <v>813</v>
      </c>
      <c r="C85" s="2062"/>
      <c r="D85" s="2062"/>
      <c r="E85" s="2062"/>
      <c r="F85" s="2062"/>
      <c r="G85" s="2062"/>
      <c r="I85" s="2058"/>
    </row>
    <row r="86" spans="1:9">
      <c r="A86" s="3019"/>
      <c r="B86" s="2063"/>
      <c r="C86" s="2062"/>
      <c r="D86" s="2062"/>
      <c r="E86" s="2062"/>
      <c r="F86" s="2062"/>
      <c r="G86" s="2062"/>
      <c r="I86" s="2058"/>
    </row>
    <row r="87" spans="1:9">
      <c r="C87" s="1933" t="str">
        <f>D60</f>
        <v>Year 1</v>
      </c>
      <c r="D87" s="1933" t="str">
        <f>E60</f>
        <v>Year 2</v>
      </c>
      <c r="E87" s="1933" t="str">
        <f>F60</f>
        <v>Year 3</v>
      </c>
      <c r="F87" s="1933" t="str">
        <f>G60</f>
        <v>Year 4</v>
      </c>
      <c r="G87" s="1933" t="str">
        <f>H60</f>
        <v>Year 5</v>
      </c>
      <c r="I87" s="1921" t="str">
        <f>I70</f>
        <v>Annual Salary ($)</v>
      </c>
    </row>
    <row r="88" spans="1:9">
      <c r="A88" s="3017" t="str">
        <f>$A$63</f>
        <v>PD</v>
      </c>
      <c r="B88" s="2063" t="str">
        <f t="shared" ref="B88:B94" si="1">B80</f>
        <v>RN</v>
      </c>
      <c r="C88" s="2062"/>
      <c r="D88" s="2062"/>
      <c r="E88" s="2062"/>
      <c r="F88" s="2062"/>
      <c r="G88" s="2062"/>
      <c r="I88" s="2058"/>
    </row>
    <row r="89" spans="1:9">
      <c r="A89" s="3018"/>
      <c r="B89" s="2063" t="str">
        <f t="shared" si="1"/>
        <v>PCT</v>
      </c>
      <c r="C89" s="2062"/>
      <c r="D89" s="2062"/>
      <c r="E89" s="2062"/>
      <c r="F89" s="2062"/>
      <c r="G89" s="2062"/>
      <c r="I89" s="2058"/>
    </row>
    <row r="90" spans="1:9">
      <c r="A90" s="3018"/>
      <c r="B90" s="2063" t="str">
        <f t="shared" si="1"/>
        <v>LVN</v>
      </c>
      <c r="C90" s="2062"/>
      <c r="D90" s="2062"/>
      <c r="E90" s="2062"/>
      <c r="F90" s="2062"/>
      <c r="G90" s="2062"/>
      <c r="I90" s="2058"/>
    </row>
    <row r="91" spans="1:9">
      <c r="A91" s="3018"/>
      <c r="B91" s="2063" t="str">
        <f t="shared" si="1"/>
        <v>RT</v>
      </c>
      <c r="C91" s="2062"/>
      <c r="D91" s="2062"/>
      <c r="E91" s="2062"/>
      <c r="F91" s="2062"/>
      <c r="G91" s="2062"/>
      <c r="I91" s="2058"/>
    </row>
    <row r="92" spans="1:9">
      <c r="A92" s="3018"/>
      <c r="B92" s="2063" t="str">
        <f t="shared" si="1"/>
        <v>Biomed. Tech.</v>
      </c>
      <c r="C92" s="2062"/>
      <c r="D92" s="2062"/>
      <c r="E92" s="2062"/>
      <c r="F92" s="2062"/>
      <c r="G92" s="2062"/>
      <c r="I92" s="2058"/>
    </row>
    <row r="93" spans="1:9">
      <c r="A93" s="3018"/>
      <c r="B93" s="2063" t="str">
        <f t="shared" si="1"/>
        <v>Other</v>
      </c>
      <c r="C93" s="2062"/>
      <c r="D93" s="2062"/>
      <c r="E93" s="2062"/>
      <c r="F93" s="2062"/>
      <c r="G93" s="2062"/>
      <c r="I93" s="2058"/>
    </row>
    <row r="94" spans="1:9">
      <c r="A94" s="3019"/>
      <c r="B94" s="2063">
        <f t="shared" si="1"/>
        <v>0</v>
      </c>
      <c r="C94" s="2062"/>
      <c r="D94" s="2062"/>
      <c r="E94" s="2062"/>
      <c r="F94" s="2062"/>
      <c r="G94" s="2062"/>
      <c r="I94" s="2058"/>
    </row>
    <row r="95" spans="1:9">
      <c r="C95" s="1933" t="str">
        <f>D60</f>
        <v>Year 1</v>
      </c>
      <c r="D95" s="1933" t="str">
        <f>E60</f>
        <v>Year 2</v>
      </c>
      <c r="E95" s="1933" t="str">
        <f>F60</f>
        <v>Year 3</v>
      </c>
      <c r="F95" s="1933" t="str">
        <f>G60</f>
        <v>Year 4</v>
      </c>
      <c r="G95" s="1933" t="str">
        <f>H60</f>
        <v>Year 5</v>
      </c>
      <c r="I95" s="1921" t="str">
        <f>I70</f>
        <v>Annual Salary ($)</v>
      </c>
    </row>
    <row r="96" spans="1:9">
      <c r="A96" s="3017" t="str">
        <f>$A$65</f>
        <v>HHD</v>
      </c>
      <c r="B96" s="2063" t="str">
        <f t="shared" ref="B96:B102" si="2">B88</f>
        <v>RN</v>
      </c>
      <c r="C96" s="2062"/>
      <c r="D96" s="2062"/>
      <c r="E96" s="2062"/>
      <c r="F96" s="2062"/>
      <c r="G96" s="2062"/>
      <c r="I96" s="2058"/>
    </row>
    <row r="97" spans="1:9">
      <c r="A97" s="3018"/>
      <c r="B97" s="2063" t="str">
        <f t="shared" si="2"/>
        <v>PCT</v>
      </c>
      <c r="C97" s="2062"/>
      <c r="D97" s="2062"/>
      <c r="E97" s="2062"/>
      <c r="F97" s="2062"/>
      <c r="G97" s="2062"/>
      <c r="I97" s="2058"/>
    </row>
    <row r="98" spans="1:9">
      <c r="A98" s="3018"/>
      <c r="B98" s="2063" t="str">
        <f t="shared" si="2"/>
        <v>LVN</v>
      </c>
      <c r="C98" s="2062"/>
      <c r="D98" s="2062"/>
      <c r="E98" s="2062"/>
      <c r="F98" s="2062"/>
      <c r="G98" s="2062"/>
      <c r="I98" s="2058"/>
    </row>
    <row r="99" spans="1:9">
      <c r="A99" s="3018"/>
      <c r="B99" s="2063" t="str">
        <f t="shared" si="2"/>
        <v>RT</v>
      </c>
      <c r="C99" s="2062"/>
      <c r="D99" s="2062"/>
      <c r="E99" s="2062"/>
      <c r="F99" s="2062"/>
      <c r="G99" s="2062"/>
      <c r="I99" s="2058"/>
    </row>
    <row r="100" spans="1:9">
      <c r="A100" s="3018"/>
      <c r="B100" s="2063" t="str">
        <f t="shared" si="2"/>
        <v>Biomed. Tech.</v>
      </c>
      <c r="C100" s="2062"/>
      <c r="D100" s="2062"/>
      <c r="E100" s="2062"/>
      <c r="F100" s="2062"/>
      <c r="G100" s="2062"/>
      <c r="I100" s="2058"/>
    </row>
    <row r="101" spans="1:9">
      <c r="A101" s="3018"/>
      <c r="B101" s="2063" t="str">
        <f t="shared" si="2"/>
        <v>Other</v>
      </c>
      <c r="C101" s="2062"/>
      <c r="D101" s="2062"/>
      <c r="E101" s="2062"/>
      <c r="F101" s="2062"/>
      <c r="G101" s="2062"/>
      <c r="I101" s="2058"/>
    </row>
    <row r="102" spans="1:9">
      <c r="A102" s="3019"/>
      <c r="B102" s="2063">
        <f t="shared" si="2"/>
        <v>0</v>
      </c>
      <c r="C102" s="2062"/>
      <c r="D102" s="2062"/>
      <c r="E102" s="2062"/>
      <c r="F102" s="2062"/>
      <c r="G102" s="2062"/>
      <c r="I102" s="2058"/>
    </row>
  </sheetData>
  <sheetProtection sheet="1"/>
  <mergeCells count="19">
    <mergeCell ref="B22:I22"/>
    <mergeCell ref="B31:C31"/>
    <mergeCell ref="A11:I11"/>
    <mergeCell ref="A13:I13"/>
    <mergeCell ref="A15:I15"/>
    <mergeCell ref="A17:I17"/>
    <mergeCell ref="A88:A94"/>
    <mergeCell ref="A96:A102"/>
    <mergeCell ref="A25:I25"/>
    <mergeCell ref="A30:I30"/>
    <mergeCell ref="A38:I38"/>
    <mergeCell ref="A52:A53"/>
    <mergeCell ref="A71:A76"/>
    <mergeCell ref="A80:A86"/>
    <mergeCell ref="A65:A66"/>
    <mergeCell ref="A54:A55"/>
    <mergeCell ref="A63:A64"/>
    <mergeCell ref="A56:A57"/>
    <mergeCell ref="A61:A62"/>
  </mergeCells>
  <phoneticPr fontId="18" type="noConversion"/>
  <conditionalFormatting sqref="B88:B94 B96:B102">
    <cfRule type="cellIs" dxfId="118" priority="1" stopIfTrue="1" operator="equal">
      <formula>0</formula>
    </cfRule>
  </conditionalFormatting>
  <dataValidations count="7">
    <dataValidation type="list" allowBlank="1" showInputMessage="1" showErrorMessage="1" sqref="B23">
      <formula1>$B$1:$C$1</formula1>
    </dataValidation>
    <dataValidation type="list" allowBlank="1" showInputMessage="1" showErrorMessage="1" sqref="B27:B28">
      <formula1>$B$2:$D$2</formula1>
    </dataValidation>
    <dataValidation type="list" allowBlank="1" showInputMessage="1" showErrorMessage="1" sqref="B34">
      <formula1>$B$5:$E$5</formula1>
    </dataValidation>
    <dataValidation type="list" allowBlank="1" showInputMessage="1" showErrorMessage="1" sqref="B35">
      <formula1>$B$6:$D$6</formula1>
    </dataValidation>
    <dataValidation type="list" allowBlank="1" showInputMessage="1" showErrorMessage="1" sqref="B36">
      <formula1>$B$7:$D$7</formula1>
    </dataValidation>
    <dataValidation type="list" allowBlank="1" showInputMessage="1" showErrorMessage="1" sqref="B33">
      <formula1>$B$4:$C$4</formula1>
    </dataValidation>
    <dataValidation type="list" allowBlank="1" showInputMessage="1" showErrorMessage="1" sqref="B31:C31">
      <formula1>$B$3:$D$3</formula1>
    </dataValidation>
  </dataValidations>
  <pageMargins left="0.75" right="0.75" top="1" bottom="1" header="0.5" footer="0.5"/>
  <pageSetup scale="83" fitToHeight="0" orientation="portrait" r:id="rId1"/>
  <headerFooter alignWithMargins="0">
    <oddFooter>&amp;L&amp;A</oddFooter>
  </headerFooter>
  <rowBreaks count="1" manualBreakCount="1">
    <brk id="38" max="8" man="1"/>
  </rowBreaks>
  <legacyDrawing r:id="rId2"/>
</worksheet>
</file>

<file path=xl/worksheets/sheet19.xml><?xml version="1.0" encoding="utf-8"?>
<worksheet xmlns="http://schemas.openxmlformats.org/spreadsheetml/2006/main" xmlns:r="http://schemas.openxmlformats.org/officeDocument/2006/relationships">
  <sheetPr codeName="Sheet9" enableFormatConditionsCalculation="0">
    <tabColor indexed="48"/>
    <pageSetUpPr autoPageBreaks="0"/>
  </sheetPr>
  <dimension ref="B1:Y111"/>
  <sheetViews>
    <sheetView showGridLines="0" zoomScale="70" zoomScaleNormal="70" workbookViewId="0">
      <selection activeCell="M10" sqref="M10"/>
    </sheetView>
  </sheetViews>
  <sheetFormatPr defaultRowHeight="12.75"/>
  <cols>
    <col min="1" max="3" width="2.7109375" style="113" customWidth="1"/>
    <col min="4" max="7" width="12.7109375" style="114" customWidth="1"/>
    <col min="8" max="8" width="13.28515625" style="114" customWidth="1"/>
    <col min="9" max="11" width="12.7109375" style="113" customWidth="1"/>
    <col min="12" max="12" width="4.7109375" style="113" customWidth="1"/>
    <col min="13" max="20" width="12.7109375" style="113" customWidth="1"/>
    <col min="21" max="23" width="2.7109375" style="113" customWidth="1"/>
    <col min="24" max="25" width="10.85546875" style="113" customWidth="1"/>
    <col min="26" max="16384" width="9.140625" style="113"/>
  </cols>
  <sheetData>
    <row r="1" spans="2:24">
      <c r="B1" s="155"/>
    </row>
    <row r="2" spans="2:24" ht="18">
      <c r="B2" s="115"/>
      <c r="C2" s="1426" t="s">
        <v>3469</v>
      </c>
      <c r="D2" s="116"/>
      <c r="E2" s="116"/>
      <c r="F2" s="116"/>
      <c r="G2" s="116"/>
      <c r="H2" s="117"/>
      <c r="I2" s="116"/>
      <c r="J2" s="116"/>
      <c r="K2" s="116"/>
      <c r="L2" s="116"/>
      <c r="M2" s="116"/>
      <c r="N2" s="116"/>
      <c r="O2" s="116"/>
      <c r="P2" s="116"/>
      <c r="Q2" s="116"/>
      <c r="R2" s="169"/>
      <c r="S2" s="171" t="s">
        <v>1103</v>
      </c>
      <c r="T2" s="170">
        <f>'1.0 Summary'!K11</f>
        <v>41624</v>
      </c>
      <c r="U2" s="115"/>
      <c r="V2" s="115"/>
    </row>
    <row r="3" spans="2:24">
      <c r="B3" s="115"/>
      <c r="D3" s="118"/>
      <c r="E3" s="122"/>
      <c r="F3" s="119"/>
      <c r="G3" s="119"/>
      <c r="H3" s="119"/>
      <c r="I3" s="120"/>
      <c r="J3" s="120"/>
      <c r="K3" s="120"/>
      <c r="L3" s="120"/>
      <c r="M3" s="120"/>
      <c r="N3" s="120"/>
      <c r="O3" s="120"/>
      <c r="P3" s="120"/>
      <c r="Q3" s="120"/>
      <c r="R3" s="120"/>
      <c r="S3" s="120"/>
      <c r="T3" s="120"/>
      <c r="V3" s="115"/>
    </row>
    <row r="4" spans="2:24">
      <c r="B4" s="115"/>
      <c r="D4" s="1750" t="s">
        <v>2650</v>
      </c>
      <c r="E4" s="7" t="s">
        <v>4177</v>
      </c>
      <c r="F4" s="2713"/>
      <c r="G4" s="119"/>
      <c r="H4" s="1781" t="s">
        <v>1383</v>
      </c>
      <c r="I4" s="149">
        <f ca="1">IRR</f>
        <v>0.23353215518875942</v>
      </c>
      <c r="J4" s="2052"/>
      <c r="K4" s="154" t="s">
        <v>2930</v>
      </c>
      <c r="L4" s="120"/>
      <c r="M4" s="1593">
        <f>'2.3 Expenses'!$T$20</f>
        <v>9000</v>
      </c>
      <c r="N4" s="155"/>
      <c r="O4" s="2734" t="s">
        <v>4130</v>
      </c>
      <c r="P4" s="1595">
        <f>Openstation</f>
        <v>23</v>
      </c>
      <c r="Q4" s="182" t="s">
        <v>3191</v>
      </c>
      <c r="R4" s="113" t="str">
        <f>IF(SUM('2.0 Patients'!I74:M74,'2.0 Patients'!I76:M76)&gt;0,"Yes","No")</f>
        <v>Yes</v>
      </c>
      <c r="S4" s="1453"/>
      <c r="T4" s="1454"/>
      <c r="V4" s="115"/>
    </row>
    <row r="5" spans="2:24">
      <c r="B5" s="115"/>
      <c r="D5" s="2716" t="s">
        <v>4099</v>
      </c>
      <c r="E5" s="2936" t="s">
        <v>4228</v>
      </c>
      <c r="F5" s="2714"/>
      <c r="G5" s="119"/>
      <c r="H5" s="1781" t="s">
        <v>3779</v>
      </c>
      <c r="I5" s="150">
        <f ca="1">coc</f>
        <v>0.15709863598518339</v>
      </c>
      <c r="J5" s="2053"/>
      <c r="K5" s="154" t="s">
        <v>2931</v>
      </c>
      <c r="L5" s="120"/>
      <c r="M5" s="1594">
        <f>'2.3 Expenses'!$T$15</f>
        <v>22</v>
      </c>
      <c r="N5" s="120"/>
      <c r="O5" s="2715" t="s">
        <v>4096</v>
      </c>
      <c r="P5" s="1595">
        <f>IsolationStations</f>
        <v>1</v>
      </c>
      <c r="Q5" s="183" t="s">
        <v>3189</v>
      </c>
      <c r="R5" s="120" t="str">
        <f>IF(SUM(Txs!G44:S44)&gt;0,"Yes","No")</f>
        <v>Yes</v>
      </c>
      <c r="S5" s="1453"/>
      <c r="T5" s="1454"/>
      <c r="V5" s="115"/>
    </row>
    <row r="6" spans="2:24">
      <c r="B6" s="115"/>
      <c r="D6" s="1040" t="s">
        <v>2665</v>
      </c>
      <c r="E6" s="681">
        <v>11032</v>
      </c>
      <c r="F6" s="119"/>
      <c r="G6" s="119"/>
      <c r="H6" s="2374" t="s">
        <v>3984</v>
      </c>
      <c r="I6" s="2378">
        <f>VMM_coc</f>
        <v>0.13069946562620249</v>
      </c>
      <c r="J6" s="120"/>
      <c r="K6" s="154" t="s">
        <v>2932</v>
      </c>
      <c r="L6" s="120"/>
      <c r="M6" s="1594">
        <f>'2.3 Expenses'!$T$18</f>
        <v>27.455808000000001</v>
      </c>
      <c r="N6" s="120"/>
      <c r="O6" s="2734" t="s">
        <v>4131</v>
      </c>
      <c r="P6" s="1595">
        <f>IF(BuildoutYear=0,Openstation, '2.0 Patients'!M8)</f>
        <v>23</v>
      </c>
      <c r="Q6" s="183" t="s">
        <v>3190</v>
      </c>
      <c r="R6" s="120" t="str">
        <f>IF(SUM(Txs!G64:S64)&gt;0,"Yes","No")</f>
        <v>Yes</v>
      </c>
      <c r="S6" s="1453"/>
      <c r="T6" s="1454"/>
      <c r="V6" s="115"/>
    </row>
    <row r="7" spans="2:24">
      <c r="B7" s="115"/>
      <c r="D7" s="162"/>
      <c r="E7" s="163"/>
      <c r="F7" s="119"/>
      <c r="G7" s="119"/>
      <c r="H7" s="1739" t="s">
        <v>1604</v>
      </c>
      <c r="I7" s="151">
        <f>'5. Financials'!$H$249</f>
        <v>2100398.42</v>
      </c>
      <c r="J7" s="120"/>
      <c r="K7" s="120"/>
      <c r="L7" s="120"/>
      <c r="O7" s="1596" t="s">
        <v>1936</v>
      </c>
      <c r="P7" s="1595">
        <f>BuildoutYear</f>
        <v>0</v>
      </c>
      <c r="Q7" s="182" t="s">
        <v>3856</v>
      </c>
      <c r="R7" s="1758" t="s">
        <v>10</v>
      </c>
      <c r="V7" s="115"/>
    </row>
    <row r="8" spans="2:24" s="46" customFormat="1">
      <c r="B8" s="396"/>
      <c r="C8" s="252"/>
      <c r="D8" s="1045" t="s">
        <v>111</v>
      </c>
      <c r="E8" s="47"/>
      <c r="F8" s="47"/>
      <c r="G8" s="407"/>
      <c r="H8" s="40"/>
      <c r="I8" s="47"/>
      <c r="J8" s="682"/>
      <c r="K8" s="682"/>
      <c r="V8" s="56"/>
      <c r="X8" s="1047"/>
    </row>
    <row r="9" spans="2:24" s="46" customFormat="1">
      <c r="B9" s="408"/>
      <c r="D9" s="40"/>
      <c r="E9" s="47"/>
      <c r="F9" s="47"/>
      <c r="G9" s="407"/>
      <c r="H9" s="40"/>
      <c r="I9" s="47"/>
      <c r="J9" s="403" t="s">
        <v>119</v>
      </c>
      <c r="K9" s="403"/>
      <c r="N9" s="1840"/>
      <c r="Q9" s="252" t="s">
        <v>465</v>
      </c>
      <c r="R9" s="252"/>
      <c r="S9" s="1840"/>
      <c r="T9" s="50"/>
      <c r="U9" s="50"/>
      <c r="V9" s="677"/>
      <c r="W9" s="50"/>
      <c r="X9" s="1047"/>
    </row>
    <row r="10" spans="2:24" s="252" customFormat="1">
      <c r="B10" s="408"/>
      <c r="C10" s="46"/>
      <c r="D10" s="1751"/>
      <c r="E10" s="1754" t="s">
        <v>2100</v>
      </c>
      <c r="F10" s="1838" t="s">
        <v>4235</v>
      </c>
      <c r="G10" s="2478"/>
      <c r="H10" s="2479" t="s">
        <v>4178</v>
      </c>
      <c r="I10" s="107"/>
      <c r="J10" s="1759" t="s">
        <v>2668</v>
      </c>
      <c r="K10" s="1052">
        <f ca="1">TODAY()</f>
        <v>41816</v>
      </c>
      <c r="L10" s="1040"/>
      <c r="M10" s="395"/>
      <c r="N10" s="1759" t="s">
        <v>122</v>
      </c>
      <c r="O10" s="1764"/>
      <c r="P10" s="1340"/>
      <c r="Q10" s="1766"/>
      <c r="R10" s="1767" t="s">
        <v>2498</v>
      </c>
      <c r="S10" s="2753" t="str">
        <f>IF(pshare&lt;1, "Yes", "No")</f>
        <v>Yes</v>
      </c>
      <c r="T10" s="36"/>
      <c r="U10" s="87"/>
      <c r="V10" s="678"/>
      <c r="W10" s="36"/>
      <c r="X10" s="1048"/>
    </row>
    <row r="11" spans="2:24" s="252" customFormat="1">
      <c r="B11" s="396"/>
      <c r="D11" s="1046"/>
      <c r="E11" s="1752" t="s">
        <v>2656</v>
      </c>
      <c r="F11" s="1837" t="s">
        <v>4236</v>
      </c>
      <c r="G11" s="2480"/>
      <c r="H11" s="2481" t="s">
        <v>4179</v>
      </c>
      <c r="I11" s="107"/>
      <c r="J11" s="1760" t="s">
        <v>118</v>
      </c>
      <c r="K11" s="1041">
        <v>41624</v>
      </c>
      <c r="L11" s="397"/>
      <c r="M11" s="823"/>
      <c r="N11" s="3031" t="s">
        <v>4230</v>
      </c>
      <c r="O11" s="3032"/>
      <c r="P11" s="1340"/>
      <c r="Q11" s="1768"/>
      <c r="R11" s="1044" t="s">
        <v>2499</v>
      </c>
      <c r="S11" s="2545">
        <v>0.6</v>
      </c>
      <c r="T11" s="36"/>
      <c r="U11" s="87"/>
      <c r="V11" s="678"/>
      <c r="W11" s="36"/>
      <c r="X11" s="1049" t="s">
        <v>2412</v>
      </c>
    </row>
    <row r="12" spans="2:24" s="252" customFormat="1">
      <c r="B12" s="396"/>
      <c r="D12" s="1046"/>
      <c r="E12" s="1752" t="s">
        <v>2660</v>
      </c>
      <c r="F12" s="1837"/>
      <c r="G12" s="2480"/>
      <c r="H12" s="2481"/>
      <c r="I12" s="107"/>
      <c r="J12" s="1761" t="s">
        <v>120</v>
      </c>
      <c r="K12" s="1762">
        <v>7.6</v>
      </c>
      <c r="L12" s="1040"/>
      <c r="M12" s="395"/>
      <c r="N12" s="394"/>
      <c r="O12" s="394"/>
      <c r="P12" s="1340"/>
      <c r="Q12" s="1769"/>
      <c r="R12" s="1770" t="s">
        <v>2102</v>
      </c>
      <c r="S12" s="1425" t="s">
        <v>2196</v>
      </c>
      <c r="T12" s="36"/>
      <c r="U12" s="87"/>
      <c r="V12" s="678"/>
      <c r="W12" s="36"/>
      <c r="X12" s="1048"/>
    </row>
    <row r="13" spans="2:24" s="46" customFormat="1">
      <c r="B13" s="396"/>
      <c r="C13" s="252"/>
      <c r="D13" s="1046"/>
      <c r="E13" s="1752" t="s">
        <v>2101</v>
      </c>
      <c r="F13" s="3033"/>
      <c r="G13" s="3034"/>
      <c r="H13" s="3035"/>
      <c r="I13" s="107"/>
      <c r="J13" s="394"/>
      <c r="K13" s="394"/>
      <c r="L13" s="1040"/>
      <c r="M13" s="402"/>
      <c r="N13" s="1771" t="s">
        <v>123</v>
      </c>
      <c r="O13" s="1519" t="str">
        <f>IF(DVAOwnership&lt;1, "Yes", "No")</f>
        <v>Yes</v>
      </c>
      <c r="P13" s="1340"/>
      <c r="Q13" s="394"/>
      <c r="R13" s="394"/>
      <c r="S13"/>
      <c r="T13" s="36"/>
      <c r="U13" s="36"/>
      <c r="V13" s="678"/>
      <c r="W13" s="36"/>
      <c r="X13" s="1047"/>
    </row>
    <row r="14" spans="2:24" s="252" customFormat="1">
      <c r="B14" s="408"/>
      <c r="C14" s="46"/>
      <c r="D14" s="1046"/>
      <c r="E14" s="1752" t="s">
        <v>2657</v>
      </c>
      <c r="F14" s="1837" t="s">
        <v>4186</v>
      </c>
      <c r="G14" s="2480"/>
      <c r="H14" s="2481"/>
      <c r="I14" s="107"/>
      <c r="J14" s="1759" t="s">
        <v>2655</v>
      </c>
      <c r="K14" s="1763"/>
      <c r="L14" s="395"/>
      <c r="M14" s="395"/>
      <c r="N14" s="1772" t="s">
        <v>3197</v>
      </c>
      <c r="O14" s="1789">
        <f>1-PartnerOwnership</f>
        <v>0.6</v>
      </c>
      <c r="P14" s="1340"/>
      <c r="Q14" s="394" t="s">
        <v>1798</v>
      </c>
      <c r="R14" s="394"/>
      <c r="S14" s="394"/>
      <c r="T14" s="36"/>
      <c r="U14" s="36"/>
      <c r="V14" s="678"/>
      <c r="W14" s="36"/>
      <c r="X14" s="1048"/>
    </row>
    <row r="15" spans="2:24" s="252" customFormat="1">
      <c r="B15" s="396"/>
      <c r="D15" s="1046"/>
      <c r="E15" s="1752" t="s">
        <v>3399</v>
      </c>
      <c r="F15" s="3036" t="s">
        <v>4187</v>
      </c>
      <c r="G15" s="3037"/>
      <c r="H15" s="1794"/>
      <c r="I15" s="107"/>
      <c r="J15" s="3038"/>
      <c r="K15" s="3032"/>
      <c r="L15" s="395"/>
      <c r="M15" s="397"/>
      <c r="N15" s="1773" t="s">
        <v>3922</v>
      </c>
      <c r="O15" s="1423" t="s">
        <v>2196</v>
      </c>
      <c r="P15" s="1340"/>
      <c r="Q15" s="1766"/>
      <c r="R15" s="1767" t="s">
        <v>125</v>
      </c>
      <c r="S15" s="2753" t="str">
        <f>IF(HHD_pshare&lt;1, "Yes", "No")</f>
        <v>Yes</v>
      </c>
      <c r="T15" s="36"/>
      <c r="U15" s="87"/>
      <c r="V15" s="678"/>
      <c r="W15" s="36"/>
      <c r="X15" s="1048"/>
    </row>
    <row r="16" spans="2:24" s="252" customFormat="1">
      <c r="B16" s="396"/>
      <c r="D16" s="1046"/>
      <c r="E16" s="1752" t="s">
        <v>3398</v>
      </c>
      <c r="F16" s="1837" t="s">
        <v>2021</v>
      </c>
      <c r="G16" s="528"/>
      <c r="H16" s="676"/>
      <c r="I16" s="107"/>
      <c r="J16" s="394"/>
      <c r="K16" s="394"/>
      <c r="L16" s="395"/>
      <c r="M16" s="1053"/>
      <c r="N16" s="394"/>
      <c r="O16" s="394"/>
      <c r="P16" s="1340"/>
      <c r="Q16" s="1768"/>
      <c r="R16" s="1044" t="s">
        <v>2410</v>
      </c>
      <c r="S16" s="2545">
        <v>0.6</v>
      </c>
      <c r="V16" s="253"/>
      <c r="X16" s="1048"/>
    </row>
    <row r="17" spans="2:25" s="252" customFormat="1">
      <c r="B17" s="396"/>
      <c r="D17" s="1046"/>
      <c r="E17" s="1752" t="s">
        <v>11</v>
      </c>
      <c r="F17" s="1793" t="s">
        <v>10</v>
      </c>
      <c r="G17" s="528"/>
      <c r="H17" s="676"/>
      <c r="I17" s="107"/>
      <c r="J17" s="1759" t="s">
        <v>121</v>
      </c>
      <c r="K17" s="249"/>
      <c r="L17" s="395"/>
      <c r="M17" s="395"/>
      <c r="N17" s="1771" t="s">
        <v>1605</v>
      </c>
      <c r="O17" s="1774" t="str">
        <f>IF(ti&gt;0, "Yes", "No")</f>
        <v>No</v>
      </c>
      <c r="P17" s="1340"/>
      <c r="Q17" s="1769"/>
      <c r="R17" s="1770" t="s">
        <v>2102</v>
      </c>
      <c r="S17" s="1425" t="s">
        <v>2196</v>
      </c>
      <c r="V17" s="253"/>
      <c r="X17" s="1777" t="s">
        <v>1607</v>
      </c>
      <c r="Y17" s="511">
        <v>5</v>
      </c>
    </row>
    <row r="18" spans="2:25" s="252" customFormat="1">
      <c r="B18" s="396"/>
      <c r="D18" s="1046"/>
      <c r="E18" s="1755" t="s">
        <v>3136</v>
      </c>
      <c r="F18" s="2148">
        <f>'1Tab_Input'!B19</f>
        <v>46601</v>
      </c>
      <c r="G18" s="528"/>
      <c r="H18" s="676"/>
      <c r="I18" s="403"/>
      <c r="J18" s="3031" t="s">
        <v>1858</v>
      </c>
      <c r="K18" s="3032"/>
      <c r="L18" s="52"/>
      <c r="M18" s="1042"/>
      <c r="N18" s="1772" t="s">
        <v>1606</v>
      </c>
      <c r="O18" s="1054" t="s">
        <v>2964</v>
      </c>
      <c r="P18" s="1340"/>
      <c r="Q18" s="1340"/>
      <c r="R18" s="1340"/>
      <c r="S18" s="1775"/>
      <c r="V18" s="253"/>
      <c r="X18" s="511" t="s">
        <v>2964</v>
      </c>
      <c r="Y18" s="511">
        <v>10</v>
      </c>
    </row>
    <row r="19" spans="2:25" s="252" customFormat="1">
      <c r="B19" s="396"/>
      <c r="D19" s="1046"/>
      <c r="E19" s="1752" t="s">
        <v>2963</v>
      </c>
      <c r="F19" s="1837" t="s">
        <v>4231</v>
      </c>
      <c r="G19" s="2480"/>
      <c r="H19" s="2481" t="s">
        <v>4180</v>
      </c>
      <c r="I19" s="403"/>
      <c r="J19" s="394"/>
      <c r="K19" s="394"/>
      <c r="L19" s="1053"/>
      <c r="M19" s="1053"/>
      <c r="N19" s="1773" t="s">
        <v>124</v>
      </c>
      <c r="O19" s="1055">
        <v>10</v>
      </c>
      <c r="P19" s="1340" t="s">
        <v>1745</v>
      </c>
      <c r="Q19" s="394"/>
      <c r="R19" s="394"/>
      <c r="S19" s="394"/>
      <c r="U19" s="410"/>
      <c r="V19" s="679"/>
      <c r="W19" s="410"/>
      <c r="X19" s="1048"/>
    </row>
    <row r="20" spans="2:25" s="252" customFormat="1">
      <c r="B20" s="396"/>
      <c r="D20" s="1046"/>
      <c r="E20" s="1756" t="s">
        <v>2698</v>
      </c>
      <c r="F20" s="1837" t="s">
        <v>4185</v>
      </c>
      <c r="G20" s="2480"/>
      <c r="H20" s="2481" t="s">
        <v>4181</v>
      </c>
      <c r="I20" s="107"/>
      <c r="J20" s="1759" t="s">
        <v>1602</v>
      </c>
      <c r="K20" s="1764"/>
      <c r="L20" s="395"/>
      <c r="M20" s="397"/>
      <c r="N20" s="394"/>
      <c r="O20" s="394"/>
      <c r="P20" s="1340"/>
      <c r="Q20" s="1779" t="s">
        <v>1085</v>
      </c>
      <c r="R20" s="3039" t="s">
        <v>4234</v>
      </c>
      <c r="S20" s="3040"/>
      <c r="T20" s="395"/>
      <c r="U20" s="410"/>
      <c r="V20" s="679"/>
      <c r="W20" s="410"/>
      <c r="X20" s="1048"/>
    </row>
    <row r="21" spans="2:25" s="252" customFormat="1">
      <c r="B21" s="396"/>
      <c r="D21" s="1046"/>
      <c r="E21" s="1752" t="s">
        <v>2658</v>
      </c>
      <c r="F21" s="1837" t="s">
        <v>4232</v>
      </c>
      <c r="G21" s="2480"/>
      <c r="H21" s="2930" t="s">
        <v>4184</v>
      </c>
      <c r="I21" s="107"/>
      <c r="J21" s="3038"/>
      <c r="K21" s="3032"/>
      <c r="L21" s="52"/>
      <c r="M21" s="1042"/>
      <c r="N21" s="1776" t="s">
        <v>182</v>
      </c>
      <c r="O21" s="1424">
        <v>6</v>
      </c>
      <c r="P21" s="1340" t="s">
        <v>2411</v>
      </c>
      <c r="Q21" s="1780" t="s">
        <v>1086</v>
      </c>
      <c r="R21" s="3031" t="s">
        <v>4227</v>
      </c>
      <c r="S21" s="3032"/>
      <c r="V21" s="253"/>
      <c r="X21" s="802">
        <f>IF(Type="DeNovo",O21,0)</f>
        <v>6</v>
      </c>
      <c r="Y21" s="252" t="s">
        <v>2194</v>
      </c>
    </row>
    <row r="22" spans="2:25" s="398" customFormat="1">
      <c r="B22" s="396"/>
      <c r="C22" s="252"/>
      <c r="D22" s="1046"/>
      <c r="E22" s="1756" t="s">
        <v>2698</v>
      </c>
      <c r="F22" s="1837" t="s">
        <v>4233</v>
      </c>
      <c r="G22" s="2480"/>
      <c r="H22" s="2930" t="s">
        <v>4185</v>
      </c>
      <c r="I22" s="107"/>
      <c r="J22" s="394"/>
      <c r="K22" s="394"/>
      <c r="L22" s="1053"/>
      <c r="M22" s="1053"/>
      <c r="N22" s="394"/>
      <c r="O22" s="394"/>
      <c r="P22" s="394"/>
      <c r="Q22" s="394"/>
      <c r="R22" s="394"/>
      <c r="S22" s="394"/>
      <c r="T22" s="252"/>
      <c r="U22" s="252"/>
      <c r="V22" s="253"/>
      <c r="W22" s="252"/>
      <c r="X22" s="1048"/>
    </row>
    <row r="23" spans="2:25" s="252" customFormat="1">
      <c r="B23" s="399"/>
      <c r="C23" s="398"/>
      <c r="D23" s="1046"/>
      <c r="E23" s="1752" t="s">
        <v>3101</v>
      </c>
      <c r="F23" s="1837" t="s">
        <v>4182</v>
      </c>
      <c r="G23" s="2480"/>
      <c r="H23" s="2481"/>
      <c r="I23" s="107"/>
      <c r="J23" s="1765" t="s">
        <v>1847</v>
      </c>
      <c r="K23" s="1778" t="s">
        <v>10</v>
      </c>
      <c r="L23" s="395"/>
      <c r="M23" s="395"/>
      <c r="N23" s="1759" t="s">
        <v>1219</v>
      </c>
      <c r="O23" s="1764"/>
      <c r="P23" s="1340"/>
      <c r="Q23" s="394"/>
      <c r="R23" s="394"/>
      <c r="S23" s="394"/>
      <c r="V23" s="253"/>
      <c r="X23" s="1050"/>
    </row>
    <row r="24" spans="2:25" s="398" customFormat="1">
      <c r="B24" s="396"/>
      <c r="C24" s="252"/>
      <c r="D24" s="1753"/>
      <c r="E24" s="1757" t="s">
        <v>2698</v>
      </c>
      <c r="F24" s="1839" t="s">
        <v>4183</v>
      </c>
      <c r="G24" s="2482"/>
      <c r="H24" s="2483"/>
      <c r="I24" s="107"/>
      <c r="L24" s="52"/>
      <c r="M24" s="1042"/>
      <c r="N24" s="3031" t="s">
        <v>4229</v>
      </c>
      <c r="O24" s="3032"/>
      <c r="P24" s="1340"/>
      <c r="Q24" s="394"/>
      <c r="R24" s="394"/>
      <c r="S24" s="394"/>
      <c r="V24" s="680"/>
      <c r="X24" s="1051"/>
    </row>
    <row r="25" spans="2:25" s="252" customFormat="1">
      <c r="B25" s="399"/>
      <c r="C25" s="398"/>
      <c r="I25" s="403"/>
      <c r="L25" s="780"/>
      <c r="M25" s="780"/>
      <c r="P25" s="403"/>
      <c r="V25" s="253"/>
      <c r="X25" s="1048"/>
    </row>
    <row r="26" spans="2:25">
      <c r="B26" s="115"/>
      <c r="D26" s="162"/>
      <c r="E26" s="163"/>
      <c r="F26" s="119"/>
      <c r="G26" s="119"/>
      <c r="H26" s="168"/>
      <c r="I26" s="167"/>
      <c r="J26" s="120"/>
      <c r="K26" s="120"/>
      <c r="L26" s="120"/>
      <c r="O26" s="158"/>
      <c r="P26" s="1043"/>
      <c r="V26" s="115"/>
    </row>
    <row r="27" spans="2:25" s="121" customFormat="1" ht="15.75">
      <c r="B27" s="160"/>
      <c r="G27" s="161"/>
      <c r="H27" s="161"/>
      <c r="I27" s="161"/>
      <c r="J27" s="161"/>
      <c r="K27" s="161"/>
      <c r="L27" s="159" t="str">
        <f>Type&amp;" "&amp;"Value Drivers"</f>
        <v>DeNovo Value Drivers</v>
      </c>
      <c r="M27" s="161"/>
      <c r="N27" s="161"/>
      <c r="O27" s="161"/>
      <c r="P27" s="161"/>
      <c r="Q27" s="161"/>
      <c r="R27" s="161"/>
      <c r="S27" s="161"/>
      <c r="T27" s="161"/>
      <c r="V27" s="160"/>
    </row>
    <row r="28" spans="2:25">
      <c r="B28" s="115"/>
      <c r="D28" s="118"/>
      <c r="E28" s="119"/>
      <c r="F28" s="123"/>
      <c r="G28" s="119"/>
      <c r="H28" s="119"/>
      <c r="I28" s="120"/>
      <c r="J28" s="120"/>
      <c r="K28" s="120"/>
      <c r="L28" s="120"/>
      <c r="M28" s="120"/>
      <c r="N28" s="120"/>
      <c r="O28" s="120"/>
      <c r="P28" s="120"/>
      <c r="Q28" s="120"/>
      <c r="R28" s="120"/>
      <c r="S28" s="120"/>
      <c r="T28" s="120"/>
      <c r="V28" s="115"/>
    </row>
    <row r="29" spans="2:25">
      <c r="B29" s="115"/>
      <c r="D29" s="137" t="s">
        <v>2711</v>
      </c>
      <c r="E29" s="138"/>
      <c r="F29" s="138"/>
      <c r="G29" s="138"/>
      <c r="H29" s="138"/>
      <c r="I29" s="138"/>
      <c r="J29" s="138"/>
      <c r="K29" s="139"/>
      <c r="L29" s="124"/>
      <c r="M29" s="140" t="s">
        <v>1446</v>
      </c>
      <c r="N29" s="141"/>
      <c r="O29" s="141"/>
      <c r="P29" s="141"/>
      <c r="Q29" s="141"/>
      <c r="R29" s="141"/>
      <c r="S29" s="141"/>
      <c r="T29" s="142"/>
      <c r="V29" s="115"/>
    </row>
    <row r="30" spans="2:25">
      <c r="B30" s="115"/>
      <c r="D30" s="125" t="s">
        <v>1447</v>
      </c>
      <c r="E30" s="126"/>
      <c r="F30" s="126"/>
      <c r="G30" s="126"/>
      <c r="H30" s="126"/>
      <c r="I30" s="126"/>
      <c r="J30" s="126"/>
      <c r="K30" s="127"/>
      <c r="L30" s="124"/>
      <c r="M30" s="125" t="s">
        <v>1449</v>
      </c>
      <c r="N30" s="126"/>
      <c r="O30" s="126"/>
      <c r="P30" s="126"/>
      <c r="Q30" s="126"/>
      <c r="R30" s="126"/>
      <c r="S30" s="126"/>
      <c r="T30" s="127"/>
      <c r="V30" s="115"/>
    </row>
    <row r="31" spans="2:25">
      <c r="B31" s="115"/>
      <c r="D31" s="128" t="s">
        <v>3780</v>
      </c>
      <c r="E31" s="113"/>
      <c r="F31" s="129"/>
      <c r="G31" s="2064">
        <f>'1Tab_Input'!$B$20</f>
        <v>0</v>
      </c>
      <c r="H31" s="113"/>
      <c r="I31" s="152" t="s">
        <v>3781</v>
      </c>
      <c r="J31" s="2065">
        <f>'1Tab_Input'!$B$21</f>
        <v>0</v>
      </c>
      <c r="K31" s="130"/>
      <c r="L31" s="124"/>
      <c r="M31" s="143" t="s">
        <v>3192</v>
      </c>
      <c r="N31" s="126"/>
      <c r="O31" s="3058"/>
      <c r="P31" s="3059"/>
      <c r="Q31" s="3059"/>
      <c r="R31" s="3059"/>
      <c r="S31" s="3059"/>
      <c r="T31" s="157"/>
      <c r="V31" s="115"/>
    </row>
    <row r="32" spans="2:25" ht="12.75" customHeight="1">
      <c r="B32" s="115"/>
      <c r="D32" s="3049"/>
      <c r="E32" s="3056"/>
      <c r="F32" s="3056"/>
      <c r="G32" s="3056"/>
      <c r="H32" s="3056"/>
      <c r="I32" s="3056"/>
      <c r="J32" s="3056"/>
      <c r="K32" s="3057"/>
      <c r="L32" s="124"/>
      <c r="M32" s="143" t="s">
        <v>2204</v>
      </c>
      <c r="N32" s="126"/>
      <c r="P32" s="2218">
        <f>'1Tab_Input'!$B$31</f>
        <v>0</v>
      </c>
      <c r="R32" s="156" t="s">
        <v>3196</v>
      </c>
      <c r="S32" s="156"/>
      <c r="T32" s="1749"/>
      <c r="V32" s="115"/>
    </row>
    <row r="33" spans="2:22" ht="12.75" customHeight="1">
      <c r="B33" s="115"/>
      <c r="D33" s="3055"/>
      <c r="E33" s="3056"/>
      <c r="F33" s="3056"/>
      <c r="G33" s="3056"/>
      <c r="H33" s="3056"/>
      <c r="I33" s="3056"/>
      <c r="J33" s="3056"/>
      <c r="K33" s="3057"/>
      <c r="L33" s="131"/>
      <c r="M33" s="3052"/>
      <c r="N33" s="3053"/>
      <c r="O33" s="3053"/>
      <c r="P33" s="3053"/>
      <c r="Q33" s="3053"/>
      <c r="R33" s="3053"/>
      <c r="S33" s="3053"/>
      <c r="T33" s="3054"/>
      <c r="V33" s="115"/>
    </row>
    <row r="34" spans="2:22" ht="12.75" customHeight="1">
      <c r="B34" s="115"/>
      <c r="D34" s="3055"/>
      <c r="E34" s="3056"/>
      <c r="F34" s="3056"/>
      <c r="G34" s="3056"/>
      <c r="H34" s="3056"/>
      <c r="I34" s="3056"/>
      <c r="J34" s="3056"/>
      <c r="K34" s="3057"/>
      <c r="L34" s="131"/>
      <c r="M34" s="3052"/>
      <c r="N34" s="3053"/>
      <c r="O34" s="3053"/>
      <c r="P34" s="3053"/>
      <c r="Q34" s="3053"/>
      <c r="R34" s="3053"/>
      <c r="S34" s="3053"/>
      <c r="T34" s="3054"/>
      <c r="V34" s="115"/>
    </row>
    <row r="35" spans="2:22">
      <c r="B35" s="115"/>
      <c r="D35" s="3055"/>
      <c r="E35" s="3056"/>
      <c r="F35" s="3056"/>
      <c r="G35" s="3056"/>
      <c r="H35" s="3056"/>
      <c r="I35" s="3056"/>
      <c r="J35" s="3056"/>
      <c r="K35" s="3057"/>
      <c r="L35" s="131"/>
      <c r="M35" s="3052"/>
      <c r="N35" s="3053"/>
      <c r="O35" s="3053"/>
      <c r="P35" s="3053"/>
      <c r="Q35" s="3053"/>
      <c r="R35" s="3053"/>
      <c r="S35" s="3053"/>
      <c r="T35" s="3054"/>
      <c r="V35" s="115"/>
    </row>
    <row r="36" spans="2:22">
      <c r="B36" s="115"/>
      <c r="D36" s="3055"/>
      <c r="E36" s="3056"/>
      <c r="F36" s="3056"/>
      <c r="G36" s="3056"/>
      <c r="H36" s="3056"/>
      <c r="I36" s="3056"/>
      <c r="J36" s="3056"/>
      <c r="K36" s="3057"/>
      <c r="L36" s="131"/>
      <c r="M36" s="3052"/>
      <c r="N36" s="3053"/>
      <c r="O36" s="3053"/>
      <c r="P36" s="3053"/>
      <c r="Q36" s="3053"/>
      <c r="R36" s="3053"/>
      <c r="S36" s="3053"/>
      <c r="T36" s="3054"/>
      <c r="V36" s="115"/>
    </row>
    <row r="37" spans="2:22">
      <c r="B37" s="115"/>
      <c r="D37" s="3055"/>
      <c r="E37" s="3056"/>
      <c r="F37" s="3056"/>
      <c r="G37" s="3056"/>
      <c r="H37" s="3056"/>
      <c r="I37" s="3056"/>
      <c r="J37" s="3056"/>
      <c r="K37" s="3057"/>
      <c r="L37" s="131"/>
      <c r="M37" s="3052"/>
      <c r="N37" s="3053"/>
      <c r="O37" s="3053"/>
      <c r="P37" s="3053"/>
      <c r="Q37" s="3053"/>
      <c r="R37" s="3053"/>
      <c r="S37" s="3053"/>
      <c r="T37" s="3054"/>
      <c r="V37" s="115"/>
    </row>
    <row r="38" spans="2:22">
      <c r="B38" s="115"/>
      <c r="D38" s="125" t="s">
        <v>1448</v>
      </c>
      <c r="E38" s="144"/>
      <c r="F38" s="144"/>
      <c r="G38" s="144"/>
      <c r="H38" s="189" t="s">
        <v>3774</v>
      </c>
      <c r="I38" s="144"/>
      <c r="K38" s="145"/>
      <c r="L38" s="146"/>
      <c r="M38" s="3055"/>
      <c r="N38" s="3056"/>
      <c r="O38" s="3056"/>
      <c r="P38" s="3056"/>
      <c r="Q38" s="3056"/>
      <c r="R38" s="3056"/>
      <c r="S38" s="3056"/>
      <c r="T38" s="3057"/>
      <c r="V38" s="115"/>
    </row>
    <row r="39" spans="2:22">
      <c r="B39" s="115"/>
      <c r="D39" s="143" t="s">
        <v>3772</v>
      </c>
      <c r="E39" s="144"/>
      <c r="F39" s="147"/>
      <c r="G39" s="144"/>
      <c r="H39" s="173" t="s">
        <v>2197</v>
      </c>
      <c r="I39" s="166" t="s">
        <v>10</v>
      </c>
      <c r="J39" s="173" t="s">
        <v>819</v>
      </c>
      <c r="K39" s="180" t="s">
        <v>10</v>
      </c>
      <c r="L39" s="146"/>
      <c r="M39" s="125" t="s">
        <v>3337</v>
      </c>
      <c r="N39" s="153"/>
      <c r="O39" s="153"/>
      <c r="P39" s="153"/>
      <c r="Q39" s="153"/>
      <c r="R39" s="153"/>
      <c r="S39" s="153"/>
      <c r="T39" s="164"/>
      <c r="V39" s="115"/>
    </row>
    <row r="40" spans="2:22">
      <c r="B40" s="115"/>
      <c r="D40" s="143" t="s">
        <v>3777</v>
      </c>
      <c r="E40" s="144"/>
      <c r="F40" s="147"/>
      <c r="G40" s="166" t="s">
        <v>10</v>
      </c>
      <c r="H40" s="173" t="s">
        <v>2198</v>
      </c>
      <c r="I40" s="172" t="s">
        <v>10</v>
      </c>
      <c r="J40" s="173" t="s">
        <v>820</v>
      </c>
      <c r="K40" s="181" t="s">
        <v>10</v>
      </c>
      <c r="L40" s="146"/>
      <c r="M40" s="3049">
        <f>'1Tab_Input'!A30</f>
        <v>0</v>
      </c>
      <c r="N40" s="3050"/>
      <c r="O40" s="3050"/>
      <c r="P40" s="3050"/>
      <c r="Q40" s="3050"/>
      <c r="R40" s="3050"/>
      <c r="S40" s="3050"/>
      <c r="T40" s="3051"/>
      <c r="V40" s="115"/>
    </row>
    <row r="41" spans="2:22">
      <c r="B41" s="115"/>
      <c r="D41" s="143" t="s">
        <v>3778</v>
      </c>
      <c r="E41" s="144"/>
      <c r="F41" s="147"/>
      <c r="G41" s="172" t="s">
        <v>10</v>
      </c>
      <c r="H41" s="173" t="s">
        <v>2199</v>
      </c>
      <c r="I41" s="172" t="s">
        <v>10</v>
      </c>
      <c r="J41" s="173" t="s">
        <v>2203</v>
      </c>
      <c r="K41" s="181" t="s">
        <v>10</v>
      </c>
      <c r="L41" s="146"/>
      <c r="M41" s="3049"/>
      <c r="N41" s="3050"/>
      <c r="O41" s="3050"/>
      <c r="P41" s="3050"/>
      <c r="Q41" s="3050"/>
      <c r="R41" s="3050"/>
      <c r="S41" s="3050"/>
      <c r="T41" s="3051"/>
      <c r="V41" s="115"/>
    </row>
    <row r="42" spans="2:22">
      <c r="B42" s="115"/>
      <c r="D42" s="143" t="s">
        <v>3775</v>
      </c>
      <c r="E42" s="144"/>
      <c r="F42" s="147"/>
      <c r="G42" s="172" t="s">
        <v>10</v>
      </c>
      <c r="H42" s="173" t="s">
        <v>2200</v>
      </c>
      <c r="I42" s="172" t="s">
        <v>10</v>
      </c>
      <c r="J42" s="173" t="s">
        <v>821</v>
      </c>
      <c r="K42" s="181" t="s">
        <v>10</v>
      </c>
      <c r="L42" s="146"/>
      <c r="M42" s="3049"/>
      <c r="N42" s="3050"/>
      <c r="O42" s="3050"/>
      <c r="P42" s="3050"/>
      <c r="Q42" s="3050"/>
      <c r="R42" s="3050"/>
      <c r="S42" s="3050"/>
      <c r="T42" s="3051"/>
      <c r="V42" s="115"/>
    </row>
    <row r="43" spans="2:22">
      <c r="B43" s="115"/>
      <c r="D43" s="143" t="s">
        <v>3776</v>
      </c>
      <c r="E43" s="144"/>
      <c r="F43" s="147"/>
      <c r="G43" s="172" t="s">
        <v>10</v>
      </c>
      <c r="H43" s="173" t="s">
        <v>816</v>
      </c>
      <c r="I43" s="172" t="s">
        <v>10</v>
      </c>
      <c r="J43" s="173" t="s">
        <v>822</v>
      </c>
      <c r="K43" s="181" t="s">
        <v>10</v>
      </c>
      <c r="L43" s="146"/>
      <c r="M43" s="3049"/>
      <c r="N43" s="3050"/>
      <c r="O43" s="3050"/>
      <c r="P43" s="3050"/>
      <c r="Q43" s="3050"/>
      <c r="R43" s="3050"/>
      <c r="S43" s="3050"/>
      <c r="T43" s="3051"/>
      <c r="V43" s="115"/>
    </row>
    <row r="44" spans="2:22">
      <c r="B44" s="115"/>
      <c r="D44" s="143" t="s">
        <v>1060</v>
      </c>
      <c r="E44" s="144"/>
      <c r="F44" s="147"/>
      <c r="G44" s="172" t="s">
        <v>10</v>
      </c>
      <c r="H44" s="173" t="s">
        <v>817</v>
      </c>
      <c r="I44" s="172" t="s">
        <v>10</v>
      </c>
      <c r="J44" s="173" t="s">
        <v>823</v>
      </c>
      <c r="K44" s="181" t="s">
        <v>10</v>
      </c>
      <c r="L44" s="146"/>
      <c r="M44" s="3049"/>
      <c r="N44" s="3050"/>
      <c r="O44" s="3050"/>
      <c r="P44" s="3050"/>
      <c r="Q44" s="3050"/>
      <c r="R44" s="3050"/>
      <c r="S44" s="3050"/>
      <c r="T44" s="3051"/>
      <c r="V44" s="115"/>
    </row>
    <row r="45" spans="2:22">
      <c r="B45" s="115"/>
      <c r="D45" s="143" t="s">
        <v>3123</v>
      </c>
      <c r="E45" s="144"/>
      <c r="F45" s="147"/>
      <c r="G45" s="172" t="s">
        <v>10</v>
      </c>
      <c r="H45" s="173" t="s">
        <v>2201</v>
      </c>
      <c r="I45" s="172" t="s">
        <v>10</v>
      </c>
      <c r="J45" s="173" t="s">
        <v>1084</v>
      </c>
      <c r="K45" s="181" t="s">
        <v>10</v>
      </c>
      <c r="L45" s="146"/>
      <c r="M45" s="3063"/>
      <c r="N45" s="3064"/>
      <c r="O45" s="3064"/>
      <c r="P45" s="3064"/>
      <c r="Q45" s="3064"/>
      <c r="R45" s="3064"/>
      <c r="S45" s="3064"/>
      <c r="T45" s="3065"/>
      <c r="V45" s="115"/>
    </row>
    <row r="46" spans="2:22">
      <c r="B46" s="115"/>
      <c r="D46" s="143" t="s">
        <v>3188</v>
      </c>
      <c r="E46" s="144"/>
      <c r="F46" s="147"/>
      <c r="G46" s="172" t="s">
        <v>10</v>
      </c>
      <c r="H46" s="173" t="s">
        <v>818</v>
      </c>
      <c r="I46" s="172" t="s">
        <v>10</v>
      </c>
      <c r="J46" s="173"/>
      <c r="K46" s="188"/>
      <c r="L46" s="146"/>
      <c r="M46" s="2045" t="s">
        <v>260</v>
      </c>
      <c r="N46" s="2046"/>
      <c r="O46" s="2046"/>
      <c r="P46" s="2066">
        <f>'1Tab_Input'!$B$33</f>
        <v>0</v>
      </c>
      <c r="Q46" s="2033"/>
      <c r="R46" s="2033"/>
      <c r="S46" s="2033"/>
      <c r="T46" s="2034"/>
      <c r="V46" s="115"/>
    </row>
    <row r="47" spans="2:22">
      <c r="B47" s="115"/>
      <c r="D47" s="143" t="s">
        <v>3124</v>
      </c>
      <c r="E47" s="144"/>
      <c r="F47" s="147"/>
      <c r="G47" s="172" t="s">
        <v>10</v>
      </c>
      <c r="H47" s="173" t="s">
        <v>2202</v>
      </c>
      <c r="I47" s="172" t="s">
        <v>10</v>
      </c>
      <c r="J47" s="173"/>
      <c r="K47" s="188"/>
      <c r="L47" s="146"/>
      <c r="M47" s="3063"/>
      <c r="N47" s="3064"/>
      <c r="O47" s="3064"/>
      <c r="P47" s="3064"/>
      <c r="Q47" s="3064"/>
      <c r="R47" s="3064"/>
      <c r="S47" s="3064"/>
      <c r="T47" s="3065"/>
      <c r="V47" s="115"/>
    </row>
    <row r="48" spans="2:22">
      <c r="B48" s="115"/>
      <c r="D48" s="143" t="s">
        <v>3187</v>
      </c>
      <c r="E48" s="144"/>
      <c r="F48" s="147"/>
      <c r="G48" s="172">
        <v>0</v>
      </c>
      <c r="H48" s="173"/>
      <c r="I48" s="1111"/>
      <c r="J48" s="173"/>
      <c r="K48" s="188"/>
      <c r="L48" s="146"/>
      <c r="M48" s="125" t="s">
        <v>1102</v>
      </c>
      <c r="N48" s="2033"/>
      <c r="O48" s="156" t="s">
        <v>3773</v>
      </c>
      <c r="P48" s="144"/>
      <c r="Q48" s="2067">
        <f>'1Tab_Input'!$B$34</f>
        <v>0</v>
      </c>
      <c r="R48" s="1"/>
      <c r="S48" s="2046"/>
      <c r="T48" s="157"/>
      <c r="V48" s="115"/>
    </row>
    <row r="49" spans="2:22" ht="12.75" customHeight="1">
      <c r="B49" s="115"/>
      <c r="D49" s="3066"/>
      <c r="E49" s="3067"/>
      <c r="F49" s="3067"/>
      <c r="G49" s="3067"/>
      <c r="H49" s="3067"/>
      <c r="I49" s="3067"/>
      <c r="J49" s="3067"/>
      <c r="K49" s="3068"/>
      <c r="L49" s="146"/>
      <c r="M49" s="3072"/>
      <c r="N49" s="3073"/>
      <c r="O49" s="3073"/>
      <c r="P49" s="3073"/>
      <c r="Q49" s="3073"/>
      <c r="R49" s="3073"/>
      <c r="S49" s="3073"/>
      <c r="T49" s="3074"/>
      <c r="V49" s="115"/>
    </row>
    <row r="50" spans="2:22" ht="12.75" customHeight="1">
      <c r="B50" s="115"/>
      <c r="D50" s="3069">
        <f>'1Tab_Input'!B22</f>
        <v>0</v>
      </c>
      <c r="E50" s="3070"/>
      <c r="F50" s="3070"/>
      <c r="G50" s="3070"/>
      <c r="H50" s="3070"/>
      <c r="I50" s="3070"/>
      <c r="J50" s="3070"/>
      <c r="K50" s="3071"/>
      <c r="L50" s="131"/>
      <c r="M50" s="3072"/>
      <c r="N50" s="3073"/>
      <c r="O50" s="3073"/>
      <c r="P50" s="3073"/>
      <c r="Q50" s="3073"/>
      <c r="R50" s="3073"/>
      <c r="S50" s="3073"/>
      <c r="T50" s="3074"/>
      <c r="V50" s="115"/>
    </row>
    <row r="51" spans="2:22" ht="12.75" customHeight="1">
      <c r="B51" s="115"/>
      <c r="D51" s="3069"/>
      <c r="E51" s="3070"/>
      <c r="F51" s="3070"/>
      <c r="G51" s="3070"/>
      <c r="H51" s="3070"/>
      <c r="I51" s="3070"/>
      <c r="J51" s="3070"/>
      <c r="K51" s="3071"/>
      <c r="L51" s="131"/>
      <c r="M51" s="3072"/>
      <c r="N51" s="3073"/>
      <c r="O51" s="3073"/>
      <c r="P51" s="3073"/>
      <c r="Q51" s="3073"/>
      <c r="R51" s="3073"/>
      <c r="S51" s="3073"/>
      <c r="T51" s="3074"/>
      <c r="V51" s="115"/>
    </row>
    <row r="52" spans="2:22">
      <c r="B52" s="115"/>
      <c r="D52" s="3069"/>
      <c r="E52" s="3070"/>
      <c r="F52" s="3070"/>
      <c r="G52" s="3070"/>
      <c r="H52" s="3070"/>
      <c r="I52" s="3070"/>
      <c r="J52" s="3070"/>
      <c r="K52" s="3071"/>
      <c r="L52" s="131"/>
      <c r="M52" s="3072"/>
      <c r="N52" s="3073"/>
      <c r="O52" s="3073"/>
      <c r="P52" s="3073"/>
      <c r="Q52" s="3073"/>
      <c r="R52" s="3073"/>
      <c r="S52" s="3073"/>
      <c r="T52" s="3074"/>
      <c r="V52" s="115"/>
    </row>
    <row r="53" spans="2:22" ht="12.75" customHeight="1">
      <c r="B53" s="115"/>
      <c r="D53" s="3069"/>
      <c r="E53" s="3070"/>
      <c r="F53" s="3070"/>
      <c r="G53" s="3070"/>
      <c r="H53" s="3070"/>
      <c r="I53" s="3070"/>
      <c r="J53" s="3070"/>
      <c r="K53" s="3071"/>
      <c r="L53" s="131"/>
      <c r="M53" s="3072"/>
      <c r="N53" s="3073"/>
      <c r="O53" s="3073"/>
      <c r="P53" s="3073"/>
      <c r="Q53" s="3073"/>
      <c r="R53" s="3073"/>
      <c r="S53" s="3073"/>
      <c r="T53" s="3074"/>
      <c r="V53" s="115"/>
    </row>
    <row r="54" spans="2:22" ht="12.75" customHeight="1">
      <c r="B54" s="115"/>
      <c r="D54" s="3069"/>
      <c r="E54" s="3070"/>
      <c r="F54" s="3070"/>
      <c r="G54" s="3070"/>
      <c r="H54" s="3070"/>
      <c r="I54" s="3070"/>
      <c r="J54" s="3070"/>
      <c r="K54" s="3071"/>
      <c r="L54" s="131"/>
      <c r="M54" s="125" t="s">
        <v>2249</v>
      </c>
      <c r="N54" s="132"/>
      <c r="O54" s="133"/>
      <c r="P54" s="133"/>
      <c r="Q54" s="133"/>
      <c r="R54" s="133"/>
      <c r="S54" s="133"/>
      <c r="T54" s="130"/>
      <c r="V54" s="115"/>
    </row>
    <row r="55" spans="2:22">
      <c r="B55" s="115"/>
      <c r="D55" s="3069"/>
      <c r="E55" s="3070"/>
      <c r="F55" s="3070"/>
      <c r="G55" s="3070"/>
      <c r="H55" s="3070"/>
      <c r="I55" s="3070"/>
      <c r="J55" s="3070"/>
      <c r="K55" s="3071"/>
      <c r="L55" s="131"/>
      <c r="M55" s="165" t="s">
        <v>2929</v>
      </c>
      <c r="N55" s="153"/>
      <c r="O55" s="166">
        <f>'1Tab_Input'!$B$35</f>
        <v>0</v>
      </c>
      <c r="P55" s="153"/>
      <c r="Q55" s="148" t="s">
        <v>3198</v>
      </c>
      <c r="R55" s="153"/>
      <c r="S55" s="2461"/>
      <c r="T55" s="164"/>
      <c r="V55" s="115"/>
    </row>
    <row r="56" spans="2:22" ht="12.75" customHeight="1">
      <c r="B56" s="115"/>
      <c r="D56" s="3047" t="s">
        <v>256</v>
      </c>
      <c r="E56" s="3048"/>
      <c r="F56" s="2069">
        <f>'1Tab_Input'!$B$23</f>
        <v>0</v>
      </c>
      <c r="G56" s="144" t="s">
        <v>257</v>
      </c>
      <c r="H56" s="58"/>
      <c r="I56" s="58"/>
      <c r="J56" s="58"/>
      <c r="K56" s="59"/>
      <c r="L56" s="131"/>
      <c r="M56" s="3049"/>
      <c r="N56" s="3050"/>
      <c r="O56" s="3050"/>
      <c r="P56" s="3050"/>
      <c r="Q56" s="3050"/>
      <c r="R56" s="3050"/>
      <c r="S56" s="3050"/>
      <c r="T56" s="3051"/>
      <c r="V56" s="115"/>
    </row>
    <row r="57" spans="2:22">
      <c r="B57" s="115"/>
      <c r="D57" s="3041">
        <f>'1Tab_Input'!A25</f>
        <v>0</v>
      </c>
      <c r="E57" s="3042"/>
      <c r="F57" s="3042"/>
      <c r="G57" s="3042"/>
      <c r="H57" s="3042"/>
      <c r="I57" s="3042"/>
      <c r="J57" s="3042"/>
      <c r="K57" s="3043"/>
      <c r="L57" s="131"/>
      <c r="M57" s="3049"/>
      <c r="N57" s="3050"/>
      <c r="O57" s="3050"/>
      <c r="P57" s="3050"/>
      <c r="Q57" s="3050"/>
      <c r="R57" s="3050"/>
      <c r="S57" s="3050"/>
      <c r="T57" s="3051"/>
      <c r="V57" s="115"/>
    </row>
    <row r="58" spans="2:22" ht="12.75" customHeight="1">
      <c r="B58" s="115"/>
      <c r="D58" s="3041"/>
      <c r="E58" s="3042"/>
      <c r="F58" s="3042"/>
      <c r="G58" s="3042"/>
      <c r="H58" s="3042"/>
      <c r="I58" s="3042"/>
      <c r="J58" s="3042"/>
      <c r="K58" s="3043"/>
      <c r="L58" s="131"/>
      <c r="M58" s="3049"/>
      <c r="N58" s="3050"/>
      <c r="O58" s="3050"/>
      <c r="P58" s="3050"/>
      <c r="Q58" s="3050"/>
      <c r="R58" s="3050"/>
      <c r="S58" s="3050"/>
      <c r="T58" s="3051"/>
      <c r="V58" s="115"/>
    </row>
    <row r="59" spans="2:22" ht="12.75" customHeight="1">
      <c r="B59" s="115"/>
      <c r="D59" s="3041"/>
      <c r="E59" s="3042"/>
      <c r="F59" s="3042"/>
      <c r="G59" s="3042"/>
      <c r="H59" s="3042"/>
      <c r="I59" s="3042"/>
      <c r="J59" s="3042"/>
      <c r="K59" s="3043"/>
      <c r="L59" s="131"/>
      <c r="M59" s="3049"/>
      <c r="N59" s="3050"/>
      <c r="O59" s="3050"/>
      <c r="P59" s="3050"/>
      <c r="Q59" s="3050"/>
      <c r="R59" s="3050"/>
      <c r="S59" s="3050"/>
      <c r="T59" s="3051"/>
      <c r="V59" s="115"/>
    </row>
    <row r="60" spans="2:22">
      <c r="B60" s="115"/>
      <c r="D60" s="3041"/>
      <c r="E60" s="3042"/>
      <c r="F60" s="3042"/>
      <c r="G60" s="3042"/>
      <c r="H60" s="3042"/>
      <c r="I60" s="3042"/>
      <c r="J60" s="3042"/>
      <c r="K60" s="3043"/>
      <c r="L60" s="131"/>
      <c r="M60" s="3049"/>
      <c r="N60" s="3050"/>
      <c r="O60" s="3050"/>
      <c r="P60" s="3050"/>
      <c r="Q60" s="3050"/>
      <c r="R60" s="3050"/>
      <c r="S60" s="3050"/>
      <c r="T60" s="3051"/>
      <c r="V60" s="115"/>
    </row>
    <row r="61" spans="2:22" ht="12.75" customHeight="1">
      <c r="B61" s="115"/>
      <c r="D61" s="3044"/>
      <c r="E61" s="3045"/>
      <c r="F61" s="3045"/>
      <c r="G61" s="3045"/>
      <c r="H61" s="3045"/>
      <c r="I61" s="3045"/>
      <c r="J61" s="3045"/>
      <c r="K61" s="3046"/>
      <c r="L61" s="131"/>
      <c r="M61" s="125" t="s">
        <v>3672</v>
      </c>
      <c r="N61" s="153"/>
      <c r="O61" s="166">
        <f>'1Tab_Input'!$B$36</f>
        <v>0</v>
      </c>
      <c r="P61" s="2035"/>
      <c r="Q61" s="2035"/>
      <c r="R61" s="2035"/>
      <c r="S61" s="2035"/>
      <c r="T61" s="2036"/>
      <c r="V61" s="115"/>
    </row>
    <row r="62" spans="2:22" ht="12.75" customHeight="1">
      <c r="B62" s="115"/>
      <c r="D62" s="134" t="s">
        <v>2689</v>
      </c>
      <c r="E62" s="58"/>
      <c r="F62" s="58"/>
      <c r="G62" s="58"/>
      <c r="H62" s="58"/>
      <c r="I62" s="58"/>
      <c r="J62" s="58"/>
      <c r="K62" s="59"/>
      <c r="L62" s="131"/>
      <c r="M62" s="3049"/>
      <c r="N62" s="3050"/>
      <c r="O62" s="3050"/>
      <c r="P62" s="3050"/>
      <c r="Q62" s="3050"/>
      <c r="R62" s="3050"/>
      <c r="S62" s="3050"/>
      <c r="T62" s="3051"/>
      <c r="V62" s="115"/>
    </row>
    <row r="63" spans="2:22" ht="12.75" customHeight="1">
      <c r="B63" s="115"/>
      <c r="D63" s="128" t="s">
        <v>2692</v>
      </c>
      <c r="E63" s="58"/>
      <c r="F63" s="1795">
        <f>IF(County&gt;1,(VLOOKUP(County,BainData,2,0)),"")</f>
        <v>6.0999999999999999E-2</v>
      </c>
      <c r="G63" s="58"/>
      <c r="H63" s="144"/>
      <c r="I63" s="144"/>
      <c r="J63" s="173" t="s">
        <v>1872</v>
      </c>
      <c r="K63" s="2068">
        <f>'1Tab_Input'!$B$27</f>
        <v>0</v>
      </c>
      <c r="L63" s="131"/>
      <c r="M63" s="3049"/>
      <c r="N63" s="3050"/>
      <c r="O63" s="3050"/>
      <c r="P63" s="3050"/>
      <c r="Q63" s="3050"/>
      <c r="R63" s="3050"/>
      <c r="S63" s="3050"/>
      <c r="T63" s="3051"/>
      <c r="V63" s="115"/>
    </row>
    <row r="64" spans="2:22" ht="12.75" customHeight="1">
      <c r="B64" s="115"/>
      <c r="D64" s="3049"/>
      <c r="E64" s="3050"/>
      <c r="F64" s="3050"/>
      <c r="G64" s="3050"/>
      <c r="H64" s="3050"/>
      <c r="I64" s="3050"/>
      <c r="J64" s="3050"/>
      <c r="K64" s="3051"/>
      <c r="L64" s="131"/>
      <c r="M64" s="3049"/>
      <c r="N64" s="3050"/>
      <c r="O64" s="3050"/>
      <c r="P64" s="3050"/>
      <c r="Q64" s="3050"/>
      <c r="R64" s="3050"/>
      <c r="S64" s="3050"/>
      <c r="T64" s="3051"/>
      <c r="V64" s="115"/>
    </row>
    <row r="65" spans="2:22">
      <c r="B65" s="115"/>
      <c r="D65" s="3049"/>
      <c r="E65" s="3050"/>
      <c r="F65" s="3050"/>
      <c r="G65" s="3050"/>
      <c r="H65" s="3050"/>
      <c r="I65" s="3050"/>
      <c r="J65" s="3050"/>
      <c r="K65" s="3051"/>
      <c r="L65" s="135"/>
      <c r="M65" s="3049"/>
      <c r="N65" s="3050"/>
      <c r="O65" s="3050"/>
      <c r="P65" s="3050"/>
      <c r="Q65" s="3050"/>
      <c r="R65" s="3050"/>
      <c r="S65" s="3050"/>
      <c r="T65" s="3051"/>
      <c r="V65" s="115"/>
    </row>
    <row r="66" spans="2:22">
      <c r="B66" s="115"/>
      <c r="D66" s="125" t="s">
        <v>1860</v>
      </c>
      <c r="E66" s="2935"/>
      <c r="F66" s="2935"/>
      <c r="G66" s="2935"/>
      <c r="H66" s="2935"/>
      <c r="I66" s="2935"/>
      <c r="J66" s="2935"/>
      <c r="K66" s="2934"/>
      <c r="L66" s="135"/>
      <c r="M66" s="3049"/>
      <c r="N66" s="3050"/>
      <c r="O66" s="3050"/>
      <c r="P66" s="3050"/>
      <c r="Q66" s="3050"/>
      <c r="R66" s="3050"/>
      <c r="S66" s="3050"/>
      <c r="T66" s="3051"/>
      <c r="V66" s="115"/>
    </row>
    <row r="67" spans="2:22" ht="12.75" customHeight="1">
      <c r="B67" s="115"/>
      <c r="D67" s="3049" t="s">
        <v>4254</v>
      </c>
      <c r="E67" s="3050"/>
      <c r="F67" s="3050"/>
      <c r="G67" s="3050"/>
      <c r="H67" s="3050"/>
      <c r="I67" s="3050"/>
      <c r="J67" s="3050"/>
      <c r="K67" s="3051"/>
      <c r="L67" s="135"/>
      <c r="M67" s="125" t="s">
        <v>2362</v>
      </c>
      <c r="N67" s="153"/>
      <c r="O67" s="153"/>
      <c r="P67" s="153"/>
      <c r="Q67" s="153"/>
      <c r="R67" s="2037"/>
      <c r="S67" s="2037"/>
      <c r="T67" s="2038"/>
      <c r="V67" s="115"/>
    </row>
    <row r="68" spans="2:22">
      <c r="B68" s="115"/>
      <c r="D68" s="3049"/>
      <c r="E68" s="3050"/>
      <c r="F68" s="3050"/>
      <c r="G68" s="3050"/>
      <c r="H68" s="3050"/>
      <c r="I68" s="3050"/>
      <c r="J68" s="3050"/>
      <c r="K68" s="3051"/>
      <c r="L68" s="135"/>
      <c r="M68" s="165" t="s">
        <v>1236</v>
      </c>
      <c r="N68" s="174"/>
      <c r="O68" s="174"/>
      <c r="Q68" s="2460"/>
      <c r="R68" s="2037"/>
      <c r="S68" s="2037"/>
      <c r="T68" s="2038"/>
      <c r="V68" s="115"/>
    </row>
    <row r="69" spans="2:22" ht="12.75" customHeight="1">
      <c r="B69" s="115"/>
      <c r="D69" s="3049"/>
      <c r="E69" s="3050"/>
      <c r="F69" s="3050"/>
      <c r="G69" s="3050"/>
      <c r="H69" s="3050"/>
      <c r="I69" s="3050"/>
      <c r="J69" s="3050"/>
      <c r="K69" s="3051"/>
      <c r="L69" s="135"/>
      <c r="M69" s="3078">
        <f>'1Tab_Input'!$A$38</f>
        <v>0</v>
      </c>
      <c r="N69" s="3079"/>
      <c r="O69" s="3079"/>
      <c r="P69" s="3079"/>
      <c r="Q69" s="3079"/>
      <c r="R69" s="3079"/>
      <c r="S69" s="3079"/>
      <c r="T69" s="3080"/>
      <c r="V69" s="115"/>
    </row>
    <row r="70" spans="2:22">
      <c r="B70" s="115"/>
      <c r="D70" s="3049"/>
      <c r="E70" s="3050"/>
      <c r="F70" s="3050"/>
      <c r="G70" s="3050"/>
      <c r="H70" s="3050"/>
      <c r="I70" s="3050"/>
      <c r="J70" s="3050"/>
      <c r="K70" s="3051"/>
      <c r="L70" s="135"/>
      <c r="M70" s="3078"/>
      <c r="N70" s="3079"/>
      <c r="O70" s="3079"/>
      <c r="P70" s="3079"/>
      <c r="Q70" s="3079"/>
      <c r="R70" s="3079"/>
      <c r="S70" s="3079"/>
      <c r="T70" s="3080"/>
      <c r="V70" s="115"/>
    </row>
    <row r="71" spans="2:22" ht="12.75" customHeight="1">
      <c r="B71" s="115"/>
      <c r="D71" s="3049"/>
      <c r="E71" s="3050"/>
      <c r="F71" s="3050"/>
      <c r="G71" s="3050"/>
      <c r="H71" s="3050"/>
      <c r="I71" s="3050"/>
      <c r="J71" s="3050"/>
      <c r="K71" s="3051"/>
      <c r="L71" s="135"/>
      <c r="M71" s="3078"/>
      <c r="N71" s="3079"/>
      <c r="O71" s="3079"/>
      <c r="P71" s="3079"/>
      <c r="Q71" s="3079"/>
      <c r="R71" s="3079"/>
      <c r="S71" s="3079"/>
      <c r="T71" s="3080"/>
      <c r="V71" s="115"/>
    </row>
    <row r="72" spans="2:22" ht="12.75" customHeight="1">
      <c r="B72" s="115"/>
      <c r="D72" s="3049"/>
      <c r="E72" s="3050"/>
      <c r="F72" s="3050"/>
      <c r="G72" s="3050"/>
      <c r="H72" s="3050"/>
      <c r="I72" s="3050"/>
      <c r="J72" s="3050"/>
      <c r="K72" s="3051"/>
      <c r="L72" s="135"/>
      <c r="M72" s="3078"/>
      <c r="N72" s="3079"/>
      <c r="O72" s="3079"/>
      <c r="P72" s="3079"/>
      <c r="Q72" s="3079"/>
      <c r="R72" s="3079"/>
      <c r="S72" s="3079"/>
      <c r="T72" s="3080"/>
      <c r="V72" s="115"/>
    </row>
    <row r="73" spans="2:22" ht="12.75" customHeight="1">
      <c r="B73" s="115"/>
      <c r="D73" s="3049"/>
      <c r="E73" s="3050"/>
      <c r="F73" s="3050"/>
      <c r="G73" s="3050"/>
      <c r="H73" s="3050"/>
      <c r="I73" s="3050"/>
      <c r="J73" s="3050"/>
      <c r="K73" s="3051"/>
      <c r="L73" s="135"/>
      <c r="M73" s="3078"/>
      <c r="N73" s="3079"/>
      <c r="O73" s="3079"/>
      <c r="P73" s="3079"/>
      <c r="Q73" s="3079"/>
      <c r="R73" s="3079"/>
      <c r="S73" s="3079"/>
      <c r="T73" s="3080"/>
      <c r="V73" s="115"/>
    </row>
    <row r="74" spans="2:22">
      <c r="B74" s="115"/>
      <c r="D74" s="3049"/>
      <c r="E74" s="3050"/>
      <c r="F74" s="3050"/>
      <c r="G74" s="3050"/>
      <c r="H74" s="3050"/>
      <c r="I74" s="3050"/>
      <c r="J74" s="3050"/>
      <c r="K74" s="3051"/>
      <c r="L74" s="135"/>
      <c r="M74" s="125" t="s">
        <v>2099</v>
      </c>
      <c r="N74" s="2035"/>
      <c r="O74" s="2035"/>
      <c r="P74" s="2035"/>
      <c r="Q74" s="2035"/>
      <c r="R74" s="2035"/>
      <c r="S74" s="2035"/>
      <c r="T74" s="2036"/>
      <c r="V74" s="115"/>
    </row>
    <row r="75" spans="2:22" ht="12.75" customHeight="1">
      <c r="B75" s="115"/>
      <c r="D75" s="3049"/>
      <c r="E75" s="3050"/>
      <c r="F75" s="3050"/>
      <c r="G75" s="3050"/>
      <c r="H75" s="3050"/>
      <c r="I75" s="3050"/>
      <c r="J75" s="3050"/>
      <c r="K75" s="3051"/>
      <c r="L75" s="135"/>
      <c r="M75" s="3052"/>
      <c r="N75" s="3053"/>
      <c r="O75" s="3053"/>
      <c r="P75" s="3053"/>
      <c r="Q75" s="3053"/>
      <c r="R75" s="3053"/>
      <c r="S75" s="3053"/>
      <c r="T75" s="3054"/>
      <c r="V75" s="115"/>
    </row>
    <row r="76" spans="2:22">
      <c r="B76" s="115"/>
      <c r="D76" s="3049"/>
      <c r="E76" s="3050"/>
      <c r="F76" s="3050"/>
      <c r="G76" s="3050"/>
      <c r="H76" s="3050"/>
      <c r="I76" s="3050"/>
      <c r="J76" s="3050"/>
      <c r="K76" s="3051"/>
      <c r="L76" s="135"/>
      <c r="M76" s="3052"/>
      <c r="N76" s="3053"/>
      <c r="O76" s="3053"/>
      <c r="P76" s="3053"/>
      <c r="Q76" s="3053"/>
      <c r="R76" s="3053"/>
      <c r="S76" s="3053"/>
      <c r="T76" s="3054"/>
      <c r="V76" s="115"/>
    </row>
    <row r="77" spans="2:22">
      <c r="B77" s="115"/>
      <c r="D77" s="3060"/>
      <c r="E77" s="3061"/>
      <c r="F77" s="3061"/>
      <c r="G77" s="3061"/>
      <c r="H77" s="3061"/>
      <c r="I77" s="3061"/>
      <c r="J77" s="3061"/>
      <c r="K77" s="3062"/>
      <c r="L77" s="135"/>
      <c r="M77" s="3075"/>
      <c r="N77" s="3076"/>
      <c r="O77" s="3076"/>
      <c r="P77" s="3076"/>
      <c r="Q77" s="3076"/>
      <c r="R77" s="3076"/>
      <c r="S77" s="3076"/>
      <c r="T77" s="3077"/>
      <c r="V77" s="115"/>
    </row>
    <row r="78" spans="2:22" s="136" customFormat="1">
      <c r="B78" s="115"/>
      <c r="V78" s="115"/>
    </row>
    <row r="79" spans="2:22" s="136" customFormat="1">
      <c r="B79" s="115"/>
      <c r="V79" s="115"/>
    </row>
    <row r="80" spans="2:22" s="136" customFormat="1">
      <c r="B80" s="115"/>
      <c r="D80" s="345" t="s">
        <v>3219</v>
      </c>
      <c r="E80" s="346"/>
      <c r="F80" s="346"/>
      <c r="G80" s="346"/>
      <c r="H80" s="346"/>
      <c r="I80" s="346"/>
      <c r="J80" s="346"/>
      <c r="K80" s="346"/>
      <c r="L80" s="346"/>
      <c r="M80" s="345" t="s">
        <v>888</v>
      </c>
      <c r="N80" s="346"/>
      <c r="O80" s="346"/>
      <c r="P80" s="346"/>
      <c r="Q80" s="346"/>
      <c r="R80" s="346"/>
      <c r="S80" s="346"/>
      <c r="T80" s="346"/>
      <c r="V80" s="115"/>
    </row>
    <row r="81" spans="2:22" s="136" customFormat="1">
      <c r="B81" s="115"/>
      <c r="D81" s="346"/>
      <c r="E81" s="346"/>
      <c r="F81" s="347" t="s">
        <v>1090</v>
      </c>
      <c r="G81" s="347" t="s">
        <v>1091</v>
      </c>
      <c r="H81" s="347" t="s">
        <v>2165</v>
      </c>
      <c r="I81" s="347" t="s">
        <v>2166</v>
      </c>
      <c r="J81" s="347" t="s">
        <v>2167</v>
      </c>
      <c r="K81" s="346"/>
      <c r="L81" s="346"/>
      <c r="M81" s="346"/>
      <c r="N81" s="347" t="s">
        <v>1857</v>
      </c>
      <c r="O81" s="347" t="s">
        <v>1090</v>
      </c>
      <c r="P81" s="347" t="s">
        <v>1091</v>
      </c>
      <c r="Q81" s="347" t="s">
        <v>2165</v>
      </c>
      <c r="R81" s="347" t="s">
        <v>2166</v>
      </c>
      <c r="S81" s="347" t="s">
        <v>2167</v>
      </c>
      <c r="T81" s="346"/>
      <c r="V81" s="115"/>
    </row>
    <row r="82" spans="2:22" s="136" customFormat="1">
      <c r="B82" s="115"/>
      <c r="D82" s="346"/>
      <c r="E82" s="346"/>
      <c r="F82" s="348"/>
      <c r="G82" s="348"/>
      <c r="H82" s="348"/>
      <c r="I82" s="348"/>
      <c r="J82" s="348"/>
      <c r="K82" s="346"/>
      <c r="L82" s="346"/>
      <c r="M82" s="346"/>
      <c r="N82" s="348"/>
      <c r="O82" s="348"/>
      <c r="P82" s="348"/>
      <c r="Q82" s="348"/>
      <c r="R82" s="348"/>
      <c r="S82" s="348"/>
      <c r="T82" s="346"/>
      <c r="V82" s="115"/>
    </row>
    <row r="83" spans="2:22" s="136" customFormat="1">
      <c r="B83" s="115"/>
      <c r="D83" s="349" t="s">
        <v>2060</v>
      </c>
      <c r="E83" s="349" t="s">
        <v>1825</v>
      </c>
      <c r="F83" s="346">
        <f>'2.0 Patients'!I74+'2.0 Patients'!I80+'2.0 Patients'!I86</f>
        <v>31</v>
      </c>
      <c r="G83" s="346">
        <f>'2.0 Patients'!J74+'2.0 Patients'!J80+'2.0 Patients'!J86</f>
        <v>57</v>
      </c>
      <c r="H83" s="346">
        <f>'2.0 Patients'!K74+'2.0 Patients'!K80+'2.0 Patients'!K86</f>
        <v>74</v>
      </c>
      <c r="I83" s="346">
        <f>'2.0 Patients'!L74+'2.0 Patients'!L80+'2.0 Patients'!L86</f>
        <v>91</v>
      </c>
      <c r="J83" s="346">
        <f>'2.0 Patients'!M74+'2.0 Patients'!M80+'2.0 Patients'!M86</f>
        <v>102</v>
      </c>
      <c r="K83" s="346"/>
      <c r="L83" s="346"/>
      <c r="M83" s="349" t="s">
        <v>3529</v>
      </c>
      <c r="N83" s="346"/>
      <c r="O83" s="346">
        <f>'5. Financials'!I66</f>
        <v>3109.4700000000003</v>
      </c>
      <c r="P83" s="346">
        <f>'5. Financials'!J66</f>
        <v>7594.4699999999993</v>
      </c>
      <c r="Q83" s="346">
        <f>'5. Financials'!K66</f>
        <v>11069.456666666667</v>
      </c>
      <c r="R83" s="346">
        <f>'5. Financials'!L66</f>
        <v>13866.774999999998</v>
      </c>
      <c r="S83" s="346">
        <f>'5. Financials'!M66</f>
        <v>16158.025000000001</v>
      </c>
      <c r="T83" s="346"/>
      <c r="V83" s="115"/>
    </row>
    <row r="84" spans="2:22" s="136" customFormat="1">
      <c r="B84" s="115"/>
      <c r="D84" s="349"/>
      <c r="E84" s="349" t="s">
        <v>1826</v>
      </c>
      <c r="F84" s="346">
        <f>'2.0 Patients'!I76+'2.0 Patients'!I82+'2.0 Patients'!I88</f>
        <v>5</v>
      </c>
      <c r="G84" s="346">
        <f>'2.0 Patients'!J76+'2.0 Patients'!J82+'2.0 Patients'!J88</f>
        <v>8</v>
      </c>
      <c r="H84" s="346">
        <f>'2.0 Patients'!K76+'2.0 Patients'!K82+'2.0 Patients'!K88</f>
        <v>10</v>
      </c>
      <c r="I84" s="346">
        <f>'2.0 Patients'!L76+'2.0 Patients'!L82+'2.0 Patients'!L88</f>
        <v>12</v>
      </c>
      <c r="J84" s="346">
        <f>'2.0 Patients'!M76+'2.0 Patients'!M82+'2.0 Patients'!M88</f>
        <v>14</v>
      </c>
      <c r="K84" s="346"/>
      <c r="L84" s="346"/>
      <c r="M84" s="349" t="s">
        <v>1752</v>
      </c>
      <c r="N84" s="346"/>
      <c r="O84" s="346">
        <f>'5. Financials'!I67</f>
        <v>348.28558424445731</v>
      </c>
      <c r="P84" s="346">
        <f>'5. Financials'!J67</f>
        <v>333.45861775496024</v>
      </c>
      <c r="Q84" s="346">
        <f>'5. Financials'!K67</f>
        <v>328.60042919337042</v>
      </c>
      <c r="R84" s="346">
        <f>'5. Financials'!L67</f>
        <v>327.55401839798941</v>
      </c>
      <c r="S84" s="346">
        <f>'5. Financials'!M67</f>
        <v>339.52374449443681</v>
      </c>
      <c r="T84" s="346"/>
      <c r="V84" s="115"/>
    </row>
    <row r="85" spans="2:22" s="136" customFormat="1">
      <c r="B85" s="115"/>
      <c r="D85" s="346"/>
      <c r="E85" s="349" t="s">
        <v>3932</v>
      </c>
      <c r="F85" s="346">
        <f>'2.0 Patients'!I93</f>
        <v>36</v>
      </c>
      <c r="G85" s="346">
        <f>'2.0 Patients'!J93</f>
        <v>65</v>
      </c>
      <c r="H85" s="346">
        <f>'2.0 Patients'!K93</f>
        <v>84</v>
      </c>
      <c r="I85" s="346">
        <f>'2.0 Patients'!L93</f>
        <v>103</v>
      </c>
      <c r="J85" s="346">
        <f>'2.0 Patients'!M93</f>
        <v>116</v>
      </c>
      <c r="K85" s="346"/>
      <c r="L85" s="346"/>
      <c r="M85" s="349" t="s">
        <v>2169</v>
      </c>
      <c r="N85" s="346"/>
      <c r="O85" s="346">
        <f>'5. Financials'!I69</f>
        <v>1082983.5756406127</v>
      </c>
      <c r="P85" s="346">
        <f>'5. Financials'!J69</f>
        <v>2532441.4687815127</v>
      </c>
      <c r="Q85" s="346">
        <f>'5. Financials'!K69</f>
        <v>3637428.211604082</v>
      </c>
      <c r="R85" s="346">
        <f>'5. Financials'!L69</f>
        <v>4542117.8734707786</v>
      </c>
      <c r="S85" s="346">
        <f>'5. Financials'!M69</f>
        <v>5486033.1516347229</v>
      </c>
      <c r="T85" s="346"/>
      <c r="V85" s="115"/>
    </row>
    <row r="86" spans="2:22" s="136" customFormat="1">
      <c r="B86" s="115"/>
      <c r="D86" s="346"/>
      <c r="E86" s="349"/>
      <c r="F86" s="346"/>
      <c r="G86" s="346"/>
      <c r="H86" s="346"/>
      <c r="I86" s="346"/>
      <c r="J86" s="346"/>
      <c r="K86" s="346"/>
      <c r="L86" s="346"/>
      <c r="M86" s="346"/>
      <c r="N86" s="346"/>
      <c r="O86" s="346"/>
      <c r="P86" s="346"/>
      <c r="Q86" s="346"/>
      <c r="R86" s="346"/>
      <c r="S86" s="346"/>
      <c r="T86" s="346"/>
      <c r="V86" s="115"/>
    </row>
    <row r="87" spans="2:22" s="136" customFormat="1">
      <c r="B87" s="115"/>
      <c r="D87" s="349" t="s">
        <v>3529</v>
      </c>
      <c r="E87" s="349" t="s">
        <v>2061</v>
      </c>
      <c r="F87" s="346">
        <f>'5. Financials'!I14+'5. Financials'!I22</f>
        <v>2087.0200000000004</v>
      </c>
      <c r="G87" s="346">
        <f>'5. Financials'!J14+'5. Financials'!J22</f>
        <v>5286.32</v>
      </c>
      <c r="H87" s="346">
        <f>'5. Financials'!K14+'5. Financials'!K22</f>
        <v>7612.54</v>
      </c>
      <c r="I87" s="346">
        <f>'5. Financials'!L14+'5. Financials'!L22</f>
        <v>9478.2999999999993</v>
      </c>
      <c r="J87" s="346">
        <f>'5. Financials'!M14+'5. Financials'!M22</f>
        <v>11033.100000000002</v>
      </c>
      <c r="K87" s="346"/>
      <c r="L87" s="346"/>
      <c r="M87" s="346" t="s">
        <v>1698</v>
      </c>
      <c r="N87" s="346"/>
      <c r="O87" s="346">
        <f>'5. Financials'!I77</f>
        <v>473990</v>
      </c>
      <c r="P87" s="346">
        <f>'5. Financials'!J77</f>
        <v>712986.60000000009</v>
      </c>
      <c r="Q87" s="346">
        <f>'5. Financials'!K77</f>
        <v>974449.38079999993</v>
      </c>
      <c r="R87" s="346">
        <f>'5. Financials'!L77</f>
        <v>1214251.719366333</v>
      </c>
      <c r="S87" s="346">
        <f>'5. Financials'!M77</f>
        <v>1400919.3151285865</v>
      </c>
      <c r="T87" s="346"/>
      <c r="V87" s="115"/>
    </row>
    <row r="88" spans="2:22" s="136" customFormat="1">
      <c r="B88" s="115"/>
      <c r="D88" s="346"/>
      <c r="E88" s="349" t="s">
        <v>6</v>
      </c>
      <c r="F88" s="346">
        <f>'5. Financials'!I31+'5. Financials'!I39</f>
        <v>629.84999999999991</v>
      </c>
      <c r="G88" s="346">
        <f>'5. Financials'!J31+'5. Financials'!J39</f>
        <v>1519.0499999999997</v>
      </c>
      <c r="H88" s="346">
        <f>'5. Financials'!K31+'5. Financials'!K39</f>
        <v>2247.6999999999998</v>
      </c>
      <c r="I88" s="346">
        <f>'5. Financials'!L31+'5. Financials'!L39</f>
        <v>2920.7750000000005</v>
      </c>
      <c r="J88" s="346">
        <f>'5. Financials'!M31+'5. Financials'!M39</f>
        <v>3501.2250000000004</v>
      </c>
      <c r="K88" s="346"/>
      <c r="L88" s="346"/>
      <c r="M88" s="346" t="s">
        <v>3696</v>
      </c>
      <c r="N88" s="346"/>
      <c r="O88" s="346">
        <f>'5. Financials'!I80+'5. Financials'!I86</f>
        <v>170275.04457642292</v>
      </c>
      <c r="P88" s="346">
        <f>'5. Financials'!J80+'5. Financials'!J86</f>
        <v>435044.87653484783</v>
      </c>
      <c r="Q88" s="346">
        <f>'5. Financials'!K80+'5. Financials'!K86</f>
        <v>642939.30106255028</v>
      </c>
      <c r="R88" s="346">
        <f>'5. Financials'!L80+'5. Financials'!L86</f>
        <v>824654.33565598645</v>
      </c>
      <c r="S88" s="346">
        <f>'5. Financials'!M80+'5. Financials'!M86</f>
        <v>986001.77913472278</v>
      </c>
      <c r="T88" s="346"/>
      <c r="V88" s="115"/>
    </row>
    <row r="89" spans="2:22" s="136" customFormat="1">
      <c r="B89" s="115"/>
      <c r="D89" s="346"/>
      <c r="E89" s="349" t="s">
        <v>1402</v>
      </c>
      <c r="F89" s="346">
        <f>'5. Financials'!I48+'5. Financials'!I56</f>
        <v>392.59999999999991</v>
      </c>
      <c r="G89" s="346">
        <f>'5. Financials'!J48+'5. Financials'!J56</f>
        <v>789.09999999999991</v>
      </c>
      <c r="H89" s="346">
        <f>'5. Financials'!K48+'5. Financials'!K56</f>
        <v>1209.2166666666662</v>
      </c>
      <c r="I89" s="346">
        <f>'5. Financials'!L48+'5. Financials'!L56</f>
        <v>1467.6999999999989</v>
      </c>
      <c r="J89" s="346">
        <f>'5. Financials'!M48+'5. Financials'!M56</f>
        <v>1623.6999999999985</v>
      </c>
      <c r="K89" s="346"/>
      <c r="L89" s="346"/>
      <c r="M89" s="346" t="s">
        <v>3697</v>
      </c>
      <c r="N89" s="346"/>
      <c r="O89" s="346">
        <f>'5. Financials'!I78</f>
        <v>247102.272</v>
      </c>
      <c r="P89" s="346">
        <f>'5. Financials'!J78</f>
        <v>254515.34015999999</v>
      </c>
      <c r="Q89" s="346">
        <f>'5. Financials'!K78</f>
        <v>262150.80036479997</v>
      </c>
      <c r="R89" s="346">
        <f>'5. Financials'!L78</f>
        <v>270015.32437574398</v>
      </c>
      <c r="S89" s="346">
        <f>'5. Financials'!M78</f>
        <v>278115.78410701628</v>
      </c>
      <c r="T89" s="346"/>
      <c r="V89" s="115"/>
    </row>
    <row r="90" spans="2:22" s="136" customFormat="1">
      <c r="B90" s="115"/>
      <c r="D90" s="349"/>
      <c r="E90" s="349" t="s">
        <v>3932</v>
      </c>
      <c r="F90" s="346">
        <f>SUM(F87:F89)</f>
        <v>3109.4700000000003</v>
      </c>
      <c r="G90" s="346">
        <f>SUM(G87:G89)</f>
        <v>7594.4699999999993</v>
      </c>
      <c r="H90" s="346">
        <f>SUM(H87:H89)</f>
        <v>11069.456666666665</v>
      </c>
      <c r="I90" s="346">
        <f>SUM(I87:I89)</f>
        <v>13866.775</v>
      </c>
      <c r="J90" s="346">
        <f>SUM(J87:J89)</f>
        <v>16158.025000000001</v>
      </c>
      <c r="K90" s="346"/>
      <c r="L90" s="346"/>
      <c r="M90" s="346" t="s">
        <v>3698</v>
      </c>
      <c r="N90" s="346"/>
      <c r="O90" s="346">
        <f>'5. Financials'!I79</f>
        <v>169421</v>
      </c>
      <c r="P90" s="346">
        <f>'5. Financials'!J79</f>
        <v>169421</v>
      </c>
      <c r="Q90" s="346">
        <f>'5. Financials'!K79</f>
        <v>169421</v>
      </c>
      <c r="R90" s="346">
        <f>'5. Financials'!L79</f>
        <v>169421</v>
      </c>
      <c r="S90" s="346">
        <f>'5. Financials'!M79</f>
        <v>169421</v>
      </c>
      <c r="T90" s="346"/>
      <c r="V90" s="115"/>
    </row>
    <row r="91" spans="2:22" s="136" customFormat="1">
      <c r="B91" s="115"/>
      <c r="E91" s="355" t="s">
        <v>1394</v>
      </c>
      <c r="F91" s="356">
        <f>'6. Market'!AE66</f>
        <v>0</v>
      </c>
      <c r="G91" s="356">
        <f>'6. Market'!AF66</f>
        <v>0</v>
      </c>
      <c r="H91" s="356">
        <f>'6. Market'!AG66</f>
        <v>0</v>
      </c>
      <c r="I91" s="356">
        <f>'6. Market'!AH66</f>
        <v>0</v>
      </c>
      <c r="J91" s="356">
        <f>'6. Market'!AI66</f>
        <v>0</v>
      </c>
      <c r="K91" s="349" t="s">
        <v>725</v>
      </c>
      <c r="L91" s="346"/>
      <c r="M91" s="346" t="s">
        <v>1699</v>
      </c>
      <c r="N91" s="346"/>
      <c r="O91" s="346">
        <f>'5. Financials'!I93</f>
        <v>86638.686051249024</v>
      </c>
      <c r="P91" s="346">
        <f>'5. Financials'!J93</f>
        <v>202595.31750252101</v>
      </c>
      <c r="Q91" s="346">
        <f>'5. Financials'!K93</f>
        <v>290994.25692832656</v>
      </c>
      <c r="R91" s="346">
        <f>'5. Financials'!L93</f>
        <v>363369.42987766227</v>
      </c>
      <c r="S91" s="346">
        <f>'5. Financials'!M93</f>
        <v>438882.65213077783</v>
      </c>
      <c r="T91" s="346"/>
      <c r="V91" s="115"/>
    </row>
    <row r="92" spans="2:22" s="136" customFormat="1">
      <c r="B92" s="115"/>
      <c r="K92" s="346"/>
      <c r="L92" s="346"/>
      <c r="M92" s="346" t="s">
        <v>1700</v>
      </c>
      <c r="N92" s="346"/>
      <c r="O92" s="346">
        <f>O94-SUM(O87:O91)</f>
        <v>207214.0263688257</v>
      </c>
      <c r="P92" s="346">
        <f>P94-SUM(P87:P91)</f>
        <v>473349.83200841071</v>
      </c>
      <c r="Q92" s="346">
        <f>Q94-SUM(Q87:Q91)</f>
        <v>703032.13964489521</v>
      </c>
      <c r="R92" s="346">
        <f>R94-SUM(R87:R91)</f>
        <v>889993.93615153432</v>
      </c>
      <c r="S92" s="346">
        <f>S94-SUM(S87:S91)</f>
        <v>1052839.5972851221</v>
      </c>
      <c r="T92" s="346"/>
      <c r="V92" s="115"/>
    </row>
    <row r="93" spans="2:22" s="136" customFormat="1">
      <c r="B93" s="115"/>
      <c r="D93" s="349" t="s">
        <v>2058</v>
      </c>
      <c r="E93" s="349" t="s">
        <v>1825</v>
      </c>
      <c r="F93" s="346">
        <f>('5. Financials'!I16+'5. Financials'!I33+'5. Financials'!I50)/('5. Financials'!I14+'5. Financials'!I31+'5. Financials'!I48)</f>
        <v>257.68765004202788</v>
      </c>
      <c r="G93" s="346">
        <f>('5. Financials'!J16+'5. Financials'!J33+'5. Financials'!J50)/('5. Financials'!J14+'5. Financials'!J31+'5. Financials'!J48)</f>
        <v>257.07322622989847</v>
      </c>
      <c r="H93" s="346">
        <f>('5. Financials'!K16+'5. Financials'!K33+'5. Financials'!K50)/('5. Financials'!K14+'5. Financials'!K31+'5. Financials'!K48)</f>
        <v>257.03988941340981</v>
      </c>
      <c r="I93" s="346">
        <f>('5. Financials'!L16+'5. Financials'!L33+'5. Financials'!L50)/('5. Financials'!L14+'5. Financials'!L31+'5. Financials'!L48)</f>
        <v>256.98040228499951</v>
      </c>
      <c r="J93" s="346">
        <f>('5. Financials'!M16+'5. Financials'!M33+'5. Financials'!M50)/('5. Financials'!M14+'5. Financials'!M31+'5. Financials'!M48)</f>
        <v>262.11281281056046</v>
      </c>
      <c r="K93" s="346"/>
      <c r="L93" s="346"/>
      <c r="M93" s="349"/>
      <c r="N93" s="346"/>
      <c r="O93" s="346"/>
      <c r="P93" s="346"/>
      <c r="Q93" s="346"/>
      <c r="R93" s="346"/>
      <c r="S93" s="346"/>
      <c r="T93" s="346"/>
      <c r="V93" s="115"/>
    </row>
    <row r="94" spans="2:22" s="136" customFormat="1">
      <c r="B94" s="115"/>
      <c r="D94" s="346"/>
      <c r="E94" s="349" t="s">
        <v>1826</v>
      </c>
      <c r="F94" s="346">
        <f>('5. Financials'!I24+'5. Financials'!I41+'5. Financials'!I58)/('5. Financials'!I22+'5. Financials'!I39+'5. Financials'!I56)</f>
        <v>677.65121364433651</v>
      </c>
      <c r="G94" s="346">
        <f>('5. Financials'!J24+'5. Financials'!J41+'5. Financials'!J58)/('5. Financials'!J22+'5. Financials'!J39+'5. Financials'!J56)</f>
        <v>815.88083846489769</v>
      </c>
      <c r="H94" s="346">
        <f>('5. Financials'!K24+'5. Financials'!K41+'5. Financials'!K58)/('5. Financials'!K22+'5. Financials'!K39+'5. Financials'!K56)</f>
        <v>808.49146642180108</v>
      </c>
      <c r="I94" s="346">
        <f>('5. Financials'!L24+'5. Financials'!L41+'5. Financials'!L58)/('5. Financials'!L22+'5. Financials'!L39+'5. Financials'!L56)</f>
        <v>812.15656635685673</v>
      </c>
      <c r="J94" s="346">
        <f>('5. Financials'!M24+'5. Financials'!M41+'5. Financials'!M58)/('5. Financials'!M22+'5. Financials'!M39+'5. Financials'!M56)</f>
        <v>870.93985911791083</v>
      </c>
      <c r="K94" s="346"/>
      <c r="L94" s="346"/>
      <c r="M94" s="349" t="s">
        <v>2062</v>
      </c>
      <c r="N94" s="346"/>
      <c r="O94" s="346">
        <f>'5. Financials'!I94</f>
        <v>1354641.0289964976</v>
      </c>
      <c r="P94" s="346">
        <f>'5. Financials'!J94</f>
        <v>2247912.9662057795</v>
      </c>
      <c r="Q94" s="346">
        <f>'5. Financials'!K94</f>
        <v>3042986.8788005724</v>
      </c>
      <c r="R94" s="346">
        <f>'5. Financials'!L94</f>
        <v>3731705.7454272597</v>
      </c>
      <c r="S94" s="346">
        <f>'5. Financials'!M94</f>
        <v>4326180.1277862256</v>
      </c>
      <c r="T94" s="346"/>
      <c r="V94" s="115"/>
    </row>
    <row r="95" spans="2:22" s="136" customFormat="1">
      <c r="B95" s="115"/>
      <c r="D95" s="346"/>
      <c r="E95" s="349" t="s">
        <v>2059</v>
      </c>
      <c r="F95" s="346">
        <f>'5. Financials'!I69/'5. Financials'!I66</f>
        <v>348.28558424445731</v>
      </c>
      <c r="G95" s="346">
        <f>'5. Financials'!J69/'5. Financials'!J66</f>
        <v>333.45861775496024</v>
      </c>
      <c r="H95" s="346">
        <f>'5. Financials'!K69/'5. Financials'!K66</f>
        <v>328.60042919337042</v>
      </c>
      <c r="I95" s="346">
        <f>'5. Financials'!L69/'5. Financials'!L66</f>
        <v>327.55401839798941</v>
      </c>
      <c r="J95" s="346">
        <f>'5. Financials'!M69/'5. Financials'!M66</f>
        <v>339.52374449443681</v>
      </c>
      <c r="K95" s="346"/>
      <c r="L95" s="346"/>
      <c r="M95" s="349" t="s">
        <v>2063</v>
      </c>
      <c r="N95" s="349" t="s">
        <v>2684</v>
      </c>
      <c r="O95" s="346">
        <f>(O94-O91)/O83</f>
        <v>407.78728945616086</v>
      </c>
      <c r="P95" s="346">
        <f>(P94-P91)/P83</f>
        <v>269.3167065908824</v>
      </c>
      <c r="Q95" s="346">
        <f>(Q94-Q91)/Q83</f>
        <v>248.61135507755236</v>
      </c>
      <c r="R95" s="346">
        <f>(R94-R91)/R83</f>
        <v>242.90697119911431</v>
      </c>
      <c r="S95" s="346">
        <f>(S94-S91)/S83</f>
        <v>240.57998893153385</v>
      </c>
      <c r="T95" s="346"/>
      <c r="V95" s="115"/>
    </row>
    <row r="96" spans="2:22" s="136" customFormat="1">
      <c r="B96" s="115"/>
      <c r="D96" s="346"/>
      <c r="E96" s="349"/>
      <c r="F96" s="346"/>
      <c r="G96" s="346"/>
      <c r="H96" s="346"/>
      <c r="I96" s="346"/>
      <c r="J96" s="346"/>
      <c r="K96" s="346"/>
      <c r="L96" s="346"/>
      <c r="M96" s="349"/>
      <c r="N96" s="349" t="s">
        <v>2685</v>
      </c>
      <c r="O96" s="346">
        <f>O94/O83</f>
        <v>435.65013619571744</v>
      </c>
      <c r="P96" s="346">
        <f>P94/P83</f>
        <v>295.99339601127923</v>
      </c>
      <c r="Q96" s="346">
        <f>Q94/Q83</f>
        <v>274.89938941302199</v>
      </c>
      <c r="R96" s="346">
        <f>R94/R83</f>
        <v>269.11129267095345</v>
      </c>
      <c r="S96" s="346">
        <f>S94/S83</f>
        <v>267.74188849108879</v>
      </c>
      <c r="T96" s="346"/>
      <c r="V96" s="115"/>
    </row>
    <row r="97" spans="2:22" s="136" customFormat="1">
      <c r="B97" s="115"/>
      <c r="D97" s="349"/>
      <c r="E97" s="349"/>
      <c r="F97" s="346"/>
      <c r="G97" s="346"/>
      <c r="H97" s="346"/>
      <c r="I97" s="346"/>
      <c r="J97" s="346"/>
      <c r="K97" s="346"/>
      <c r="L97" s="346"/>
      <c r="M97" s="349"/>
      <c r="N97" s="346"/>
      <c r="O97" s="346"/>
      <c r="P97" s="346"/>
      <c r="Q97" s="346"/>
      <c r="R97" s="346"/>
      <c r="S97" s="346"/>
      <c r="T97" s="346"/>
      <c r="V97" s="115"/>
    </row>
    <row r="98" spans="2:22" s="136" customFormat="1">
      <c r="B98" s="115"/>
      <c r="D98" s="346"/>
      <c r="E98" s="349"/>
      <c r="F98" s="346"/>
      <c r="G98" s="346"/>
      <c r="H98" s="346"/>
      <c r="I98" s="346"/>
      <c r="J98" s="346"/>
      <c r="K98" s="346"/>
      <c r="L98" s="346"/>
      <c r="M98" s="349" t="s">
        <v>3528</v>
      </c>
      <c r="N98" s="346"/>
      <c r="O98" s="346">
        <f>'5. Financials'!I96</f>
        <v>-271657.45335588488</v>
      </c>
      <c r="P98" s="346">
        <f>'5. Financials'!J96</f>
        <v>284528.50257573323</v>
      </c>
      <c r="Q98" s="346">
        <f>'5. Financials'!K96</f>
        <v>594441.33280350966</v>
      </c>
      <c r="R98" s="346">
        <f>'5. Financials'!L96</f>
        <v>810412.12804351887</v>
      </c>
      <c r="S98" s="346">
        <f>'5. Financials'!M96</f>
        <v>1159853.0238484973</v>
      </c>
      <c r="T98" s="346">
        <f>SUM(O98:S98)</f>
        <v>2577577.5339153744</v>
      </c>
      <c r="V98" s="115"/>
    </row>
    <row r="99" spans="2:22" s="136" customFormat="1">
      <c r="B99" s="115"/>
      <c r="D99" s="346"/>
      <c r="E99" s="349"/>
      <c r="F99" s="346"/>
      <c r="G99" s="346"/>
      <c r="H99" s="346"/>
      <c r="I99" s="346"/>
      <c r="J99" s="346"/>
      <c r="K99" s="346"/>
      <c r="L99" s="346"/>
      <c r="M99" s="349" t="s">
        <v>3463</v>
      </c>
      <c r="N99" s="346"/>
      <c r="O99" s="346">
        <f>O98/O83</f>
        <v>-87.36455195126014</v>
      </c>
      <c r="P99" s="346">
        <f>P98/P83</f>
        <v>37.465221743681028</v>
      </c>
      <c r="Q99" s="346">
        <f>Q98/Q83</f>
        <v>53.701039780348417</v>
      </c>
      <c r="R99" s="346">
        <f>R98/R83</f>
        <v>58.442725727035956</v>
      </c>
      <c r="S99" s="346">
        <f>S98/S83</f>
        <v>71.781856003348011</v>
      </c>
      <c r="T99" s="346"/>
      <c r="V99" s="115"/>
    </row>
    <row r="100" spans="2:22" s="136" customFormat="1">
      <c r="B100" s="115"/>
      <c r="D100" s="346"/>
      <c r="E100" s="349"/>
      <c r="F100" s="346"/>
      <c r="G100" s="346"/>
      <c r="H100" s="346"/>
      <c r="I100" s="346"/>
      <c r="J100" s="346"/>
      <c r="K100" s="346"/>
      <c r="L100" s="346"/>
      <c r="M100" s="349"/>
      <c r="N100" s="346"/>
      <c r="O100" s="346"/>
      <c r="P100" s="346"/>
      <c r="Q100" s="346"/>
      <c r="R100" s="346"/>
      <c r="S100" s="346"/>
      <c r="T100" s="346"/>
      <c r="V100" s="115"/>
    </row>
    <row r="101" spans="2:22" s="136" customFormat="1">
      <c r="B101" s="115"/>
      <c r="D101" s="349"/>
      <c r="E101" s="355"/>
      <c r="K101" s="346"/>
      <c r="L101" s="346"/>
      <c r="M101" s="349" t="s">
        <v>462</v>
      </c>
      <c r="N101" s="346">
        <f ca="1">-'5. Financials'!H189</f>
        <v>-3572949.4219446969</v>
      </c>
      <c r="O101" s="346">
        <f>-'5. Financials'!I189</f>
        <v>0</v>
      </c>
      <c r="P101" s="346">
        <f ca="1">-'5. Financials'!J189</f>
        <v>65659.079475105769</v>
      </c>
      <c r="Q101" s="346">
        <f ca="1">-'5. Financials'!K189</f>
        <v>259489.47452603979</v>
      </c>
      <c r="R101" s="346">
        <f ca="1">-'5. Financials'!L189</f>
        <v>463324.48442152014</v>
      </c>
      <c r="S101" s="346">
        <f ca="1">-'5. Financials'!M189</f>
        <v>851017.47999040061</v>
      </c>
      <c r="T101" s="346"/>
      <c r="V101" s="115"/>
    </row>
    <row r="102" spans="2:22" s="136" customFormat="1">
      <c r="B102" s="115"/>
      <c r="D102" s="346"/>
      <c r="E102" s="355"/>
      <c r="H102" s="355"/>
      <c r="I102" s="355"/>
      <c r="K102" s="346"/>
      <c r="L102" s="346"/>
      <c r="M102" s="346"/>
      <c r="N102" s="346"/>
      <c r="O102" s="346"/>
      <c r="P102" s="346"/>
      <c r="Q102" s="346"/>
      <c r="R102" s="346"/>
      <c r="S102" s="346"/>
      <c r="T102" s="346"/>
      <c r="V102" s="115"/>
    </row>
    <row r="103" spans="2:22" s="136" customFormat="1">
      <c r="B103" s="115"/>
      <c r="D103" s="346"/>
      <c r="E103" s="350"/>
      <c r="F103" s="346"/>
      <c r="G103" s="346"/>
      <c r="H103" s="346"/>
      <c r="I103" s="346"/>
      <c r="J103" s="346"/>
      <c r="K103" s="346"/>
      <c r="L103" s="346"/>
      <c r="M103" s="349" t="s">
        <v>2057</v>
      </c>
      <c r="N103" s="346"/>
      <c r="O103" s="346"/>
      <c r="P103" s="349" t="s">
        <v>1832</v>
      </c>
      <c r="Q103" s="346"/>
      <c r="R103" s="346"/>
      <c r="S103" s="346"/>
      <c r="T103" s="346"/>
      <c r="V103" s="115"/>
    </row>
    <row r="104" spans="2:22" s="136" customFormat="1">
      <c r="B104" s="115"/>
      <c r="D104" s="346"/>
      <c r="E104" s="350"/>
      <c r="F104" s="346"/>
      <c r="G104" s="346"/>
      <c r="H104" s="346"/>
      <c r="I104" s="346"/>
      <c r="J104" s="346"/>
      <c r="K104" s="346"/>
      <c r="L104" s="346"/>
      <c r="M104" s="351" t="s">
        <v>1383</v>
      </c>
      <c r="N104" s="352">
        <f ca="1">IRR</f>
        <v>0.23353215518875942</v>
      </c>
      <c r="O104" s="346"/>
      <c r="P104" s="1499" t="s">
        <v>1383</v>
      </c>
      <c r="Q104" s="1500">
        <f ca="1">PartnerIRRPretax</f>
        <v>0.19894642120911973</v>
      </c>
      <c r="R104" s="346"/>
      <c r="S104" s="346"/>
      <c r="T104" s="346"/>
      <c r="V104" s="115"/>
    </row>
    <row r="105" spans="2:22" s="136" customFormat="1">
      <c r="B105" s="115"/>
      <c r="D105" s="346"/>
      <c r="E105" s="350"/>
      <c r="F105" s="346"/>
      <c r="G105" s="346"/>
      <c r="H105" s="346"/>
      <c r="I105" s="346"/>
      <c r="J105" s="346"/>
      <c r="K105" s="346"/>
      <c r="L105" s="346"/>
      <c r="M105" s="353" t="s">
        <v>2056</v>
      </c>
      <c r="N105" s="354">
        <f ca="1">coc</f>
        <v>0.15709863598518339</v>
      </c>
      <c r="O105" s="346"/>
      <c r="P105" s="1498"/>
      <c r="Q105" s="1501"/>
      <c r="R105" s="346"/>
      <c r="S105" s="346"/>
      <c r="T105" s="346"/>
      <c r="V105" s="115"/>
    </row>
    <row r="106" spans="2:22" s="136" customFormat="1">
      <c r="B106" s="115"/>
      <c r="D106" s="346"/>
      <c r="E106" s="350"/>
      <c r="F106" s="346"/>
      <c r="G106" s="346"/>
      <c r="H106" s="346"/>
      <c r="I106" s="346"/>
      <c r="J106" s="346"/>
      <c r="K106" s="346"/>
      <c r="L106" s="346"/>
      <c r="M106" s="346"/>
      <c r="N106" s="346"/>
      <c r="O106" s="346"/>
      <c r="P106" s="346"/>
      <c r="Q106" s="346"/>
      <c r="R106" s="346"/>
      <c r="S106" s="346"/>
      <c r="T106" s="346"/>
      <c r="V106" s="115"/>
    </row>
    <row r="107" spans="2:22" s="136" customFormat="1">
      <c r="B107" s="115"/>
      <c r="D107" s="346"/>
      <c r="E107" s="350"/>
      <c r="F107" s="346"/>
      <c r="G107" s="346"/>
      <c r="H107" s="346"/>
      <c r="I107" s="346"/>
      <c r="J107" s="346"/>
      <c r="K107" s="346"/>
      <c r="L107" s="346"/>
      <c r="M107" s="346"/>
      <c r="N107" s="346"/>
      <c r="O107" s="346"/>
      <c r="P107" s="346"/>
      <c r="Q107" s="346"/>
      <c r="R107" s="346"/>
      <c r="S107" s="346"/>
      <c r="T107" s="346"/>
      <c r="V107" s="115"/>
    </row>
    <row r="108" spans="2:22" s="136" customFormat="1">
      <c r="B108" s="115"/>
      <c r="V108" s="115"/>
    </row>
    <row r="109" spans="2:22" s="136" customFormat="1">
      <c r="B109" s="115"/>
      <c r="V109" s="115"/>
    </row>
    <row r="110" spans="2:22" s="136" customFormat="1">
      <c r="B110" s="115"/>
      <c r="V110" s="115"/>
    </row>
    <row r="111" spans="2:22" ht="12.75" customHeight="1">
      <c r="B111" s="115"/>
      <c r="C111" s="115"/>
      <c r="D111" s="115"/>
      <c r="E111" s="115"/>
      <c r="F111" s="115"/>
      <c r="G111" s="115"/>
      <c r="H111" s="115"/>
      <c r="I111" s="115"/>
      <c r="J111" s="115"/>
      <c r="K111" s="115"/>
      <c r="L111" s="115"/>
      <c r="M111" s="115"/>
      <c r="N111" s="115"/>
      <c r="O111" s="115"/>
      <c r="P111" s="115"/>
      <c r="Q111" s="115"/>
      <c r="R111" s="115"/>
      <c r="S111" s="115"/>
      <c r="T111" s="115"/>
      <c r="U111" s="115"/>
      <c r="V111" s="115"/>
    </row>
  </sheetData>
  <mergeCells count="26">
    <mergeCell ref="D64:K65"/>
    <mergeCell ref="D67:K77"/>
    <mergeCell ref="M47:T47"/>
    <mergeCell ref="M45:T45"/>
    <mergeCell ref="D49:K49"/>
    <mergeCell ref="D50:K55"/>
    <mergeCell ref="M49:T53"/>
    <mergeCell ref="M75:T77"/>
    <mergeCell ref="M69:T73"/>
    <mergeCell ref="M62:T66"/>
    <mergeCell ref="R20:S20"/>
    <mergeCell ref="R21:S21"/>
    <mergeCell ref="N24:O24"/>
    <mergeCell ref="D57:K61"/>
    <mergeCell ref="D56:E56"/>
    <mergeCell ref="M40:T44"/>
    <mergeCell ref="J21:K21"/>
    <mergeCell ref="M33:T38"/>
    <mergeCell ref="D32:K37"/>
    <mergeCell ref="O31:S31"/>
    <mergeCell ref="M56:T60"/>
    <mergeCell ref="N11:O11"/>
    <mergeCell ref="F13:H13"/>
    <mergeCell ref="F15:G15"/>
    <mergeCell ref="J15:K15"/>
    <mergeCell ref="J18:K18"/>
  </mergeCells>
  <phoneticPr fontId="0" type="noConversion"/>
  <conditionalFormatting sqref="P46 Q48 G31 J31 O61 F18 O55 F56 K63 P32 M69:T73 D57:K61 D50 M40">
    <cfRule type="cellIs" dxfId="117" priority="5" stopIfTrue="1" operator="equal">
      <formula>0</formula>
    </cfRule>
  </conditionalFormatting>
  <conditionalFormatting sqref="R67:T68">
    <cfRule type="cellIs" dxfId="116" priority="6" stopIfTrue="1" operator="equal">
      <formula>0</formula>
    </cfRule>
  </conditionalFormatting>
  <conditionalFormatting sqref="O18">
    <cfRule type="expression" dxfId="115" priority="7" stopIfTrue="1">
      <formula>$O$17="No"</formula>
    </cfRule>
  </conditionalFormatting>
  <conditionalFormatting sqref="O19">
    <cfRule type="expression" dxfId="114" priority="8" stopIfTrue="1">
      <formula>$O$18=$X$17</formula>
    </cfRule>
    <cfRule type="expression" dxfId="113" priority="9" stopIfTrue="1">
      <formula>$O$17="No"</formula>
    </cfRule>
  </conditionalFormatting>
  <conditionalFormatting sqref="I4">
    <cfRule type="cellIs" dxfId="112" priority="10" stopIfTrue="1" operator="lessThan">
      <formula>0.12</formula>
    </cfRule>
  </conditionalFormatting>
  <conditionalFormatting sqref="I5:I6">
    <cfRule type="cellIs" dxfId="111" priority="11" stopIfTrue="1" operator="lessThan">
      <formula>0.08</formula>
    </cfRule>
  </conditionalFormatting>
  <dataValidations count="8">
    <dataValidation type="list" allowBlank="1" showInputMessage="1" showErrorMessage="1" sqref="G40:G47 I39:I48 R7 K23 K39:K45 F17 T32">
      <formula1>ChooseYesNo</formula1>
    </dataValidation>
    <dataValidation type="whole" allowBlank="1" showInputMessage="1" showErrorMessage="1" sqref="P4 P6">
      <formula1>0</formula1>
      <formula2>1000</formula2>
    </dataValidation>
    <dataValidation type="list" allowBlank="1" showInputMessage="1" showErrorMessage="1" sqref="S12 O15 S17">
      <formula1>ChooseOwnerPartner</formula1>
    </dataValidation>
    <dataValidation type="list" allowBlank="1" showInputMessage="1" showErrorMessage="1" sqref="J21">
      <formula1>ChooseConstructionType</formula1>
    </dataValidation>
    <dataValidation type="list" allowBlank="1" showInputMessage="1" showErrorMessage="1" sqref="J18">
      <formula1>ChooseProjectType</formula1>
    </dataValidation>
    <dataValidation type="list" allowBlank="1" showInputMessage="1" showErrorMessage="1" sqref="F15">
      <formula1>Counties</formula1>
    </dataValidation>
    <dataValidation type="list" allowBlank="1" showInputMessage="1" showErrorMessage="1" sqref="O18">
      <formula1>$X$17:$X$18</formula1>
    </dataValidation>
    <dataValidation type="list" allowBlank="1" showInputMessage="1" showErrorMessage="1" sqref="O19">
      <formula1>$Y$17:$Y$18</formula1>
    </dataValidation>
  </dataValidations>
  <pageMargins left="0.5" right="0.5" top="0.75" bottom="0.75" header="0.5" footer="0.5"/>
  <pageSetup scale="45" orientation="portrait" horizontalDpi="4294967292" r:id="rId1"/>
  <headerFooter alignWithMargins="0">
    <oddHeader>&amp;F</oddHeader>
    <oddFooter>&amp;L&amp;A&amp;C&amp;P of &amp;N&amp;R&amp;D  &amp;T</oddFooter>
  </headerFooter>
  <drawing r:id="rId2"/>
  <legacyDrawing r:id="rId3"/>
</worksheet>
</file>

<file path=xl/worksheets/sheet20.xml><?xml version="1.0" encoding="utf-8"?>
<worksheet xmlns="http://schemas.openxmlformats.org/spreadsheetml/2006/main" xmlns:r="http://schemas.openxmlformats.org/officeDocument/2006/relationships">
  <sheetPr codeName="Sheet18" enableFormatConditionsCalculation="0">
    <tabColor indexed="48"/>
    <pageSetUpPr autoPageBreaks="0"/>
  </sheetPr>
  <dimension ref="B2:R51"/>
  <sheetViews>
    <sheetView showGridLines="0" zoomScale="90" zoomScaleNormal="90" workbookViewId="0"/>
  </sheetViews>
  <sheetFormatPr defaultColWidth="8.7109375" defaultRowHeight="11.25" customHeight="1"/>
  <cols>
    <col min="1" max="3" width="2.7109375" style="109" customWidth="1"/>
    <col min="4" max="4" width="3.7109375" style="109" customWidth="1"/>
    <col min="5" max="5" width="13.7109375" style="109" customWidth="1"/>
    <col min="6" max="6" width="28.7109375" style="109" customWidth="1"/>
    <col min="7" max="7" width="18.7109375" style="109" customWidth="1"/>
    <col min="8" max="9" width="8.7109375" style="109" customWidth="1"/>
    <col min="10" max="10" width="4.7109375" style="109" hidden="1" customWidth="1"/>
    <col min="11" max="11" width="12.7109375" style="109" hidden="1" customWidth="1"/>
    <col min="12" max="14" width="2.7109375" style="109" customWidth="1"/>
    <col min="15" max="15" width="3.5703125" style="109" bestFit="1" customWidth="1"/>
    <col min="16" max="16" width="2.7109375" style="109" bestFit="1" customWidth="1"/>
    <col min="17" max="17" width="13.42578125" style="109" bestFit="1" customWidth="1"/>
    <col min="18" max="16384" width="8.7109375" style="109"/>
  </cols>
  <sheetData>
    <row r="2" spans="2:18">
      <c r="B2" s="375"/>
      <c r="C2" s="1034" t="s">
        <v>3472</v>
      </c>
      <c r="D2" s="375"/>
      <c r="E2" s="375"/>
      <c r="F2" s="375"/>
      <c r="G2" s="375"/>
      <c r="H2" s="375"/>
      <c r="I2" s="375"/>
      <c r="J2" s="375"/>
      <c r="K2" s="375"/>
      <c r="L2" s="375"/>
      <c r="M2" s="375"/>
      <c r="O2" s="1037"/>
      <c r="P2" s="1038"/>
      <c r="Q2" s="1037"/>
      <c r="R2" s="1037"/>
    </row>
    <row r="3" spans="2:18" ht="11.25" customHeight="1">
      <c r="B3" s="375"/>
      <c r="M3" s="375"/>
      <c r="O3" s="1037"/>
      <c r="P3" s="1038"/>
      <c r="Q3" s="1037"/>
      <c r="R3" s="1037"/>
    </row>
    <row r="4" spans="2:18" ht="11.25" customHeight="1">
      <c r="B4" s="375"/>
      <c r="D4" s="374" t="s">
        <v>3472</v>
      </c>
      <c r="M4" s="375"/>
      <c r="O4" s="1037"/>
      <c r="P4" s="1038"/>
      <c r="Q4" s="1037"/>
      <c r="R4" s="1037"/>
    </row>
    <row r="5" spans="2:18" ht="11.25" customHeight="1">
      <c r="B5" s="375"/>
      <c r="M5" s="375"/>
      <c r="O5" s="1037"/>
      <c r="P5" s="1038"/>
      <c r="Q5" s="1037"/>
      <c r="R5" s="1037"/>
    </row>
    <row r="6" spans="2:18" ht="11.25" customHeight="1">
      <c r="B6" s="375"/>
      <c r="D6" s="109" t="s">
        <v>2656</v>
      </c>
      <c r="F6" s="3081" t="str">
        <f>'1.0 Summary'!F11</f>
        <v>R-03</v>
      </c>
      <c r="G6" s="3082"/>
      <c r="M6" s="375"/>
      <c r="O6" s="1037"/>
      <c r="P6" s="1038"/>
      <c r="Q6" s="1037"/>
      <c r="R6" s="1037"/>
    </row>
    <row r="7" spans="2:18" ht="11.25" customHeight="1">
      <c r="B7" s="375"/>
      <c r="D7" s="109" t="s">
        <v>134</v>
      </c>
      <c r="F7" s="3081" t="str">
        <f>'1.0 Summary'!F10</f>
        <v>Lakeshore</v>
      </c>
      <c r="G7" s="3082"/>
      <c r="M7" s="375"/>
      <c r="O7" s="1037"/>
      <c r="P7" s="1038"/>
      <c r="Q7" s="1037"/>
      <c r="R7" s="1037"/>
    </row>
    <row r="8" spans="2:18" ht="11.25" customHeight="1">
      <c r="B8" s="375"/>
      <c r="M8" s="375"/>
      <c r="O8" s="1037"/>
      <c r="P8" s="1038"/>
      <c r="Q8" s="1037"/>
      <c r="R8" s="1037"/>
    </row>
    <row r="9" spans="2:18" ht="11.25" customHeight="1">
      <c r="B9" s="375"/>
      <c r="D9" s="291"/>
      <c r="E9" s="291"/>
      <c r="F9" s="291"/>
      <c r="K9" s="291"/>
      <c r="M9" s="375"/>
      <c r="O9" s="1037"/>
      <c r="P9" s="1038"/>
      <c r="Q9" s="1037"/>
      <c r="R9" s="1037"/>
    </row>
    <row r="10" spans="2:18" ht="11.25" customHeight="1">
      <c r="B10" s="375"/>
      <c r="D10" s="291" t="s">
        <v>1755</v>
      </c>
      <c r="E10" s="291"/>
      <c r="F10" s="291"/>
      <c r="K10" s="291"/>
      <c r="M10" s="375"/>
      <c r="O10" s="1037"/>
      <c r="P10" s="1038"/>
      <c r="Q10" s="1037"/>
      <c r="R10" s="1037"/>
    </row>
    <row r="11" spans="2:18" ht="11.25" customHeight="1">
      <c r="B11" s="375"/>
      <c r="D11" s="291"/>
      <c r="E11" s="1167" t="s">
        <v>3152</v>
      </c>
      <c r="F11" s="208" t="s">
        <v>3473</v>
      </c>
      <c r="K11" s="291"/>
      <c r="M11" s="375"/>
      <c r="O11" s="1037"/>
      <c r="P11" s="1038"/>
      <c r="Q11" s="1037"/>
      <c r="R11" s="1037"/>
    </row>
    <row r="12" spans="2:18" ht="11.25" customHeight="1">
      <c r="B12" s="375"/>
      <c r="E12" s="1039">
        <v>2013</v>
      </c>
      <c r="F12" s="208" t="s">
        <v>3474</v>
      </c>
      <c r="M12" s="375"/>
      <c r="O12" s="1037"/>
      <c r="P12" s="1038"/>
      <c r="Q12" s="1037"/>
      <c r="R12" s="1037"/>
    </row>
    <row r="13" spans="2:18" ht="11.25" customHeight="1">
      <c r="B13" s="375"/>
      <c r="M13" s="375"/>
      <c r="O13" s="1037"/>
      <c r="P13" s="1038"/>
      <c r="Q13" s="1037"/>
      <c r="R13" s="1037"/>
    </row>
    <row r="14" spans="2:18" ht="11.25" customHeight="1">
      <c r="B14" s="375"/>
      <c r="M14" s="375"/>
      <c r="O14" s="1037"/>
      <c r="P14" s="1038"/>
      <c r="Q14" s="1037"/>
      <c r="R14" s="1037"/>
    </row>
    <row r="15" spans="2:18" ht="11.25" customHeight="1">
      <c r="B15" s="375"/>
      <c r="D15" s="109" t="s">
        <v>2413</v>
      </c>
      <c r="M15" s="375"/>
      <c r="O15" s="1037"/>
      <c r="P15" s="1038"/>
      <c r="Q15" s="1037"/>
      <c r="R15" s="1037"/>
    </row>
    <row r="16" spans="2:18" ht="11.25" customHeight="1">
      <c r="B16" s="375"/>
      <c r="D16" s="289"/>
      <c r="E16" s="2752" t="s">
        <v>139</v>
      </c>
      <c r="F16" s="372" t="s">
        <v>137</v>
      </c>
      <c r="G16" s="372" t="s">
        <v>135</v>
      </c>
      <c r="H16" s="372" t="s">
        <v>136</v>
      </c>
      <c r="I16" s="372" t="s">
        <v>2915</v>
      </c>
      <c r="J16" s="1222" t="s">
        <v>1374</v>
      </c>
      <c r="K16" s="372" t="s">
        <v>138</v>
      </c>
      <c r="M16" s="375"/>
      <c r="O16" s="299"/>
      <c r="P16" s="299"/>
      <c r="Q16" s="299"/>
      <c r="R16" s="299"/>
    </row>
    <row r="17" spans="2:17" ht="11.25" customHeight="1">
      <c r="B17" s="375"/>
      <c r="D17" s="1060">
        <v>1</v>
      </c>
      <c r="E17" s="633" t="s">
        <v>4170</v>
      </c>
      <c r="F17" s="388" t="s">
        <v>4172</v>
      </c>
      <c r="G17" s="390" t="s">
        <v>4172</v>
      </c>
      <c r="H17" s="388" t="s">
        <v>2021</v>
      </c>
      <c r="I17" s="388" t="s">
        <v>2150</v>
      </c>
      <c r="J17" s="1223">
        <f>IF(I17="Yes",1,0)</f>
        <v>1</v>
      </c>
      <c r="K17" s="389" t="str">
        <f>IF(E17&lt;&gt;"","LOC_"&amp;IF(LEN(E17)&lt;5,"0","")&amp;E17,"")</f>
        <v>LOC_00494</v>
      </c>
      <c r="M17" s="375"/>
      <c r="O17" s="109" t="s">
        <v>4175</v>
      </c>
      <c r="P17" s="109">
        <v>16</v>
      </c>
      <c r="Q17" s="109" t="s">
        <v>4176</v>
      </c>
    </row>
    <row r="18" spans="2:17" ht="11.25" customHeight="1">
      <c r="B18" s="375"/>
      <c r="D18" s="1058">
        <v>2</v>
      </c>
      <c r="E18" s="634" t="s">
        <v>4171</v>
      </c>
      <c r="F18" s="390" t="s">
        <v>4173</v>
      </c>
      <c r="G18" s="390" t="s">
        <v>4172</v>
      </c>
      <c r="H18" s="390" t="s">
        <v>2021</v>
      </c>
      <c r="I18" s="390" t="s">
        <v>2150</v>
      </c>
      <c r="J18" s="1224">
        <f t="shared" ref="J18:J26" si="0">IF(I18="Yes",1,0)</f>
        <v>1</v>
      </c>
      <c r="K18" s="389" t="str">
        <f t="shared" ref="K18:K26" si="1">IF(E18&lt;&gt;"","LOC_"&amp;IF(LEN(E18)&lt;5,"0","")&amp;E18,"")</f>
        <v>LOC_01828</v>
      </c>
      <c r="M18" s="375"/>
      <c r="O18" s="109" t="s">
        <v>4175</v>
      </c>
    </row>
    <row r="19" spans="2:17" ht="11.25" customHeight="1">
      <c r="B19" s="375"/>
      <c r="D19" s="1058">
        <v>3</v>
      </c>
      <c r="E19" s="634"/>
      <c r="F19" s="390"/>
      <c r="G19" s="390"/>
      <c r="H19" s="390"/>
      <c r="I19" s="390"/>
      <c r="J19" s="1224">
        <f t="shared" si="0"/>
        <v>0</v>
      </c>
      <c r="K19" s="389" t="str">
        <f t="shared" si="1"/>
        <v/>
      </c>
      <c r="M19" s="375"/>
    </row>
    <row r="20" spans="2:17" ht="11.25" customHeight="1">
      <c r="B20" s="375"/>
      <c r="D20" s="1058">
        <v>4</v>
      </c>
      <c r="E20" s="634"/>
      <c r="F20" s="390"/>
      <c r="G20" s="390"/>
      <c r="H20" s="390"/>
      <c r="I20" s="390"/>
      <c r="J20" s="1224">
        <f t="shared" si="0"/>
        <v>0</v>
      </c>
      <c r="K20" s="389" t="str">
        <f t="shared" si="1"/>
        <v/>
      </c>
      <c r="M20" s="375"/>
    </row>
    <row r="21" spans="2:17" ht="11.25" customHeight="1">
      <c r="B21" s="375"/>
      <c r="D21" s="1058">
        <v>5</v>
      </c>
      <c r="E21" s="634"/>
      <c r="F21" s="390"/>
      <c r="G21" s="390"/>
      <c r="H21" s="390"/>
      <c r="I21" s="390"/>
      <c r="J21" s="1224">
        <f t="shared" si="0"/>
        <v>0</v>
      </c>
      <c r="K21" s="389" t="str">
        <f t="shared" si="1"/>
        <v/>
      </c>
      <c r="M21" s="375"/>
    </row>
    <row r="22" spans="2:17" ht="11.25" customHeight="1">
      <c r="B22" s="375"/>
      <c r="D22" s="1058">
        <v>6</v>
      </c>
      <c r="E22" s="634"/>
      <c r="F22" s="390"/>
      <c r="G22" s="390"/>
      <c r="H22" s="390"/>
      <c r="I22" s="390"/>
      <c r="J22" s="1224">
        <f t="shared" si="0"/>
        <v>0</v>
      </c>
      <c r="K22" s="389" t="str">
        <f t="shared" si="1"/>
        <v/>
      </c>
      <c r="M22" s="375"/>
    </row>
    <row r="23" spans="2:17" ht="11.25" customHeight="1">
      <c r="B23" s="375"/>
      <c r="D23" s="1058">
        <v>7</v>
      </c>
      <c r="E23" s="634"/>
      <c r="F23" s="390"/>
      <c r="G23" s="390"/>
      <c r="H23" s="390"/>
      <c r="I23" s="390"/>
      <c r="J23" s="1224">
        <f t="shared" si="0"/>
        <v>0</v>
      </c>
      <c r="K23" s="389" t="str">
        <f t="shared" si="1"/>
        <v/>
      </c>
      <c r="M23" s="375"/>
    </row>
    <row r="24" spans="2:17" ht="11.25" customHeight="1">
      <c r="B24" s="375"/>
      <c r="D24" s="1058">
        <v>8</v>
      </c>
      <c r="E24" s="634"/>
      <c r="F24" s="390"/>
      <c r="G24" s="390"/>
      <c r="H24" s="390"/>
      <c r="I24" s="390"/>
      <c r="J24" s="1224">
        <f t="shared" si="0"/>
        <v>0</v>
      </c>
      <c r="K24" s="389" t="str">
        <f t="shared" si="1"/>
        <v/>
      </c>
      <c r="M24" s="375"/>
    </row>
    <row r="25" spans="2:17" ht="11.25" customHeight="1">
      <c r="B25" s="375"/>
      <c r="D25" s="1058">
        <v>9</v>
      </c>
      <c r="E25" s="634"/>
      <c r="F25" s="390"/>
      <c r="G25" s="390"/>
      <c r="H25" s="390"/>
      <c r="I25" s="390"/>
      <c r="J25" s="1224">
        <f t="shared" si="0"/>
        <v>0</v>
      </c>
      <c r="K25" s="389" t="str">
        <f t="shared" si="1"/>
        <v/>
      </c>
      <c r="M25" s="375"/>
    </row>
    <row r="26" spans="2:17" ht="11.25" customHeight="1">
      <c r="B26" s="375"/>
      <c r="D26" s="1058">
        <v>10</v>
      </c>
      <c r="E26" s="634"/>
      <c r="F26" s="390"/>
      <c r="G26" s="390"/>
      <c r="H26" s="390"/>
      <c r="I26" s="390"/>
      <c r="J26" s="1225">
        <f t="shared" si="0"/>
        <v>0</v>
      </c>
      <c r="K26" s="389" t="str">
        <f t="shared" si="1"/>
        <v/>
      </c>
      <c r="M26" s="375"/>
    </row>
    <row r="27" spans="2:17" ht="11.25" customHeight="1">
      <c r="B27" s="375"/>
      <c r="D27" s="376"/>
      <c r="E27" s="376"/>
      <c r="F27" s="376"/>
      <c r="G27" s="376"/>
      <c r="H27" s="376"/>
      <c r="I27" s="376"/>
      <c r="J27" s="376"/>
      <c r="K27" s="376"/>
      <c r="M27" s="375"/>
    </row>
    <row r="28" spans="2:17" ht="11.25" customHeight="1">
      <c r="B28" s="375"/>
      <c r="D28" s="109" t="s">
        <v>2414</v>
      </c>
      <c r="E28" s="373"/>
      <c r="F28" s="373"/>
      <c r="G28" s="373"/>
      <c r="H28" s="373"/>
      <c r="I28" s="373"/>
      <c r="K28" s="373"/>
      <c r="M28" s="375"/>
    </row>
    <row r="29" spans="2:17" ht="11.25" customHeight="1">
      <c r="B29" s="375"/>
      <c r="D29" s="289"/>
      <c r="E29" s="2752" t="s">
        <v>139</v>
      </c>
      <c r="F29" s="372" t="s">
        <v>137</v>
      </c>
      <c r="G29" s="372" t="s">
        <v>135</v>
      </c>
      <c r="H29" s="372" t="s">
        <v>136</v>
      </c>
      <c r="I29" s="372" t="s">
        <v>2915</v>
      </c>
      <c r="J29" s="1226" t="s">
        <v>1374</v>
      </c>
      <c r="K29" s="372" t="s">
        <v>138</v>
      </c>
      <c r="M29" s="375"/>
    </row>
    <row r="30" spans="2:17" ht="11.25" customHeight="1">
      <c r="B30" s="375"/>
      <c r="D30" s="1058">
        <v>1</v>
      </c>
      <c r="E30" s="634" t="s">
        <v>4174</v>
      </c>
      <c r="F30" s="390" t="s">
        <v>3066</v>
      </c>
      <c r="G30" s="390" t="s">
        <v>3066</v>
      </c>
      <c r="H30" s="388" t="s">
        <v>2021</v>
      </c>
      <c r="I30" s="390" t="s">
        <v>2150</v>
      </c>
      <c r="J30" s="1227">
        <f>IF(I30="Yes",1,0)</f>
        <v>1</v>
      </c>
      <c r="K30" s="389" t="str">
        <f>IF(E30="","","LOC_"&amp;IF(LEN(E30)&lt;5,"0","")&amp;E30)</f>
        <v>LOC_05951</v>
      </c>
      <c r="M30" s="375"/>
      <c r="O30" s="109" t="s">
        <v>4175</v>
      </c>
    </row>
    <row r="31" spans="2:17" ht="11.25" customHeight="1">
      <c r="B31" s="375"/>
      <c r="D31" s="1058">
        <v>2</v>
      </c>
      <c r="E31" s="634"/>
      <c r="F31" s="390"/>
      <c r="G31" s="390"/>
      <c r="H31" s="390"/>
      <c r="I31" s="390"/>
      <c r="J31" s="1224">
        <f>IF(I31="Yes",1,0)</f>
        <v>0</v>
      </c>
      <c r="K31" s="389" t="str">
        <f>IF(E31="","","LOC_"&amp;IF(LEN(E31)&lt;5,"0","")&amp;E31)</f>
        <v/>
      </c>
      <c r="M31" s="375"/>
    </row>
    <row r="32" spans="2:17" ht="11.25" customHeight="1">
      <c r="B32" s="375"/>
      <c r="D32" s="1058">
        <v>3</v>
      </c>
      <c r="E32" s="634"/>
      <c r="F32" s="390"/>
      <c r="G32" s="390"/>
      <c r="H32" s="390"/>
      <c r="I32" s="390"/>
      <c r="J32" s="1224">
        <f>IF(I32="Yes",1,0)</f>
        <v>0</v>
      </c>
      <c r="K32" s="389" t="str">
        <f>IF(E32="","","LOC_"&amp;IF(LEN(E32)&lt;5,"0","")&amp;E32)</f>
        <v/>
      </c>
      <c r="M32" s="375"/>
    </row>
    <row r="33" spans="2:13" ht="11.25" customHeight="1">
      <c r="B33" s="375"/>
      <c r="D33" s="1058">
        <v>4</v>
      </c>
      <c r="E33" s="634"/>
      <c r="F33" s="390"/>
      <c r="G33" s="390"/>
      <c r="H33" s="390"/>
      <c r="I33" s="390"/>
      <c r="J33" s="1224">
        <f>IF(I33="Yes",1,0)</f>
        <v>0</v>
      </c>
      <c r="K33" s="389" t="str">
        <f>IF(E33="","","LOC_"&amp;IF(LEN(E33)&lt;5,"0","")&amp;E33)</f>
        <v/>
      </c>
      <c r="M33" s="375"/>
    </row>
    <row r="34" spans="2:13" ht="11.25" customHeight="1">
      <c r="B34" s="375"/>
      <c r="D34" s="1059">
        <v>5</v>
      </c>
      <c r="E34" s="635"/>
      <c r="F34" s="392"/>
      <c r="G34" s="392"/>
      <c r="H34" s="392"/>
      <c r="I34" s="392"/>
      <c r="J34" s="1228">
        <f>IF(I34="Yes",1,0)</f>
        <v>0</v>
      </c>
      <c r="K34" s="391" t="str">
        <f>IF(E34="","","LOC_"&amp;IF(LEN(E34)&lt;5,"0","")&amp;E34)</f>
        <v/>
      </c>
      <c r="M34" s="375"/>
    </row>
    <row r="35" spans="2:13" ht="11.25" customHeight="1">
      <c r="B35" s="375"/>
      <c r="D35" s="376"/>
      <c r="E35" s="376"/>
      <c r="F35" s="376"/>
      <c r="G35" s="376"/>
      <c r="H35" s="376"/>
      <c r="I35" s="376"/>
      <c r="J35" s="376"/>
      <c r="K35" s="376"/>
      <c r="M35" s="375"/>
    </row>
    <row r="36" spans="2:13" ht="11.25" customHeight="1">
      <c r="B36" s="375"/>
      <c r="D36" s="2751" t="s">
        <v>4145</v>
      </c>
      <c r="E36" s="2751"/>
      <c r="F36" s="2751"/>
      <c r="M36" s="375"/>
    </row>
    <row r="37" spans="2:13" ht="11.25" customHeight="1">
      <c r="B37" s="375"/>
      <c r="M37" s="375"/>
    </row>
    <row r="38" spans="2:13" ht="11.25" customHeight="1">
      <c r="B38" s="375"/>
      <c r="K38" s="373"/>
      <c r="M38" s="375"/>
    </row>
    <row r="39" spans="2:13" ht="11.25" customHeight="1">
      <c r="B39" s="375"/>
      <c r="D39" s="109" t="s">
        <v>2492</v>
      </c>
      <c r="K39" s="373"/>
      <c r="M39" s="375"/>
    </row>
    <row r="40" spans="2:13" ht="11.25" customHeight="1">
      <c r="B40" s="375"/>
      <c r="E40" s="1164" t="s">
        <v>4141</v>
      </c>
      <c r="F40" s="292"/>
      <c r="G40" s="1174" t="s">
        <v>3138</v>
      </c>
      <c r="K40" s="291"/>
      <c r="M40" s="375"/>
    </row>
    <row r="41" spans="2:13" ht="11.25" customHeight="1">
      <c r="B41" s="375"/>
      <c r="E41" s="1165" t="s">
        <v>1638</v>
      </c>
      <c r="F41" s="291"/>
      <c r="G41" s="2744" t="s">
        <v>3138</v>
      </c>
      <c r="H41" s="326" t="s">
        <v>4051</v>
      </c>
      <c r="K41" s="291"/>
      <c r="M41" s="375"/>
    </row>
    <row r="42" spans="2:13" ht="11.25" customHeight="1">
      <c r="B42" s="375"/>
      <c r="E42" s="1165" t="s">
        <v>1597</v>
      </c>
      <c r="F42" s="291"/>
      <c r="G42" s="1175" t="s">
        <v>3138</v>
      </c>
      <c r="K42" s="291"/>
      <c r="M42" s="375"/>
    </row>
    <row r="43" spans="2:13" ht="11.25" customHeight="1">
      <c r="B43" s="375"/>
      <c r="E43" s="1165" t="s">
        <v>1629</v>
      </c>
      <c r="F43" s="291"/>
      <c r="G43" s="2744" t="s">
        <v>3138</v>
      </c>
      <c r="H43" s="326" t="s">
        <v>4051</v>
      </c>
      <c r="K43" s="291"/>
      <c r="M43" s="375"/>
    </row>
    <row r="44" spans="2:13" ht="11.25" customHeight="1">
      <c r="B44" s="375"/>
      <c r="E44" s="1165" t="s">
        <v>1646</v>
      </c>
      <c r="F44" s="291"/>
      <c r="G44" s="2933" t="s">
        <v>3137</v>
      </c>
      <c r="H44" s="326" t="s">
        <v>4051</v>
      </c>
      <c r="K44" s="291"/>
      <c r="M44" s="375"/>
    </row>
    <row r="45" spans="2:13" ht="11.25" customHeight="1">
      <c r="B45" s="375"/>
      <c r="E45" s="1165" t="s">
        <v>1598</v>
      </c>
      <c r="F45" s="291"/>
      <c r="G45" s="1175" t="s">
        <v>3138</v>
      </c>
      <c r="K45" s="291"/>
      <c r="M45" s="375"/>
    </row>
    <row r="46" spans="2:13" ht="11.25" customHeight="1">
      <c r="B46" s="375"/>
      <c r="E46" s="1166" t="s">
        <v>1596</v>
      </c>
      <c r="F46" s="293"/>
      <c r="G46" s="1176" t="s">
        <v>3138</v>
      </c>
      <c r="K46" s="291"/>
      <c r="M46" s="375"/>
    </row>
    <row r="47" spans="2:13" ht="11.25" customHeight="1">
      <c r="B47" s="375"/>
      <c r="K47" s="373"/>
      <c r="M47" s="375"/>
    </row>
    <row r="48" spans="2:13" ht="11.25" customHeight="1">
      <c r="B48" s="375"/>
      <c r="K48" s="373"/>
      <c r="M48" s="375"/>
    </row>
    <row r="49" spans="2:13" ht="11.25" customHeight="1">
      <c r="B49" s="375"/>
      <c r="D49" s="109" t="s">
        <v>4146</v>
      </c>
      <c r="K49" s="373"/>
      <c r="M49" s="375"/>
    </row>
    <row r="50" spans="2:13" ht="11.25" customHeight="1">
      <c r="B50" s="375"/>
      <c r="M50" s="375"/>
    </row>
    <row r="51" spans="2:13" ht="11.25" customHeight="1">
      <c r="B51" s="375"/>
      <c r="C51" s="375"/>
      <c r="D51" s="375"/>
      <c r="E51" s="375"/>
      <c r="F51" s="375"/>
      <c r="G51" s="375"/>
      <c r="H51" s="375"/>
      <c r="I51" s="375"/>
      <c r="J51" s="375"/>
      <c r="K51" s="375"/>
      <c r="L51" s="375"/>
      <c r="M51" s="375"/>
    </row>
  </sheetData>
  <mergeCells count="2">
    <mergeCell ref="F6:G6"/>
    <mergeCell ref="F7:G7"/>
  </mergeCells>
  <phoneticPr fontId="18" type="noConversion"/>
  <conditionalFormatting sqref="F6:G7">
    <cfRule type="cellIs" dxfId="110" priority="1" stopIfTrue="1" operator="equal">
      <formula>0</formula>
    </cfRule>
  </conditionalFormatting>
  <dataValidations count="5">
    <dataValidation type="list" allowBlank="1" showInputMessage="1" showErrorMessage="1" sqref="G45:G46 G40 G42">
      <formula1>ChooseCompPeriod</formula1>
    </dataValidation>
    <dataValidation type="list" allowBlank="1" showInputMessage="1" showErrorMessage="1" sqref="I17:I26 I30:I34">
      <formula1>ChooseYesNo</formula1>
    </dataValidation>
    <dataValidation type="list" allowBlank="1" showInputMessage="1" showErrorMessage="1" sqref="E12">
      <formula1>ChooseYear</formula1>
    </dataValidation>
    <dataValidation type="list" allowBlank="1" showInputMessage="1" showErrorMessage="1" sqref="E11">
      <formula1>ChooseMonth</formula1>
    </dataValidation>
    <dataValidation type="list" allowBlank="1" showInputMessage="1" showErrorMessage="1" sqref="G41 G43:G44">
      <formula1>ChooseCompPeriod2</formula1>
    </dataValidation>
  </dataValidations>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sheetPr codeName="Sheet20" enableFormatConditionsCalculation="0">
    <tabColor indexed="48"/>
  </sheetPr>
  <dimension ref="A1:HM288"/>
  <sheetViews>
    <sheetView showGridLines="0" zoomScale="75" zoomScaleNormal="75" workbookViewId="0">
      <pane xSplit="3" ySplit="6" topLeftCell="D7" activePane="bottomRight" state="frozen"/>
      <selection pane="topRight"/>
      <selection pane="bottomLeft"/>
      <selection pane="bottomRight" activeCell="D7" sqref="D7"/>
    </sheetView>
  </sheetViews>
  <sheetFormatPr defaultRowHeight="11.25"/>
  <cols>
    <col min="1" max="1" width="15.7109375" style="1056" customWidth="1"/>
    <col min="2" max="2" width="20.7109375" style="1056" customWidth="1"/>
    <col min="3" max="3" width="30.7109375" style="1056" customWidth="1"/>
    <col min="4" max="15" width="9.7109375" style="1056" customWidth="1"/>
    <col min="16" max="184" width="9.140625" style="1056"/>
    <col min="185" max="208" width="9.7109375" style="1056" customWidth="1"/>
    <col min="209" max="16384" width="9.140625" style="1056"/>
  </cols>
  <sheetData>
    <row r="1" spans="1:221">
      <c r="D1" s="1057" t="s">
        <v>146</v>
      </c>
      <c r="E1" s="1057" t="s">
        <v>899</v>
      </c>
      <c r="F1" s="1057" t="s">
        <v>898</v>
      </c>
      <c r="G1" s="1057" t="s">
        <v>897</v>
      </c>
      <c r="H1" s="1057" t="s">
        <v>3632</v>
      </c>
      <c r="P1" s="1057"/>
      <c r="Q1" s="1057"/>
      <c r="R1" s="1057"/>
      <c r="S1" s="1057"/>
      <c r="GC1" s="1057"/>
      <c r="GD1" s="1057"/>
      <c r="GE1" s="1057"/>
      <c r="GF1" s="1057"/>
      <c r="GG1" s="1057"/>
      <c r="GO1" s="1057"/>
      <c r="GP1" s="1057"/>
      <c r="GQ1" s="1057"/>
      <c r="GR1" s="1057"/>
      <c r="GS1" s="1057"/>
    </row>
    <row r="2" spans="1:221">
      <c r="D2" s="1057"/>
      <c r="E2" s="1057"/>
      <c r="F2" s="1057"/>
      <c r="G2" s="1057"/>
      <c r="P2" s="1057"/>
      <c r="Q2" s="1057"/>
      <c r="R2" s="1057"/>
      <c r="S2" s="1057"/>
      <c r="GC2" s="1057"/>
      <c r="GD2" s="1057"/>
      <c r="GE2" s="1057"/>
      <c r="GF2" s="1057"/>
      <c r="GO2" s="1057"/>
      <c r="GP2" s="1057"/>
      <c r="GQ2" s="1057"/>
      <c r="GR2" s="1057"/>
    </row>
    <row r="3" spans="1:221">
      <c r="A3" s="109"/>
      <c r="B3" s="109"/>
      <c r="C3" s="109"/>
      <c r="D3" s="383" t="str">
        <f>'1.1 Parents'!$K$17</f>
        <v>LOC_00494</v>
      </c>
      <c r="E3" s="384" t="str">
        <f>'1.1 Parents'!$K$17</f>
        <v>LOC_00494</v>
      </c>
      <c r="F3" s="384" t="str">
        <f>'1.1 Parents'!$K$17</f>
        <v>LOC_00494</v>
      </c>
      <c r="G3" s="384" t="str">
        <f>'1.1 Parents'!$K$17</f>
        <v>LOC_00494</v>
      </c>
      <c r="H3" s="384" t="str">
        <f>'1.1 Parents'!$K$17</f>
        <v>LOC_00494</v>
      </c>
      <c r="I3" s="384" t="str">
        <f>'1.1 Parents'!$K$17</f>
        <v>LOC_00494</v>
      </c>
      <c r="J3" s="384" t="str">
        <f>'1.1 Parents'!$K$17</f>
        <v>LOC_00494</v>
      </c>
      <c r="K3" s="384" t="str">
        <f>'1.1 Parents'!$K$17</f>
        <v>LOC_00494</v>
      </c>
      <c r="L3" s="384" t="str">
        <f>'1.1 Parents'!$K$17</f>
        <v>LOC_00494</v>
      </c>
      <c r="M3" s="384" t="str">
        <f>'1.1 Parents'!$K$17</f>
        <v>LOC_00494</v>
      </c>
      <c r="N3" s="384" t="str">
        <f>'1.1 Parents'!$K$17</f>
        <v>LOC_00494</v>
      </c>
      <c r="O3" s="385" t="str">
        <f>'1.1 Parents'!$K$17</f>
        <v>LOC_00494</v>
      </c>
      <c r="P3" s="383" t="str">
        <f>'1.1 Parents'!$K$18</f>
        <v>LOC_01828</v>
      </c>
      <c r="Q3" s="384" t="str">
        <f>'1.1 Parents'!$K$18</f>
        <v>LOC_01828</v>
      </c>
      <c r="R3" s="384" t="str">
        <f>'1.1 Parents'!$K$18</f>
        <v>LOC_01828</v>
      </c>
      <c r="S3" s="384" t="str">
        <f>'1.1 Parents'!$K$18</f>
        <v>LOC_01828</v>
      </c>
      <c r="T3" s="384" t="str">
        <f>'1.1 Parents'!$K$18</f>
        <v>LOC_01828</v>
      </c>
      <c r="U3" s="384" t="str">
        <f>'1.1 Parents'!$K$18</f>
        <v>LOC_01828</v>
      </c>
      <c r="V3" s="384" t="str">
        <f>'1.1 Parents'!$K$18</f>
        <v>LOC_01828</v>
      </c>
      <c r="W3" s="384" t="str">
        <f>'1.1 Parents'!$K$18</f>
        <v>LOC_01828</v>
      </c>
      <c r="X3" s="384" t="str">
        <f>'1.1 Parents'!$K$18</f>
        <v>LOC_01828</v>
      </c>
      <c r="Y3" s="384" t="str">
        <f>'1.1 Parents'!$K$18</f>
        <v>LOC_01828</v>
      </c>
      <c r="Z3" s="384" t="str">
        <f>'1.1 Parents'!$K$18</f>
        <v>LOC_01828</v>
      </c>
      <c r="AA3" s="385" t="str">
        <f>'1.1 Parents'!$K$18</f>
        <v>LOC_01828</v>
      </c>
      <c r="AB3" s="383" t="str">
        <f>'1.1 Parents'!$K$19</f>
        <v/>
      </c>
      <c r="AC3" s="384" t="str">
        <f>'1.1 Parents'!$K$19</f>
        <v/>
      </c>
      <c r="AD3" s="384" t="str">
        <f>'1.1 Parents'!$K$19</f>
        <v/>
      </c>
      <c r="AE3" s="384" t="str">
        <f>'1.1 Parents'!$K$19</f>
        <v/>
      </c>
      <c r="AF3" s="384" t="str">
        <f>'1.1 Parents'!$K$19</f>
        <v/>
      </c>
      <c r="AG3" s="384" t="str">
        <f>'1.1 Parents'!$K$19</f>
        <v/>
      </c>
      <c r="AH3" s="384" t="str">
        <f>'1.1 Parents'!$K$19</f>
        <v/>
      </c>
      <c r="AI3" s="384" t="str">
        <f>'1.1 Parents'!$K$19</f>
        <v/>
      </c>
      <c r="AJ3" s="384" t="str">
        <f>'1.1 Parents'!$K$19</f>
        <v/>
      </c>
      <c r="AK3" s="384" t="str">
        <f>'1.1 Parents'!$K$19</f>
        <v/>
      </c>
      <c r="AL3" s="384" t="str">
        <f>'1.1 Parents'!$K$19</f>
        <v/>
      </c>
      <c r="AM3" s="385" t="str">
        <f>'1.1 Parents'!$K$19</f>
        <v/>
      </c>
      <c r="AN3" s="383" t="str">
        <f>'1.1 Parents'!$K$20</f>
        <v/>
      </c>
      <c r="AO3" s="384" t="str">
        <f>'1.1 Parents'!$K$20</f>
        <v/>
      </c>
      <c r="AP3" s="384" t="str">
        <f>'1.1 Parents'!$K$20</f>
        <v/>
      </c>
      <c r="AQ3" s="384" t="str">
        <f>'1.1 Parents'!$K$20</f>
        <v/>
      </c>
      <c r="AR3" s="384" t="str">
        <f>'1.1 Parents'!$K$20</f>
        <v/>
      </c>
      <c r="AS3" s="384" t="str">
        <f>'1.1 Parents'!$K$20</f>
        <v/>
      </c>
      <c r="AT3" s="384" t="str">
        <f>'1.1 Parents'!$K$20</f>
        <v/>
      </c>
      <c r="AU3" s="384" t="str">
        <f>'1.1 Parents'!$K$20</f>
        <v/>
      </c>
      <c r="AV3" s="384" t="str">
        <f>'1.1 Parents'!$K$20</f>
        <v/>
      </c>
      <c r="AW3" s="384" t="str">
        <f>'1.1 Parents'!$K$20</f>
        <v/>
      </c>
      <c r="AX3" s="384" t="str">
        <f>'1.1 Parents'!$K$20</f>
        <v/>
      </c>
      <c r="AY3" s="385" t="str">
        <f>'1.1 Parents'!$K$20</f>
        <v/>
      </c>
      <c r="AZ3" s="383" t="str">
        <f>'1.1 Parents'!$K$21</f>
        <v/>
      </c>
      <c r="BA3" s="384" t="str">
        <f>'1.1 Parents'!$K$21</f>
        <v/>
      </c>
      <c r="BB3" s="384" t="str">
        <f>'1.1 Parents'!$K$21</f>
        <v/>
      </c>
      <c r="BC3" s="384" t="str">
        <f>'1.1 Parents'!$K$21</f>
        <v/>
      </c>
      <c r="BD3" s="384" t="str">
        <f>'1.1 Parents'!$K$21</f>
        <v/>
      </c>
      <c r="BE3" s="384" t="str">
        <f>'1.1 Parents'!$K$21</f>
        <v/>
      </c>
      <c r="BF3" s="384" t="str">
        <f>'1.1 Parents'!$K$21</f>
        <v/>
      </c>
      <c r="BG3" s="384" t="str">
        <f>'1.1 Parents'!$K$21</f>
        <v/>
      </c>
      <c r="BH3" s="384" t="str">
        <f>'1.1 Parents'!$K$21</f>
        <v/>
      </c>
      <c r="BI3" s="384" t="str">
        <f>'1.1 Parents'!$K$21</f>
        <v/>
      </c>
      <c r="BJ3" s="384" t="str">
        <f>'1.1 Parents'!$K$21</f>
        <v/>
      </c>
      <c r="BK3" s="385" t="str">
        <f>'1.1 Parents'!$K$21</f>
        <v/>
      </c>
      <c r="BL3" s="383" t="str">
        <f>'1.1 Parents'!$K$22</f>
        <v/>
      </c>
      <c r="BM3" s="384" t="str">
        <f>'1.1 Parents'!$K$22</f>
        <v/>
      </c>
      <c r="BN3" s="384" t="str">
        <f>'1.1 Parents'!$K$22</f>
        <v/>
      </c>
      <c r="BO3" s="384" t="str">
        <f>'1.1 Parents'!$K$22</f>
        <v/>
      </c>
      <c r="BP3" s="384" t="str">
        <f>'1.1 Parents'!$K$22</f>
        <v/>
      </c>
      <c r="BQ3" s="384" t="str">
        <f>'1.1 Parents'!$K$22</f>
        <v/>
      </c>
      <c r="BR3" s="384" t="str">
        <f>'1.1 Parents'!$K$22</f>
        <v/>
      </c>
      <c r="BS3" s="384" t="str">
        <f>'1.1 Parents'!$K$22</f>
        <v/>
      </c>
      <c r="BT3" s="384" t="str">
        <f>'1.1 Parents'!$K$22</f>
        <v/>
      </c>
      <c r="BU3" s="384" t="str">
        <f>'1.1 Parents'!$K$22</f>
        <v/>
      </c>
      <c r="BV3" s="384" t="str">
        <f>'1.1 Parents'!$K$22</f>
        <v/>
      </c>
      <c r="BW3" s="385" t="str">
        <f>'1.1 Parents'!$K$22</f>
        <v/>
      </c>
      <c r="BX3" s="383" t="str">
        <f>'1.1 Parents'!$K$23</f>
        <v/>
      </c>
      <c r="BY3" s="384" t="str">
        <f>'1.1 Parents'!$K$23</f>
        <v/>
      </c>
      <c r="BZ3" s="384" t="str">
        <f>'1.1 Parents'!$K$23</f>
        <v/>
      </c>
      <c r="CA3" s="384" t="str">
        <f>'1.1 Parents'!$K$23</f>
        <v/>
      </c>
      <c r="CB3" s="384" t="str">
        <f>'1.1 Parents'!$K$23</f>
        <v/>
      </c>
      <c r="CC3" s="384" t="str">
        <f>'1.1 Parents'!$K$23</f>
        <v/>
      </c>
      <c r="CD3" s="384" t="str">
        <f>'1.1 Parents'!$K$23</f>
        <v/>
      </c>
      <c r="CE3" s="384" t="str">
        <f>'1.1 Parents'!$K$23</f>
        <v/>
      </c>
      <c r="CF3" s="384" t="str">
        <f>'1.1 Parents'!$K$23</f>
        <v/>
      </c>
      <c r="CG3" s="384" t="str">
        <f>'1.1 Parents'!$K$23</f>
        <v/>
      </c>
      <c r="CH3" s="384" t="str">
        <f>'1.1 Parents'!$K$23</f>
        <v/>
      </c>
      <c r="CI3" s="385" t="str">
        <f>'1.1 Parents'!$K$23</f>
        <v/>
      </c>
      <c r="CJ3" s="383" t="str">
        <f>'1.1 Parents'!$K$24</f>
        <v/>
      </c>
      <c r="CK3" s="384" t="str">
        <f>'1.1 Parents'!$K$24</f>
        <v/>
      </c>
      <c r="CL3" s="384" t="str">
        <f>'1.1 Parents'!$K$24</f>
        <v/>
      </c>
      <c r="CM3" s="384" t="str">
        <f>'1.1 Parents'!$K$24</f>
        <v/>
      </c>
      <c r="CN3" s="384" t="str">
        <f>'1.1 Parents'!$K$24</f>
        <v/>
      </c>
      <c r="CO3" s="384" t="str">
        <f>'1.1 Parents'!$K$24</f>
        <v/>
      </c>
      <c r="CP3" s="384" t="str">
        <f>'1.1 Parents'!$K$24</f>
        <v/>
      </c>
      <c r="CQ3" s="384" t="str">
        <f>'1.1 Parents'!$K$24</f>
        <v/>
      </c>
      <c r="CR3" s="384" t="str">
        <f>'1.1 Parents'!$K$24</f>
        <v/>
      </c>
      <c r="CS3" s="384" t="str">
        <f>'1.1 Parents'!$K$24</f>
        <v/>
      </c>
      <c r="CT3" s="384" t="str">
        <f>'1.1 Parents'!$K$24</f>
        <v/>
      </c>
      <c r="CU3" s="385" t="str">
        <f>'1.1 Parents'!$K$24</f>
        <v/>
      </c>
      <c r="CV3" s="383" t="str">
        <f>'1.1 Parents'!$K$25</f>
        <v/>
      </c>
      <c r="CW3" s="384" t="str">
        <f>'1.1 Parents'!$K$25</f>
        <v/>
      </c>
      <c r="CX3" s="384" t="str">
        <f>'1.1 Parents'!$K$25</f>
        <v/>
      </c>
      <c r="CY3" s="384" t="str">
        <f>'1.1 Parents'!$K$25</f>
        <v/>
      </c>
      <c r="CZ3" s="384" t="str">
        <f>'1.1 Parents'!$K$25</f>
        <v/>
      </c>
      <c r="DA3" s="384" t="str">
        <f>'1.1 Parents'!$K$25</f>
        <v/>
      </c>
      <c r="DB3" s="384" t="str">
        <f>'1.1 Parents'!$K$25</f>
        <v/>
      </c>
      <c r="DC3" s="384" t="str">
        <f>'1.1 Parents'!$K$25</f>
        <v/>
      </c>
      <c r="DD3" s="384" t="str">
        <f>'1.1 Parents'!$K$25</f>
        <v/>
      </c>
      <c r="DE3" s="384" t="str">
        <f>'1.1 Parents'!$K$25</f>
        <v/>
      </c>
      <c r="DF3" s="384" t="str">
        <f>'1.1 Parents'!$K$25</f>
        <v/>
      </c>
      <c r="DG3" s="385" t="str">
        <f>'1.1 Parents'!$K$25</f>
        <v/>
      </c>
      <c r="DH3" s="377" t="str">
        <f>'1.1 Parents'!$K$26</f>
        <v/>
      </c>
      <c r="DI3" s="379" t="str">
        <f>'1.1 Parents'!$K$26</f>
        <v/>
      </c>
      <c r="DJ3" s="379" t="str">
        <f>'1.1 Parents'!$K$26</f>
        <v/>
      </c>
      <c r="DK3" s="379" t="str">
        <f>'1.1 Parents'!$K$26</f>
        <v/>
      </c>
      <c r="DL3" s="379" t="str">
        <f>'1.1 Parents'!$K$26</f>
        <v/>
      </c>
      <c r="DM3" s="379" t="str">
        <f>'1.1 Parents'!$K$26</f>
        <v/>
      </c>
      <c r="DN3" s="379" t="str">
        <f>'1.1 Parents'!$K$26</f>
        <v/>
      </c>
      <c r="DO3" s="379" t="str">
        <f>'1.1 Parents'!$K$26</f>
        <v/>
      </c>
      <c r="DP3" s="379" t="str">
        <f>'1.1 Parents'!$K$26</f>
        <v/>
      </c>
      <c r="DQ3" s="379" t="str">
        <f>'1.1 Parents'!$K$26</f>
        <v/>
      </c>
      <c r="DR3" s="379" t="str">
        <f>'1.1 Parents'!$K$26</f>
        <v/>
      </c>
      <c r="DS3" s="380" t="str">
        <f>'1.1 Parents'!$K$26</f>
        <v/>
      </c>
      <c r="DT3" s="383" t="str">
        <f>'1.1 Parents'!$K$30</f>
        <v>LOC_05951</v>
      </c>
      <c r="DU3" s="384" t="str">
        <f>'1.1 Parents'!$K$30</f>
        <v>LOC_05951</v>
      </c>
      <c r="DV3" s="384" t="str">
        <f>'1.1 Parents'!$K$30</f>
        <v>LOC_05951</v>
      </c>
      <c r="DW3" s="384" t="str">
        <f>'1.1 Parents'!$K$30</f>
        <v>LOC_05951</v>
      </c>
      <c r="DX3" s="384" t="str">
        <f>'1.1 Parents'!$K$30</f>
        <v>LOC_05951</v>
      </c>
      <c r="DY3" s="384" t="str">
        <f>'1.1 Parents'!$K$30</f>
        <v>LOC_05951</v>
      </c>
      <c r="DZ3" s="384" t="str">
        <f>'1.1 Parents'!$K$30</f>
        <v>LOC_05951</v>
      </c>
      <c r="EA3" s="384" t="str">
        <f>'1.1 Parents'!$K$30</f>
        <v>LOC_05951</v>
      </c>
      <c r="EB3" s="384" t="str">
        <f>'1.1 Parents'!$K$30</f>
        <v>LOC_05951</v>
      </c>
      <c r="EC3" s="384" t="str">
        <f>'1.1 Parents'!$K$30</f>
        <v>LOC_05951</v>
      </c>
      <c r="ED3" s="384" t="str">
        <f>'1.1 Parents'!$K$30</f>
        <v>LOC_05951</v>
      </c>
      <c r="EE3" s="385" t="str">
        <f>'1.1 Parents'!$K$30</f>
        <v>LOC_05951</v>
      </c>
      <c r="EF3" s="383" t="str">
        <f>'1.1 Parents'!$K$31</f>
        <v/>
      </c>
      <c r="EG3" s="384" t="str">
        <f>'1.1 Parents'!$K$31</f>
        <v/>
      </c>
      <c r="EH3" s="384" t="str">
        <f>'1.1 Parents'!$K$31</f>
        <v/>
      </c>
      <c r="EI3" s="384" t="str">
        <f>'1.1 Parents'!$K$31</f>
        <v/>
      </c>
      <c r="EJ3" s="384" t="str">
        <f>'1.1 Parents'!$K$31</f>
        <v/>
      </c>
      <c r="EK3" s="384" t="str">
        <f>'1.1 Parents'!$K$31</f>
        <v/>
      </c>
      <c r="EL3" s="384" t="str">
        <f>'1.1 Parents'!$K$31</f>
        <v/>
      </c>
      <c r="EM3" s="384" t="str">
        <f>'1.1 Parents'!$K$31</f>
        <v/>
      </c>
      <c r="EN3" s="384" t="str">
        <f>'1.1 Parents'!$K$31</f>
        <v/>
      </c>
      <c r="EO3" s="384" t="str">
        <f>'1.1 Parents'!$K$31</f>
        <v/>
      </c>
      <c r="EP3" s="384" t="str">
        <f>'1.1 Parents'!$K$31</f>
        <v/>
      </c>
      <c r="EQ3" s="385" t="str">
        <f>'1.1 Parents'!$K$31</f>
        <v/>
      </c>
      <c r="ER3" s="377" t="str">
        <f>'1.1 Parents'!$K$32</f>
        <v/>
      </c>
      <c r="ES3" s="379" t="str">
        <f>'1.1 Parents'!$K$32</f>
        <v/>
      </c>
      <c r="ET3" s="379" t="str">
        <f>'1.1 Parents'!$K$32</f>
        <v/>
      </c>
      <c r="EU3" s="379" t="str">
        <f>'1.1 Parents'!$K$32</f>
        <v/>
      </c>
      <c r="EV3" s="379" t="str">
        <f>'1.1 Parents'!$K$32</f>
        <v/>
      </c>
      <c r="EW3" s="379" t="str">
        <f>'1.1 Parents'!$K$32</f>
        <v/>
      </c>
      <c r="EX3" s="379" t="str">
        <f>'1.1 Parents'!$K$32</f>
        <v/>
      </c>
      <c r="EY3" s="379" t="str">
        <f>'1.1 Parents'!$K$32</f>
        <v/>
      </c>
      <c r="EZ3" s="379" t="str">
        <f>'1.1 Parents'!$K$32</f>
        <v/>
      </c>
      <c r="FA3" s="379" t="str">
        <f>'1.1 Parents'!$K$32</f>
        <v/>
      </c>
      <c r="FB3" s="379" t="str">
        <f>'1.1 Parents'!$K$32</f>
        <v/>
      </c>
      <c r="FC3" s="380" t="str">
        <f>'1.1 Parents'!$K$32</f>
        <v/>
      </c>
      <c r="FD3" s="377" t="str">
        <f>'1.1 Parents'!$K$33</f>
        <v/>
      </c>
      <c r="FE3" s="379" t="str">
        <f>'1.1 Parents'!$K$33</f>
        <v/>
      </c>
      <c r="FF3" s="379" t="str">
        <f>'1.1 Parents'!$K$33</f>
        <v/>
      </c>
      <c r="FG3" s="379" t="str">
        <f>'1.1 Parents'!$K$33</f>
        <v/>
      </c>
      <c r="FH3" s="379" t="str">
        <f>'1.1 Parents'!$K$33</f>
        <v/>
      </c>
      <c r="FI3" s="379" t="str">
        <f>'1.1 Parents'!$K$33</f>
        <v/>
      </c>
      <c r="FJ3" s="379" t="str">
        <f>'1.1 Parents'!$K$33</f>
        <v/>
      </c>
      <c r="FK3" s="379" t="str">
        <f>'1.1 Parents'!$K$33</f>
        <v/>
      </c>
      <c r="FL3" s="379" t="str">
        <f>'1.1 Parents'!$K$33</f>
        <v/>
      </c>
      <c r="FM3" s="379" t="str">
        <f>'1.1 Parents'!$K$33</f>
        <v/>
      </c>
      <c r="FN3" s="379" t="str">
        <f>'1.1 Parents'!$K$33</f>
        <v/>
      </c>
      <c r="FO3" s="380" t="str">
        <f>'1.1 Parents'!$K$33</f>
        <v/>
      </c>
      <c r="FP3" s="377" t="str">
        <f>'1.1 Parents'!$K$34</f>
        <v/>
      </c>
      <c r="FQ3" s="379" t="str">
        <f>'1.1 Parents'!$K$34</f>
        <v/>
      </c>
      <c r="FR3" s="379" t="str">
        <f>'1.1 Parents'!$K$34</f>
        <v/>
      </c>
      <c r="FS3" s="379" t="str">
        <f>'1.1 Parents'!$K$34</f>
        <v/>
      </c>
      <c r="FT3" s="379" t="str">
        <f>'1.1 Parents'!$K$34</f>
        <v/>
      </c>
      <c r="FU3" s="379" t="str">
        <f>'1.1 Parents'!$K$34</f>
        <v/>
      </c>
      <c r="FV3" s="379" t="str">
        <f>'1.1 Parents'!$K$34</f>
        <v/>
      </c>
      <c r="FW3" s="379" t="str">
        <f>'1.1 Parents'!$K$34</f>
        <v/>
      </c>
      <c r="FX3" s="379" t="str">
        <f>'1.1 Parents'!$K$34</f>
        <v/>
      </c>
      <c r="FY3" s="379" t="str">
        <f>'1.1 Parents'!$K$34</f>
        <v/>
      </c>
      <c r="FZ3" s="379" t="str">
        <f>'1.1 Parents'!$K$34</f>
        <v/>
      </c>
      <c r="GA3" s="380" t="str">
        <f>'1.1 Parents'!$K$34</f>
        <v/>
      </c>
      <c r="GB3" s="109"/>
      <c r="GC3" s="1434" t="str">
        <f>"All Parents"</f>
        <v>All Parents</v>
      </c>
      <c r="GD3" s="1177"/>
      <c r="GE3" s="1177"/>
      <c r="GF3" s="1177"/>
      <c r="GG3" s="1177"/>
      <c r="GH3" s="1177"/>
      <c r="GI3" s="1177"/>
      <c r="GJ3" s="1177"/>
      <c r="GK3" s="1177"/>
      <c r="GL3" s="1177"/>
      <c r="GM3" s="1177"/>
      <c r="GN3" s="1178"/>
      <c r="GO3" s="1434" t="str">
        <f>"All HHD Parents"</f>
        <v>All HHD Parents</v>
      </c>
      <c r="GP3" s="1177"/>
      <c r="GQ3" s="1177"/>
      <c r="GR3" s="1177"/>
      <c r="GS3" s="1177"/>
      <c r="GT3" s="1177"/>
      <c r="GU3" s="1177"/>
      <c r="GV3" s="1177"/>
      <c r="GW3" s="1177"/>
      <c r="GX3" s="1177"/>
      <c r="GY3" s="1177"/>
      <c r="GZ3" s="1178"/>
    </row>
    <row r="4" spans="1:221">
      <c r="A4" s="109"/>
      <c r="B4" s="109"/>
      <c r="C4" s="109"/>
      <c r="D4" s="383" t="str">
        <f>IF(D$3&lt;&gt;"",$GC4,"")</f>
        <v>FY12</v>
      </c>
      <c r="E4" s="384" t="str">
        <f>IF(E$3&lt;&gt;"",$GD4,"")</f>
        <v>FY13</v>
      </c>
      <c r="F4" s="384" t="str">
        <f>IF(F$3&lt;&gt;"",$GE4,"")</f>
        <v>FY13</v>
      </c>
      <c r="G4" s="384" t="str">
        <f>IF(G$3&lt;&gt;"",$GF4,"")</f>
        <v>FY13</v>
      </c>
      <c r="H4" s="384" t="str">
        <f>IF(H$3&lt;&gt;"",$GG4,"")</f>
        <v>FY13</v>
      </c>
      <c r="I4" s="384" t="str">
        <f>IF(I$3&lt;&gt;"",$GH4,"")</f>
        <v>FY13</v>
      </c>
      <c r="J4" s="384" t="str">
        <f>IF(J$3&lt;&gt;"",$GI4,"")</f>
        <v>FY13</v>
      </c>
      <c r="K4" s="384" t="str">
        <f>IF(K$3&lt;&gt;"",$GJ4,"")</f>
        <v>FY13</v>
      </c>
      <c r="L4" s="384" t="str">
        <f>IF(L$3&lt;&gt;"",$GK4,"")</f>
        <v>FY13</v>
      </c>
      <c r="M4" s="384" t="str">
        <f>IF(M$3&lt;&gt;"",$GL4,"")</f>
        <v>FY13</v>
      </c>
      <c r="N4" s="384" t="str">
        <f>IF(N$3&lt;&gt;"",$GM4,"")</f>
        <v>FY13</v>
      </c>
      <c r="O4" s="385" t="str">
        <f>IF(O$3&lt;&gt;"",$GN4,"")</f>
        <v>FY13</v>
      </c>
      <c r="P4" s="383" t="str">
        <f>IF(P$3&lt;&gt;"",$GC4,"")</f>
        <v>FY12</v>
      </c>
      <c r="Q4" s="384" t="str">
        <f>IF(Q$3&lt;&gt;"",$GD4,"")</f>
        <v>FY13</v>
      </c>
      <c r="R4" s="384" t="str">
        <f>IF(R$3&lt;&gt;"",$GE4,"")</f>
        <v>FY13</v>
      </c>
      <c r="S4" s="384" t="str">
        <f>IF(S$3&lt;&gt;"",$GF4,"")</f>
        <v>FY13</v>
      </c>
      <c r="T4" s="384" t="str">
        <f>IF(T$3&lt;&gt;"",$GG4,"")</f>
        <v>FY13</v>
      </c>
      <c r="U4" s="384" t="str">
        <f>IF(U$3&lt;&gt;"",$GH4,"")</f>
        <v>FY13</v>
      </c>
      <c r="V4" s="384" t="str">
        <f>IF(V$3&lt;&gt;"",$GI4,"")</f>
        <v>FY13</v>
      </c>
      <c r="W4" s="384" t="str">
        <f>IF(W$3&lt;&gt;"",$GJ4,"")</f>
        <v>FY13</v>
      </c>
      <c r="X4" s="384" t="str">
        <f>IF(X$3&lt;&gt;"",$GK4,"")</f>
        <v>FY13</v>
      </c>
      <c r="Y4" s="384" t="str">
        <f>IF(Y$3&lt;&gt;"",$GL4,"")</f>
        <v>FY13</v>
      </c>
      <c r="Z4" s="384" t="str">
        <f>IF(Z$3&lt;&gt;"",$GM4,"")</f>
        <v>FY13</v>
      </c>
      <c r="AA4" s="385" t="str">
        <f>IF(AA$3&lt;&gt;"",$GN4,"")</f>
        <v>FY13</v>
      </c>
      <c r="AB4" s="383" t="str">
        <f>IF(AB$3&lt;&gt;"",$GC4,"")</f>
        <v/>
      </c>
      <c r="AC4" s="384" t="str">
        <f>IF(AC$3&lt;&gt;"",$GD4,"")</f>
        <v/>
      </c>
      <c r="AD4" s="384" t="str">
        <f>IF(AD$3&lt;&gt;"",$GE4,"")</f>
        <v/>
      </c>
      <c r="AE4" s="384" t="str">
        <f>IF(AE$3&lt;&gt;"",$GF4,"")</f>
        <v/>
      </c>
      <c r="AF4" s="384" t="str">
        <f>IF(AF$3&lt;&gt;"",$GG4,"")</f>
        <v/>
      </c>
      <c r="AG4" s="384" t="str">
        <f>IF(AG$3&lt;&gt;"",$GH4,"")</f>
        <v/>
      </c>
      <c r="AH4" s="384" t="str">
        <f>IF(AH$3&lt;&gt;"",$GI4,"")</f>
        <v/>
      </c>
      <c r="AI4" s="384" t="str">
        <f>IF(AI$3&lt;&gt;"",$GJ4,"")</f>
        <v/>
      </c>
      <c r="AJ4" s="384" t="str">
        <f>IF(AJ$3&lt;&gt;"",$GK4,"")</f>
        <v/>
      </c>
      <c r="AK4" s="384" t="str">
        <f>IF(AK$3&lt;&gt;"",$GL4,"")</f>
        <v/>
      </c>
      <c r="AL4" s="384" t="str">
        <f>IF(AL$3&lt;&gt;"",$GM4,"")</f>
        <v/>
      </c>
      <c r="AM4" s="385" t="str">
        <f>IF(AM$3&lt;&gt;"",$GN4,"")</f>
        <v/>
      </c>
      <c r="AN4" s="383" t="str">
        <f>IF(AN$3&lt;&gt;"",$GC4,"")</f>
        <v/>
      </c>
      <c r="AO4" s="384" t="str">
        <f>IF(AO$3&lt;&gt;"",$GD4,"")</f>
        <v/>
      </c>
      <c r="AP4" s="384" t="str">
        <f>IF(AP$3&lt;&gt;"",$GE4,"")</f>
        <v/>
      </c>
      <c r="AQ4" s="384" t="str">
        <f>IF(AQ$3&lt;&gt;"",$GF4,"")</f>
        <v/>
      </c>
      <c r="AR4" s="384" t="str">
        <f>IF(AR$3&lt;&gt;"",$GG4,"")</f>
        <v/>
      </c>
      <c r="AS4" s="384" t="str">
        <f>IF(AS$3&lt;&gt;"",$GH4,"")</f>
        <v/>
      </c>
      <c r="AT4" s="384" t="str">
        <f>IF(AT$3&lt;&gt;"",$GI4,"")</f>
        <v/>
      </c>
      <c r="AU4" s="384" t="str">
        <f>IF(AU$3&lt;&gt;"",$GJ4,"")</f>
        <v/>
      </c>
      <c r="AV4" s="384" t="str">
        <f>IF(AV$3&lt;&gt;"",$GK4,"")</f>
        <v/>
      </c>
      <c r="AW4" s="384" t="str">
        <f>IF(AW$3&lt;&gt;"",$GL4,"")</f>
        <v/>
      </c>
      <c r="AX4" s="384" t="str">
        <f>IF(AX$3&lt;&gt;"",$GM4,"")</f>
        <v/>
      </c>
      <c r="AY4" s="385" t="str">
        <f>IF(AY$3&lt;&gt;"",$GN4,"")</f>
        <v/>
      </c>
      <c r="AZ4" s="383" t="str">
        <f>IF(AZ$3&lt;&gt;"",$GC4,"")</f>
        <v/>
      </c>
      <c r="BA4" s="384" t="str">
        <f>IF(BA$3&lt;&gt;"",$GD4,"")</f>
        <v/>
      </c>
      <c r="BB4" s="384" t="str">
        <f>IF(BB$3&lt;&gt;"",$GE4,"")</f>
        <v/>
      </c>
      <c r="BC4" s="384" t="str">
        <f>IF(BC$3&lt;&gt;"",$GF4,"")</f>
        <v/>
      </c>
      <c r="BD4" s="384" t="str">
        <f>IF(BD$3&lt;&gt;"",$GG4,"")</f>
        <v/>
      </c>
      <c r="BE4" s="384" t="str">
        <f>IF(BE$3&lt;&gt;"",$GH4,"")</f>
        <v/>
      </c>
      <c r="BF4" s="384" t="str">
        <f>IF(BF$3&lt;&gt;"",$GI4,"")</f>
        <v/>
      </c>
      <c r="BG4" s="384" t="str">
        <f>IF(BG$3&lt;&gt;"",$GJ4,"")</f>
        <v/>
      </c>
      <c r="BH4" s="384" t="str">
        <f>IF(BH$3&lt;&gt;"",$GK4,"")</f>
        <v/>
      </c>
      <c r="BI4" s="384" t="str">
        <f>IF(BI$3&lt;&gt;"",$GL4,"")</f>
        <v/>
      </c>
      <c r="BJ4" s="384" t="str">
        <f>IF(BJ$3&lt;&gt;"",$GM4,"")</f>
        <v/>
      </c>
      <c r="BK4" s="385" t="str">
        <f>IF(BK$3&lt;&gt;"",$GN4,"")</f>
        <v/>
      </c>
      <c r="BL4" s="383" t="str">
        <f>IF(BL$3&lt;&gt;"",$GC4,"")</f>
        <v/>
      </c>
      <c r="BM4" s="384" t="str">
        <f>IF(BM$3&lt;&gt;"",$GD4,"")</f>
        <v/>
      </c>
      <c r="BN4" s="384" t="str">
        <f>IF(BN$3&lt;&gt;"",$GE4,"")</f>
        <v/>
      </c>
      <c r="BO4" s="384" t="str">
        <f>IF(BO$3&lt;&gt;"",$GF4,"")</f>
        <v/>
      </c>
      <c r="BP4" s="384" t="str">
        <f>IF(BP$3&lt;&gt;"",$GG4,"")</f>
        <v/>
      </c>
      <c r="BQ4" s="384" t="str">
        <f>IF(BQ$3&lt;&gt;"",$GH4,"")</f>
        <v/>
      </c>
      <c r="BR4" s="384" t="str">
        <f>IF(BR$3&lt;&gt;"",$GI4,"")</f>
        <v/>
      </c>
      <c r="BS4" s="384" t="str">
        <f>IF(BS$3&lt;&gt;"",$GJ4,"")</f>
        <v/>
      </c>
      <c r="BT4" s="384" t="str">
        <f>IF(BT$3&lt;&gt;"",$GK4,"")</f>
        <v/>
      </c>
      <c r="BU4" s="384" t="str">
        <f>IF(BU$3&lt;&gt;"",$GL4,"")</f>
        <v/>
      </c>
      <c r="BV4" s="384" t="str">
        <f>IF(BV$3&lt;&gt;"",$GM4,"")</f>
        <v/>
      </c>
      <c r="BW4" s="385" t="str">
        <f>IF(BW$3&lt;&gt;"",$GN4,"")</f>
        <v/>
      </c>
      <c r="BX4" s="383" t="str">
        <f>IF(BX$3&lt;&gt;"",$GC4,"")</f>
        <v/>
      </c>
      <c r="BY4" s="384" t="str">
        <f>IF(BY$3&lt;&gt;"",$GD4,"")</f>
        <v/>
      </c>
      <c r="BZ4" s="384" t="str">
        <f>IF(BZ$3&lt;&gt;"",$GE4,"")</f>
        <v/>
      </c>
      <c r="CA4" s="384" t="str">
        <f>IF(CA$3&lt;&gt;"",$GF4,"")</f>
        <v/>
      </c>
      <c r="CB4" s="384" t="str">
        <f>IF(CB$3&lt;&gt;"",$GG4,"")</f>
        <v/>
      </c>
      <c r="CC4" s="384" t="str">
        <f>IF(CC$3&lt;&gt;"",$GH4,"")</f>
        <v/>
      </c>
      <c r="CD4" s="384" t="str">
        <f>IF(CD$3&lt;&gt;"",$GI4,"")</f>
        <v/>
      </c>
      <c r="CE4" s="384" t="str">
        <f>IF(CE$3&lt;&gt;"",$GJ4,"")</f>
        <v/>
      </c>
      <c r="CF4" s="384" t="str">
        <f>IF(CF$3&lt;&gt;"",$GK4,"")</f>
        <v/>
      </c>
      <c r="CG4" s="384" t="str">
        <f>IF(CG$3&lt;&gt;"",$GL4,"")</f>
        <v/>
      </c>
      <c r="CH4" s="384" t="str">
        <f>IF(CH$3&lt;&gt;"",$GM4,"")</f>
        <v/>
      </c>
      <c r="CI4" s="385" t="str">
        <f>IF(CI$3&lt;&gt;"",$GN4,"")</f>
        <v/>
      </c>
      <c r="CJ4" s="383" t="str">
        <f>IF(CJ$3&lt;&gt;"",$GC4,"")</f>
        <v/>
      </c>
      <c r="CK4" s="384" t="str">
        <f>IF(CK$3&lt;&gt;"",$GD4,"")</f>
        <v/>
      </c>
      <c r="CL4" s="384" t="str">
        <f>IF(CL$3&lt;&gt;"",$GE4,"")</f>
        <v/>
      </c>
      <c r="CM4" s="384" t="str">
        <f>IF(CM$3&lt;&gt;"",$GF4,"")</f>
        <v/>
      </c>
      <c r="CN4" s="384" t="str">
        <f>IF(CN$3&lt;&gt;"",$GG4,"")</f>
        <v/>
      </c>
      <c r="CO4" s="384" t="str">
        <f>IF(CO$3&lt;&gt;"",$GH4,"")</f>
        <v/>
      </c>
      <c r="CP4" s="384" t="str">
        <f>IF(CP$3&lt;&gt;"",$GI4,"")</f>
        <v/>
      </c>
      <c r="CQ4" s="384" t="str">
        <f>IF(CQ$3&lt;&gt;"",$GJ4,"")</f>
        <v/>
      </c>
      <c r="CR4" s="384" t="str">
        <f>IF(CR$3&lt;&gt;"",$GK4,"")</f>
        <v/>
      </c>
      <c r="CS4" s="384" t="str">
        <f>IF(CS$3&lt;&gt;"",$GL4,"")</f>
        <v/>
      </c>
      <c r="CT4" s="384" t="str">
        <f>IF(CT$3&lt;&gt;"",$GM4,"")</f>
        <v/>
      </c>
      <c r="CU4" s="385" t="str">
        <f>IF(CU$3&lt;&gt;"",$GN4,"")</f>
        <v/>
      </c>
      <c r="CV4" s="383" t="str">
        <f>IF(CV$3&lt;&gt;"",$GC4,"")</f>
        <v/>
      </c>
      <c r="CW4" s="384" t="str">
        <f>IF(CW$3&lt;&gt;"",$GD4,"")</f>
        <v/>
      </c>
      <c r="CX4" s="384" t="str">
        <f>IF(CX$3&lt;&gt;"",$GE4,"")</f>
        <v/>
      </c>
      <c r="CY4" s="384" t="str">
        <f>IF(CY$3&lt;&gt;"",$GF4,"")</f>
        <v/>
      </c>
      <c r="CZ4" s="384" t="str">
        <f>IF(CZ$3&lt;&gt;"",$GG4,"")</f>
        <v/>
      </c>
      <c r="DA4" s="384" t="str">
        <f>IF(DA$3&lt;&gt;"",$GH4,"")</f>
        <v/>
      </c>
      <c r="DB4" s="384" t="str">
        <f>IF(DB$3&lt;&gt;"",$GI4,"")</f>
        <v/>
      </c>
      <c r="DC4" s="384" t="str">
        <f>IF(DC$3&lt;&gt;"",$GJ4,"")</f>
        <v/>
      </c>
      <c r="DD4" s="384" t="str">
        <f>IF(DD$3&lt;&gt;"",$GK4,"")</f>
        <v/>
      </c>
      <c r="DE4" s="384" t="str">
        <f>IF(DE$3&lt;&gt;"",$GL4,"")</f>
        <v/>
      </c>
      <c r="DF4" s="384" t="str">
        <f>IF(DF$3&lt;&gt;"",$GM4,"")</f>
        <v/>
      </c>
      <c r="DG4" s="385" t="str">
        <f>IF(DG$3&lt;&gt;"",$GN4,"")</f>
        <v/>
      </c>
      <c r="DH4" s="383" t="str">
        <f>IF(DH$3&lt;&gt;"",$GC4,"")</f>
        <v/>
      </c>
      <c r="DI4" s="384" t="str">
        <f>IF(DI$3&lt;&gt;"",$GD4,"")</f>
        <v/>
      </c>
      <c r="DJ4" s="384" t="str">
        <f>IF(DJ$3&lt;&gt;"",$GE4,"")</f>
        <v/>
      </c>
      <c r="DK4" s="384" t="str">
        <f>IF(DK$3&lt;&gt;"",$GF4,"")</f>
        <v/>
      </c>
      <c r="DL4" s="384" t="str">
        <f>IF(DL$3&lt;&gt;"",$GG4,"")</f>
        <v/>
      </c>
      <c r="DM4" s="384" t="str">
        <f>IF(DM$3&lt;&gt;"",$GH4,"")</f>
        <v/>
      </c>
      <c r="DN4" s="384" t="str">
        <f>IF(DN$3&lt;&gt;"",$GI4,"")</f>
        <v/>
      </c>
      <c r="DO4" s="384" t="str">
        <f>IF(DO$3&lt;&gt;"",$GJ4,"")</f>
        <v/>
      </c>
      <c r="DP4" s="384" t="str">
        <f>IF(DP$3&lt;&gt;"",$GK4,"")</f>
        <v/>
      </c>
      <c r="DQ4" s="384" t="str">
        <f>IF(DQ$3&lt;&gt;"",$GL4,"")</f>
        <v/>
      </c>
      <c r="DR4" s="384" t="str">
        <f>IF(DR$3&lt;&gt;"",$GM4,"")</f>
        <v/>
      </c>
      <c r="DS4" s="385" t="str">
        <f>IF(DS$3&lt;&gt;"",$GN4,"")</f>
        <v/>
      </c>
      <c r="DT4" s="383" t="str">
        <f>IF(DT$3&lt;&gt;"",$GC4,"")</f>
        <v>FY12</v>
      </c>
      <c r="DU4" s="384" t="str">
        <f>IF(DU$3&lt;&gt;"",$GD4,"")</f>
        <v>FY13</v>
      </c>
      <c r="DV4" s="384" t="str">
        <f>IF(DV$3&lt;&gt;"",$GE4,"")</f>
        <v>FY13</v>
      </c>
      <c r="DW4" s="384" t="str">
        <f>IF(DW$3&lt;&gt;"",$GF4,"")</f>
        <v>FY13</v>
      </c>
      <c r="DX4" s="384" t="str">
        <f>IF(DX$3&lt;&gt;"",$GG4,"")</f>
        <v>FY13</v>
      </c>
      <c r="DY4" s="384" t="str">
        <f>IF(DY$3&lt;&gt;"",$GH4,"")</f>
        <v>FY13</v>
      </c>
      <c r="DZ4" s="384" t="str">
        <f>IF(DZ$3&lt;&gt;"",$GI4,"")</f>
        <v>FY13</v>
      </c>
      <c r="EA4" s="384" t="str">
        <f>IF(EA$3&lt;&gt;"",$GJ4,"")</f>
        <v>FY13</v>
      </c>
      <c r="EB4" s="384" t="str">
        <f>IF(EB$3&lt;&gt;"",$GK4,"")</f>
        <v>FY13</v>
      </c>
      <c r="EC4" s="384" t="str">
        <f>IF(EC$3&lt;&gt;"",$GL4,"")</f>
        <v>FY13</v>
      </c>
      <c r="ED4" s="384" t="str">
        <f>IF(ED$3&lt;&gt;"",$GM4,"")</f>
        <v>FY13</v>
      </c>
      <c r="EE4" s="385" t="str">
        <f>IF(EE$3&lt;&gt;"",$GN4,"")</f>
        <v>FY13</v>
      </c>
      <c r="EF4" s="383" t="str">
        <f>IF(EF$3&lt;&gt;"",$GC4,"")</f>
        <v/>
      </c>
      <c r="EG4" s="384" t="str">
        <f>IF(EG$3&lt;&gt;"",$GD4,"")</f>
        <v/>
      </c>
      <c r="EH4" s="384" t="str">
        <f>IF(EH$3&lt;&gt;"",$GE4,"")</f>
        <v/>
      </c>
      <c r="EI4" s="384" t="str">
        <f>IF(EI$3&lt;&gt;"",$GF4,"")</f>
        <v/>
      </c>
      <c r="EJ4" s="384" t="str">
        <f>IF(EJ$3&lt;&gt;"",$GG4,"")</f>
        <v/>
      </c>
      <c r="EK4" s="384" t="str">
        <f>IF(EK$3&lt;&gt;"",$GH4,"")</f>
        <v/>
      </c>
      <c r="EL4" s="384" t="str">
        <f>IF(EL$3&lt;&gt;"",$GI4,"")</f>
        <v/>
      </c>
      <c r="EM4" s="384" t="str">
        <f>IF(EM$3&lt;&gt;"",$GJ4,"")</f>
        <v/>
      </c>
      <c r="EN4" s="384" t="str">
        <f>IF(EN$3&lt;&gt;"",$GK4,"")</f>
        <v/>
      </c>
      <c r="EO4" s="384" t="str">
        <f>IF(EO$3&lt;&gt;"",$GL4,"")</f>
        <v/>
      </c>
      <c r="EP4" s="384" t="str">
        <f>IF(EP$3&lt;&gt;"",$GM4,"")</f>
        <v/>
      </c>
      <c r="EQ4" s="385" t="str">
        <f>IF(EQ$3&lt;&gt;"",$GN4,"")</f>
        <v/>
      </c>
      <c r="ER4" s="383" t="str">
        <f>IF(ER$3&lt;&gt;"",$GC4,"")</f>
        <v/>
      </c>
      <c r="ES4" s="384" t="str">
        <f>IF(ES$3&lt;&gt;"",$GD4,"")</f>
        <v/>
      </c>
      <c r="ET4" s="384" t="str">
        <f>IF(ET$3&lt;&gt;"",$GE4,"")</f>
        <v/>
      </c>
      <c r="EU4" s="384" t="str">
        <f>IF(EU$3&lt;&gt;"",$GF4,"")</f>
        <v/>
      </c>
      <c r="EV4" s="384" t="str">
        <f>IF(EV$3&lt;&gt;"",$GG4,"")</f>
        <v/>
      </c>
      <c r="EW4" s="384" t="str">
        <f>IF(EW$3&lt;&gt;"",$GH4,"")</f>
        <v/>
      </c>
      <c r="EX4" s="384" t="str">
        <f>IF(EX$3&lt;&gt;"",$GI4,"")</f>
        <v/>
      </c>
      <c r="EY4" s="384" t="str">
        <f>IF(EY$3&lt;&gt;"",$GJ4,"")</f>
        <v/>
      </c>
      <c r="EZ4" s="384" t="str">
        <f>IF(EZ$3&lt;&gt;"",$GK4,"")</f>
        <v/>
      </c>
      <c r="FA4" s="384" t="str">
        <f>IF(FA$3&lt;&gt;"",$GL4,"")</f>
        <v/>
      </c>
      <c r="FB4" s="384" t="str">
        <f>IF(FB$3&lt;&gt;"",$GM4,"")</f>
        <v/>
      </c>
      <c r="FC4" s="385" t="str">
        <f>IF(FC$3&lt;&gt;"",$GN4,"")</f>
        <v/>
      </c>
      <c r="FD4" s="383" t="str">
        <f>IF(FD$3&lt;&gt;"",$GC4,"")</f>
        <v/>
      </c>
      <c r="FE4" s="384" t="str">
        <f>IF(FE$3&lt;&gt;"",$GD4,"")</f>
        <v/>
      </c>
      <c r="FF4" s="384" t="str">
        <f>IF(FF$3&lt;&gt;"",$GE4,"")</f>
        <v/>
      </c>
      <c r="FG4" s="384" t="str">
        <f>IF(FG$3&lt;&gt;"",$GF4,"")</f>
        <v/>
      </c>
      <c r="FH4" s="384" t="str">
        <f>IF(FH$3&lt;&gt;"",$GG4,"")</f>
        <v/>
      </c>
      <c r="FI4" s="384" t="str">
        <f>IF(FI$3&lt;&gt;"",$GH4,"")</f>
        <v/>
      </c>
      <c r="FJ4" s="384" t="str">
        <f>IF(FJ$3&lt;&gt;"",$GI4,"")</f>
        <v/>
      </c>
      <c r="FK4" s="384" t="str">
        <f>IF(FK$3&lt;&gt;"",$GJ4,"")</f>
        <v/>
      </c>
      <c r="FL4" s="384" t="str">
        <f>IF(FL$3&lt;&gt;"",$GK4,"")</f>
        <v/>
      </c>
      <c r="FM4" s="384" t="str">
        <f>IF(FM$3&lt;&gt;"",$GL4,"")</f>
        <v/>
      </c>
      <c r="FN4" s="384" t="str">
        <f>IF(FN$3&lt;&gt;"",$GM4,"")</f>
        <v/>
      </c>
      <c r="FO4" s="385" t="str">
        <f>IF(FO$3&lt;&gt;"",$GN4,"")</f>
        <v/>
      </c>
      <c r="FP4" s="383" t="str">
        <f>IF(FP$3&lt;&gt;"",$GC4,"")</f>
        <v/>
      </c>
      <c r="FQ4" s="384" t="str">
        <f>IF(FQ$3&lt;&gt;"",$GD4,"")</f>
        <v/>
      </c>
      <c r="FR4" s="384" t="str">
        <f>IF(FR$3&lt;&gt;"",$GE4,"")</f>
        <v/>
      </c>
      <c r="FS4" s="384" t="str">
        <f>IF(FS$3&lt;&gt;"",$GF4,"")</f>
        <v/>
      </c>
      <c r="FT4" s="384" t="str">
        <f>IF(FT$3&lt;&gt;"",$GG4,"")</f>
        <v/>
      </c>
      <c r="FU4" s="384" t="str">
        <f>IF(FU$3&lt;&gt;"",$GH4,"")</f>
        <v/>
      </c>
      <c r="FV4" s="384" t="str">
        <f>IF(FV$3&lt;&gt;"",$GI4,"")</f>
        <v/>
      </c>
      <c r="FW4" s="384" t="str">
        <f>IF(FW$3&lt;&gt;"",$GJ4,"")</f>
        <v/>
      </c>
      <c r="FX4" s="384" t="str">
        <f>IF(FX$3&lt;&gt;"",$GK4,"")</f>
        <v/>
      </c>
      <c r="FY4" s="384" t="str">
        <f>IF(FY$3&lt;&gt;"",$GL4,"")</f>
        <v/>
      </c>
      <c r="FZ4" s="384" t="str">
        <f>IF(FZ$3&lt;&gt;"",$GM4,"")</f>
        <v/>
      </c>
      <c r="GA4" s="385" t="str">
        <f>IF(GA$3&lt;&gt;"",$GN4,"")</f>
        <v/>
      </c>
      <c r="GB4" s="109"/>
      <c r="GC4" s="383" t="str">
        <f>IF(GC6=12,"FY"&amp;RIGHT('1.1 Parents'!$E$12-1,2),GD4)</f>
        <v>FY12</v>
      </c>
      <c r="GD4" s="384" t="str">
        <f>IF(GD6=12,"FY"&amp;RIGHT('1.1 Parents'!$E$12-1,2),GE4)</f>
        <v>FY13</v>
      </c>
      <c r="GE4" s="384" t="str">
        <f>IF(GE6=12,"FY"&amp;RIGHT('1.1 Parents'!$E$12-1,2),GF4)</f>
        <v>FY13</v>
      </c>
      <c r="GF4" s="384" t="str">
        <f>IF(GF6=12,"FY"&amp;RIGHT('1.1 Parents'!$E$12-1,2),GG4)</f>
        <v>FY13</v>
      </c>
      <c r="GG4" s="384" t="str">
        <f>IF(GG6=12,"FY"&amp;RIGHT('1.1 Parents'!$E$12-1,2),GH4)</f>
        <v>FY13</v>
      </c>
      <c r="GH4" s="384" t="str">
        <f>IF(GH6=12,"FY"&amp;RIGHT('1.1 Parents'!$E$12-1,2),GI4)</f>
        <v>FY13</v>
      </c>
      <c r="GI4" s="384" t="str">
        <f>IF(GI6=12,"FY"&amp;RIGHT('1.1 Parents'!$E$12-1,2),GJ4)</f>
        <v>FY13</v>
      </c>
      <c r="GJ4" s="384" t="str">
        <f>IF(GJ6=12,"FY"&amp;RIGHT('1.1 Parents'!$E$12-1,2),GK4)</f>
        <v>FY13</v>
      </c>
      <c r="GK4" s="384" t="str">
        <f>IF(GK6=12,"FY"&amp;RIGHT('1.1 Parents'!$E$12-1,2),GL4)</f>
        <v>FY13</v>
      </c>
      <c r="GL4" s="384" t="str">
        <f>IF(GL6=12,"FY"&amp;RIGHT('1.1 Parents'!$E$12-1,2),GM4)</f>
        <v>FY13</v>
      </c>
      <c r="GM4" s="384" t="str">
        <f>IF(GM6=12,"FY"&amp;RIGHT('1.1 Parents'!$E$12-1,2),GN4)</f>
        <v>FY13</v>
      </c>
      <c r="GN4" s="385" t="str">
        <f>"FY"&amp;RIGHT('1.1 Parents'!E12,2)</f>
        <v>FY13</v>
      </c>
      <c r="GO4" s="383" t="str">
        <f>IF(GO6=12,"FY"&amp;RIGHT('1.1 Parents'!$E$12-1,2),GP4)</f>
        <v>FY12</v>
      </c>
      <c r="GP4" s="384" t="str">
        <f>IF(GP6=12,"FY"&amp;RIGHT('1.1 Parents'!$E$12-1,2),GQ4)</f>
        <v>FY13</v>
      </c>
      <c r="GQ4" s="384" t="str">
        <f>IF(GQ6=12,"FY"&amp;RIGHT('1.1 Parents'!$E$12-1,2),GR4)</f>
        <v>FY13</v>
      </c>
      <c r="GR4" s="384" t="str">
        <f>IF(GR6=12,"FY"&amp;RIGHT('1.1 Parents'!$E$12-1,2),GS4)</f>
        <v>FY13</v>
      </c>
      <c r="GS4" s="384" t="str">
        <f>IF(GS6=12,"FY"&amp;RIGHT('1.1 Parents'!$E$12-1,2),GT4)</f>
        <v>FY13</v>
      </c>
      <c r="GT4" s="384" t="str">
        <f>IF(GT6=12,"FY"&amp;RIGHT('1.1 Parents'!$E$12-1,2),GU4)</f>
        <v>FY13</v>
      </c>
      <c r="GU4" s="384" t="str">
        <f>IF(GU6=12,"FY"&amp;RIGHT('1.1 Parents'!$E$12-1,2),GV4)</f>
        <v>FY13</v>
      </c>
      <c r="GV4" s="384" t="str">
        <f>IF(GV6=12,"FY"&amp;RIGHT('1.1 Parents'!$E$12-1,2),GW4)</f>
        <v>FY13</v>
      </c>
      <c r="GW4" s="384" t="str">
        <f>IF(GW6=12,"FY"&amp;RIGHT('1.1 Parents'!$E$12-1,2),GX4)</f>
        <v>FY13</v>
      </c>
      <c r="GX4" s="384" t="str">
        <f>IF(GX6=12,"FY"&amp;RIGHT('1.1 Parents'!$E$12-1,2),GY4)</f>
        <v>FY13</v>
      </c>
      <c r="GY4" s="384" t="str">
        <f>IF(GY6=12,"FY"&amp;RIGHT('1.1 Parents'!$E$12-1,2),GZ4)</f>
        <v>FY13</v>
      </c>
      <c r="GZ4" s="385" t="str">
        <f>"FY"&amp;RIGHT('1.1 Parents'!E12,2)</f>
        <v>FY13</v>
      </c>
    </row>
    <row r="5" spans="1:221">
      <c r="A5" s="109"/>
      <c r="B5" s="109"/>
      <c r="C5" s="109"/>
      <c r="D5" s="383" t="str">
        <f>IF(D$3&lt;&gt;"",$GC5,"")</f>
        <v>Dec</v>
      </c>
      <c r="E5" s="384" t="str">
        <f>IF(E$3&lt;&gt;"",$GD5,"")</f>
        <v>Jan</v>
      </c>
      <c r="F5" s="384" t="str">
        <f>IF(F$3&lt;&gt;"",$GE5,"")</f>
        <v>Feb</v>
      </c>
      <c r="G5" s="384" t="str">
        <f>IF(G$3&lt;&gt;"",$GF5,"")</f>
        <v>Mar</v>
      </c>
      <c r="H5" s="384" t="str">
        <f>IF(H$3&lt;&gt;"",$GG5,"")</f>
        <v>Apr</v>
      </c>
      <c r="I5" s="384" t="str">
        <f>IF(I$3&lt;&gt;"",$GH5,"")</f>
        <v>May</v>
      </c>
      <c r="J5" s="384" t="str">
        <f>IF(J$3&lt;&gt;"",$GI5,"")</f>
        <v>Jun</v>
      </c>
      <c r="K5" s="384" t="str">
        <f>IF(K$3&lt;&gt;"",$GJ5,"")</f>
        <v>Jul</v>
      </c>
      <c r="L5" s="384" t="str">
        <f>IF(L$3&lt;&gt;"",$GK5,"")</f>
        <v>Aug</v>
      </c>
      <c r="M5" s="384" t="str">
        <f>IF(M$3&lt;&gt;"",$GL5,"")</f>
        <v>Sep</v>
      </c>
      <c r="N5" s="384" t="str">
        <f>IF(N$3&lt;&gt;"",$GM5,"")</f>
        <v>Oct</v>
      </c>
      <c r="O5" s="385" t="str">
        <f>IF(O$3&lt;&gt;"",$GN5,"")</f>
        <v>Nov</v>
      </c>
      <c r="P5" s="383" t="str">
        <f>IF(P$3&lt;&gt;"",$GC5,"")</f>
        <v>Dec</v>
      </c>
      <c r="Q5" s="384" t="str">
        <f>IF(Q$3&lt;&gt;"",$GD5,"")</f>
        <v>Jan</v>
      </c>
      <c r="R5" s="384" t="str">
        <f>IF(R$3&lt;&gt;"",$GE5,"")</f>
        <v>Feb</v>
      </c>
      <c r="S5" s="384" t="str">
        <f>IF(S$3&lt;&gt;"",$GF5,"")</f>
        <v>Mar</v>
      </c>
      <c r="T5" s="384" t="str">
        <f>IF(T$3&lt;&gt;"",$GG5,"")</f>
        <v>Apr</v>
      </c>
      <c r="U5" s="384" t="str">
        <f>IF(U$3&lt;&gt;"",$GH5,"")</f>
        <v>May</v>
      </c>
      <c r="V5" s="384" t="str">
        <f>IF(V$3&lt;&gt;"",$GI5,"")</f>
        <v>Jun</v>
      </c>
      <c r="W5" s="384" t="str">
        <f>IF(W$3&lt;&gt;"",$GJ5,"")</f>
        <v>Jul</v>
      </c>
      <c r="X5" s="384" t="str">
        <f>IF(X$3&lt;&gt;"",$GK5,"")</f>
        <v>Aug</v>
      </c>
      <c r="Y5" s="384" t="str">
        <f>IF(Y$3&lt;&gt;"",$GL5,"")</f>
        <v>Sep</v>
      </c>
      <c r="Z5" s="384" t="str">
        <f>IF(Z$3&lt;&gt;"",$GM5,"")</f>
        <v>Oct</v>
      </c>
      <c r="AA5" s="385" t="str">
        <f>IF(AA$3&lt;&gt;"",$GN5,"")</f>
        <v>Nov</v>
      </c>
      <c r="AB5" s="384" t="str">
        <f>IF(AB$3&lt;&gt;"",$GC5,"")</f>
        <v/>
      </c>
      <c r="AC5" s="384" t="str">
        <f>IF(AC$3&lt;&gt;"",$GD5,"")</f>
        <v/>
      </c>
      <c r="AD5" s="384" t="str">
        <f>IF(AD$3&lt;&gt;"",$GE5,"")</f>
        <v/>
      </c>
      <c r="AE5" s="384" t="str">
        <f>IF(AE$3&lt;&gt;"",$GF5,"")</f>
        <v/>
      </c>
      <c r="AF5" s="384" t="str">
        <f>IF(AF$3&lt;&gt;"",$GG5,"")</f>
        <v/>
      </c>
      <c r="AG5" s="384" t="str">
        <f>IF(AG$3&lt;&gt;"",$GH5,"")</f>
        <v/>
      </c>
      <c r="AH5" s="384" t="str">
        <f>IF(AH$3&lt;&gt;"",$GI5,"")</f>
        <v/>
      </c>
      <c r="AI5" s="384" t="str">
        <f>IF(AI$3&lt;&gt;"",$GJ5,"")</f>
        <v/>
      </c>
      <c r="AJ5" s="384" t="str">
        <f>IF(AJ$3&lt;&gt;"",$GK5,"")</f>
        <v/>
      </c>
      <c r="AK5" s="384" t="str">
        <f>IF(AK$3&lt;&gt;"",$GL5,"")</f>
        <v/>
      </c>
      <c r="AL5" s="384" t="str">
        <f>IF(AL$3&lt;&gt;"",$GM5,"")</f>
        <v/>
      </c>
      <c r="AM5" s="385" t="str">
        <f>IF(AM$3&lt;&gt;"",$GN5,"")</f>
        <v/>
      </c>
      <c r="AN5" s="383" t="str">
        <f>IF(AN$3&lt;&gt;"",$GC5,"")</f>
        <v/>
      </c>
      <c r="AO5" s="384" t="str">
        <f>IF(AO$3&lt;&gt;"",$GD5,"")</f>
        <v/>
      </c>
      <c r="AP5" s="384" t="str">
        <f>IF(AP$3&lt;&gt;"",$GE5,"")</f>
        <v/>
      </c>
      <c r="AQ5" s="384" t="str">
        <f>IF(AQ$3&lt;&gt;"",$GF5,"")</f>
        <v/>
      </c>
      <c r="AR5" s="384" t="str">
        <f>IF(AR$3&lt;&gt;"",$GG5,"")</f>
        <v/>
      </c>
      <c r="AS5" s="384" t="str">
        <f>IF(AS$3&lt;&gt;"",$GH5,"")</f>
        <v/>
      </c>
      <c r="AT5" s="384" t="str">
        <f>IF(AT$3&lt;&gt;"",$GI5,"")</f>
        <v/>
      </c>
      <c r="AU5" s="384" t="str">
        <f>IF(AU$3&lt;&gt;"",$GJ5,"")</f>
        <v/>
      </c>
      <c r="AV5" s="384" t="str">
        <f>IF(AV$3&lt;&gt;"",$GK5,"")</f>
        <v/>
      </c>
      <c r="AW5" s="384" t="str">
        <f>IF(AW$3&lt;&gt;"",$GL5,"")</f>
        <v/>
      </c>
      <c r="AX5" s="384" t="str">
        <f>IF(AX$3&lt;&gt;"",$GM5,"")</f>
        <v/>
      </c>
      <c r="AY5" s="385" t="str">
        <f>IF(AY$3&lt;&gt;"",$GN5,"")</f>
        <v/>
      </c>
      <c r="AZ5" s="383" t="str">
        <f>IF(AZ$3&lt;&gt;"",$GC5,"")</f>
        <v/>
      </c>
      <c r="BA5" s="384" t="str">
        <f>IF(BA$3&lt;&gt;"",$GD5,"")</f>
        <v/>
      </c>
      <c r="BB5" s="384" t="str">
        <f>IF(BB$3&lt;&gt;"",$GE5,"")</f>
        <v/>
      </c>
      <c r="BC5" s="384" t="str">
        <f>IF(BC$3&lt;&gt;"",$GF5,"")</f>
        <v/>
      </c>
      <c r="BD5" s="384" t="str">
        <f>IF(BD$3&lt;&gt;"",$GG5,"")</f>
        <v/>
      </c>
      <c r="BE5" s="384" t="str">
        <f>IF(BE$3&lt;&gt;"",$GH5,"")</f>
        <v/>
      </c>
      <c r="BF5" s="384" t="str">
        <f>IF(BF$3&lt;&gt;"",$GI5,"")</f>
        <v/>
      </c>
      <c r="BG5" s="384" t="str">
        <f>IF(BG$3&lt;&gt;"",$GJ5,"")</f>
        <v/>
      </c>
      <c r="BH5" s="384" t="str">
        <f>IF(BH$3&lt;&gt;"",$GK5,"")</f>
        <v/>
      </c>
      <c r="BI5" s="384" t="str">
        <f>IF(BI$3&lt;&gt;"",$GL5,"")</f>
        <v/>
      </c>
      <c r="BJ5" s="384" t="str">
        <f>IF(BJ$3&lt;&gt;"",$GM5,"")</f>
        <v/>
      </c>
      <c r="BK5" s="385" t="str">
        <f>IF(BK$3&lt;&gt;"",$GN5,"")</f>
        <v/>
      </c>
      <c r="BL5" s="383" t="str">
        <f>IF(BL$3&lt;&gt;"",$GC5,"")</f>
        <v/>
      </c>
      <c r="BM5" s="384" t="str">
        <f>IF(BM$3&lt;&gt;"",$GD5,"")</f>
        <v/>
      </c>
      <c r="BN5" s="384" t="str">
        <f>IF(BN$3&lt;&gt;"",$GE5,"")</f>
        <v/>
      </c>
      <c r="BO5" s="384" t="str">
        <f>IF(BO$3&lt;&gt;"",$GF5,"")</f>
        <v/>
      </c>
      <c r="BP5" s="384" t="str">
        <f>IF(BP$3&lt;&gt;"",$GG5,"")</f>
        <v/>
      </c>
      <c r="BQ5" s="384" t="str">
        <f>IF(BQ$3&lt;&gt;"",$GH5,"")</f>
        <v/>
      </c>
      <c r="BR5" s="384" t="str">
        <f>IF(BR$3&lt;&gt;"",$GI5,"")</f>
        <v/>
      </c>
      <c r="BS5" s="384" t="str">
        <f>IF(BS$3&lt;&gt;"",$GJ5,"")</f>
        <v/>
      </c>
      <c r="BT5" s="384" t="str">
        <f>IF(BT$3&lt;&gt;"",$GK5,"")</f>
        <v/>
      </c>
      <c r="BU5" s="384" t="str">
        <f>IF(BU$3&lt;&gt;"",$GL5,"")</f>
        <v/>
      </c>
      <c r="BV5" s="384" t="str">
        <f>IF(BV$3&lt;&gt;"",$GM5,"")</f>
        <v/>
      </c>
      <c r="BW5" s="385" t="str">
        <f>IF(BW$3&lt;&gt;"",$GN5,"")</f>
        <v/>
      </c>
      <c r="BX5" s="383" t="str">
        <f>IF(BX$3&lt;&gt;"",$GC5,"")</f>
        <v/>
      </c>
      <c r="BY5" s="384" t="str">
        <f>IF(BY$3&lt;&gt;"",$GD5,"")</f>
        <v/>
      </c>
      <c r="BZ5" s="384" t="str">
        <f>IF(BZ$3&lt;&gt;"",$GE5,"")</f>
        <v/>
      </c>
      <c r="CA5" s="384" t="str">
        <f>IF(CA$3&lt;&gt;"",$GF5,"")</f>
        <v/>
      </c>
      <c r="CB5" s="384" t="str">
        <f>IF(CB$3&lt;&gt;"",$GG5,"")</f>
        <v/>
      </c>
      <c r="CC5" s="384" t="str">
        <f>IF(CC$3&lt;&gt;"",$GH5,"")</f>
        <v/>
      </c>
      <c r="CD5" s="384" t="str">
        <f>IF(CD$3&lt;&gt;"",$GI5,"")</f>
        <v/>
      </c>
      <c r="CE5" s="384" t="str">
        <f>IF(CE$3&lt;&gt;"",$GJ5,"")</f>
        <v/>
      </c>
      <c r="CF5" s="384" t="str">
        <f>IF(CF$3&lt;&gt;"",$GK5,"")</f>
        <v/>
      </c>
      <c r="CG5" s="384" t="str">
        <f>IF(CG$3&lt;&gt;"",$GL5,"")</f>
        <v/>
      </c>
      <c r="CH5" s="384" t="str">
        <f>IF(CH$3&lt;&gt;"",$GM5,"")</f>
        <v/>
      </c>
      <c r="CI5" s="385" t="str">
        <f>IF(CI$3&lt;&gt;"",$GN5,"")</f>
        <v/>
      </c>
      <c r="CJ5" s="383" t="str">
        <f>IF(CJ$3&lt;&gt;"",$GC5,"")</f>
        <v/>
      </c>
      <c r="CK5" s="384" t="str">
        <f>IF(CK$3&lt;&gt;"",$GD5,"")</f>
        <v/>
      </c>
      <c r="CL5" s="384" t="str">
        <f>IF(CL$3&lt;&gt;"",$GE5,"")</f>
        <v/>
      </c>
      <c r="CM5" s="384" t="str">
        <f>IF(CM$3&lt;&gt;"",$GF5,"")</f>
        <v/>
      </c>
      <c r="CN5" s="384" t="str">
        <f>IF(CN$3&lt;&gt;"",$GG5,"")</f>
        <v/>
      </c>
      <c r="CO5" s="384" t="str">
        <f>IF(CO$3&lt;&gt;"",$GH5,"")</f>
        <v/>
      </c>
      <c r="CP5" s="384" t="str">
        <f>IF(CP$3&lt;&gt;"",$GI5,"")</f>
        <v/>
      </c>
      <c r="CQ5" s="384" t="str">
        <f>IF(CQ$3&lt;&gt;"",$GJ5,"")</f>
        <v/>
      </c>
      <c r="CR5" s="384" t="str">
        <f>IF(CR$3&lt;&gt;"",$GK5,"")</f>
        <v/>
      </c>
      <c r="CS5" s="384" t="str">
        <f>IF(CS$3&lt;&gt;"",$GL5,"")</f>
        <v/>
      </c>
      <c r="CT5" s="384" t="str">
        <f>IF(CT$3&lt;&gt;"",$GM5,"")</f>
        <v/>
      </c>
      <c r="CU5" s="385" t="str">
        <f>IF(CU$3&lt;&gt;"",$GN5,"")</f>
        <v/>
      </c>
      <c r="CV5" s="383" t="str">
        <f>IF(CV$3&lt;&gt;"",$GC5,"")</f>
        <v/>
      </c>
      <c r="CW5" s="384" t="str">
        <f>IF(CW$3&lt;&gt;"",$GD5,"")</f>
        <v/>
      </c>
      <c r="CX5" s="384" t="str">
        <f>IF(CX$3&lt;&gt;"",$GE5,"")</f>
        <v/>
      </c>
      <c r="CY5" s="384" t="str">
        <f>IF(CY$3&lt;&gt;"",$GF5,"")</f>
        <v/>
      </c>
      <c r="CZ5" s="384" t="str">
        <f>IF(CZ$3&lt;&gt;"",$GG5,"")</f>
        <v/>
      </c>
      <c r="DA5" s="384" t="str">
        <f>IF(DA$3&lt;&gt;"",$GH5,"")</f>
        <v/>
      </c>
      <c r="DB5" s="384" t="str">
        <f>IF(DB$3&lt;&gt;"",$GI5,"")</f>
        <v/>
      </c>
      <c r="DC5" s="384" t="str">
        <f>IF(DC$3&lt;&gt;"",$GJ5,"")</f>
        <v/>
      </c>
      <c r="DD5" s="384" t="str">
        <f>IF(DD$3&lt;&gt;"",$GK5,"")</f>
        <v/>
      </c>
      <c r="DE5" s="384" t="str">
        <f>IF(DE$3&lt;&gt;"",$GL5,"")</f>
        <v/>
      </c>
      <c r="DF5" s="384" t="str">
        <f>IF(DF$3&lt;&gt;"",$GM5,"")</f>
        <v/>
      </c>
      <c r="DG5" s="385" t="str">
        <f>IF(DG$3&lt;&gt;"",$GN5,"")</f>
        <v/>
      </c>
      <c r="DH5" s="383" t="str">
        <f>IF(DH$3&lt;&gt;"",$GC5,"")</f>
        <v/>
      </c>
      <c r="DI5" s="384" t="str">
        <f>IF(DI$3&lt;&gt;"",$GD5,"")</f>
        <v/>
      </c>
      <c r="DJ5" s="384" t="str">
        <f>IF(DJ$3&lt;&gt;"",$GE5,"")</f>
        <v/>
      </c>
      <c r="DK5" s="384" t="str">
        <f>IF(DK$3&lt;&gt;"",$GF5,"")</f>
        <v/>
      </c>
      <c r="DL5" s="384" t="str">
        <f>IF(DL$3&lt;&gt;"",$GG5,"")</f>
        <v/>
      </c>
      <c r="DM5" s="384" t="str">
        <f>IF(DM$3&lt;&gt;"",$GH5,"")</f>
        <v/>
      </c>
      <c r="DN5" s="384" t="str">
        <f>IF(DN$3&lt;&gt;"",$GI5,"")</f>
        <v/>
      </c>
      <c r="DO5" s="384" t="str">
        <f>IF(DO$3&lt;&gt;"",$GJ5,"")</f>
        <v/>
      </c>
      <c r="DP5" s="384" t="str">
        <f>IF(DP$3&lt;&gt;"",$GK5,"")</f>
        <v/>
      </c>
      <c r="DQ5" s="384" t="str">
        <f>IF(DQ$3&lt;&gt;"",$GL5,"")</f>
        <v/>
      </c>
      <c r="DR5" s="384" t="str">
        <f>IF(DR$3&lt;&gt;"",$GM5,"")</f>
        <v/>
      </c>
      <c r="DS5" s="385" t="str">
        <f>IF(DS$3&lt;&gt;"",$GN5,"")</f>
        <v/>
      </c>
      <c r="DT5" s="383" t="str">
        <f>IF(DT$3&lt;&gt;"",$GC5,"")</f>
        <v>Dec</v>
      </c>
      <c r="DU5" s="384" t="str">
        <f>IF(DU$3&lt;&gt;"",$GD5,"")</f>
        <v>Jan</v>
      </c>
      <c r="DV5" s="384" t="str">
        <f>IF(DV$3&lt;&gt;"",$GE5,"")</f>
        <v>Feb</v>
      </c>
      <c r="DW5" s="384" t="str">
        <f>IF(DW$3&lt;&gt;"",$GF5,"")</f>
        <v>Mar</v>
      </c>
      <c r="DX5" s="384" t="str">
        <f>IF(DX$3&lt;&gt;"",$GG5,"")</f>
        <v>Apr</v>
      </c>
      <c r="DY5" s="384" t="str">
        <f>IF(DY$3&lt;&gt;"",$GH5,"")</f>
        <v>May</v>
      </c>
      <c r="DZ5" s="384" t="str">
        <f>IF(DZ$3&lt;&gt;"",$GI5,"")</f>
        <v>Jun</v>
      </c>
      <c r="EA5" s="384" t="str">
        <f>IF(EA$3&lt;&gt;"",$GJ5,"")</f>
        <v>Jul</v>
      </c>
      <c r="EB5" s="384" t="str">
        <f>IF(EB$3&lt;&gt;"",$GK5,"")</f>
        <v>Aug</v>
      </c>
      <c r="EC5" s="384" t="str">
        <f>IF(EC$3&lt;&gt;"",$GL5,"")</f>
        <v>Sep</v>
      </c>
      <c r="ED5" s="384" t="str">
        <f>IF(ED$3&lt;&gt;"",$GM5,"")</f>
        <v>Oct</v>
      </c>
      <c r="EE5" s="385" t="str">
        <f>IF(EE$3&lt;&gt;"",$GN5,"")</f>
        <v>Nov</v>
      </c>
      <c r="EF5" s="383" t="str">
        <f>IF(EF$3&lt;&gt;"",$GC5,"")</f>
        <v/>
      </c>
      <c r="EG5" s="384" t="str">
        <f>IF(EG$3&lt;&gt;"",$GD5,"")</f>
        <v/>
      </c>
      <c r="EH5" s="384" t="str">
        <f>IF(EH$3&lt;&gt;"",$GE5,"")</f>
        <v/>
      </c>
      <c r="EI5" s="384" t="str">
        <f>IF(EI$3&lt;&gt;"",$GF5,"")</f>
        <v/>
      </c>
      <c r="EJ5" s="384" t="str">
        <f>IF(EJ$3&lt;&gt;"",$GG5,"")</f>
        <v/>
      </c>
      <c r="EK5" s="384" t="str">
        <f>IF(EK$3&lt;&gt;"",$GH5,"")</f>
        <v/>
      </c>
      <c r="EL5" s="384" t="str">
        <f>IF(EL$3&lt;&gt;"",$GI5,"")</f>
        <v/>
      </c>
      <c r="EM5" s="384" t="str">
        <f>IF(EM$3&lt;&gt;"",$GJ5,"")</f>
        <v/>
      </c>
      <c r="EN5" s="384" t="str">
        <f>IF(EN$3&lt;&gt;"",$GK5,"")</f>
        <v/>
      </c>
      <c r="EO5" s="384" t="str">
        <f>IF(EO$3&lt;&gt;"",$GL5,"")</f>
        <v/>
      </c>
      <c r="EP5" s="384" t="str">
        <f>IF(EP$3&lt;&gt;"",$GM5,"")</f>
        <v/>
      </c>
      <c r="EQ5" s="385" t="str">
        <f>IF(EQ$3&lt;&gt;"",$GN5,"")</f>
        <v/>
      </c>
      <c r="ER5" s="383" t="str">
        <f>IF(ER$3&lt;&gt;"",$GC5,"")</f>
        <v/>
      </c>
      <c r="ES5" s="384" t="str">
        <f>IF(ES$3&lt;&gt;"",$GD5,"")</f>
        <v/>
      </c>
      <c r="ET5" s="384" t="str">
        <f>IF(ET$3&lt;&gt;"",$GE5,"")</f>
        <v/>
      </c>
      <c r="EU5" s="384" t="str">
        <f>IF(EU$3&lt;&gt;"",$GF5,"")</f>
        <v/>
      </c>
      <c r="EV5" s="384" t="str">
        <f>IF(EV$3&lt;&gt;"",$GG5,"")</f>
        <v/>
      </c>
      <c r="EW5" s="384" t="str">
        <f>IF(EW$3&lt;&gt;"",$GH5,"")</f>
        <v/>
      </c>
      <c r="EX5" s="384" t="str">
        <f>IF(EX$3&lt;&gt;"",$GI5,"")</f>
        <v/>
      </c>
      <c r="EY5" s="384" t="str">
        <f>IF(EY$3&lt;&gt;"",$GJ5,"")</f>
        <v/>
      </c>
      <c r="EZ5" s="384" t="str">
        <f>IF(EZ$3&lt;&gt;"",$GK5,"")</f>
        <v/>
      </c>
      <c r="FA5" s="384" t="str">
        <f>IF(FA$3&lt;&gt;"",$GL5,"")</f>
        <v/>
      </c>
      <c r="FB5" s="384" t="str">
        <f>IF(FB$3&lt;&gt;"",$GM5,"")</f>
        <v/>
      </c>
      <c r="FC5" s="385" t="str">
        <f>IF(FC$3&lt;&gt;"",$GN5,"")</f>
        <v/>
      </c>
      <c r="FD5" s="383" t="str">
        <f>IF(FD$3&lt;&gt;"",$GC5,"")</f>
        <v/>
      </c>
      <c r="FE5" s="384" t="str">
        <f>IF(FE$3&lt;&gt;"",$GD5,"")</f>
        <v/>
      </c>
      <c r="FF5" s="384" t="str">
        <f>IF(FF$3&lt;&gt;"",$GE5,"")</f>
        <v/>
      </c>
      <c r="FG5" s="384" t="str">
        <f>IF(FG$3&lt;&gt;"",$GF5,"")</f>
        <v/>
      </c>
      <c r="FH5" s="384" t="str">
        <f>IF(FH$3&lt;&gt;"",$GG5,"")</f>
        <v/>
      </c>
      <c r="FI5" s="384" t="str">
        <f>IF(FI$3&lt;&gt;"",$GH5,"")</f>
        <v/>
      </c>
      <c r="FJ5" s="384" t="str">
        <f>IF(FJ$3&lt;&gt;"",$GI5,"")</f>
        <v/>
      </c>
      <c r="FK5" s="384" t="str">
        <f>IF(FK$3&lt;&gt;"",$GJ5,"")</f>
        <v/>
      </c>
      <c r="FL5" s="384" t="str">
        <f>IF(FL$3&lt;&gt;"",$GK5,"")</f>
        <v/>
      </c>
      <c r="FM5" s="384" t="str">
        <f>IF(FM$3&lt;&gt;"",$GL5,"")</f>
        <v/>
      </c>
      <c r="FN5" s="384" t="str">
        <f>IF(FN$3&lt;&gt;"",$GM5,"")</f>
        <v/>
      </c>
      <c r="FO5" s="385" t="str">
        <f>IF(FO$3&lt;&gt;"",$GN5,"")</f>
        <v/>
      </c>
      <c r="FP5" s="383" t="str">
        <f>IF(FP$3&lt;&gt;"",$GC5,"")</f>
        <v/>
      </c>
      <c r="FQ5" s="384" t="str">
        <f>IF(FQ$3&lt;&gt;"",$GD5,"")</f>
        <v/>
      </c>
      <c r="FR5" s="384" t="str">
        <f>IF(FR$3&lt;&gt;"",$GE5,"")</f>
        <v/>
      </c>
      <c r="FS5" s="384" t="str">
        <f>IF(FS$3&lt;&gt;"",$GF5,"")</f>
        <v/>
      </c>
      <c r="FT5" s="384" t="str">
        <f>IF(FT$3&lt;&gt;"",$GG5,"")</f>
        <v/>
      </c>
      <c r="FU5" s="384" t="str">
        <f>IF(FU$3&lt;&gt;"",$GH5,"")</f>
        <v/>
      </c>
      <c r="FV5" s="384" t="str">
        <f>IF(FV$3&lt;&gt;"",$GI5,"")</f>
        <v/>
      </c>
      <c r="FW5" s="384" t="str">
        <f>IF(FW$3&lt;&gt;"",$GJ5,"")</f>
        <v/>
      </c>
      <c r="FX5" s="384" t="str">
        <f>IF(FX$3&lt;&gt;"",$GK5,"")</f>
        <v/>
      </c>
      <c r="FY5" s="384" t="str">
        <f>IF(FY$3&lt;&gt;"",$GL5,"")</f>
        <v/>
      </c>
      <c r="FZ5" s="384" t="str">
        <f>IF(FZ$3&lt;&gt;"",$GM5,"")</f>
        <v/>
      </c>
      <c r="GA5" s="385" t="str">
        <f>IF(GA$3&lt;&gt;"",$GN5,"")</f>
        <v/>
      </c>
      <c r="GB5" s="109"/>
      <c r="GC5" s="383" t="str">
        <f t="shared" ref="GC5:GM5" si="0">INDEX(ChooseMonth,GC6)</f>
        <v>Dec</v>
      </c>
      <c r="GD5" s="384" t="str">
        <f t="shared" si="0"/>
        <v>Jan</v>
      </c>
      <c r="GE5" s="384" t="str">
        <f t="shared" si="0"/>
        <v>Feb</v>
      </c>
      <c r="GF5" s="384" t="str">
        <f t="shared" si="0"/>
        <v>Mar</v>
      </c>
      <c r="GG5" s="384" t="str">
        <f t="shared" si="0"/>
        <v>Apr</v>
      </c>
      <c r="GH5" s="384" t="str">
        <f t="shared" si="0"/>
        <v>May</v>
      </c>
      <c r="GI5" s="384" t="str">
        <f t="shared" si="0"/>
        <v>Jun</v>
      </c>
      <c r="GJ5" s="384" t="str">
        <f t="shared" si="0"/>
        <v>Jul</v>
      </c>
      <c r="GK5" s="384" t="str">
        <f t="shared" si="0"/>
        <v>Aug</v>
      </c>
      <c r="GL5" s="384" t="str">
        <f t="shared" si="0"/>
        <v>Sep</v>
      </c>
      <c r="GM5" s="384" t="str">
        <f t="shared" si="0"/>
        <v>Oct</v>
      </c>
      <c r="GN5" s="385" t="str">
        <f>'1.1 Parents'!E11</f>
        <v>Nov</v>
      </c>
      <c r="GO5" s="383" t="str">
        <f t="shared" ref="GO5:GY5" si="1">INDEX(ChooseMonth,GO6)</f>
        <v>Dec</v>
      </c>
      <c r="GP5" s="384" t="str">
        <f t="shared" si="1"/>
        <v>Jan</v>
      </c>
      <c r="GQ5" s="384" t="str">
        <f t="shared" si="1"/>
        <v>Feb</v>
      </c>
      <c r="GR5" s="384" t="str">
        <f t="shared" si="1"/>
        <v>Mar</v>
      </c>
      <c r="GS5" s="384" t="str">
        <f t="shared" si="1"/>
        <v>Apr</v>
      </c>
      <c r="GT5" s="384" t="str">
        <f t="shared" si="1"/>
        <v>May</v>
      </c>
      <c r="GU5" s="384" t="str">
        <f t="shared" si="1"/>
        <v>Jun</v>
      </c>
      <c r="GV5" s="384" t="str">
        <f t="shared" si="1"/>
        <v>Jul</v>
      </c>
      <c r="GW5" s="384" t="str">
        <f t="shared" si="1"/>
        <v>Aug</v>
      </c>
      <c r="GX5" s="384" t="str">
        <f t="shared" si="1"/>
        <v>Sep</v>
      </c>
      <c r="GY5" s="384" t="str">
        <f t="shared" si="1"/>
        <v>Oct</v>
      </c>
      <c r="GZ5" s="385" t="str">
        <f>'1.1 Parents'!E11</f>
        <v>Nov</v>
      </c>
    </row>
    <row r="6" spans="1:221">
      <c r="A6" s="109"/>
      <c r="B6" s="109"/>
      <c r="C6" s="109"/>
      <c r="D6" s="378">
        <f>IF(D$3&lt;&gt;"",$GC6,"")</f>
        <v>12</v>
      </c>
      <c r="E6" s="381">
        <f>IF(E$3&lt;&gt;"",$GD6,"")</f>
        <v>1</v>
      </c>
      <c r="F6" s="381">
        <f>IF(F$3&lt;&gt;"",$GE6,"")</f>
        <v>2</v>
      </c>
      <c r="G6" s="381">
        <f>IF(G$3&lt;&gt;"",$GF6,"")</f>
        <v>3</v>
      </c>
      <c r="H6" s="381">
        <f>IF(H$3&lt;&gt;"",$GG6,"")</f>
        <v>4</v>
      </c>
      <c r="I6" s="381">
        <f>IF(I$3&lt;&gt;"",$GH6,"")</f>
        <v>5</v>
      </c>
      <c r="J6" s="381">
        <f>IF(J$3&lt;&gt;"",$GI6,"")</f>
        <v>6</v>
      </c>
      <c r="K6" s="381">
        <f>IF(K$3&lt;&gt;"",$GJ6,"")</f>
        <v>7</v>
      </c>
      <c r="L6" s="381">
        <f>IF(L$3&lt;&gt;"",$GK6,"")</f>
        <v>8</v>
      </c>
      <c r="M6" s="381">
        <f>IF(M$3&lt;&gt;"",$GL6,"")</f>
        <v>9</v>
      </c>
      <c r="N6" s="381">
        <f>IF(N$3&lt;&gt;"",$GM6,"")</f>
        <v>10</v>
      </c>
      <c r="O6" s="382">
        <f>IF(O$3&lt;&gt;"",$GN6,"")</f>
        <v>11</v>
      </c>
      <c r="P6" s="378">
        <f>IF(P$3&lt;&gt;"",$GC6,"")</f>
        <v>12</v>
      </c>
      <c r="Q6" s="381">
        <f>IF(Q$3&lt;&gt;"",$GD6,"")</f>
        <v>1</v>
      </c>
      <c r="R6" s="381">
        <f>IF(R$3&lt;&gt;"",$GE6,"")</f>
        <v>2</v>
      </c>
      <c r="S6" s="381">
        <f>IF(S$3&lt;&gt;"",$GF6,"")</f>
        <v>3</v>
      </c>
      <c r="T6" s="381">
        <f>IF(T$3&lt;&gt;"",$GG6,"")</f>
        <v>4</v>
      </c>
      <c r="U6" s="381">
        <f>IF(U$3&lt;&gt;"",$GH6,"")</f>
        <v>5</v>
      </c>
      <c r="V6" s="381">
        <f>IF(V$3&lt;&gt;"",$GI6,"")</f>
        <v>6</v>
      </c>
      <c r="W6" s="381">
        <f>IF(W$3&lt;&gt;"",$GJ6,"")</f>
        <v>7</v>
      </c>
      <c r="X6" s="381">
        <f>IF(X$3&lt;&gt;"",$GK6,"")</f>
        <v>8</v>
      </c>
      <c r="Y6" s="381">
        <f>IF(Y$3&lt;&gt;"",$GL6,"")</f>
        <v>9</v>
      </c>
      <c r="Z6" s="381">
        <f>IF(Z$3&lt;&gt;"",$GM6,"")</f>
        <v>10</v>
      </c>
      <c r="AA6" s="382">
        <f>IF(AA$3&lt;&gt;"",$GN6,"")</f>
        <v>11</v>
      </c>
      <c r="AB6" s="381" t="str">
        <f>IF(AB$3&lt;&gt;"",$GC6,"")</f>
        <v/>
      </c>
      <c r="AC6" s="381" t="str">
        <f>IF(AC$3&lt;&gt;"",$GD6,"")</f>
        <v/>
      </c>
      <c r="AD6" s="381" t="str">
        <f>IF(AD$3&lt;&gt;"",$GE6,"")</f>
        <v/>
      </c>
      <c r="AE6" s="381" t="str">
        <f>IF(AE$3&lt;&gt;"",$GF6,"")</f>
        <v/>
      </c>
      <c r="AF6" s="381" t="str">
        <f>IF(AF$3&lt;&gt;"",$GG6,"")</f>
        <v/>
      </c>
      <c r="AG6" s="381" t="str">
        <f>IF(AG$3&lt;&gt;"",$GH6,"")</f>
        <v/>
      </c>
      <c r="AH6" s="381" t="str">
        <f>IF(AH$3&lt;&gt;"",$GI6,"")</f>
        <v/>
      </c>
      <c r="AI6" s="381" t="str">
        <f>IF(AI$3&lt;&gt;"",$GJ6,"")</f>
        <v/>
      </c>
      <c r="AJ6" s="381" t="str">
        <f>IF(AJ$3&lt;&gt;"",$GK6,"")</f>
        <v/>
      </c>
      <c r="AK6" s="381" t="str">
        <f>IF(AK$3&lt;&gt;"",$GL6,"")</f>
        <v/>
      </c>
      <c r="AL6" s="381" t="str">
        <f>IF(AL$3&lt;&gt;"",$GM6,"")</f>
        <v/>
      </c>
      <c r="AM6" s="382" t="str">
        <f>IF(AM$3&lt;&gt;"",$GN6,"")</f>
        <v/>
      </c>
      <c r="AN6" s="378" t="str">
        <f>IF(AN$3&lt;&gt;"",$GC6,"")</f>
        <v/>
      </c>
      <c r="AO6" s="381" t="str">
        <f>IF(AO$3&lt;&gt;"",$GD6,"")</f>
        <v/>
      </c>
      <c r="AP6" s="381" t="str">
        <f>IF(AP$3&lt;&gt;"",$GE6,"")</f>
        <v/>
      </c>
      <c r="AQ6" s="381" t="str">
        <f>IF(AQ$3&lt;&gt;"",$GF6,"")</f>
        <v/>
      </c>
      <c r="AR6" s="381" t="str">
        <f>IF(AR$3&lt;&gt;"",$GG6,"")</f>
        <v/>
      </c>
      <c r="AS6" s="381" t="str">
        <f>IF(AS$3&lt;&gt;"",$GH6,"")</f>
        <v/>
      </c>
      <c r="AT6" s="381" t="str">
        <f>IF(AT$3&lt;&gt;"",$GI6,"")</f>
        <v/>
      </c>
      <c r="AU6" s="381" t="str">
        <f>IF(AU$3&lt;&gt;"",$GJ6,"")</f>
        <v/>
      </c>
      <c r="AV6" s="381" t="str">
        <f>IF(AV$3&lt;&gt;"",$GK6,"")</f>
        <v/>
      </c>
      <c r="AW6" s="381" t="str">
        <f>IF(AW$3&lt;&gt;"",$GL6,"")</f>
        <v/>
      </c>
      <c r="AX6" s="381" t="str">
        <f>IF(AX$3&lt;&gt;"",$GM6,"")</f>
        <v/>
      </c>
      <c r="AY6" s="382" t="str">
        <f>IF(AY$3&lt;&gt;"",$GN6,"")</f>
        <v/>
      </c>
      <c r="AZ6" s="378" t="str">
        <f>IF(AZ$3&lt;&gt;"",$GC6,"")</f>
        <v/>
      </c>
      <c r="BA6" s="381" t="str">
        <f>IF(BA$3&lt;&gt;"",$GD6,"")</f>
        <v/>
      </c>
      <c r="BB6" s="381" t="str">
        <f>IF(BB$3&lt;&gt;"",$GE6,"")</f>
        <v/>
      </c>
      <c r="BC6" s="381" t="str">
        <f>IF(BC$3&lt;&gt;"",$GF6,"")</f>
        <v/>
      </c>
      <c r="BD6" s="381" t="str">
        <f>IF(BD$3&lt;&gt;"",$GG6,"")</f>
        <v/>
      </c>
      <c r="BE6" s="381" t="str">
        <f>IF(BE$3&lt;&gt;"",$GH6,"")</f>
        <v/>
      </c>
      <c r="BF6" s="381" t="str">
        <f>IF(BF$3&lt;&gt;"",$GI6,"")</f>
        <v/>
      </c>
      <c r="BG6" s="381" t="str">
        <f>IF(BG$3&lt;&gt;"",$GJ6,"")</f>
        <v/>
      </c>
      <c r="BH6" s="381" t="str">
        <f>IF(BH$3&lt;&gt;"",$GK6,"")</f>
        <v/>
      </c>
      <c r="BI6" s="381" t="str">
        <f>IF(BI$3&lt;&gt;"",$GL6,"")</f>
        <v/>
      </c>
      <c r="BJ6" s="381" t="str">
        <f>IF(BJ$3&lt;&gt;"",$GM6,"")</f>
        <v/>
      </c>
      <c r="BK6" s="382" t="str">
        <f>IF(BK$3&lt;&gt;"",$GN6,"")</f>
        <v/>
      </c>
      <c r="BL6" s="378" t="str">
        <f>IF(BL$3&lt;&gt;"",$GC6,"")</f>
        <v/>
      </c>
      <c r="BM6" s="381" t="str">
        <f>IF(BM$3&lt;&gt;"",$GD6,"")</f>
        <v/>
      </c>
      <c r="BN6" s="381" t="str">
        <f>IF(BN$3&lt;&gt;"",$GE6,"")</f>
        <v/>
      </c>
      <c r="BO6" s="381" t="str">
        <f>IF(BO$3&lt;&gt;"",$GF6,"")</f>
        <v/>
      </c>
      <c r="BP6" s="381" t="str">
        <f>IF(BP$3&lt;&gt;"",$GG6,"")</f>
        <v/>
      </c>
      <c r="BQ6" s="381" t="str">
        <f>IF(BQ$3&lt;&gt;"",$GH6,"")</f>
        <v/>
      </c>
      <c r="BR6" s="381" t="str">
        <f>IF(BR$3&lt;&gt;"",$GI6,"")</f>
        <v/>
      </c>
      <c r="BS6" s="381" t="str">
        <f>IF(BS$3&lt;&gt;"",$GJ6,"")</f>
        <v/>
      </c>
      <c r="BT6" s="381" t="str">
        <f>IF(BT$3&lt;&gt;"",$GK6,"")</f>
        <v/>
      </c>
      <c r="BU6" s="381" t="str">
        <f>IF(BU$3&lt;&gt;"",$GL6,"")</f>
        <v/>
      </c>
      <c r="BV6" s="381" t="str">
        <f>IF(BV$3&lt;&gt;"",$GM6,"")</f>
        <v/>
      </c>
      <c r="BW6" s="382" t="str">
        <f>IF(BW$3&lt;&gt;"",$GN6,"")</f>
        <v/>
      </c>
      <c r="BX6" s="378" t="str">
        <f>IF(BX$3&lt;&gt;"",$GC6,"")</f>
        <v/>
      </c>
      <c r="BY6" s="381" t="str">
        <f>IF(BY$3&lt;&gt;"",$GD6,"")</f>
        <v/>
      </c>
      <c r="BZ6" s="381" t="str">
        <f>IF(BZ$3&lt;&gt;"",$GE6,"")</f>
        <v/>
      </c>
      <c r="CA6" s="381" t="str">
        <f>IF(CA$3&lt;&gt;"",$GF6,"")</f>
        <v/>
      </c>
      <c r="CB6" s="381" t="str">
        <f>IF(CB$3&lt;&gt;"",$GG6,"")</f>
        <v/>
      </c>
      <c r="CC6" s="381" t="str">
        <f>IF(CC$3&lt;&gt;"",$GH6,"")</f>
        <v/>
      </c>
      <c r="CD6" s="381" t="str">
        <f>IF(CD$3&lt;&gt;"",$GI6,"")</f>
        <v/>
      </c>
      <c r="CE6" s="381" t="str">
        <f>IF(CE$3&lt;&gt;"",$GJ6,"")</f>
        <v/>
      </c>
      <c r="CF6" s="381" t="str">
        <f>IF(CF$3&lt;&gt;"",$GK6,"")</f>
        <v/>
      </c>
      <c r="CG6" s="381" t="str">
        <f>IF(CG$3&lt;&gt;"",$GL6,"")</f>
        <v/>
      </c>
      <c r="CH6" s="381" t="str">
        <f>IF(CH$3&lt;&gt;"",$GM6,"")</f>
        <v/>
      </c>
      <c r="CI6" s="382" t="str">
        <f>IF(CI$3&lt;&gt;"",$GN6,"")</f>
        <v/>
      </c>
      <c r="CJ6" s="378" t="str">
        <f>IF(CJ$3&lt;&gt;"",$GC6,"")</f>
        <v/>
      </c>
      <c r="CK6" s="381" t="str">
        <f>IF(CK$3&lt;&gt;"",$GD6,"")</f>
        <v/>
      </c>
      <c r="CL6" s="381" t="str">
        <f>IF(CL$3&lt;&gt;"",$GE6,"")</f>
        <v/>
      </c>
      <c r="CM6" s="381" t="str">
        <f>IF(CM$3&lt;&gt;"",$GF6,"")</f>
        <v/>
      </c>
      <c r="CN6" s="381" t="str">
        <f>IF(CN$3&lt;&gt;"",$GG6,"")</f>
        <v/>
      </c>
      <c r="CO6" s="381" t="str">
        <f>IF(CO$3&lt;&gt;"",$GH6,"")</f>
        <v/>
      </c>
      <c r="CP6" s="381" t="str">
        <f>IF(CP$3&lt;&gt;"",$GI6,"")</f>
        <v/>
      </c>
      <c r="CQ6" s="381" t="str">
        <f>IF(CQ$3&lt;&gt;"",$GJ6,"")</f>
        <v/>
      </c>
      <c r="CR6" s="381" t="str">
        <f>IF(CR$3&lt;&gt;"",$GK6,"")</f>
        <v/>
      </c>
      <c r="CS6" s="381" t="str">
        <f>IF(CS$3&lt;&gt;"",$GL6,"")</f>
        <v/>
      </c>
      <c r="CT6" s="381" t="str">
        <f>IF(CT$3&lt;&gt;"",$GM6,"")</f>
        <v/>
      </c>
      <c r="CU6" s="382" t="str">
        <f>IF(CU$3&lt;&gt;"",$GN6,"")</f>
        <v/>
      </c>
      <c r="CV6" s="378" t="str">
        <f>IF(CV$3&lt;&gt;"",$GC6,"")</f>
        <v/>
      </c>
      <c r="CW6" s="381" t="str">
        <f>IF(CW$3&lt;&gt;"",$GD6,"")</f>
        <v/>
      </c>
      <c r="CX6" s="381" t="str">
        <f>IF(CX$3&lt;&gt;"",$GE6,"")</f>
        <v/>
      </c>
      <c r="CY6" s="381" t="str">
        <f>IF(CY$3&lt;&gt;"",$GF6,"")</f>
        <v/>
      </c>
      <c r="CZ6" s="381" t="str">
        <f>IF(CZ$3&lt;&gt;"",$GG6,"")</f>
        <v/>
      </c>
      <c r="DA6" s="381" t="str">
        <f>IF(DA$3&lt;&gt;"",$GH6,"")</f>
        <v/>
      </c>
      <c r="DB6" s="381" t="str">
        <f>IF(DB$3&lt;&gt;"",$GI6,"")</f>
        <v/>
      </c>
      <c r="DC6" s="381" t="str">
        <f>IF(DC$3&lt;&gt;"",$GJ6,"")</f>
        <v/>
      </c>
      <c r="DD6" s="381" t="str">
        <f>IF(DD$3&lt;&gt;"",$GK6,"")</f>
        <v/>
      </c>
      <c r="DE6" s="381" t="str">
        <f>IF(DE$3&lt;&gt;"",$GL6,"")</f>
        <v/>
      </c>
      <c r="DF6" s="381" t="str">
        <f>IF(DF$3&lt;&gt;"",$GM6,"")</f>
        <v/>
      </c>
      <c r="DG6" s="382" t="str">
        <f>IF(DG$3&lt;&gt;"",$GN6,"")</f>
        <v/>
      </c>
      <c r="DH6" s="378" t="str">
        <f>IF(DH$3&lt;&gt;"",$GC6,"")</f>
        <v/>
      </c>
      <c r="DI6" s="381" t="str">
        <f>IF(DI$3&lt;&gt;"",$GD6,"")</f>
        <v/>
      </c>
      <c r="DJ6" s="381" t="str">
        <f>IF(DJ$3&lt;&gt;"",$GE6,"")</f>
        <v/>
      </c>
      <c r="DK6" s="381" t="str">
        <f>IF(DK$3&lt;&gt;"",$GF6,"")</f>
        <v/>
      </c>
      <c r="DL6" s="381" t="str">
        <f>IF(DL$3&lt;&gt;"",$GG6,"")</f>
        <v/>
      </c>
      <c r="DM6" s="381" t="str">
        <f>IF(DM$3&lt;&gt;"",$GH6,"")</f>
        <v/>
      </c>
      <c r="DN6" s="381" t="str">
        <f>IF(DN$3&lt;&gt;"",$GI6,"")</f>
        <v/>
      </c>
      <c r="DO6" s="381" t="str">
        <f>IF(DO$3&lt;&gt;"",$GJ6,"")</f>
        <v/>
      </c>
      <c r="DP6" s="381" t="str">
        <f>IF(DP$3&lt;&gt;"",$GK6,"")</f>
        <v/>
      </c>
      <c r="DQ6" s="381" t="str">
        <f>IF(DQ$3&lt;&gt;"",$GL6,"")</f>
        <v/>
      </c>
      <c r="DR6" s="381" t="str">
        <f>IF(DR$3&lt;&gt;"",$GM6,"")</f>
        <v/>
      </c>
      <c r="DS6" s="382" t="str">
        <f>IF(DS$3&lt;&gt;"",$GN6,"")</f>
        <v/>
      </c>
      <c r="DT6" s="378">
        <f>IF(DT$3&lt;&gt;"",$GC6,"")</f>
        <v>12</v>
      </c>
      <c r="DU6" s="381">
        <f>IF(DU$3&lt;&gt;"",$GD6,"")</f>
        <v>1</v>
      </c>
      <c r="DV6" s="381">
        <f>IF(DV$3&lt;&gt;"",$GE6,"")</f>
        <v>2</v>
      </c>
      <c r="DW6" s="381">
        <f>IF(DW$3&lt;&gt;"",$GF6,"")</f>
        <v>3</v>
      </c>
      <c r="DX6" s="381">
        <f>IF(DX$3&lt;&gt;"",$GG6,"")</f>
        <v>4</v>
      </c>
      <c r="DY6" s="381">
        <f>IF(DY$3&lt;&gt;"",$GH6,"")</f>
        <v>5</v>
      </c>
      <c r="DZ6" s="381">
        <f>IF(DZ$3&lt;&gt;"",$GI6,"")</f>
        <v>6</v>
      </c>
      <c r="EA6" s="381">
        <f>IF(EA$3&lt;&gt;"",$GJ6,"")</f>
        <v>7</v>
      </c>
      <c r="EB6" s="381">
        <f>IF(EB$3&lt;&gt;"",$GK6,"")</f>
        <v>8</v>
      </c>
      <c r="EC6" s="381">
        <f>IF(EC$3&lt;&gt;"",$GL6,"")</f>
        <v>9</v>
      </c>
      <c r="ED6" s="381">
        <f>IF(ED$3&lt;&gt;"",$GM6,"")</f>
        <v>10</v>
      </c>
      <c r="EE6" s="382">
        <f>IF(EE$3&lt;&gt;"",$GN6,"")</f>
        <v>11</v>
      </c>
      <c r="EF6" s="378" t="str">
        <f>IF(EF$3&lt;&gt;"",$GC6,"")</f>
        <v/>
      </c>
      <c r="EG6" s="381" t="str">
        <f>IF(EG$3&lt;&gt;"",$GD6,"")</f>
        <v/>
      </c>
      <c r="EH6" s="381" t="str">
        <f>IF(EH$3&lt;&gt;"",$GE6,"")</f>
        <v/>
      </c>
      <c r="EI6" s="381" t="str">
        <f>IF(EI$3&lt;&gt;"",$GF6,"")</f>
        <v/>
      </c>
      <c r="EJ6" s="381" t="str">
        <f>IF(EJ$3&lt;&gt;"",$GG6,"")</f>
        <v/>
      </c>
      <c r="EK6" s="381" t="str">
        <f>IF(EK$3&lt;&gt;"",$GH6,"")</f>
        <v/>
      </c>
      <c r="EL6" s="381" t="str">
        <f>IF(EL$3&lt;&gt;"",$GI6,"")</f>
        <v/>
      </c>
      <c r="EM6" s="381" t="str">
        <f>IF(EM$3&lt;&gt;"",$GJ6,"")</f>
        <v/>
      </c>
      <c r="EN6" s="381" t="str">
        <f>IF(EN$3&lt;&gt;"",$GK6,"")</f>
        <v/>
      </c>
      <c r="EO6" s="381" t="str">
        <f>IF(EO$3&lt;&gt;"",$GL6,"")</f>
        <v/>
      </c>
      <c r="EP6" s="381" t="str">
        <f>IF(EP$3&lt;&gt;"",$GM6,"")</f>
        <v/>
      </c>
      <c r="EQ6" s="382" t="str">
        <f>IF(EQ$3&lt;&gt;"",$GN6,"")</f>
        <v/>
      </c>
      <c r="ER6" s="378" t="str">
        <f>IF(ER$3&lt;&gt;"",$GC6,"")</f>
        <v/>
      </c>
      <c r="ES6" s="381" t="str">
        <f>IF(ES$3&lt;&gt;"",$GD6,"")</f>
        <v/>
      </c>
      <c r="ET6" s="381" t="str">
        <f>IF(ET$3&lt;&gt;"",$GE6,"")</f>
        <v/>
      </c>
      <c r="EU6" s="381" t="str">
        <f>IF(EU$3&lt;&gt;"",$GF6,"")</f>
        <v/>
      </c>
      <c r="EV6" s="381" t="str">
        <f>IF(EV$3&lt;&gt;"",$GG6,"")</f>
        <v/>
      </c>
      <c r="EW6" s="381" t="str">
        <f>IF(EW$3&lt;&gt;"",$GH6,"")</f>
        <v/>
      </c>
      <c r="EX6" s="381" t="str">
        <f>IF(EX$3&lt;&gt;"",$GI6,"")</f>
        <v/>
      </c>
      <c r="EY6" s="381" t="str">
        <f>IF(EY$3&lt;&gt;"",$GJ6,"")</f>
        <v/>
      </c>
      <c r="EZ6" s="381" t="str">
        <f>IF(EZ$3&lt;&gt;"",$GK6,"")</f>
        <v/>
      </c>
      <c r="FA6" s="381" t="str">
        <f>IF(FA$3&lt;&gt;"",$GL6,"")</f>
        <v/>
      </c>
      <c r="FB6" s="381" t="str">
        <f>IF(FB$3&lt;&gt;"",$GM6,"")</f>
        <v/>
      </c>
      <c r="FC6" s="382" t="str">
        <f>IF(FC$3&lt;&gt;"",$GN6,"")</f>
        <v/>
      </c>
      <c r="FD6" s="378" t="str">
        <f>IF(FD$3&lt;&gt;"",$GC6,"")</f>
        <v/>
      </c>
      <c r="FE6" s="381" t="str">
        <f>IF(FE$3&lt;&gt;"",$GD6,"")</f>
        <v/>
      </c>
      <c r="FF6" s="381" t="str">
        <f>IF(FF$3&lt;&gt;"",$GE6,"")</f>
        <v/>
      </c>
      <c r="FG6" s="381" t="str">
        <f>IF(FG$3&lt;&gt;"",$GF6,"")</f>
        <v/>
      </c>
      <c r="FH6" s="381" t="str">
        <f>IF(FH$3&lt;&gt;"",$GG6,"")</f>
        <v/>
      </c>
      <c r="FI6" s="381" t="str">
        <f>IF(FI$3&lt;&gt;"",$GH6,"")</f>
        <v/>
      </c>
      <c r="FJ6" s="381" t="str">
        <f>IF(FJ$3&lt;&gt;"",$GI6,"")</f>
        <v/>
      </c>
      <c r="FK6" s="381" t="str">
        <f>IF(FK$3&lt;&gt;"",$GJ6,"")</f>
        <v/>
      </c>
      <c r="FL6" s="381" t="str">
        <f>IF(FL$3&lt;&gt;"",$GK6,"")</f>
        <v/>
      </c>
      <c r="FM6" s="381" t="str">
        <f>IF(FM$3&lt;&gt;"",$GL6,"")</f>
        <v/>
      </c>
      <c r="FN6" s="381" t="str">
        <f>IF(FN$3&lt;&gt;"",$GM6,"")</f>
        <v/>
      </c>
      <c r="FO6" s="382" t="str">
        <f>IF(FO$3&lt;&gt;"",$GN6,"")</f>
        <v/>
      </c>
      <c r="FP6" s="378" t="str">
        <f>IF(FP$3&lt;&gt;"",$GC6,"")</f>
        <v/>
      </c>
      <c r="FQ6" s="381" t="str">
        <f>IF(FQ$3&lt;&gt;"",$GD6,"")</f>
        <v/>
      </c>
      <c r="FR6" s="381" t="str">
        <f>IF(FR$3&lt;&gt;"",$GE6,"")</f>
        <v/>
      </c>
      <c r="FS6" s="381" t="str">
        <f>IF(FS$3&lt;&gt;"",$GF6,"")</f>
        <v/>
      </c>
      <c r="FT6" s="381" t="str">
        <f>IF(FT$3&lt;&gt;"",$GG6,"")</f>
        <v/>
      </c>
      <c r="FU6" s="381" t="str">
        <f>IF(FU$3&lt;&gt;"",$GH6,"")</f>
        <v/>
      </c>
      <c r="FV6" s="381" t="str">
        <f>IF(FV$3&lt;&gt;"",$GI6,"")</f>
        <v/>
      </c>
      <c r="FW6" s="381" t="str">
        <f>IF(FW$3&lt;&gt;"",$GJ6,"")</f>
        <v/>
      </c>
      <c r="FX6" s="381" t="str">
        <f>IF(FX$3&lt;&gt;"",$GK6,"")</f>
        <v/>
      </c>
      <c r="FY6" s="381" t="str">
        <f>IF(FY$3&lt;&gt;"",$GL6,"")</f>
        <v/>
      </c>
      <c r="FZ6" s="381" t="str">
        <f>IF(FZ$3&lt;&gt;"",$GM6,"")</f>
        <v/>
      </c>
      <c r="GA6" s="382" t="str">
        <f>IF(GA$3&lt;&gt;"",$GN6,"")</f>
        <v/>
      </c>
      <c r="GB6" s="109"/>
      <c r="GC6" s="378">
        <f t="shared" ref="GC6:GM6" si="2">IF(GD6=1,12,GD6-1)</f>
        <v>12</v>
      </c>
      <c r="GD6" s="381">
        <f t="shared" si="2"/>
        <v>1</v>
      </c>
      <c r="GE6" s="381">
        <f t="shared" si="2"/>
        <v>2</v>
      </c>
      <c r="GF6" s="381">
        <f t="shared" si="2"/>
        <v>3</v>
      </c>
      <c r="GG6" s="381">
        <f t="shared" si="2"/>
        <v>4</v>
      </c>
      <c r="GH6" s="381">
        <f t="shared" si="2"/>
        <v>5</v>
      </c>
      <c r="GI6" s="381">
        <f t="shared" si="2"/>
        <v>6</v>
      </c>
      <c r="GJ6" s="381">
        <f t="shared" si="2"/>
        <v>7</v>
      </c>
      <c r="GK6" s="381">
        <f t="shared" si="2"/>
        <v>8</v>
      </c>
      <c r="GL6" s="381">
        <f t="shared" si="2"/>
        <v>9</v>
      </c>
      <c r="GM6" s="381">
        <f t="shared" si="2"/>
        <v>10</v>
      </c>
      <c r="GN6" s="382">
        <f>MATCH(GN5,ChooseMonth,0)</f>
        <v>11</v>
      </c>
      <c r="GO6" s="378">
        <f t="shared" ref="GO6:GY6" si="3">IF(GP6=1,12,GP6-1)</f>
        <v>12</v>
      </c>
      <c r="GP6" s="381">
        <f t="shared" si="3"/>
        <v>1</v>
      </c>
      <c r="GQ6" s="381">
        <f t="shared" si="3"/>
        <v>2</v>
      </c>
      <c r="GR6" s="381">
        <f t="shared" si="3"/>
        <v>3</v>
      </c>
      <c r="GS6" s="381">
        <f t="shared" si="3"/>
        <v>4</v>
      </c>
      <c r="GT6" s="381">
        <f t="shared" si="3"/>
        <v>5</v>
      </c>
      <c r="GU6" s="381">
        <f t="shared" si="3"/>
        <v>6</v>
      </c>
      <c r="GV6" s="381">
        <f t="shared" si="3"/>
        <v>7</v>
      </c>
      <c r="GW6" s="381">
        <f t="shared" si="3"/>
        <v>8</v>
      </c>
      <c r="GX6" s="381">
        <f t="shared" si="3"/>
        <v>9</v>
      </c>
      <c r="GY6" s="381">
        <f t="shared" si="3"/>
        <v>10</v>
      </c>
      <c r="GZ6" s="382">
        <f>MATCH(GZ5,ChooseMonth,0)</f>
        <v>11</v>
      </c>
      <c r="HB6" s="1057" t="str">
        <f>"(Template)"</f>
        <v>(Template)</v>
      </c>
    </row>
    <row r="7" spans="1:221">
      <c r="A7" s="326"/>
      <c r="B7" s="326"/>
      <c r="C7" s="326"/>
      <c r="D7" s="1786"/>
      <c r="E7" s="387"/>
      <c r="F7" s="387"/>
      <c r="G7" s="387"/>
      <c r="H7" s="387"/>
      <c r="I7" s="387"/>
      <c r="J7" s="387"/>
      <c r="K7" s="387"/>
      <c r="L7" s="387"/>
      <c r="M7" s="387"/>
      <c r="N7" s="387"/>
      <c r="O7" s="988"/>
      <c r="P7" s="386"/>
      <c r="Q7" s="386"/>
      <c r="R7" s="386"/>
      <c r="S7" s="386"/>
      <c r="T7" s="386"/>
      <c r="U7" s="386"/>
      <c r="V7" s="386"/>
      <c r="W7" s="386"/>
      <c r="X7" s="386"/>
      <c r="Y7" s="386"/>
      <c r="Z7" s="386"/>
      <c r="AA7" s="987"/>
      <c r="AB7" s="386"/>
      <c r="AC7" s="386"/>
      <c r="AD7" s="386"/>
      <c r="AE7" s="386"/>
      <c r="AF7" s="386"/>
      <c r="AG7" s="386"/>
      <c r="AH7" s="386"/>
      <c r="AI7" s="386"/>
      <c r="AJ7" s="386"/>
      <c r="AK7" s="386"/>
      <c r="AL7" s="386"/>
      <c r="AM7" s="987"/>
      <c r="AN7" s="386"/>
      <c r="AO7" s="386"/>
      <c r="AP7" s="386"/>
      <c r="AQ7" s="386"/>
      <c r="AR7" s="386"/>
      <c r="AS7" s="386"/>
      <c r="AT7" s="386"/>
      <c r="AU7" s="386"/>
      <c r="AV7" s="386"/>
      <c r="AW7" s="386"/>
      <c r="AX7" s="386"/>
      <c r="AY7" s="987"/>
      <c r="AZ7" s="386"/>
      <c r="BA7" s="386"/>
      <c r="BB7" s="386"/>
      <c r="BC7" s="386"/>
      <c r="BD7" s="386"/>
      <c r="BE7" s="386"/>
      <c r="BF7" s="386"/>
      <c r="BG7" s="386"/>
      <c r="BH7" s="386"/>
      <c r="BI7" s="386"/>
      <c r="BJ7" s="386"/>
      <c r="BK7" s="987"/>
      <c r="BL7" s="386"/>
      <c r="BM7" s="386"/>
      <c r="BN7" s="386"/>
      <c r="BO7" s="386"/>
      <c r="BP7" s="386"/>
      <c r="BQ7" s="386"/>
      <c r="BR7" s="386"/>
      <c r="BS7" s="386"/>
      <c r="BT7" s="386"/>
      <c r="BU7" s="386"/>
      <c r="BV7" s="386"/>
      <c r="BW7" s="987"/>
      <c r="BX7" s="386"/>
      <c r="BY7" s="386"/>
      <c r="BZ7" s="386"/>
      <c r="CA7" s="386"/>
      <c r="CB7" s="386"/>
      <c r="CC7" s="386"/>
      <c r="CD7" s="386"/>
      <c r="CE7" s="386"/>
      <c r="CF7" s="386"/>
      <c r="CG7" s="386"/>
      <c r="CH7" s="386"/>
      <c r="CI7" s="987"/>
      <c r="CJ7" s="386"/>
      <c r="CK7" s="386"/>
      <c r="CL7" s="386"/>
      <c r="CM7" s="386"/>
      <c r="CN7" s="386"/>
      <c r="CO7" s="386"/>
      <c r="CP7" s="386"/>
      <c r="CQ7" s="386"/>
      <c r="CR7" s="386"/>
      <c r="CS7" s="386"/>
      <c r="CT7" s="386"/>
      <c r="CU7" s="987"/>
      <c r="CV7" s="386"/>
      <c r="CW7" s="386"/>
      <c r="CX7" s="386"/>
      <c r="CY7" s="386"/>
      <c r="CZ7" s="386"/>
      <c r="DA7" s="386"/>
      <c r="DB7" s="386"/>
      <c r="DC7" s="386"/>
      <c r="DD7" s="386"/>
      <c r="DE7" s="386"/>
      <c r="DF7" s="386"/>
      <c r="DG7" s="987"/>
      <c r="DH7" s="386"/>
      <c r="DI7" s="386"/>
      <c r="DJ7" s="386"/>
      <c r="DK7" s="386"/>
      <c r="DL7" s="386"/>
      <c r="DM7" s="386"/>
      <c r="DN7" s="386"/>
      <c r="DO7" s="386"/>
      <c r="DP7" s="386"/>
      <c r="DQ7" s="386"/>
      <c r="DR7" s="386"/>
      <c r="DS7" s="987"/>
      <c r="DT7" s="386"/>
      <c r="DU7" s="386"/>
      <c r="DV7" s="386"/>
      <c r="DW7" s="386"/>
      <c r="DX7" s="386"/>
      <c r="DY7" s="386"/>
      <c r="DZ7" s="386"/>
      <c r="EA7" s="386"/>
      <c r="EB7" s="386"/>
      <c r="EC7" s="386"/>
      <c r="ED7" s="386"/>
      <c r="EE7" s="987"/>
      <c r="EF7" s="386"/>
      <c r="EG7" s="386"/>
      <c r="EH7" s="386"/>
      <c r="EI7" s="386"/>
      <c r="EJ7" s="386"/>
      <c r="EK7" s="386"/>
      <c r="EL7" s="386"/>
      <c r="EM7" s="386"/>
      <c r="EN7" s="386"/>
      <c r="EO7" s="386"/>
      <c r="EP7" s="386"/>
      <c r="EQ7" s="987"/>
      <c r="ER7" s="386"/>
      <c r="ES7" s="386"/>
      <c r="ET7" s="386"/>
      <c r="EU7" s="386"/>
      <c r="EV7" s="386"/>
      <c r="EW7" s="386"/>
      <c r="EX7" s="386"/>
      <c r="EY7" s="386"/>
      <c r="EZ7" s="386"/>
      <c r="FA7" s="386"/>
      <c r="FB7" s="386"/>
      <c r="FC7" s="987"/>
      <c r="FD7" s="386"/>
      <c r="FE7" s="386"/>
      <c r="FF7" s="386"/>
      <c r="FG7" s="386"/>
      <c r="FH7" s="386"/>
      <c r="FI7" s="386"/>
      <c r="FJ7" s="386"/>
      <c r="FK7" s="386"/>
      <c r="FL7" s="386"/>
      <c r="FM7" s="386"/>
      <c r="FN7" s="386"/>
      <c r="FO7" s="987"/>
      <c r="FP7" s="386"/>
      <c r="FQ7" s="386"/>
      <c r="FR7" s="386"/>
      <c r="FS7" s="386"/>
      <c r="FT7" s="386"/>
      <c r="FU7" s="386"/>
      <c r="FV7" s="386"/>
      <c r="FW7" s="386"/>
      <c r="FX7" s="386"/>
      <c r="FY7" s="386"/>
      <c r="FZ7" s="386"/>
      <c r="GA7" s="987"/>
      <c r="GB7" s="109"/>
      <c r="GC7" s="1179"/>
      <c r="GD7" s="387"/>
      <c r="GE7" s="387"/>
      <c r="GF7" s="387"/>
      <c r="GG7" s="387"/>
      <c r="GH7" s="387"/>
      <c r="GI7" s="387"/>
      <c r="GJ7" s="387"/>
      <c r="GK7" s="387"/>
      <c r="GL7" s="387"/>
      <c r="GM7" s="387"/>
      <c r="GN7" s="988"/>
      <c r="GO7" s="1179"/>
      <c r="GP7" s="387"/>
      <c r="GQ7" s="387"/>
      <c r="GR7" s="387"/>
      <c r="GS7" s="387"/>
      <c r="GT7" s="387"/>
      <c r="GU7" s="387"/>
      <c r="GV7" s="387"/>
      <c r="GW7" s="387"/>
      <c r="GX7" s="387"/>
      <c r="GY7" s="387"/>
      <c r="GZ7" s="988"/>
      <c r="HB7" s="386"/>
      <c r="HC7" s="386"/>
      <c r="HD7" s="386"/>
      <c r="HE7" s="386"/>
      <c r="HF7" s="386"/>
      <c r="HG7" s="386"/>
      <c r="HH7" s="386"/>
      <c r="HI7" s="386"/>
      <c r="HJ7" s="386"/>
      <c r="HK7" s="386"/>
      <c r="HL7" s="386"/>
      <c r="HM7" s="987"/>
    </row>
    <row r="8" spans="1:221">
      <c r="A8" s="1509" t="s">
        <v>900</v>
      </c>
      <c r="B8" s="1509" t="s">
        <v>901</v>
      </c>
      <c r="C8" s="1509" t="s">
        <v>2151</v>
      </c>
      <c r="D8" s="1036">
        <v>667</v>
      </c>
      <c r="E8" s="387">
        <v>646</v>
      </c>
      <c r="F8" s="387">
        <v>592</v>
      </c>
      <c r="G8" s="387">
        <v>655</v>
      </c>
      <c r="H8" s="387">
        <v>688</v>
      </c>
      <c r="I8" s="387">
        <v>705</v>
      </c>
      <c r="J8" s="387">
        <v>626</v>
      </c>
      <c r="K8" s="387">
        <v>653</v>
      </c>
      <c r="L8" s="387">
        <v>630</v>
      </c>
      <c r="M8" s="387">
        <v>585</v>
      </c>
      <c r="N8" s="387">
        <v>649</v>
      </c>
      <c r="O8" s="988">
        <v>589</v>
      </c>
      <c r="P8" s="386">
        <v>220.28571428571428</v>
      </c>
      <c r="Q8" s="386">
        <v>193.85714285714286</v>
      </c>
      <c r="R8" s="386">
        <v>174.14285714285714</v>
      </c>
      <c r="S8" s="386">
        <v>206.42857142857139</v>
      </c>
      <c r="T8" s="386">
        <v>222.42857142857144</v>
      </c>
      <c r="U8" s="386">
        <v>223.28571428571431</v>
      </c>
      <c r="V8" s="386">
        <v>221.57142857142856</v>
      </c>
      <c r="W8" s="386">
        <v>229.42857142857139</v>
      </c>
      <c r="X8" s="386">
        <v>253.14285714285717</v>
      </c>
      <c r="Y8" s="386">
        <v>230.57142857142856</v>
      </c>
      <c r="Z8" s="386">
        <v>245.57142857142856</v>
      </c>
      <c r="AA8" s="987">
        <v>242.42857142857144</v>
      </c>
      <c r="AB8" s="386"/>
      <c r="AC8" s="386"/>
      <c r="AD8" s="386"/>
      <c r="AE8" s="386"/>
      <c r="AF8" s="386"/>
      <c r="AG8" s="386"/>
      <c r="AH8" s="386"/>
      <c r="AI8" s="386"/>
      <c r="AJ8" s="386"/>
      <c r="AK8" s="386"/>
      <c r="AL8" s="386"/>
      <c r="AM8" s="987"/>
      <c r="AN8" s="386"/>
      <c r="AO8" s="386"/>
      <c r="AP8" s="386"/>
      <c r="AQ8" s="386"/>
      <c r="AR8" s="386"/>
      <c r="AS8" s="386"/>
      <c r="AT8" s="386"/>
      <c r="AU8" s="386"/>
      <c r="AV8" s="386"/>
      <c r="AW8" s="386"/>
      <c r="AX8" s="386"/>
      <c r="AY8" s="987"/>
      <c r="AZ8" s="386"/>
      <c r="BA8" s="386"/>
      <c r="BB8" s="386"/>
      <c r="BC8" s="386"/>
      <c r="BD8" s="386"/>
      <c r="BE8" s="386"/>
      <c r="BF8" s="386"/>
      <c r="BG8" s="386"/>
      <c r="BH8" s="386"/>
      <c r="BI8" s="386"/>
      <c r="BJ8" s="386"/>
      <c r="BK8" s="987"/>
      <c r="BL8" s="386"/>
      <c r="BM8" s="386"/>
      <c r="BN8" s="386"/>
      <c r="BO8" s="386"/>
      <c r="BP8" s="386"/>
      <c r="BQ8" s="386"/>
      <c r="BR8" s="386"/>
      <c r="BS8" s="386"/>
      <c r="BT8" s="386"/>
      <c r="BU8" s="386"/>
      <c r="BV8" s="386"/>
      <c r="BW8" s="987"/>
      <c r="BX8" s="386"/>
      <c r="BY8" s="386"/>
      <c r="BZ8" s="386"/>
      <c r="CA8" s="386"/>
      <c r="CB8" s="386"/>
      <c r="CC8" s="386"/>
      <c r="CD8" s="386"/>
      <c r="CE8" s="386"/>
      <c r="CF8" s="386"/>
      <c r="CG8" s="386"/>
      <c r="CH8" s="386"/>
      <c r="CI8" s="987"/>
      <c r="CJ8" s="386"/>
      <c r="CK8" s="386"/>
      <c r="CL8" s="386"/>
      <c r="CM8" s="386"/>
      <c r="CN8" s="386"/>
      <c r="CO8" s="386"/>
      <c r="CP8" s="386"/>
      <c r="CQ8" s="386"/>
      <c r="CR8" s="386"/>
      <c r="CS8" s="386"/>
      <c r="CT8" s="386"/>
      <c r="CU8" s="987"/>
      <c r="CV8" s="386"/>
      <c r="CW8" s="386"/>
      <c r="CX8" s="386"/>
      <c r="CY8" s="386"/>
      <c r="CZ8" s="386"/>
      <c r="DA8" s="386"/>
      <c r="DB8" s="386"/>
      <c r="DC8" s="386"/>
      <c r="DD8" s="386"/>
      <c r="DE8" s="386"/>
      <c r="DF8" s="386"/>
      <c r="DG8" s="987"/>
      <c r="DH8" s="386"/>
      <c r="DI8" s="386"/>
      <c r="DJ8" s="386"/>
      <c r="DK8" s="386"/>
      <c r="DL8" s="386"/>
      <c r="DM8" s="386"/>
      <c r="DN8" s="386"/>
      <c r="DO8" s="386"/>
      <c r="DP8" s="386"/>
      <c r="DQ8" s="386"/>
      <c r="DR8" s="386"/>
      <c r="DS8" s="987"/>
      <c r="DT8" s="386">
        <v>127</v>
      </c>
      <c r="DU8" s="386">
        <v>121</v>
      </c>
      <c r="DV8" s="387">
        <v>108</v>
      </c>
      <c r="DW8" s="387">
        <v>98</v>
      </c>
      <c r="DX8" s="387">
        <v>84</v>
      </c>
      <c r="DY8" s="386">
        <v>92</v>
      </c>
      <c r="DZ8" s="386">
        <v>73</v>
      </c>
      <c r="EA8" s="386">
        <v>93</v>
      </c>
      <c r="EB8" s="387">
        <v>84</v>
      </c>
      <c r="EC8" s="387">
        <v>85</v>
      </c>
      <c r="ED8" s="386">
        <v>88</v>
      </c>
      <c r="EE8" s="987">
        <v>80</v>
      </c>
      <c r="EF8" s="386"/>
      <c r="EG8" s="386"/>
      <c r="EH8" s="386"/>
      <c r="EI8" s="386"/>
      <c r="EJ8" s="386"/>
      <c r="EK8" s="386"/>
      <c r="EL8" s="386"/>
      <c r="EM8" s="386"/>
      <c r="EN8" s="386"/>
      <c r="EO8" s="386"/>
      <c r="EP8" s="386"/>
      <c r="EQ8" s="987"/>
      <c r="ER8" s="386"/>
      <c r="ES8" s="386"/>
      <c r="ET8" s="386"/>
      <c r="EU8" s="386"/>
      <c r="EV8" s="386"/>
      <c r="EW8" s="386"/>
      <c r="EX8" s="386"/>
      <c r="EY8" s="386"/>
      <c r="EZ8" s="386"/>
      <c r="FA8" s="386"/>
      <c r="FB8" s="386"/>
      <c r="FC8" s="987"/>
      <c r="FD8" s="386"/>
      <c r="FE8" s="386"/>
      <c r="FF8" s="386"/>
      <c r="FG8" s="386"/>
      <c r="FH8" s="386"/>
      <c r="FI8" s="386"/>
      <c r="FJ8" s="386"/>
      <c r="FK8" s="386"/>
      <c r="FL8" s="386"/>
      <c r="FM8" s="386"/>
      <c r="FN8" s="386"/>
      <c r="FO8" s="987"/>
      <c r="FP8" s="386"/>
      <c r="FQ8" s="386"/>
      <c r="FR8" s="386"/>
      <c r="FS8" s="386"/>
      <c r="FT8" s="386"/>
      <c r="FU8" s="386"/>
      <c r="FV8" s="386"/>
      <c r="FW8" s="386"/>
      <c r="FX8" s="386"/>
      <c r="FY8" s="386"/>
      <c r="FZ8" s="386"/>
      <c r="GA8" s="987"/>
      <c r="GB8" s="109"/>
      <c r="GC8" s="1036">
        <f t="shared" ref="GC8:GN17" si="4">SUMPRODUCT(--($D$6:$GA$6=GC$6),$D8:$GA8,$D$278:$GA$278)</f>
        <v>1014.2857142857142</v>
      </c>
      <c r="GD8" s="387">
        <f t="shared" si="4"/>
        <v>960.85714285714289</v>
      </c>
      <c r="GE8" s="387">
        <f t="shared" si="4"/>
        <v>874.14285714285711</v>
      </c>
      <c r="GF8" s="387">
        <f t="shared" si="4"/>
        <v>959.42857142857133</v>
      </c>
      <c r="GG8" s="387">
        <f t="shared" si="4"/>
        <v>994.42857142857144</v>
      </c>
      <c r="GH8" s="387">
        <f t="shared" si="4"/>
        <v>1020.2857142857143</v>
      </c>
      <c r="GI8" s="387">
        <f t="shared" si="4"/>
        <v>920.57142857142856</v>
      </c>
      <c r="GJ8" s="387">
        <f t="shared" si="4"/>
        <v>975.42857142857133</v>
      </c>
      <c r="GK8" s="387">
        <f t="shared" si="4"/>
        <v>967.14285714285711</v>
      </c>
      <c r="GL8" s="387">
        <f t="shared" si="4"/>
        <v>900.57142857142856</v>
      </c>
      <c r="GM8" s="387">
        <f t="shared" si="4"/>
        <v>982.57142857142856</v>
      </c>
      <c r="GN8" s="988">
        <f t="shared" si="4"/>
        <v>911.42857142857144</v>
      </c>
      <c r="GO8" s="1036">
        <f t="shared" ref="GO8:GZ17" si="5">SUMPRODUCT(--($DT$6:$GA$6=GO$6),$DT8:$GA8,$DT$278:$GA$278)</f>
        <v>127</v>
      </c>
      <c r="GP8" s="387">
        <f t="shared" si="5"/>
        <v>121</v>
      </c>
      <c r="GQ8" s="387">
        <f t="shared" si="5"/>
        <v>108</v>
      </c>
      <c r="GR8" s="387">
        <f t="shared" si="5"/>
        <v>98</v>
      </c>
      <c r="GS8" s="387">
        <f t="shared" si="5"/>
        <v>84</v>
      </c>
      <c r="GT8" s="387">
        <f t="shared" si="5"/>
        <v>92</v>
      </c>
      <c r="GU8" s="387">
        <f t="shared" si="5"/>
        <v>73</v>
      </c>
      <c r="GV8" s="387">
        <f t="shared" si="5"/>
        <v>93</v>
      </c>
      <c r="GW8" s="387">
        <f t="shared" si="5"/>
        <v>84</v>
      </c>
      <c r="GX8" s="387">
        <f t="shared" si="5"/>
        <v>85</v>
      </c>
      <c r="GY8" s="387">
        <f t="shared" si="5"/>
        <v>88</v>
      </c>
      <c r="GZ8" s="988">
        <f t="shared" si="5"/>
        <v>80</v>
      </c>
      <c r="HB8" s="386"/>
      <c r="HC8" s="386"/>
      <c r="HD8" s="386"/>
      <c r="HE8" s="386"/>
      <c r="HF8" s="386"/>
      <c r="HG8" s="386"/>
      <c r="HH8" s="386"/>
      <c r="HI8" s="386"/>
      <c r="HJ8" s="386"/>
      <c r="HK8" s="386"/>
      <c r="HL8" s="386"/>
      <c r="HM8" s="987"/>
    </row>
    <row r="9" spans="1:221">
      <c r="A9" s="1509" t="s">
        <v>900</v>
      </c>
      <c r="B9" s="1509" t="s">
        <v>901</v>
      </c>
      <c r="C9" s="1509" t="s">
        <v>157</v>
      </c>
      <c r="D9" s="1036">
        <v>9583.33</v>
      </c>
      <c r="E9" s="387">
        <v>9583.33</v>
      </c>
      <c r="F9" s="387">
        <v>9583.33</v>
      </c>
      <c r="G9" s="387">
        <v>9583.33</v>
      </c>
      <c r="H9" s="387">
        <v>9583.33</v>
      </c>
      <c r="I9" s="387">
        <v>9583.33</v>
      </c>
      <c r="J9" s="387">
        <v>9583.33</v>
      </c>
      <c r="K9" s="387">
        <v>9583.33</v>
      </c>
      <c r="L9" s="387">
        <v>9583.33</v>
      </c>
      <c r="M9" s="387">
        <v>9583.33</v>
      </c>
      <c r="N9" s="387">
        <v>9583.33</v>
      </c>
      <c r="O9" s="988">
        <v>9583.33</v>
      </c>
      <c r="P9" s="386">
        <v>4166.66</v>
      </c>
      <c r="Q9" s="386">
        <v>4166.66</v>
      </c>
      <c r="R9" s="386">
        <v>4166.66</v>
      </c>
      <c r="S9" s="386">
        <v>4166.66</v>
      </c>
      <c r="T9" s="386">
        <v>4166.66</v>
      </c>
      <c r="U9" s="386">
        <v>4166.66</v>
      </c>
      <c r="V9" s="386">
        <v>4166.66</v>
      </c>
      <c r="W9" s="386">
        <v>4166.66</v>
      </c>
      <c r="X9" s="386">
        <v>4166.66</v>
      </c>
      <c r="Y9" s="386">
        <v>4166.66</v>
      </c>
      <c r="Z9" s="386">
        <v>4166.66</v>
      </c>
      <c r="AA9" s="987">
        <v>4166.66</v>
      </c>
      <c r="AB9" s="386"/>
      <c r="AC9" s="386"/>
      <c r="AD9" s="386"/>
      <c r="AE9" s="386"/>
      <c r="AF9" s="386"/>
      <c r="AG9" s="386"/>
      <c r="AH9" s="386"/>
      <c r="AI9" s="386"/>
      <c r="AJ9" s="386"/>
      <c r="AK9" s="386"/>
      <c r="AL9" s="386"/>
      <c r="AM9" s="987"/>
      <c r="AN9" s="386"/>
      <c r="AO9" s="386"/>
      <c r="AP9" s="386"/>
      <c r="AQ9" s="386"/>
      <c r="AR9" s="386"/>
      <c r="AS9" s="386"/>
      <c r="AT9" s="386"/>
      <c r="AU9" s="386"/>
      <c r="AV9" s="386"/>
      <c r="AW9" s="386"/>
      <c r="AX9" s="386"/>
      <c r="AY9" s="987"/>
      <c r="AZ9" s="386"/>
      <c r="BA9" s="386"/>
      <c r="BB9" s="386"/>
      <c r="BC9" s="386"/>
      <c r="BD9" s="386"/>
      <c r="BE9" s="386"/>
      <c r="BF9" s="386"/>
      <c r="BG9" s="386"/>
      <c r="BH9" s="386"/>
      <c r="BI9" s="386"/>
      <c r="BJ9" s="386"/>
      <c r="BK9" s="987"/>
      <c r="BL9" s="386"/>
      <c r="BM9" s="386"/>
      <c r="BN9" s="386"/>
      <c r="BO9" s="386"/>
      <c r="BP9" s="386"/>
      <c r="BQ9" s="386"/>
      <c r="BR9" s="387"/>
      <c r="BS9" s="387"/>
      <c r="BT9" s="387"/>
      <c r="BU9" s="387"/>
      <c r="BV9" s="387"/>
      <c r="BW9" s="988"/>
      <c r="BX9" s="387"/>
      <c r="BY9" s="387"/>
      <c r="BZ9" s="387"/>
      <c r="CA9" s="387"/>
      <c r="CB9" s="387"/>
      <c r="CC9" s="387"/>
      <c r="CD9" s="387"/>
      <c r="CE9" s="387"/>
      <c r="CF9" s="387"/>
      <c r="CG9" s="387"/>
      <c r="CH9" s="387"/>
      <c r="CI9" s="988"/>
      <c r="CJ9" s="387"/>
      <c r="CK9" s="387"/>
      <c r="CL9" s="387"/>
      <c r="CM9" s="387"/>
      <c r="CN9" s="387"/>
      <c r="CO9" s="387"/>
      <c r="CP9" s="387"/>
      <c r="CQ9" s="387"/>
      <c r="CR9" s="387"/>
      <c r="CS9" s="387"/>
      <c r="CT9" s="387"/>
      <c r="CU9" s="988"/>
      <c r="CV9" s="387"/>
      <c r="CW9" s="387"/>
      <c r="CX9" s="387"/>
      <c r="CY9" s="387"/>
      <c r="CZ9" s="387"/>
      <c r="DA9" s="387"/>
      <c r="DB9" s="387"/>
      <c r="DC9" s="387"/>
      <c r="DD9" s="387"/>
      <c r="DE9" s="387"/>
      <c r="DF9" s="387"/>
      <c r="DG9" s="988"/>
      <c r="DH9" s="387"/>
      <c r="DI9" s="387"/>
      <c r="DJ9" s="387"/>
      <c r="DK9" s="387"/>
      <c r="DL9" s="387"/>
      <c r="DM9" s="387"/>
      <c r="DN9" s="387"/>
      <c r="DO9" s="387"/>
      <c r="DP9" s="387"/>
      <c r="DQ9" s="387"/>
      <c r="DR9" s="387"/>
      <c r="DS9" s="988"/>
      <c r="DT9" s="387">
        <v>2083.33</v>
      </c>
      <c r="DU9" s="387">
        <v>2083.33</v>
      </c>
      <c r="DV9" s="387">
        <v>2083.33</v>
      </c>
      <c r="DW9" s="387">
        <v>2083.33</v>
      </c>
      <c r="DX9" s="387">
        <v>2083.33</v>
      </c>
      <c r="DY9" s="387">
        <v>2083.33</v>
      </c>
      <c r="DZ9" s="387">
        <v>2083.33</v>
      </c>
      <c r="EA9" s="387">
        <v>2083.33</v>
      </c>
      <c r="EB9" s="387">
        <v>2083.33</v>
      </c>
      <c r="EC9" s="387">
        <v>2083.33</v>
      </c>
      <c r="ED9" s="387">
        <v>2083.33</v>
      </c>
      <c r="EE9" s="988">
        <v>2083.33</v>
      </c>
      <c r="EF9" s="387"/>
      <c r="EG9" s="387"/>
      <c r="EH9" s="387"/>
      <c r="EI9" s="387"/>
      <c r="EJ9" s="387"/>
      <c r="EK9" s="387"/>
      <c r="EL9" s="387"/>
      <c r="EM9" s="387"/>
      <c r="EN9" s="387"/>
      <c r="EO9" s="387"/>
      <c r="EP9" s="387"/>
      <c r="EQ9" s="988"/>
      <c r="ER9" s="387"/>
      <c r="ES9" s="387"/>
      <c r="ET9" s="387"/>
      <c r="EU9" s="387"/>
      <c r="EV9" s="387"/>
      <c r="EW9" s="387"/>
      <c r="EX9" s="387"/>
      <c r="EY9" s="387"/>
      <c r="EZ9" s="387"/>
      <c r="FA9" s="387"/>
      <c r="FB9" s="387"/>
      <c r="FC9" s="988"/>
      <c r="FD9" s="387"/>
      <c r="FE9" s="387"/>
      <c r="FF9" s="387"/>
      <c r="FG9" s="387"/>
      <c r="FH9" s="387"/>
      <c r="FI9" s="387"/>
      <c r="FJ9" s="387"/>
      <c r="FK9" s="387"/>
      <c r="FL9" s="387"/>
      <c r="FM9" s="387"/>
      <c r="FN9" s="387"/>
      <c r="FO9" s="988"/>
      <c r="FP9" s="387"/>
      <c r="FQ9" s="387"/>
      <c r="FR9" s="387"/>
      <c r="FS9" s="387"/>
      <c r="FT9" s="387"/>
      <c r="FU9" s="387"/>
      <c r="FV9" s="387"/>
      <c r="FW9" s="387"/>
      <c r="FX9" s="387"/>
      <c r="FY9" s="387"/>
      <c r="FZ9" s="387"/>
      <c r="GA9" s="988"/>
      <c r="GB9" s="109"/>
      <c r="GC9" s="1036">
        <f t="shared" si="4"/>
        <v>15833.32</v>
      </c>
      <c r="GD9" s="387">
        <f t="shared" si="4"/>
        <v>15833.32</v>
      </c>
      <c r="GE9" s="387">
        <f t="shared" si="4"/>
        <v>15833.32</v>
      </c>
      <c r="GF9" s="387">
        <f t="shared" si="4"/>
        <v>15833.32</v>
      </c>
      <c r="GG9" s="387">
        <f t="shared" si="4"/>
        <v>15833.32</v>
      </c>
      <c r="GH9" s="387">
        <f t="shared" si="4"/>
        <v>15833.32</v>
      </c>
      <c r="GI9" s="387">
        <f t="shared" si="4"/>
        <v>15833.32</v>
      </c>
      <c r="GJ9" s="387">
        <f t="shared" si="4"/>
        <v>15833.32</v>
      </c>
      <c r="GK9" s="387">
        <f t="shared" si="4"/>
        <v>15833.32</v>
      </c>
      <c r="GL9" s="387">
        <f t="shared" si="4"/>
        <v>15833.32</v>
      </c>
      <c r="GM9" s="387">
        <f t="shared" si="4"/>
        <v>15833.32</v>
      </c>
      <c r="GN9" s="988">
        <f t="shared" si="4"/>
        <v>15833.32</v>
      </c>
      <c r="GO9" s="1036">
        <f t="shared" si="5"/>
        <v>2083.33</v>
      </c>
      <c r="GP9" s="387">
        <f t="shared" si="5"/>
        <v>2083.33</v>
      </c>
      <c r="GQ9" s="387">
        <f t="shared" si="5"/>
        <v>2083.33</v>
      </c>
      <c r="GR9" s="387">
        <f t="shared" si="5"/>
        <v>2083.33</v>
      </c>
      <c r="GS9" s="387">
        <f t="shared" si="5"/>
        <v>2083.33</v>
      </c>
      <c r="GT9" s="387">
        <f t="shared" si="5"/>
        <v>2083.33</v>
      </c>
      <c r="GU9" s="387">
        <f t="shared" si="5"/>
        <v>2083.33</v>
      </c>
      <c r="GV9" s="387">
        <f t="shared" si="5"/>
        <v>2083.33</v>
      </c>
      <c r="GW9" s="387">
        <f t="shared" si="5"/>
        <v>2083.33</v>
      </c>
      <c r="GX9" s="387">
        <f t="shared" si="5"/>
        <v>2083.33</v>
      </c>
      <c r="GY9" s="387">
        <f t="shared" si="5"/>
        <v>2083.33</v>
      </c>
      <c r="GZ9" s="988">
        <f t="shared" si="5"/>
        <v>2083.33</v>
      </c>
      <c r="HB9" s="386"/>
      <c r="HC9" s="386"/>
      <c r="HD9" s="386"/>
      <c r="HE9" s="386"/>
      <c r="HF9" s="386"/>
      <c r="HG9" s="386"/>
      <c r="HH9" s="386"/>
      <c r="HI9" s="386"/>
      <c r="HJ9" s="386"/>
      <c r="HK9" s="386"/>
      <c r="HL9" s="386"/>
      <c r="HM9" s="987"/>
    </row>
    <row r="10" spans="1:221">
      <c r="A10" s="1509" t="s">
        <v>900</v>
      </c>
      <c r="B10" s="1509" t="s">
        <v>901</v>
      </c>
      <c r="C10" s="1509" t="s">
        <v>2152</v>
      </c>
      <c r="D10" s="1036">
        <v>12488.920000000002</v>
      </c>
      <c r="E10" s="387">
        <v>12488.920000000002</v>
      </c>
      <c r="F10" s="387">
        <v>12488.920000000002</v>
      </c>
      <c r="G10" s="387">
        <v>12488.93</v>
      </c>
      <c r="H10" s="387">
        <v>12488.919999999998</v>
      </c>
      <c r="I10" s="387">
        <v>12488.919999999998</v>
      </c>
      <c r="J10" s="387">
        <v>12488.919999999998</v>
      </c>
      <c r="K10" s="387">
        <v>12488.919999999998</v>
      </c>
      <c r="L10" s="387">
        <v>12488.919999999998</v>
      </c>
      <c r="M10" s="387">
        <v>12436.269999999999</v>
      </c>
      <c r="N10" s="387">
        <v>12436.269999999999</v>
      </c>
      <c r="O10" s="988">
        <v>12436.269999999999</v>
      </c>
      <c r="P10" s="386">
        <v>628.84</v>
      </c>
      <c r="Q10" s="386">
        <v>628.84</v>
      </c>
      <c r="R10" s="386">
        <v>628.84</v>
      </c>
      <c r="S10" s="386">
        <v>628.82999999999993</v>
      </c>
      <c r="T10" s="386">
        <v>628.84</v>
      </c>
      <c r="U10" s="386">
        <v>628.84</v>
      </c>
      <c r="V10" s="386">
        <v>628.84</v>
      </c>
      <c r="W10" s="386">
        <v>628.84</v>
      </c>
      <c r="X10" s="386">
        <v>628.84</v>
      </c>
      <c r="Y10" s="386">
        <v>628.84</v>
      </c>
      <c r="Z10" s="386">
        <v>628.84</v>
      </c>
      <c r="AA10" s="987">
        <v>628.84</v>
      </c>
      <c r="AB10" s="386"/>
      <c r="AC10" s="386"/>
      <c r="AD10" s="386"/>
      <c r="AE10" s="386"/>
      <c r="AF10" s="386"/>
      <c r="AG10" s="386"/>
      <c r="AH10" s="386"/>
      <c r="AI10" s="386"/>
      <c r="AJ10" s="386"/>
      <c r="AK10" s="386"/>
      <c r="AL10" s="386"/>
      <c r="AM10" s="987"/>
      <c r="AN10" s="386"/>
      <c r="AO10" s="386"/>
      <c r="AP10" s="386"/>
      <c r="AQ10" s="386"/>
      <c r="AR10" s="386"/>
      <c r="AS10" s="386"/>
      <c r="AT10" s="386"/>
      <c r="AU10" s="386"/>
      <c r="AV10" s="386"/>
      <c r="AW10" s="386"/>
      <c r="AX10" s="386"/>
      <c r="AY10" s="987"/>
      <c r="AZ10" s="386"/>
      <c r="BA10" s="386"/>
      <c r="BB10" s="386"/>
      <c r="BC10" s="386"/>
      <c r="BD10" s="386"/>
      <c r="BE10" s="386"/>
      <c r="BF10" s="386"/>
      <c r="BG10" s="386"/>
      <c r="BH10" s="386"/>
      <c r="BI10" s="386"/>
      <c r="BJ10" s="386"/>
      <c r="BK10" s="987"/>
      <c r="BL10" s="386"/>
      <c r="BM10" s="386"/>
      <c r="BN10" s="386"/>
      <c r="BO10" s="386"/>
      <c r="BP10" s="386"/>
      <c r="BQ10" s="386"/>
      <c r="BR10" s="386"/>
      <c r="BS10" s="386"/>
      <c r="BT10" s="386"/>
      <c r="BU10" s="386"/>
      <c r="BV10" s="386"/>
      <c r="BW10" s="987"/>
      <c r="BX10" s="386"/>
      <c r="BY10" s="386"/>
      <c r="BZ10" s="386"/>
      <c r="CA10" s="386"/>
      <c r="CB10" s="386"/>
      <c r="CC10" s="386"/>
      <c r="CD10" s="386"/>
      <c r="CE10" s="386"/>
      <c r="CF10" s="386"/>
      <c r="CG10" s="386"/>
      <c r="CH10" s="386"/>
      <c r="CI10" s="987"/>
      <c r="CJ10" s="386"/>
      <c r="CK10" s="386"/>
      <c r="CL10" s="386"/>
      <c r="CM10" s="386"/>
      <c r="CN10" s="386"/>
      <c r="CO10" s="386"/>
      <c r="CP10" s="386"/>
      <c r="CQ10" s="386"/>
      <c r="CR10" s="386"/>
      <c r="CS10" s="386"/>
      <c r="CT10" s="386"/>
      <c r="CU10" s="987"/>
      <c r="CV10" s="386"/>
      <c r="CW10" s="386"/>
      <c r="CX10" s="386"/>
      <c r="CY10" s="386"/>
      <c r="CZ10" s="386"/>
      <c r="DA10" s="386"/>
      <c r="DB10" s="386"/>
      <c r="DC10" s="386"/>
      <c r="DD10" s="386"/>
      <c r="DE10" s="386"/>
      <c r="DF10" s="386"/>
      <c r="DG10" s="987"/>
      <c r="DH10" s="386"/>
      <c r="DI10" s="386"/>
      <c r="DJ10" s="386"/>
      <c r="DK10" s="386"/>
      <c r="DL10" s="386"/>
      <c r="DM10" s="386"/>
      <c r="DN10" s="386"/>
      <c r="DO10" s="386"/>
      <c r="DP10" s="386"/>
      <c r="DQ10" s="386"/>
      <c r="DR10" s="386"/>
      <c r="DS10" s="987"/>
      <c r="DT10" s="387" t="s">
        <v>2154</v>
      </c>
      <c r="DU10" s="387" t="s">
        <v>2154</v>
      </c>
      <c r="DV10" s="387" t="s">
        <v>2154</v>
      </c>
      <c r="DW10" s="387" t="s">
        <v>2154</v>
      </c>
      <c r="DX10" s="387" t="s">
        <v>2154</v>
      </c>
      <c r="DY10" s="387" t="s">
        <v>2154</v>
      </c>
      <c r="DZ10" s="387" t="s">
        <v>2154</v>
      </c>
      <c r="EA10" s="387" t="s">
        <v>2154</v>
      </c>
      <c r="EB10" s="387" t="s">
        <v>2154</v>
      </c>
      <c r="EC10" s="387" t="s">
        <v>2154</v>
      </c>
      <c r="ED10" s="387" t="s">
        <v>2154</v>
      </c>
      <c r="EE10" s="988" t="s">
        <v>2154</v>
      </c>
      <c r="EF10" s="387"/>
      <c r="EG10" s="387"/>
      <c r="EH10" s="387"/>
      <c r="EI10" s="387"/>
      <c r="EJ10" s="387"/>
      <c r="EK10" s="387"/>
      <c r="EL10" s="387"/>
      <c r="EM10" s="387"/>
      <c r="EN10" s="387"/>
      <c r="EO10" s="387"/>
      <c r="EP10" s="387"/>
      <c r="EQ10" s="988"/>
      <c r="ER10" s="386"/>
      <c r="ES10" s="386"/>
      <c r="ET10" s="386"/>
      <c r="EU10" s="386"/>
      <c r="EV10" s="386"/>
      <c r="EW10" s="386"/>
      <c r="EX10" s="386"/>
      <c r="EY10" s="386"/>
      <c r="EZ10" s="386"/>
      <c r="FA10" s="386"/>
      <c r="FB10" s="386"/>
      <c r="FC10" s="987"/>
      <c r="FD10" s="386"/>
      <c r="FE10" s="386"/>
      <c r="FF10" s="386"/>
      <c r="FG10" s="386"/>
      <c r="FH10" s="386"/>
      <c r="FI10" s="386"/>
      <c r="FJ10" s="386"/>
      <c r="FK10" s="386"/>
      <c r="FL10" s="386"/>
      <c r="FM10" s="386"/>
      <c r="FN10" s="386"/>
      <c r="FO10" s="987"/>
      <c r="FP10" s="386"/>
      <c r="FQ10" s="386"/>
      <c r="FR10" s="386"/>
      <c r="FS10" s="386"/>
      <c r="FT10" s="386"/>
      <c r="FU10" s="386"/>
      <c r="FV10" s="386"/>
      <c r="FW10" s="386"/>
      <c r="FX10" s="386"/>
      <c r="FY10" s="386"/>
      <c r="FZ10" s="386"/>
      <c r="GA10" s="987"/>
      <c r="GB10" s="109"/>
      <c r="GC10" s="1036">
        <f t="shared" si="4"/>
        <v>13117.760000000002</v>
      </c>
      <c r="GD10" s="387">
        <f t="shared" si="4"/>
        <v>13117.760000000002</v>
      </c>
      <c r="GE10" s="387">
        <f t="shared" si="4"/>
        <v>13117.760000000002</v>
      </c>
      <c r="GF10" s="387">
        <f t="shared" si="4"/>
        <v>13117.76</v>
      </c>
      <c r="GG10" s="387">
        <f t="shared" si="4"/>
        <v>13117.759999999998</v>
      </c>
      <c r="GH10" s="387">
        <f t="shared" si="4"/>
        <v>13117.759999999998</v>
      </c>
      <c r="GI10" s="387">
        <f t="shared" si="4"/>
        <v>13117.759999999998</v>
      </c>
      <c r="GJ10" s="387">
        <f t="shared" si="4"/>
        <v>13117.759999999998</v>
      </c>
      <c r="GK10" s="387">
        <f t="shared" si="4"/>
        <v>13117.759999999998</v>
      </c>
      <c r="GL10" s="387">
        <f t="shared" si="4"/>
        <v>13065.109999999999</v>
      </c>
      <c r="GM10" s="387">
        <f t="shared" si="4"/>
        <v>13065.109999999999</v>
      </c>
      <c r="GN10" s="988">
        <f t="shared" si="4"/>
        <v>13065.109999999999</v>
      </c>
      <c r="GO10" s="1036">
        <f t="shared" si="5"/>
        <v>0</v>
      </c>
      <c r="GP10" s="387">
        <f t="shared" si="5"/>
        <v>0</v>
      </c>
      <c r="GQ10" s="387">
        <f t="shared" si="5"/>
        <v>0</v>
      </c>
      <c r="GR10" s="387">
        <f t="shared" si="5"/>
        <v>0</v>
      </c>
      <c r="GS10" s="387">
        <f t="shared" si="5"/>
        <v>0</v>
      </c>
      <c r="GT10" s="387">
        <f t="shared" si="5"/>
        <v>0</v>
      </c>
      <c r="GU10" s="387">
        <f t="shared" si="5"/>
        <v>0</v>
      </c>
      <c r="GV10" s="387">
        <f t="shared" si="5"/>
        <v>0</v>
      </c>
      <c r="GW10" s="387">
        <f t="shared" si="5"/>
        <v>0</v>
      </c>
      <c r="GX10" s="387">
        <f t="shared" si="5"/>
        <v>0</v>
      </c>
      <c r="GY10" s="387">
        <f t="shared" si="5"/>
        <v>0</v>
      </c>
      <c r="GZ10" s="988">
        <f t="shared" si="5"/>
        <v>0</v>
      </c>
      <c r="HB10" s="386"/>
      <c r="HC10" s="386"/>
      <c r="HD10" s="386"/>
      <c r="HE10" s="386"/>
      <c r="HF10" s="386"/>
      <c r="HG10" s="386"/>
      <c r="HH10" s="386"/>
      <c r="HI10" s="386"/>
      <c r="HJ10" s="386"/>
      <c r="HK10" s="386"/>
      <c r="HL10" s="386"/>
      <c r="HM10" s="987"/>
    </row>
    <row r="11" spans="1:221">
      <c r="A11" s="1509" t="s">
        <v>900</v>
      </c>
      <c r="B11" s="1509" t="s">
        <v>901</v>
      </c>
      <c r="C11" s="1509" t="s">
        <v>2153</v>
      </c>
      <c r="D11" s="1036">
        <v>1822.59</v>
      </c>
      <c r="E11" s="387">
        <v>1822.59</v>
      </c>
      <c r="F11" s="387">
        <v>1822.59</v>
      </c>
      <c r="G11" s="387">
        <v>1822.59</v>
      </c>
      <c r="H11" s="387">
        <v>1822.59</v>
      </c>
      <c r="I11" s="387">
        <v>1822.59</v>
      </c>
      <c r="J11" s="387">
        <v>1822.59</v>
      </c>
      <c r="K11" s="387">
        <v>1822.59</v>
      </c>
      <c r="L11" s="387">
        <v>1822.59</v>
      </c>
      <c r="M11" s="387">
        <v>1822.59</v>
      </c>
      <c r="N11" s="387">
        <v>1822.59</v>
      </c>
      <c r="O11" s="988">
        <v>1822.59</v>
      </c>
      <c r="P11" s="387">
        <v>71.790000000000006</v>
      </c>
      <c r="Q11" s="387">
        <v>71.790000000000006</v>
      </c>
      <c r="R11" s="387">
        <v>71.790000000000006</v>
      </c>
      <c r="S11" s="387">
        <v>71.790000000000006</v>
      </c>
      <c r="T11" s="387">
        <v>71.790000000000006</v>
      </c>
      <c r="U11" s="387">
        <v>71.790000000000006</v>
      </c>
      <c r="V11" s="387">
        <v>71.790000000000006</v>
      </c>
      <c r="W11" s="387">
        <v>71.790000000000006</v>
      </c>
      <c r="X11" s="387">
        <v>71.790000000000006</v>
      </c>
      <c r="Y11" s="387">
        <v>71.790000000000006</v>
      </c>
      <c r="Z11" s="387">
        <v>71.790000000000006</v>
      </c>
      <c r="AA11" s="988">
        <v>71.790000000000006</v>
      </c>
      <c r="AB11" s="387"/>
      <c r="AC11" s="387"/>
      <c r="AD11" s="387"/>
      <c r="AE11" s="387"/>
      <c r="AF11" s="387"/>
      <c r="AG11" s="387"/>
      <c r="AH11" s="387"/>
      <c r="AI11" s="387"/>
      <c r="AJ11" s="387"/>
      <c r="AK11" s="387"/>
      <c r="AL11" s="387"/>
      <c r="AM11" s="988"/>
      <c r="AN11" s="387"/>
      <c r="AO11" s="387"/>
      <c r="AP11" s="387"/>
      <c r="AQ11" s="387"/>
      <c r="AR11" s="387"/>
      <c r="AS11" s="387"/>
      <c r="AT11" s="387"/>
      <c r="AU11" s="387"/>
      <c r="AV11" s="387"/>
      <c r="AW11" s="387"/>
      <c r="AX11" s="387"/>
      <c r="AY11" s="988"/>
      <c r="AZ11" s="387"/>
      <c r="BA11" s="387"/>
      <c r="BB11" s="387"/>
      <c r="BC11" s="387"/>
      <c r="BD11" s="387"/>
      <c r="BE11" s="387"/>
      <c r="BF11" s="387"/>
      <c r="BG11" s="387"/>
      <c r="BH11" s="387"/>
      <c r="BI11" s="387"/>
      <c r="BJ11" s="387"/>
      <c r="BK11" s="988"/>
      <c r="BL11" s="387"/>
      <c r="BM11" s="387"/>
      <c r="BN11" s="387"/>
      <c r="BO11" s="387"/>
      <c r="BP11" s="387"/>
      <c r="BQ11" s="387"/>
      <c r="BR11" s="387"/>
      <c r="BS11" s="387"/>
      <c r="BT11" s="387"/>
      <c r="BU11" s="387"/>
      <c r="BV11" s="387"/>
      <c r="BW11" s="988"/>
      <c r="BX11" s="387"/>
      <c r="BY11" s="387"/>
      <c r="BZ11" s="387"/>
      <c r="CA11" s="387"/>
      <c r="CB11" s="387"/>
      <c r="CC11" s="387"/>
      <c r="CD11" s="387"/>
      <c r="CE11" s="387"/>
      <c r="CF11" s="387"/>
      <c r="CG11" s="387"/>
      <c r="CH11" s="387"/>
      <c r="CI11" s="988"/>
      <c r="CJ11" s="387"/>
      <c r="CK11" s="387"/>
      <c r="CL11" s="387"/>
      <c r="CM11" s="387"/>
      <c r="CN11" s="387"/>
      <c r="CO11" s="387"/>
      <c r="CP11" s="387"/>
      <c r="CQ11" s="387"/>
      <c r="CR11" s="387"/>
      <c r="CS11" s="387"/>
      <c r="CT11" s="387"/>
      <c r="CU11" s="988"/>
      <c r="CV11" s="387"/>
      <c r="CW11" s="387"/>
      <c r="CX11" s="387"/>
      <c r="CY11" s="387"/>
      <c r="CZ11" s="387"/>
      <c r="DA11" s="387"/>
      <c r="DB11" s="387"/>
      <c r="DC11" s="387"/>
      <c r="DD11" s="387"/>
      <c r="DE11" s="387"/>
      <c r="DF11" s="387"/>
      <c r="DG11" s="988"/>
      <c r="DH11" s="387"/>
      <c r="DI11" s="387"/>
      <c r="DJ11" s="387"/>
      <c r="DK11" s="387"/>
      <c r="DL11" s="387"/>
      <c r="DM11" s="387"/>
      <c r="DN11" s="387"/>
      <c r="DO11" s="387"/>
      <c r="DP11" s="387"/>
      <c r="DQ11" s="387"/>
      <c r="DR11" s="387"/>
      <c r="DS11" s="988"/>
      <c r="DT11" s="387" t="s">
        <v>2154</v>
      </c>
      <c r="DU11" s="387" t="s">
        <v>2154</v>
      </c>
      <c r="DV11" s="387" t="s">
        <v>2154</v>
      </c>
      <c r="DW11" s="387" t="s">
        <v>2154</v>
      </c>
      <c r="DX11" s="387" t="s">
        <v>2154</v>
      </c>
      <c r="DY11" s="387" t="s">
        <v>2154</v>
      </c>
      <c r="DZ11" s="387" t="s">
        <v>2154</v>
      </c>
      <c r="EA11" s="387" t="s">
        <v>2154</v>
      </c>
      <c r="EB11" s="387" t="s">
        <v>2154</v>
      </c>
      <c r="EC11" s="387" t="s">
        <v>2154</v>
      </c>
      <c r="ED11" s="387" t="s">
        <v>2154</v>
      </c>
      <c r="EE11" s="988" t="s">
        <v>2154</v>
      </c>
      <c r="EF11" s="387"/>
      <c r="EG11" s="387"/>
      <c r="EH11" s="387"/>
      <c r="EI11" s="387"/>
      <c r="EJ11" s="387"/>
      <c r="EK11" s="387"/>
      <c r="EL11" s="387"/>
      <c r="EM11" s="387"/>
      <c r="EN11" s="387"/>
      <c r="EO11" s="387"/>
      <c r="EP11" s="387"/>
      <c r="EQ11" s="988"/>
      <c r="ER11" s="387"/>
      <c r="ES11" s="387"/>
      <c r="ET11" s="387"/>
      <c r="EU11" s="387"/>
      <c r="EV11" s="387"/>
      <c r="EW11" s="387"/>
      <c r="EX11" s="387"/>
      <c r="EY11" s="387"/>
      <c r="EZ11" s="387"/>
      <c r="FA11" s="387"/>
      <c r="FB11" s="387"/>
      <c r="FC11" s="988"/>
      <c r="FD11" s="387"/>
      <c r="FE11" s="387"/>
      <c r="FF11" s="387"/>
      <c r="FG11" s="387"/>
      <c r="FH11" s="387"/>
      <c r="FI11" s="387"/>
      <c r="FJ11" s="387"/>
      <c r="FK11" s="387"/>
      <c r="FL11" s="387"/>
      <c r="FM11" s="387"/>
      <c r="FN11" s="387"/>
      <c r="FO11" s="988"/>
      <c r="FP11" s="387"/>
      <c r="FQ11" s="387"/>
      <c r="FR11" s="387"/>
      <c r="FS11" s="387"/>
      <c r="FT11" s="387"/>
      <c r="FU11" s="387"/>
      <c r="FV11" s="387"/>
      <c r="FW11" s="387"/>
      <c r="FX11" s="387"/>
      <c r="FY11" s="387"/>
      <c r="FZ11" s="387"/>
      <c r="GA11" s="988"/>
      <c r="GB11" s="109"/>
      <c r="GC11" s="1036">
        <f t="shared" si="4"/>
        <v>1894.3799999999999</v>
      </c>
      <c r="GD11" s="387">
        <f t="shared" si="4"/>
        <v>1894.3799999999999</v>
      </c>
      <c r="GE11" s="387">
        <f t="shared" si="4"/>
        <v>1894.3799999999999</v>
      </c>
      <c r="GF11" s="387">
        <f t="shared" si="4"/>
        <v>1894.3799999999999</v>
      </c>
      <c r="GG11" s="387">
        <f t="shared" si="4"/>
        <v>1894.3799999999999</v>
      </c>
      <c r="GH11" s="387">
        <f t="shared" si="4"/>
        <v>1894.3799999999999</v>
      </c>
      <c r="GI11" s="387">
        <f t="shared" si="4"/>
        <v>1894.3799999999999</v>
      </c>
      <c r="GJ11" s="387">
        <f t="shared" si="4"/>
        <v>1894.3799999999999</v>
      </c>
      <c r="GK11" s="387">
        <f t="shared" si="4"/>
        <v>1894.3799999999999</v>
      </c>
      <c r="GL11" s="387">
        <f t="shared" si="4"/>
        <v>1894.3799999999999</v>
      </c>
      <c r="GM11" s="387">
        <f t="shared" si="4"/>
        <v>1894.3799999999999</v>
      </c>
      <c r="GN11" s="988">
        <f t="shared" si="4"/>
        <v>1894.3799999999999</v>
      </c>
      <c r="GO11" s="1036">
        <f t="shared" si="5"/>
        <v>0</v>
      </c>
      <c r="GP11" s="387">
        <f t="shared" si="5"/>
        <v>0</v>
      </c>
      <c r="GQ11" s="387">
        <f t="shared" si="5"/>
        <v>0</v>
      </c>
      <c r="GR11" s="387">
        <f t="shared" si="5"/>
        <v>0</v>
      </c>
      <c r="GS11" s="387">
        <f t="shared" si="5"/>
        <v>0</v>
      </c>
      <c r="GT11" s="387">
        <f t="shared" si="5"/>
        <v>0</v>
      </c>
      <c r="GU11" s="387">
        <f t="shared" si="5"/>
        <v>0</v>
      </c>
      <c r="GV11" s="387">
        <f t="shared" si="5"/>
        <v>0</v>
      </c>
      <c r="GW11" s="387">
        <f t="shared" si="5"/>
        <v>0</v>
      </c>
      <c r="GX11" s="387">
        <f t="shared" si="5"/>
        <v>0</v>
      </c>
      <c r="GY11" s="387">
        <f t="shared" si="5"/>
        <v>0</v>
      </c>
      <c r="GZ11" s="988">
        <f t="shared" si="5"/>
        <v>0</v>
      </c>
      <c r="HB11" s="387"/>
      <c r="HC11" s="387"/>
      <c r="HD11" s="387"/>
      <c r="HE11" s="387"/>
      <c r="HF11" s="387"/>
      <c r="HG11" s="387"/>
      <c r="HH11" s="387"/>
      <c r="HI11" s="387"/>
      <c r="HJ11" s="387"/>
      <c r="HK11" s="387"/>
      <c r="HL11" s="387"/>
      <c r="HM11" s="988"/>
    </row>
    <row r="12" spans="1:221">
      <c r="A12" s="1509" t="s">
        <v>900</v>
      </c>
      <c r="B12" s="1509" t="s">
        <v>901</v>
      </c>
      <c r="C12" s="1509" t="s">
        <v>1094</v>
      </c>
      <c r="D12" s="1036">
        <v>1458.07</v>
      </c>
      <c r="E12" s="387">
        <v>1458.07</v>
      </c>
      <c r="F12" s="387">
        <v>1458.07</v>
      </c>
      <c r="G12" s="387">
        <v>1458.07</v>
      </c>
      <c r="H12" s="387">
        <v>1458.07</v>
      </c>
      <c r="I12" s="387">
        <v>1458.07</v>
      </c>
      <c r="J12" s="387">
        <v>1458.07</v>
      </c>
      <c r="K12" s="387">
        <v>1458.07</v>
      </c>
      <c r="L12" s="387">
        <v>1458.07</v>
      </c>
      <c r="M12" s="387">
        <v>1458.07</v>
      </c>
      <c r="N12" s="387">
        <v>1458.07</v>
      </c>
      <c r="O12" s="988">
        <v>1458.07</v>
      </c>
      <c r="P12" s="387">
        <v>57.43</v>
      </c>
      <c r="Q12" s="387">
        <v>57.43</v>
      </c>
      <c r="R12" s="387">
        <v>57.43</v>
      </c>
      <c r="S12" s="387">
        <v>57.43</v>
      </c>
      <c r="T12" s="387">
        <v>57.43</v>
      </c>
      <c r="U12" s="387">
        <v>57.43</v>
      </c>
      <c r="V12" s="387">
        <v>57.43</v>
      </c>
      <c r="W12" s="387">
        <v>57.43</v>
      </c>
      <c r="X12" s="387">
        <v>57.43</v>
      </c>
      <c r="Y12" s="387">
        <v>57.43</v>
      </c>
      <c r="Z12" s="387">
        <v>57.43</v>
      </c>
      <c r="AA12" s="988">
        <v>57.43</v>
      </c>
      <c r="AB12" s="387"/>
      <c r="AC12" s="387"/>
      <c r="AD12" s="387"/>
      <c r="AE12" s="387"/>
      <c r="AF12" s="387"/>
      <c r="AG12" s="387"/>
      <c r="AH12" s="387"/>
      <c r="AI12" s="387"/>
      <c r="AJ12" s="387"/>
      <c r="AK12" s="387"/>
      <c r="AL12" s="387"/>
      <c r="AM12" s="988"/>
      <c r="AN12" s="387"/>
      <c r="AO12" s="387"/>
      <c r="AP12" s="387"/>
      <c r="AQ12" s="387"/>
      <c r="AR12" s="387"/>
      <c r="AS12" s="387"/>
      <c r="AT12" s="387"/>
      <c r="AU12" s="387"/>
      <c r="AV12" s="387"/>
      <c r="AW12" s="387"/>
      <c r="AX12" s="387"/>
      <c r="AY12" s="988"/>
      <c r="AZ12" s="387"/>
      <c r="BA12" s="387"/>
      <c r="BB12" s="387"/>
      <c r="BC12" s="387"/>
      <c r="BD12" s="387"/>
      <c r="BE12" s="387"/>
      <c r="BF12" s="387"/>
      <c r="BG12" s="387"/>
      <c r="BH12" s="387"/>
      <c r="BI12" s="387"/>
      <c r="BJ12" s="387"/>
      <c r="BK12" s="988"/>
      <c r="BL12" s="387"/>
      <c r="BM12" s="387"/>
      <c r="BN12" s="387"/>
      <c r="BO12" s="387"/>
      <c r="BP12" s="387"/>
      <c r="BQ12" s="387"/>
      <c r="BR12" s="387"/>
      <c r="BS12" s="387"/>
      <c r="BT12" s="387"/>
      <c r="BU12" s="387"/>
      <c r="BV12" s="387"/>
      <c r="BW12" s="988"/>
      <c r="BX12" s="387"/>
      <c r="BY12" s="387"/>
      <c r="BZ12" s="387"/>
      <c r="CA12" s="387"/>
      <c r="CB12" s="387"/>
      <c r="CC12" s="387"/>
      <c r="CD12" s="387"/>
      <c r="CE12" s="387"/>
      <c r="CF12" s="387"/>
      <c r="CG12" s="387"/>
      <c r="CH12" s="387"/>
      <c r="CI12" s="988"/>
      <c r="CJ12" s="387"/>
      <c r="CK12" s="387"/>
      <c r="CL12" s="387"/>
      <c r="CM12" s="387"/>
      <c r="CN12" s="387"/>
      <c r="CO12" s="387"/>
      <c r="CP12" s="387"/>
      <c r="CQ12" s="387"/>
      <c r="CR12" s="387"/>
      <c r="CS12" s="387"/>
      <c r="CT12" s="387"/>
      <c r="CU12" s="988"/>
      <c r="CV12" s="387"/>
      <c r="CW12" s="387"/>
      <c r="CX12" s="387"/>
      <c r="CY12" s="387"/>
      <c r="CZ12" s="387"/>
      <c r="DA12" s="387"/>
      <c r="DB12" s="387"/>
      <c r="DC12" s="387"/>
      <c r="DD12" s="387"/>
      <c r="DE12" s="387"/>
      <c r="DF12" s="387"/>
      <c r="DG12" s="988"/>
      <c r="DH12" s="387"/>
      <c r="DI12" s="387"/>
      <c r="DJ12" s="387"/>
      <c r="DK12" s="387"/>
      <c r="DL12" s="387"/>
      <c r="DM12" s="387"/>
      <c r="DN12" s="387"/>
      <c r="DO12" s="387"/>
      <c r="DP12" s="387"/>
      <c r="DQ12" s="387"/>
      <c r="DR12" s="387"/>
      <c r="DS12" s="988"/>
      <c r="DT12" s="387" t="s">
        <v>2154</v>
      </c>
      <c r="DU12" s="387" t="s">
        <v>2154</v>
      </c>
      <c r="DV12" s="387" t="s">
        <v>2154</v>
      </c>
      <c r="DW12" s="387" t="s">
        <v>2154</v>
      </c>
      <c r="DX12" s="387" t="s">
        <v>2154</v>
      </c>
      <c r="DY12" s="387" t="s">
        <v>2154</v>
      </c>
      <c r="DZ12" s="387" t="s">
        <v>2154</v>
      </c>
      <c r="EA12" s="387" t="s">
        <v>2154</v>
      </c>
      <c r="EB12" s="387" t="s">
        <v>2154</v>
      </c>
      <c r="EC12" s="387" t="s">
        <v>2154</v>
      </c>
      <c r="ED12" s="387" t="s">
        <v>2154</v>
      </c>
      <c r="EE12" s="988" t="s">
        <v>2154</v>
      </c>
      <c r="EF12" s="387"/>
      <c r="EG12" s="387"/>
      <c r="EH12" s="387"/>
      <c r="EI12" s="387"/>
      <c r="EJ12" s="387"/>
      <c r="EK12" s="387"/>
      <c r="EL12" s="387"/>
      <c r="EM12" s="387"/>
      <c r="EN12" s="387"/>
      <c r="EO12" s="387"/>
      <c r="EP12" s="387"/>
      <c r="EQ12" s="988"/>
      <c r="ER12" s="387"/>
      <c r="ES12" s="387"/>
      <c r="ET12" s="387"/>
      <c r="EU12" s="387"/>
      <c r="EV12" s="387"/>
      <c r="EW12" s="387"/>
      <c r="EX12" s="387"/>
      <c r="EY12" s="387"/>
      <c r="EZ12" s="387"/>
      <c r="FA12" s="387"/>
      <c r="FB12" s="387"/>
      <c r="FC12" s="988"/>
      <c r="FD12" s="387"/>
      <c r="FE12" s="387"/>
      <c r="FF12" s="387"/>
      <c r="FG12" s="387"/>
      <c r="FH12" s="387"/>
      <c r="FI12" s="387"/>
      <c r="FJ12" s="387"/>
      <c r="FK12" s="387"/>
      <c r="FL12" s="387"/>
      <c r="FM12" s="387"/>
      <c r="FN12" s="387"/>
      <c r="FO12" s="988"/>
      <c r="FP12" s="387"/>
      <c r="FQ12" s="387"/>
      <c r="FR12" s="387"/>
      <c r="FS12" s="387"/>
      <c r="FT12" s="387"/>
      <c r="FU12" s="387"/>
      <c r="FV12" s="387"/>
      <c r="FW12" s="387"/>
      <c r="FX12" s="387"/>
      <c r="FY12" s="387"/>
      <c r="FZ12" s="387"/>
      <c r="GA12" s="988"/>
      <c r="GB12" s="109"/>
      <c r="GC12" s="1036">
        <f t="shared" si="4"/>
        <v>1515.5</v>
      </c>
      <c r="GD12" s="387">
        <f t="shared" si="4"/>
        <v>1515.5</v>
      </c>
      <c r="GE12" s="387">
        <f t="shared" si="4"/>
        <v>1515.5</v>
      </c>
      <c r="GF12" s="387">
        <f t="shared" si="4"/>
        <v>1515.5</v>
      </c>
      <c r="GG12" s="387">
        <f t="shared" si="4"/>
        <v>1515.5</v>
      </c>
      <c r="GH12" s="387">
        <f t="shared" si="4"/>
        <v>1515.5</v>
      </c>
      <c r="GI12" s="387">
        <f t="shared" si="4"/>
        <v>1515.5</v>
      </c>
      <c r="GJ12" s="387">
        <f t="shared" si="4"/>
        <v>1515.5</v>
      </c>
      <c r="GK12" s="387">
        <f t="shared" si="4"/>
        <v>1515.5</v>
      </c>
      <c r="GL12" s="387">
        <f t="shared" si="4"/>
        <v>1515.5</v>
      </c>
      <c r="GM12" s="387">
        <f t="shared" si="4"/>
        <v>1515.5</v>
      </c>
      <c r="GN12" s="988">
        <f t="shared" si="4"/>
        <v>1515.5</v>
      </c>
      <c r="GO12" s="1036">
        <f t="shared" si="5"/>
        <v>0</v>
      </c>
      <c r="GP12" s="387">
        <f t="shared" si="5"/>
        <v>0</v>
      </c>
      <c r="GQ12" s="387">
        <f t="shared" si="5"/>
        <v>0</v>
      </c>
      <c r="GR12" s="387">
        <f t="shared" si="5"/>
        <v>0</v>
      </c>
      <c r="GS12" s="387">
        <f t="shared" si="5"/>
        <v>0</v>
      </c>
      <c r="GT12" s="387">
        <f t="shared" si="5"/>
        <v>0</v>
      </c>
      <c r="GU12" s="387">
        <f t="shared" si="5"/>
        <v>0</v>
      </c>
      <c r="GV12" s="387">
        <f t="shared" si="5"/>
        <v>0</v>
      </c>
      <c r="GW12" s="387">
        <f t="shared" si="5"/>
        <v>0</v>
      </c>
      <c r="GX12" s="387">
        <f t="shared" si="5"/>
        <v>0</v>
      </c>
      <c r="GY12" s="387">
        <f t="shared" si="5"/>
        <v>0</v>
      </c>
      <c r="GZ12" s="988">
        <f t="shared" si="5"/>
        <v>0</v>
      </c>
      <c r="HB12" s="387"/>
      <c r="HC12" s="387"/>
      <c r="HD12" s="387"/>
      <c r="HE12" s="387"/>
      <c r="HF12" s="387"/>
      <c r="HG12" s="387"/>
      <c r="HH12" s="387"/>
      <c r="HI12" s="387"/>
      <c r="HJ12" s="387"/>
      <c r="HK12" s="387"/>
      <c r="HL12" s="387"/>
      <c r="HM12" s="988"/>
    </row>
    <row r="13" spans="1:221">
      <c r="A13" s="1509" t="s">
        <v>900</v>
      </c>
      <c r="B13" s="1509" t="s">
        <v>1095</v>
      </c>
      <c r="C13" s="1509" t="s">
        <v>1096</v>
      </c>
      <c r="D13" s="1036">
        <v>27451.09</v>
      </c>
      <c r="E13" s="387">
        <v>27320.54</v>
      </c>
      <c r="F13" s="387">
        <v>25883.280000000002</v>
      </c>
      <c r="G13" s="387">
        <v>25436.920000000002</v>
      </c>
      <c r="H13" s="387">
        <v>27223.82</v>
      </c>
      <c r="I13" s="387">
        <v>28798.2</v>
      </c>
      <c r="J13" s="387">
        <v>27418.23</v>
      </c>
      <c r="K13" s="387">
        <v>28133.200000000001</v>
      </c>
      <c r="L13" s="387">
        <v>26043.69</v>
      </c>
      <c r="M13" s="387">
        <v>24691.79</v>
      </c>
      <c r="N13" s="387">
        <v>28553.81</v>
      </c>
      <c r="O13" s="988">
        <v>25217.45</v>
      </c>
      <c r="P13" s="386">
        <v>4137.5099999999993</v>
      </c>
      <c r="Q13" s="386">
        <v>4930.2999999999993</v>
      </c>
      <c r="R13" s="386">
        <v>3096.6700000000005</v>
      </c>
      <c r="S13" s="386">
        <v>4950.2400000000007</v>
      </c>
      <c r="T13" s="386">
        <v>4393.22</v>
      </c>
      <c r="U13" s="386">
        <v>4724.4400000000005</v>
      </c>
      <c r="V13" s="386">
        <v>4659.66</v>
      </c>
      <c r="W13" s="386">
        <v>5217.0399999999991</v>
      </c>
      <c r="X13" s="386">
        <v>8680.43</v>
      </c>
      <c r="Y13" s="386">
        <v>8762.8700000000008</v>
      </c>
      <c r="Z13" s="386">
        <v>9428.43</v>
      </c>
      <c r="AA13" s="987">
        <v>6863.94</v>
      </c>
      <c r="AB13" s="386"/>
      <c r="AC13" s="386"/>
      <c r="AD13" s="386"/>
      <c r="AE13" s="386"/>
      <c r="AF13" s="386"/>
      <c r="AG13" s="386"/>
      <c r="AH13" s="386"/>
      <c r="AI13" s="386"/>
      <c r="AJ13" s="386"/>
      <c r="AK13" s="386"/>
      <c r="AL13" s="386"/>
      <c r="AM13" s="987"/>
      <c r="AN13" s="386"/>
      <c r="AO13" s="386"/>
      <c r="AP13" s="386"/>
      <c r="AQ13" s="386"/>
      <c r="AR13" s="386"/>
      <c r="AS13" s="386"/>
      <c r="AT13" s="386"/>
      <c r="AU13" s="386"/>
      <c r="AV13" s="386"/>
      <c r="AW13" s="386"/>
      <c r="AX13" s="386"/>
      <c r="AY13" s="987"/>
      <c r="AZ13" s="386"/>
      <c r="BA13" s="386"/>
      <c r="BB13" s="386"/>
      <c r="BC13" s="386"/>
      <c r="BD13" s="386"/>
      <c r="BE13" s="386"/>
      <c r="BF13" s="386"/>
      <c r="BG13" s="386"/>
      <c r="BH13" s="386"/>
      <c r="BI13" s="386"/>
      <c r="BJ13" s="386"/>
      <c r="BK13" s="987"/>
      <c r="BL13" s="386"/>
      <c r="BM13" s="386"/>
      <c r="BN13" s="386"/>
      <c r="BO13" s="386"/>
      <c r="BP13" s="386"/>
      <c r="BQ13" s="386"/>
      <c r="BR13" s="386"/>
      <c r="BS13" s="386"/>
      <c r="BT13" s="386"/>
      <c r="BU13" s="386"/>
      <c r="BV13" s="386"/>
      <c r="BW13" s="987"/>
      <c r="BX13" s="386"/>
      <c r="BY13" s="387"/>
      <c r="BZ13" s="387"/>
      <c r="CA13" s="387"/>
      <c r="CB13" s="387"/>
      <c r="CC13" s="387"/>
      <c r="CD13" s="386"/>
      <c r="CE13" s="386"/>
      <c r="CF13" s="386"/>
      <c r="CG13" s="386"/>
      <c r="CH13" s="386"/>
      <c r="CI13" s="987"/>
      <c r="CJ13" s="386"/>
      <c r="CK13" s="387"/>
      <c r="CL13" s="387"/>
      <c r="CM13" s="387"/>
      <c r="CN13" s="387"/>
      <c r="CO13" s="387"/>
      <c r="CP13" s="386"/>
      <c r="CQ13" s="386"/>
      <c r="CR13" s="386"/>
      <c r="CS13" s="386"/>
      <c r="CT13" s="386"/>
      <c r="CU13" s="987"/>
      <c r="CV13" s="386"/>
      <c r="CW13" s="387"/>
      <c r="CX13" s="387"/>
      <c r="CY13" s="387"/>
      <c r="CZ13" s="387"/>
      <c r="DA13" s="387"/>
      <c r="DB13" s="386"/>
      <c r="DC13" s="386"/>
      <c r="DD13" s="386"/>
      <c r="DE13" s="386"/>
      <c r="DF13" s="386"/>
      <c r="DG13" s="987"/>
      <c r="DH13" s="386"/>
      <c r="DI13" s="387"/>
      <c r="DJ13" s="387"/>
      <c r="DK13" s="387"/>
      <c r="DL13" s="387"/>
      <c r="DM13" s="387"/>
      <c r="DN13" s="386"/>
      <c r="DO13" s="386"/>
      <c r="DP13" s="386"/>
      <c r="DQ13" s="386"/>
      <c r="DR13" s="386"/>
      <c r="DS13" s="987"/>
      <c r="DT13" s="387">
        <v>4380.1000000000004</v>
      </c>
      <c r="DU13" s="387">
        <v>4942.37</v>
      </c>
      <c r="DV13" s="387">
        <v>3533.6699999999996</v>
      </c>
      <c r="DW13" s="387">
        <v>3576.43</v>
      </c>
      <c r="DX13" s="387">
        <v>4150.41</v>
      </c>
      <c r="DY13" s="387">
        <v>3551.08</v>
      </c>
      <c r="DZ13" s="386">
        <v>2671.99</v>
      </c>
      <c r="EA13" s="386">
        <v>2287.17</v>
      </c>
      <c r="EB13" s="386">
        <v>3208.2800000000007</v>
      </c>
      <c r="EC13" s="386">
        <v>2556.9499999999998</v>
      </c>
      <c r="ED13" s="387">
        <v>3704.6600000000003</v>
      </c>
      <c r="EE13" s="988">
        <v>3890.9700000000003</v>
      </c>
      <c r="EF13" s="386"/>
      <c r="EG13" s="387"/>
      <c r="EH13" s="387"/>
      <c r="EI13" s="387"/>
      <c r="EJ13" s="387"/>
      <c r="EK13" s="387"/>
      <c r="EL13" s="386"/>
      <c r="EM13" s="386"/>
      <c r="EN13" s="386"/>
      <c r="EO13" s="386"/>
      <c r="EP13" s="386"/>
      <c r="EQ13" s="987"/>
      <c r="ER13" s="386"/>
      <c r="ES13" s="387"/>
      <c r="ET13" s="387"/>
      <c r="EU13" s="387"/>
      <c r="EV13" s="387"/>
      <c r="EW13" s="387"/>
      <c r="EX13" s="386"/>
      <c r="EY13" s="386"/>
      <c r="EZ13" s="386"/>
      <c r="FA13" s="386"/>
      <c r="FB13" s="386"/>
      <c r="FC13" s="987"/>
      <c r="FD13" s="386"/>
      <c r="FE13" s="387"/>
      <c r="FF13" s="387"/>
      <c r="FG13" s="387"/>
      <c r="FH13" s="387"/>
      <c r="FI13" s="387"/>
      <c r="FJ13" s="386"/>
      <c r="FK13" s="386"/>
      <c r="FL13" s="386"/>
      <c r="FM13" s="386"/>
      <c r="FN13" s="386"/>
      <c r="FO13" s="987"/>
      <c r="FP13" s="386"/>
      <c r="FQ13" s="387"/>
      <c r="FR13" s="387"/>
      <c r="FS13" s="387"/>
      <c r="FT13" s="387"/>
      <c r="FU13" s="387"/>
      <c r="FV13" s="386"/>
      <c r="FW13" s="386"/>
      <c r="FX13" s="386"/>
      <c r="FY13" s="386"/>
      <c r="FZ13" s="386"/>
      <c r="GA13" s="987"/>
      <c r="GB13" s="109"/>
      <c r="GC13" s="1036">
        <f t="shared" si="4"/>
        <v>35968.699999999997</v>
      </c>
      <c r="GD13" s="387">
        <f t="shared" si="4"/>
        <v>37193.21</v>
      </c>
      <c r="GE13" s="387">
        <f t="shared" si="4"/>
        <v>32513.620000000003</v>
      </c>
      <c r="GF13" s="387">
        <f t="shared" si="4"/>
        <v>33963.590000000004</v>
      </c>
      <c r="GG13" s="387">
        <f t="shared" si="4"/>
        <v>35767.449999999997</v>
      </c>
      <c r="GH13" s="387">
        <f t="shared" si="4"/>
        <v>37073.72</v>
      </c>
      <c r="GI13" s="387">
        <f t="shared" si="4"/>
        <v>34749.879999999997</v>
      </c>
      <c r="GJ13" s="387">
        <f t="shared" si="4"/>
        <v>35637.409999999996</v>
      </c>
      <c r="GK13" s="387">
        <f t="shared" si="4"/>
        <v>37932.399999999994</v>
      </c>
      <c r="GL13" s="387">
        <f t="shared" si="4"/>
        <v>36011.61</v>
      </c>
      <c r="GM13" s="387">
        <f t="shared" si="4"/>
        <v>41686.900000000009</v>
      </c>
      <c r="GN13" s="988">
        <f t="shared" si="4"/>
        <v>35972.36</v>
      </c>
      <c r="GO13" s="1036">
        <f t="shared" si="5"/>
        <v>4380.1000000000004</v>
      </c>
      <c r="GP13" s="387">
        <f t="shared" si="5"/>
        <v>4942.37</v>
      </c>
      <c r="GQ13" s="387">
        <f t="shared" si="5"/>
        <v>3533.6699999999996</v>
      </c>
      <c r="GR13" s="387">
        <f t="shared" si="5"/>
        <v>3576.43</v>
      </c>
      <c r="GS13" s="387">
        <f t="shared" si="5"/>
        <v>4150.41</v>
      </c>
      <c r="GT13" s="387">
        <f t="shared" si="5"/>
        <v>3551.08</v>
      </c>
      <c r="GU13" s="387">
        <f t="shared" si="5"/>
        <v>2671.99</v>
      </c>
      <c r="GV13" s="387">
        <f t="shared" si="5"/>
        <v>2287.17</v>
      </c>
      <c r="GW13" s="387">
        <f t="shared" si="5"/>
        <v>3208.2800000000007</v>
      </c>
      <c r="GX13" s="387">
        <f t="shared" si="5"/>
        <v>2556.9499999999998</v>
      </c>
      <c r="GY13" s="387">
        <f t="shared" si="5"/>
        <v>3704.6600000000003</v>
      </c>
      <c r="GZ13" s="988">
        <f t="shared" si="5"/>
        <v>3890.9700000000003</v>
      </c>
      <c r="HB13" s="386"/>
      <c r="HC13" s="386"/>
      <c r="HD13" s="386"/>
      <c r="HE13" s="386"/>
      <c r="HF13" s="386"/>
      <c r="HG13" s="386"/>
      <c r="HH13" s="386"/>
      <c r="HI13" s="386"/>
      <c r="HJ13" s="386"/>
      <c r="HK13" s="386"/>
      <c r="HL13" s="386"/>
      <c r="HM13" s="987"/>
    </row>
    <row r="14" spans="1:221">
      <c r="A14" s="1509" t="s">
        <v>900</v>
      </c>
      <c r="B14" s="1509" t="s">
        <v>1097</v>
      </c>
      <c r="C14" s="1509" t="s">
        <v>1096</v>
      </c>
      <c r="D14" s="1036">
        <v>1211.68</v>
      </c>
      <c r="E14" s="387">
        <v>1392.74</v>
      </c>
      <c r="F14" s="387">
        <v>914.84</v>
      </c>
      <c r="G14" s="387">
        <v>1089.0800000000002</v>
      </c>
      <c r="H14" s="387">
        <v>1577.7800000000002</v>
      </c>
      <c r="I14" s="387">
        <v>1281.6100000000001</v>
      </c>
      <c r="J14" s="387">
        <v>1629.6100000000001</v>
      </c>
      <c r="K14" s="387">
        <v>1219.72</v>
      </c>
      <c r="L14" s="387">
        <v>822.08999999999992</v>
      </c>
      <c r="M14" s="387">
        <v>1783.4199999999998</v>
      </c>
      <c r="N14" s="387">
        <v>1476.51</v>
      </c>
      <c r="O14" s="988">
        <v>2020.4</v>
      </c>
      <c r="P14" s="387" t="s">
        <v>2154</v>
      </c>
      <c r="Q14" s="387" t="s">
        <v>2154</v>
      </c>
      <c r="R14" s="387" t="s">
        <v>2154</v>
      </c>
      <c r="S14" s="387" t="s">
        <v>2154</v>
      </c>
      <c r="T14" s="387">
        <v>24.07</v>
      </c>
      <c r="U14" s="387" t="s">
        <v>2154</v>
      </c>
      <c r="V14" s="387" t="s">
        <v>2154</v>
      </c>
      <c r="W14" s="387" t="s">
        <v>2154</v>
      </c>
      <c r="X14" s="387" t="s">
        <v>2154</v>
      </c>
      <c r="Y14" s="387" t="s">
        <v>2154</v>
      </c>
      <c r="Z14" s="387" t="s">
        <v>2154</v>
      </c>
      <c r="AA14" s="988" t="s">
        <v>2154</v>
      </c>
      <c r="AB14" s="386"/>
      <c r="AC14" s="387"/>
      <c r="AD14" s="387"/>
      <c r="AE14" s="387"/>
      <c r="AF14" s="386"/>
      <c r="AG14" s="386"/>
      <c r="AH14" s="386"/>
      <c r="AI14" s="387"/>
      <c r="AJ14" s="386"/>
      <c r="AK14" s="387"/>
      <c r="AL14" s="386"/>
      <c r="AM14" s="988"/>
      <c r="AN14" s="386"/>
      <c r="AO14" s="387"/>
      <c r="AP14" s="387"/>
      <c r="AQ14" s="387"/>
      <c r="AR14" s="386"/>
      <c r="AS14" s="386"/>
      <c r="AT14" s="386"/>
      <c r="AU14" s="387"/>
      <c r="AV14" s="386"/>
      <c r="AW14" s="387"/>
      <c r="AX14" s="386"/>
      <c r="AY14" s="988"/>
      <c r="AZ14" s="386"/>
      <c r="BA14" s="387"/>
      <c r="BB14" s="387"/>
      <c r="BC14" s="387"/>
      <c r="BD14" s="386"/>
      <c r="BE14" s="386"/>
      <c r="BF14" s="386"/>
      <c r="BG14" s="387"/>
      <c r="BH14" s="386"/>
      <c r="BI14" s="387"/>
      <c r="BJ14" s="386"/>
      <c r="BK14" s="988"/>
      <c r="BL14" s="386"/>
      <c r="BM14" s="387"/>
      <c r="BN14" s="387"/>
      <c r="BO14" s="387"/>
      <c r="BP14" s="386"/>
      <c r="BQ14" s="386"/>
      <c r="BR14" s="387"/>
      <c r="BS14" s="387"/>
      <c r="BT14" s="387"/>
      <c r="BU14" s="387"/>
      <c r="BV14" s="387"/>
      <c r="BW14" s="988"/>
      <c r="BX14" s="387"/>
      <c r="BY14" s="387"/>
      <c r="BZ14" s="387"/>
      <c r="CA14" s="387"/>
      <c r="CB14" s="387"/>
      <c r="CC14" s="387"/>
      <c r="CD14" s="387"/>
      <c r="CE14" s="387"/>
      <c r="CF14" s="387"/>
      <c r="CG14" s="387"/>
      <c r="CH14" s="387"/>
      <c r="CI14" s="988"/>
      <c r="CJ14" s="387"/>
      <c r="CK14" s="387"/>
      <c r="CL14" s="387"/>
      <c r="CM14" s="387"/>
      <c r="CN14" s="387"/>
      <c r="CO14" s="387"/>
      <c r="CP14" s="387"/>
      <c r="CQ14" s="387"/>
      <c r="CR14" s="387"/>
      <c r="CS14" s="387"/>
      <c r="CT14" s="387"/>
      <c r="CU14" s="988"/>
      <c r="CV14" s="387"/>
      <c r="CW14" s="387"/>
      <c r="CX14" s="387"/>
      <c r="CY14" s="387"/>
      <c r="CZ14" s="387"/>
      <c r="DA14" s="387"/>
      <c r="DB14" s="387"/>
      <c r="DC14" s="387"/>
      <c r="DD14" s="387"/>
      <c r="DE14" s="387"/>
      <c r="DF14" s="387"/>
      <c r="DG14" s="988"/>
      <c r="DH14" s="387"/>
      <c r="DI14" s="387"/>
      <c r="DJ14" s="387"/>
      <c r="DK14" s="387"/>
      <c r="DL14" s="387"/>
      <c r="DM14" s="387"/>
      <c r="DN14" s="387"/>
      <c r="DO14" s="387"/>
      <c r="DP14" s="387"/>
      <c r="DQ14" s="387"/>
      <c r="DR14" s="387"/>
      <c r="DS14" s="988"/>
      <c r="DT14" s="387" t="s">
        <v>2154</v>
      </c>
      <c r="DU14" s="387" t="s">
        <v>2154</v>
      </c>
      <c r="DV14" s="387" t="s">
        <v>2154</v>
      </c>
      <c r="DW14" s="387" t="s">
        <v>2154</v>
      </c>
      <c r="DX14" s="387" t="s">
        <v>2154</v>
      </c>
      <c r="DY14" s="387" t="s">
        <v>2154</v>
      </c>
      <c r="DZ14" s="387" t="s">
        <v>2154</v>
      </c>
      <c r="EA14" s="387" t="s">
        <v>2154</v>
      </c>
      <c r="EB14" s="387" t="s">
        <v>2154</v>
      </c>
      <c r="EC14" s="387" t="s">
        <v>2154</v>
      </c>
      <c r="ED14" s="387" t="s">
        <v>2154</v>
      </c>
      <c r="EE14" s="988" t="s">
        <v>2154</v>
      </c>
      <c r="EF14" s="387"/>
      <c r="EG14" s="387"/>
      <c r="EH14" s="387"/>
      <c r="EI14" s="387"/>
      <c r="EJ14" s="387"/>
      <c r="EK14" s="387"/>
      <c r="EL14" s="387"/>
      <c r="EM14" s="387"/>
      <c r="EN14" s="387"/>
      <c r="EO14" s="387"/>
      <c r="EP14" s="387"/>
      <c r="EQ14" s="988"/>
      <c r="ER14" s="387"/>
      <c r="ES14" s="387"/>
      <c r="ET14" s="387"/>
      <c r="EU14" s="387"/>
      <c r="EV14" s="387"/>
      <c r="EW14" s="387"/>
      <c r="EX14" s="387"/>
      <c r="EY14" s="387"/>
      <c r="EZ14" s="387"/>
      <c r="FA14" s="387"/>
      <c r="FB14" s="387"/>
      <c r="FC14" s="988"/>
      <c r="FD14" s="387"/>
      <c r="FE14" s="387"/>
      <c r="FF14" s="387"/>
      <c r="FG14" s="387"/>
      <c r="FH14" s="387"/>
      <c r="FI14" s="387"/>
      <c r="FJ14" s="387"/>
      <c r="FK14" s="387"/>
      <c r="FL14" s="387"/>
      <c r="FM14" s="387"/>
      <c r="FN14" s="387"/>
      <c r="FO14" s="988"/>
      <c r="FP14" s="387"/>
      <c r="FQ14" s="387"/>
      <c r="FR14" s="387"/>
      <c r="FS14" s="387"/>
      <c r="FT14" s="387"/>
      <c r="FU14" s="387"/>
      <c r="FV14" s="387"/>
      <c r="FW14" s="387"/>
      <c r="FX14" s="387"/>
      <c r="FY14" s="387"/>
      <c r="FZ14" s="387"/>
      <c r="GA14" s="988"/>
      <c r="GB14" s="109"/>
      <c r="GC14" s="1036">
        <f t="shared" si="4"/>
        <v>1211.68</v>
      </c>
      <c r="GD14" s="387">
        <f t="shared" si="4"/>
        <v>1392.74</v>
      </c>
      <c r="GE14" s="387">
        <f t="shared" si="4"/>
        <v>914.84</v>
      </c>
      <c r="GF14" s="387">
        <f t="shared" si="4"/>
        <v>1089.0800000000002</v>
      </c>
      <c r="GG14" s="387">
        <f t="shared" si="4"/>
        <v>1601.8500000000001</v>
      </c>
      <c r="GH14" s="387">
        <f t="shared" si="4"/>
        <v>1281.6100000000001</v>
      </c>
      <c r="GI14" s="387">
        <f t="shared" si="4"/>
        <v>1629.6100000000001</v>
      </c>
      <c r="GJ14" s="387">
        <f t="shared" si="4"/>
        <v>1219.72</v>
      </c>
      <c r="GK14" s="387">
        <f t="shared" si="4"/>
        <v>822.08999999999992</v>
      </c>
      <c r="GL14" s="387">
        <f t="shared" si="4"/>
        <v>1783.4199999999998</v>
      </c>
      <c r="GM14" s="387">
        <f t="shared" si="4"/>
        <v>1476.51</v>
      </c>
      <c r="GN14" s="988">
        <f t="shared" si="4"/>
        <v>2020.4</v>
      </c>
      <c r="GO14" s="1036">
        <f t="shared" si="5"/>
        <v>0</v>
      </c>
      <c r="GP14" s="387">
        <f t="shared" si="5"/>
        <v>0</v>
      </c>
      <c r="GQ14" s="387">
        <f t="shared" si="5"/>
        <v>0</v>
      </c>
      <c r="GR14" s="387">
        <f t="shared" si="5"/>
        <v>0</v>
      </c>
      <c r="GS14" s="387">
        <f t="shared" si="5"/>
        <v>0</v>
      </c>
      <c r="GT14" s="387">
        <f t="shared" si="5"/>
        <v>0</v>
      </c>
      <c r="GU14" s="387">
        <f t="shared" si="5"/>
        <v>0</v>
      </c>
      <c r="GV14" s="387">
        <f t="shared" si="5"/>
        <v>0</v>
      </c>
      <c r="GW14" s="387">
        <f t="shared" si="5"/>
        <v>0</v>
      </c>
      <c r="GX14" s="387">
        <f t="shared" si="5"/>
        <v>0</v>
      </c>
      <c r="GY14" s="387">
        <f t="shared" si="5"/>
        <v>0</v>
      </c>
      <c r="GZ14" s="988">
        <f t="shared" si="5"/>
        <v>0</v>
      </c>
      <c r="HB14" s="386"/>
      <c r="HC14" s="387"/>
      <c r="HD14" s="387"/>
      <c r="HE14" s="387"/>
      <c r="HF14" s="386"/>
      <c r="HG14" s="386"/>
      <c r="HH14" s="386"/>
      <c r="HI14" s="387"/>
      <c r="HJ14" s="386"/>
      <c r="HK14" s="387"/>
      <c r="HL14" s="386"/>
      <c r="HM14" s="988"/>
    </row>
    <row r="15" spans="1:221">
      <c r="A15" s="1509" t="s">
        <v>900</v>
      </c>
      <c r="B15" s="1509" t="s">
        <v>1098</v>
      </c>
      <c r="C15" s="1509" t="s">
        <v>1096</v>
      </c>
      <c r="D15" s="1036">
        <v>5694.13</v>
      </c>
      <c r="E15" s="387">
        <v>9217.7000000000007</v>
      </c>
      <c r="F15" s="387">
        <v>11676.97</v>
      </c>
      <c r="G15" s="387">
        <v>11589.630000000001</v>
      </c>
      <c r="H15" s="387">
        <v>13714.25</v>
      </c>
      <c r="I15" s="387">
        <v>11083.970000000001</v>
      </c>
      <c r="J15" s="387">
        <v>9640.33</v>
      </c>
      <c r="K15" s="387">
        <v>12222.78</v>
      </c>
      <c r="L15" s="387">
        <v>10316.25</v>
      </c>
      <c r="M15" s="387">
        <v>9541.5600000000013</v>
      </c>
      <c r="N15" s="387">
        <v>10237.61</v>
      </c>
      <c r="O15" s="988">
        <v>9229.07</v>
      </c>
      <c r="P15" s="386">
        <v>5827.96</v>
      </c>
      <c r="Q15" s="386">
        <v>5904.8600000000006</v>
      </c>
      <c r="R15" s="386">
        <v>2414.17</v>
      </c>
      <c r="S15" s="386">
        <v>2566.2799999999997</v>
      </c>
      <c r="T15" s="386">
        <v>2827.6099999999997</v>
      </c>
      <c r="U15" s="386">
        <v>2618.12</v>
      </c>
      <c r="V15" s="386">
        <v>2194.9</v>
      </c>
      <c r="W15" s="386">
        <v>2847</v>
      </c>
      <c r="X15" s="386">
        <v>2295.5199999999995</v>
      </c>
      <c r="Y15" s="386">
        <v>2428.4499999999998</v>
      </c>
      <c r="Z15" s="386">
        <v>2751.87</v>
      </c>
      <c r="AA15" s="987">
        <v>2455.1999999999998</v>
      </c>
      <c r="AB15" s="386"/>
      <c r="AC15" s="386"/>
      <c r="AD15" s="386"/>
      <c r="AE15" s="386"/>
      <c r="AF15" s="386"/>
      <c r="AG15" s="386"/>
      <c r="AH15" s="386"/>
      <c r="AI15" s="386"/>
      <c r="AJ15" s="386"/>
      <c r="AK15" s="386"/>
      <c r="AL15" s="386"/>
      <c r="AM15" s="987"/>
      <c r="AN15" s="386"/>
      <c r="AO15" s="386"/>
      <c r="AP15" s="386"/>
      <c r="AQ15" s="386"/>
      <c r="AR15" s="386"/>
      <c r="AS15" s="386"/>
      <c r="AT15" s="386"/>
      <c r="AU15" s="386"/>
      <c r="AV15" s="386"/>
      <c r="AW15" s="386"/>
      <c r="AX15" s="386"/>
      <c r="AY15" s="987"/>
      <c r="AZ15" s="386"/>
      <c r="BA15" s="386"/>
      <c r="BB15" s="386"/>
      <c r="BC15" s="386"/>
      <c r="BD15" s="386"/>
      <c r="BE15" s="386"/>
      <c r="BF15" s="386"/>
      <c r="BG15" s="386"/>
      <c r="BH15" s="386"/>
      <c r="BI15" s="386"/>
      <c r="BJ15" s="386"/>
      <c r="BK15" s="987"/>
      <c r="BL15" s="386"/>
      <c r="BM15" s="386"/>
      <c r="BN15" s="386"/>
      <c r="BO15" s="386"/>
      <c r="BP15" s="386"/>
      <c r="BQ15" s="386"/>
      <c r="BR15" s="386"/>
      <c r="BS15" s="386"/>
      <c r="BT15" s="386"/>
      <c r="BU15" s="386"/>
      <c r="BV15" s="386"/>
      <c r="BW15" s="987"/>
      <c r="BX15" s="386"/>
      <c r="BY15" s="386"/>
      <c r="BZ15" s="386"/>
      <c r="CA15" s="386"/>
      <c r="CB15" s="386"/>
      <c r="CC15" s="386"/>
      <c r="CD15" s="386"/>
      <c r="CE15" s="386"/>
      <c r="CF15" s="386"/>
      <c r="CG15" s="386"/>
      <c r="CH15" s="386"/>
      <c r="CI15" s="987"/>
      <c r="CJ15" s="386"/>
      <c r="CK15" s="386"/>
      <c r="CL15" s="386"/>
      <c r="CM15" s="386"/>
      <c r="CN15" s="386"/>
      <c r="CO15" s="386"/>
      <c r="CP15" s="386"/>
      <c r="CQ15" s="386"/>
      <c r="CR15" s="386"/>
      <c r="CS15" s="386"/>
      <c r="CT15" s="386"/>
      <c r="CU15" s="987"/>
      <c r="CV15" s="386"/>
      <c r="CW15" s="386"/>
      <c r="CX15" s="386"/>
      <c r="CY15" s="386"/>
      <c r="CZ15" s="386"/>
      <c r="DA15" s="386"/>
      <c r="DB15" s="386"/>
      <c r="DC15" s="386"/>
      <c r="DD15" s="386"/>
      <c r="DE15" s="386"/>
      <c r="DF15" s="386"/>
      <c r="DG15" s="987"/>
      <c r="DH15" s="386"/>
      <c r="DI15" s="386"/>
      <c r="DJ15" s="386"/>
      <c r="DK15" s="386"/>
      <c r="DL15" s="386"/>
      <c r="DM15" s="386"/>
      <c r="DN15" s="386"/>
      <c r="DO15" s="386"/>
      <c r="DP15" s="386"/>
      <c r="DQ15" s="386"/>
      <c r="DR15" s="386"/>
      <c r="DS15" s="987"/>
      <c r="DT15" s="387">
        <v>462.25000000000006</v>
      </c>
      <c r="DU15" s="387">
        <v>536.12</v>
      </c>
      <c r="DV15" s="387">
        <v>495.92</v>
      </c>
      <c r="DW15" s="387">
        <v>999.12</v>
      </c>
      <c r="DX15" s="387">
        <v>1447.73</v>
      </c>
      <c r="DY15" s="387">
        <v>1802.63</v>
      </c>
      <c r="DZ15" s="387">
        <v>1648.62</v>
      </c>
      <c r="EA15" s="387">
        <v>1631.3</v>
      </c>
      <c r="EB15" s="387">
        <v>1587.64</v>
      </c>
      <c r="EC15" s="387">
        <v>2622.91</v>
      </c>
      <c r="ED15" s="387">
        <v>2663.65</v>
      </c>
      <c r="EE15" s="988">
        <v>2454.6799999999998</v>
      </c>
      <c r="EF15" s="387"/>
      <c r="EG15" s="387"/>
      <c r="EH15" s="387"/>
      <c r="EI15" s="387"/>
      <c r="EJ15" s="387"/>
      <c r="EK15" s="387"/>
      <c r="EL15" s="387"/>
      <c r="EM15" s="387"/>
      <c r="EN15" s="387"/>
      <c r="EO15" s="387"/>
      <c r="EP15" s="387"/>
      <c r="EQ15" s="988"/>
      <c r="ER15" s="386"/>
      <c r="ES15" s="386"/>
      <c r="ET15" s="386"/>
      <c r="EU15" s="386"/>
      <c r="EV15" s="386"/>
      <c r="EW15" s="386"/>
      <c r="EX15" s="386"/>
      <c r="EY15" s="386"/>
      <c r="EZ15" s="386"/>
      <c r="FA15" s="386"/>
      <c r="FB15" s="386"/>
      <c r="FC15" s="987"/>
      <c r="FD15" s="386"/>
      <c r="FE15" s="386"/>
      <c r="FF15" s="386"/>
      <c r="FG15" s="386"/>
      <c r="FH15" s="386"/>
      <c r="FI15" s="386"/>
      <c r="FJ15" s="386"/>
      <c r="FK15" s="386"/>
      <c r="FL15" s="386"/>
      <c r="FM15" s="386"/>
      <c r="FN15" s="386"/>
      <c r="FO15" s="987"/>
      <c r="FP15" s="386"/>
      <c r="FQ15" s="386"/>
      <c r="FR15" s="386"/>
      <c r="FS15" s="386"/>
      <c r="FT15" s="386"/>
      <c r="FU15" s="386"/>
      <c r="FV15" s="386"/>
      <c r="FW15" s="386"/>
      <c r="FX15" s="386"/>
      <c r="FY15" s="386"/>
      <c r="FZ15" s="386"/>
      <c r="GA15" s="987"/>
      <c r="GB15" s="109"/>
      <c r="GC15" s="1036">
        <f t="shared" si="4"/>
        <v>11984.34</v>
      </c>
      <c r="GD15" s="387">
        <f t="shared" si="4"/>
        <v>15658.680000000002</v>
      </c>
      <c r="GE15" s="387">
        <f t="shared" si="4"/>
        <v>14587.06</v>
      </c>
      <c r="GF15" s="387">
        <f t="shared" si="4"/>
        <v>15155.03</v>
      </c>
      <c r="GG15" s="387">
        <f t="shared" si="4"/>
        <v>17989.59</v>
      </c>
      <c r="GH15" s="387">
        <f t="shared" si="4"/>
        <v>15504.720000000001</v>
      </c>
      <c r="GI15" s="387">
        <f t="shared" si="4"/>
        <v>13483.849999999999</v>
      </c>
      <c r="GJ15" s="387">
        <f t="shared" si="4"/>
        <v>16701.080000000002</v>
      </c>
      <c r="GK15" s="387">
        <f t="shared" si="4"/>
        <v>14199.41</v>
      </c>
      <c r="GL15" s="387">
        <f t="shared" si="4"/>
        <v>14592.920000000002</v>
      </c>
      <c r="GM15" s="387">
        <f t="shared" si="4"/>
        <v>15653.13</v>
      </c>
      <c r="GN15" s="988">
        <f t="shared" si="4"/>
        <v>14138.95</v>
      </c>
      <c r="GO15" s="1036">
        <f t="shared" si="5"/>
        <v>462.25000000000006</v>
      </c>
      <c r="GP15" s="387">
        <f t="shared" si="5"/>
        <v>536.12</v>
      </c>
      <c r="GQ15" s="387">
        <f t="shared" si="5"/>
        <v>495.92</v>
      </c>
      <c r="GR15" s="387">
        <f t="shared" si="5"/>
        <v>999.12</v>
      </c>
      <c r="GS15" s="387">
        <f t="shared" si="5"/>
        <v>1447.73</v>
      </c>
      <c r="GT15" s="387">
        <f t="shared" si="5"/>
        <v>1802.63</v>
      </c>
      <c r="GU15" s="387">
        <f t="shared" si="5"/>
        <v>1648.62</v>
      </c>
      <c r="GV15" s="387">
        <f t="shared" si="5"/>
        <v>1631.3</v>
      </c>
      <c r="GW15" s="387">
        <f t="shared" si="5"/>
        <v>1587.64</v>
      </c>
      <c r="GX15" s="387">
        <f t="shared" si="5"/>
        <v>2622.91</v>
      </c>
      <c r="GY15" s="387">
        <f t="shared" si="5"/>
        <v>2663.65</v>
      </c>
      <c r="GZ15" s="988">
        <f t="shared" si="5"/>
        <v>2454.6799999999998</v>
      </c>
      <c r="HB15" s="386"/>
      <c r="HC15" s="386"/>
      <c r="HD15" s="386"/>
      <c r="HE15" s="386"/>
      <c r="HF15" s="386"/>
      <c r="HG15" s="386"/>
      <c r="HH15" s="386"/>
      <c r="HI15" s="386"/>
      <c r="HJ15" s="386"/>
      <c r="HK15" s="386"/>
      <c r="HL15" s="386"/>
      <c r="HM15" s="987"/>
    </row>
    <row r="16" spans="1:221">
      <c r="A16" s="1509" t="s">
        <v>900</v>
      </c>
      <c r="B16" s="1509" t="s">
        <v>901</v>
      </c>
      <c r="C16" s="1509" t="s">
        <v>1096</v>
      </c>
      <c r="D16" s="1036">
        <v>34356.9</v>
      </c>
      <c r="E16" s="387">
        <v>37930.979999999996</v>
      </c>
      <c r="F16" s="387">
        <v>38475.090000000004</v>
      </c>
      <c r="G16" s="387">
        <v>38115.629999999997</v>
      </c>
      <c r="H16" s="387">
        <v>42515.85</v>
      </c>
      <c r="I16" s="387">
        <v>41163.78</v>
      </c>
      <c r="J16" s="387">
        <v>38688.170000000006</v>
      </c>
      <c r="K16" s="387">
        <v>41575.700000000004</v>
      </c>
      <c r="L16" s="387">
        <v>37182.03</v>
      </c>
      <c r="M16" s="387">
        <v>36016.769999999997</v>
      </c>
      <c r="N16" s="387">
        <v>40267.930000000008</v>
      </c>
      <c r="O16" s="988">
        <v>36466.92</v>
      </c>
      <c r="P16" s="386">
        <v>9965.4700000000012</v>
      </c>
      <c r="Q16" s="386">
        <v>10835.16</v>
      </c>
      <c r="R16" s="386">
        <v>5510.84</v>
      </c>
      <c r="S16" s="386">
        <v>7516.5199999999986</v>
      </c>
      <c r="T16" s="386">
        <v>7244.9</v>
      </c>
      <c r="U16" s="386">
        <v>7342.56</v>
      </c>
      <c r="V16" s="386">
        <v>6854.56</v>
      </c>
      <c r="W16" s="386">
        <v>8064.0399999999991</v>
      </c>
      <c r="X16" s="386">
        <v>10975.95</v>
      </c>
      <c r="Y16" s="386">
        <v>11191.319999999996</v>
      </c>
      <c r="Z16" s="386">
        <v>12180.3</v>
      </c>
      <c r="AA16" s="987">
        <v>9319.14</v>
      </c>
      <c r="AB16" s="386"/>
      <c r="AC16" s="386"/>
      <c r="AD16" s="386"/>
      <c r="AE16" s="386"/>
      <c r="AF16" s="386"/>
      <c r="AG16" s="386"/>
      <c r="AH16" s="386"/>
      <c r="AI16" s="386"/>
      <c r="AJ16" s="386"/>
      <c r="AK16" s="386"/>
      <c r="AL16" s="386"/>
      <c r="AM16" s="987"/>
      <c r="AN16" s="386"/>
      <c r="AO16" s="386"/>
      <c r="AP16" s="386"/>
      <c r="AQ16" s="386"/>
      <c r="AR16" s="386"/>
      <c r="AS16" s="386"/>
      <c r="AT16" s="386"/>
      <c r="AU16" s="386"/>
      <c r="AV16" s="386"/>
      <c r="AW16" s="386"/>
      <c r="AX16" s="386"/>
      <c r="AY16" s="987"/>
      <c r="AZ16" s="386"/>
      <c r="BA16" s="386"/>
      <c r="BB16" s="386"/>
      <c r="BC16" s="386"/>
      <c r="BD16" s="386"/>
      <c r="BE16" s="386"/>
      <c r="BF16" s="386"/>
      <c r="BG16" s="386"/>
      <c r="BH16" s="386"/>
      <c r="BI16" s="386"/>
      <c r="BJ16" s="386"/>
      <c r="BK16" s="987"/>
      <c r="BL16" s="386"/>
      <c r="BM16" s="386"/>
      <c r="BN16" s="386"/>
      <c r="BO16" s="386"/>
      <c r="BP16" s="386"/>
      <c r="BQ16" s="386"/>
      <c r="BR16" s="386"/>
      <c r="BS16" s="386"/>
      <c r="BT16" s="386"/>
      <c r="BU16" s="386"/>
      <c r="BV16" s="386"/>
      <c r="BW16" s="987"/>
      <c r="BX16" s="386"/>
      <c r="BY16" s="386"/>
      <c r="BZ16" s="386"/>
      <c r="CA16" s="386"/>
      <c r="CB16" s="386"/>
      <c r="CC16" s="386"/>
      <c r="CD16" s="386"/>
      <c r="CE16" s="386"/>
      <c r="CF16" s="386"/>
      <c r="CG16" s="386"/>
      <c r="CH16" s="386"/>
      <c r="CI16" s="987"/>
      <c r="CJ16" s="386"/>
      <c r="CK16" s="386"/>
      <c r="CL16" s="386"/>
      <c r="CM16" s="386"/>
      <c r="CN16" s="386"/>
      <c r="CO16" s="386"/>
      <c r="CP16" s="386"/>
      <c r="CQ16" s="386"/>
      <c r="CR16" s="386"/>
      <c r="CS16" s="386"/>
      <c r="CT16" s="386"/>
      <c r="CU16" s="987"/>
      <c r="CV16" s="386"/>
      <c r="CW16" s="386"/>
      <c r="CX16" s="386"/>
      <c r="CY16" s="386"/>
      <c r="CZ16" s="386"/>
      <c r="DA16" s="386"/>
      <c r="DB16" s="386"/>
      <c r="DC16" s="386"/>
      <c r="DD16" s="386"/>
      <c r="DE16" s="386"/>
      <c r="DF16" s="386"/>
      <c r="DG16" s="987"/>
      <c r="DH16" s="386"/>
      <c r="DI16" s="386"/>
      <c r="DJ16" s="386"/>
      <c r="DK16" s="386"/>
      <c r="DL16" s="386"/>
      <c r="DM16" s="386"/>
      <c r="DN16" s="386"/>
      <c r="DO16" s="386"/>
      <c r="DP16" s="386"/>
      <c r="DQ16" s="386"/>
      <c r="DR16" s="386"/>
      <c r="DS16" s="987"/>
      <c r="DT16" s="386">
        <v>4842.3500000000004</v>
      </c>
      <c r="DU16" s="387">
        <v>5478.49</v>
      </c>
      <c r="DV16" s="386">
        <v>4029.5899999999997</v>
      </c>
      <c r="DW16" s="386">
        <v>4575.55</v>
      </c>
      <c r="DX16" s="387">
        <v>5598.1399999999994</v>
      </c>
      <c r="DY16" s="386">
        <v>5353.7100000000009</v>
      </c>
      <c r="DZ16" s="386">
        <v>4320.6099999999997</v>
      </c>
      <c r="EA16" s="386">
        <v>3918.4700000000003</v>
      </c>
      <c r="EB16" s="386">
        <v>4795.92</v>
      </c>
      <c r="EC16" s="386">
        <v>5179.8599999999997</v>
      </c>
      <c r="ED16" s="386">
        <v>6368.31</v>
      </c>
      <c r="EE16" s="987">
        <v>6345.65</v>
      </c>
      <c r="EF16" s="386"/>
      <c r="EG16" s="386"/>
      <c r="EH16" s="386"/>
      <c r="EI16" s="386"/>
      <c r="EJ16" s="386"/>
      <c r="EK16" s="386"/>
      <c r="EL16" s="386"/>
      <c r="EM16" s="386"/>
      <c r="EN16" s="386"/>
      <c r="EO16" s="386"/>
      <c r="EP16" s="386"/>
      <c r="EQ16" s="987"/>
      <c r="ER16" s="386"/>
      <c r="ES16" s="386"/>
      <c r="ET16" s="386"/>
      <c r="EU16" s="386"/>
      <c r="EV16" s="386"/>
      <c r="EW16" s="386"/>
      <c r="EX16" s="386"/>
      <c r="EY16" s="386"/>
      <c r="EZ16" s="386"/>
      <c r="FA16" s="386"/>
      <c r="FB16" s="386"/>
      <c r="FC16" s="987"/>
      <c r="FD16" s="386"/>
      <c r="FE16" s="386"/>
      <c r="FF16" s="386"/>
      <c r="FG16" s="386"/>
      <c r="FH16" s="386"/>
      <c r="FI16" s="386"/>
      <c r="FJ16" s="386"/>
      <c r="FK16" s="386"/>
      <c r="FL16" s="386"/>
      <c r="FM16" s="386"/>
      <c r="FN16" s="386"/>
      <c r="FO16" s="987"/>
      <c r="FP16" s="386"/>
      <c r="FQ16" s="386"/>
      <c r="FR16" s="386"/>
      <c r="FS16" s="386"/>
      <c r="FT16" s="386"/>
      <c r="FU16" s="386"/>
      <c r="FV16" s="386"/>
      <c r="FW16" s="386"/>
      <c r="FX16" s="386"/>
      <c r="FY16" s="386"/>
      <c r="FZ16" s="386"/>
      <c r="GA16" s="987"/>
      <c r="GB16" s="109"/>
      <c r="GC16" s="1036">
        <f t="shared" si="4"/>
        <v>49164.72</v>
      </c>
      <c r="GD16" s="387">
        <f t="shared" si="4"/>
        <v>54244.63</v>
      </c>
      <c r="GE16" s="387">
        <f t="shared" si="4"/>
        <v>48015.520000000004</v>
      </c>
      <c r="GF16" s="387">
        <f t="shared" si="4"/>
        <v>50207.7</v>
      </c>
      <c r="GG16" s="387">
        <f t="shared" si="4"/>
        <v>55358.89</v>
      </c>
      <c r="GH16" s="387">
        <f t="shared" si="4"/>
        <v>53860.049999999996</v>
      </c>
      <c r="GI16" s="387">
        <f t="shared" si="4"/>
        <v>49863.340000000004</v>
      </c>
      <c r="GJ16" s="387">
        <f t="shared" si="4"/>
        <v>53558.210000000006</v>
      </c>
      <c r="GK16" s="387">
        <f t="shared" si="4"/>
        <v>52953.899999999994</v>
      </c>
      <c r="GL16" s="387">
        <f t="shared" si="4"/>
        <v>52387.95</v>
      </c>
      <c r="GM16" s="387">
        <f t="shared" si="4"/>
        <v>58816.540000000008</v>
      </c>
      <c r="GN16" s="988">
        <f t="shared" si="4"/>
        <v>52131.71</v>
      </c>
      <c r="GO16" s="1036">
        <f t="shared" si="5"/>
        <v>4842.3500000000004</v>
      </c>
      <c r="GP16" s="387">
        <f t="shared" si="5"/>
        <v>5478.49</v>
      </c>
      <c r="GQ16" s="387">
        <f t="shared" si="5"/>
        <v>4029.5899999999997</v>
      </c>
      <c r="GR16" s="387">
        <f t="shared" si="5"/>
        <v>4575.55</v>
      </c>
      <c r="GS16" s="387">
        <f t="shared" si="5"/>
        <v>5598.1399999999994</v>
      </c>
      <c r="GT16" s="387">
        <f t="shared" si="5"/>
        <v>5353.7100000000009</v>
      </c>
      <c r="GU16" s="387">
        <f t="shared" si="5"/>
        <v>4320.6099999999997</v>
      </c>
      <c r="GV16" s="387">
        <f t="shared" si="5"/>
        <v>3918.4700000000003</v>
      </c>
      <c r="GW16" s="387">
        <f t="shared" si="5"/>
        <v>4795.92</v>
      </c>
      <c r="GX16" s="387">
        <f t="shared" si="5"/>
        <v>5179.8599999999997</v>
      </c>
      <c r="GY16" s="387">
        <f t="shared" si="5"/>
        <v>6368.31</v>
      </c>
      <c r="GZ16" s="988">
        <f t="shared" si="5"/>
        <v>6345.65</v>
      </c>
      <c r="HB16" s="386"/>
      <c r="HC16" s="386"/>
      <c r="HD16" s="386"/>
      <c r="HE16" s="386"/>
      <c r="HF16" s="386"/>
      <c r="HG16" s="386"/>
      <c r="HH16" s="386"/>
      <c r="HI16" s="386"/>
      <c r="HJ16" s="386"/>
      <c r="HK16" s="386"/>
      <c r="HL16" s="386"/>
      <c r="HM16" s="987"/>
    </row>
    <row r="17" spans="1:221">
      <c r="A17" s="1509" t="s">
        <v>900</v>
      </c>
      <c r="B17" s="1509" t="s">
        <v>901</v>
      </c>
      <c r="C17" s="1509" t="s">
        <v>1099</v>
      </c>
      <c r="D17" s="1036">
        <v>21937.09</v>
      </c>
      <c r="E17" s="387">
        <v>15861.369999999999</v>
      </c>
      <c r="F17" s="387">
        <v>14887.76</v>
      </c>
      <c r="G17" s="387">
        <v>14404.98</v>
      </c>
      <c r="H17" s="387">
        <v>14985.560000000001</v>
      </c>
      <c r="I17" s="387">
        <v>15625.42</v>
      </c>
      <c r="J17" s="387">
        <v>20707.68</v>
      </c>
      <c r="K17" s="387">
        <v>18003.62</v>
      </c>
      <c r="L17" s="387">
        <v>13825.78</v>
      </c>
      <c r="M17" s="387">
        <v>13249.850000000002</v>
      </c>
      <c r="N17" s="387">
        <v>16443.09</v>
      </c>
      <c r="O17" s="988">
        <v>14085.68</v>
      </c>
      <c r="P17" s="386">
        <v>7584.33</v>
      </c>
      <c r="Q17" s="386">
        <v>4136.16</v>
      </c>
      <c r="R17" s="386">
        <v>3155.95</v>
      </c>
      <c r="S17" s="386">
        <v>16743.75</v>
      </c>
      <c r="T17" s="386">
        <v>1819.0500000000002</v>
      </c>
      <c r="U17" s="386">
        <v>1834.33</v>
      </c>
      <c r="V17" s="386">
        <v>2185.7800000000002</v>
      </c>
      <c r="W17" s="386">
        <v>2026.57</v>
      </c>
      <c r="X17" s="386">
        <v>2806.33</v>
      </c>
      <c r="Y17" s="386">
        <v>2286.89</v>
      </c>
      <c r="Z17" s="386">
        <v>3940.85</v>
      </c>
      <c r="AA17" s="987">
        <v>3050.67</v>
      </c>
      <c r="AB17" s="386"/>
      <c r="AC17" s="386"/>
      <c r="AD17" s="386"/>
      <c r="AE17" s="386"/>
      <c r="AF17" s="386"/>
      <c r="AG17" s="386"/>
      <c r="AH17" s="386"/>
      <c r="AI17" s="386"/>
      <c r="AJ17" s="386"/>
      <c r="AK17" s="386"/>
      <c r="AL17" s="386"/>
      <c r="AM17" s="987"/>
      <c r="AN17" s="386"/>
      <c r="AO17" s="386"/>
      <c r="AP17" s="386"/>
      <c r="AQ17" s="386"/>
      <c r="AR17" s="386"/>
      <c r="AS17" s="386"/>
      <c r="AT17" s="386"/>
      <c r="AU17" s="386"/>
      <c r="AV17" s="386"/>
      <c r="AW17" s="386"/>
      <c r="AX17" s="386"/>
      <c r="AY17" s="987"/>
      <c r="AZ17" s="386"/>
      <c r="BA17" s="386"/>
      <c r="BB17" s="386"/>
      <c r="BC17" s="386"/>
      <c r="BD17" s="386"/>
      <c r="BE17" s="386"/>
      <c r="BF17" s="386"/>
      <c r="BG17" s="386"/>
      <c r="BH17" s="386"/>
      <c r="BI17" s="386"/>
      <c r="BJ17" s="386"/>
      <c r="BK17" s="987"/>
      <c r="BL17" s="386"/>
      <c r="BM17" s="386"/>
      <c r="BN17" s="386"/>
      <c r="BO17" s="386"/>
      <c r="BP17" s="386"/>
      <c r="BQ17" s="386"/>
      <c r="BR17" s="386"/>
      <c r="BS17" s="386"/>
      <c r="BT17" s="386"/>
      <c r="BU17" s="386"/>
      <c r="BV17" s="386"/>
      <c r="BW17" s="987"/>
      <c r="BX17" s="386"/>
      <c r="BY17" s="386"/>
      <c r="BZ17" s="386"/>
      <c r="CA17" s="386"/>
      <c r="CB17" s="386"/>
      <c r="CC17" s="386"/>
      <c r="CD17" s="386"/>
      <c r="CE17" s="386"/>
      <c r="CF17" s="386"/>
      <c r="CG17" s="386"/>
      <c r="CH17" s="386"/>
      <c r="CI17" s="987"/>
      <c r="CJ17" s="386"/>
      <c r="CK17" s="386"/>
      <c r="CL17" s="386"/>
      <c r="CM17" s="386"/>
      <c r="CN17" s="386"/>
      <c r="CO17" s="386"/>
      <c r="CP17" s="386"/>
      <c r="CQ17" s="386"/>
      <c r="CR17" s="386"/>
      <c r="CS17" s="386"/>
      <c r="CT17" s="386"/>
      <c r="CU17" s="987"/>
      <c r="CV17" s="386"/>
      <c r="CW17" s="386"/>
      <c r="CX17" s="386"/>
      <c r="CY17" s="386"/>
      <c r="CZ17" s="386"/>
      <c r="DA17" s="386"/>
      <c r="DB17" s="386"/>
      <c r="DC17" s="386"/>
      <c r="DD17" s="386"/>
      <c r="DE17" s="386"/>
      <c r="DF17" s="386"/>
      <c r="DG17" s="987"/>
      <c r="DH17" s="386"/>
      <c r="DI17" s="386"/>
      <c r="DJ17" s="386"/>
      <c r="DK17" s="386"/>
      <c r="DL17" s="386"/>
      <c r="DM17" s="386"/>
      <c r="DN17" s="386"/>
      <c r="DO17" s="386"/>
      <c r="DP17" s="386"/>
      <c r="DQ17" s="386"/>
      <c r="DR17" s="386"/>
      <c r="DS17" s="987"/>
      <c r="DT17" s="386">
        <v>2538.59</v>
      </c>
      <c r="DU17" s="387">
        <v>1822.5</v>
      </c>
      <c r="DV17" s="386">
        <v>1453.29</v>
      </c>
      <c r="DW17" s="386">
        <v>1366.65</v>
      </c>
      <c r="DX17" s="387">
        <v>1497.53</v>
      </c>
      <c r="DY17" s="386">
        <v>1593.13</v>
      </c>
      <c r="DZ17" s="386">
        <v>1819.28</v>
      </c>
      <c r="EA17" s="386">
        <v>1550.7200000000003</v>
      </c>
      <c r="EB17" s="386">
        <v>1389.3</v>
      </c>
      <c r="EC17" s="386">
        <v>1303.3999999999999</v>
      </c>
      <c r="ED17" s="386">
        <v>1715.3899999999999</v>
      </c>
      <c r="EE17" s="987">
        <v>1746.41</v>
      </c>
      <c r="EF17" s="386"/>
      <c r="EG17" s="386"/>
      <c r="EH17" s="386"/>
      <c r="EI17" s="386"/>
      <c r="EJ17" s="386"/>
      <c r="EK17" s="386"/>
      <c r="EL17" s="386"/>
      <c r="EM17" s="386"/>
      <c r="EN17" s="386"/>
      <c r="EO17" s="386"/>
      <c r="EP17" s="386"/>
      <c r="EQ17" s="987"/>
      <c r="ER17" s="386"/>
      <c r="ES17" s="386"/>
      <c r="ET17" s="386"/>
      <c r="EU17" s="386"/>
      <c r="EV17" s="386"/>
      <c r="EW17" s="386"/>
      <c r="EX17" s="386"/>
      <c r="EY17" s="386"/>
      <c r="EZ17" s="386"/>
      <c r="FA17" s="386"/>
      <c r="FB17" s="386"/>
      <c r="FC17" s="987"/>
      <c r="FD17" s="386"/>
      <c r="FE17" s="386"/>
      <c r="FF17" s="386"/>
      <c r="FG17" s="386"/>
      <c r="FH17" s="386"/>
      <c r="FI17" s="386"/>
      <c r="FJ17" s="386"/>
      <c r="FK17" s="386"/>
      <c r="FL17" s="386"/>
      <c r="FM17" s="386"/>
      <c r="FN17" s="386"/>
      <c r="FO17" s="987"/>
      <c r="FP17" s="386"/>
      <c r="FQ17" s="386"/>
      <c r="FR17" s="386"/>
      <c r="FS17" s="386"/>
      <c r="FT17" s="386"/>
      <c r="FU17" s="386"/>
      <c r="FV17" s="386"/>
      <c r="FW17" s="386"/>
      <c r="FX17" s="386"/>
      <c r="FY17" s="386"/>
      <c r="FZ17" s="386"/>
      <c r="GA17" s="987"/>
      <c r="GB17" s="109"/>
      <c r="GC17" s="1036">
        <f t="shared" si="4"/>
        <v>32060.01</v>
      </c>
      <c r="GD17" s="387">
        <f t="shared" si="4"/>
        <v>21820.03</v>
      </c>
      <c r="GE17" s="387">
        <f t="shared" si="4"/>
        <v>19497</v>
      </c>
      <c r="GF17" s="387">
        <f t="shared" si="4"/>
        <v>32515.38</v>
      </c>
      <c r="GG17" s="387">
        <f t="shared" si="4"/>
        <v>18302.14</v>
      </c>
      <c r="GH17" s="387">
        <f t="shared" si="4"/>
        <v>19052.88</v>
      </c>
      <c r="GI17" s="387">
        <f t="shared" si="4"/>
        <v>24712.739999999998</v>
      </c>
      <c r="GJ17" s="387">
        <f t="shared" si="4"/>
        <v>21580.91</v>
      </c>
      <c r="GK17" s="387">
        <f t="shared" si="4"/>
        <v>18021.41</v>
      </c>
      <c r="GL17" s="387">
        <f t="shared" si="4"/>
        <v>16840.140000000003</v>
      </c>
      <c r="GM17" s="387">
        <f t="shared" si="4"/>
        <v>22099.329999999998</v>
      </c>
      <c r="GN17" s="988">
        <f t="shared" si="4"/>
        <v>18882.759999999998</v>
      </c>
      <c r="GO17" s="1036">
        <f t="shared" si="5"/>
        <v>2538.59</v>
      </c>
      <c r="GP17" s="387">
        <f t="shared" si="5"/>
        <v>1822.5</v>
      </c>
      <c r="GQ17" s="387">
        <f t="shared" si="5"/>
        <v>1453.29</v>
      </c>
      <c r="GR17" s="387">
        <f t="shared" si="5"/>
        <v>1366.65</v>
      </c>
      <c r="GS17" s="387">
        <f t="shared" si="5"/>
        <v>1497.53</v>
      </c>
      <c r="GT17" s="387">
        <f t="shared" si="5"/>
        <v>1593.13</v>
      </c>
      <c r="GU17" s="387">
        <f t="shared" si="5"/>
        <v>1819.28</v>
      </c>
      <c r="GV17" s="387">
        <f t="shared" si="5"/>
        <v>1550.7200000000003</v>
      </c>
      <c r="GW17" s="387">
        <f t="shared" si="5"/>
        <v>1389.3</v>
      </c>
      <c r="GX17" s="387">
        <f t="shared" si="5"/>
        <v>1303.3999999999999</v>
      </c>
      <c r="GY17" s="387">
        <f t="shared" si="5"/>
        <v>1715.3899999999999</v>
      </c>
      <c r="GZ17" s="988">
        <f t="shared" si="5"/>
        <v>1746.41</v>
      </c>
      <c r="HB17" s="386"/>
      <c r="HC17" s="386"/>
      <c r="HD17" s="386"/>
      <c r="HE17" s="386"/>
      <c r="HF17" s="386"/>
      <c r="HG17" s="386"/>
      <c r="HH17" s="386"/>
      <c r="HI17" s="386"/>
      <c r="HJ17" s="386"/>
      <c r="HK17" s="386"/>
      <c r="HL17" s="386"/>
      <c r="HM17" s="987"/>
    </row>
    <row r="18" spans="1:221">
      <c r="A18" s="1509"/>
      <c r="B18" s="1509"/>
      <c r="C18" s="1509"/>
      <c r="D18" s="1036">
        <f t="shared" ref="D18:AI18" si="6">IF(D16=0,0,D17/D16)</f>
        <v>0.63850609339026509</v>
      </c>
      <c r="E18" s="387">
        <f t="shared" si="6"/>
        <v>0.4181639915446424</v>
      </c>
      <c r="F18" s="387">
        <f t="shared" si="6"/>
        <v>0.38694542364943135</v>
      </c>
      <c r="G18" s="387">
        <f t="shared" si="6"/>
        <v>0.37792842463839638</v>
      </c>
      <c r="H18" s="387">
        <f t="shared" si="6"/>
        <v>0.35246996120270446</v>
      </c>
      <c r="I18" s="387">
        <f t="shared" si="6"/>
        <v>0.37959147580712949</v>
      </c>
      <c r="J18" s="387">
        <f t="shared" si="6"/>
        <v>0.53524578701964964</v>
      </c>
      <c r="K18" s="387">
        <f t="shared" si="6"/>
        <v>0.43303227606510525</v>
      </c>
      <c r="L18" s="387">
        <f t="shared" si="6"/>
        <v>0.37184037557927851</v>
      </c>
      <c r="M18" s="387">
        <f t="shared" si="6"/>
        <v>0.36788001811378429</v>
      </c>
      <c r="N18" s="387">
        <f t="shared" si="6"/>
        <v>0.40834207271146039</v>
      </c>
      <c r="O18" s="988">
        <f t="shared" si="6"/>
        <v>0.38625910825482385</v>
      </c>
      <c r="P18" s="386">
        <f t="shared" si="6"/>
        <v>0.76106094343769026</v>
      </c>
      <c r="Q18" s="386">
        <f t="shared" si="6"/>
        <v>0.38173501821846656</v>
      </c>
      <c r="R18" s="386">
        <f t="shared" si="6"/>
        <v>0.57268038992240744</v>
      </c>
      <c r="S18" s="386">
        <f t="shared" si="6"/>
        <v>2.2275933543714381</v>
      </c>
      <c r="T18" s="386">
        <f t="shared" si="6"/>
        <v>0.25108007011829014</v>
      </c>
      <c r="U18" s="386">
        <f t="shared" si="6"/>
        <v>0.24982158811095856</v>
      </c>
      <c r="V18" s="386">
        <f t="shared" si="6"/>
        <v>0.31887969468499805</v>
      </c>
      <c r="W18" s="386">
        <f t="shared" si="6"/>
        <v>0.25130951731390222</v>
      </c>
      <c r="X18" s="386">
        <f t="shared" si="6"/>
        <v>0.25567991836697507</v>
      </c>
      <c r="Y18" s="386">
        <f t="shared" si="6"/>
        <v>0.20434497449809322</v>
      </c>
      <c r="Z18" s="386">
        <f t="shared" si="6"/>
        <v>0.3235429340820834</v>
      </c>
      <c r="AA18" s="987">
        <f t="shared" si="6"/>
        <v>0.32735531390235584</v>
      </c>
      <c r="AB18" s="386">
        <f t="shared" si="6"/>
        <v>0</v>
      </c>
      <c r="AC18" s="386">
        <f t="shared" si="6"/>
        <v>0</v>
      </c>
      <c r="AD18" s="386">
        <f t="shared" si="6"/>
        <v>0</v>
      </c>
      <c r="AE18" s="386">
        <f t="shared" si="6"/>
        <v>0</v>
      </c>
      <c r="AF18" s="386">
        <f t="shared" si="6"/>
        <v>0</v>
      </c>
      <c r="AG18" s="386">
        <f t="shared" si="6"/>
        <v>0</v>
      </c>
      <c r="AH18" s="386">
        <f t="shared" si="6"/>
        <v>0</v>
      </c>
      <c r="AI18" s="386">
        <f t="shared" si="6"/>
        <v>0</v>
      </c>
      <c r="AJ18" s="386">
        <f t="shared" ref="AJ18:BO18" si="7">IF(AJ16=0,0,AJ17/AJ16)</f>
        <v>0</v>
      </c>
      <c r="AK18" s="386">
        <f t="shared" si="7"/>
        <v>0</v>
      </c>
      <c r="AL18" s="386">
        <f t="shared" si="7"/>
        <v>0</v>
      </c>
      <c r="AM18" s="987">
        <f t="shared" si="7"/>
        <v>0</v>
      </c>
      <c r="AN18" s="386">
        <f t="shared" si="7"/>
        <v>0</v>
      </c>
      <c r="AO18" s="386">
        <f t="shared" si="7"/>
        <v>0</v>
      </c>
      <c r="AP18" s="386">
        <f t="shared" si="7"/>
        <v>0</v>
      </c>
      <c r="AQ18" s="386">
        <f t="shared" si="7"/>
        <v>0</v>
      </c>
      <c r="AR18" s="386">
        <f t="shared" si="7"/>
        <v>0</v>
      </c>
      <c r="AS18" s="386">
        <f t="shared" si="7"/>
        <v>0</v>
      </c>
      <c r="AT18" s="386">
        <f t="shared" si="7"/>
        <v>0</v>
      </c>
      <c r="AU18" s="386">
        <f t="shared" si="7"/>
        <v>0</v>
      </c>
      <c r="AV18" s="386">
        <f t="shared" si="7"/>
        <v>0</v>
      </c>
      <c r="AW18" s="386">
        <f t="shared" si="7"/>
        <v>0</v>
      </c>
      <c r="AX18" s="386">
        <f t="shared" si="7"/>
        <v>0</v>
      </c>
      <c r="AY18" s="987">
        <f t="shared" si="7"/>
        <v>0</v>
      </c>
      <c r="AZ18" s="386">
        <f t="shared" si="7"/>
        <v>0</v>
      </c>
      <c r="BA18" s="386">
        <f t="shared" si="7"/>
        <v>0</v>
      </c>
      <c r="BB18" s="386">
        <f t="shared" si="7"/>
        <v>0</v>
      </c>
      <c r="BC18" s="386">
        <f t="shared" si="7"/>
        <v>0</v>
      </c>
      <c r="BD18" s="386">
        <f t="shared" si="7"/>
        <v>0</v>
      </c>
      <c r="BE18" s="386">
        <f t="shared" si="7"/>
        <v>0</v>
      </c>
      <c r="BF18" s="386">
        <f t="shared" si="7"/>
        <v>0</v>
      </c>
      <c r="BG18" s="386">
        <f t="shared" si="7"/>
        <v>0</v>
      </c>
      <c r="BH18" s="386">
        <f t="shared" si="7"/>
        <v>0</v>
      </c>
      <c r="BI18" s="386">
        <f t="shared" si="7"/>
        <v>0</v>
      </c>
      <c r="BJ18" s="386">
        <f t="shared" si="7"/>
        <v>0</v>
      </c>
      <c r="BK18" s="987">
        <f t="shared" si="7"/>
        <v>0</v>
      </c>
      <c r="BL18" s="386">
        <f t="shared" si="7"/>
        <v>0</v>
      </c>
      <c r="BM18" s="386">
        <f t="shared" si="7"/>
        <v>0</v>
      </c>
      <c r="BN18" s="386">
        <f t="shared" si="7"/>
        <v>0</v>
      </c>
      <c r="BO18" s="386">
        <f t="shared" si="7"/>
        <v>0</v>
      </c>
      <c r="BP18" s="386">
        <f t="shared" ref="BP18:CU18" si="8">IF(BP16=0,0,BP17/BP16)</f>
        <v>0</v>
      </c>
      <c r="BQ18" s="386">
        <f t="shared" si="8"/>
        <v>0</v>
      </c>
      <c r="BR18" s="386">
        <f t="shared" si="8"/>
        <v>0</v>
      </c>
      <c r="BS18" s="386">
        <f t="shared" si="8"/>
        <v>0</v>
      </c>
      <c r="BT18" s="386">
        <f t="shared" si="8"/>
        <v>0</v>
      </c>
      <c r="BU18" s="386">
        <f t="shared" si="8"/>
        <v>0</v>
      </c>
      <c r="BV18" s="386">
        <f t="shared" si="8"/>
        <v>0</v>
      </c>
      <c r="BW18" s="987">
        <f t="shared" si="8"/>
        <v>0</v>
      </c>
      <c r="BX18" s="386">
        <f t="shared" si="8"/>
        <v>0</v>
      </c>
      <c r="BY18" s="386">
        <f t="shared" si="8"/>
        <v>0</v>
      </c>
      <c r="BZ18" s="386">
        <f t="shared" si="8"/>
        <v>0</v>
      </c>
      <c r="CA18" s="386">
        <f t="shared" si="8"/>
        <v>0</v>
      </c>
      <c r="CB18" s="386">
        <f t="shared" si="8"/>
        <v>0</v>
      </c>
      <c r="CC18" s="386">
        <f t="shared" si="8"/>
        <v>0</v>
      </c>
      <c r="CD18" s="386">
        <f t="shared" si="8"/>
        <v>0</v>
      </c>
      <c r="CE18" s="386">
        <f t="shared" si="8"/>
        <v>0</v>
      </c>
      <c r="CF18" s="386">
        <f t="shared" si="8"/>
        <v>0</v>
      </c>
      <c r="CG18" s="386">
        <f t="shared" si="8"/>
        <v>0</v>
      </c>
      <c r="CH18" s="386">
        <f t="shared" si="8"/>
        <v>0</v>
      </c>
      <c r="CI18" s="987">
        <f t="shared" si="8"/>
        <v>0</v>
      </c>
      <c r="CJ18" s="386">
        <f t="shared" si="8"/>
        <v>0</v>
      </c>
      <c r="CK18" s="386">
        <f t="shared" si="8"/>
        <v>0</v>
      </c>
      <c r="CL18" s="386">
        <f t="shared" si="8"/>
        <v>0</v>
      </c>
      <c r="CM18" s="386">
        <f t="shared" si="8"/>
        <v>0</v>
      </c>
      <c r="CN18" s="386">
        <f t="shared" si="8"/>
        <v>0</v>
      </c>
      <c r="CO18" s="386">
        <f t="shared" si="8"/>
        <v>0</v>
      </c>
      <c r="CP18" s="386">
        <f t="shared" si="8"/>
        <v>0</v>
      </c>
      <c r="CQ18" s="386">
        <f t="shared" si="8"/>
        <v>0</v>
      </c>
      <c r="CR18" s="386">
        <f t="shared" si="8"/>
        <v>0</v>
      </c>
      <c r="CS18" s="386">
        <f t="shared" si="8"/>
        <v>0</v>
      </c>
      <c r="CT18" s="386">
        <f t="shared" si="8"/>
        <v>0</v>
      </c>
      <c r="CU18" s="987">
        <f t="shared" si="8"/>
        <v>0</v>
      </c>
      <c r="CV18" s="386">
        <f t="shared" ref="CV18:EA18" si="9">IF(CV16=0,0,CV17/CV16)</f>
        <v>0</v>
      </c>
      <c r="CW18" s="386">
        <f t="shared" si="9"/>
        <v>0</v>
      </c>
      <c r="CX18" s="386">
        <f t="shared" si="9"/>
        <v>0</v>
      </c>
      <c r="CY18" s="386">
        <f t="shared" si="9"/>
        <v>0</v>
      </c>
      <c r="CZ18" s="386">
        <f t="shared" si="9"/>
        <v>0</v>
      </c>
      <c r="DA18" s="386">
        <f t="shared" si="9"/>
        <v>0</v>
      </c>
      <c r="DB18" s="386">
        <f t="shared" si="9"/>
        <v>0</v>
      </c>
      <c r="DC18" s="386">
        <f t="shared" si="9"/>
        <v>0</v>
      </c>
      <c r="DD18" s="386">
        <f t="shared" si="9"/>
        <v>0</v>
      </c>
      <c r="DE18" s="386">
        <f t="shared" si="9"/>
        <v>0</v>
      </c>
      <c r="DF18" s="386">
        <f t="shared" si="9"/>
        <v>0</v>
      </c>
      <c r="DG18" s="987">
        <f t="shared" si="9"/>
        <v>0</v>
      </c>
      <c r="DH18" s="386">
        <f t="shared" si="9"/>
        <v>0</v>
      </c>
      <c r="DI18" s="386">
        <f t="shared" si="9"/>
        <v>0</v>
      </c>
      <c r="DJ18" s="386">
        <f t="shared" si="9"/>
        <v>0</v>
      </c>
      <c r="DK18" s="386">
        <f t="shared" si="9"/>
        <v>0</v>
      </c>
      <c r="DL18" s="386">
        <f t="shared" si="9"/>
        <v>0</v>
      </c>
      <c r="DM18" s="386">
        <f t="shared" si="9"/>
        <v>0</v>
      </c>
      <c r="DN18" s="386">
        <f t="shared" si="9"/>
        <v>0</v>
      </c>
      <c r="DO18" s="386">
        <f t="shared" si="9"/>
        <v>0</v>
      </c>
      <c r="DP18" s="386">
        <f t="shared" si="9"/>
        <v>0</v>
      </c>
      <c r="DQ18" s="386">
        <f t="shared" si="9"/>
        <v>0</v>
      </c>
      <c r="DR18" s="386">
        <f t="shared" si="9"/>
        <v>0</v>
      </c>
      <c r="DS18" s="987">
        <f t="shared" si="9"/>
        <v>0</v>
      </c>
      <c r="DT18" s="386">
        <f t="shared" si="9"/>
        <v>0.52424752444577527</v>
      </c>
      <c r="DU18" s="386">
        <f t="shared" si="9"/>
        <v>0.33266465759725766</v>
      </c>
      <c r="DV18" s="386">
        <f t="shared" si="9"/>
        <v>0.36065455790787648</v>
      </c>
      <c r="DW18" s="386">
        <f t="shared" si="9"/>
        <v>0.29868540394050991</v>
      </c>
      <c r="DX18" s="386">
        <f t="shared" si="9"/>
        <v>0.26750492127742431</v>
      </c>
      <c r="DY18" s="386">
        <f t="shared" si="9"/>
        <v>0.29757495269635448</v>
      </c>
      <c r="DZ18" s="386">
        <f t="shared" si="9"/>
        <v>0.4210701729616883</v>
      </c>
      <c r="EA18" s="386">
        <f t="shared" si="9"/>
        <v>0.39574629893810598</v>
      </c>
      <c r="EB18" s="386">
        <f t="shared" ref="EB18:FG18" si="10">IF(EB16=0,0,EB17/EB16)</f>
        <v>0.28968373117149576</v>
      </c>
      <c r="EC18" s="386">
        <f t="shared" si="10"/>
        <v>0.25162842238979433</v>
      </c>
      <c r="ED18" s="386">
        <f t="shared" si="10"/>
        <v>0.26936345749500257</v>
      </c>
      <c r="EE18" s="987">
        <f t="shared" si="10"/>
        <v>0.27521372909000658</v>
      </c>
      <c r="EF18" s="386">
        <f t="shared" si="10"/>
        <v>0</v>
      </c>
      <c r="EG18" s="386">
        <f t="shared" si="10"/>
        <v>0</v>
      </c>
      <c r="EH18" s="386">
        <f t="shared" si="10"/>
        <v>0</v>
      </c>
      <c r="EI18" s="386">
        <f t="shared" si="10"/>
        <v>0</v>
      </c>
      <c r="EJ18" s="386">
        <f t="shared" si="10"/>
        <v>0</v>
      </c>
      <c r="EK18" s="386">
        <f t="shared" si="10"/>
        <v>0</v>
      </c>
      <c r="EL18" s="386">
        <f t="shared" si="10"/>
        <v>0</v>
      </c>
      <c r="EM18" s="386">
        <f t="shared" si="10"/>
        <v>0</v>
      </c>
      <c r="EN18" s="386">
        <f t="shared" si="10"/>
        <v>0</v>
      </c>
      <c r="EO18" s="386">
        <f t="shared" si="10"/>
        <v>0</v>
      </c>
      <c r="EP18" s="386">
        <f t="shared" si="10"/>
        <v>0</v>
      </c>
      <c r="EQ18" s="987">
        <f t="shared" si="10"/>
        <v>0</v>
      </c>
      <c r="ER18" s="386">
        <f t="shared" si="10"/>
        <v>0</v>
      </c>
      <c r="ES18" s="386">
        <f t="shared" si="10"/>
        <v>0</v>
      </c>
      <c r="ET18" s="386">
        <f t="shared" si="10"/>
        <v>0</v>
      </c>
      <c r="EU18" s="386">
        <f t="shared" si="10"/>
        <v>0</v>
      </c>
      <c r="EV18" s="386">
        <f t="shared" si="10"/>
        <v>0</v>
      </c>
      <c r="EW18" s="386">
        <f t="shared" si="10"/>
        <v>0</v>
      </c>
      <c r="EX18" s="386">
        <f t="shared" si="10"/>
        <v>0</v>
      </c>
      <c r="EY18" s="386">
        <f t="shared" si="10"/>
        <v>0</v>
      </c>
      <c r="EZ18" s="386">
        <f t="shared" si="10"/>
        <v>0</v>
      </c>
      <c r="FA18" s="386">
        <f t="shared" si="10"/>
        <v>0</v>
      </c>
      <c r="FB18" s="386">
        <f t="shared" si="10"/>
        <v>0</v>
      </c>
      <c r="FC18" s="987">
        <f t="shared" si="10"/>
        <v>0</v>
      </c>
      <c r="FD18" s="386">
        <f t="shared" si="10"/>
        <v>0</v>
      </c>
      <c r="FE18" s="386">
        <f t="shared" si="10"/>
        <v>0</v>
      </c>
      <c r="FF18" s="386">
        <f t="shared" si="10"/>
        <v>0</v>
      </c>
      <c r="FG18" s="386">
        <f t="shared" si="10"/>
        <v>0</v>
      </c>
      <c r="FH18" s="386">
        <f t="shared" ref="FH18:GA18" si="11">IF(FH16=0,0,FH17/FH16)</f>
        <v>0</v>
      </c>
      <c r="FI18" s="386">
        <f t="shared" si="11"/>
        <v>0</v>
      </c>
      <c r="FJ18" s="386">
        <f t="shared" si="11"/>
        <v>0</v>
      </c>
      <c r="FK18" s="386">
        <f t="shared" si="11"/>
        <v>0</v>
      </c>
      <c r="FL18" s="386">
        <f t="shared" si="11"/>
        <v>0</v>
      </c>
      <c r="FM18" s="386">
        <f t="shared" si="11"/>
        <v>0</v>
      </c>
      <c r="FN18" s="386">
        <f t="shared" si="11"/>
        <v>0</v>
      </c>
      <c r="FO18" s="987">
        <f t="shared" si="11"/>
        <v>0</v>
      </c>
      <c r="FP18" s="386">
        <f t="shared" si="11"/>
        <v>0</v>
      </c>
      <c r="FQ18" s="386">
        <f t="shared" si="11"/>
        <v>0</v>
      </c>
      <c r="FR18" s="386">
        <f t="shared" si="11"/>
        <v>0</v>
      </c>
      <c r="FS18" s="386">
        <f t="shared" si="11"/>
        <v>0</v>
      </c>
      <c r="FT18" s="386">
        <f t="shared" si="11"/>
        <v>0</v>
      </c>
      <c r="FU18" s="386">
        <f t="shared" si="11"/>
        <v>0</v>
      </c>
      <c r="FV18" s="386">
        <f t="shared" si="11"/>
        <v>0</v>
      </c>
      <c r="FW18" s="386">
        <f t="shared" si="11"/>
        <v>0</v>
      </c>
      <c r="FX18" s="386">
        <f t="shared" si="11"/>
        <v>0</v>
      </c>
      <c r="FY18" s="386">
        <f t="shared" si="11"/>
        <v>0</v>
      </c>
      <c r="FZ18" s="386">
        <f t="shared" si="11"/>
        <v>0</v>
      </c>
      <c r="GA18" s="987">
        <f t="shared" si="11"/>
        <v>0</v>
      </c>
      <c r="GB18" s="109"/>
      <c r="GC18" s="1036">
        <f t="shared" ref="GC18:GZ18" si="12">IF(GC16=0,0,GC17/GC16)</f>
        <v>0.65209381849423731</v>
      </c>
      <c r="GD18" s="387">
        <f t="shared" si="12"/>
        <v>0.40225235198396597</v>
      </c>
      <c r="GE18" s="387">
        <f t="shared" si="12"/>
        <v>0.40605620849258739</v>
      </c>
      <c r="GF18" s="387">
        <f t="shared" si="12"/>
        <v>0.64761739733148505</v>
      </c>
      <c r="GG18" s="387">
        <f t="shared" si="12"/>
        <v>0.33060886878331558</v>
      </c>
      <c r="GH18" s="387">
        <f t="shared" si="12"/>
        <v>0.35374790777208714</v>
      </c>
      <c r="GI18" s="387">
        <f t="shared" si="12"/>
        <v>0.49560939961101674</v>
      </c>
      <c r="GJ18" s="387">
        <f t="shared" si="12"/>
        <v>0.40294307819473424</v>
      </c>
      <c r="GK18" s="387">
        <f t="shared" si="12"/>
        <v>0.34032262024137983</v>
      </c>
      <c r="GL18" s="387">
        <f t="shared" si="12"/>
        <v>0.32145063893509868</v>
      </c>
      <c r="GM18" s="387">
        <f t="shared" si="12"/>
        <v>0.37573325462531448</v>
      </c>
      <c r="GN18" s="988">
        <f t="shared" si="12"/>
        <v>0.36221255738589814</v>
      </c>
      <c r="GO18" s="1036">
        <f t="shared" si="12"/>
        <v>0.52424752444577527</v>
      </c>
      <c r="GP18" s="387">
        <f t="shared" si="12"/>
        <v>0.33266465759725766</v>
      </c>
      <c r="GQ18" s="387">
        <f t="shared" si="12"/>
        <v>0.36065455790787648</v>
      </c>
      <c r="GR18" s="387">
        <f t="shared" si="12"/>
        <v>0.29868540394050991</v>
      </c>
      <c r="GS18" s="387">
        <f t="shared" si="12"/>
        <v>0.26750492127742431</v>
      </c>
      <c r="GT18" s="387">
        <f t="shared" si="12"/>
        <v>0.29757495269635448</v>
      </c>
      <c r="GU18" s="387">
        <f t="shared" si="12"/>
        <v>0.4210701729616883</v>
      </c>
      <c r="GV18" s="387">
        <f t="shared" si="12"/>
        <v>0.39574629893810598</v>
      </c>
      <c r="GW18" s="387">
        <f t="shared" si="12"/>
        <v>0.28968373117149576</v>
      </c>
      <c r="GX18" s="387">
        <f t="shared" si="12"/>
        <v>0.25162842238979433</v>
      </c>
      <c r="GY18" s="387">
        <f t="shared" si="12"/>
        <v>0.26936345749500257</v>
      </c>
      <c r="GZ18" s="988">
        <f t="shared" si="12"/>
        <v>0.27521372909000658</v>
      </c>
      <c r="HB18" s="386">
        <f t="shared" ref="HB18:HM18" si="13">IF(HB16=0,0,HB17/HB16)</f>
        <v>0</v>
      </c>
      <c r="HC18" s="386">
        <f t="shared" si="13"/>
        <v>0</v>
      </c>
      <c r="HD18" s="386">
        <f t="shared" si="13"/>
        <v>0</v>
      </c>
      <c r="HE18" s="386">
        <f t="shared" si="13"/>
        <v>0</v>
      </c>
      <c r="HF18" s="386">
        <f t="shared" si="13"/>
        <v>0</v>
      </c>
      <c r="HG18" s="386">
        <f t="shared" si="13"/>
        <v>0</v>
      </c>
      <c r="HH18" s="386">
        <f t="shared" si="13"/>
        <v>0</v>
      </c>
      <c r="HI18" s="386">
        <f t="shared" si="13"/>
        <v>0</v>
      </c>
      <c r="HJ18" s="386">
        <f t="shared" si="13"/>
        <v>0</v>
      </c>
      <c r="HK18" s="386">
        <f t="shared" si="13"/>
        <v>0</v>
      </c>
      <c r="HL18" s="386">
        <f t="shared" si="13"/>
        <v>0</v>
      </c>
      <c r="HM18" s="987">
        <f t="shared" si="13"/>
        <v>0</v>
      </c>
    </row>
    <row r="19" spans="1:221">
      <c r="A19" s="1509"/>
      <c r="B19" s="1509"/>
      <c r="C19" s="1841" t="s">
        <v>2407</v>
      </c>
      <c r="D19" s="1036" t="s">
        <v>2154</v>
      </c>
      <c r="E19" s="387" t="s">
        <v>2154</v>
      </c>
      <c r="F19" s="387" t="s">
        <v>2154</v>
      </c>
      <c r="G19" s="387" t="s">
        <v>2154</v>
      </c>
      <c r="H19" s="387" t="s">
        <v>2154</v>
      </c>
      <c r="I19" s="387" t="s">
        <v>2154</v>
      </c>
      <c r="J19" s="387" t="s">
        <v>2154</v>
      </c>
      <c r="K19" s="387" t="s">
        <v>2154</v>
      </c>
      <c r="L19" s="387" t="s">
        <v>2154</v>
      </c>
      <c r="M19" s="387" t="s">
        <v>2154</v>
      </c>
      <c r="N19" s="387" t="s">
        <v>2154</v>
      </c>
      <c r="O19" s="988" t="s">
        <v>2154</v>
      </c>
      <c r="P19" s="387" t="s">
        <v>2154</v>
      </c>
      <c r="Q19" s="387" t="s">
        <v>2154</v>
      </c>
      <c r="R19" s="387" t="s">
        <v>2154</v>
      </c>
      <c r="S19" s="387" t="s">
        <v>2154</v>
      </c>
      <c r="T19" s="387" t="s">
        <v>2154</v>
      </c>
      <c r="U19" s="387" t="s">
        <v>2154</v>
      </c>
      <c r="V19" s="387" t="s">
        <v>2154</v>
      </c>
      <c r="W19" s="387" t="s">
        <v>2154</v>
      </c>
      <c r="X19" s="387" t="s">
        <v>2154</v>
      </c>
      <c r="Y19" s="387" t="s">
        <v>2154</v>
      </c>
      <c r="Z19" s="387" t="s">
        <v>2154</v>
      </c>
      <c r="AA19" s="988" t="s">
        <v>2154</v>
      </c>
      <c r="AB19" s="387"/>
      <c r="AC19" s="387"/>
      <c r="AD19" s="387"/>
      <c r="AE19" s="386"/>
      <c r="AF19" s="386"/>
      <c r="AG19" s="386"/>
      <c r="AH19" s="386"/>
      <c r="AI19" s="386"/>
      <c r="AJ19" s="386"/>
      <c r="AK19" s="386"/>
      <c r="AL19" s="386"/>
      <c r="AM19" s="987"/>
      <c r="AN19" s="387"/>
      <c r="AO19" s="387"/>
      <c r="AP19" s="387"/>
      <c r="AQ19" s="386"/>
      <c r="AR19" s="386"/>
      <c r="AS19" s="386"/>
      <c r="AT19" s="386"/>
      <c r="AU19" s="386"/>
      <c r="AV19" s="386"/>
      <c r="AW19" s="386"/>
      <c r="AX19" s="386"/>
      <c r="AY19" s="988"/>
      <c r="AZ19" s="387"/>
      <c r="BA19" s="387"/>
      <c r="BB19" s="386"/>
      <c r="BC19" s="386"/>
      <c r="BD19" s="386"/>
      <c r="BE19" s="387"/>
      <c r="BF19" s="386"/>
      <c r="BG19" s="387"/>
      <c r="BH19" s="387"/>
      <c r="BI19" s="387"/>
      <c r="BJ19" s="387"/>
      <c r="BK19" s="988"/>
      <c r="BL19" s="387"/>
      <c r="BM19" s="387"/>
      <c r="BN19" s="387"/>
      <c r="BO19" s="387"/>
      <c r="BP19" s="387"/>
      <c r="BQ19" s="387"/>
      <c r="BR19" s="386"/>
      <c r="BS19" s="386"/>
      <c r="BT19" s="387"/>
      <c r="BU19" s="387"/>
      <c r="BV19" s="387"/>
      <c r="BW19" s="988"/>
      <c r="BX19" s="386"/>
      <c r="BY19" s="386"/>
      <c r="BZ19" s="386"/>
      <c r="CA19" s="386"/>
      <c r="CB19" s="386"/>
      <c r="CC19" s="386"/>
      <c r="CD19" s="386"/>
      <c r="CE19" s="386"/>
      <c r="CF19" s="386"/>
      <c r="CG19" s="386"/>
      <c r="CH19" s="386"/>
      <c r="CI19" s="987"/>
      <c r="CJ19" s="387"/>
      <c r="CK19" s="387"/>
      <c r="CL19" s="387"/>
      <c r="CM19" s="387"/>
      <c r="CN19" s="387"/>
      <c r="CO19" s="386"/>
      <c r="CP19" s="387"/>
      <c r="CQ19" s="387"/>
      <c r="CR19" s="387"/>
      <c r="CS19" s="387"/>
      <c r="CT19" s="387"/>
      <c r="CU19" s="988"/>
      <c r="CV19" s="386"/>
      <c r="CW19" s="386"/>
      <c r="CX19" s="386"/>
      <c r="CY19" s="386"/>
      <c r="CZ19" s="386"/>
      <c r="DA19" s="386"/>
      <c r="DB19" s="386"/>
      <c r="DC19" s="386"/>
      <c r="DD19" s="386"/>
      <c r="DE19" s="386"/>
      <c r="DF19" s="387"/>
      <c r="DG19" s="988"/>
      <c r="DH19" s="386"/>
      <c r="DI19" s="386"/>
      <c r="DJ19" s="386"/>
      <c r="DK19" s="386"/>
      <c r="DL19" s="386"/>
      <c r="DM19" s="386"/>
      <c r="DN19" s="386"/>
      <c r="DO19" s="386"/>
      <c r="DP19" s="386"/>
      <c r="DQ19" s="386"/>
      <c r="DR19" s="386"/>
      <c r="DS19" s="987"/>
      <c r="DT19" s="387" t="s">
        <v>2154</v>
      </c>
      <c r="DU19" s="387" t="s">
        <v>2154</v>
      </c>
      <c r="DV19" s="387" t="s">
        <v>2154</v>
      </c>
      <c r="DW19" s="387" t="s">
        <v>2154</v>
      </c>
      <c r="DX19" s="387" t="s">
        <v>2154</v>
      </c>
      <c r="DY19" s="387" t="s">
        <v>2154</v>
      </c>
      <c r="DZ19" s="387" t="s">
        <v>2154</v>
      </c>
      <c r="EA19" s="387" t="s">
        <v>2154</v>
      </c>
      <c r="EB19" s="387" t="s">
        <v>2154</v>
      </c>
      <c r="EC19" s="387" t="s">
        <v>2154</v>
      </c>
      <c r="ED19" s="387" t="s">
        <v>2154</v>
      </c>
      <c r="EE19" s="988" t="s">
        <v>2154</v>
      </c>
      <c r="EF19" s="387"/>
      <c r="EG19" s="387"/>
      <c r="EH19" s="387"/>
      <c r="EI19" s="387"/>
      <c r="EJ19" s="387"/>
      <c r="EK19" s="387"/>
      <c r="EL19" s="387"/>
      <c r="EM19" s="387"/>
      <c r="EN19" s="387"/>
      <c r="EO19" s="387"/>
      <c r="EP19" s="387"/>
      <c r="EQ19" s="988"/>
      <c r="ER19" s="386"/>
      <c r="ES19" s="386"/>
      <c r="ET19" s="386"/>
      <c r="EU19" s="386"/>
      <c r="EV19" s="386"/>
      <c r="EW19" s="386"/>
      <c r="EX19" s="386"/>
      <c r="EY19" s="386"/>
      <c r="EZ19" s="386"/>
      <c r="FA19" s="386"/>
      <c r="FB19" s="386"/>
      <c r="FC19" s="987"/>
      <c r="FD19" s="386"/>
      <c r="FE19" s="386"/>
      <c r="FF19" s="386"/>
      <c r="FG19" s="386"/>
      <c r="FH19" s="386"/>
      <c r="FI19" s="386"/>
      <c r="FJ19" s="386"/>
      <c r="FK19" s="386"/>
      <c r="FL19" s="386"/>
      <c r="FM19" s="386"/>
      <c r="FN19" s="386"/>
      <c r="FO19" s="987"/>
      <c r="FP19" s="386"/>
      <c r="FQ19" s="386"/>
      <c r="FR19" s="386"/>
      <c r="FS19" s="386"/>
      <c r="FT19" s="386"/>
      <c r="FU19" s="386"/>
      <c r="FV19" s="386"/>
      <c r="FW19" s="386"/>
      <c r="FX19" s="386"/>
      <c r="FY19" s="386"/>
      <c r="FZ19" s="386"/>
      <c r="GA19" s="987"/>
      <c r="GB19" s="109"/>
      <c r="GC19" s="1036" t="s">
        <v>2154</v>
      </c>
      <c r="GD19" s="387" t="s">
        <v>2154</v>
      </c>
      <c r="GE19" s="387" t="s">
        <v>2154</v>
      </c>
      <c r="GF19" s="387" t="s">
        <v>2154</v>
      </c>
      <c r="GG19" s="387" t="s">
        <v>2154</v>
      </c>
      <c r="GH19" s="387" t="s">
        <v>2154</v>
      </c>
      <c r="GI19" s="387" t="s">
        <v>2154</v>
      </c>
      <c r="GJ19" s="387" t="s">
        <v>2154</v>
      </c>
      <c r="GK19" s="387" t="s">
        <v>2154</v>
      </c>
      <c r="GL19" s="387" t="s">
        <v>2154</v>
      </c>
      <c r="GM19" s="387" t="s">
        <v>2154</v>
      </c>
      <c r="GN19" s="988" t="s">
        <v>2154</v>
      </c>
      <c r="GO19" s="1036" t="s">
        <v>2154</v>
      </c>
      <c r="GP19" s="387" t="s">
        <v>2154</v>
      </c>
      <c r="GQ19" s="387" t="s">
        <v>2154</v>
      </c>
      <c r="GR19" s="387" t="s">
        <v>2154</v>
      </c>
      <c r="GS19" s="387" t="s">
        <v>2154</v>
      </c>
      <c r="GT19" s="387" t="s">
        <v>2154</v>
      </c>
      <c r="GU19" s="387" t="s">
        <v>2154</v>
      </c>
      <c r="GV19" s="387" t="s">
        <v>2154</v>
      </c>
      <c r="GW19" s="387" t="s">
        <v>2154</v>
      </c>
      <c r="GX19" s="387" t="s">
        <v>2154</v>
      </c>
      <c r="GY19" s="387" t="s">
        <v>2154</v>
      </c>
      <c r="GZ19" s="988" t="s">
        <v>2154</v>
      </c>
      <c r="HB19" s="386"/>
      <c r="HC19" s="386"/>
      <c r="HD19" s="386"/>
      <c r="HE19" s="386"/>
      <c r="HF19" s="386"/>
      <c r="HG19" s="386"/>
      <c r="HH19" s="386"/>
      <c r="HI19" s="386"/>
      <c r="HJ19" s="386"/>
      <c r="HK19" s="386"/>
      <c r="HL19" s="386"/>
      <c r="HM19" s="987"/>
    </row>
    <row r="20" spans="1:221">
      <c r="A20" s="1509" t="s">
        <v>900</v>
      </c>
      <c r="B20" s="1509" t="s">
        <v>901</v>
      </c>
      <c r="C20" s="1509" t="s">
        <v>1101</v>
      </c>
      <c r="D20" s="1036">
        <v>37266.92</v>
      </c>
      <c r="E20" s="387">
        <v>35363.17</v>
      </c>
      <c r="F20" s="387">
        <v>30508.739999999998</v>
      </c>
      <c r="G20" s="387">
        <v>29794.869999999995</v>
      </c>
      <c r="H20" s="387">
        <v>33059.980000000003</v>
      </c>
      <c r="I20" s="387">
        <v>34851.18</v>
      </c>
      <c r="J20" s="387">
        <v>29581.4</v>
      </c>
      <c r="K20" s="387">
        <v>33136.800000000003</v>
      </c>
      <c r="L20" s="387">
        <v>37151.910000000003</v>
      </c>
      <c r="M20" s="387">
        <v>35271.14</v>
      </c>
      <c r="N20" s="387">
        <v>34569.629999999997</v>
      </c>
      <c r="O20" s="988">
        <v>29292.280000000006</v>
      </c>
      <c r="P20" s="386">
        <v>15626.1</v>
      </c>
      <c r="Q20" s="386">
        <v>18423.099999999999</v>
      </c>
      <c r="R20" s="386">
        <v>12729.05</v>
      </c>
      <c r="S20" s="386">
        <v>15271.86</v>
      </c>
      <c r="T20" s="386">
        <v>22879.94</v>
      </c>
      <c r="U20" s="386">
        <v>20123.399999999998</v>
      </c>
      <c r="V20" s="386">
        <v>20795.449999999997</v>
      </c>
      <c r="W20" s="386">
        <v>18315.059999999998</v>
      </c>
      <c r="X20" s="386">
        <v>21097.269999999997</v>
      </c>
      <c r="Y20" s="386">
        <v>16337.579999999998</v>
      </c>
      <c r="Z20" s="386">
        <v>20576.789999999997</v>
      </c>
      <c r="AA20" s="987">
        <v>23166.6</v>
      </c>
      <c r="AB20" s="386"/>
      <c r="AC20" s="386"/>
      <c r="AD20" s="386"/>
      <c r="AE20" s="386"/>
      <c r="AF20" s="386"/>
      <c r="AG20" s="386"/>
      <c r="AH20" s="386"/>
      <c r="AI20" s="386"/>
      <c r="AJ20" s="386"/>
      <c r="AK20" s="386"/>
      <c r="AL20" s="386"/>
      <c r="AM20" s="987"/>
      <c r="AN20" s="386"/>
      <c r="AO20" s="386"/>
      <c r="AP20" s="386"/>
      <c r="AQ20" s="386"/>
      <c r="AR20" s="386"/>
      <c r="AS20" s="386"/>
      <c r="AT20" s="386"/>
      <c r="AU20" s="386"/>
      <c r="AV20" s="386"/>
      <c r="AW20" s="386"/>
      <c r="AX20" s="386"/>
      <c r="AY20" s="987"/>
      <c r="AZ20" s="386"/>
      <c r="BA20" s="386"/>
      <c r="BB20" s="386"/>
      <c r="BC20" s="386"/>
      <c r="BD20" s="386"/>
      <c r="BE20" s="386"/>
      <c r="BF20" s="386"/>
      <c r="BG20" s="386"/>
      <c r="BH20" s="386"/>
      <c r="BI20" s="386"/>
      <c r="BJ20" s="386"/>
      <c r="BK20" s="987"/>
      <c r="BL20" s="386"/>
      <c r="BM20" s="386"/>
      <c r="BN20" s="386"/>
      <c r="BO20" s="386"/>
      <c r="BP20" s="386"/>
      <c r="BQ20" s="386"/>
      <c r="BR20" s="386"/>
      <c r="BS20" s="386"/>
      <c r="BT20" s="386"/>
      <c r="BU20" s="386"/>
      <c r="BV20" s="386"/>
      <c r="BW20" s="987"/>
      <c r="BX20" s="386"/>
      <c r="BY20" s="386"/>
      <c r="BZ20" s="386"/>
      <c r="CA20" s="386"/>
      <c r="CB20" s="386"/>
      <c r="CC20" s="386"/>
      <c r="CD20" s="386"/>
      <c r="CE20" s="386"/>
      <c r="CF20" s="386"/>
      <c r="CG20" s="386"/>
      <c r="CH20" s="386"/>
      <c r="CI20" s="987"/>
      <c r="CJ20" s="386"/>
      <c r="CK20" s="386"/>
      <c r="CL20" s="386"/>
      <c r="CM20" s="386"/>
      <c r="CN20" s="386"/>
      <c r="CO20" s="386"/>
      <c r="CP20" s="386"/>
      <c r="CQ20" s="386"/>
      <c r="CR20" s="386"/>
      <c r="CS20" s="386"/>
      <c r="CT20" s="386"/>
      <c r="CU20" s="987"/>
      <c r="CV20" s="386"/>
      <c r="CW20" s="386"/>
      <c r="CX20" s="386"/>
      <c r="CY20" s="386"/>
      <c r="CZ20" s="386"/>
      <c r="DA20" s="386"/>
      <c r="DB20" s="386"/>
      <c r="DC20" s="386"/>
      <c r="DD20" s="386"/>
      <c r="DE20" s="386"/>
      <c r="DF20" s="386"/>
      <c r="DG20" s="987"/>
      <c r="DH20" s="386"/>
      <c r="DI20" s="386"/>
      <c r="DJ20" s="386"/>
      <c r="DK20" s="386"/>
      <c r="DL20" s="386"/>
      <c r="DM20" s="386"/>
      <c r="DN20" s="386"/>
      <c r="DO20" s="386"/>
      <c r="DP20" s="386"/>
      <c r="DQ20" s="386"/>
      <c r="DR20" s="386"/>
      <c r="DS20" s="987"/>
      <c r="DT20" s="386">
        <v>16336.41</v>
      </c>
      <c r="DU20" s="386">
        <v>8689.89</v>
      </c>
      <c r="DV20" s="386">
        <v>16452.52</v>
      </c>
      <c r="DW20" s="386">
        <v>9121.81</v>
      </c>
      <c r="DX20" s="386">
        <v>9690.7999999999993</v>
      </c>
      <c r="DY20" s="386">
        <v>10149.040000000001</v>
      </c>
      <c r="DZ20" s="386">
        <v>160.12999999999965</v>
      </c>
      <c r="EA20" s="386">
        <v>10394.58</v>
      </c>
      <c r="EB20" s="386">
        <v>9694.51</v>
      </c>
      <c r="EC20" s="387">
        <v>10425.14</v>
      </c>
      <c r="ED20" s="386">
        <v>7297.5000000000009</v>
      </c>
      <c r="EE20" s="987">
        <v>10053.41</v>
      </c>
      <c r="EF20" s="386"/>
      <c r="EG20" s="386"/>
      <c r="EH20" s="386"/>
      <c r="EI20" s="386"/>
      <c r="EJ20" s="386"/>
      <c r="EK20" s="386"/>
      <c r="EL20" s="386"/>
      <c r="EM20" s="386"/>
      <c r="EN20" s="386"/>
      <c r="EO20" s="386"/>
      <c r="EP20" s="386"/>
      <c r="EQ20" s="987"/>
      <c r="ER20" s="386"/>
      <c r="ES20" s="386"/>
      <c r="ET20" s="386"/>
      <c r="EU20" s="386"/>
      <c r="EV20" s="386"/>
      <c r="EW20" s="386"/>
      <c r="EX20" s="386"/>
      <c r="EY20" s="386"/>
      <c r="EZ20" s="386"/>
      <c r="FA20" s="386"/>
      <c r="FB20" s="386"/>
      <c r="FC20" s="987"/>
      <c r="FD20" s="386"/>
      <c r="FE20" s="386"/>
      <c r="FF20" s="386"/>
      <c r="FG20" s="386"/>
      <c r="FH20" s="386"/>
      <c r="FI20" s="386"/>
      <c r="FJ20" s="386"/>
      <c r="FK20" s="386"/>
      <c r="FL20" s="386"/>
      <c r="FM20" s="386"/>
      <c r="FN20" s="386"/>
      <c r="FO20" s="987"/>
      <c r="FP20" s="386"/>
      <c r="FQ20" s="386"/>
      <c r="FR20" s="386"/>
      <c r="FS20" s="386"/>
      <c r="FT20" s="386"/>
      <c r="FU20" s="386"/>
      <c r="FV20" s="386"/>
      <c r="FW20" s="386"/>
      <c r="FX20" s="386"/>
      <c r="FY20" s="386"/>
      <c r="FZ20" s="386"/>
      <c r="GA20" s="987"/>
      <c r="GB20" s="109"/>
      <c r="GC20" s="2201">
        <f t="shared" ref="GC20:GN20" si="14">SUMPRODUCT(--($D$6:$DS$6=GC$6),$D20:$DS20,$D$278:$DS$278)</f>
        <v>52893.02</v>
      </c>
      <c r="GD20" s="2202">
        <f t="shared" si="14"/>
        <v>53786.27</v>
      </c>
      <c r="GE20" s="2202">
        <f t="shared" si="14"/>
        <v>43237.789999999994</v>
      </c>
      <c r="GF20" s="2202">
        <f t="shared" si="14"/>
        <v>45066.729999999996</v>
      </c>
      <c r="GG20" s="2202">
        <f t="shared" si="14"/>
        <v>55939.92</v>
      </c>
      <c r="GH20" s="2202">
        <f t="shared" si="14"/>
        <v>54974.58</v>
      </c>
      <c r="GI20" s="2202">
        <f t="shared" si="14"/>
        <v>50376.85</v>
      </c>
      <c r="GJ20" s="2202">
        <f t="shared" si="14"/>
        <v>51451.86</v>
      </c>
      <c r="GK20" s="2202">
        <f t="shared" si="14"/>
        <v>58249.18</v>
      </c>
      <c r="GL20" s="2202">
        <f t="shared" si="14"/>
        <v>51608.72</v>
      </c>
      <c r="GM20" s="2202">
        <f t="shared" si="14"/>
        <v>55146.42</v>
      </c>
      <c r="GN20" s="2203">
        <f t="shared" si="14"/>
        <v>52458.880000000005</v>
      </c>
      <c r="GO20" s="1036">
        <f t="shared" ref="GO20:GZ20" si="15">SUMPRODUCT(--($DT$6:$GA$6=GO$6),$DT20:$GA20,$DT$278:$GA$278)</f>
        <v>16336.41</v>
      </c>
      <c r="GP20" s="387">
        <f t="shared" si="15"/>
        <v>8689.89</v>
      </c>
      <c r="GQ20" s="387">
        <f t="shared" si="15"/>
        <v>16452.52</v>
      </c>
      <c r="GR20" s="387">
        <f t="shared" si="15"/>
        <v>9121.81</v>
      </c>
      <c r="GS20" s="387">
        <f t="shared" si="15"/>
        <v>9690.7999999999993</v>
      </c>
      <c r="GT20" s="387">
        <f t="shared" si="15"/>
        <v>10149.040000000001</v>
      </c>
      <c r="GU20" s="387">
        <f t="shared" si="15"/>
        <v>160.12999999999965</v>
      </c>
      <c r="GV20" s="387">
        <f t="shared" si="15"/>
        <v>10394.58</v>
      </c>
      <c r="GW20" s="387">
        <f t="shared" si="15"/>
        <v>9694.51</v>
      </c>
      <c r="GX20" s="387">
        <f t="shared" si="15"/>
        <v>10425.14</v>
      </c>
      <c r="GY20" s="387">
        <f t="shared" si="15"/>
        <v>7297.5000000000009</v>
      </c>
      <c r="GZ20" s="988">
        <f t="shared" si="15"/>
        <v>10053.41</v>
      </c>
      <c r="HB20" s="386"/>
      <c r="HC20" s="386"/>
      <c r="HD20" s="386"/>
      <c r="HE20" s="386"/>
      <c r="HF20" s="386"/>
      <c r="HG20" s="386"/>
      <c r="HH20" s="386"/>
      <c r="HI20" s="386"/>
      <c r="HJ20" s="386"/>
      <c r="HK20" s="386"/>
      <c r="HL20" s="386"/>
      <c r="HM20" s="987"/>
    </row>
    <row r="21" spans="1:221">
      <c r="A21" s="326"/>
      <c r="B21" s="326"/>
      <c r="C21" s="326"/>
      <c r="D21" s="1036">
        <f t="shared" ref="D21:AI21" si="16">IF(D$8=0,0,D20/D$8)</f>
        <v>55.872443778110942</v>
      </c>
      <c r="E21" s="387">
        <f t="shared" si="16"/>
        <v>54.741749226006192</v>
      </c>
      <c r="F21" s="387">
        <f t="shared" si="16"/>
        <v>51.535033783783781</v>
      </c>
      <c r="G21" s="387">
        <f t="shared" si="16"/>
        <v>45.488351145038159</v>
      </c>
      <c r="H21" s="387">
        <f t="shared" si="16"/>
        <v>48.052296511627908</v>
      </c>
      <c r="I21" s="387">
        <f t="shared" si="16"/>
        <v>49.434297872340423</v>
      </c>
      <c r="J21" s="387">
        <f t="shared" si="16"/>
        <v>47.254632587859426</v>
      </c>
      <c r="K21" s="387">
        <f t="shared" si="16"/>
        <v>50.745482388973969</v>
      </c>
      <c r="L21" s="387">
        <f t="shared" si="16"/>
        <v>58.97128571428572</v>
      </c>
      <c r="M21" s="387">
        <f t="shared" si="16"/>
        <v>60.292547008547011</v>
      </c>
      <c r="N21" s="387">
        <f t="shared" si="16"/>
        <v>53.265993836671797</v>
      </c>
      <c r="O21" s="988">
        <f t="shared" si="16"/>
        <v>49.732224108658755</v>
      </c>
      <c r="P21" s="386">
        <f t="shared" si="16"/>
        <v>70.935603112840468</v>
      </c>
      <c r="Q21" s="386">
        <f t="shared" si="16"/>
        <v>95.034414148857763</v>
      </c>
      <c r="R21" s="386">
        <f t="shared" si="16"/>
        <v>73.095447087776861</v>
      </c>
      <c r="S21" s="386">
        <f t="shared" si="16"/>
        <v>73.981328719723194</v>
      </c>
      <c r="T21" s="386">
        <f t="shared" si="16"/>
        <v>102.86421323057159</v>
      </c>
      <c r="U21" s="386">
        <f t="shared" si="16"/>
        <v>90.1239923224568</v>
      </c>
      <c r="V21" s="386">
        <f t="shared" si="16"/>
        <v>93.854384268214048</v>
      </c>
      <c r="W21" s="386">
        <f t="shared" si="16"/>
        <v>79.829028642590288</v>
      </c>
      <c r="X21" s="386">
        <f t="shared" si="16"/>
        <v>83.3413600451467</v>
      </c>
      <c r="Y21" s="386">
        <f t="shared" si="16"/>
        <v>70.856914498141265</v>
      </c>
      <c r="Z21" s="386">
        <f t="shared" si="16"/>
        <v>83.79146596858638</v>
      </c>
      <c r="AA21" s="987">
        <f t="shared" si="16"/>
        <v>95.560518562168525</v>
      </c>
      <c r="AB21" s="386">
        <f t="shared" si="16"/>
        <v>0</v>
      </c>
      <c r="AC21" s="386">
        <f t="shared" si="16"/>
        <v>0</v>
      </c>
      <c r="AD21" s="386">
        <f t="shared" si="16"/>
        <v>0</v>
      </c>
      <c r="AE21" s="386">
        <f t="shared" si="16"/>
        <v>0</v>
      </c>
      <c r="AF21" s="386">
        <f t="shared" si="16"/>
        <v>0</v>
      </c>
      <c r="AG21" s="386">
        <f t="shared" si="16"/>
        <v>0</v>
      </c>
      <c r="AH21" s="386">
        <f t="shared" si="16"/>
        <v>0</v>
      </c>
      <c r="AI21" s="386">
        <f t="shared" si="16"/>
        <v>0</v>
      </c>
      <c r="AJ21" s="386">
        <f t="shared" ref="AJ21:BO21" si="17">IF(AJ$8=0,0,AJ20/AJ$8)</f>
        <v>0</v>
      </c>
      <c r="AK21" s="386">
        <f t="shared" si="17"/>
        <v>0</v>
      </c>
      <c r="AL21" s="386">
        <f t="shared" si="17"/>
        <v>0</v>
      </c>
      <c r="AM21" s="987">
        <f t="shared" si="17"/>
        <v>0</v>
      </c>
      <c r="AN21" s="386">
        <f t="shared" si="17"/>
        <v>0</v>
      </c>
      <c r="AO21" s="386">
        <f t="shared" si="17"/>
        <v>0</v>
      </c>
      <c r="AP21" s="386">
        <f t="shared" si="17"/>
        <v>0</v>
      </c>
      <c r="AQ21" s="386">
        <f t="shared" si="17"/>
        <v>0</v>
      </c>
      <c r="AR21" s="386">
        <f t="shared" si="17"/>
        <v>0</v>
      </c>
      <c r="AS21" s="386">
        <f t="shared" si="17"/>
        <v>0</v>
      </c>
      <c r="AT21" s="386">
        <f t="shared" si="17"/>
        <v>0</v>
      </c>
      <c r="AU21" s="386">
        <f t="shared" si="17"/>
        <v>0</v>
      </c>
      <c r="AV21" s="386">
        <f t="shared" si="17"/>
        <v>0</v>
      </c>
      <c r="AW21" s="386">
        <f t="shared" si="17"/>
        <v>0</v>
      </c>
      <c r="AX21" s="386">
        <f t="shared" si="17"/>
        <v>0</v>
      </c>
      <c r="AY21" s="987">
        <f t="shared" si="17"/>
        <v>0</v>
      </c>
      <c r="AZ21" s="386">
        <f t="shared" si="17"/>
        <v>0</v>
      </c>
      <c r="BA21" s="386">
        <f t="shared" si="17"/>
        <v>0</v>
      </c>
      <c r="BB21" s="386">
        <f t="shared" si="17"/>
        <v>0</v>
      </c>
      <c r="BC21" s="386">
        <f t="shared" si="17"/>
        <v>0</v>
      </c>
      <c r="BD21" s="386">
        <f t="shared" si="17"/>
        <v>0</v>
      </c>
      <c r="BE21" s="386">
        <f t="shared" si="17"/>
        <v>0</v>
      </c>
      <c r="BF21" s="386">
        <f t="shared" si="17"/>
        <v>0</v>
      </c>
      <c r="BG21" s="386">
        <f t="shared" si="17"/>
        <v>0</v>
      </c>
      <c r="BH21" s="386">
        <f t="shared" si="17"/>
        <v>0</v>
      </c>
      <c r="BI21" s="386">
        <f t="shared" si="17"/>
        <v>0</v>
      </c>
      <c r="BJ21" s="386">
        <f t="shared" si="17"/>
        <v>0</v>
      </c>
      <c r="BK21" s="987">
        <f t="shared" si="17"/>
        <v>0</v>
      </c>
      <c r="BL21" s="386">
        <f t="shared" si="17"/>
        <v>0</v>
      </c>
      <c r="BM21" s="386">
        <f t="shared" si="17"/>
        <v>0</v>
      </c>
      <c r="BN21" s="386">
        <f t="shared" si="17"/>
        <v>0</v>
      </c>
      <c r="BO21" s="386">
        <f t="shared" si="17"/>
        <v>0</v>
      </c>
      <c r="BP21" s="386">
        <f t="shared" ref="BP21:CU21" si="18">IF(BP$8=0,0,BP20/BP$8)</f>
        <v>0</v>
      </c>
      <c r="BQ21" s="386">
        <f t="shared" si="18"/>
        <v>0</v>
      </c>
      <c r="BR21" s="386">
        <f t="shared" si="18"/>
        <v>0</v>
      </c>
      <c r="BS21" s="386">
        <f t="shared" si="18"/>
        <v>0</v>
      </c>
      <c r="BT21" s="386">
        <f t="shared" si="18"/>
        <v>0</v>
      </c>
      <c r="BU21" s="386">
        <f t="shared" si="18"/>
        <v>0</v>
      </c>
      <c r="BV21" s="386">
        <f t="shared" si="18"/>
        <v>0</v>
      </c>
      <c r="BW21" s="987">
        <f t="shared" si="18"/>
        <v>0</v>
      </c>
      <c r="BX21" s="386">
        <f t="shared" si="18"/>
        <v>0</v>
      </c>
      <c r="BY21" s="386">
        <f t="shared" si="18"/>
        <v>0</v>
      </c>
      <c r="BZ21" s="386">
        <f t="shared" si="18"/>
        <v>0</v>
      </c>
      <c r="CA21" s="386">
        <f t="shared" si="18"/>
        <v>0</v>
      </c>
      <c r="CB21" s="386">
        <f t="shared" si="18"/>
        <v>0</v>
      </c>
      <c r="CC21" s="386">
        <f t="shared" si="18"/>
        <v>0</v>
      </c>
      <c r="CD21" s="386">
        <f t="shared" si="18"/>
        <v>0</v>
      </c>
      <c r="CE21" s="386">
        <f t="shared" si="18"/>
        <v>0</v>
      </c>
      <c r="CF21" s="386">
        <f t="shared" si="18"/>
        <v>0</v>
      </c>
      <c r="CG21" s="386">
        <f t="shared" si="18"/>
        <v>0</v>
      </c>
      <c r="CH21" s="386">
        <f t="shared" si="18"/>
        <v>0</v>
      </c>
      <c r="CI21" s="987">
        <f t="shared" si="18"/>
        <v>0</v>
      </c>
      <c r="CJ21" s="386">
        <f t="shared" si="18"/>
        <v>0</v>
      </c>
      <c r="CK21" s="386">
        <f t="shared" si="18"/>
        <v>0</v>
      </c>
      <c r="CL21" s="386">
        <f t="shared" si="18"/>
        <v>0</v>
      </c>
      <c r="CM21" s="386">
        <f t="shared" si="18"/>
        <v>0</v>
      </c>
      <c r="CN21" s="386">
        <f t="shared" si="18"/>
        <v>0</v>
      </c>
      <c r="CO21" s="386">
        <f t="shared" si="18"/>
        <v>0</v>
      </c>
      <c r="CP21" s="386">
        <f t="shared" si="18"/>
        <v>0</v>
      </c>
      <c r="CQ21" s="386">
        <f t="shared" si="18"/>
        <v>0</v>
      </c>
      <c r="CR21" s="386">
        <f t="shared" si="18"/>
        <v>0</v>
      </c>
      <c r="CS21" s="386">
        <f t="shared" si="18"/>
        <v>0</v>
      </c>
      <c r="CT21" s="386">
        <f t="shared" si="18"/>
        <v>0</v>
      </c>
      <c r="CU21" s="987">
        <f t="shared" si="18"/>
        <v>0</v>
      </c>
      <c r="CV21" s="386">
        <f t="shared" ref="CV21:EA21" si="19">IF(CV$8=0,0,CV20/CV$8)</f>
        <v>0</v>
      </c>
      <c r="CW21" s="386">
        <f t="shared" si="19"/>
        <v>0</v>
      </c>
      <c r="CX21" s="386">
        <f t="shared" si="19"/>
        <v>0</v>
      </c>
      <c r="CY21" s="386">
        <f t="shared" si="19"/>
        <v>0</v>
      </c>
      <c r="CZ21" s="386">
        <f t="shared" si="19"/>
        <v>0</v>
      </c>
      <c r="DA21" s="386">
        <f t="shared" si="19"/>
        <v>0</v>
      </c>
      <c r="DB21" s="386">
        <f t="shared" si="19"/>
        <v>0</v>
      </c>
      <c r="DC21" s="386">
        <f t="shared" si="19"/>
        <v>0</v>
      </c>
      <c r="DD21" s="386">
        <f t="shared" si="19"/>
        <v>0</v>
      </c>
      <c r="DE21" s="386">
        <f t="shared" si="19"/>
        <v>0</v>
      </c>
      <c r="DF21" s="386">
        <f t="shared" si="19"/>
        <v>0</v>
      </c>
      <c r="DG21" s="987">
        <f t="shared" si="19"/>
        <v>0</v>
      </c>
      <c r="DH21" s="386">
        <f t="shared" si="19"/>
        <v>0</v>
      </c>
      <c r="DI21" s="386">
        <f t="shared" si="19"/>
        <v>0</v>
      </c>
      <c r="DJ21" s="386">
        <f t="shared" si="19"/>
        <v>0</v>
      </c>
      <c r="DK21" s="386">
        <f t="shared" si="19"/>
        <v>0</v>
      </c>
      <c r="DL21" s="386">
        <f t="shared" si="19"/>
        <v>0</v>
      </c>
      <c r="DM21" s="386">
        <f t="shared" si="19"/>
        <v>0</v>
      </c>
      <c r="DN21" s="386">
        <f t="shared" si="19"/>
        <v>0</v>
      </c>
      <c r="DO21" s="386">
        <f t="shared" si="19"/>
        <v>0</v>
      </c>
      <c r="DP21" s="386">
        <f t="shared" si="19"/>
        <v>0</v>
      </c>
      <c r="DQ21" s="386">
        <f t="shared" si="19"/>
        <v>0</v>
      </c>
      <c r="DR21" s="386">
        <f t="shared" si="19"/>
        <v>0</v>
      </c>
      <c r="DS21" s="987">
        <f t="shared" si="19"/>
        <v>0</v>
      </c>
      <c r="DT21" s="386">
        <f t="shared" si="19"/>
        <v>128.63314960629921</v>
      </c>
      <c r="DU21" s="386">
        <f t="shared" si="19"/>
        <v>71.817272727272723</v>
      </c>
      <c r="DV21" s="386">
        <f t="shared" si="19"/>
        <v>152.33814814814815</v>
      </c>
      <c r="DW21" s="386">
        <f t="shared" si="19"/>
        <v>93.079693877551009</v>
      </c>
      <c r="DX21" s="386">
        <f t="shared" si="19"/>
        <v>115.36666666666666</v>
      </c>
      <c r="DY21" s="386">
        <f t="shared" si="19"/>
        <v>110.31565217391305</v>
      </c>
      <c r="DZ21" s="386">
        <f t="shared" si="19"/>
        <v>2.1935616438356118</v>
      </c>
      <c r="EA21" s="386">
        <f t="shared" si="19"/>
        <v>111.76967741935484</v>
      </c>
      <c r="EB21" s="386">
        <f t="shared" ref="EB21:FG21" si="20">IF(EB$8=0,0,EB20/EB$8)</f>
        <v>115.41083333333333</v>
      </c>
      <c r="EC21" s="386">
        <f t="shared" si="20"/>
        <v>122.64870588235293</v>
      </c>
      <c r="ED21" s="386">
        <f t="shared" si="20"/>
        <v>82.926136363636374</v>
      </c>
      <c r="EE21" s="987">
        <f t="shared" si="20"/>
        <v>125.667625</v>
      </c>
      <c r="EF21" s="386">
        <f t="shared" si="20"/>
        <v>0</v>
      </c>
      <c r="EG21" s="386">
        <f t="shared" si="20"/>
        <v>0</v>
      </c>
      <c r="EH21" s="386">
        <f t="shared" si="20"/>
        <v>0</v>
      </c>
      <c r="EI21" s="386">
        <f t="shared" si="20"/>
        <v>0</v>
      </c>
      <c r="EJ21" s="386">
        <f t="shared" si="20"/>
        <v>0</v>
      </c>
      <c r="EK21" s="386">
        <f t="shared" si="20"/>
        <v>0</v>
      </c>
      <c r="EL21" s="386">
        <f t="shared" si="20"/>
        <v>0</v>
      </c>
      <c r="EM21" s="386">
        <f t="shared" si="20"/>
        <v>0</v>
      </c>
      <c r="EN21" s="386">
        <f t="shared" si="20"/>
        <v>0</v>
      </c>
      <c r="EO21" s="386">
        <f t="shared" si="20"/>
        <v>0</v>
      </c>
      <c r="EP21" s="386">
        <f t="shared" si="20"/>
        <v>0</v>
      </c>
      <c r="EQ21" s="987">
        <f t="shared" si="20"/>
        <v>0</v>
      </c>
      <c r="ER21" s="386">
        <f t="shared" si="20"/>
        <v>0</v>
      </c>
      <c r="ES21" s="386">
        <f t="shared" si="20"/>
        <v>0</v>
      </c>
      <c r="ET21" s="386">
        <f t="shared" si="20"/>
        <v>0</v>
      </c>
      <c r="EU21" s="386">
        <f t="shared" si="20"/>
        <v>0</v>
      </c>
      <c r="EV21" s="386">
        <f t="shared" si="20"/>
        <v>0</v>
      </c>
      <c r="EW21" s="386">
        <f t="shared" si="20"/>
        <v>0</v>
      </c>
      <c r="EX21" s="386">
        <f t="shared" si="20"/>
        <v>0</v>
      </c>
      <c r="EY21" s="386">
        <f t="shared" si="20"/>
        <v>0</v>
      </c>
      <c r="EZ21" s="386">
        <f t="shared" si="20"/>
        <v>0</v>
      </c>
      <c r="FA21" s="386">
        <f t="shared" si="20"/>
        <v>0</v>
      </c>
      <c r="FB21" s="386">
        <f t="shared" si="20"/>
        <v>0</v>
      </c>
      <c r="FC21" s="987">
        <f t="shared" si="20"/>
        <v>0</v>
      </c>
      <c r="FD21" s="386">
        <f t="shared" si="20"/>
        <v>0</v>
      </c>
      <c r="FE21" s="386">
        <f t="shared" si="20"/>
        <v>0</v>
      </c>
      <c r="FF21" s="386">
        <f t="shared" si="20"/>
        <v>0</v>
      </c>
      <c r="FG21" s="386">
        <f t="shared" si="20"/>
        <v>0</v>
      </c>
      <c r="FH21" s="386">
        <f t="shared" ref="FH21:GA21" si="21">IF(FH$8=0,0,FH20/FH$8)</f>
        <v>0</v>
      </c>
      <c r="FI21" s="386">
        <f t="shared" si="21"/>
        <v>0</v>
      </c>
      <c r="FJ21" s="386">
        <f t="shared" si="21"/>
        <v>0</v>
      </c>
      <c r="FK21" s="386">
        <f t="shared" si="21"/>
        <v>0</v>
      </c>
      <c r="FL21" s="386">
        <f t="shared" si="21"/>
        <v>0</v>
      </c>
      <c r="FM21" s="386">
        <f t="shared" si="21"/>
        <v>0</v>
      </c>
      <c r="FN21" s="386">
        <f t="shared" si="21"/>
        <v>0</v>
      </c>
      <c r="FO21" s="987">
        <f t="shared" si="21"/>
        <v>0</v>
      </c>
      <c r="FP21" s="386">
        <f t="shared" si="21"/>
        <v>0</v>
      </c>
      <c r="FQ21" s="386">
        <f t="shared" si="21"/>
        <v>0</v>
      </c>
      <c r="FR21" s="386">
        <f t="shared" si="21"/>
        <v>0</v>
      </c>
      <c r="FS21" s="386">
        <f t="shared" si="21"/>
        <v>0</v>
      </c>
      <c r="FT21" s="386">
        <f t="shared" si="21"/>
        <v>0</v>
      </c>
      <c r="FU21" s="386">
        <f t="shared" si="21"/>
        <v>0</v>
      </c>
      <c r="FV21" s="386">
        <f t="shared" si="21"/>
        <v>0</v>
      </c>
      <c r="FW21" s="386">
        <f t="shared" si="21"/>
        <v>0</v>
      </c>
      <c r="FX21" s="386">
        <f t="shared" si="21"/>
        <v>0</v>
      </c>
      <c r="FY21" s="386">
        <f t="shared" si="21"/>
        <v>0</v>
      </c>
      <c r="FZ21" s="386">
        <f t="shared" si="21"/>
        <v>0</v>
      </c>
      <c r="GA21" s="987">
        <f t="shared" si="21"/>
        <v>0</v>
      </c>
      <c r="GB21" s="109"/>
      <c r="GC21" s="2226">
        <f t="shared" ref="GC21:GN21" si="22">IF(SUM(GC56,GC58,GC87:GC88)=0,0,GC20/SUM(GC56,GC58,GC87:GC88))</f>
        <v>59.612162292706486</v>
      </c>
      <c r="GD21" s="2227">
        <f t="shared" si="22"/>
        <v>64.042165334240522</v>
      </c>
      <c r="GE21" s="2227">
        <f t="shared" si="22"/>
        <v>56.435675927652426</v>
      </c>
      <c r="GF21" s="2227">
        <f t="shared" si="22"/>
        <v>52.316270315091202</v>
      </c>
      <c r="GG21" s="2227">
        <f t="shared" si="22"/>
        <v>61.443502275223594</v>
      </c>
      <c r="GH21" s="2227">
        <f t="shared" si="22"/>
        <v>59.22161588180979</v>
      </c>
      <c r="GI21" s="2227">
        <f t="shared" si="22"/>
        <v>59.436701500084276</v>
      </c>
      <c r="GJ21" s="2227">
        <f t="shared" si="22"/>
        <v>58.307110247693061</v>
      </c>
      <c r="GK21" s="2227">
        <f t="shared" si="22"/>
        <v>65.956690391459063</v>
      </c>
      <c r="GL21" s="2227">
        <f t="shared" si="22"/>
        <v>63.279215274128575</v>
      </c>
      <c r="GM21" s="2227">
        <f t="shared" si="22"/>
        <v>61.645630788885342</v>
      </c>
      <c r="GN21" s="2228">
        <f t="shared" si="22"/>
        <v>63.094872852233678</v>
      </c>
      <c r="GO21" s="1036">
        <f t="shared" ref="GO21:GZ21" si="23">IF(GO$8=0,0,GO20/GO$8)</f>
        <v>128.63314960629921</v>
      </c>
      <c r="GP21" s="387">
        <f t="shared" si="23"/>
        <v>71.817272727272723</v>
      </c>
      <c r="GQ21" s="387">
        <f t="shared" si="23"/>
        <v>152.33814814814815</v>
      </c>
      <c r="GR21" s="387">
        <f t="shared" si="23"/>
        <v>93.079693877551009</v>
      </c>
      <c r="GS21" s="387">
        <f t="shared" si="23"/>
        <v>115.36666666666666</v>
      </c>
      <c r="GT21" s="387">
        <f t="shared" si="23"/>
        <v>110.31565217391305</v>
      </c>
      <c r="GU21" s="387">
        <f t="shared" si="23"/>
        <v>2.1935616438356118</v>
      </c>
      <c r="GV21" s="387">
        <f t="shared" si="23"/>
        <v>111.76967741935484</v>
      </c>
      <c r="GW21" s="387">
        <f t="shared" si="23"/>
        <v>115.41083333333333</v>
      </c>
      <c r="GX21" s="387">
        <f t="shared" si="23"/>
        <v>122.64870588235293</v>
      </c>
      <c r="GY21" s="387">
        <f t="shared" si="23"/>
        <v>82.926136363636374</v>
      </c>
      <c r="GZ21" s="988">
        <f t="shared" si="23"/>
        <v>125.667625</v>
      </c>
      <c r="HB21" s="386">
        <f t="shared" ref="HB21:HM21" si="24">IF(HB$8=0,0,HB20/HB$8)</f>
        <v>0</v>
      </c>
      <c r="HC21" s="386">
        <f t="shared" si="24"/>
        <v>0</v>
      </c>
      <c r="HD21" s="386">
        <f t="shared" si="24"/>
        <v>0</v>
      </c>
      <c r="HE21" s="386">
        <f t="shared" si="24"/>
        <v>0</v>
      </c>
      <c r="HF21" s="386">
        <f t="shared" si="24"/>
        <v>0</v>
      </c>
      <c r="HG21" s="386">
        <f t="shared" si="24"/>
        <v>0</v>
      </c>
      <c r="HH21" s="386">
        <f t="shared" si="24"/>
        <v>0</v>
      </c>
      <c r="HI21" s="386">
        <f t="shared" si="24"/>
        <v>0</v>
      </c>
      <c r="HJ21" s="386">
        <f t="shared" si="24"/>
        <v>0</v>
      </c>
      <c r="HK21" s="386">
        <f t="shared" si="24"/>
        <v>0</v>
      </c>
      <c r="HL21" s="386">
        <f t="shared" si="24"/>
        <v>0</v>
      </c>
      <c r="HM21" s="987">
        <f t="shared" si="24"/>
        <v>0</v>
      </c>
    </row>
    <row r="22" spans="1:221">
      <c r="A22" s="326" t="s">
        <v>900</v>
      </c>
      <c r="B22" s="326" t="s">
        <v>901</v>
      </c>
      <c r="C22" s="326" t="s">
        <v>3807</v>
      </c>
      <c r="D22" s="1036">
        <v>15872.52</v>
      </c>
      <c r="E22" s="387">
        <v>12801.01</v>
      </c>
      <c r="F22" s="387">
        <v>13743.899999999998</v>
      </c>
      <c r="G22" s="387">
        <v>11817.1</v>
      </c>
      <c r="H22" s="387">
        <v>15078.45</v>
      </c>
      <c r="I22" s="387">
        <v>20220.980000000007</v>
      </c>
      <c r="J22" s="387">
        <v>15922.010000000002</v>
      </c>
      <c r="K22" s="387">
        <v>17189.63</v>
      </c>
      <c r="L22" s="387">
        <v>18443.54</v>
      </c>
      <c r="M22" s="387">
        <v>16258.5</v>
      </c>
      <c r="N22" s="387">
        <v>16229.31</v>
      </c>
      <c r="O22" s="988">
        <v>21551.670000000006</v>
      </c>
      <c r="P22" s="386">
        <v>188.55999999999995</v>
      </c>
      <c r="Q22" s="386">
        <v>956.45</v>
      </c>
      <c r="R22" s="386">
        <v>943.84</v>
      </c>
      <c r="S22" s="386">
        <v>991.75</v>
      </c>
      <c r="T22" s="386">
        <v>808.28</v>
      </c>
      <c r="U22" s="386">
        <v>1147.28</v>
      </c>
      <c r="V22" s="386">
        <v>946.12</v>
      </c>
      <c r="W22" s="386">
        <v>1282.74</v>
      </c>
      <c r="X22" s="386">
        <v>933.30000000000007</v>
      </c>
      <c r="Y22" s="386">
        <v>2101.63</v>
      </c>
      <c r="Z22" s="386">
        <v>1590.67</v>
      </c>
      <c r="AA22" s="987">
        <v>1101.47</v>
      </c>
      <c r="AB22" s="386"/>
      <c r="AC22" s="386"/>
      <c r="AD22" s="386"/>
      <c r="AE22" s="386"/>
      <c r="AF22" s="386"/>
      <c r="AG22" s="386"/>
      <c r="AH22" s="386"/>
      <c r="AI22" s="386"/>
      <c r="AJ22" s="386"/>
      <c r="AK22" s="386"/>
      <c r="AL22" s="386"/>
      <c r="AM22" s="987"/>
      <c r="AN22" s="386"/>
      <c r="AO22" s="386"/>
      <c r="AP22" s="386"/>
      <c r="AQ22" s="386"/>
      <c r="AR22" s="386"/>
      <c r="AS22" s="386"/>
      <c r="AT22" s="386"/>
      <c r="AU22" s="386"/>
      <c r="AV22" s="386"/>
      <c r="AW22" s="386"/>
      <c r="AX22" s="386"/>
      <c r="AY22" s="987"/>
      <c r="AZ22" s="386"/>
      <c r="BA22" s="386"/>
      <c r="BB22" s="386"/>
      <c r="BC22" s="386"/>
      <c r="BD22" s="386"/>
      <c r="BE22" s="386"/>
      <c r="BF22" s="386"/>
      <c r="BG22" s="386"/>
      <c r="BH22" s="386"/>
      <c r="BI22" s="386"/>
      <c r="BJ22" s="386"/>
      <c r="BK22" s="987"/>
      <c r="BL22" s="386"/>
      <c r="BM22" s="386"/>
      <c r="BN22" s="386"/>
      <c r="BO22" s="386"/>
      <c r="BP22" s="386"/>
      <c r="BQ22" s="386"/>
      <c r="BR22" s="386"/>
      <c r="BS22" s="386"/>
      <c r="BT22" s="386"/>
      <c r="BU22" s="386"/>
      <c r="BV22" s="386"/>
      <c r="BW22" s="987"/>
      <c r="BX22" s="386"/>
      <c r="BY22" s="386"/>
      <c r="BZ22" s="386"/>
      <c r="CA22" s="386"/>
      <c r="CB22" s="386"/>
      <c r="CC22" s="386"/>
      <c r="CD22" s="386"/>
      <c r="CE22" s="386"/>
      <c r="CF22" s="386"/>
      <c r="CG22" s="386"/>
      <c r="CH22" s="386"/>
      <c r="CI22" s="987"/>
      <c r="CJ22" s="386"/>
      <c r="CK22" s="386"/>
      <c r="CL22" s="386"/>
      <c r="CM22" s="386"/>
      <c r="CN22" s="386"/>
      <c r="CO22" s="386"/>
      <c r="CP22" s="386"/>
      <c r="CQ22" s="386"/>
      <c r="CR22" s="386"/>
      <c r="CS22" s="386"/>
      <c r="CT22" s="386"/>
      <c r="CU22" s="987"/>
      <c r="CV22" s="386"/>
      <c r="CW22" s="386"/>
      <c r="CX22" s="386"/>
      <c r="CY22" s="386"/>
      <c r="CZ22" s="386"/>
      <c r="DA22" s="386"/>
      <c r="DB22" s="386"/>
      <c r="DC22" s="386"/>
      <c r="DD22" s="386"/>
      <c r="DE22" s="386"/>
      <c r="DF22" s="386"/>
      <c r="DG22" s="987"/>
      <c r="DH22" s="386"/>
      <c r="DI22" s="386"/>
      <c r="DJ22" s="386"/>
      <c r="DK22" s="386"/>
      <c r="DL22" s="386"/>
      <c r="DM22" s="386"/>
      <c r="DN22" s="386"/>
      <c r="DO22" s="386"/>
      <c r="DP22" s="386"/>
      <c r="DQ22" s="386"/>
      <c r="DR22" s="386"/>
      <c r="DS22" s="987"/>
      <c r="DT22" s="386">
        <v>1049.72</v>
      </c>
      <c r="DU22" s="386">
        <v>936.78000000000009</v>
      </c>
      <c r="DV22" s="386">
        <v>1045.71</v>
      </c>
      <c r="DW22" s="386">
        <v>996.55</v>
      </c>
      <c r="DX22" s="386">
        <v>1416.1100000000001</v>
      </c>
      <c r="DY22" s="386">
        <v>536.14</v>
      </c>
      <c r="DZ22" s="386">
        <v>841.24</v>
      </c>
      <c r="EA22" s="386">
        <v>450.46000000000004</v>
      </c>
      <c r="EB22" s="386">
        <v>898.18999999999994</v>
      </c>
      <c r="EC22" s="386">
        <v>998.49</v>
      </c>
      <c r="ED22" s="386">
        <v>696.43</v>
      </c>
      <c r="EE22" s="987">
        <v>1623.3899999999999</v>
      </c>
      <c r="EF22" s="386"/>
      <c r="EG22" s="386"/>
      <c r="EH22" s="386"/>
      <c r="EI22" s="386"/>
      <c r="EJ22" s="386"/>
      <c r="EK22" s="386"/>
      <c r="EL22" s="386"/>
      <c r="EM22" s="386"/>
      <c r="EN22" s="386"/>
      <c r="EO22" s="386"/>
      <c r="EP22" s="386"/>
      <c r="EQ22" s="987"/>
      <c r="ER22" s="386"/>
      <c r="ES22" s="386"/>
      <c r="ET22" s="386"/>
      <c r="EU22" s="386"/>
      <c r="EV22" s="386"/>
      <c r="EW22" s="386"/>
      <c r="EX22" s="386"/>
      <c r="EY22" s="386"/>
      <c r="EZ22" s="386"/>
      <c r="FA22" s="386"/>
      <c r="FB22" s="386"/>
      <c r="FC22" s="987"/>
      <c r="FD22" s="386"/>
      <c r="FE22" s="386"/>
      <c r="FF22" s="386"/>
      <c r="FG22" s="386"/>
      <c r="FH22" s="386"/>
      <c r="FI22" s="386"/>
      <c r="FJ22" s="386"/>
      <c r="FK22" s="386"/>
      <c r="FL22" s="386"/>
      <c r="FM22" s="386"/>
      <c r="FN22" s="386"/>
      <c r="FO22" s="987"/>
      <c r="FP22" s="386"/>
      <c r="FQ22" s="386"/>
      <c r="FR22" s="386"/>
      <c r="FS22" s="386"/>
      <c r="FT22" s="386"/>
      <c r="FU22" s="386"/>
      <c r="FV22" s="386"/>
      <c r="FW22" s="386"/>
      <c r="FX22" s="386"/>
      <c r="FY22" s="386"/>
      <c r="FZ22" s="386"/>
      <c r="GA22" s="987"/>
      <c r="GB22" s="109"/>
      <c r="GC22" s="2201">
        <f t="shared" ref="GC22:GN22" si="25">SUMPRODUCT(--($D$6:$DS$6=GC$6),$D22:$DS22,$D$278:$DS$278)</f>
        <v>16061.08</v>
      </c>
      <c r="GD22" s="2202">
        <f t="shared" si="25"/>
        <v>13757.460000000001</v>
      </c>
      <c r="GE22" s="2202">
        <f t="shared" si="25"/>
        <v>14687.739999999998</v>
      </c>
      <c r="GF22" s="2202">
        <f t="shared" si="25"/>
        <v>12808.85</v>
      </c>
      <c r="GG22" s="2202">
        <f t="shared" si="25"/>
        <v>15886.730000000001</v>
      </c>
      <c r="GH22" s="2202">
        <f t="shared" si="25"/>
        <v>21368.260000000006</v>
      </c>
      <c r="GI22" s="2202">
        <f t="shared" si="25"/>
        <v>16868.13</v>
      </c>
      <c r="GJ22" s="2202">
        <f t="shared" si="25"/>
        <v>18472.370000000003</v>
      </c>
      <c r="GK22" s="2202">
        <f t="shared" si="25"/>
        <v>19376.84</v>
      </c>
      <c r="GL22" s="2202">
        <f t="shared" si="25"/>
        <v>18360.13</v>
      </c>
      <c r="GM22" s="2202">
        <f t="shared" si="25"/>
        <v>17819.98</v>
      </c>
      <c r="GN22" s="2203">
        <f t="shared" si="25"/>
        <v>22653.140000000007</v>
      </c>
      <c r="GO22" s="1036">
        <f t="shared" ref="GO22:GZ22" si="26">SUMPRODUCT(--($DT$6:$GA$6=GO$6),$DT22:$GA22,$DT$278:$GA$278)</f>
        <v>1049.72</v>
      </c>
      <c r="GP22" s="387">
        <f t="shared" si="26"/>
        <v>936.78000000000009</v>
      </c>
      <c r="GQ22" s="387">
        <f t="shared" si="26"/>
        <v>1045.71</v>
      </c>
      <c r="GR22" s="387">
        <f t="shared" si="26"/>
        <v>996.55</v>
      </c>
      <c r="GS22" s="387">
        <f t="shared" si="26"/>
        <v>1416.1100000000001</v>
      </c>
      <c r="GT22" s="387">
        <f t="shared" si="26"/>
        <v>536.14</v>
      </c>
      <c r="GU22" s="387">
        <f t="shared" si="26"/>
        <v>841.24</v>
      </c>
      <c r="GV22" s="387">
        <f t="shared" si="26"/>
        <v>450.46000000000004</v>
      </c>
      <c r="GW22" s="387">
        <f t="shared" si="26"/>
        <v>898.18999999999994</v>
      </c>
      <c r="GX22" s="387">
        <f t="shared" si="26"/>
        <v>998.49</v>
      </c>
      <c r="GY22" s="387">
        <f t="shared" si="26"/>
        <v>696.43</v>
      </c>
      <c r="GZ22" s="988">
        <f t="shared" si="26"/>
        <v>1623.3899999999999</v>
      </c>
      <c r="HB22" s="386"/>
      <c r="HC22" s="386"/>
      <c r="HD22" s="386"/>
      <c r="HE22" s="386"/>
      <c r="HF22" s="386"/>
      <c r="HG22" s="386"/>
      <c r="HH22" s="386"/>
      <c r="HI22" s="386"/>
      <c r="HJ22" s="386"/>
      <c r="HK22" s="386"/>
      <c r="HL22" s="386"/>
      <c r="HM22" s="987"/>
    </row>
    <row r="23" spans="1:221">
      <c r="A23" s="326"/>
      <c r="B23" s="326"/>
      <c r="C23" s="326"/>
      <c r="D23" s="1036">
        <f t="shared" ref="D23:AI23" si="27">IF(D$8=0,0,D22/D$8)</f>
        <v>23.796881559220392</v>
      </c>
      <c r="E23" s="387">
        <f t="shared" si="27"/>
        <v>19.81580495356037</v>
      </c>
      <c r="F23" s="387">
        <f t="shared" si="27"/>
        <v>23.216047297297294</v>
      </c>
      <c r="G23" s="387">
        <f t="shared" si="27"/>
        <v>18.041374045801529</v>
      </c>
      <c r="H23" s="387">
        <f t="shared" si="27"/>
        <v>21.916351744186048</v>
      </c>
      <c r="I23" s="387">
        <f t="shared" si="27"/>
        <v>28.682241134751784</v>
      </c>
      <c r="J23" s="387">
        <f t="shared" si="27"/>
        <v>25.434520766773165</v>
      </c>
      <c r="K23" s="387">
        <f t="shared" si="27"/>
        <v>26.324088820826955</v>
      </c>
      <c r="L23" s="387">
        <f t="shared" si="27"/>
        <v>29.275460317460318</v>
      </c>
      <c r="M23" s="387">
        <f t="shared" si="27"/>
        <v>27.792307692307691</v>
      </c>
      <c r="N23" s="387">
        <f t="shared" si="27"/>
        <v>25.00664098613251</v>
      </c>
      <c r="O23" s="988">
        <f t="shared" si="27"/>
        <v>36.590271646859094</v>
      </c>
      <c r="P23" s="386">
        <f t="shared" si="27"/>
        <v>0.85597924773022027</v>
      </c>
      <c r="Q23" s="386">
        <f t="shared" si="27"/>
        <v>4.9337877671333823</v>
      </c>
      <c r="R23" s="386">
        <f t="shared" si="27"/>
        <v>5.4199179655455296</v>
      </c>
      <c r="S23" s="386">
        <f t="shared" si="27"/>
        <v>4.8043252595155721</v>
      </c>
      <c r="T23" s="386">
        <f t="shared" si="27"/>
        <v>3.633885677585099</v>
      </c>
      <c r="U23" s="386">
        <f t="shared" si="27"/>
        <v>5.1381701855406261</v>
      </c>
      <c r="V23" s="386">
        <f t="shared" si="27"/>
        <v>4.2700451321727924</v>
      </c>
      <c r="W23" s="386">
        <f t="shared" si="27"/>
        <v>5.5910211706102126</v>
      </c>
      <c r="X23" s="386">
        <f t="shared" si="27"/>
        <v>3.6868510158013543</v>
      </c>
      <c r="Y23" s="386">
        <f t="shared" si="27"/>
        <v>9.1148760842627023</v>
      </c>
      <c r="Z23" s="386">
        <f t="shared" si="27"/>
        <v>6.4774229203025024</v>
      </c>
      <c r="AA23" s="987">
        <f t="shared" si="27"/>
        <v>4.5434826163818505</v>
      </c>
      <c r="AB23" s="386">
        <f t="shared" si="27"/>
        <v>0</v>
      </c>
      <c r="AC23" s="386">
        <f t="shared" si="27"/>
        <v>0</v>
      </c>
      <c r="AD23" s="386">
        <f t="shared" si="27"/>
        <v>0</v>
      </c>
      <c r="AE23" s="386">
        <f t="shared" si="27"/>
        <v>0</v>
      </c>
      <c r="AF23" s="386">
        <f t="shared" si="27"/>
        <v>0</v>
      </c>
      <c r="AG23" s="386">
        <f t="shared" si="27"/>
        <v>0</v>
      </c>
      <c r="AH23" s="386">
        <f t="shared" si="27"/>
        <v>0</v>
      </c>
      <c r="AI23" s="386">
        <f t="shared" si="27"/>
        <v>0</v>
      </c>
      <c r="AJ23" s="386">
        <f t="shared" ref="AJ23:BO23" si="28">IF(AJ$8=0,0,AJ22/AJ$8)</f>
        <v>0</v>
      </c>
      <c r="AK23" s="386">
        <f t="shared" si="28"/>
        <v>0</v>
      </c>
      <c r="AL23" s="386">
        <f t="shared" si="28"/>
        <v>0</v>
      </c>
      <c r="AM23" s="987">
        <f t="shared" si="28"/>
        <v>0</v>
      </c>
      <c r="AN23" s="386">
        <f t="shared" si="28"/>
        <v>0</v>
      </c>
      <c r="AO23" s="386">
        <f t="shared" si="28"/>
        <v>0</v>
      </c>
      <c r="AP23" s="386">
        <f t="shared" si="28"/>
        <v>0</v>
      </c>
      <c r="AQ23" s="386">
        <f t="shared" si="28"/>
        <v>0</v>
      </c>
      <c r="AR23" s="386">
        <f t="shared" si="28"/>
        <v>0</v>
      </c>
      <c r="AS23" s="386">
        <f t="shared" si="28"/>
        <v>0</v>
      </c>
      <c r="AT23" s="386">
        <f t="shared" si="28"/>
        <v>0</v>
      </c>
      <c r="AU23" s="386">
        <f t="shared" si="28"/>
        <v>0</v>
      </c>
      <c r="AV23" s="386">
        <f t="shared" si="28"/>
        <v>0</v>
      </c>
      <c r="AW23" s="386">
        <f t="shared" si="28"/>
        <v>0</v>
      </c>
      <c r="AX23" s="386">
        <f t="shared" si="28"/>
        <v>0</v>
      </c>
      <c r="AY23" s="987">
        <f t="shared" si="28"/>
        <v>0</v>
      </c>
      <c r="AZ23" s="386">
        <f t="shared" si="28"/>
        <v>0</v>
      </c>
      <c r="BA23" s="386">
        <f t="shared" si="28"/>
        <v>0</v>
      </c>
      <c r="BB23" s="386">
        <f t="shared" si="28"/>
        <v>0</v>
      </c>
      <c r="BC23" s="386">
        <f t="shared" si="28"/>
        <v>0</v>
      </c>
      <c r="BD23" s="386">
        <f t="shared" si="28"/>
        <v>0</v>
      </c>
      <c r="BE23" s="386">
        <f t="shared" si="28"/>
        <v>0</v>
      </c>
      <c r="BF23" s="386">
        <f t="shared" si="28"/>
        <v>0</v>
      </c>
      <c r="BG23" s="386">
        <f t="shared" si="28"/>
        <v>0</v>
      </c>
      <c r="BH23" s="386">
        <f t="shared" si="28"/>
        <v>0</v>
      </c>
      <c r="BI23" s="386">
        <f t="shared" si="28"/>
        <v>0</v>
      </c>
      <c r="BJ23" s="386">
        <f t="shared" si="28"/>
        <v>0</v>
      </c>
      <c r="BK23" s="987">
        <f t="shared" si="28"/>
        <v>0</v>
      </c>
      <c r="BL23" s="386">
        <f t="shared" si="28"/>
        <v>0</v>
      </c>
      <c r="BM23" s="386">
        <f t="shared" si="28"/>
        <v>0</v>
      </c>
      <c r="BN23" s="386">
        <f t="shared" si="28"/>
        <v>0</v>
      </c>
      <c r="BO23" s="386">
        <f t="shared" si="28"/>
        <v>0</v>
      </c>
      <c r="BP23" s="386">
        <f t="shared" ref="BP23:CU23" si="29">IF(BP$8=0,0,BP22/BP$8)</f>
        <v>0</v>
      </c>
      <c r="BQ23" s="386">
        <f t="shared" si="29"/>
        <v>0</v>
      </c>
      <c r="BR23" s="386">
        <f t="shared" si="29"/>
        <v>0</v>
      </c>
      <c r="BS23" s="386">
        <f t="shared" si="29"/>
        <v>0</v>
      </c>
      <c r="BT23" s="386">
        <f t="shared" si="29"/>
        <v>0</v>
      </c>
      <c r="BU23" s="386">
        <f t="shared" si="29"/>
        <v>0</v>
      </c>
      <c r="BV23" s="386">
        <f t="shared" si="29"/>
        <v>0</v>
      </c>
      <c r="BW23" s="987">
        <f t="shared" si="29"/>
        <v>0</v>
      </c>
      <c r="BX23" s="386">
        <f t="shared" si="29"/>
        <v>0</v>
      </c>
      <c r="BY23" s="386">
        <f t="shared" si="29"/>
        <v>0</v>
      </c>
      <c r="BZ23" s="386">
        <f t="shared" si="29"/>
        <v>0</v>
      </c>
      <c r="CA23" s="386">
        <f t="shared" si="29"/>
        <v>0</v>
      </c>
      <c r="CB23" s="386">
        <f t="shared" si="29"/>
        <v>0</v>
      </c>
      <c r="CC23" s="386">
        <f t="shared" si="29"/>
        <v>0</v>
      </c>
      <c r="CD23" s="386">
        <f t="shared" si="29"/>
        <v>0</v>
      </c>
      <c r="CE23" s="386">
        <f t="shared" si="29"/>
        <v>0</v>
      </c>
      <c r="CF23" s="386">
        <f t="shared" si="29"/>
        <v>0</v>
      </c>
      <c r="CG23" s="386">
        <f t="shared" si="29"/>
        <v>0</v>
      </c>
      <c r="CH23" s="386">
        <f t="shared" si="29"/>
        <v>0</v>
      </c>
      <c r="CI23" s="987">
        <f t="shared" si="29"/>
        <v>0</v>
      </c>
      <c r="CJ23" s="386">
        <f t="shared" si="29"/>
        <v>0</v>
      </c>
      <c r="CK23" s="386">
        <f t="shared" si="29"/>
        <v>0</v>
      </c>
      <c r="CL23" s="386">
        <f t="shared" si="29"/>
        <v>0</v>
      </c>
      <c r="CM23" s="386">
        <f t="shared" si="29"/>
        <v>0</v>
      </c>
      <c r="CN23" s="386">
        <f t="shared" si="29"/>
        <v>0</v>
      </c>
      <c r="CO23" s="386">
        <f t="shared" si="29"/>
        <v>0</v>
      </c>
      <c r="CP23" s="386">
        <f t="shared" si="29"/>
        <v>0</v>
      </c>
      <c r="CQ23" s="386">
        <f t="shared" si="29"/>
        <v>0</v>
      </c>
      <c r="CR23" s="386">
        <f t="shared" si="29"/>
        <v>0</v>
      </c>
      <c r="CS23" s="386">
        <f t="shared" si="29"/>
        <v>0</v>
      </c>
      <c r="CT23" s="386">
        <f t="shared" si="29"/>
        <v>0</v>
      </c>
      <c r="CU23" s="987">
        <f t="shared" si="29"/>
        <v>0</v>
      </c>
      <c r="CV23" s="386">
        <f t="shared" ref="CV23:EA23" si="30">IF(CV$8=0,0,CV22/CV$8)</f>
        <v>0</v>
      </c>
      <c r="CW23" s="386">
        <f t="shared" si="30"/>
        <v>0</v>
      </c>
      <c r="CX23" s="386">
        <f t="shared" si="30"/>
        <v>0</v>
      </c>
      <c r="CY23" s="386">
        <f t="shared" si="30"/>
        <v>0</v>
      </c>
      <c r="CZ23" s="386">
        <f t="shared" si="30"/>
        <v>0</v>
      </c>
      <c r="DA23" s="386">
        <f t="shared" si="30"/>
        <v>0</v>
      </c>
      <c r="DB23" s="386">
        <f t="shared" si="30"/>
        <v>0</v>
      </c>
      <c r="DC23" s="386">
        <f t="shared" si="30"/>
        <v>0</v>
      </c>
      <c r="DD23" s="386">
        <f t="shared" si="30"/>
        <v>0</v>
      </c>
      <c r="DE23" s="386">
        <f t="shared" si="30"/>
        <v>0</v>
      </c>
      <c r="DF23" s="386">
        <f t="shared" si="30"/>
        <v>0</v>
      </c>
      <c r="DG23" s="987">
        <f t="shared" si="30"/>
        <v>0</v>
      </c>
      <c r="DH23" s="386">
        <f t="shared" si="30"/>
        <v>0</v>
      </c>
      <c r="DI23" s="386">
        <f t="shared" si="30"/>
        <v>0</v>
      </c>
      <c r="DJ23" s="386">
        <f t="shared" si="30"/>
        <v>0</v>
      </c>
      <c r="DK23" s="386">
        <f t="shared" si="30"/>
        <v>0</v>
      </c>
      <c r="DL23" s="386">
        <f t="shared" si="30"/>
        <v>0</v>
      </c>
      <c r="DM23" s="386">
        <f t="shared" si="30"/>
        <v>0</v>
      </c>
      <c r="DN23" s="386">
        <f t="shared" si="30"/>
        <v>0</v>
      </c>
      <c r="DO23" s="386">
        <f t="shared" si="30"/>
        <v>0</v>
      </c>
      <c r="DP23" s="386">
        <f t="shared" si="30"/>
        <v>0</v>
      </c>
      <c r="DQ23" s="386">
        <f t="shared" si="30"/>
        <v>0</v>
      </c>
      <c r="DR23" s="386">
        <f t="shared" si="30"/>
        <v>0</v>
      </c>
      <c r="DS23" s="987">
        <f t="shared" si="30"/>
        <v>0</v>
      </c>
      <c r="DT23" s="386">
        <f t="shared" si="30"/>
        <v>8.2655118110236216</v>
      </c>
      <c r="DU23" s="386">
        <f t="shared" si="30"/>
        <v>7.7419834710743807</v>
      </c>
      <c r="DV23" s="386">
        <f t="shared" si="30"/>
        <v>9.682500000000001</v>
      </c>
      <c r="DW23" s="386">
        <f t="shared" si="30"/>
        <v>10.168877551020408</v>
      </c>
      <c r="DX23" s="386">
        <f t="shared" si="30"/>
        <v>16.858452380952382</v>
      </c>
      <c r="DY23" s="386">
        <f t="shared" si="30"/>
        <v>5.8276086956521738</v>
      </c>
      <c r="DZ23" s="386">
        <f t="shared" si="30"/>
        <v>11.523835616438356</v>
      </c>
      <c r="EA23" s="386">
        <f t="shared" si="30"/>
        <v>4.8436559139784947</v>
      </c>
      <c r="EB23" s="386">
        <f t="shared" ref="EB23:FG23" si="31">IF(EB$8=0,0,EB22/EB$8)</f>
        <v>10.692738095238095</v>
      </c>
      <c r="EC23" s="386">
        <f t="shared" si="31"/>
        <v>11.746941176470589</v>
      </c>
      <c r="ED23" s="386">
        <f t="shared" si="31"/>
        <v>7.9139772727272719</v>
      </c>
      <c r="EE23" s="987">
        <f t="shared" si="31"/>
        <v>20.292375</v>
      </c>
      <c r="EF23" s="386">
        <f t="shared" si="31"/>
        <v>0</v>
      </c>
      <c r="EG23" s="386">
        <f t="shared" si="31"/>
        <v>0</v>
      </c>
      <c r="EH23" s="386">
        <f t="shared" si="31"/>
        <v>0</v>
      </c>
      <c r="EI23" s="386">
        <f t="shared" si="31"/>
        <v>0</v>
      </c>
      <c r="EJ23" s="386">
        <f t="shared" si="31"/>
        <v>0</v>
      </c>
      <c r="EK23" s="386">
        <f t="shared" si="31"/>
        <v>0</v>
      </c>
      <c r="EL23" s="386">
        <f t="shared" si="31"/>
        <v>0</v>
      </c>
      <c r="EM23" s="386">
        <f t="shared" si="31"/>
        <v>0</v>
      </c>
      <c r="EN23" s="386">
        <f t="shared" si="31"/>
        <v>0</v>
      </c>
      <c r="EO23" s="386">
        <f t="shared" si="31"/>
        <v>0</v>
      </c>
      <c r="EP23" s="386">
        <f t="shared" si="31"/>
        <v>0</v>
      </c>
      <c r="EQ23" s="987">
        <f t="shared" si="31"/>
        <v>0</v>
      </c>
      <c r="ER23" s="386">
        <f t="shared" si="31"/>
        <v>0</v>
      </c>
      <c r="ES23" s="386">
        <f t="shared" si="31"/>
        <v>0</v>
      </c>
      <c r="ET23" s="386">
        <f t="shared" si="31"/>
        <v>0</v>
      </c>
      <c r="EU23" s="386">
        <f t="shared" si="31"/>
        <v>0</v>
      </c>
      <c r="EV23" s="386">
        <f t="shared" si="31"/>
        <v>0</v>
      </c>
      <c r="EW23" s="386">
        <f t="shared" si="31"/>
        <v>0</v>
      </c>
      <c r="EX23" s="386">
        <f t="shared" si="31"/>
        <v>0</v>
      </c>
      <c r="EY23" s="386">
        <f t="shared" si="31"/>
        <v>0</v>
      </c>
      <c r="EZ23" s="386">
        <f t="shared" si="31"/>
        <v>0</v>
      </c>
      <c r="FA23" s="386">
        <f t="shared" si="31"/>
        <v>0</v>
      </c>
      <c r="FB23" s="386">
        <f t="shared" si="31"/>
        <v>0</v>
      </c>
      <c r="FC23" s="987">
        <f t="shared" si="31"/>
        <v>0</v>
      </c>
      <c r="FD23" s="386">
        <f t="shared" si="31"/>
        <v>0</v>
      </c>
      <c r="FE23" s="386">
        <f t="shared" si="31"/>
        <v>0</v>
      </c>
      <c r="FF23" s="386">
        <f t="shared" si="31"/>
        <v>0</v>
      </c>
      <c r="FG23" s="386">
        <f t="shared" si="31"/>
        <v>0</v>
      </c>
      <c r="FH23" s="386">
        <f t="shared" ref="FH23:GA23" si="32">IF(FH$8=0,0,FH22/FH$8)</f>
        <v>0</v>
      </c>
      <c r="FI23" s="386">
        <f t="shared" si="32"/>
        <v>0</v>
      </c>
      <c r="FJ23" s="386">
        <f t="shared" si="32"/>
        <v>0</v>
      </c>
      <c r="FK23" s="386">
        <f t="shared" si="32"/>
        <v>0</v>
      </c>
      <c r="FL23" s="386">
        <f t="shared" si="32"/>
        <v>0</v>
      </c>
      <c r="FM23" s="386">
        <f t="shared" si="32"/>
        <v>0</v>
      </c>
      <c r="FN23" s="386">
        <f t="shared" si="32"/>
        <v>0</v>
      </c>
      <c r="FO23" s="987">
        <f t="shared" si="32"/>
        <v>0</v>
      </c>
      <c r="FP23" s="386">
        <f t="shared" si="32"/>
        <v>0</v>
      </c>
      <c r="FQ23" s="386">
        <f t="shared" si="32"/>
        <v>0</v>
      </c>
      <c r="FR23" s="386">
        <f t="shared" si="32"/>
        <v>0</v>
      </c>
      <c r="FS23" s="386">
        <f t="shared" si="32"/>
        <v>0</v>
      </c>
      <c r="FT23" s="386">
        <f t="shared" si="32"/>
        <v>0</v>
      </c>
      <c r="FU23" s="386">
        <f t="shared" si="32"/>
        <v>0</v>
      </c>
      <c r="FV23" s="386">
        <f t="shared" si="32"/>
        <v>0</v>
      </c>
      <c r="FW23" s="386">
        <f t="shared" si="32"/>
        <v>0</v>
      </c>
      <c r="FX23" s="386">
        <f t="shared" si="32"/>
        <v>0</v>
      </c>
      <c r="FY23" s="386">
        <f t="shared" si="32"/>
        <v>0</v>
      </c>
      <c r="FZ23" s="386">
        <f t="shared" si="32"/>
        <v>0</v>
      </c>
      <c r="GA23" s="987">
        <f t="shared" si="32"/>
        <v>0</v>
      </c>
      <c r="GB23" s="109"/>
      <c r="GC23" s="2226">
        <f t="shared" ref="GC23:GN23" si="33">IF(SUM(GC56,GC58,GC87:GC88)=0,0,GC22/SUM(GC56,GC58,GC87:GC88))</f>
        <v>18.101362099500886</v>
      </c>
      <c r="GD23" s="2227">
        <f t="shared" si="33"/>
        <v>16.380714407212114</v>
      </c>
      <c r="GE23" s="2227">
        <f t="shared" si="33"/>
        <v>19.171019951519671</v>
      </c>
      <c r="GF23" s="2227">
        <f t="shared" si="33"/>
        <v>14.869311774461028</v>
      </c>
      <c r="GG23" s="2227">
        <f t="shared" si="33"/>
        <v>17.449726973168055</v>
      </c>
      <c r="GH23" s="2227">
        <f t="shared" si="33"/>
        <v>23.019055093875043</v>
      </c>
      <c r="GI23" s="2227">
        <f t="shared" si="33"/>
        <v>19.901720883195686</v>
      </c>
      <c r="GJ23" s="2227">
        <f t="shared" si="33"/>
        <v>20.933558361664243</v>
      </c>
      <c r="GK23" s="2227">
        <f t="shared" si="33"/>
        <v>21.940776447751535</v>
      </c>
      <c r="GL23" s="2227">
        <f t="shared" si="33"/>
        <v>22.511982834121564</v>
      </c>
      <c r="GM23" s="2227">
        <f t="shared" si="33"/>
        <v>19.920130948578727</v>
      </c>
      <c r="GN23" s="2228">
        <f t="shared" si="33"/>
        <v>27.246044673539526</v>
      </c>
      <c r="GO23" s="1036">
        <f t="shared" ref="GO23:GZ23" si="34">IF(GO$8=0,0,GO22/GO$8)</f>
        <v>8.2655118110236216</v>
      </c>
      <c r="GP23" s="387">
        <f t="shared" si="34"/>
        <v>7.7419834710743807</v>
      </c>
      <c r="GQ23" s="387">
        <f t="shared" si="34"/>
        <v>9.682500000000001</v>
      </c>
      <c r="GR23" s="387">
        <f t="shared" si="34"/>
        <v>10.168877551020408</v>
      </c>
      <c r="GS23" s="387">
        <f t="shared" si="34"/>
        <v>16.858452380952382</v>
      </c>
      <c r="GT23" s="387">
        <f t="shared" si="34"/>
        <v>5.8276086956521738</v>
      </c>
      <c r="GU23" s="387">
        <f t="shared" si="34"/>
        <v>11.523835616438356</v>
      </c>
      <c r="GV23" s="387">
        <f t="shared" si="34"/>
        <v>4.8436559139784947</v>
      </c>
      <c r="GW23" s="387">
        <f t="shared" si="34"/>
        <v>10.692738095238095</v>
      </c>
      <c r="GX23" s="387">
        <f t="shared" si="34"/>
        <v>11.746941176470589</v>
      </c>
      <c r="GY23" s="387">
        <f t="shared" si="34"/>
        <v>7.9139772727272719</v>
      </c>
      <c r="GZ23" s="988">
        <f t="shared" si="34"/>
        <v>20.292375</v>
      </c>
      <c r="HB23" s="386">
        <f t="shared" ref="HB23:HM23" si="35">IF(HB$8=0,0,HB22/HB$8)</f>
        <v>0</v>
      </c>
      <c r="HC23" s="386">
        <f t="shared" si="35"/>
        <v>0</v>
      </c>
      <c r="HD23" s="386">
        <f t="shared" si="35"/>
        <v>0</v>
      </c>
      <c r="HE23" s="386">
        <f t="shared" si="35"/>
        <v>0</v>
      </c>
      <c r="HF23" s="386">
        <f t="shared" si="35"/>
        <v>0</v>
      </c>
      <c r="HG23" s="386">
        <f t="shared" si="35"/>
        <v>0</v>
      </c>
      <c r="HH23" s="386">
        <f t="shared" si="35"/>
        <v>0</v>
      </c>
      <c r="HI23" s="386">
        <f t="shared" si="35"/>
        <v>0</v>
      </c>
      <c r="HJ23" s="386">
        <f t="shared" si="35"/>
        <v>0</v>
      </c>
      <c r="HK23" s="386">
        <f t="shared" si="35"/>
        <v>0</v>
      </c>
      <c r="HL23" s="386">
        <f t="shared" si="35"/>
        <v>0</v>
      </c>
      <c r="HM23" s="987">
        <f t="shared" si="35"/>
        <v>0</v>
      </c>
    </row>
    <row r="24" spans="1:221">
      <c r="A24" s="326" t="s">
        <v>900</v>
      </c>
      <c r="B24" s="326" t="s">
        <v>901</v>
      </c>
      <c r="C24" s="326" t="s">
        <v>3808</v>
      </c>
      <c r="D24" s="1036" t="s">
        <v>2154</v>
      </c>
      <c r="E24" s="387" t="s">
        <v>2154</v>
      </c>
      <c r="F24" s="387" t="s">
        <v>2154</v>
      </c>
      <c r="G24" s="387" t="s">
        <v>2154</v>
      </c>
      <c r="H24" s="387" t="s">
        <v>2154</v>
      </c>
      <c r="I24" s="387" t="s">
        <v>2154</v>
      </c>
      <c r="J24" s="387" t="s">
        <v>2154</v>
      </c>
      <c r="K24" s="387" t="s">
        <v>2154</v>
      </c>
      <c r="L24" s="387" t="s">
        <v>2154</v>
      </c>
      <c r="M24" s="387" t="s">
        <v>2154</v>
      </c>
      <c r="N24" s="387" t="s">
        <v>2154</v>
      </c>
      <c r="O24" s="988" t="s">
        <v>2154</v>
      </c>
      <c r="P24" s="387" t="s">
        <v>2154</v>
      </c>
      <c r="Q24" s="387" t="s">
        <v>2154</v>
      </c>
      <c r="R24" s="387" t="s">
        <v>2154</v>
      </c>
      <c r="S24" s="387" t="s">
        <v>2154</v>
      </c>
      <c r="T24" s="387" t="s">
        <v>2154</v>
      </c>
      <c r="U24" s="387" t="s">
        <v>2154</v>
      </c>
      <c r="V24" s="387" t="s">
        <v>2154</v>
      </c>
      <c r="W24" s="387" t="s">
        <v>2154</v>
      </c>
      <c r="X24" s="387" t="s">
        <v>2154</v>
      </c>
      <c r="Y24" s="387" t="s">
        <v>2154</v>
      </c>
      <c r="Z24" s="387" t="s">
        <v>2154</v>
      </c>
      <c r="AA24" s="988" t="s">
        <v>2154</v>
      </c>
      <c r="AB24" s="387"/>
      <c r="AC24" s="387"/>
      <c r="AD24" s="387"/>
      <c r="AE24" s="387"/>
      <c r="AF24" s="387"/>
      <c r="AG24" s="387"/>
      <c r="AH24" s="387"/>
      <c r="AI24" s="387"/>
      <c r="AJ24" s="387"/>
      <c r="AK24" s="387"/>
      <c r="AL24" s="387"/>
      <c r="AM24" s="988"/>
      <c r="AN24" s="387"/>
      <c r="AO24" s="387"/>
      <c r="AP24" s="387"/>
      <c r="AQ24" s="387"/>
      <c r="AR24" s="387"/>
      <c r="AS24" s="387"/>
      <c r="AT24" s="387"/>
      <c r="AU24" s="387"/>
      <c r="AV24" s="387"/>
      <c r="AW24" s="387"/>
      <c r="AX24" s="387"/>
      <c r="AY24" s="988"/>
      <c r="AZ24" s="387"/>
      <c r="BA24" s="387"/>
      <c r="BB24" s="387"/>
      <c r="BC24" s="387"/>
      <c r="BD24" s="387"/>
      <c r="BE24" s="387"/>
      <c r="BF24" s="387"/>
      <c r="BG24" s="387"/>
      <c r="BH24" s="387"/>
      <c r="BI24" s="387"/>
      <c r="BJ24" s="387"/>
      <c r="BK24" s="988"/>
      <c r="BL24" s="387"/>
      <c r="BM24" s="387"/>
      <c r="BN24" s="387"/>
      <c r="BO24" s="387"/>
      <c r="BP24" s="387"/>
      <c r="BQ24" s="387"/>
      <c r="BR24" s="387"/>
      <c r="BS24" s="387"/>
      <c r="BT24" s="387"/>
      <c r="BU24" s="387"/>
      <c r="BV24" s="387"/>
      <c r="BW24" s="988"/>
      <c r="BX24" s="387"/>
      <c r="BY24" s="387"/>
      <c r="BZ24" s="387"/>
      <c r="CA24" s="387"/>
      <c r="CB24" s="387"/>
      <c r="CC24" s="387"/>
      <c r="CD24" s="387"/>
      <c r="CE24" s="387"/>
      <c r="CF24" s="387"/>
      <c r="CG24" s="387"/>
      <c r="CH24" s="387"/>
      <c r="CI24" s="988"/>
      <c r="CJ24" s="387"/>
      <c r="CK24" s="387"/>
      <c r="CL24" s="387"/>
      <c r="CM24" s="387"/>
      <c r="CN24" s="387"/>
      <c r="CO24" s="387"/>
      <c r="CP24" s="387"/>
      <c r="CQ24" s="387"/>
      <c r="CR24" s="387"/>
      <c r="CS24" s="387"/>
      <c r="CT24" s="387"/>
      <c r="CU24" s="988"/>
      <c r="CV24" s="387"/>
      <c r="CW24" s="387"/>
      <c r="CX24" s="387"/>
      <c r="CY24" s="387"/>
      <c r="CZ24" s="387"/>
      <c r="DA24" s="387"/>
      <c r="DB24" s="387"/>
      <c r="DC24" s="387"/>
      <c r="DD24" s="387"/>
      <c r="DE24" s="387"/>
      <c r="DF24" s="387"/>
      <c r="DG24" s="988"/>
      <c r="DH24" s="387"/>
      <c r="DI24" s="387"/>
      <c r="DJ24" s="387"/>
      <c r="DK24" s="387"/>
      <c r="DL24" s="387"/>
      <c r="DM24" s="387"/>
      <c r="DN24" s="387"/>
      <c r="DO24" s="387"/>
      <c r="DP24" s="387"/>
      <c r="DQ24" s="387"/>
      <c r="DR24" s="387"/>
      <c r="DS24" s="988"/>
      <c r="DT24" s="387" t="s">
        <v>2154</v>
      </c>
      <c r="DU24" s="387" t="s">
        <v>2154</v>
      </c>
      <c r="DV24" s="387" t="s">
        <v>2154</v>
      </c>
      <c r="DW24" s="387" t="s">
        <v>2154</v>
      </c>
      <c r="DX24" s="387" t="s">
        <v>2154</v>
      </c>
      <c r="DY24" s="387" t="s">
        <v>2154</v>
      </c>
      <c r="DZ24" s="387" t="s">
        <v>2154</v>
      </c>
      <c r="EA24" s="387" t="s">
        <v>2154</v>
      </c>
      <c r="EB24" s="387" t="s">
        <v>2154</v>
      </c>
      <c r="EC24" s="387" t="s">
        <v>2154</v>
      </c>
      <c r="ED24" s="387" t="s">
        <v>2154</v>
      </c>
      <c r="EE24" s="988" t="s">
        <v>2154</v>
      </c>
      <c r="EF24" s="387"/>
      <c r="EG24" s="387"/>
      <c r="EH24" s="387"/>
      <c r="EI24" s="387"/>
      <c r="EJ24" s="387"/>
      <c r="EK24" s="387"/>
      <c r="EL24" s="387"/>
      <c r="EM24" s="387"/>
      <c r="EN24" s="387"/>
      <c r="EO24" s="387"/>
      <c r="EP24" s="387"/>
      <c r="EQ24" s="988"/>
      <c r="ER24" s="387"/>
      <c r="ES24" s="387"/>
      <c r="ET24" s="387"/>
      <c r="EU24" s="387"/>
      <c r="EV24" s="387"/>
      <c r="EW24" s="387"/>
      <c r="EX24" s="387"/>
      <c r="EY24" s="387"/>
      <c r="EZ24" s="387"/>
      <c r="FA24" s="387"/>
      <c r="FB24" s="387"/>
      <c r="FC24" s="988"/>
      <c r="FD24" s="387"/>
      <c r="FE24" s="387"/>
      <c r="FF24" s="387"/>
      <c r="FG24" s="387"/>
      <c r="FH24" s="387"/>
      <c r="FI24" s="387"/>
      <c r="FJ24" s="387"/>
      <c r="FK24" s="387"/>
      <c r="FL24" s="387"/>
      <c r="FM24" s="387"/>
      <c r="FN24" s="387"/>
      <c r="FO24" s="988"/>
      <c r="FP24" s="387"/>
      <c r="FQ24" s="387"/>
      <c r="FR24" s="387"/>
      <c r="FS24" s="387"/>
      <c r="FT24" s="387"/>
      <c r="FU24" s="387"/>
      <c r="FV24" s="387"/>
      <c r="FW24" s="387"/>
      <c r="FX24" s="387"/>
      <c r="FY24" s="387"/>
      <c r="FZ24" s="387"/>
      <c r="GA24" s="988"/>
      <c r="GB24" s="109"/>
      <c r="GC24" s="2201">
        <f t="shared" ref="GC24:GN27" si="36">SUMPRODUCT(--($D$6:$DS$6=GC$6),$D24:$DS24,$D$278:$DS$278)</f>
        <v>0</v>
      </c>
      <c r="GD24" s="2202">
        <f t="shared" si="36"/>
        <v>0</v>
      </c>
      <c r="GE24" s="2202">
        <f t="shared" si="36"/>
        <v>0</v>
      </c>
      <c r="GF24" s="2202">
        <f t="shared" si="36"/>
        <v>0</v>
      </c>
      <c r="GG24" s="2202">
        <f t="shared" si="36"/>
        <v>0</v>
      </c>
      <c r="GH24" s="2202">
        <f t="shared" si="36"/>
        <v>0</v>
      </c>
      <c r="GI24" s="2202">
        <f t="shared" si="36"/>
        <v>0</v>
      </c>
      <c r="GJ24" s="2202">
        <f t="shared" si="36"/>
        <v>0</v>
      </c>
      <c r="GK24" s="2202">
        <f t="shared" si="36"/>
        <v>0</v>
      </c>
      <c r="GL24" s="2202">
        <f t="shared" si="36"/>
        <v>0</v>
      </c>
      <c r="GM24" s="2202">
        <f t="shared" si="36"/>
        <v>0</v>
      </c>
      <c r="GN24" s="2203">
        <f t="shared" si="36"/>
        <v>0</v>
      </c>
      <c r="GO24" s="1036">
        <f t="shared" ref="GO24:GZ27" si="37">SUMPRODUCT(--($DT$6:$GA$6=GO$6),$DT24:$GA24,$DT$278:$GA$278)</f>
        <v>0</v>
      </c>
      <c r="GP24" s="387">
        <f t="shared" si="37"/>
        <v>0</v>
      </c>
      <c r="GQ24" s="387">
        <f t="shared" si="37"/>
        <v>0</v>
      </c>
      <c r="GR24" s="387">
        <f t="shared" si="37"/>
        <v>0</v>
      </c>
      <c r="GS24" s="387">
        <f t="shared" si="37"/>
        <v>0</v>
      </c>
      <c r="GT24" s="387">
        <f t="shared" si="37"/>
        <v>0</v>
      </c>
      <c r="GU24" s="387">
        <f t="shared" si="37"/>
        <v>0</v>
      </c>
      <c r="GV24" s="387">
        <f t="shared" si="37"/>
        <v>0</v>
      </c>
      <c r="GW24" s="387">
        <f t="shared" si="37"/>
        <v>0</v>
      </c>
      <c r="GX24" s="387">
        <f t="shared" si="37"/>
        <v>0</v>
      </c>
      <c r="GY24" s="387">
        <f t="shared" si="37"/>
        <v>0</v>
      </c>
      <c r="GZ24" s="988">
        <f t="shared" si="37"/>
        <v>0</v>
      </c>
      <c r="HB24" s="387"/>
      <c r="HC24" s="387"/>
      <c r="HD24" s="387"/>
      <c r="HE24" s="387"/>
      <c r="HF24" s="387"/>
      <c r="HG24" s="387"/>
      <c r="HH24" s="387"/>
      <c r="HI24" s="387"/>
      <c r="HJ24" s="387"/>
      <c r="HK24" s="387"/>
      <c r="HL24" s="387"/>
      <c r="HM24" s="988"/>
    </row>
    <row r="25" spans="1:221">
      <c r="A25" s="326" t="s">
        <v>900</v>
      </c>
      <c r="B25" s="326" t="s">
        <v>901</v>
      </c>
      <c r="C25" s="326" t="s">
        <v>3679</v>
      </c>
      <c r="D25" s="1036" t="s">
        <v>2154</v>
      </c>
      <c r="E25" s="387" t="s">
        <v>2154</v>
      </c>
      <c r="F25" s="387">
        <v>1005.02</v>
      </c>
      <c r="G25" s="387" t="s">
        <v>2154</v>
      </c>
      <c r="H25" s="387" t="s">
        <v>2154</v>
      </c>
      <c r="I25" s="387" t="s">
        <v>2154</v>
      </c>
      <c r="J25" s="387">
        <v>57.36</v>
      </c>
      <c r="K25" s="387" t="s">
        <v>2154</v>
      </c>
      <c r="L25" s="387" t="s">
        <v>2154</v>
      </c>
      <c r="M25" s="387" t="s">
        <v>2154</v>
      </c>
      <c r="N25" s="387" t="s">
        <v>2154</v>
      </c>
      <c r="O25" s="988" t="s">
        <v>2154</v>
      </c>
      <c r="P25" s="387" t="s">
        <v>2154</v>
      </c>
      <c r="Q25" s="387" t="s">
        <v>2154</v>
      </c>
      <c r="R25" s="387">
        <v>16.2</v>
      </c>
      <c r="S25" s="387" t="s">
        <v>2154</v>
      </c>
      <c r="T25" s="387" t="s">
        <v>2154</v>
      </c>
      <c r="U25" s="387" t="s">
        <v>2154</v>
      </c>
      <c r="V25" s="387">
        <v>18.170000000000002</v>
      </c>
      <c r="W25" s="387" t="s">
        <v>2154</v>
      </c>
      <c r="X25" s="387" t="s">
        <v>2154</v>
      </c>
      <c r="Y25" s="387" t="s">
        <v>2154</v>
      </c>
      <c r="Z25" s="387" t="s">
        <v>2154</v>
      </c>
      <c r="AA25" s="988" t="s">
        <v>2154</v>
      </c>
      <c r="AB25" s="387"/>
      <c r="AC25" s="387"/>
      <c r="AD25" s="387"/>
      <c r="AE25" s="387"/>
      <c r="AF25" s="386"/>
      <c r="AG25" s="387"/>
      <c r="AH25" s="387"/>
      <c r="AI25" s="386"/>
      <c r="AJ25" s="386"/>
      <c r="AK25" s="387"/>
      <c r="AL25" s="387"/>
      <c r="AM25" s="988"/>
      <c r="AN25" s="387"/>
      <c r="AO25" s="387"/>
      <c r="AP25" s="387"/>
      <c r="AQ25" s="387"/>
      <c r="AR25" s="386"/>
      <c r="AS25" s="387"/>
      <c r="AT25" s="387"/>
      <c r="AU25" s="386"/>
      <c r="AV25" s="387"/>
      <c r="AW25" s="387"/>
      <c r="AX25" s="387"/>
      <c r="AY25" s="988"/>
      <c r="AZ25" s="387"/>
      <c r="BA25" s="387"/>
      <c r="BB25" s="387"/>
      <c r="BC25" s="387"/>
      <c r="BD25" s="386"/>
      <c r="BE25" s="387"/>
      <c r="BF25" s="387"/>
      <c r="BG25" s="386"/>
      <c r="BH25" s="387"/>
      <c r="BI25" s="387"/>
      <c r="BJ25" s="387"/>
      <c r="BK25" s="988"/>
      <c r="BL25" s="387"/>
      <c r="BM25" s="387"/>
      <c r="BN25" s="387"/>
      <c r="BO25" s="387"/>
      <c r="BP25" s="386"/>
      <c r="BQ25" s="387"/>
      <c r="BR25" s="387"/>
      <c r="BS25" s="386"/>
      <c r="BT25" s="387"/>
      <c r="BU25" s="387"/>
      <c r="BV25" s="387"/>
      <c r="BW25" s="988"/>
      <c r="BX25" s="387"/>
      <c r="BY25" s="387"/>
      <c r="BZ25" s="387"/>
      <c r="CA25" s="387"/>
      <c r="CB25" s="386"/>
      <c r="CC25" s="387"/>
      <c r="CD25" s="387"/>
      <c r="CE25" s="386"/>
      <c r="CF25" s="386"/>
      <c r="CG25" s="387"/>
      <c r="CH25" s="387"/>
      <c r="CI25" s="988"/>
      <c r="CJ25" s="387"/>
      <c r="CK25" s="387"/>
      <c r="CL25" s="387"/>
      <c r="CM25" s="387"/>
      <c r="CN25" s="387"/>
      <c r="CO25" s="387"/>
      <c r="CP25" s="387"/>
      <c r="CQ25" s="386"/>
      <c r="CR25" s="387"/>
      <c r="CS25" s="387"/>
      <c r="CT25" s="387"/>
      <c r="CU25" s="988"/>
      <c r="CV25" s="387"/>
      <c r="CW25" s="387"/>
      <c r="CX25" s="387"/>
      <c r="CY25" s="387"/>
      <c r="CZ25" s="386"/>
      <c r="DA25" s="387"/>
      <c r="DB25" s="387"/>
      <c r="DC25" s="386"/>
      <c r="DD25" s="387"/>
      <c r="DE25" s="387"/>
      <c r="DF25" s="387"/>
      <c r="DG25" s="988"/>
      <c r="DH25" s="387"/>
      <c r="DI25" s="387"/>
      <c r="DJ25" s="387"/>
      <c r="DK25" s="387"/>
      <c r="DL25" s="386"/>
      <c r="DM25" s="387"/>
      <c r="DN25" s="387"/>
      <c r="DO25" s="386"/>
      <c r="DP25" s="386"/>
      <c r="DQ25" s="387"/>
      <c r="DR25" s="387"/>
      <c r="DS25" s="988"/>
      <c r="DT25" s="387" t="s">
        <v>2154</v>
      </c>
      <c r="DU25" s="387" t="s">
        <v>2154</v>
      </c>
      <c r="DV25" s="387" t="s">
        <v>2154</v>
      </c>
      <c r="DW25" s="387" t="s">
        <v>2154</v>
      </c>
      <c r="DX25" s="387" t="s">
        <v>2154</v>
      </c>
      <c r="DY25" s="387">
        <v>1056.19</v>
      </c>
      <c r="DZ25" s="387">
        <v>7.49</v>
      </c>
      <c r="EA25" s="387" t="s">
        <v>2154</v>
      </c>
      <c r="EB25" s="387" t="s">
        <v>2154</v>
      </c>
      <c r="EC25" s="387" t="s">
        <v>2154</v>
      </c>
      <c r="ED25" s="387" t="s">
        <v>2154</v>
      </c>
      <c r="EE25" s="988" t="s">
        <v>2154</v>
      </c>
      <c r="EF25" s="387"/>
      <c r="EG25" s="387"/>
      <c r="EH25" s="387"/>
      <c r="EI25" s="387"/>
      <c r="EJ25" s="387"/>
      <c r="EK25" s="387"/>
      <c r="EL25" s="387"/>
      <c r="EM25" s="387"/>
      <c r="EN25" s="387"/>
      <c r="EO25" s="387"/>
      <c r="EP25" s="387"/>
      <c r="EQ25" s="988"/>
      <c r="ER25" s="387"/>
      <c r="ES25" s="387"/>
      <c r="ET25" s="387"/>
      <c r="EU25" s="387"/>
      <c r="EV25" s="386"/>
      <c r="EW25" s="387"/>
      <c r="EX25" s="387"/>
      <c r="EY25" s="386"/>
      <c r="EZ25" s="386"/>
      <c r="FA25" s="387"/>
      <c r="FB25" s="387"/>
      <c r="FC25" s="988"/>
      <c r="FD25" s="387"/>
      <c r="FE25" s="387"/>
      <c r="FF25" s="387"/>
      <c r="FG25" s="387"/>
      <c r="FH25" s="386"/>
      <c r="FI25" s="387"/>
      <c r="FJ25" s="387"/>
      <c r="FK25" s="386"/>
      <c r="FL25" s="386"/>
      <c r="FM25" s="387"/>
      <c r="FN25" s="387"/>
      <c r="FO25" s="988"/>
      <c r="FP25" s="387"/>
      <c r="FQ25" s="387"/>
      <c r="FR25" s="387"/>
      <c r="FS25" s="387"/>
      <c r="FT25" s="386"/>
      <c r="FU25" s="387"/>
      <c r="FV25" s="387"/>
      <c r="FW25" s="386"/>
      <c r="FX25" s="386"/>
      <c r="FY25" s="387"/>
      <c r="FZ25" s="387"/>
      <c r="GA25" s="988"/>
      <c r="GB25" s="109"/>
      <c r="GC25" s="2201">
        <f t="shared" si="36"/>
        <v>0</v>
      </c>
      <c r="GD25" s="2202">
        <f t="shared" si="36"/>
        <v>0</v>
      </c>
      <c r="GE25" s="2202">
        <f t="shared" si="36"/>
        <v>1021.22</v>
      </c>
      <c r="GF25" s="2202">
        <f t="shared" si="36"/>
        <v>0</v>
      </c>
      <c r="GG25" s="2202">
        <f t="shared" si="36"/>
        <v>0</v>
      </c>
      <c r="GH25" s="2202">
        <f t="shared" si="36"/>
        <v>0</v>
      </c>
      <c r="GI25" s="2202">
        <f t="shared" si="36"/>
        <v>75.53</v>
      </c>
      <c r="GJ25" s="2202">
        <f t="shared" si="36"/>
        <v>0</v>
      </c>
      <c r="GK25" s="2202">
        <f t="shared" si="36"/>
        <v>0</v>
      </c>
      <c r="GL25" s="2202">
        <f t="shared" si="36"/>
        <v>0</v>
      </c>
      <c r="GM25" s="2202">
        <f t="shared" si="36"/>
        <v>0</v>
      </c>
      <c r="GN25" s="2203">
        <f t="shared" si="36"/>
        <v>0</v>
      </c>
      <c r="GO25" s="1435">
        <f t="shared" si="37"/>
        <v>0</v>
      </c>
      <c r="GP25" s="1442">
        <f t="shared" si="37"/>
        <v>0</v>
      </c>
      <c r="GQ25" s="1442">
        <f t="shared" si="37"/>
        <v>0</v>
      </c>
      <c r="GR25" s="1442">
        <f t="shared" si="37"/>
        <v>0</v>
      </c>
      <c r="GS25" s="1442">
        <f t="shared" si="37"/>
        <v>0</v>
      </c>
      <c r="GT25" s="1442">
        <f t="shared" si="37"/>
        <v>1056.19</v>
      </c>
      <c r="GU25" s="1442">
        <f t="shared" si="37"/>
        <v>7.49</v>
      </c>
      <c r="GV25" s="1442">
        <f t="shared" si="37"/>
        <v>0</v>
      </c>
      <c r="GW25" s="1442">
        <f t="shared" si="37"/>
        <v>0</v>
      </c>
      <c r="GX25" s="1442">
        <f t="shared" si="37"/>
        <v>0</v>
      </c>
      <c r="GY25" s="1442">
        <f t="shared" si="37"/>
        <v>0</v>
      </c>
      <c r="GZ25" s="1443">
        <f t="shared" si="37"/>
        <v>0</v>
      </c>
      <c r="HB25" s="387"/>
      <c r="HC25" s="387"/>
      <c r="HD25" s="387"/>
      <c r="HE25" s="387"/>
      <c r="HF25" s="386"/>
      <c r="HG25" s="387"/>
      <c r="HH25" s="387"/>
      <c r="HI25" s="386"/>
      <c r="HJ25" s="386"/>
      <c r="HK25" s="387"/>
      <c r="HL25" s="386"/>
      <c r="HM25" s="988"/>
    </row>
    <row r="26" spans="1:221">
      <c r="A26" s="326" t="s">
        <v>900</v>
      </c>
      <c r="B26" s="326" t="s">
        <v>901</v>
      </c>
      <c r="C26" s="326" t="s">
        <v>3680</v>
      </c>
      <c r="D26" s="1036">
        <v>-5452.0599999999995</v>
      </c>
      <c r="E26" s="387">
        <v>1451.52</v>
      </c>
      <c r="F26" s="387">
        <v>1537.2800000000002</v>
      </c>
      <c r="G26" s="387">
        <v>1356.8</v>
      </c>
      <c r="H26" s="387">
        <v>1481.07</v>
      </c>
      <c r="I26" s="387">
        <v>1514.13</v>
      </c>
      <c r="J26" s="387">
        <v>1536</v>
      </c>
      <c r="K26" s="387">
        <v>1438.6100000000001</v>
      </c>
      <c r="L26" s="387">
        <v>1498.22</v>
      </c>
      <c r="M26" s="387">
        <v>1418.85</v>
      </c>
      <c r="N26" s="387">
        <v>1403.8899999999999</v>
      </c>
      <c r="O26" s="988">
        <v>1435.3500000000001</v>
      </c>
      <c r="P26" s="386">
        <v>-2104.31</v>
      </c>
      <c r="Q26" s="386">
        <v>265.64</v>
      </c>
      <c r="R26" s="386">
        <v>235.10000000000002</v>
      </c>
      <c r="S26" s="386">
        <v>210.41000000000003</v>
      </c>
      <c r="T26" s="386">
        <v>249.1</v>
      </c>
      <c r="U26" s="386">
        <v>268.26</v>
      </c>
      <c r="V26" s="386">
        <v>269.47000000000003</v>
      </c>
      <c r="W26" s="386">
        <v>268.26</v>
      </c>
      <c r="X26" s="386">
        <v>276.82</v>
      </c>
      <c r="Y26" s="386">
        <v>305.3</v>
      </c>
      <c r="Z26" s="386">
        <v>279.14</v>
      </c>
      <c r="AA26" s="987">
        <v>296.86</v>
      </c>
      <c r="AB26" s="386"/>
      <c r="AC26" s="386"/>
      <c r="AD26" s="386"/>
      <c r="AE26" s="386"/>
      <c r="AF26" s="386"/>
      <c r="AG26" s="386"/>
      <c r="AH26" s="386"/>
      <c r="AI26" s="386"/>
      <c r="AJ26" s="386"/>
      <c r="AK26" s="386"/>
      <c r="AL26" s="386"/>
      <c r="AM26" s="987"/>
      <c r="AN26" s="386"/>
      <c r="AO26" s="386"/>
      <c r="AP26" s="386"/>
      <c r="AQ26" s="386"/>
      <c r="AR26" s="386"/>
      <c r="AS26" s="386"/>
      <c r="AT26" s="386"/>
      <c r="AU26" s="386"/>
      <c r="AV26" s="386"/>
      <c r="AW26" s="386"/>
      <c r="AX26" s="386"/>
      <c r="AY26" s="987"/>
      <c r="AZ26" s="386"/>
      <c r="BA26" s="386"/>
      <c r="BB26" s="386"/>
      <c r="BC26" s="386"/>
      <c r="BD26" s="386"/>
      <c r="BE26" s="386"/>
      <c r="BF26" s="386"/>
      <c r="BG26" s="386"/>
      <c r="BH26" s="386"/>
      <c r="BI26" s="386"/>
      <c r="BJ26" s="386"/>
      <c r="BK26" s="987"/>
      <c r="BL26" s="386"/>
      <c r="BM26" s="386"/>
      <c r="BN26" s="386"/>
      <c r="BO26" s="386"/>
      <c r="BP26" s="386"/>
      <c r="BQ26" s="386"/>
      <c r="BR26" s="386"/>
      <c r="BS26" s="386"/>
      <c r="BT26" s="386"/>
      <c r="BU26" s="386"/>
      <c r="BV26" s="386"/>
      <c r="BW26" s="987"/>
      <c r="BX26" s="386"/>
      <c r="BY26" s="386"/>
      <c r="BZ26" s="386"/>
      <c r="CA26" s="386"/>
      <c r="CB26" s="386"/>
      <c r="CC26" s="386"/>
      <c r="CD26" s="386"/>
      <c r="CE26" s="386"/>
      <c r="CF26" s="386"/>
      <c r="CG26" s="386"/>
      <c r="CH26" s="386"/>
      <c r="CI26" s="987"/>
      <c r="CJ26" s="386"/>
      <c r="CK26" s="386"/>
      <c r="CL26" s="386"/>
      <c r="CM26" s="386"/>
      <c r="CN26" s="386"/>
      <c r="CO26" s="386"/>
      <c r="CP26" s="386"/>
      <c r="CQ26" s="386"/>
      <c r="CR26" s="386"/>
      <c r="CS26" s="386"/>
      <c r="CT26" s="386"/>
      <c r="CU26" s="987"/>
      <c r="CV26" s="386"/>
      <c r="CW26" s="386"/>
      <c r="CX26" s="386"/>
      <c r="CY26" s="386"/>
      <c r="CZ26" s="386"/>
      <c r="DA26" s="386"/>
      <c r="DB26" s="386"/>
      <c r="DC26" s="386"/>
      <c r="DD26" s="386"/>
      <c r="DE26" s="386"/>
      <c r="DF26" s="386"/>
      <c r="DG26" s="987"/>
      <c r="DH26" s="386"/>
      <c r="DI26" s="386"/>
      <c r="DJ26" s="386"/>
      <c r="DK26" s="386"/>
      <c r="DL26" s="386"/>
      <c r="DM26" s="386"/>
      <c r="DN26" s="386"/>
      <c r="DO26" s="386"/>
      <c r="DP26" s="386"/>
      <c r="DQ26" s="386"/>
      <c r="DR26" s="386"/>
      <c r="DS26" s="987"/>
      <c r="DT26" s="386">
        <v>-210.97000000000003</v>
      </c>
      <c r="DU26" s="386">
        <v>161.84</v>
      </c>
      <c r="DV26" s="386">
        <v>169.75</v>
      </c>
      <c r="DW26" s="386">
        <v>146.74</v>
      </c>
      <c r="DX26" s="386">
        <v>137.85999999999999</v>
      </c>
      <c r="DY26" s="386">
        <v>120.64</v>
      </c>
      <c r="DZ26" s="386">
        <v>130.34</v>
      </c>
      <c r="EA26" s="386">
        <v>107.36999999999999</v>
      </c>
      <c r="EB26" s="386">
        <v>133.10999999999999</v>
      </c>
      <c r="EC26" s="386">
        <v>118.92999999999999</v>
      </c>
      <c r="ED26" s="386">
        <v>122.62</v>
      </c>
      <c r="EE26" s="987">
        <v>123.32</v>
      </c>
      <c r="EF26" s="386"/>
      <c r="EG26" s="386"/>
      <c r="EH26" s="386"/>
      <c r="EI26" s="386"/>
      <c r="EJ26" s="386"/>
      <c r="EK26" s="386"/>
      <c r="EL26" s="386"/>
      <c r="EM26" s="386"/>
      <c r="EN26" s="386"/>
      <c r="EO26" s="386"/>
      <c r="EP26" s="386"/>
      <c r="EQ26" s="987"/>
      <c r="ER26" s="386"/>
      <c r="ES26" s="386"/>
      <c r="ET26" s="386"/>
      <c r="EU26" s="386"/>
      <c r="EV26" s="386"/>
      <c r="EW26" s="386"/>
      <c r="EX26" s="386"/>
      <c r="EY26" s="386"/>
      <c r="EZ26" s="386"/>
      <c r="FA26" s="386"/>
      <c r="FB26" s="386"/>
      <c r="FC26" s="987"/>
      <c r="FD26" s="386"/>
      <c r="FE26" s="386"/>
      <c r="FF26" s="386"/>
      <c r="FG26" s="386"/>
      <c r="FH26" s="386"/>
      <c r="FI26" s="386"/>
      <c r="FJ26" s="386"/>
      <c r="FK26" s="386"/>
      <c r="FL26" s="386"/>
      <c r="FM26" s="386"/>
      <c r="FN26" s="386"/>
      <c r="FO26" s="987"/>
      <c r="FP26" s="386"/>
      <c r="FQ26" s="386"/>
      <c r="FR26" s="386"/>
      <c r="FS26" s="386"/>
      <c r="FT26" s="386"/>
      <c r="FU26" s="386"/>
      <c r="FV26" s="386"/>
      <c r="FW26" s="386"/>
      <c r="FX26" s="386"/>
      <c r="FY26" s="386"/>
      <c r="FZ26" s="386"/>
      <c r="GA26" s="987"/>
      <c r="GB26" s="109"/>
      <c r="GC26" s="2201">
        <f t="shared" si="36"/>
        <v>-7556.369999999999</v>
      </c>
      <c r="GD26" s="2202">
        <f t="shared" si="36"/>
        <v>1717.1599999999999</v>
      </c>
      <c r="GE26" s="2202">
        <f t="shared" si="36"/>
        <v>1772.38</v>
      </c>
      <c r="GF26" s="2202">
        <f t="shared" si="36"/>
        <v>1567.21</v>
      </c>
      <c r="GG26" s="2202">
        <f t="shared" si="36"/>
        <v>1730.1699999999998</v>
      </c>
      <c r="GH26" s="2202">
        <f t="shared" si="36"/>
        <v>1782.39</v>
      </c>
      <c r="GI26" s="2202">
        <f t="shared" si="36"/>
        <v>1805.47</v>
      </c>
      <c r="GJ26" s="2202">
        <f t="shared" si="36"/>
        <v>1706.8700000000001</v>
      </c>
      <c r="GK26" s="2202">
        <f t="shared" si="36"/>
        <v>1775.04</v>
      </c>
      <c r="GL26" s="2202">
        <f t="shared" si="36"/>
        <v>1724.1499999999999</v>
      </c>
      <c r="GM26" s="2202">
        <f t="shared" si="36"/>
        <v>1683.0299999999997</v>
      </c>
      <c r="GN26" s="2203">
        <f t="shared" si="36"/>
        <v>1732.21</v>
      </c>
      <c r="GO26" s="1036">
        <f t="shared" si="37"/>
        <v>-210.97000000000003</v>
      </c>
      <c r="GP26" s="387">
        <f t="shared" si="37"/>
        <v>161.84</v>
      </c>
      <c r="GQ26" s="387">
        <f t="shared" si="37"/>
        <v>169.75</v>
      </c>
      <c r="GR26" s="387">
        <f t="shared" si="37"/>
        <v>146.74</v>
      </c>
      <c r="GS26" s="387">
        <f t="shared" si="37"/>
        <v>137.85999999999999</v>
      </c>
      <c r="GT26" s="387">
        <f t="shared" si="37"/>
        <v>120.64</v>
      </c>
      <c r="GU26" s="387">
        <f t="shared" si="37"/>
        <v>130.34</v>
      </c>
      <c r="GV26" s="387">
        <f t="shared" si="37"/>
        <v>107.36999999999999</v>
      </c>
      <c r="GW26" s="387">
        <f t="shared" si="37"/>
        <v>133.10999999999999</v>
      </c>
      <c r="GX26" s="387">
        <f t="shared" si="37"/>
        <v>118.92999999999999</v>
      </c>
      <c r="GY26" s="387">
        <f t="shared" si="37"/>
        <v>122.62</v>
      </c>
      <c r="GZ26" s="988">
        <f t="shared" si="37"/>
        <v>123.32</v>
      </c>
      <c r="HB26" s="386"/>
      <c r="HC26" s="386"/>
      <c r="HD26" s="386"/>
      <c r="HE26" s="386"/>
      <c r="HF26" s="386"/>
      <c r="HG26" s="386"/>
      <c r="HH26" s="386"/>
      <c r="HI26" s="386"/>
      <c r="HJ26" s="386"/>
      <c r="HK26" s="386"/>
      <c r="HL26" s="386"/>
      <c r="HM26" s="987"/>
    </row>
    <row r="27" spans="1:221">
      <c r="A27" s="326" t="s">
        <v>900</v>
      </c>
      <c r="B27" s="326" t="s">
        <v>901</v>
      </c>
      <c r="C27" s="326" t="s">
        <v>4140</v>
      </c>
      <c r="D27" s="1036" t="s">
        <v>2154</v>
      </c>
      <c r="E27" s="387" t="s">
        <v>2154</v>
      </c>
      <c r="F27" s="387" t="s">
        <v>2154</v>
      </c>
      <c r="G27" s="387" t="s">
        <v>2154</v>
      </c>
      <c r="H27" s="387" t="s">
        <v>2154</v>
      </c>
      <c r="I27" s="387" t="s">
        <v>2154</v>
      </c>
      <c r="J27" s="387" t="s">
        <v>2154</v>
      </c>
      <c r="K27" s="387" t="s">
        <v>2154</v>
      </c>
      <c r="L27" s="387" t="s">
        <v>2154</v>
      </c>
      <c r="M27" s="387" t="s">
        <v>2154</v>
      </c>
      <c r="N27" s="387" t="s">
        <v>2154</v>
      </c>
      <c r="O27" s="988" t="s">
        <v>2154</v>
      </c>
      <c r="P27" s="387" t="s">
        <v>2154</v>
      </c>
      <c r="Q27" s="387" t="s">
        <v>2154</v>
      </c>
      <c r="R27" s="387" t="s">
        <v>2154</v>
      </c>
      <c r="S27" s="387" t="s">
        <v>2154</v>
      </c>
      <c r="T27" s="387" t="s">
        <v>2154</v>
      </c>
      <c r="U27" s="387" t="s">
        <v>2154</v>
      </c>
      <c r="V27" s="387" t="s">
        <v>2154</v>
      </c>
      <c r="W27" s="387" t="s">
        <v>2154</v>
      </c>
      <c r="X27" s="387" t="s">
        <v>2154</v>
      </c>
      <c r="Y27" s="387" t="s">
        <v>2154</v>
      </c>
      <c r="Z27" s="387" t="s">
        <v>2154</v>
      </c>
      <c r="AA27" s="988" t="s">
        <v>2154</v>
      </c>
      <c r="AB27" s="386"/>
      <c r="AC27" s="386"/>
      <c r="AD27" s="386"/>
      <c r="AE27" s="386"/>
      <c r="AF27" s="386"/>
      <c r="AG27" s="386"/>
      <c r="AH27" s="386"/>
      <c r="AI27" s="386"/>
      <c r="AJ27" s="386"/>
      <c r="AK27" s="386"/>
      <c r="AL27" s="386"/>
      <c r="AM27" s="987"/>
      <c r="AN27" s="386"/>
      <c r="AO27" s="386"/>
      <c r="AP27" s="386"/>
      <c r="AQ27" s="386"/>
      <c r="AR27" s="386"/>
      <c r="AS27" s="386"/>
      <c r="AT27" s="386"/>
      <c r="AU27" s="386"/>
      <c r="AV27" s="386"/>
      <c r="AW27" s="386"/>
      <c r="AX27" s="386"/>
      <c r="AY27" s="987"/>
      <c r="AZ27" s="386"/>
      <c r="BA27" s="386"/>
      <c r="BB27" s="386"/>
      <c r="BC27" s="386"/>
      <c r="BD27" s="386"/>
      <c r="BE27" s="386"/>
      <c r="BF27" s="386"/>
      <c r="BG27" s="386"/>
      <c r="BH27" s="386"/>
      <c r="BI27" s="386"/>
      <c r="BJ27" s="386"/>
      <c r="BK27" s="987"/>
      <c r="BL27" s="386"/>
      <c r="BM27" s="386"/>
      <c r="BN27" s="386"/>
      <c r="BO27" s="386"/>
      <c r="BP27" s="386"/>
      <c r="BQ27" s="386"/>
      <c r="BR27" s="386"/>
      <c r="BS27" s="386"/>
      <c r="BT27" s="386"/>
      <c r="BU27" s="386"/>
      <c r="BV27" s="386"/>
      <c r="BW27" s="987"/>
      <c r="BX27" s="386"/>
      <c r="BY27" s="386"/>
      <c r="BZ27" s="386"/>
      <c r="CA27" s="386"/>
      <c r="CB27" s="386"/>
      <c r="CC27" s="386"/>
      <c r="CD27" s="386"/>
      <c r="CE27" s="386"/>
      <c r="CF27" s="386"/>
      <c r="CG27" s="386"/>
      <c r="CH27" s="386"/>
      <c r="CI27" s="987"/>
      <c r="CJ27" s="386"/>
      <c r="CK27" s="386"/>
      <c r="CL27" s="386"/>
      <c r="CM27" s="386"/>
      <c r="CN27" s="386"/>
      <c r="CO27" s="386"/>
      <c r="CP27" s="386"/>
      <c r="CQ27" s="386"/>
      <c r="CR27" s="386"/>
      <c r="CS27" s="386"/>
      <c r="CT27" s="386"/>
      <c r="CU27" s="987"/>
      <c r="CV27" s="386"/>
      <c r="CW27" s="386"/>
      <c r="CX27" s="386"/>
      <c r="CY27" s="386"/>
      <c r="CZ27" s="386"/>
      <c r="DA27" s="386"/>
      <c r="DB27" s="386"/>
      <c r="DC27" s="386"/>
      <c r="DD27" s="386"/>
      <c r="DE27" s="386"/>
      <c r="DF27" s="386"/>
      <c r="DG27" s="987"/>
      <c r="DH27" s="386"/>
      <c r="DI27" s="386"/>
      <c r="DJ27" s="386"/>
      <c r="DK27" s="386"/>
      <c r="DL27" s="386"/>
      <c r="DM27" s="386"/>
      <c r="DN27" s="386"/>
      <c r="DO27" s="386"/>
      <c r="DP27" s="386"/>
      <c r="DQ27" s="386"/>
      <c r="DR27" s="386"/>
      <c r="DS27" s="987"/>
      <c r="DT27" s="387" t="s">
        <v>2154</v>
      </c>
      <c r="DU27" s="387" t="s">
        <v>2154</v>
      </c>
      <c r="DV27" s="387" t="s">
        <v>2154</v>
      </c>
      <c r="DW27" s="387" t="s">
        <v>2154</v>
      </c>
      <c r="DX27" s="387" t="s">
        <v>2154</v>
      </c>
      <c r="DY27" s="387" t="s">
        <v>2154</v>
      </c>
      <c r="DZ27" s="387" t="s">
        <v>2154</v>
      </c>
      <c r="EA27" s="387" t="s">
        <v>2154</v>
      </c>
      <c r="EB27" s="387" t="s">
        <v>2154</v>
      </c>
      <c r="EC27" s="387" t="s">
        <v>2154</v>
      </c>
      <c r="ED27" s="387" t="s">
        <v>2154</v>
      </c>
      <c r="EE27" s="988" t="s">
        <v>2154</v>
      </c>
      <c r="EF27" s="386"/>
      <c r="EG27" s="386"/>
      <c r="EH27" s="386"/>
      <c r="EI27" s="386"/>
      <c r="EJ27" s="386"/>
      <c r="EK27" s="386"/>
      <c r="EL27" s="386"/>
      <c r="EM27" s="386"/>
      <c r="EN27" s="386"/>
      <c r="EO27" s="386"/>
      <c r="EP27" s="386"/>
      <c r="EQ27" s="987"/>
      <c r="ER27" s="386"/>
      <c r="ES27" s="386"/>
      <c r="ET27" s="386"/>
      <c r="EU27" s="386"/>
      <c r="EV27" s="386"/>
      <c r="EW27" s="386"/>
      <c r="EX27" s="386"/>
      <c r="EY27" s="386"/>
      <c r="EZ27" s="386"/>
      <c r="FA27" s="386"/>
      <c r="FB27" s="386"/>
      <c r="FC27" s="987"/>
      <c r="FD27" s="386"/>
      <c r="FE27" s="386"/>
      <c r="FF27" s="386"/>
      <c r="FG27" s="386"/>
      <c r="FH27" s="386"/>
      <c r="FI27" s="386"/>
      <c r="FJ27" s="386"/>
      <c r="FK27" s="386"/>
      <c r="FL27" s="386"/>
      <c r="FM27" s="386"/>
      <c r="FN27" s="386"/>
      <c r="FO27" s="987"/>
      <c r="FP27" s="386"/>
      <c r="FQ27" s="386"/>
      <c r="FR27" s="386"/>
      <c r="FS27" s="386"/>
      <c r="FT27" s="386"/>
      <c r="FU27" s="386"/>
      <c r="FV27" s="386"/>
      <c r="FW27" s="386"/>
      <c r="FX27" s="386"/>
      <c r="FY27" s="386"/>
      <c r="FZ27" s="386"/>
      <c r="GA27" s="987"/>
      <c r="GB27" s="109"/>
      <c r="GC27" s="2201">
        <f t="shared" si="36"/>
        <v>0</v>
      </c>
      <c r="GD27" s="2202">
        <f t="shared" si="36"/>
        <v>0</v>
      </c>
      <c r="GE27" s="2202">
        <f t="shared" si="36"/>
        <v>0</v>
      </c>
      <c r="GF27" s="2202">
        <f t="shared" si="36"/>
        <v>0</v>
      </c>
      <c r="GG27" s="2202">
        <f t="shared" si="36"/>
        <v>0</v>
      </c>
      <c r="GH27" s="2202">
        <f t="shared" si="36"/>
        <v>0</v>
      </c>
      <c r="GI27" s="2202">
        <f t="shared" si="36"/>
        <v>0</v>
      </c>
      <c r="GJ27" s="2202">
        <f t="shared" si="36"/>
        <v>0</v>
      </c>
      <c r="GK27" s="2202">
        <f t="shared" si="36"/>
        <v>0</v>
      </c>
      <c r="GL27" s="2202">
        <f t="shared" si="36"/>
        <v>0</v>
      </c>
      <c r="GM27" s="2202">
        <f t="shared" si="36"/>
        <v>0</v>
      </c>
      <c r="GN27" s="2203">
        <f t="shared" si="36"/>
        <v>0</v>
      </c>
      <c r="GO27" s="1036">
        <f t="shared" si="37"/>
        <v>0</v>
      </c>
      <c r="GP27" s="387">
        <f t="shared" si="37"/>
        <v>0</v>
      </c>
      <c r="GQ27" s="387">
        <f t="shared" si="37"/>
        <v>0</v>
      </c>
      <c r="GR27" s="387">
        <f t="shared" si="37"/>
        <v>0</v>
      </c>
      <c r="GS27" s="387">
        <f t="shared" si="37"/>
        <v>0</v>
      </c>
      <c r="GT27" s="387">
        <f t="shared" si="37"/>
        <v>0</v>
      </c>
      <c r="GU27" s="387">
        <f t="shared" si="37"/>
        <v>0</v>
      </c>
      <c r="GV27" s="387">
        <f t="shared" si="37"/>
        <v>0</v>
      </c>
      <c r="GW27" s="387">
        <f t="shared" si="37"/>
        <v>0</v>
      </c>
      <c r="GX27" s="387">
        <f t="shared" si="37"/>
        <v>0</v>
      </c>
      <c r="GY27" s="387">
        <f t="shared" si="37"/>
        <v>0</v>
      </c>
      <c r="GZ27" s="988">
        <f t="shared" si="37"/>
        <v>0</v>
      </c>
      <c r="HB27" s="386"/>
      <c r="HC27" s="386"/>
      <c r="HD27" s="386"/>
      <c r="HE27" s="386"/>
      <c r="HF27" s="386"/>
      <c r="HG27" s="386"/>
      <c r="HH27" s="386"/>
      <c r="HI27" s="386"/>
      <c r="HJ27" s="386"/>
      <c r="HK27" s="386"/>
      <c r="HL27" s="386"/>
      <c r="HM27" s="987"/>
    </row>
    <row r="28" spans="1:221">
      <c r="A28" s="326"/>
      <c r="B28" s="326"/>
      <c r="C28" s="326"/>
      <c r="D28" s="1036">
        <f t="shared" ref="D28:AI28" si="38">SUM(D24:D26)-D27</f>
        <v>-5452.0599999999995</v>
      </c>
      <c r="E28" s="387">
        <f t="shared" si="38"/>
        <v>1451.52</v>
      </c>
      <c r="F28" s="387">
        <f t="shared" si="38"/>
        <v>2542.3000000000002</v>
      </c>
      <c r="G28" s="387">
        <f t="shared" si="38"/>
        <v>1356.8</v>
      </c>
      <c r="H28" s="387">
        <f t="shared" si="38"/>
        <v>1481.07</v>
      </c>
      <c r="I28" s="387">
        <f t="shared" si="38"/>
        <v>1514.13</v>
      </c>
      <c r="J28" s="387">
        <f t="shared" si="38"/>
        <v>1593.36</v>
      </c>
      <c r="K28" s="387">
        <f t="shared" si="38"/>
        <v>1438.6100000000001</v>
      </c>
      <c r="L28" s="387">
        <f t="shared" si="38"/>
        <v>1498.22</v>
      </c>
      <c r="M28" s="387">
        <f t="shared" si="38"/>
        <v>1418.85</v>
      </c>
      <c r="N28" s="387">
        <f t="shared" si="38"/>
        <v>1403.8899999999999</v>
      </c>
      <c r="O28" s="988">
        <f t="shared" si="38"/>
        <v>1435.3500000000001</v>
      </c>
      <c r="P28" s="386">
        <f t="shared" si="38"/>
        <v>-2104.31</v>
      </c>
      <c r="Q28" s="386">
        <f t="shared" si="38"/>
        <v>265.64</v>
      </c>
      <c r="R28" s="386">
        <f t="shared" si="38"/>
        <v>251.3</v>
      </c>
      <c r="S28" s="386">
        <f t="shared" si="38"/>
        <v>210.41000000000003</v>
      </c>
      <c r="T28" s="386">
        <f t="shared" si="38"/>
        <v>249.1</v>
      </c>
      <c r="U28" s="386">
        <f t="shared" si="38"/>
        <v>268.26</v>
      </c>
      <c r="V28" s="386">
        <f t="shared" si="38"/>
        <v>287.64000000000004</v>
      </c>
      <c r="W28" s="386">
        <f t="shared" si="38"/>
        <v>268.26</v>
      </c>
      <c r="X28" s="386">
        <f t="shared" si="38"/>
        <v>276.82</v>
      </c>
      <c r="Y28" s="386">
        <f t="shared" si="38"/>
        <v>305.3</v>
      </c>
      <c r="Z28" s="386">
        <f t="shared" si="38"/>
        <v>279.14</v>
      </c>
      <c r="AA28" s="987">
        <f t="shared" si="38"/>
        <v>296.86</v>
      </c>
      <c r="AB28" s="386">
        <f t="shared" si="38"/>
        <v>0</v>
      </c>
      <c r="AC28" s="386">
        <f t="shared" si="38"/>
        <v>0</v>
      </c>
      <c r="AD28" s="386">
        <f t="shared" si="38"/>
        <v>0</v>
      </c>
      <c r="AE28" s="386">
        <f t="shared" si="38"/>
        <v>0</v>
      </c>
      <c r="AF28" s="386">
        <f t="shared" si="38"/>
        <v>0</v>
      </c>
      <c r="AG28" s="386">
        <f t="shared" si="38"/>
        <v>0</v>
      </c>
      <c r="AH28" s="386">
        <f t="shared" si="38"/>
        <v>0</v>
      </c>
      <c r="AI28" s="386">
        <f t="shared" si="38"/>
        <v>0</v>
      </c>
      <c r="AJ28" s="386">
        <f t="shared" ref="AJ28:BO28" si="39">SUM(AJ24:AJ26)-AJ27</f>
        <v>0</v>
      </c>
      <c r="AK28" s="386">
        <f t="shared" si="39"/>
        <v>0</v>
      </c>
      <c r="AL28" s="386">
        <f t="shared" si="39"/>
        <v>0</v>
      </c>
      <c r="AM28" s="987">
        <f t="shared" si="39"/>
        <v>0</v>
      </c>
      <c r="AN28" s="386">
        <f t="shared" si="39"/>
        <v>0</v>
      </c>
      <c r="AO28" s="386">
        <f t="shared" si="39"/>
        <v>0</v>
      </c>
      <c r="AP28" s="386">
        <f t="shared" si="39"/>
        <v>0</v>
      </c>
      <c r="AQ28" s="386">
        <f t="shared" si="39"/>
        <v>0</v>
      </c>
      <c r="AR28" s="386">
        <f t="shared" si="39"/>
        <v>0</v>
      </c>
      <c r="AS28" s="386">
        <f t="shared" si="39"/>
        <v>0</v>
      </c>
      <c r="AT28" s="386">
        <f t="shared" si="39"/>
        <v>0</v>
      </c>
      <c r="AU28" s="386">
        <f t="shared" si="39"/>
        <v>0</v>
      </c>
      <c r="AV28" s="386">
        <f t="shared" si="39"/>
        <v>0</v>
      </c>
      <c r="AW28" s="386">
        <f t="shared" si="39"/>
        <v>0</v>
      </c>
      <c r="AX28" s="386">
        <f t="shared" si="39"/>
        <v>0</v>
      </c>
      <c r="AY28" s="987">
        <f t="shared" si="39"/>
        <v>0</v>
      </c>
      <c r="AZ28" s="386">
        <f t="shared" si="39"/>
        <v>0</v>
      </c>
      <c r="BA28" s="386">
        <f t="shared" si="39"/>
        <v>0</v>
      </c>
      <c r="BB28" s="386">
        <f t="shared" si="39"/>
        <v>0</v>
      </c>
      <c r="BC28" s="386">
        <f t="shared" si="39"/>
        <v>0</v>
      </c>
      <c r="BD28" s="386">
        <f t="shared" si="39"/>
        <v>0</v>
      </c>
      <c r="BE28" s="386">
        <f t="shared" si="39"/>
        <v>0</v>
      </c>
      <c r="BF28" s="386">
        <f t="shared" si="39"/>
        <v>0</v>
      </c>
      <c r="BG28" s="386">
        <f t="shared" si="39"/>
        <v>0</v>
      </c>
      <c r="BH28" s="386">
        <f t="shared" si="39"/>
        <v>0</v>
      </c>
      <c r="BI28" s="386">
        <f t="shared" si="39"/>
        <v>0</v>
      </c>
      <c r="BJ28" s="386">
        <f t="shared" si="39"/>
        <v>0</v>
      </c>
      <c r="BK28" s="987">
        <f t="shared" si="39"/>
        <v>0</v>
      </c>
      <c r="BL28" s="386">
        <f t="shared" si="39"/>
        <v>0</v>
      </c>
      <c r="BM28" s="386">
        <f t="shared" si="39"/>
        <v>0</v>
      </c>
      <c r="BN28" s="386">
        <f t="shared" si="39"/>
        <v>0</v>
      </c>
      <c r="BO28" s="386">
        <f t="shared" si="39"/>
        <v>0</v>
      </c>
      <c r="BP28" s="386">
        <f t="shared" ref="BP28:CU28" si="40">SUM(BP24:BP26)-BP27</f>
        <v>0</v>
      </c>
      <c r="BQ28" s="386">
        <f t="shared" si="40"/>
        <v>0</v>
      </c>
      <c r="BR28" s="386">
        <f t="shared" si="40"/>
        <v>0</v>
      </c>
      <c r="BS28" s="386">
        <f t="shared" si="40"/>
        <v>0</v>
      </c>
      <c r="BT28" s="386">
        <f t="shared" si="40"/>
        <v>0</v>
      </c>
      <c r="BU28" s="386">
        <f t="shared" si="40"/>
        <v>0</v>
      </c>
      <c r="BV28" s="386">
        <f t="shared" si="40"/>
        <v>0</v>
      </c>
      <c r="BW28" s="987">
        <f t="shared" si="40"/>
        <v>0</v>
      </c>
      <c r="BX28" s="386">
        <f t="shared" si="40"/>
        <v>0</v>
      </c>
      <c r="BY28" s="386">
        <f t="shared" si="40"/>
        <v>0</v>
      </c>
      <c r="BZ28" s="386">
        <f t="shared" si="40"/>
        <v>0</v>
      </c>
      <c r="CA28" s="386">
        <f t="shared" si="40"/>
        <v>0</v>
      </c>
      <c r="CB28" s="386">
        <f t="shared" si="40"/>
        <v>0</v>
      </c>
      <c r="CC28" s="386">
        <f t="shared" si="40"/>
        <v>0</v>
      </c>
      <c r="CD28" s="386">
        <f t="shared" si="40"/>
        <v>0</v>
      </c>
      <c r="CE28" s="386">
        <f t="shared" si="40"/>
        <v>0</v>
      </c>
      <c r="CF28" s="386">
        <f t="shared" si="40"/>
        <v>0</v>
      </c>
      <c r="CG28" s="386">
        <f t="shared" si="40"/>
        <v>0</v>
      </c>
      <c r="CH28" s="386">
        <f t="shared" si="40"/>
        <v>0</v>
      </c>
      <c r="CI28" s="987">
        <f t="shared" si="40"/>
        <v>0</v>
      </c>
      <c r="CJ28" s="386">
        <f t="shared" si="40"/>
        <v>0</v>
      </c>
      <c r="CK28" s="386">
        <f t="shared" si="40"/>
        <v>0</v>
      </c>
      <c r="CL28" s="386">
        <f t="shared" si="40"/>
        <v>0</v>
      </c>
      <c r="CM28" s="386">
        <f t="shared" si="40"/>
        <v>0</v>
      </c>
      <c r="CN28" s="386">
        <f t="shared" si="40"/>
        <v>0</v>
      </c>
      <c r="CO28" s="386">
        <f t="shared" si="40"/>
        <v>0</v>
      </c>
      <c r="CP28" s="386">
        <f t="shared" si="40"/>
        <v>0</v>
      </c>
      <c r="CQ28" s="386">
        <f t="shared" si="40"/>
        <v>0</v>
      </c>
      <c r="CR28" s="386">
        <f t="shared" si="40"/>
        <v>0</v>
      </c>
      <c r="CS28" s="386">
        <f t="shared" si="40"/>
        <v>0</v>
      </c>
      <c r="CT28" s="386">
        <f t="shared" si="40"/>
        <v>0</v>
      </c>
      <c r="CU28" s="987">
        <f t="shared" si="40"/>
        <v>0</v>
      </c>
      <c r="CV28" s="386">
        <f t="shared" ref="CV28:EA28" si="41">SUM(CV24:CV26)-CV27</f>
        <v>0</v>
      </c>
      <c r="CW28" s="386">
        <f t="shared" si="41"/>
        <v>0</v>
      </c>
      <c r="CX28" s="386">
        <f t="shared" si="41"/>
        <v>0</v>
      </c>
      <c r="CY28" s="386">
        <f t="shared" si="41"/>
        <v>0</v>
      </c>
      <c r="CZ28" s="386">
        <f t="shared" si="41"/>
        <v>0</v>
      </c>
      <c r="DA28" s="386">
        <f t="shared" si="41"/>
        <v>0</v>
      </c>
      <c r="DB28" s="386">
        <f t="shared" si="41"/>
        <v>0</v>
      </c>
      <c r="DC28" s="386">
        <f t="shared" si="41"/>
        <v>0</v>
      </c>
      <c r="DD28" s="386">
        <f t="shared" si="41"/>
        <v>0</v>
      </c>
      <c r="DE28" s="386">
        <f t="shared" si="41"/>
        <v>0</v>
      </c>
      <c r="DF28" s="386">
        <f t="shared" si="41"/>
        <v>0</v>
      </c>
      <c r="DG28" s="987">
        <f t="shared" si="41"/>
        <v>0</v>
      </c>
      <c r="DH28" s="386">
        <f t="shared" si="41"/>
        <v>0</v>
      </c>
      <c r="DI28" s="386">
        <f t="shared" si="41"/>
        <v>0</v>
      </c>
      <c r="DJ28" s="386">
        <f t="shared" si="41"/>
        <v>0</v>
      </c>
      <c r="DK28" s="386">
        <f t="shared" si="41"/>
        <v>0</v>
      </c>
      <c r="DL28" s="386">
        <f t="shared" si="41"/>
        <v>0</v>
      </c>
      <c r="DM28" s="386">
        <f t="shared" si="41"/>
        <v>0</v>
      </c>
      <c r="DN28" s="386">
        <f t="shared" si="41"/>
        <v>0</v>
      </c>
      <c r="DO28" s="386">
        <f t="shared" si="41"/>
        <v>0</v>
      </c>
      <c r="DP28" s="386">
        <f t="shared" si="41"/>
        <v>0</v>
      </c>
      <c r="DQ28" s="386">
        <f t="shared" si="41"/>
        <v>0</v>
      </c>
      <c r="DR28" s="386">
        <f t="shared" si="41"/>
        <v>0</v>
      </c>
      <c r="DS28" s="987">
        <f t="shared" si="41"/>
        <v>0</v>
      </c>
      <c r="DT28" s="386">
        <f t="shared" si="41"/>
        <v>-210.97000000000003</v>
      </c>
      <c r="DU28" s="386">
        <f t="shared" si="41"/>
        <v>161.84</v>
      </c>
      <c r="DV28" s="386">
        <f t="shared" si="41"/>
        <v>169.75</v>
      </c>
      <c r="DW28" s="386">
        <f t="shared" si="41"/>
        <v>146.74</v>
      </c>
      <c r="DX28" s="386">
        <f t="shared" si="41"/>
        <v>137.85999999999999</v>
      </c>
      <c r="DY28" s="386">
        <f t="shared" si="41"/>
        <v>1176.8300000000002</v>
      </c>
      <c r="DZ28" s="386">
        <f t="shared" si="41"/>
        <v>137.83000000000001</v>
      </c>
      <c r="EA28" s="386">
        <f t="shared" si="41"/>
        <v>107.36999999999999</v>
      </c>
      <c r="EB28" s="386">
        <f t="shared" ref="EB28:FG28" si="42">SUM(EB24:EB26)-EB27</f>
        <v>133.10999999999999</v>
      </c>
      <c r="EC28" s="386">
        <f t="shared" si="42"/>
        <v>118.92999999999999</v>
      </c>
      <c r="ED28" s="386">
        <f t="shared" si="42"/>
        <v>122.62</v>
      </c>
      <c r="EE28" s="987">
        <f t="shared" si="42"/>
        <v>123.32</v>
      </c>
      <c r="EF28" s="386">
        <f t="shared" si="42"/>
        <v>0</v>
      </c>
      <c r="EG28" s="386">
        <f t="shared" si="42"/>
        <v>0</v>
      </c>
      <c r="EH28" s="386">
        <f t="shared" si="42"/>
        <v>0</v>
      </c>
      <c r="EI28" s="386">
        <f t="shared" si="42"/>
        <v>0</v>
      </c>
      <c r="EJ28" s="386">
        <f t="shared" si="42"/>
        <v>0</v>
      </c>
      <c r="EK28" s="386">
        <f t="shared" si="42"/>
        <v>0</v>
      </c>
      <c r="EL28" s="386">
        <f t="shared" si="42"/>
        <v>0</v>
      </c>
      <c r="EM28" s="386">
        <f t="shared" si="42"/>
        <v>0</v>
      </c>
      <c r="EN28" s="386">
        <f t="shared" si="42"/>
        <v>0</v>
      </c>
      <c r="EO28" s="386">
        <f t="shared" si="42"/>
        <v>0</v>
      </c>
      <c r="EP28" s="386">
        <f t="shared" si="42"/>
        <v>0</v>
      </c>
      <c r="EQ28" s="987">
        <f t="shared" si="42"/>
        <v>0</v>
      </c>
      <c r="ER28" s="386">
        <f t="shared" si="42"/>
        <v>0</v>
      </c>
      <c r="ES28" s="386">
        <f t="shared" si="42"/>
        <v>0</v>
      </c>
      <c r="ET28" s="386">
        <f t="shared" si="42"/>
        <v>0</v>
      </c>
      <c r="EU28" s="386">
        <f t="shared" si="42"/>
        <v>0</v>
      </c>
      <c r="EV28" s="386">
        <f t="shared" si="42"/>
        <v>0</v>
      </c>
      <c r="EW28" s="386">
        <f t="shared" si="42"/>
        <v>0</v>
      </c>
      <c r="EX28" s="386">
        <f t="shared" si="42"/>
        <v>0</v>
      </c>
      <c r="EY28" s="386">
        <f t="shared" si="42"/>
        <v>0</v>
      </c>
      <c r="EZ28" s="386">
        <f t="shared" si="42"/>
        <v>0</v>
      </c>
      <c r="FA28" s="386">
        <f t="shared" si="42"/>
        <v>0</v>
      </c>
      <c r="FB28" s="386">
        <f t="shared" si="42"/>
        <v>0</v>
      </c>
      <c r="FC28" s="987">
        <f t="shared" si="42"/>
        <v>0</v>
      </c>
      <c r="FD28" s="386">
        <f t="shared" si="42"/>
        <v>0</v>
      </c>
      <c r="FE28" s="386">
        <f t="shared" si="42"/>
        <v>0</v>
      </c>
      <c r="FF28" s="386">
        <f t="shared" si="42"/>
        <v>0</v>
      </c>
      <c r="FG28" s="386">
        <f t="shared" si="42"/>
        <v>0</v>
      </c>
      <c r="FH28" s="386">
        <f t="shared" ref="FH28:GA28" si="43">SUM(FH24:FH26)-FH27</f>
        <v>0</v>
      </c>
      <c r="FI28" s="386">
        <f t="shared" si="43"/>
        <v>0</v>
      </c>
      <c r="FJ28" s="386">
        <f t="shared" si="43"/>
        <v>0</v>
      </c>
      <c r="FK28" s="386">
        <f t="shared" si="43"/>
        <v>0</v>
      </c>
      <c r="FL28" s="386">
        <f t="shared" si="43"/>
        <v>0</v>
      </c>
      <c r="FM28" s="386">
        <f t="shared" si="43"/>
        <v>0</v>
      </c>
      <c r="FN28" s="386">
        <f t="shared" si="43"/>
        <v>0</v>
      </c>
      <c r="FO28" s="987">
        <f t="shared" si="43"/>
        <v>0</v>
      </c>
      <c r="FP28" s="386">
        <f t="shared" si="43"/>
        <v>0</v>
      </c>
      <c r="FQ28" s="386">
        <f t="shared" si="43"/>
        <v>0</v>
      </c>
      <c r="FR28" s="386">
        <f t="shared" si="43"/>
        <v>0</v>
      </c>
      <c r="FS28" s="386">
        <f t="shared" si="43"/>
        <v>0</v>
      </c>
      <c r="FT28" s="386">
        <f t="shared" si="43"/>
        <v>0</v>
      </c>
      <c r="FU28" s="386">
        <f t="shared" si="43"/>
        <v>0</v>
      </c>
      <c r="FV28" s="386">
        <f t="shared" si="43"/>
        <v>0</v>
      </c>
      <c r="FW28" s="386">
        <f t="shared" si="43"/>
        <v>0</v>
      </c>
      <c r="FX28" s="386">
        <f t="shared" si="43"/>
        <v>0</v>
      </c>
      <c r="FY28" s="386">
        <f t="shared" si="43"/>
        <v>0</v>
      </c>
      <c r="FZ28" s="386">
        <f t="shared" si="43"/>
        <v>0</v>
      </c>
      <c r="GA28" s="987">
        <f t="shared" si="43"/>
        <v>0</v>
      </c>
      <c r="GB28" s="109"/>
      <c r="GC28" s="2201">
        <f t="shared" ref="GC28:GZ28" si="44">SUM(GC24:GC26)-GC27</f>
        <v>-7556.369999999999</v>
      </c>
      <c r="GD28" s="2202">
        <f t="shared" si="44"/>
        <v>1717.1599999999999</v>
      </c>
      <c r="GE28" s="2202">
        <f t="shared" si="44"/>
        <v>2793.6000000000004</v>
      </c>
      <c r="GF28" s="2202">
        <f t="shared" si="44"/>
        <v>1567.21</v>
      </c>
      <c r="GG28" s="2202">
        <f t="shared" si="44"/>
        <v>1730.1699999999998</v>
      </c>
      <c r="GH28" s="2202">
        <f t="shared" si="44"/>
        <v>1782.39</v>
      </c>
      <c r="GI28" s="2202">
        <f t="shared" si="44"/>
        <v>1881</v>
      </c>
      <c r="GJ28" s="2202">
        <f t="shared" si="44"/>
        <v>1706.8700000000001</v>
      </c>
      <c r="GK28" s="2202">
        <f t="shared" si="44"/>
        <v>1775.04</v>
      </c>
      <c r="GL28" s="2202">
        <f t="shared" si="44"/>
        <v>1724.1499999999999</v>
      </c>
      <c r="GM28" s="2202">
        <f t="shared" si="44"/>
        <v>1683.0299999999997</v>
      </c>
      <c r="GN28" s="2203">
        <f t="shared" si="44"/>
        <v>1732.21</v>
      </c>
      <c r="GO28" s="1036">
        <f t="shared" si="44"/>
        <v>-210.97000000000003</v>
      </c>
      <c r="GP28" s="387">
        <f t="shared" si="44"/>
        <v>161.84</v>
      </c>
      <c r="GQ28" s="387">
        <f t="shared" si="44"/>
        <v>169.75</v>
      </c>
      <c r="GR28" s="387">
        <f t="shared" si="44"/>
        <v>146.74</v>
      </c>
      <c r="GS28" s="387">
        <f t="shared" si="44"/>
        <v>137.85999999999999</v>
      </c>
      <c r="GT28" s="387">
        <f t="shared" si="44"/>
        <v>1176.8300000000002</v>
      </c>
      <c r="GU28" s="387">
        <f t="shared" si="44"/>
        <v>137.83000000000001</v>
      </c>
      <c r="GV28" s="387">
        <f t="shared" si="44"/>
        <v>107.36999999999999</v>
      </c>
      <c r="GW28" s="387">
        <f t="shared" si="44"/>
        <v>133.10999999999999</v>
      </c>
      <c r="GX28" s="387">
        <f t="shared" si="44"/>
        <v>118.92999999999999</v>
      </c>
      <c r="GY28" s="387">
        <f t="shared" si="44"/>
        <v>122.62</v>
      </c>
      <c r="GZ28" s="988">
        <f t="shared" si="44"/>
        <v>123.32</v>
      </c>
      <c r="HB28" s="386">
        <f t="shared" ref="HB28:HM28" si="45">SUM(HB24:HB26)-HB27</f>
        <v>0</v>
      </c>
      <c r="HC28" s="386">
        <f t="shared" si="45"/>
        <v>0</v>
      </c>
      <c r="HD28" s="386">
        <f t="shared" si="45"/>
        <v>0</v>
      </c>
      <c r="HE28" s="386">
        <f t="shared" si="45"/>
        <v>0</v>
      </c>
      <c r="HF28" s="386">
        <f t="shared" si="45"/>
        <v>0</v>
      </c>
      <c r="HG28" s="386">
        <f t="shared" si="45"/>
        <v>0</v>
      </c>
      <c r="HH28" s="386">
        <f t="shared" si="45"/>
        <v>0</v>
      </c>
      <c r="HI28" s="386">
        <f t="shared" si="45"/>
        <v>0</v>
      </c>
      <c r="HJ28" s="386">
        <f t="shared" si="45"/>
        <v>0</v>
      </c>
      <c r="HK28" s="386">
        <f t="shared" si="45"/>
        <v>0</v>
      </c>
      <c r="HL28" s="386">
        <f t="shared" si="45"/>
        <v>0</v>
      </c>
      <c r="HM28" s="987">
        <f t="shared" si="45"/>
        <v>0</v>
      </c>
    </row>
    <row r="29" spans="1:221">
      <c r="A29" s="326" t="s">
        <v>900</v>
      </c>
      <c r="B29" s="326" t="s">
        <v>901</v>
      </c>
      <c r="C29" s="326" t="s">
        <v>3681</v>
      </c>
      <c r="D29" s="1036">
        <v>30778.116100000003</v>
      </c>
      <c r="E29" s="387">
        <v>38009.3626</v>
      </c>
      <c r="F29" s="387">
        <v>38422.8318</v>
      </c>
      <c r="G29" s="387">
        <v>38159.995200000005</v>
      </c>
      <c r="H29" s="387">
        <v>38757.854899999998</v>
      </c>
      <c r="I29" s="387">
        <v>39836.904099999992</v>
      </c>
      <c r="J29" s="387">
        <v>38492.812599999997</v>
      </c>
      <c r="K29" s="387">
        <v>38627.375899999999</v>
      </c>
      <c r="L29" s="387">
        <v>38210.483199999995</v>
      </c>
      <c r="M29" s="387">
        <v>36990.906499999997</v>
      </c>
      <c r="N29" s="387">
        <v>38394.523199999996</v>
      </c>
      <c r="O29" s="988">
        <v>37393.9378</v>
      </c>
      <c r="P29" s="386">
        <v>7082.8019000000004</v>
      </c>
      <c r="Q29" s="386">
        <v>8813.0918000000001</v>
      </c>
      <c r="R29" s="386">
        <v>9548.4074999999993</v>
      </c>
      <c r="S29" s="386">
        <v>9815.6821</v>
      </c>
      <c r="T29" s="386">
        <v>9974.8258999999998</v>
      </c>
      <c r="U29" s="386">
        <v>10361.404500000001</v>
      </c>
      <c r="V29" s="386">
        <v>11505.044399999999</v>
      </c>
      <c r="W29" s="386">
        <v>12246.9987</v>
      </c>
      <c r="X29" s="386">
        <v>12357.602299999999</v>
      </c>
      <c r="Y29" s="386">
        <v>13307.951900000002</v>
      </c>
      <c r="Z29" s="386">
        <v>13259.859999999999</v>
      </c>
      <c r="AA29" s="987">
        <v>13894.662100000001</v>
      </c>
      <c r="AB29" s="386"/>
      <c r="AC29" s="386"/>
      <c r="AD29" s="386"/>
      <c r="AE29" s="386"/>
      <c r="AF29" s="386"/>
      <c r="AG29" s="386"/>
      <c r="AH29" s="386"/>
      <c r="AI29" s="386"/>
      <c r="AJ29" s="386"/>
      <c r="AK29" s="386"/>
      <c r="AL29" s="386"/>
      <c r="AM29" s="987"/>
      <c r="AN29" s="386"/>
      <c r="AO29" s="386"/>
      <c r="AP29" s="386"/>
      <c r="AQ29" s="386"/>
      <c r="AR29" s="386"/>
      <c r="AS29" s="386"/>
      <c r="AT29" s="386"/>
      <c r="AU29" s="386"/>
      <c r="AV29" s="386"/>
      <c r="AW29" s="386"/>
      <c r="AX29" s="386"/>
      <c r="AY29" s="987"/>
      <c r="AZ29" s="386"/>
      <c r="BA29" s="386"/>
      <c r="BB29" s="386"/>
      <c r="BC29" s="386"/>
      <c r="BD29" s="386"/>
      <c r="BE29" s="386"/>
      <c r="BF29" s="386"/>
      <c r="BG29" s="386"/>
      <c r="BH29" s="386"/>
      <c r="BI29" s="386"/>
      <c r="BJ29" s="386"/>
      <c r="BK29" s="987"/>
      <c r="BL29" s="386"/>
      <c r="BM29" s="386"/>
      <c r="BN29" s="386"/>
      <c r="BO29" s="386"/>
      <c r="BP29" s="386"/>
      <c r="BQ29" s="386"/>
      <c r="BR29" s="386"/>
      <c r="BS29" s="386"/>
      <c r="BT29" s="386"/>
      <c r="BU29" s="386"/>
      <c r="BV29" s="386"/>
      <c r="BW29" s="987"/>
      <c r="BX29" s="386"/>
      <c r="BY29" s="386"/>
      <c r="BZ29" s="386"/>
      <c r="CA29" s="386"/>
      <c r="CB29" s="386"/>
      <c r="CC29" s="386"/>
      <c r="CD29" s="386"/>
      <c r="CE29" s="386"/>
      <c r="CF29" s="386"/>
      <c r="CG29" s="386"/>
      <c r="CH29" s="386"/>
      <c r="CI29" s="987"/>
      <c r="CJ29" s="386"/>
      <c r="CK29" s="386"/>
      <c r="CL29" s="386"/>
      <c r="CM29" s="386"/>
      <c r="CN29" s="386"/>
      <c r="CO29" s="386"/>
      <c r="CP29" s="386"/>
      <c r="CQ29" s="386"/>
      <c r="CR29" s="386"/>
      <c r="CS29" s="386"/>
      <c r="CT29" s="386"/>
      <c r="CU29" s="987"/>
      <c r="CV29" s="386"/>
      <c r="CW29" s="386"/>
      <c r="CX29" s="386"/>
      <c r="CY29" s="386"/>
      <c r="CZ29" s="386"/>
      <c r="DA29" s="386"/>
      <c r="DB29" s="386"/>
      <c r="DC29" s="386"/>
      <c r="DD29" s="386"/>
      <c r="DE29" s="386"/>
      <c r="DF29" s="386"/>
      <c r="DG29" s="987"/>
      <c r="DH29" s="386"/>
      <c r="DI29" s="386"/>
      <c r="DJ29" s="386"/>
      <c r="DK29" s="386"/>
      <c r="DL29" s="386"/>
      <c r="DM29" s="386"/>
      <c r="DN29" s="386"/>
      <c r="DO29" s="386"/>
      <c r="DP29" s="386"/>
      <c r="DQ29" s="386"/>
      <c r="DR29" s="386"/>
      <c r="DS29" s="987"/>
      <c r="DT29" s="386">
        <v>3851.2015000000001</v>
      </c>
      <c r="DU29" s="386">
        <v>4418.8206</v>
      </c>
      <c r="DV29" s="386">
        <v>4217.0328</v>
      </c>
      <c r="DW29" s="386">
        <v>4082.6954999999998</v>
      </c>
      <c r="DX29" s="386">
        <v>3901.6799000000001</v>
      </c>
      <c r="DY29" s="386">
        <v>5079.5841</v>
      </c>
      <c r="DZ29" s="386">
        <v>4234.3103000000001</v>
      </c>
      <c r="EA29" s="386">
        <v>10440.852000000001</v>
      </c>
      <c r="EB29" s="386">
        <v>4684.6346999999996</v>
      </c>
      <c r="EC29" s="386">
        <v>4707.7487999999994</v>
      </c>
      <c r="ED29" s="386">
        <v>4497.0103999999992</v>
      </c>
      <c r="EE29" s="987">
        <v>2783.3512000000001</v>
      </c>
      <c r="EF29" s="386"/>
      <c r="EG29" s="386"/>
      <c r="EH29" s="386"/>
      <c r="EI29" s="386"/>
      <c r="EJ29" s="386"/>
      <c r="EK29" s="386"/>
      <c r="EL29" s="386"/>
      <c r="EM29" s="386"/>
      <c r="EN29" s="386"/>
      <c r="EO29" s="386"/>
      <c r="EP29" s="386"/>
      <c r="EQ29" s="987"/>
      <c r="ER29" s="386"/>
      <c r="ES29" s="386"/>
      <c r="ET29" s="386"/>
      <c r="EU29" s="386"/>
      <c r="EV29" s="386"/>
      <c r="EW29" s="386"/>
      <c r="EX29" s="386"/>
      <c r="EY29" s="386"/>
      <c r="EZ29" s="386"/>
      <c r="FA29" s="386"/>
      <c r="FB29" s="386"/>
      <c r="FC29" s="987"/>
      <c r="FD29" s="386"/>
      <c r="FE29" s="386"/>
      <c r="FF29" s="386"/>
      <c r="FG29" s="386"/>
      <c r="FH29" s="386"/>
      <c r="FI29" s="386"/>
      <c r="FJ29" s="386"/>
      <c r="FK29" s="386"/>
      <c r="FL29" s="386"/>
      <c r="FM29" s="386"/>
      <c r="FN29" s="386"/>
      <c r="FO29" s="987"/>
      <c r="FP29" s="386"/>
      <c r="FQ29" s="386"/>
      <c r="FR29" s="386"/>
      <c r="FS29" s="386"/>
      <c r="FT29" s="386"/>
      <c r="FU29" s="386"/>
      <c r="FV29" s="386"/>
      <c r="FW29" s="386"/>
      <c r="FX29" s="386"/>
      <c r="FY29" s="386"/>
      <c r="FZ29" s="386"/>
      <c r="GA29" s="987"/>
      <c r="GB29" s="109"/>
      <c r="GC29" s="2201">
        <f t="shared" ref="GC29:GN31" si="46">SUMPRODUCT(--($D$6:$DS$6=GC$6),$D29:$DS29,$D$278:$DS$278)</f>
        <v>37860.918000000005</v>
      </c>
      <c r="GD29" s="2202">
        <f t="shared" si="46"/>
        <v>46822.454400000002</v>
      </c>
      <c r="GE29" s="2202">
        <f t="shared" si="46"/>
        <v>47971.239300000001</v>
      </c>
      <c r="GF29" s="2202">
        <f t="shared" si="46"/>
        <v>47975.677300000003</v>
      </c>
      <c r="GG29" s="2202">
        <f t="shared" si="46"/>
        <v>48732.680800000002</v>
      </c>
      <c r="GH29" s="2202">
        <f t="shared" si="46"/>
        <v>50198.308599999989</v>
      </c>
      <c r="GI29" s="2202">
        <f t="shared" si="46"/>
        <v>49997.856999999996</v>
      </c>
      <c r="GJ29" s="2202">
        <f t="shared" si="46"/>
        <v>50874.374599999996</v>
      </c>
      <c r="GK29" s="2202">
        <f t="shared" si="46"/>
        <v>50568.085499999994</v>
      </c>
      <c r="GL29" s="2202">
        <f t="shared" si="46"/>
        <v>50298.858399999997</v>
      </c>
      <c r="GM29" s="2202">
        <f t="shared" si="46"/>
        <v>51654.383199999997</v>
      </c>
      <c r="GN29" s="2203">
        <f t="shared" si="46"/>
        <v>51288.599900000001</v>
      </c>
      <c r="GO29" s="1036">
        <f t="shared" ref="GO29:GZ30" si="47">SUMPRODUCT(--($DT$6:$GA$6=GO$6),$DT29:$GA29,$DT$278:$GA$278)</f>
        <v>3851.2015000000001</v>
      </c>
      <c r="GP29" s="387">
        <f t="shared" si="47"/>
        <v>4418.8206</v>
      </c>
      <c r="GQ29" s="387">
        <f t="shared" si="47"/>
        <v>4217.0328</v>
      </c>
      <c r="GR29" s="387">
        <f t="shared" si="47"/>
        <v>4082.6954999999998</v>
      </c>
      <c r="GS29" s="387">
        <f t="shared" si="47"/>
        <v>3901.6799000000001</v>
      </c>
      <c r="GT29" s="387">
        <f t="shared" si="47"/>
        <v>5079.5841</v>
      </c>
      <c r="GU29" s="387">
        <f t="shared" si="47"/>
        <v>4234.3103000000001</v>
      </c>
      <c r="GV29" s="387">
        <f t="shared" si="47"/>
        <v>10440.852000000001</v>
      </c>
      <c r="GW29" s="387">
        <f t="shared" si="47"/>
        <v>4684.6346999999996</v>
      </c>
      <c r="GX29" s="387">
        <f t="shared" si="47"/>
        <v>4707.7487999999994</v>
      </c>
      <c r="GY29" s="387">
        <f t="shared" si="47"/>
        <v>4497.0103999999992</v>
      </c>
      <c r="GZ29" s="988">
        <f t="shared" si="47"/>
        <v>2783.3512000000001</v>
      </c>
      <c r="HB29" s="386"/>
      <c r="HC29" s="386"/>
      <c r="HD29" s="386"/>
      <c r="HE29" s="386"/>
      <c r="HF29" s="386"/>
      <c r="HG29" s="386"/>
      <c r="HH29" s="386"/>
      <c r="HI29" s="386"/>
      <c r="HJ29" s="386"/>
      <c r="HK29" s="386"/>
      <c r="HL29" s="386"/>
      <c r="HM29" s="987"/>
    </row>
    <row r="30" spans="1:221">
      <c r="A30" s="326" t="s">
        <v>900</v>
      </c>
      <c r="B30" s="326" t="s">
        <v>901</v>
      </c>
      <c r="C30" s="326" t="s">
        <v>1641</v>
      </c>
      <c r="D30" s="1036">
        <v>5673.2</v>
      </c>
      <c r="E30" s="387">
        <v>5915.6799999999994</v>
      </c>
      <c r="F30" s="387">
        <v>5733.5600000000013</v>
      </c>
      <c r="G30" s="387">
        <v>6066.7500000000018</v>
      </c>
      <c r="H30" s="387">
        <v>6299.63</v>
      </c>
      <c r="I30" s="387">
        <v>6894.4</v>
      </c>
      <c r="J30" s="387">
        <v>6298.51</v>
      </c>
      <c r="K30" s="387">
        <v>6314.9699999999993</v>
      </c>
      <c r="L30" s="387">
        <v>6224.8400000000011</v>
      </c>
      <c r="M30" s="387">
        <v>5325.47</v>
      </c>
      <c r="N30" s="387">
        <v>6190.58</v>
      </c>
      <c r="O30" s="988">
        <v>5608.1500000000005</v>
      </c>
      <c r="P30" s="386">
        <v>2319.1799999999998</v>
      </c>
      <c r="Q30" s="386">
        <v>1899.11</v>
      </c>
      <c r="R30" s="386">
        <v>2439.81</v>
      </c>
      <c r="S30" s="386">
        <v>2396.75</v>
      </c>
      <c r="T30" s="386">
        <v>2460.0300000000002</v>
      </c>
      <c r="U30" s="386">
        <v>2801.7200000000003</v>
      </c>
      <c r="V30" s="386">
        <v>3129.02</v>
      </c>
      <c r="W30" s="386">
        <v>3494.24</v>
      </c>
      <c r="X30" s="386">
        <v>3315.69</v>
      </c>
      <c r="Y30" s="386">
        <v>3583.5200000000004</v>
      </c>
      <c r="Z30" s="386">
        <v>3421.42</v>
      </c>
      <c r="AA30" s="987">
        <v>3969.65</v>
      </c>
      <c r="AB30" s="386"/>
      <c r="AC30" s="386"/>
      <c r="AD30" s="386"/>
      <c r="AE30" s="386"/>
      <c r="AF30" s="386"/>
      <c r="AG30" s="386"/>
      <c r="AH30" s="386"/>
      <c r="AI30" s="386"/>
      <c r="AJ30" s="386"/>
      <c r="AK30" s="386"/>
      <c r="AL30" s="386"/>
      <c r="AM30" s="987"/>
      <c r="AN30" s="386"/>
      <c r="AO30" s="386"/>
      <c r="AP30" s="386"/>
      <c r="AQ30" s="386"/>
      <c r="AR30" s="386"/>
      <c r="AS30" s="386"/>
      <c r="AT30" s="386"/>
      <c r="AU30" s="386"/>
      <c r="AV30" s="386"/>
      <c r="AW30" s="386"/>
      <c r="AX30" s="386"/>
      <c r="AY30" s="987"/>
      <c r="AZ30" s="386"/>
      <c r="BA30" s="386"/>
      <c r="BB30" s="386"/>
      <c r="BC30" s="386"/>
      <c r="BD30" s="386"/>
      <c r="BE30" s="386"/>
      <c r="BF30" s="386"/>
      <c r="BG30" s="386"/>
      <c r="BH30" s="386"/>
      <c r="BI30" s="386"/>
      <c r="BJ30" s="386"/>
      <c r="BK30" s="987"/>
      <c r="BL30" s="386"/>
      <c r="BM30" s="386"/>
      <c r="BN30" s="386"/>
      <c r="BO30" s="386"/>
      <c r="BP30" s="386"/>
      <c r="BQ30" s="386"/>
      <c r="BR30" s="386"/>
      <c r="BS30" s="386"/>
      <c r="BT30" s="386"/>
      <c r="BU30" s="386"/>
      <c r="BV30" s="386"/>
      <c r="BW30" s="987"/>
      <c r="BX30" s="386"/>
      <c r="BY30" s="386"/>
      <c r="BZ30" s="386"/>
      <c r="CA30" s="386"/>
      <c r="CB30" s="386"/>
      <c r="CC30" s="386"/>
      <c r="CD30" s="386"/>
      <c r="CE30" s="386"/>
      <c r="CF30" s="386"/>
      <c r="CG30" s="386"/>
      <c r="CH30" s="386"/>
      <c r="CI30" s="987"/>
      <c r="CJ30" s="386"/>
      <c r="CK30" s="386"/>
      <c r="CL30" s="386"/>
      <c r="CM30" s="386"/>
      <c r="CN30" s="386"/>
      <c r="CO30" s="386"/>
      <c r="CP30" s="386"/>
      <c r="CQ30" s="386"/>
      <c r="CR30" s="386"/>
      <c r="CS30" s="386"/>
      <c r="CT30" s="386"/>
      <c r="CU30" s="987"/>
      <c r="CV30" s="386"/>
      <c r="CW30" s="386"/>
      <c r="CX30" s="386"/>
      <c r="CY30" s="386"/>
      <c r="CZ30" s="386"/>
      <c r="DA30" s="386"/>
      <c r="DB30" s="386"/>
      <c r="DC30" s="386"/>
      <c r="DD30" s="386"/>
      <c r="DE30" s="386"/>
      <c r="DF30" s="386"/>
      <c r="DG30" s="987"/>
      <c r="DH30" s="386"/>
      <c r="DI30" s="386"/>
      <c r="DJ30" s="386"/>
      <c r="DK30" s="386"/>
      <c r="DL30" s="386"/>
      <c r="DM30" s="386"/>
      <c r="DN30" s="386"/>
      <c r="DO30" s="386"/>
      <c r="DP30" s="386"/>
      <c r="DQ30" s="386"/>
      <c r="DR30" s="386"/>
      <c r="DS30" s="987"/>
      <c r="DT30" s="386">
        <v>755.11</v>
      </c>
      <c r="DU30" s="387">
        <v>897.30000000000007</v>
      </c>
      <c r="DV30" s="387">
        <v>804.76</v>
      </c>
      <c r="DW30" s="387">
        <v>733.51</v>
      </c>
      <c r="DX30" s="387">
        <v>598.32000000000005</v>
      </c>
      <c r="DY30" s="386">
        <v>658.58999999999992</v>
      </c>
      <c r="DZ30" s="386">
        <v>1186.5</v>
      </c>
      <c r="EA30" s="386">
        <v>7125.1699999999992</v>
      </c>
      <c r="EB30" s="386">
        <v>1350.35</v>
      </c>
      <c r="EC30" s="386">
        <v>1430.71</v>
      </c>
      <c r="ED30" s="386">
        <v>1285.8599999999999</v>
      </c>
      <c r="EE30" s="987">
        <v>-84.440000000000055</v>
      </c>
      <c r="EF30" s="386"/>
      <c r="EG30" s="386"/>
      <c r="EH30" s="386"/>
      <c r="EI30" s="386"/>
      <c r="EJ30" s="386"/>
      <c r="EK30" s="386"/>
      <c r="EL30" s="386"/>
      <c r="EM30" s="386"/>
      <c r="EN30" s="386"/>
      <c r="EO30" s="386"/>
      <c r="EP30" s="386"/>
      <c r="EQ30" s="987"/>
      <c r="ER30" s="386"/>
      <c r="ES30" s="386"/>
      <c r="ET30" s="386"/>
      <c r="EU30" s="386"/>
      <c r="EV30" s="386"/>
      <c r="EW30" s="386"/>
      <c r="EX30" s="386"/>
      <c r="EY30" s="386"/>
      <c r="EZ30" s="386"/>
      <c r="FA30" s="386"/>
      <c r="FB30" s="386"/>
      <c r="FC30" s="987"/>
      <c r="FD30" s="386"/>
      <c r="FE30" s="386"/>
      <c r="FF30" s="386"/>
      <c r="FG30" s="386"/>
      <c r="FH30" s="386"/>
      <c r="FI30" s="386"/>
      <c r="FJ30" s="386"/>
      <c r="FK30" s="386"/>
      <c r="FL30" s="386"/>
      <c r="FM30" s="386"/>
      <c r="FN30" s="386"/>
      <c r="FO30" s="987"/>
      <c r="FP30" s="386"/>
      <c r="FQ30" s="386"/>
      <c r="FR30" s="386"/>
      <c r="FS30" s="386"/>
      <c r="FT30" s="386"/>
      <c r="FU30" s="386"/>
      <c r="FV30" s="386"/>
      <c r="FW30" s="386"/>
      <c r="FX30" s="386"/>
      <c r="FY30" s="386"/>
      <c r="FZ30" s="386"/>
      <c r="GA30" s="987"/>
      <c r="GB30" s="109"/>
      <c r="GC30" s="2201">
        <f t="shared" si="46"/>
        <v>7992.3799999999992</v>
      </c>
      <c r="GD30" s="2202">
        <f t="shared" si="46"/>
        <v>7814.7899999999991</v>
      </c>
      <c r="GE30" s="2202">
        <f t="shared" si="46"/>
        <v>8173.3700000000008</v>
      </c>
      <c r="GF30" s="2202">
        <f t="shared" si="46"/>
        <v>8463.5000000000018</v>
      </c>
      <c r="GG30" s="2202">
        <f t="shared" si="46"/>
        <v>8759.66</v>
      </c>
      <c r="GH30" s="2202">
        <f t="shared" si="46"/>
        <v>9696.119999999999</v>
      </c>
      <c r="GI30" s="2202">
        <f t="shared" si="46"/>
        <v>9427.5300000000007</v>
      </c>
      <c r="GJ30" s="2202">
        <f t="shared" si="46"/>
        <v>9809.2099999999991</v>
      </c>
      <c r="GK30" s="2202">
        <f t="shared" si="46"/>
        <v>9540.5300000000007</v>
      </c>
      <c r="GL30" s="2202">
        <f t="shared" si="46"/>
        <v>8908.9900000000016</v>
      </c>
      <c r="GM30" s="2202">
        <f t="shared" si="46"/>
        <v>9612</v>
      </c>
      <c r="GN30" s="2203">
        <f t="shared" si="46"/>
        <v>9577.8000000000011</v>
      </c>
      <c r="GO30" s="1036">
        <f t="shared" si="47"/>
        <v>755.11</v>
      </c>
      <c r="GP30" s="387">
        <f t="shared" si="47"/>
        <v>897.30000000000007</v>
      </c>
      <c r="GQ30" s="387">
        <f t="shared" si="47"/>
        <v>804.76</v>
      </c>
      <c r="GR30" s="387">
        <f t="shared" si="47"/>
        <v>733.51</v>
      </c>
      <c r="GS30" s="387">
        <f t="shared" si="47"/>
        <v>598.32000000000005</v>
      </c>
      <c r="GT30" s="387">
        <f t="shared" si="47"/>
        <v>658.58999999999992</v>
      </c>
      <c r="GU30" s="387">
        <f t="shared" si="47"/>
        <v>1186.5</v>
      </c>
      <c r="GV30" s="387">
        <f t="shared" si="47"/>
        <v>7125.1699999999992</v>
      </c>
      <c r="GW30" s="387">
        <f t="shared" si="47"/>
        <v>1350.35</v>
      </c>
      <c r="GX30" s="387">
        <f t="shared" si="47"/>
        <v>1430.71</v>
      </c>
      <c r="GY30" s="387">
        <f t="shared" si="47"/>
        <v>1285.8599999999999</v>
      </c>
      <c r="GZ30" s="988">
        <f t="shared" si="47"/>
        <v>-84.440000000000055</v>
      </c>
      <c r="HB30" s="386"/>
      <c r="HC30" s="386"/>
      <c r="HD30" s="386"/>
      <c r="HE30" s="386"/>
      <c r="HF30" s="386"/>
      <c r="HG30" s="386"/>
      <c r="HH30" s="386"/>
      <c r="HI30" s="386"/>
      <c r="HJ30" s="386"/>
      <c r="HK30" s="386"/>
      <c r="HL30" s="386"/>
      <c r="HM30" s="987"/>
    </row>
    <row r="31" spans="1:221">
      <c r="A31" s="326"/>
      <c r="B31" s="326"/>
      <c r="C31" s="326"/>
      <c r="D31" s="1036">
        <f t="shared" ref="D31:AI31" si="48">D29-D28-D10-D11-D12-D9-D30</f>
        <v>5204.0661000000027</v>
      </c>
      <c r="E31" s="387">
        <f t="shared" si="48"/>
        <v>5289.2526000000025</v>
      </c>
      <c r="F31" s="387">
        <f t="shared" si="48"/>
        <v>4794.061799999994</v>
      </c>
      <c r="G31" s="387">
        <f t="shared" si="48"/>
        <v>5383.5252</v>
      </c>
      <c r="H31" s="387">
        <f t="shared" si="48"/>
        <v>5624.2449000000006</v>
      </c>
      <c r="I31" s="387">
        <f t="shared" si="48"/>
        <v>6075.4640999999974</v>
      </c>
      <c r="J31" s="387">
        <f t="shared" si="48"/>
        <v>5248.0325999999986</v>
      </c>
      <c r="K31" s="387">
        <f t="shared" si="48"/>
        <v>5520.8859000000011</v>
      </c>
      <c r="L31" s="387">
        <f t="shared" si="48"/>
        <v>5134.5131999999949</v>
      </c>
      <c r="M31" s="387">
        <f t="shared" si="48"/>
        <v>4946.3265000000019</v>
      </c>
      <c r="N31" s="387">
        <f t="shared" si="48"/>
        <v>5499.7932000000001</v>
      </c>
      <c r="O31" s="988">
        <f t="shared" si="48"/>
        <v>5050.177800000004</v>
      </c>
      <c r="P31" s="386">
        <f t="shared" si="48"/>
        <v>1943.2118999999989</v>
      </c>
      <c r="Q31" s="386">
        <f t="shared" si="48"/>
        <v>1723.6218000000006</v>
      </c>
      <c r="R31" s="386">
        <f t="shared" si="48"/>
        <v>1932.577499999999</v>
      </c>
      <c r="S31" s="386">
        <f t="shared" si="48"/>
        <v>2283.8120999999992</v>
      </c>
      <c r="T31" s="386">
        <f t="shared" si="48"/>
        <v>2340.9758999999981</v>
      </c>
      <c r="U31" s="386">
        <f t="shared" si="48"/>
        <v>2366.7044999999989</v>
      </c>
      <c r="V31" s="386">
        <f t="shared" si="48"/>
        <v>3163.6643999999983</v>
      </c>
      <c r="W31" s="386">
        <f t="shared" si="48"/>
        <v>3559.7786999999989</v>
      </c>
      <c r="X31" s="386">
        <f t="shared" si="48"/>
        <v>3840.3722999999977</v>
      </c>
      <c r="Y31" s="386">
        <f t="shared" si="48"/>
        <v>4494.411900000001</v>
      </c>
      <c r="Z31" s="386">
        <f t="shared" si="48"/>
        <v>4634.5799999999981</v>
      </c>
      <c r="AA31" s="987">
        <f t="shared" si="48"/>
        <v>4703.4321</v>
      </c>
      <c r="AB31" s="386">
        <f t="shared" si="48"/>
        <v>0</v>
      </c>
      <c r="AC31" s="386">
        <f t="shared" si="48"/>
        <v>0</v>
      </c>
      <c r="AD31" s="386">
        <f t="shared" si="48"/>
        <v>0</v>
      </c>
      <c r="AE31" s="386">
        <f t="shared" si="48"/>
        <v>0</v>
      </c>
      <c r="AF31" s="386">
        <f t="shared" si="48"/>
        <v>0</v>
      </c>
      <c r="AG31" s="386">
        <f t="shared" si="48"/>
        <v>0</v>
      </c>
      <c r="AH31" s="386">
        <f t="shared" si="48"/>
        <v>0</v>
      </c>
      <c r="AI31" s="386">
        <f t="shared" si="48"/>
        <v>0</v>
      </c>
      <c r="AJ31" s="386">
        <f t="shared" ref="AJ31:BO31" si="49">AJ29-AJ28-AJ10-AJ11-AJ12-AJ9-AJ30</f>
        <v>0</v>
      </c>
      <c r="AK31" s="386">
        <f t="shared" si="49"/>
        <v>0</v>
      </c>
      <c r="AL31" s="386">
        <f t="shared" si="49"/>
        <v>0</v>
      </c>
      <c r="AM31" s="987">
        <f t="shared" si="49"/>
        <v>0</v>
      </c>
      <c r="AN31" s="386">
        <f t="shared" si="49"/>
        <v>0</v>
      </c>
      <c r="AO31" s="386">
        <f t="shared" si="49"/>
        <v>0</v>
      </c>
      <c r="AP31" s="386">
        <f t="shared" si="49"/>
        <v>0</v>
      </c>
      <c r="AQ31" s="386">
        <f t="shared" si="49"/>
        <v>0</v>
      </c>
      <c r="AR31" s="386">
        <f t="shared" si="49"/>
        <v>0</v>
      </c>
      <c r="AS31" s="386">
        <f t="shared" si="49"/>
        <v>0</v>
      </c>
      <c r="AT31" s="386">
        <f t="shared" si="49"/>
        <v>0</v>
      </c>
      <c r="AU31" s="386">
        <f t="shared" si="49"/>
        <v>0</v>
      </c>
      <c r="AV31" s="386">
        <f t="shared" si="49"/>
        <v>0</v>
      </c>
      <c r="AW31" s="386">
        <f t="shared" si="49"/>
        <v>0</v>
      </c>
      <c r="AX31" s="386">
        <f t="shared" si="49"/>
        <v>0</v>
      </c>
      <c r="AY31" s="987">
        <f t="shared" si="49"/>
        <v>0</v>
      </c>
      <c r="AZ31" s="386">
        <f t="shared" si="49"/>
        <v>0</v>
      </c>
      <c r="BA31" s="386">
        <f t="shared" si="49"/>
        <v>0</v>
      </c>
      <c r="BB31" s="386">
        <f t="shared" si="49"/>
        <v>0</v>
      </c>
      <c r="BC31" s="386">
        <f t="shared" si="49"/>
        <v>0</v>
      </c>
      <c r="BD31" s="386">
        <f t="shared" si="49"/>
        <v>0</v>
      </c>
      <c r="BE31" s="386">
        <f t="shared" si="49"/>
        <v>0</v>
      </c>
      <c r="BF31" s="386">
        <f t="shared" si="49"/>
        <v>0</v>
      </c>
      <c r="BG31" s="386">
        <f t="shared" si="49"/>
        <v>0</v>
      </c>
      <c r="BH31" s="386">
        <f t="shared" si="49"/>
        <v>0</v>
      </c>
      <c r="BI31" s="386">
        <f t="shared" si="49"/>
        <v>0</v>
      </c>
      <c r="BJ31" s="386">
        <f t="shared" si="49"/>
        <v>0</v>
      </c>
      <c r="BK31" s="987">
        <f t="shared" si="49"/>
        <v>0</v>
      </c>
      <c r="BL31" s="386">
        <f t="shared" si="49"/>
        <v>0</v>
      </c>
      <c r="BM31" s="386">
        <f t="shared" si="49"/>
        <v>0</v>
      </c>
      <c r="BN31" s="386">
        <f t="shared" si="49"/>
        <v>0</v>
      </c>
      <c r="BO31" s="386">
        <f t="shared" si="49"/>
        <v>0</v>
      </c>
      <c r="BP31" s="386">
        <f t="shared" ref="BP31:CU31" si="50">BP29-BP28-BP10-BP11-BP12-BP9-BP30</f>
        <v>0</v>
      </c>
      <c r="BQ31" s="386">
        <f t="shared" si="50"/>
        <v>0</v>
      </c>
      <c r="BR31" s="386">
        <f t="shared" si="50"/>
        <v>0</v>
      </c>
      <c r="BS31" s="386">
        <f t="shared" si="50"/>
        <v>0</v>
      </c>
      <c r="BT31" s="386">
        <f t="shared" si="50"/>
        <v>0</v>
      </c>
      <c r="BU31" s="386">
        <f t="shared" si="50"/>
        <v>0</v>
      </c>
      <c r="BV31" s="386">
        <f t="shared" si="50"/>
        <v>0</v>
      </c>
      <c r="BW31" s="987">
        <f t="shared" si="50"/>
        <v>0</v>
      </c>
      <c r="BX31" s="386">
        <f t="shared" si="50"/>
        <v>0</v>
      </c>
      <c r="BY31" s="386">
        <f t="shared" si="50"/>
        <v>0</v>
      </c>
      <c r="BZ31" s="386">
        <f t="shared" si="50"/>
        <v>0</v>
      </c>
      <c r="CA31" s="386">
        <f t="shared" si="50"/>
        <v>0</v>
      </c>
      <c r="CB31" s="386">
        <f t="shared" si="50"/>
        <v>0</v>
      </c>
      <c r="CC31" s="386">
        <f t="shared" si="50"/>
        <v>0</v>
      </c>
      <c r="CD31" s="386">
        <f t="shared" si="50"/>
        <v>0</v>
      </c>
      <c r="CE31" s="386">
        <f t="shared" si="50"/>
        <v>0</v>
      </c>
      <c r="CF31" s="386">
        <f t="shared" si="50"/>
        <v>0</v>
      </c>
      <c r="CG31" s="386">
        <f t="shared" si="50"/>
        <v>0</v>
      </c>
      <c r="CH31" s="386">
        <f t="shared" si="50"/>
        <v>0</v>
      </c>
      <c r="CI31" s="987">
        <f t="shared" si="50"/>
        <v>0</v>
      </c>
      <c r="CJ31" s="386">
        <f t="shared" si="50"/>
        <v>0</v>
      </c>
      <c r="CK31" s="386">
        <f t="shared" si="50"/>
        <v>0</v>
      </c>
      <c r="CL31" s="386">
        <f t="shared" si="50"/>
        <v>0</v>
      </c>
      <c r="CM31" s="386">
        <f t="shared" si="50"/>
        <v>0</v>
      </c>
      <c r="CN31" s="386">
        <f t="shared" si="50"/>
        <v>0</v>
      </c>
      <c r="CO31" s="386">
        <f t="shared" si="50"/>
        <v>0</v>
      </c>
      <c r="CP31" s="386">
        <f t="shared" si="50"/>
        <v>0</v>
      </c>
      <c r="CQ31" s="386">
        <f t="shared" si="50"/>
        <v>0</v>
      </c>
      <c r="CR31" s="386">
        <f t="shared" si="50"/>
        <v>0</v>
      </c>
      <c r="CS31" s="386">
        <f t="shared" si="50"/>
        <v>0</v>
      </c>
      <c r="CT31" s="386">
        <f t="shared" si="50"/>
        <v>0</v>
      </c>
      <c r="CU31" s="987">
        <f t="shared" si="50"/>
        <v>0</v>
      </c>
      <c r="CV31" s="386">
        <f t="shared" ref="CV31:EA31" si="51">CV29-CV28-CV10-CV11-CV12-CV9-CV30</f>
        <v>0</v>
      </c>
      <c r="CW31" s="386">
        <f t="shared" si="51"/>
        <v>0</v>
      </c>
      <c r="CX31" s="386">
        <f t="shared" si="51"/>
        <v>0</v>
      </c>
      <c r="CY31" s="386">
        <f t="shared" si="51"/>
        <v>0</v>
      </c>
      <c r="CZ31" s="386">
        <f t="shared" si="51"/>
        <v>0</v>
      </c>
      <c r="DA31" s="386">
        <f t="shared" si="51"/>
        <v>0</v>
      </c>
      <c r="DB31" s="386">
        <f t="shared" si="51"/>
        <v>0</v>
      </c>
      <c r="DC31" s="386">
        <f t="shared" si="51"/>
        <v>0</v>
      </c>
      <c r="DD31" s="386">
        <f t="shared" si="51"/>
        <v>0</v>
      </c>
      <c r="DE31" s="386">
        <f t="shared" si="51"/>
        <v>0</v>
      </c>
      <c r="DF31" s="386">
        <f t="shared" si="51"/>
        <v>0</v>
      </c>
      <c r="DG31" s="987">
        <f t="shared" si="51"/>
        <v>0</v>
      </c>
      <c r="DH31" s="386">
        <f t="shared" si="51"/>
        <v>0</v>
      </c>
      <c r="DI31" s="386">
        <f t="shared" si="51"/>
        <v>0</v>
      </c>
      <c r="DJ31" s="386">
        <f t="shared" si="51"/>
        <v>0</v>
      </c>
      <c r="DK31" s="386">
        <f t="shared" si="51"/>
        <v>0</v>
      </c>
      <c r="DL31" s="386">
        <f t="shared" si="51"/>
        <v>0</v>
      </c>
      <c r="DM31" s="386">
        <f t="shared" si="51"/>
        <v>0</v>
      </c>
      <c r="DN31" s="386">
        <f t="shared" si="51"/>
        <v>0</v>
      </c>
      <c r="DO31" s="386">
        <f t="shared" si="51"/>
        <v>0</v>
      </c>
      <c r="DP31" s="386">
        <f t="shared" si="51"/>
        <v>0</v>
      </c>
      <c r="DQ31" s="386">
        <f t="shared" si="51"/>
        <v>0</v>
      </c>
      <c r="DR31" s="386">
        <f t="shared" si="51"/>
        <v>0</v>
      </c>
      <c r="DS31" s="987">
        <f t="shared" si="51"/>
        <v>0</v>
      </c>
      <c r="DT31" s="386">
        <f t="shared" si="51"/>
        <v>1223.7315000000003</v>
      </c>
      <c r="DU31" s="386">
        <f t="shared" si="51"/>
        <v>1276.3505999999998</v>
      </c>
      <c r="DV31" s="386">
        <f t="shared" si="51"/>
        <v>1159.1928</v>
      </c>
      <c r="DW31" s="386">
        <f t="shared" si="51"/>
        <v>1119.1155000000001</v>
      </c>
      <c r="DX31" s="386">
        <f t="shared" si="51"/>
        <v>1082.1698999999999</v>
      </c>
      <c r="DY31" s="386">
        <f t="shared" si="51"/>
        <v>1160.8341000000003</v>
      </c>
      <c r="DZ31" s="386">
        <f t="shared" si="51"/>
        <v>826.65030000000024</v>
      </c>
      <c r="EA31" s="386">
        <f t="shared" si="51"/>
        <v>1124.9820000000009</v>
      </c>
      <c r="EB31" s="386">
        <f t="shared" ref="EB31:FG31" si="52">EB29-EB28-EB10-EB11-EB12-EB9-EB30</f>
        <v>1117.8447000000001</v>
      </c>
      <c r="EC31" s="386">
        <f t="shared" si="52"/>
        <v>1074.7787999999991</v>
      </c>
      <c r="ED31" s="386">
        <f t="shared" si="52"/>
        <v>1005.2003999999995</v>
      </c>
      <c r="EE31" s="987">
        <f t="shared" si="52"/>
        <v>661.14120000000003</v>
      </c>
      <c r="EF31" s="386">
        <f t="shared" si="52"/>
        <v>0</v>
      </c>
      <c r="EG31" s="386">
        <f t="shared" si="52"/>
        <v>0</v>
      </c>
      <c r="EH31" s="386">
        <f t="shared" si="52"/>
        <v>0</v>
      </c>
      <c r="EI31" s="386">
        <f t="shared" si="52"/>
        <v>0</v>
      </c>
      <c r="EJ31" s="386">
        <f t="shared" si="52"/>
        <v>0</v>
      </c>
      <c r="EK31" s="386">
        <f t="shared" si="52"/>
        <v>0</v>
      </c>
      <c r="EL31" s="386">
        <f t="shared" si="52"/>
        <v>0</v>
      </c>
      <c r="EM31" s="386">
        <f t="shared" si="52"/>
        <v>0</v>
      </c>
      <c r="EN31" s="386">
        <f t="shared" si="52"/>
        <v>0</v>
      </c>
      <c r="EO31" s="386">
        <f t="shared" si="52"/>
        <v>0</v>
      </c>
      <c r="EP31" s="386">
        <f t="shared" si="52"/>
        <v>0</v>
      </c>
      <c r="EQ31" s="987">
        <f t="shared" si="52"/>
        <v>0</v>
      </c>
      <c r="ER31" s="386">
        <f t="shared" si="52"/>
        <v>0</v>
      </c>
      <c r="ES31" s="386">
        <f t="shared" si="52"/>
        <v>0</v>
      </c>
      <c r="ET31" s="386">
        <f t="shared" si="52"/>
        <v>0</v>
      </c>
      <c r="EU31" s="386">
        <f t="shared" si="52"/>
        <v>0</v>
      </c>
      <c r="EV31" s="386">
        <f t="shared" si="52"/>
        <v>0</v>
      </c>
      <c r="EW31" s="386">
        <f t="shared" si="52"/>
        <v>0</v>
      </c>
      <c r="EX31" s="386">
        <f t="shared" si="52"/>
        <v>0</v>
      </c>
      <c r="EY31" s="386">
        <f t="shared" si="52"/>
        <v>0</v>
      </c>
      <c r="EZ31" s="386">
        <f t="shared" si="52"/>
        <v>0</v>
      </c>
      <c r="FA31" s="386">
        <f t="shared" si="52"/>
        <v>0</v>
      </c>
      <c r="FB31" s="386">
        <f t="shared" si="52"/>
        <v>0</v>
      </c>
      <c r="FC31" s="987">
        <f t="shared" si="52"/>
        <v>0</v>
      </c>
      <c r="FD31" s="386">
        <f t="shared" si="52"/>
        <v>0</v>
      </c>
      <c r="FE31" s="386">
        <f t="shared" si="52"/>
        <v>0</v>
      </c>
      <c r="FF31" s="386">
        <f t="shared" si="52"/>
        <v>0</v>
      </c>
      <c r="FG31" s="386">
        <f t="shared" si="52"/>
        <v>0</v>
      </c>
      <c r="FH31" s="386">
        <f t="shared" ref="FH31:GA31" si="53">FH29-FH28-FH10-FH11-FH12-FH9-FH30</f>
        <v>0</v>
      </c>
      <c r="FI31" s="386">
        <f t="shared" si="53"/>
        <v>0</v>
      </c>
      <c r="FJ31" s="386">
        <f t="shared" si="53"/>
        <v>0</v>
      </c>
      <c r="FK31" s="386">
        <f t="shared" si="53"/>
        <v>0</v>
      </c>
      <c r="FL31" s="386">
        <f t="shared" si="53"/>
        <v>0</v>
      </c>
      <c r="FM31" s="386">
        <f t="shared" si="53"/>
        <v>0</v>
      </c>
      <c r="FN31" s="386">
        <f t="shared" si="53"/>
        <v>0</v>
      </c>
      <c r="FO31" s="987">
        <f t="shared" si="53"/>
        <v>0</v>
      </c>
      <c r="FP31" s="386">
        <f t="shared" si="53"/>
        <v>0</v>
      </c>
      <c r="FQ31" s="386">
        <f t="shared" si="53"/>
        <v>0</v>
      </c>
      <c r="FR31" s="386">
        <f t="shared" si="53"/>
        <v>0</v>
      </c>
      <c r="FS31" s="386">
        <f t="shared" si="53"/>
        <v>0</v>
      </c>
      <c r="FT31" s="386">
        <f t="shared" si="53"/>
        <v>0</v>
      </c>
      <c r="FU31" s="386">
        <f t="shared" si="53"/>
        <v>0</v>
      </c>
      <c r="FV31" s="386">
        <f t="shared" si="53"/>
        <v>0</v>
      </c>
      <c r="FW31" s="386">
        <f t="shared" si="53"/>
        <v>0</v>
      </c>
      <c r="FX31" s="386">
        <f t="shared" si="53"/>
        <v>0</v>
      </c>
      <c r="FY31" s="386">
        <f t="shared" si="53"/>
        <v>0</v>
      </c>
      <c r="FZ31" s="386">
        <f t="shared" si="53"/>
        <v>0</v>
      </c>
      <c r="GA31" s="987">
        <f t="shared" si="53"/>
        <v>0</v>
      </c>
      <c r="GB31" s="109"/>
      <c r="GC31" s="2201">
        <f t="shared" si="46"/>
        <v>7147.2780000000021</v>
      </c>
      <c r="GD31" s="2202">
        <f t="shared" si="46"/>
        <v>7012.8744000000033</v>
      </c>
      <c r="GE31" s="2202">
        <f t="shared" si="46"/>
        <v>6726.6392999999935</v>
      </c>
      <c r="GF31" s="2202">
        <f t="shared" si="46"/>
        <v>7667.3372999999992</v>
      </c>
      <c r="GG31" s="2202">
        <f t="shared" si="46"/>
        <v>7965.2207999999991</v>
      </c>
      <c r="GH31" s="2202">
        <f t="shared" si="46"/>
        <v>8442.1685999999972</v>
      </c>
      <c r="GI31" s="2202">
        <f t="shared" si="46"/>
        <v>8411.6969999999965</v>
      </c>
      <c r="GJ31" s="2202">
        <f t="shared" si="46"/>
        <v>9080.6646000000001</v>
      </c>
      <c r="GK31" s="2202">
        <f t="shared" si="46"/>
        <v>8974.885499999993</v>
      </c>
      <c r="GL31" s="2202">
        <f t="shared" si="46"/>
        <v>9440.738400000002</v>
      </c>
      <c r="GM31" s="2202">
        <f t="shared" si="46"/>
        <v>10134.373199999998</v>
      </c>
      <c r="GN31" s="2203">
        <f t="shared" si="46"/>
        <v>9753.6099000000031</v>
      </c>
      <c r="GO31" s="1036">
        <f t="shared" ref="GO31:GZ31" si="54">GO29-GO28-GO10-GO11-GO12-GO9-GO30</f>
        <v>1223.7315000000003</v>
      </c>
      <c r="GP31" s="387">
        <f t="shared" si="54"/>
        <v>1276.3505999999998</v>
      </c>
      <c r="GQ31" s="387">
        <f t="shared" si="54"/>
        <v>1159.1928</v>
      </c>
      <c r="GR31" s="387">
        <f t="shared" si="54"/>
        <v>1119.1155000000001</v>
      </c>
      <c r="GS31" s="387">
        <f t="shared" si="54"/>
        <v>1082.1698999999999</v>
      </c>
      <c r="GT31" s="387">
        <f t="shared" si="54"/>
        <v>1160.8341000000003</v>
      </c>
      <c r="GU31" s="387">
        <f t="shared" si="54"/>
        <v>826.65030000000024</v>
      </c>
      <c r="GV31" s="387">
        <f t="shared" si="54"/>
        <v>1124.9820000000009</v>
      </c>
      <c r="GW31" s="387">
        <f t="shared" si="54"/>
        <v>1117.8447000000001</v>
      </c>
      <c r="GX31" s="387">
        <f t="shared" si="54"/>
        <v>1074.7787999999991</v>
      </c>
      <c r="GY31" s="387">
        <f t="shared" si="54"/>
        <v>1005.2003999999995</v>
      </c>
      <c r="GZ31" s="988">
        <f t="shared" si="54"/>
        <v>661.14120000000003</v>
      </c>
      <c r="HB31" s="386">
        <f t="shared" ref="HB31:HM31" si="55">HB29-HB28-HB10-HB11-HB12-HB9-HB30</f>
        <v>0</v>
      </c>
      <c r="HC31" s="386">
        <f t="shared" si="55"/>
        <v>0</v>
      </c>
      <c r="HD31" s="386">
        <f t="shared" si="55"/>
        <v>0</v>
      </c>
      <c r="HE31" s="386">
        <f t="shared" si="55"/>
        <v>0</v>
      </c>
      <c r="HF31" s="386">
        <f t="shared" si="55"/>
        <v>0</v>
      </c>
      <c r="HG31" s="386">
        <f t="shared" si="55"/>
        <v>0</v>
      </c>
      <c r="HH31" s="386">
        <f t="shared" si="55"/>
        <v>0</v>
      </c>
      <c r="HI31" s="386">
        <f t="shared" si="55"/>
        <v>0</v>
      </c>
      <c r="HJ31" s="386">
        <f t="shared" si="55"/>
        <v>0</v>
      </c>
      <c r="HK31" s="386">
        <f t="shared" si="55"/>
        <v>0</v>
      </c>
      <c r="HL31" s="386">
        <f t="shared" si="55"/>
        <v>0</v>
      </c>
      <c r="HM31" s="987">
        <f t="shared" si="55"/>
        <v>0</v>
      </c>
    </row>
    <row r="32" spans="1:221">
      <c r="A32" s="326"/>
      <c r="B32" s="326"/>
      <c r="C32" s="326"/>
      <c r="D32" s="1036">
        <f t="shared" ref="D32:AI32" si="56">IF(D$8=0,0,D31/D$8)</f>
        <v>7.8021980509745168</v>
      </c>
      <c r="E32" s="387">
        <f t="shared" si="56"/>
        <v>8.1876975232198177</v>
      </c>
      <c r="F32" s="387">
        <f t="shared" si="56"/>
        <v>8.0980773648648547</v>
      </c>
      <c r="G32" s="387">
        <f t="shared" si="56"/>
        <v>8.2191224427480911</v>
      </c>
      <c r="H32" s="387">
        <f t="shared" si="56"/>
        <v>8.1747745639534894</v>
      </c>
      <c r="I32" s="387">
        <f t="shared" si="56"/>
        <v>8.617679574468081</v>
      </c>
      <c r="J32" s="387">
        <f t="shared" si="56"/>
        <v>8.3834386581469627</v>
      </c>
      <c r="K32" s="387">
        <f t="shared" si="56"/>
        <v>8.4546491577335399</v>
      </c>
      <c r="L32" s="387">
        <f t="shared" si="56"/>
        <v>8.1500209523809435</v>
      </c>
      <c r="M32" s="387">
        <f t="shared" si="56"/>
        <v>8.4552589743589781</v>
      </c>
      <c r="N32" s="387">
        <f t="shared" si="56"/>
        <v>8.4742576271186447</v>
      </c>
      <c r="O32" s="988">
        <f t="shared" si="56"/>
        <v>8.5741558573854064</v>
      </c>
      <c r="P32" s="386">
        <f t="shared" si="56"/>
        <v>8.8213250972762598</v>
      </c>
      <c r="Q32" s="386">
        <f t="shared" si="56"/>
        <v>8.8911957258658827</v>
      </c>
      <c r="R32" s="386">
        <f t="shared" si="56"/>
        <v>11.097655865463489</v>
      </c>
      <c r="S32" s="386">
        <f t="shared" si="56"/>
        <v>11.063449619377161</v>
      </c>
      <c r="T32" s="386">
        <f t="shared" si="56"/>
        <v>10.524618689788044</v>
      </c>
      <c r="U32" s="386">
        <f t="shared" si="56"/>
        <v>10.599444337811894</v>
      </c>
      <c r="V32" s="386">
        <f t="shared" si="56"/>
        <v>14.278304835589935</v>
      </c>
      <c r="W32" s="386">
        <f t="shared" si="56"/>
        <v>15.515847384806971</v>
      </c>
      <c r="X32" s="386">
        <f t="shared" si="56"/>
        <v>15.170770936794572</v>
      </c>
      <c r="Y32" s="386">
        <f t="shared" si="56"/>
        <v>19.492492750929372</v>
      </c>
      <c r="Z32" s="386">
        <f t="shared" si="56"/>
        <v>18.872635253054096</v>
      </c>
      <c r="AA32" s="987">
        <f t="shared" si="56"/>
        <v>19.401310960518561</v>
      </c>
      <c r="AB32" s="386">
        <f t="shared" si="56"/>
        <v>0</v>
      </c>
      <c r="AC32" s="386">
        <f t="shared" si="56"/>
        <v>0</v>
      </c>
      <c r="AD32" s="386">
        <f t="shared" si="56"/>
        <v>0</v>
      </c>
      <c r="AE32" s="386">
        <f t="shared" si="56"/>
        <v>0</v>
      </c>
      <c r="AF32" s="386">
        <f t="shared" si="56"/>
        <v>0</v>
      </c>
      <c r="AG32" s="386">
        <f t="shared" si="56"/>
        <v>0</v>
      </c>
      <c r="AH32" s="386">
        <f t="shared" si="56"/>
        <v>0</v>
      </c>
      <c r="AI32" s="386">
        <f t="shared" si="56"/>
        <v>0</v>
      </c>
      <c r="AJ32" s="386">
        <f t="shared" ref="AJ32:BO32" si="57">IF(AJ$8=0,0,AJ31/AJ$8)</f>
        <v>0</v>
      </c>
      <c r="AK32" s="386">
        <f t="shared" si="57"/>
        <v>0</v>
      </c>
      <c r="AL32" s="386">
        <f t="shared" si="57"/>
        <v>0</v>
      </c>
      <c r="AM32" s="987">
        <f t="shared" si="57"/>
        <v>0</v>
      </c>
      <c r="AN32" s="386">
        <f t="shared" si="57"/>
        <v>0</v>
      </c>
      <c r="AO32" s="386">
        <f t="shared" si="57"/>
        <v>0</v>
      </c>
      <c r="AP32" s="386">
        <f t="shared" si="57"/>
        <v>0</v>
      </c>
      <c r="AQ32" s="386">
        <f t="shared" si="57"/>
        <v>0</v>
      </c>
      <c r="AR32" s="386">
        <f t="shared" si="57"/>
        <v>0</v>
      </c>
      <c r="AS32" s="386">
        <f t="shared" si="57"/>
        <v>0</v>
      </c>
      <c r="AT32" s="386">
        <f t="shared" si="57"/>
        <v>0</v>
      </c>
      <c r="AU32" s="386">
        <f t="shared" si="57"/>
        <v>0</v>
      </c>
      <c r="AV32" s="386">
        <f t="shared" si="57"/>
        <v>0</v>
      </c>
      <c r="AW32" s="386">
        <f t="shared" si="57"/>
        <v>0</v>
      </c>
      <c r="AX32" s="386">
        <f t="shared" si="57"/>
        <v>0</v>
      </c>
      <c r="AY32" s="987">
        <f t="shared" si="57"/>
        <v>0</v>
      </c>
      <c r="AZ32" s="386">
        <f t="shared" si="57"/>
        <v>0</v>
      </c>
      <c r="BA32" s="386">
        <f t="shared" si="57"/>
        <v>0</v>
      </c>
      <c r="BB32" s="386">
        <f t="shared" si="57"/>
        <v>0</v>
      </c>
      <c r="BC32" s="386">
        <f t="shared" si="57"/>
        <v>0</v>
      </c>
      <c r="BD32" s="386">
        <f t="shared" si="57"/>
        <v>0</v>
      </c>
      <c r="BE32" s="386">
        <f t="shared" si="57"/>
        <v>0</v>
      </c>
      <c r="BF32" s="386">
        <f t="shared" si="57"/>
        <v>0</v>
      </c>
      <c r="BG32" s="386">
        <f t="shared" si="57"/>
        <v>0</v>
      </c>
      <c r="BH32" s="386">
        <f t="shared" si="57"/>
        <v>0</v>
      </c>
      <c r="BI32" s="386">
        <f t="shared" si="57"/>
        <v>0</v>
      </c>
      <c r="BJ32" s="386">
        <f t="shared" si="57"/>
        <v>0</v>
      </c>
      <c r="BK32" s="987">
        <f t="shared" si="57"/>
        <v>0</v>
      </c>
      <c r="BL32" s="386">
        <f t="shared" si="57"/>
        <v>0</v>
      </c>
      <c r="BM32" s="386">
        <f t="shared" si="57"/>
        <v>0</v>
      </c>
      <c r="BN32" s="386">
        <f t="shared" si="57"/>
        <v>0</v>
      </c>
      <c r="BO32" s="386">
        <f t="shared" si="57"/>
        <v>0</v>
      </c>
      <c r="BP32" s="386">
        <f t="shared" ref="BP32:CU32" si="58">IF(BP$8=0,0,BP31/BP$8)</f>
        <v>0</v>
      </c>
      <c r="BQ32" s="386">
        <f t="shared" si="58"/>
        <v>0</v>
      </c>
      <c r="BR32" s="386">
        <f t="shared" si="58"/>
        <v>0</v>
      </c>
      <c r="BS32" s="386">
        <f t="shared" si="58"/>
        <v>0</v>
      </c>
      <c r="BT32" s="386">
        <f t="shared" si="58"/>
        <v>0</v>
      </c>
      <c r="BU32" s="386">
        <f t="shared" si="58"/>
        <v>0</v>
      </c>
      <c r="BV32" s="386">
        <f t="shared" si="58"/>
        <v>0</v>
      </c>
      <c r="BW32" s="987">
        <f t="shared" si="58"/>
        <v>0</v>
      </c>
      <c r="BX32" s="386">
        <f t="shared" si="58"/>
        <v>0</v>
      </c>
      <c r="BY32" s="386">
        <f t="shared" si="58"/>
        <v>0</v>
      </c>
      <c r="BZ32" s="386">
        <f t="shared" si="58"/>
        <v>0</v>
      </c>
      <c r="CA32" s="386">
        <f t="shared" si="58"/>
        <v>0</v>
      </c>
      <c r="CB32" s="386">
        <f t="shared" si="58"/>
        <v>0</v>
      </c>
      <c r="CC32" s="386">
        <f t="shared" si="58"/>
        <v>0</v>
      </c>
      <c r="CD32" s="386">
        <f t="shared" si="58"/>
        <v>0</v>
      </c>
      <c r="CE32" s="386">
        <f t="shared" si="58"/>
        <v>0</v>
      </c>
      <c r="CF32" s="386">
        <f t="shared" si="58"/>
        <v>0</v>
      </c>
      <c r="CG32" s="386">
        <f t="shared" si="58"/>
        <v>0</v>
      </c>
      <c r="CH32" s="386">
        <f t="shared" si="58"/>
        <v>0</v>
      </c>
      <c r="CI32" s="987">
        <f t="shared" si="58"/>
        <v>0</v>
      </c>
      <c r="CJ32" s="386">
        <f t="shared" si="58"/>
        <v>0</v>
      </c>
      <c r="CK32" s="386">
        <f t="shared" si="58"/>
        <v>0</v>
      </c>
      <c r="CL32" s="386">
        <f t="shared" si="58"/>
        <v>0</v>
      </c>
      <c r="CM32" s="386">
        <f t="shared" si="58"/>
        <v>0</v>
      </c>
      <c r="CN32" s="386">
        <f t="shared" si="58"/>
        <v>0</v>
      </c>
      <c r="CO32" s="386">
        <f t="shared" si="58"/>
        <v>0</v>
      </c>
      <c r="CP32" s="386">
        <f t="shared" si="58"/>
        <v>0</v>
      </c>
      <c r="CQ32" s="386">
        <f t="shared" si="58"/>
        <v>0</v>
      </c>
      <c r="CR32" s="386">
        <f t="shared" si="58"/>
        <v>0</v>
      </c>
      <c r="CS32" s="386">
        <f t="shared" si="58"/>
        <v>0</v>
      </c>
      <c r="CT32" s="386">
        <f t="shared" si="58"/>
        <v>0</v>
      </c>
      <c r="CU32" s="987">
        <f t="shared" si="58"/>
        <v>0</v>
      </c>
      <c r="CV32" s="386">
        <f t="shared" ref="CV32:EA32" si="59">IF(CV$8=0,0,CV31/CV$8)</f>
        <v>0</v>
      </c>
      <c r="CW32" s="386">
        <f t="shared" si="59"/>
        <v>0</v>
      </c>
      <c r="CX32" s="386">
        <f t="shared" si="59"/>
        <v>0</v>
      </c>
      <c r="CY32" s="386">
        <f t="shared" si="59"/>
        <v>0</v>
      </c>
      <c r="CZ32" s="386">
        <f t="shared" si="59"/>
        <v>0</v>
      </c>
      <c r="DA32" s="386">
        <f t="shared" si="59"/>
        <v>0</v>
      </c>
      <c r="DB32" s="386">
        <f t="shared" si="59"/>
        <v>0</v>
      </c>
      <c r="DC32" s="386">
        <f t="shared" si="59"/>
        <v>0</v>
      </c>
      <c r="DD32" s="386">
        <f t="shared" si="59"/>
        <v>0</v>
      </c>
      <c r="DE32" s="386">
        <f t="shared" si="59"/>
        <v>0</v>
      </c>
      <c r="DF32" s="386">
        <f t="shared" si="59"/>
        <v>0</v>
      </c>
      <c r="DG32" s="987">
        <f t="shared" si="59"/>
        <v>0</v>
      </c>
      <c r="DH32" s="386">
        <f t="shared" si="59"/>
        <v>0</v>
      </c>
      <c r="DI32" s="386">
        <f t="shared" si="59"/>
        <v>0</v>
      </c>
      <c r="DJ32" s="386">
        <f t="shared" si="59"/>
        <v>0</v>
      </c>
      <c r="DK32" s="386">
        <f t="shared" si="59"/>
        <v>0</v>
      </c>
      <c r="DL32" s="386">
        <f t="shared" si="59"/>
        <v>0</v>
      </c>
      <c r="DM32" s="386">
        <f t="shared" si="59"/>
        <v>0</v>
      </c>
      <c r="DN32" s="386">
        <f t="shared" si="59"/>
        <v>0</v>
      </c>
      <c r="DO32" s="386">
        <f t="shared" si="59"/>
        <v>0</v>
      </c>
      <c r="DP32" s="386">
        <f t="shared" si="59"/>
        <v>0</v>
      </c>
      <c r="DQ32" s="386">
        <f t="shared" si="59"/>
        <v>0</v>
      </c>
      <c r="DR32" s="386">
        <f t="shared" si="59"/>
        <v>0</v>
      </c>
      <c r="DS32" s="987">
        <f t="shared" si="59"/>
        <v>0</v>
      </c>
      <c r="DT32" s="386">
        <f t="shared" si="59"/>
        <v>9.6356811023622075</v>
      </c>
      <c r="DU32" s="386">
        <f t="shared" si="59"/>
        <v>10.548352066115701</v>
      </c>
      <c r="DV32" s="386">
        <f t="shared" si="59"/>
        <v>10.733266666666667</v>
      </c>
      <c r="DW32" s="386">
        <f t="shared" si="59"/>
        <v>11.419545918367348</v>
      </c>
      <c r="DX32" s="386">
        <f t="shared" si="59"/>
        <v>12.882974999999998</v>
      </c>
      <c r="DY32" s="386">
        <f t="shared" si="59"/>
        <v>12.617761956521742</v>
      </c>
      <c r="DZ32" s="386">
        <f t="shared" si="59"/>
        <v>11.32397671232877</v>
      </c>
      <c r="EA32" s="386">
        <f t="shared" si="59"/>
        <v>12.0965806451613</v>
      </c>
      <c r="EB32" s="386">
        <f t="shared" ref="EB32:FG32" si="60">IF(EB$8=0,0,EB31/EB$8)</f>
        <v>13.307675000000001</v>
      </c>
      <c r="EC32" s="386">
        <f t="shared" si="60"/>
        <v>12.644456470588224</v>
      </c>
      <c r="ED32" s="386">
        <f t="shared" si="60"/>
        <v>11.422731818181813</v>
      </c>
      <c r="EE32" s="987">
        <f t="shared" si="60"/>
        <v>8.264265</v>
      </c>
      <c r="EF32" s="386">
        <f t="shared" si="60"/>
        <v>0</v>
      </c>
      <c r="EG32" s="386">
        <f t="shared" si="60"/>
        <v>0</v>
      </c>
      <c r="EH32" s="386">
        <f t="shared" si="60"/>
        <v>0</v>
      </c>
      <c r="EI32" s="386">
        <f t="shared" si="60"/>
        <v>0</v>
      </c>
      <c r="EJ32" s="386">
        <f t="shared" si="60"/>
        <v>0</v>
      </c>
      <c r="EK32" s="386">
        <f t="shared" si="60"/>
        <v>0</v>
      </c>
      <c r="EL32" s="386">
        <f t="shared" si="60"/>
        <v>0</v>
      </c>
      <c r="EM32" s="386">
        <f t="shared" si="60"/>
        <v>0</v>
      </c>
      <c r="EN32" s="386">
        <f t="shared" si="60"/>
        <v>0</v>
      </c>
      <c r="EO32" s="386">
        <f t="shared" si="60"/>
        <v>0</v>
      </c>
      <c r="EP32" s="386">
        <f t="shared" si="60"/>
        <v>0</v>
      </c>
      <c r="EQ32" s="987">
        <f t="shared" si="60"/>
        <v>0</v>
      </c>
      <c r="ER32" s="386">
        <f t="shared" si="60"/>
        <v>0</v>
      </c>
      <c r="ES32" s="386">
        <f t="shared" si="60"/>
        <v>0</v>
      </c>
      <c r="ET32" s="386">
        <f t="shared" si="60"/>
        <v>0</v>
      </c>
      <c r="EU32" s="386">
        <f t="shared" si="60"/>
        <v>0</v>
      </c>
      <c r="EV32" s="386">
        <f t="shared" si="60"/>
        <v>0</v>
      </c>
      <c r="EW32" s="386">
        <f t="shared" si="60"/>
        <v>0</v>
      </c>
      <c r="EX32" s="386">
        <f t="shared" si="60"/>
        <v>0</v>
      </c>
      <c r="EY32" s="386">
        <f t="shared" si="60"/>
        <v>0</v>
      </c>
      <c r="EZ32" s="386">
        <f t="shared" si="60"/>
        <v>0</v>
      </c>
      <c r="FA32" s="386">
        <f t="shared" si="60"/>
        <v>0</v>
      </c>
      <c r="FB32" s="386">
        <f t="shared" si="60"/>
        <v>0</v>
      </c>
      <c r="FC32" s="987">
        <f t="shared" si="60"/>
        <v>0</v>
      </c>
      <c r="FD32" s="386">
        <f t="shared" si="60"/>
        <v>0</v>
      </c>
      <c r="FE32" s="386">
        <f t="shared" si="60"/>
        <v>0</v>
      </c>
      <c r="FF32" s="386">
        <f t="shared" si="60"/>
        <v>0</v>
      </c>
      <c r="FG32" s="386">
        <f t="shared" si="60"/>
        <v>0</v>
      </c>
      <c r="FH32" s="386">
        <f t="shared" ref="FH32:GA32" si="61">IF(FH$8=0,0,FH31/FH$8)</f>
        <v>0</v>
      </c>
      <c r="FI32" s="386">
        <f t="shared" si="61"/>
        <v>0</v>
      </c>
      <c r="FJ32" s="386">
        <f t="shared" si="61"/>
        <v>0</v>
      </c>
      <c r="FK32" s="386">
        <f t="shared" si="61"/>
        <v>0</v>
      </c>
      <c r="FL32" s="386">
        <f t="shared" si="61"/>
        <v>0</v>
      </c>
      <c r="FM32" s="386">
        <f t="shared" si="61"/>
        <v>0</v>
      </c>
      <c r="FN32" s="386">
        <f t="shared" si="61"/>
        <v>0</v>
      </c>
      <c r="FO32" s="987">
        <f t="shared" si="61"/>
        <v>0</v>
      </c>
      <c r="FP32" s="386">
        <f t="shared" si="61"/>
        <v>0</v>
      </c>
      <c r="FQ32" s="386">
        <f t="shared" si="61"/>
        <v>0</v>
      </c>
      <c r="FR32" s="386">
        <f t="shared" si="61"/>
        <v>0</v>
      </c>
      <c r="FS32" s="386">
        <f t="shared" si="61"/>
        <v>0</v>
      </c>
      <c r="FT32" s="386">
        <f t="shared" si="61"/>
        <v>0</v>
      </c>
      <c r="FU32" s="386">
        <f t="shared" si="61"/>
        <v>0</v>
      </c>
      <c r="FV32" s="386">
        <f t="shared" si="61"/>
        <v>0</v>
      </c>
      <c r="FW32" s="386">
        <f t="shared" si="61"/>
        <v>0</v>
      </c>
      <c r="FX32" s="386">
        <f t="shared" si="61"/>
        <v>0</v>
      </c>
      <c r="FY32" s="386">
        <f t="shared" si="61"/>
        <v>0</v>
      </c>
      <c r="FZ32" s="386">
        <f t="shared" si="61"/>
        <v>0</v>
      </c>
      <c r="GA32" s="987">
        <f t="shared" si="61"/>
        <v>0</v>
      </c>
      <c r="GB32" s="109"/>
      <c r="GC32" s="2226">
        <f t="shared" ref="GC32:GN32" si="62">IF(SUM(GC56,GC58,GC87:GC88)=0,0,GC31/SUM(GC56,GC58,GC87:GC88))</f>
        <v>8.0552159072613136</v>
      </c>
      <c r="GD32" s="2227">
        <f t="shared" si="62"/>
        <v>8.3500800816465439</v>
      </c>
      <c r="GE32" s="2227">
        <f t="shared" si="62"/>
        <v>8.779876020883826</v>
      </c>
      <c r="GF32" s="2227">
        <f t="shared" si="62"/>
        <v>8.9007232338308455</v>
      </c>
      <c r="GG32" s="2227">
        <f t="shared" si="62"/>
        <v>8.7488695433861601</v>
      </c>
      <c r="GH32" s="2227">
        <f t="shared" si="62"/>
        <v>9.0943644506001817</v>
      </c>
      <c r="GI32" s="2227">
        <f t="shared" si="62"/>
        <v>9.9244697454913151</v>
      </c>
      <c r="GJ32" s="2227">
        <f t="shared" si="62"/>
        <v>10.290537833899952</v>
      </c>
      <c r="GK32" s="2227">
        <f t="shared" si="62"/>
        <v>10.16243909737948</v>
      </c>
      <c r="GL32" s="2227">
        <f t="shared" si="62"/>
        <v>11.575611981082504</v>
      </c>
      <c r="GM32" s="2227">
        <f t="shared" si="62"/>
        <v>11.328746790162885</v>
      </c>
      <c r="GN32" s="2228">
        <f t="shared" si="62"/>
        <v>11.731145927835055</v>
      </c>
      <c r="GO32" s="1036">
        <f t="shared" ref="GO32:GZ33" si="63">IF(GO$8=0,0,GO31/GO$8)</f>
        <v>9.6356811023622075</v>
      </c>
      <c r="GP32" s="387">
        <f t="shared" si="63"/>
        <v>10.548352066115701</v>
      </c>
      <c r="GQ32" s="387">
        <f t="shared" si="63"/>
        <v>10.733266666666667</v>
      </c>
      <c r="GR32" s="387">
        <f t="shared" si="63"/>
        <v>11.419545918367348</v>
      </c>
      <c r="GS32" s="387">
        <f t="shared" si="63"/>
        <v>12.882974999999998</v>
      </c>
      <c r="GT32" s="387">
        <f t="shared" si="63"/>
        <v>12.617761956521742</v>
      </c>
      <c r="GU32" s="387">
        <f t="shared" si="63"/>
        <v>11.32397671232877</v>
      </c>
      <c r="GV32" s="387">
        <f t="shared" si="63"/>
        <v>12.0965806451613</v>
      </c>
      <c r="GW32" s="387">
        <f t="shared" si="63"/>
        <v>13.307675000000001</v>
      </c>
      <c r="GX32" s="387">
        <f t="shared" si="63"/>
        <v>12.644456470588224</v>
      </c>
      <c r="GY32" s="387">
        <f t="shared" si="63"/>
        <v>11.422731818181813</v>
      </c>
      <c r="GZ32" s="988">
        <f t="shared" si="63"/>
        <v>8.264265</v>
      </c>
      <c r="HB32" s="386">
        <f t="shared" ref="HB32:HM33" si="64">IF(HB$8=0,0,HB31/HB$8)</f>
        <v>0</v>
      </c>
      <c r="HC32" s="386">
        <f t="shared" si="64"/>
        <v>0</v>
      </c>
      <c r="HD32" s="386">
        <f t="shared" si="64"/>
        <v>0</v>
      </c>
      <c r="HE32" s="386">
        <f t="shared" si="64"/>
        <v>0</v>
      </c>
      <c r="HF32" s="386">
        <f t="shared" si="64"/>
        <v>0</v>
      </c>
      <c r="HG32" s="386">
        <f t="shared" si="64"/>
        <v>0</v>
      </c>
      <c r="HH32" s="386">
        <f t="shared" si="64"/>
        <v>0</v>
      </c>
      <c r="HI32" s="386">
        <f t="shared" si="64"/>
        <v>0</v>
      </c>
      <c r="HJ32" s="386">
        <f t="shared" si="64"/>
        <v>0</v>
      </c>
      <c r="HK32" s="386">
        <f t="shared" si="64"/>
        <v>0</v>
      </c>
      <c r="HL32" s="386">
        <f t="shared" si="64"/>
        <v>0</v>
      </c>
      <c r="HM32" s="987">
        <f t="shared" si="64"/>
        <v>0</v>
      </c>
    </row>
    <row r="33" spans="1:221">
      <c r="A33" s="326"/>
      <c r="B33" s="326"/>
      <c r="C33" s="326"/>
      <c r="D33" s="1036">
        <f>IF(D$8=0,0,D30/D$8)</f>
        <v>8.5055472263868062</v>
      </c>
      <c r="E33" s="387">
        <f t="shared" ref="E33:AJ33" si="65">IF(E$8=0,0,E32/E$8)</f>
        <v>1.2674454370309316E-2</v>
      </c>
      <c r="F33" s="387">
        <f t="shared" si="65"/>
        <v>1.3679184737947389E-2</v>
      </c>
      <c r="G33" s="387">
        <f t="shared" si="65"/>
        <v>1.2548278538546703E-2</v>
      </c>
      <c r="H33" s="387">
        <f t="shared" si="65"/>
        <v>1.1881939773188211E-2</v>
      </c>
      <c r="I33" s="387">
        <f t="shared" si="65"/>
        <v>1.2223658970876711E-2</v>
      </c>
      <c r="J33" s="387">
        <f t="shared" si="65"/>
        <v>1.3392074533781091E-2</v>
      </c>
      <c r="K33" s="387">
        <f t="shared" si="65"/>
        <v>1.294739534109271E-2</v>
      </c>
      <c r="L33" s="387">
        <f t="shared" si="65"/>
        <v>1.2936541194255465E-2</v>
      </c>
      <c r="M33" s="387">
        <f t="shared" si="65"/>
        <v>1.4453434144203381E-2</v>
      </c>
      <c r="N33" s="387">
        <f t="shared" si="65"/>
        <v>1.3057407745945524E-2</v>
      </c>
      <c r="O33" s="988">
        <f t="shared" si="65"/>
        <v>1.455714067467811E-2</v>
      </c>
      <c r="P33" s="386">
        <f t="shared" si="65"/>
        <v>4.0044925863121805E-2</v>
      </c>
      <c r="Q33" s="386">
        <f t="shared" si="65"/>
        <v>4.5864679499676625E-2</v>
      </c>
      <c r="R33" s="386">
        <f t="shared" si="65"/>
        <v>6.3727310138018398E-2</v>
      </c>
      <c r="S33" s="386">
        <f t="shared" si="65"/>
        <v>5.3594565630200791E-2</v>
      </c>
      <c r="T33" s="386">
        <f t="shared" si="65"/>
        <v>4.7316847031802375E-2</v>
      </c>
      <c r="U33" s="386">
        <f t="shared" si="65"/>
        <v>4.7470320130955375E-2</v>
      </c>
      <c r="V33" s="386">
        <f t="shared" si="65"/>
        <v>6.444109210130855E-2</v>
      </c>
      <c r="W33" s="386">
        <f t="shared" si="65"/>
        <v>6.7628226459308105E-2</v>
      </c>
      <c r="X33" s="386">
        <f t="shared" si="65"/>
        <v>5.9929682030226861E-2</v>
      </c>
      <c r="Y33" s="386">
        <f t="shared" si="65"/>
        <v>8.4539931385691214E-2</v>
      </c>
      <c r="Z33" s="386">
        <f t="shared" si="65"/>
        <v>7.6851917842570491E-2</v>
      </c>
      <c r="AA33" s="987">
        <f t="shared" si="65"/>
        <v>8.0028978623235075E-2</v>
      </c>
      <c r="AB33" s="386">
        <f t="shared" si="65"/>
        <v>0</v>
      </c>
      <c r="AC33" s="386">
        <f t="shared" si="65"/>
        <v>0</v>
      </c>
      <c r="AD33" s="386">
        <f t="shared" si="65"/>
        <v>0</v>
      </c>
      <c r="AE33" s="386">
        <f t="shared" si="65"/>
        <v>0</v>
      </c>
      <c r="AF33" s="386">
        <f t="shared" si="65"/>
        <v>0</v>
      </c>
      <c r="AG33" s="386">
        <f t="shared" si="65"/>
        <v>0</v>
      </c>
      <c r="AH33" s="386">
        <f t="shared" si="65"/>
        <v>0</v>
      </c>
      <c r="AI33" s="386">
        <f t="shared" si="65"/>
        <v>0</v>
      </c>
      <c r="AJ33" s="386">
        <f t="shared" si="65"/>
        <v>0</v>
      </c>
      <c r="AK33" s="386">
        <f t="shared" ref="AK33:BP33" si="66">IF(AK$8=0,0,AK32/AK$8)</f>
        <v>0</v>
      </c>
      <c r="AL33" s="386">
        <f t="shared" si="66"/>
        <v>0</v>
      </c>
      <c r="AM33" s="987">
        <f t="shared" si="66"/>
        <v>0</v>
      </c>
      <c r="AN33" s="386">
        <f t="shared" si="66"/>
        <v>0</v>
      </c>
      <c r="AO33" s="386">
        <f t="shared" si="66"/>
        <v>0</v>
      </c>
      <c r="AP33" s="386">
        <f t="shared" si="66"/>
        <v>0</v>
      </c>
      <c r="AQ33" s="386">
        <f t="shared" si="66"/>
        <v>0</v>
      </c>
      <c r="AR33" s="386">
        <f t="shared" si="66"/>
        <v>0</v>
      </c>
      <c r="AS33" s="386">
        <f t="shared" si="66"/>
        <v>0</v>
      </c>
      <c r="AT33" s="386">
        <f t="shared" si="66"/>
        <v>0</v>
      </c>
      <c r="AU33" s="386">
        <f t="shared" si="66"/>
        <v>0</v>
      </c>
      <c r="AV33" s="386">
        <f t="shared" si="66"/>
        <v>0</v>
      </c>
      <c r="AW33" s="386">
        <f t="shared" si="66"/>
        <v>0</v>
      </c>
      <c r="AX33" s="386">
        <f t="shared" si="66"/>
        <v>0</v>
      </c>
      <c r="AY33" s="987">
        <f t="shared" si="66"/>
        <v>0</v>
      </c>
      <c r="AZ33" s="386">
        <f t="shared" si="66"/>
        <v>0</v>
      </c>
      <c r="BA33" s="386">
        <f t="shared" si="66"/>
        <v>0</v>
      </c>
      <c r="BB33" s="386">
        <f t="shared" si="66"/>
        <v>0</v>
      </c>
      <c r="BC33" s="386">
        <f t="shared" si="66"/>
        <v>0</v>
      </c>
      <c r="BD33" s="386">
        <f t="shared" si="66"/>
        <v>0</v>
      </c>
      <c r="BE33" s="386">
        <f t="shared" si="66"/>
        <v>0</v>
      </c>
      <c r="BF33" s="386">
        <f t="shared" si="66"/>
        <v>0</v>
      </c>
      <c r="BG33" s="386">
        <f t="shared" si="66"/>
        <v>0</v>
      </c>
      <c r="BH33" s="386">
        <f t="shared" si="66"/>
        <v>0</v>
      </c>
      <c r="BI33" s="386">
        <f t="shared" si="66"/>
        <v>0</v>
      </c>
      <c r="BJ33" s="386">
        <f t="shared" si="66"/>
        <v>0</v>
      </c>
      <c r="BK33" s="987">
        <f t="shared" si="66"/>
        <v>0</v>
      </c>
      <c r="BL33" s="386">
        <f t="shared" si="66"/>
        <v>0</v>
      </c>
      <c r="BM33" s="386">
        <f t="shared" si="66"/>
        <v>0</v>
      </c>
      <c r="BN33" s="386">
        <f t="shared" si="66"/>
        <v>0</v>
      </c>
      <c r="BO33" s="386">
        <f t="shared" si="66"/>
        <v>0</v>
      </c>
      <c r="BP33" s="386">
        <f t="shared" si="66"/>
        <v>0</v>
      </c>
      <c r="BQ33" s="386">
        <f t="shared" ref="BQ33:CV33" si="67">IF(BQ$8=0,0,BQ32/BQ$8)</f>
        <v>0</v>
      </c>
      <c r="BR33" s="386">
        <f t="shared" si="67"/>
        <v>0</v>
      </c>
      <c r="BS33" s="386">
        <f t="shared" si="67"/>
        <v>0</v>
      </c>
      <c r="BT33" s="386">
        <f t="shared" si="67"/>
        <v>0</v>
      </c>
      <c r="BU33" s="386">
        <f t="shared" si="67"/>
        <v>0</v>
      </c>
      <c r="BV33" s="386">
        <f t="shared" si="67"/>
        <v>0</v>
      </c>
      <c r="BW33" s="987">
        <f t="shared" si="67"/>
        <v>0</v>
      </c>
      <c r="BX33" s="386">
        <f t="shared" si="67"/>
        <v>0</v>
      </c>
      <c r="BY33" s="386">
        <f t="shared" si="67"/>
        <v>0</v>
      </c>
      <c r="BZ33" s="386">
        <f t="shared" si="67"/>
        <v>0</v>
      </c>
      <c r="CA33" s="386">
        <f t="shared" si="67"/>
        <v>0</v>
      </c>
      <c r="CB33" s="386">
        <f t="shared" si="67"/>
        <v>0</v>
      </c>
      <c r="CC33" s="386">
        <f t="shared" si="67"/>
        <v>0</v>
      </c>
      <c r="CD33" s="386">
        <f t="shared" si="67"/>
        <v>0</v>
      </c>
      <c r="CE33" s="386">
        <f t="shared" si="67"/>
        <v>0</v>
      </c>
      <c r="CF33" s="386">
        <f t="shared" si="67"/>
        <v>0</v>
      </c>
      <c r="CG33" s="386">
        <f t="shared" si="67"/>
        <v>0</v>
      </c>
      <c r="CH33" s="386">
        <f t="shared" si="67"/>
        <v>0</v>
      </c>
      <c r="CI33" s="987">
        <f t="shared" si="67"/>
        <v>0</v>
      </c>
      <c r="CJ33" s="386">
        <f t="shared" si="67"/>
        <v>0</v>
      </c>
      <c r="CK33" s="386">
        <f t="shared" si="67"/>
        <v>0</v>
      </c>
      <c r="CL33" s="386">
        <f t="shared" si="67"/>
        <v>0</v>
      </c>
      <c r="CM33" s="386">
        <f t="shared" si="67"/>
        <v>0</v>
      </c>
      <c r="CN33" s="386">
        <f t="shared" si="67"/>
        <v>0</v>
      </c>
      <c r="CO33" s="386">
        <f t="shared" si="67"/>
        <v>0</v>
      </c>
      <c r="CP33" s="386">
        <f t="shared" si="67"/>
        <v>0</v>
      </c>
      <c r="CQ33" s="386">
        <f t="shared" si="67"/>
        <v>0</v>
      </c>
      <c r="CR33" s="386">
        <f t="shared" si="67"/>
        <v>0</v>
      </c>
      <c r="CS33" s="386">
        <f t="shared" si="67"/>
        <v>0</v>
      </c>
      <c r="CT33" s="386">
        <f t="shared" si="67"/>
        <v>0</v>
      </c>
      <c r="CU33" s="987">
        <f t="shared" si="67"/>
        <v>0</v>
      </c>
      <c r="CV33" s="386">
        <f t="shared" si="67"/>
        <v>0</v>
      </c>
      <c r="CW33" s="386">
        <f t="shared" ref="CW33:EB33" si="68">IF(CW$8=0,0,CW32/CW$8)</f>
        <v>0</v>
      </c>
      <c r="CX33" s="386">
        <f t="shared" si="68"/>
        <v>0</v>
      </c>
      <c r="CY33" s="386">
        <f t="shared" si="68"/>
        <v>0</v>
      </c>
      <c r="CZ33" s="386">
        <f t="shared" si="68"/>
        <v>0</v>
      </c>
      <c r="DA33" s="386">
        <f t="shared" si="68"/>
        <v>0</v>
      </c>
      <c r="DB33" s="386">
        <f t="shared" si="68"/>
        <v>0</v>
      </c>
      <c r="DC33" s="386">
        <f t="shared" si="68"/>
        <v>0</v>
      </c>
      <c r="DD33" s="386">
        <f t="shared" si="68"/>
        <v>0</v>
      </c>
      <c r="DE33" s="386">
        <f t="shared" si="68"/>
        <v>0</v>
      </c>
      <c r="DF33" s="386">
        <f t="shared" si="68"/>
        <v>0</v>
      </c>
      <c r="DG33" s="987">
        <f t="shared" si="68"/>
        <v>0</v>
      </c>
      <c r="DH33" s="386">
        <f t="shared" si="68"/>
        <v>0</v>
      </c>
      <c r="DI33" s="386">
        <f t="shared" si="68"/>
        <v>0</v>
      </c>
      <c r="DJ33" s="386">
        <f t="shared" si="68"/>
        <v>0</v>
      </c>
      <c r="DK33" s="386">
        <f t="shared" si="68"/>
        <v>0</v>
      </c>
      <c r="DL33" s="386">
        <f t="shared" si="68"/>
        <v>0</v>
      </c>
      <c r="DM33" s="386">
        <f t="shared" si="68"/>
        <v>0</v>
      </c>
      <c r="DN33" s="386">
        <f t="shared" si="68"/>
        <v>0</v>
      </c>
      <c r="DO33" s="386">
        <f t="shared" si="68"/>
        <v>0</v>
      </c>
      <c r="DP33" s="386">
        <f t="shared" si="68"/>
        <v>0</v>
      </c>
      <c r="DQ33" s="386">
        <f t="shared" si="68"/>
        <v>0</v>
      </c>
      <c r="DR33" s="386">
        <f t="shared" si="68"/>
        <v>0</v>
      </c>
      <c r="DS33" s="987">
        <f t="shared" si="68"/>
        <v>0</v>
      </c>
      <c r="DT33" s="386">
        <f t="shared" si="68"/>
        <v>7.5871504743009507E-2</v>
      </c>
      <c r="DU33" s="386">
        <f t="shared" si="68"/>
        <v>8.7176463356328102E-2</v>
      </c>
      <c r="DV33" s="386">
        <f t="shared" si="68"/>
        <v>9.9382098765432109E-2</v>
      </c>
      <c r="DW33" s="386">
        <f t="shared" si="68"/>
        <v>0.11652597875885048</v>
      </c>
      <c r="DX33" s="386">
        <f t="shared" si="68"/>
        <v>0.15336874999999997</v>
      </c>
      <c r="DY33" s="386">
        <f t="shared" si="68"/>
        <v>0.13714958648393197</v>
      </c>
      <c r="DZ33" s="386">
        <f t="shared" si="68"/>
        <v>0.15512296866203795</v>
      </c>
      <c r="EA33" s="386">
        <f t="shared" si="68"/>
        <v>0.13007075962539033</v>
      </c>
      <c r="EB33" s="386">
        <f t="shared" si="68"/>
        <v>0.15842470238095241</v>
      </c>
      <c r="EC33" s="386">
        <f t="shared" ref="EC33:FH33" si="69">IF(EC$8=0,0,EC32/EC$8)</f>
        <v>0.14875831141868498</v>
      </c>
      <c r="ED33" s="386">
        <f t="shared" si="69"/>
        <v>0.12980377066115698</v>
      </c>
      <c r="EE33" s="987">
        <f t="shared" si="69"/>
        <v>0.10330331249999999</v>
      </c>
      <c r="EF33" s="386">
        <f t="shared" si="69"/>
        <v>0</v>
      </c>
      <c r="EG33" s="386">
        <f t="shared" si="69"/>
        <v>0</v>
      </c>
      <c r="EH33" s="386">
        <f t="shared" si="69"/>
        <v>0</v>
      </c>
      <c r="EI33" s="386">
        <f t="shared" si="69"/>
        <v>0</v>
      </c>
      <c r="EJ33" s="386">
        <f t="shared" si="69"/>
        <v>0</v>
      </c>
      <c r="EK33" s="386">
        <f t="shared" si="69"/>
        <v>0</v>
      </c>
      <c r="EL33" s="386">
        <f t="shared" si="69"/>
        <v>0</v>
      </c>
      <c r="EM33" s="386">
        <f t="shared" si="69"/>
        <v>0</v>
      </c>
      <c r="EN33" s="386">
        <f t="shared" si="69"/>
        <v>0</v>
      </c>
      <c r="EO33" s="386">
        <f t="shared" si="69"/>
        <v>0</v>
      </c>
      <c r="EP33" s="386">
        <f t="shared" si="69"/>
        <v>0</v>
      </c>
      <c r="EQ33" s="987">
        <f t="shared" si="69"/>
        <v>0</v>
      </c>
      <c r="ER33" s="386">
        <f t="shared" si="69"/>
        <v>0</v>
      </c>
      <c r="ES33" s="386">
        <f t="shared" si="69"/>
        <v>0</v>
      </c>
      <c r="ET33" s="386">
        <f t="shared" si="69"/>
        <v>0</v>
      </c>
      <c r="EU33" s="386">
        <f t="shared" si="69"/>
        <v>0</v>
      </c>
      <c r="EV33" s="386">
        <f t="shared" si="69"/>
        <v>0</v>
      </c>
      <c r="EW33" s="386">
        <f t="shared" si="69"/>
        <v>0</v>
      </c>
      <c r="EX33" s="386">
        <f t="shared" si="69"/>
        <v>0</v>
      </c>
      <c r="EY33" s="386">
        <f t="shared" si="69"/>
        <v>0</v>
      </c>
      <c r="EZ33" s="386">
        <f t="shared" si="69"/>
        <v>0</v>
      </c>
      <c r="FA33" s="386">
        <f t="shared" si="69"/>
        <v>0</v>
      </c>
      <c r="FB33" s="386">
        <f t="shared" si="69"/>
        <v>0</v>
      </c>
      <c r="FC33" s="987">
        <f t="shared" si="69"/>
        <v>0</v>
      </c>
      <c r="FD33" s="386">
        <f t="shared" si="69"/>
        <v>0</v>
      </c>
      <c r="FE33" s="386">
        <f t="shared" si="69"/>
        <v>0</v>
      </c>
      <c r="FF33" s="386">
        <f t="shared" si="69"/>
        <v>0</v>
      </c>
      <c r="FG33" s="386">
        <f t="shared" si="69"/>
        <v>0</v>
      </c>
      <c r="FH33" s="386">
        <f t="shared" si="69"/>
        <v>0</v>
      </c>
      <c r="FI33" s="386">
        <f t="shared" ref="FI33:GA33" si="70">IF(FI$8=0,0,FI32/FI$8)</f>
        <v>0</v>
      </c>
      <c r="FJ33" s="386">
        <f t="shared" si="70"/>
        <v>0</v>
      </c>
      <c r="FK33" s="386">
        <f t="shared" si="70"/>
        <v>0</v>
      </c>
      <c r="FL33" s="386">
        <f t="shared" si="70"/>
        <v>0</v>
      </c>
      <c r="FM33" s="386">
        <f t="shared" si="70"/>
        <v>0</v>
      </c>
      <c r="FN33" s="386">
        <f t="shared" si="70"/>
        <v>0</v>
      </c>
      <c r="FO33" s="987">
        <f t="shared" si="70"/>
        <v>0</v>
      </c>
      <c r="FP33" s="386">
        <f t="shared" si="70"/>
        <v>0</v>
      </c>
      <c r="FQ33" s="386">
        <f t="shared" si="70"/>
        <v>0</v>
      </c>
      <c r="FR33" s="386">
        <f t="shared" si="70"/>
        <v>0</v>
      </c>
      <c r="FS33" s="386">
        <f t="shared" si="70"/>
        <v>0</v>
      </c>
      <c r="FT33" s="386">
        <f t="shared" si="70"/>
        <v>0</v>
      </c>
      <c r="FU33" s="386">
        <f t="shared" si="70"/>
        <v>0</v>
      </c>
      <c r="FV33" s="386">
        <f t="shared" si="70"/>
        <v>0</v>
      </c>
      <c r="FW33" s="386">
        <f t="shared" si="70"/>
        <v>0</v>
      </c>
      <c r="FX33" s="386">
        <f t="shared" si="70"/>
        <v>0</v>
      </c>
      <c r="FY33" s="386">
        <f t="shared" si="70"/>
        <v>0</v>
      </c>
      <c r="FZ33" s="386">
        <f t="shared" si="70"/>
        <v>0</v>
      </c>
      <c r="GA33" s="987">
        <f t="shared" si="70"/>
        <v>0</v>
      </c>
      <c r="GB33" s="109"/>
      <c r="GC33" s="2226">
        <f t="shared" ref="GC33:GN33" si="71">IF(SUM(GC56,GC58,GC87:GC88)=0,0,GC30/SUM(GC56,GC58,GC87:GC88))</f>
        <v>9.0076734825309934</v>
      </c>
      <c r="GD33" s="2227">
        <f t="shared" si="71"/>
        <v>9.3049038952202761</v>
      </c>
      <c r="GE33" s="2227">
        <f t="shared" si="71"/>
        <v>10.668206227857544</v>
      </c>
      <c r="GF33" s="2227">
        <f t="shared" si="71"/>
        <v>9.8249585406301847</v>
      </c>
      <c r="GG33" s="2227">
        <f t="shared" si="71"/>
        <v>9.621468696061509</v>
      </c>
      <c r="GH33" s="2227">
        <f t="shared" si="71"/>
        <v>10.445189289012003</v>
      </c>
      <c r="GI33" s="2227">
        <f t="shared" si="71"/>
        <v>11.122991741109052</v>
      </c>
      <c r="GJ33" s="2227">
        <f t="shared" si="71"/>
        <v>11.11615185365064</v>
      </c>
      <c r="GK33" s="2227">
        <f t="shared" si="71"/>
        <v>10.802929472662569</v>
      </c>
      <c r="GL33" s="2227">
        <f t="shared" si="71"/>
        <v>10.923617095813629</v>
      </c>
      <c r="GM33" s="2227">
        <f t="shared" si="71"/>
        <v>10.744809964867455</v>
      </c>
      <c r="GN33" s="2228">
        <f t="shared" si="71"/>
        <v>11.519690721649486</v>
      </c>
      <c r="GO33" s="1036">
        <f t="shared" si="63"/>
        <v>7.5871504743009507E-2</v>
      </c>
      <c r="GP33" s="387">
        <f t="shared" si="63"/>
        <v>8.7176463356328102E-2</v>
      </c>
      <c r="GQ33" s="387">
        <f t="shared" si="63"/>
        <v>9.9382098765432109E-2</v>
      </c>
      <c r="GR33" s="387">
        <f t="shared" si="63"/>
        <v>0.11652597875885048</v>
      </c>
      <c r="GS33" s="387">
        <f t="shared" si="63"/>
        <v>0.15336874999999997</v>
      </c>
      <c r="GT33" s="387">
        <f t="shared" si="63"/>
        <v>0.13714958648393197</v>
      </c>
      <c r="GU33" s="387">
        <f t="shared" si="63"/>
        <v>0.15512296866203795</v>
      </c>
      <c r="GV33" s="387">
        <f t="shared" si="63"/>
        <v>0.13007075962539033</v>
      </c>
      <c r="GW33" s="387">
        <f t="shared" si="63"/>
        <v>0.15842470238095241</v>
      </c>
      <c r="GX33" s="387">
        <f t="shared" si="63"/>
        <v>0.14875831141868498</v>
      </c>
      <c r="GY33" s="387">
        <f t="shared" si="63"/>
        <v>0.12980377066115698</v>
      </c>
      <c r="GZ33" s="988">
        <f t="shared" si="63"/>
        <v>0.10330331249999999</v>
      </c>
      <c r="HB33" s="386">
        <f t="shared" si="64"/>
        <v>0</v>
      </c>
      <c r="HC33" s="386">
        <f t="shared" si="64"/>
        <v>0</v>
      </c>
      <c r="HD33" s="386">
        <f t="shared" si="64"/>
        <v>0</v>
      </c>
      <c r="HE33" s="386">
        <f t="shared" si="64"/>
        <v>0</v>
      </c>
      <c r="HF33" s="386">
        <f t="shared" si="64"/>
        <v>0</v>
      </c>
      <c r="HG33" s="386">
        <f t="shared" si="64"/>
        <v>0</v>
      </c>
      <c r="HH33" s="386">
        <f t="shared" si="64"/>
        <v>0</v>
      </c>
      <c r="HI33" s="386">
        <f t="shared" si="64"/>
        <v>0</v>
      </c>
      <c r="HJ33" s="386">
        <f t="shared" si="64"/>
        <v>0</v>
      </c>
      <c r="HK33" s="386">
        <f t="shared" si="64"/>
        <v>0</v>
      </c>
      <c r="HL33" s="386">
        <f t="shared" si="64"/>
        <v>0</v>
      </c>
      <c r="HM33" s="987">
        <f t="shared" si="64"/>
        <v>0</v>
      </c>
    </row>
    <row r="34" spans="1:221" s="1731" customFormat="1">
      <c r="A34" s="1725" t="s">
        <v>900</v>
      </c>
      <c r="B34" s="1725" t="s">
        <v>901</v>
      </c>
      <c r="C34" s="1725" t="s">
        <v>3682</v>
      </c>
      <c r="D34" s="1726">
        <v>16182.31</v>
      </c>
      <c r="E34" s="1727">
        <v>15626.89</v>
      </c>
      <c r="F34" s="1727">
        <v>14979.18</v>
      </c>
      <c r="G34" s="1727">
        <v>15729.98</v>
      </c>
      <c r="H34" s="1727">
        <v>17166.66</v>
      </c>
      <c r="I34" s="1727">
        <v>21262.35</v>
      </c>
      <c r="J34" s="1727">
        <v>15108.26</v>
      </c>
      <c r="K34" s="1727">
        <v>15971.97</v>
      </c>
      <c r="L34" s="1727">
        <v>16680.93</v>
      </c>
      <c r="M34" s="1727">
        <v>14675.87</v>
      </c>
      <c r="N34" s="1727">
        <v>17455.2</v>
      </c>
      <c r="O34" s="1728">
        <v>15072.58</v>
      </c>
      <c r="P34" s="1729">
        <v>5789.91</v>
      </c>
      <c r="Q34" s="1729">
        <v>5044.54</v>
      </c>
      <c r="R34" s="1729">
        <v>6262.57</v>
      </c>
      <c r="S34" s="1729">
        <v>6022.81</v>
      </c>
      <c r="T34" s="1729">
        <v>6516.87</v>
      </c>
      <c r="U34" s="1729">
        <v>8283.9599999999991</v>
      </c>
      <c r="V34" s="1729">
        <v>10329.57</v>
      </c>
      <c r="W34" s="1729">
        <v>10958.42</v>
      </c>
      <c r="X34" s="1729">
        <v>15550.01</v>
      </c>
      <c r="Y34" s="1729">
        <v>18693.64</v>
      </c>
      <c r="Z34" s="1729">
        <v>13395.42</v>
      </c>
      <c r="AA34" s="1730">
        <v>14938.08</v>
      </c>
      <c r="AB34" s="1729"/>
      <c r="AC34" s="1729"/>
      <c r="AD34" s="1729"/>
      <c r="AE34" s="1729"/>
      <c r="AF34" s="1729"/>
      <c r="AG34" s="1729"/>
      <c r="AH34" s="1729"/>
      <c r="AI34" s="1729"/>
      <c r="AJ34" s="1729"/>
      <c r="AK34" s="1729"/>
      <c r="AL34" s="1729"/>
      <c r="AM34" s="1730"/>
      <c r="AN34" s="1729"/>
      <c r="AO34" s="1729"/>
      <c r="AP34" s="1729"/>
      <c r="AQ34" s="1729"/>
      <c r="AR34" s="1729"/>
      <c r="AS34" s="1729"/>
      <c r="AT34" s="1729"/>
      <c r="AU34" s="1729"/>
      <c r="AV34" s="1729"/>
      <c r="AW34" s="1729"/>
      <c r="AX34" s="1729"/>
      <c r="AY34" s="1730"/>
      <c r="AZ34" s="1729"/>
      <c r="BA34" s="1729"/>
      <c r="BB34" s="1729"/>
      <c r="BC34" s="1729"/>
      <c r="BD34" s="1729"/>
      <c r="BE34" s="1729"/>
      <c r="BF34" s="1729"/>
      <c r="BG34" s="1729"/>
      <c r="BH34" s="1729"/>
      <c r="BI34" s="1729"/>
      <c r="BJ34" s="1729"/>
      <c r="BK34" s="1730"/>
      <c r="BL34" s="1729"/>
      <c r="BM34" s="1729"/>
      <c r="BN34" s="1729"/>
      <c r="BO34" s="1729"/>
      <c r="BP34" s="1729"/>
      <c r="BQ34" s="1729"/>
      <c r="BR34" s="1729"/>
      <c r="BS34" s="1729"/>
      <c r="BT34" s="1729"/>
      <c r="BU34" s="1729"/>
      <c r="BV34" s="1729"/>
      <c r="BW34" s="1730"/>
      <c r="BX34" s="1729"/>
      <c r="BY34" s="1729"/>
      <c r="BZ34" s="1729"/>
      <c r="CA34" s="1729"/>
      <c r="CB34" s="1729"/>
      <c r="CC34" s="1729"/>
      <c r="CD34" s="1729"/>
      <c r="CE34" s="1729"/>
      <c r="CF34" s="1729"/>
      <c r="CG34" s="1729"/>
      <c r="CH34" s="1729"/>
      <c r="CI34" s="1730"/>
      <c r="CJ34" s="1729"/>
      <c r="CK34" s="1729"/>
      <c r="CL34" s="1729"/>
      <c r="CM34" s="1729"/>
      <c r="CN34" s="1729"/>
      <c r="CO34" s="1729"/>
      <c r="CP34" s="1729"/>
      <c r="CQ34" s="1729"/>
      <c r="CR34" s="1729"/>
      <c r="CS34" s="1729"/>
      <c r="CT34" s="1729"/>
      <c r="CU34" s="1730"/>
      <c r="CV34" s="1729"/>
      <c r="CW34" s="1729"/>
      <c r="CX34" s="1729"/>
      <c r="CY34" s="1729"/>
      <c r="CZ34" s="1729"/>
      <c r="DA34" s="1729"/>
      <c r="DB34" s="1729"/>
      <c r="DC34" s="1729"/>
      <c r="DD34" s="1729"/>
      <c r="DE34" s="1729"/>
      <c r="DF34" s="1729"/>
      <c r="DG34" s="1730"/>
      <c r="DH34" s="1729"/>
      <c r="DI34" s="1729"/>
      <c r="DJ34" s="1729"/>
      <c r="DK34" s="1729"/>
      <c r="DL34" s="1729"/>
      <c r="DM34" s="1729"/>
      <c r="DN34" s="1729"/>
      <c r="DO34" s="1729"/>
      <c r="DP34" s="1729"/>
      <c r="DQ34" s="1729"/>
      <c r="DR34" s="1729"/>
      <c r="DS34" s="1730"/>
      <c r="DT34" s="1729">
        <v>4117.1400000000003</v>
      </c>
      <c r="DU34" s="1729">
        <v>4170.79</v>
      </c>
      <c r="DV34" s="1729">
        <v>3777.93</v>
      </c>
      <c r="DW34" s="1729">
        <v>3759.17</v>
      </c>
      <c r="DX34" s="1727">
        <v>3434.39</v>
      </c>
      <c r="DY34" s="1729">
        <v>4123.1499999999996</v>
      </c>
      <c r="DZ34" s="1729">
        <v>3093.25</v>
      </c>
      <c r="EA34" s="1729">
        <v>3583.15</v>
      </c>
      <c r="EB34" s="1729">
        <v>4038.71</v>
      </c>
      <c r="EC34" s="1729">
        <v>3322.29</v>
      </c>
      <c r="ED34" s="1729">
        <v>3457.01</v>
      </c>
      <c r="EE34" s="1730">
        <v>-150.04</v>
      </c>
      <c r="EF34" s="1729"/>
      <c r="EG34" s="1729"/>
      <c r="EH34" s="1729"/>
      <c r="EI34" s="1729"/>
      <c r="EJ34" s="1729"/>
      <c r="EK34" s="1729"/>
      <c r="EL34" s="1729"/>
      <c r="EM34" s="1729"/>
      <c r="EN34" s="1729"/>
      <c r="EO34" s="1729"/>
      <c r="EP34" s="1729"/>
      <c r="EQ34" s="1730"/>
      <c r="ER34" s="1729"/>
      <c r="ES34" s="1729"/>
      <c r="ET34" s="1729"/>
      <c r="EU34" s="1729"/>
      <c r="EV34" s="1729"/>
      <c r="EW34" s="1729"/>
      <c r="EX34" s="1729"/>
      <c r="EY34" s="1729"/>
      <c r="EZ34" s="1729"/>
      <c r="FA34" s="1729"/>
      <c r="FB34" s="1729"/>
      <c r="FC34" s="1730"/>
      <c r="FD34" s="1729"/>
      <c r="FE34" s="1729"/>
      <c r="FF34" s="1729"/>
      <c r="FG34" s="1729"/>
      <c r="FH34" s="1729"/>
      <c r="FI34" s="1729"/>
      <c r="FJ34" s="1729"/>
      <c r="FK34" s="1729"/>
      <c r="FL34" s="1729"/>
      <c r="FM34" s="1729"/>
      <c r="FN34" s="1729"/>
      <c r="FO34" s="1730"/>
      <c r="FP34" s="1729"/>
      <c r="FQ34" s="1729"/>
      <c r="FR34" s="1729"/>
      <c r="FS34" s="1729"/>
      <c r="FT34" s="1729"/>
      <c r="FU34" s="1729"/>
      <c r="FV34" s="1729"/>
      <c r="FW34" s="1729"/>
      <c r="FX34" s="1729"/>
      <c r="FY34" s="1729"/>
      <c r="FZ34" s="1729"/>
      <c r="GA34" s="1730"/>
      <c r="GB34" s="374"/>
      <c r="GC34" s="1726">
        <f t="shared" ref="GC34:GN34" si="72">SUMPRODUCT(--($D$6:$GA$6=GC$6),$D34:$GA34,$D$278:$GA$278)</f>
        <v>26089.360000000001</v>
      </c>
      <c r="GD34" s="1727">
        <f t="shared" si="72"/>
        <v>24842.22</v>
      </c>
      <c r="GE34" s="1727">
        <f t="shared" si="72"/>
        <v>25019.68</v>
      </c>
      <c r="GF34" s="1727">
        <f t="shared" si="72"/>
        <v>25511.96</v>
      </c>
      <c r="GG34" s="1727">
        <f t="shared" si="72"/>
        <v>27117.919999999998</v>
      </c>
      <c r="GH34" s="1727">
        <f t="shared" si="72"/>
        <v>33669.46</v>
      </c>
      <c r="GI34" s="1727">
        <f t="shared" si="72"/>
        <v>28531.08</v>
      </c>
      <c r="GJ34" s="1727">
        <f t="shared" si="72"/>
        <v>30513.54</v>
      </c>
      <c r="GK34" s="1727">
        <f t="shared" si="72"/>
        <v>36269.65</v>
      </c>
      <c r="GL34" s="1727">
        <f t="shared" si="72"/>
        <v>36691.800000000003</v>
      </c>
      <c r="GM34" s="1727">
        <f t="shared" si="72"/>
        <v>34307.630000000005</v>
      </c>
      <c r="GN34" s="1728">
        <f t="shared" si="72"/>
        <v>29860.62</v>
      </c>
      <c r="GO34" s="1726">
        <f t="shared" ref="GO34:GZ34" si="73">SUMPRODUCT(--($DT$6:$GA$6=GO$6),$DT34:$GA34,$DT$278:$GA$278)</f>
        <v>4117.1400000000003</v>
      </c>
      <c r="GP34" s="1727">
        <f t="shared" si="73"/>
        <v>4170.79</v>
      </c>
      <c r="GQ34" s="1727">
        <f t="shared" si="73"/>
        <v>3777.93</v>
      </c>
      <c r="GR34" s="1727">
        <f t="shared" si="73"/>
        <v>3759.17</v>
      </c>
      <c r="GS34" s="1727">
        <f t="shared" si="73"/>
        <v>3434.39</v>
      </c>
      <c r="GT34" s="1727">
        <f t="shared" si="73"/>
        <v>4123.1499999999996</v>
      </c>
      <c r="GU34" s="1727">
        <f t="shared" si="73"/>
        <v>3093.25</v>
      </c>
      <c r="GV34" s="1727">
        <f t="shared" si="73"/>
        <v>3583.15</v>
      </c>
      <c r="GW34" s="1727">
        <f t="shared" si="73"/>
        <v>4038.71</v>
      </c>
      <c r="GX34" s="1727">
        <f t="shared" si="73"/>
        <v>3322.29</v>
      </c>
      <c r="GY34" s="1727">
        <f t="shared" si="73"/>
        <v>3457.01</v>
      </c>
      <c r="GZ34" s="1728">
        <f t="shared" si="73"/>
        <v>-150.04</v>
      </c>
      <c r="HB34" s="1729"/>
      <c r="HC34" s="1729"/>
      <c r="HD34" s="1729"/>
      <c r="HE34" s="1729"/>
      <c r="HF34" s="1729"/>
      <c r="HG34" s="1729"/>
      <c r="HH34" s="1729"/>
      <c r="HI34" s="1729"/>
      <c r="HJ34" s="1729"/>
      <c r="HK34" s="1729"/>
      <c r="HL34" s="1729"/>
      <c r="HM34" s="1730"/>
    </row>
    <row r="35" spans="1:221">
      <c r="A35" s="326"/>
      <c r="B35" s="326"/>
      <c r="C35" s="326"/>
      <c r="D35" s="1036">
        <f t="shared" ref="D35:AI35" si="74">IF(D$8=0,0,D34/D$8)</f>
        <v>24.261334332833581</v>
      </c>
      <c r="E35" s="387">
        <f t="shared" si="74"/>
        <v>24.190232198142414</v>
      </c>
      <c r="F35" s="387">
        <f t="shared" si="74"/>
        <v>25.302668918918918</v>
      </c>
      <c r="G35" s="387">
        <f t="shared" si="74"/>
        <v>24.015236641221374</v>
      </c>
      <c r="H35" s="387">
        <f t="shared" si="74"/>
        <v>24.951540697674417</v>
      </c>
      <c r="I35" s="387">
        <f t="shared" si="74"/>
        <v>30.159361702127658</v>
      </c>
      <c r="J35" s="387">
        <f t="shared" si="74"/>
        <v>24.134600638977638</v>
      </c>
      <c r="K35" s="387">
        <f t="shared" si="74"/>
        <v>24.45937212863706</v>
      </c>
      <c r="L35" s="387">
        <f t="shared" si="74"/>
        <v>26.477666666666668</v>
      </c>
      <c r="M35" s="387">
        <f t="shared" si="74"/>
        <v>25.086957264957267</v>
      </c>
      <c r="N35" s="387">
        <f t="shared" si="74"/>
        <v>26.895531587057011</v>
      </c>
      <c r="O35" s="988">
        <f t="shared" si="74"/>
        <v>25.59011884550085</v>
      </c>
      <c r="P35" s="386">
        <f t="shared" si="74"/>
        <v>26.283638132295721</v>
      </c>
      <c r="Q35" s="386">
        <f t="shared" si="74"/>
        <v>26.021945467943993</v>
      </c>
      <c r="R35" s="386">
        <f t="shared" si="74"/>
        <v>35.962255947497951</v>
      </c>
      <c r="S35" s="386">
        <f t="shared" si="74"/>
        <v>29.176242214532881</v>
      </c>
      <c r="T35" s="386">
        <f t="shared" si="74"/>
        <v>29.298709055876682</v>
      </c>
      <c r="U35" s="386">
        <f t="shared" si="74"/>
        <v>37.100268714011506</v>
      </c>
      <c r="V35" s="386">
        <f t="shared" si="74"/>
        <v>46.619593810444876</v>
      </c>
      <c r="W35" s="386">
        <f t="shared" si="74"/>
        <v>47.763972602739734</v>
      </c>
      <c r="X35" s="386">
        <f t="shared" si="74"/>
        <v>61.427804740406316</v>
      </c>
      <c r="Y35" s="386">
        <f t="shared" si="74"/>
        <v>81.075266418835199</v>
      </c>
      <c r="Z35" s="386">
        <f t="shared" si="74"/>
        <v>54.547958115183249</v>
      </c>
      <c r="AA35" s="987">
        <f t="shared" si="74"/>
        <v>61.61847967000589</v>
      </c>
      <c r="AB35" s="386">
        <f t="shared" si="74"/>
        <v>0</v>
      </c>
      <c r="AC35" s="386">
        <f t="shared" si="74"/>
        <v>0</v>
      </c>
      <c r="AD35" s="386">
        <f t="shared" si="74"/>
        <v>0</v>
      </c>
      <c r="AE35" s="386">
        <f t="shared" si="74"/>
        <v>0</v>
      </c>
      <c r="AF35" s="386">
        <f t="shared" si="74"/>
        <v>0</v>
      </c>
      <c r="AG35" s="386">
        <f t="shared" si="74"/>
        <v>0</v>
      </c>
      <c r="AH35" s="386">
        <f t="shared" si="74"/>
        <v>0</v>
      </c>
      <c r="AI35" s="386">
        <f t="shared" si="74"/>
        <v>0</v>
      </c>
      <c r="AJ35" s="386">
        <f t="shared" ref="AJ35:BO35" si="75">IF(AJ$8=0,0,AJ34/AJ$8)</f>
        <v>0</v>
      </c>
      <c r="AK35" s="386">
        <f t="shared" si="75"/>
        <v>0</v>
      </c>
      <c r="AL35" s="386">
        <f t="shared" si="75"/>
        <v>0</v>
      </c>
      <c r="AM35" s="987">
        <f t="shared" si="75"/>
        <v>0</v>
      </c>
      <c r="AN35" s="386">
        <f t="shared" si="75"/>
        <v>0</v>
      </c>
      <c r="AO35" s="386">
        <f t="shared" si="75"/>
        <v>0</v>
      </c>
      <c r="AP35" s="386">
        <f t="shared" si="75"/>
        <v>0</v>
      </c>
      <c r="AQ35" s="386">
        <f t="shared" si="75"/>
        <v>0</v>
      </c>
      <c r="AR35" s="386">
        <f t="shared" si="75"/>
        <v>0</v>
      </c>
      <c r="AS35" s="386">
        <f t="shared" si="75"/>
        <v>0</v>
      </c>
      <c r="AT35" s="386">
        <f t="shared" si="75"/>
        <v>0</v>
      </c>
      <c r="AU35" s="386">
        <f t="shared" si="75"/>
        <v>0</v>
      </c>
      <c r="AV35" s="386">
        <f t="shared" si="75"/>
        <v>0</v>
      </c>
      <c r="AW35" s="386">
        <f t="shared" si="75"/>
        <v>0</v>
      </c>
      <c r="AX35" s="386">
        <f t="shared" si="75"/>
        <v>0</v>
      </c>
      <c r="AY35" s="987">
        <f t="shared" si="75"/>
        <v>0</v>
      </c>
      <c r="AZ35" s="386">
        <f t="shared" si="75"/>
        <v>0</v>
      </c>
      <c r="BA35" s="386">
        <f t="shared" si="75"/>
        <v>0</v>
      </c>
      <c r="BB35" s="386">
        <f t="shared" si="75"/>
        <v>0</v>
      </c>
      <c r="BC35" s="386">
        <f t="shared" si="75"/>
        <v>0</v>
      </c>
      <c r="BD35" s="386">
        <f t="shared" si="75"/>
        <v>0</v>
      </c>
      <c r="BE35" s="386">
        <f t="shared" si="75"/>
        <v>0</v>
      </c>
      <c r="BF35" s="386">
        <f t="shared" si="75"/>
        <v>0</v>
      </c>
      <c r="BG35" s="386">
        <f t="shared" si="75"/>
        <v>0</v>
      </c>
      <c r="BH35" s="386">
        <f t="shared" si="75"/>
        <v>0</v>
      </c>
      <c r="BI35" s="386">
        <f t="shared" si="75"/>
        <v>0</v>
      </c>
      <c r="BJ35" s="386">
        <f t="shared" si="75"/>
        <v>0</v>
      </c>
      <c r="BK35" s="987">
        <f t="shared" si="75"/>
        <v>0</v>
      </c>
      <c r="BL35" s="386">
        <f t="shared" si="75"/>
        <v>0</v>
      </c>
      <c r="BM35" s="386">
        <f t="shared" si="75"/>
        <v>0</v>
      </c>
      <c r="BN35" s="386">
        <f t="shared" si="75"/>
        <v>0</v>
      </c>
      <c r="BO35" s="386">
        <f t="shared" si="75"/>
        <v>0</v>
      </c>
      <c r="BP35" s="386">
        <f t="shared" ref="BP35:CU35" si="76">IF(BP$8=0,0,BP34/BP$8)</f>
        <v>0</v>
      </c>
      <c r="BQ35" s="386">
        <f t="shared" si="76"/>
        <v>0</v>
      </c>
      <c r="BR35" s="386">
        <f t="shared" si="76"/>
        <v>0</v>
      </c>
      <c r="BS35" s="386">
        <f t="shared" si="76"/>
        <v>0</v>
      </c>
      <c r="BT35" s="386">
        <f t="shared" si="76"/>
        <v>0</v>
      </c>
      <c r="BU35" s="386">
        <f t="shared" si="76"/>
        <v>0</v>
      </c>
      <c r="BV35" s="386">
        <f t="shared" si="76"/>
        <v>0</v>
      </c>
      <c r="BW35" s="987">
        <f t="shared" si="76"/>
        <v>0</v>
      </c>
      <c r="BX35" s="386">
        <f t="shared" si="76"/>
        <v>0</v>
      </c>
      <c r="BY35" s="386">
        <f t="shared" si="76"/>
        <v>0</v>
      </c>
      <c r="BZ35" s="386">
        <f t="shared" si="76"/>
        <v>0</v>
      </c>
      <c r="CA35" s="386">
        <f t="shared" si="76"/>
        <v>0</v>
      </c>
      <c r="CB35" s="386">
        <f t="shared" si="76"/>
        <v>0</v>
      </c>
      <c r="CC35" s="386">
        <f t="shared" si="76"/>
        <v>0</v>
      </c>
      <c r="CD35" s="386">
        <f t="shared" si="76"/>
        <v>0</v>
      </c>
      <c r="CE35" s="386">
        <f t="shared" si="76"/>
        <v>0</v>
      </c>
      <c r="CF35" s="386">
        <f t="shared" si="76"/>
        <v>0</v>
      </c>
      <c r="CG35" s="386">
        <f t="shared" si="76"/>
        <v>0</v>
      </c>
      <c r="CH35" s="386">
        <f t="shared" si="76"/>
        <v>0</v>
      </c>
      <c r="CI35" s="987">
        <f t="shared" si="76"/>
        <v>0</v>
      </c>
      <c r="CJ35" s="386">
        <f t="shared" si="76"/>
        <v>0</v>
      </c>
      <c r="CK35" s="386">
        <f t="shared" si="76"/>
        <v>0</v>
      </c>
      <c r="CL35" s="386">
        <f t="shared" si="76"/>
        <v>0</v>
      </c>
      <c r="CM35" s="386">
        <f t="shared" si="76"/>
        <v>0</v>
      </c>
      <c r="CN35" s="386">
        <f t="shared" si="76"/>
        <v>0</v>
      </c>
      <c r="CO35" s="386">
        <f t="shared" si="76"/>
        <v>0</v>
      </c>
      <c r="CP35" s="386">
        <f t="shared" si="76"/>
        <v>0</v>
      </c>
      <c r="CQ35" s="386">
        <f t="shared" si="76"/>
        <v>0</v>
      </c>
      <c r="CR35" s="386">
        <f t="shared" si="76"/>
        <v>0</v>
      </c>
      <c r="CS35" s="386">
        <f t="shared" si="76"/>
        <v>0</v>
      </c>
      <c r="CT35" s="386">
        <f t="shared" si="76"/>
        <v>0</v>
      </c>
      <c r="CU35" s="987">
        <f t="shared" si="76"/>
        <v>0</v>
      </c>
      <c r="CV35" s="386">
        <f t="shared" ref="CV35:EA35" si="77">IF(CV$8=0,0,CV34/CV$8)</f>
        <v>0</v>
      </c>
      <c r="CW35" s="386">
        <f t="shared" si="77"/>
        <v>0</v>
      </c>
      <c r="CX35" s="386">
        <f t="shared" si="77"/>
        <v>0</v>
      </c>
      <c r="CY35" s="386">
        <f t="shared" si="77"/>
        <v>0</v>
      </c>
      <c r="CZ35" s="386">
        <f t="shared" si="77"/>
        <v>0</v>
      </c>
      <c r="DA35" s="386">
        <f t="shared" si="77"/>
        <v>0</v>
      </c>
      <c r="DB35" s="386">
        <f t="shared" si="77"/>
        <v>0</v>
      </c>
      <c r="DC35" s="386">
        <f t="shared" si="77"/>
        <v>0</v>
      </c>
      <c r="DD35" s="386">
        <f t="shared" si="77"/>
        <v>0</v>
      </c>
      <c r="DE35" s="386">
        <f t="shared" si="77"/>
        <v>0</v>
      </c>
      <c r="DF35" s="386">
        <f t="shared" si="77"/>
        <v>0</v>
      </c>
      <c r="DG35" s="987">
        <f t="shared" si="77"/>
        <v>0</v>
      </c>
      <c r="DH35" s="386">
        <f t="shared" si="77"/>
        <v>0</v>
      </c>
      <c r="DI35" s="386">
        <f t="shared" si="77"/>
        <v>0</v>
      </c>
      <c r="DJ35" s="386">
        <f t="shared" si="77"/>
        <v>0</v>
      </c>
      <c r="DK35" s="386">
        <f t="shared" si="77"/>
        <v>0</v>
      </c>
      <c r="DL35" s="386">
        <f t="shared" si="77"/>
        <v>0</v>
      </c>
      <c r="DM35" s="386">
        <f t="shared" si="77"/>
        <v>0</v>
      </c>
      <c r="DN35" s="386">
        <f t="shared" si="77"/>
        <v>0</v>
      </c>
      <c r="DO35" s="386">
        <f t="shared" si="77"/>
        <v>0</v>
      </c>
      <c r="DP35" s="386">
        <f t="shared" si="77"/>
        <v>0</v>
      </c>
      <c r="DQ35" s="386">
        <f t="shared" si="77"/>
        <v>0</v>
      </c>
      <c r="DR35" s="386">
        <f t="shared" si="77"/>
        <v>0</v>
      </c>
      <c r="DS35" s="987">
        <f t="shared" si="77"/>
        <v>0</v>
      </c>
      <c r="DT35" s="386">
        <f t="shared" si="77"/>
        <v>32.418425196850393</v>
      </c>
      <c r="DU35" s="386">
        <f t="shared" si="77"/>
        <v>34.469338842975205</v>
      </c>
      <c r="DV35" s="386">
        <f t="shared" si="77"/>
        <v>34.980833333333329</v>
      </c>
      <c r="DW35" s="386">
        <f t="shared" si="77"/>
        <v>38.358877551020406</v>
      </c>
      <c r="DX35" s="386">
        <f t="shared" si="77"/>
        <v>40.885595238095235</v>
      </c>
      <c r="DY35" s="386">
        <f t="shared" si="77"/>
        <v>44.816847826086949</v>
      </c>
      <c r="DZ35" s="386">
        <f t="shared" si="77"/>
        <v>42.373287671232873</v>
      </c>
      <c r="EA35" s="386">
        <f t="shared" si="77"/>
        <v>38.528494623655916</v>
      </c>
      <c r="EB35" s="386">
        <f t="shared" ref="EB35:FG35" si="78">IF(EB$8=0,0,EB34/EB$8)</f>
        <v>48.079880952380954</v>
      </c>
      <c r="EC35" s="386">
        <f t="shared" si="78"/>
        <v>39.085764705882355</v>
      </c>
      <c r="ED35" s="386">
        <f t="shared" si="78"/>
        <v>39.28420454545455</v>
      </c>
      <c r="EE35" s="987">
        <f t="shared" si="78"/>
        <v>-1.8754999999999999</v>
      </c>
      <c r="EF35" s="386">
        <f t="shared" si="78"/>
        <v>0</v>
      </c>
      <c r="EG35" s="386">
        <f t="shared" si="78"/>
        <v>0</v>
      </c>
      <c r="EH35" s="386">
        <f t="shared" si="78"/>
        <v>0</v>
      </c>
      <c r="EI35" s="386">
        <f t="shared" si="78"/>
        <v>0</v>
      </c>
      <c r="EJ35" s="386">
        <f t="shared" si="78"/>
        <v>0</v>
      </c>
      <c r="EK35" s="386">
        <f t="shared" si="78"/>
        <v>0</v>
      </c>
      <c r="EL35" s="386">
        <f t="shared" si="78"/>
        <v>0</v>
      </c>
      <c r="EM35" s="386">
        <f t="shared" si="78"/>
        <v>0</v>
      </c>
      <c r="EN35" s="386">
        <f t="shared" si="78"/>
        <v>0</v>
      </c>
      <c r="EO35" s="386">
        <f t="shared" si="78"/>
        <v>0</v>
      </c>
      <c r="EP35" s="386">
        <f t="shared" si="78"/>
        <v>0</v>
      </c>
      <c r="EQ35" s="987">
        <f t="shared" si="78"/>
        <v>0</v>
      </c>
      <c r="ER35" s="386">
        <f t="shared" si="78"/>
        <v>0</v>
      </c>
      <c r="ES35" s="386">
        <f t="shared" si="78"/>
        <v>0</v>
      </c>
      <c r="ET35" s="386">
        <f t="shared" si="78"/>
        <v>0</v>
      </c>
      <c r="EU35" s="386">
        <f t="shared" si="78"/>
        <v>0</v>
      </c>
      <c r="EV35" s="386">
        <f t="shared" si="78"/>
        <v>0</v>
      </c>
      <c r="EW35" s="386">
        <f t="shared" si="78"/>
        <v>0</v>
      </c>
      <c r="EX35" s="386">
        <f t="shared" si="78"/>
        <v>0</v>
      </c>
      <c r="EY35" s="386">
        <f t="shared" si="78"/>
        <v>0</v>
      </c>
      <c r="EZ35" s="386">
        <f t="shared" si="78"/>
        <v>0</v>
      </c>
      <c r="FA35" s="386">
        <f t="shared" si="78"/>
        <v>0</v>
      </c>
      <c r="FB35" s="386">
        <f t="shared" si="78"/>
        <v>0</v>
      </c>
      <c r="FC35" s="987">
        <f t="shared" si="78"/>
        <v>0</v>
      </c>
      <c r="FD35" s="386">
        <f t="shared" si="78"/>
        <v>0</v>
      </c>
      <c r="FE35" s="386">
        <f t="shared" si="78"/>
        <v>0</v>
      </c>
      <c r="FF35" s="386">
        <f t="shared" si="78"/>
        <v>0</v>
      </c>
      <c r="FG35" s="386">
        <f t="shared" si="78"/>
        <v>0</v>
      </c>
      <c r="FH35" s="386">
        <f t="shared" ref="FH35:GA35" si="79">IF(FH$8=0,0,FH34/FH$8)</f>
        <v>0</v>
      </c>
      <c r="FI35" s="386">
        <f t="shared" si="79"/>
        <v>0</v>
      </c>
      <c r="FJ35" s="386">
        <f t="shared" si="79"/>
        <v>0</v>
      </c>
      <c r="FK35" s="386">
        <f t="shared" si="79"/>
        <v>0</v>
      </c>
      <c r="FL35" s="386">
        <f t="shared" si="79"/>
        <v>0</v>
      </c>
      <c r="FM35" s="386">
        <f t="shared" si="79"/>
        <v>0</v>
      </c>
      <c r="FN35" s="386">
        <f t="shared" si="79"/>
        <v>0</v>
      </c>
      <c r="FO35" s="987">
        <f t="shared" si="79"/>
        <v>0</v>
      </c>
      <c r="FP35" s="386">
        <f t="shared" si="79"/>
        <v>0</v>
      </c>
      <c r="FQ35" s="386">
        <f t="shared" si="79"/>
        <v>0</v>
      </c>
      <c r="FR35" s="386">
        <f t="shared" si="79"/>
        <v>0</v>
      </c>
      <c r="FS35" s="386">
        <f t="shared" si="79"/>
        <v>0</v>
      </c>
      <c r="FT35" s="386">
        <f t="shared" si="79"/>
        <v>0</v>
      </c>
      <c r="FU35" s="386">
        <f t="shared" si="79"/>
        <v>0</v>
      </c>
      <c r="FV35" s="386">
        <f t="shared" si="79"/>
        <v>0</v>
      </c>
      <c r="FW35" s="386">
        <f t="shared" si="79"/>
        <v>0</v>
      </c>
      <c r="FX35" s="386">
        <f t="shared" si="79"/>
        <v>0</v>
      </c>
      <c r="FY35" s="386">
        <f t="shared" si="79"/>
        <v>0</v>
      </c>
      <c r="FZ35" s="386">
        <f t="shared" si="79"/>
        <v>0</v>
      </c>
      <c r="GA35" s="987">
        <f t="shared" si="79"/>
        <v>0</v>
      </c>
      <c r="GB35" s="109"/>
      <c r="GC35" s="1036">
        <f t="shared" ref="GC35:GZ35" si="80">IF(GC$8=0,0,GC34/GC$8)</f>
        <v>25.721904225352116</v>
      </c>
      <c r="GD35" s="387">
        <f t="shared" si="80"/>
        <v>25.854228367528993</v>
      </c>
      <c r="GE35" s="387">
        <f t="shared" si="80"/>
        <v>28.621957836247756</v>
      </c>
      <c r="GF35" s="387">
        <f t="shared" si="80"/>
        <v>26.590786182251342</v>
      </c>
      <c r="GG35" s="387">
        <f t="shared" si="80"/>
        <v>27.269852032753914</v>
      </c>
      <c r="GH35" s="387">
        <f t="shared" si="80"/>
        <v>33.00003080369644</v>
      </c>
      <c r="GI35" s="387">
        <f t="shared" si="80"/>
        <v>30.992793296089388</v>
      </c>
      <c r="GJ35" s="387">
        <f t="shared" si="80"/>
        <v>31.282188049209143</v>
      </c>
      <c r="GK35" s="387">
        <f t="shared" si="80"/>
        <v>37.50185376661743</v>
      </c>
      <c r="GL35" s="387">
        <f t="shared" si="80"/>
        <v>40.742798223350256</v>
      </c>
      <c r="GM35" s="387">
        <f t="shared" si="80"/>
        <v>34.916168944460601</v>
      </c>
      <c r="GN35" s="988">
        <f t="shared" si="80"/>
        <v>32.762435736677112</v>
      </c>
      <c r="GO35" s="1036">
        <f t="shared" si="80"/>
        <v>32.418425196850393</v>
      </c>
      <c r="GP35" s="387">
        <f t="shared" si="80"/>
        <v>34.469338842975205</v>
      </c>
      <c r="GQ35" s="387">
        <f t="shared" si="80"/>
        <v>34.980833333333329</v>
      </c>
      <c r="GR35" s="387">
        <f t="shared" si="80"/>
        <v>38.358877551020406</v>
      </c>
      <c r="GS35" s="387">
        <f t="shared" si="80"/>
        <v>40.885595238095235</v>
      </c>
      <c r="GT35" s="387">
        <f t="shared" si="80"/>
        <v>44.816847826086949</v>
      </c>
      <c r="GU35" s="387">
        <f t="shared" si="80"/>
        <v>42.373287671232873</v>
      </c>
      <c r="GV35" s="387">
        <f t="shared" si="80"/>
        <v>38.528494623655916</v>
      </c>
      <c r="GW35" s="387">
        <f t="shared" si="80"/>
        <v>48.079880952380954</v>
      </c>
      <c r="GX35" s="387">
        <f t="shared" si="80"/>
        <v>39.085764705882355</v>
      </c>
      <c r="GY35" s="387">
        <f t="shared" si="80"/>
        <v>39.28420454545455</v>
      </c>
      <c r="GZ35" s="988">
        <f t="shared" si="80"/>
        <v>-1.8754999999999999</v>
      </c>
      <c r="HB35" s="386">
        <f t="shared" ref="HB35:HM35" si="81">IF(HB$8=0,0,HB34/HB$8)</f>
        <v>0</v>
      </c>
      <c r="HC35" s="386">
        <f t="shared" si="81"/>
        <v>0</v>
      </c>
      <c r="HD35" s="386">
        <f t="shared" si="81"/>
        <v>0</v>
      </c>
      <c r="HE35" s="386">
        <f t="shared" si="81"/>
        <v>0</v>
      </c>
      <c r="HF35" s="386">
        <f t="shared" si="81"/>
        <v>0</v>
      </c>
      <c r="HG35" s="386">
        <f t="shared" si="81"/>
        <v>0</v>
      </c>
      <c r="HH35" s="386">
        <f t="shared" si="81"/>
        <v>0</v>
      </c>
      <c r="HI35" s="386">
        <f t="shared" si="81"/>
        <v>0</v>
      </c>
      <c r="HJ35" s="386">
        <f t="shared" si="81"/>
        <v>0</v>
      </c>
      <c r="HK35" s="386">
        <f t="shared" si="81"/>
        <v>0</v>
      </c>
      <c r="HL35" s="386">
        <f t="shared" si="81"/>
        <v>0</v>
      </c>
      <c r="HM35" s="987">
        <f t="shared" si="81"/>
        <v>0</v>
      </c>
    </row>
    <row r="36" spans="1:221">
      <c r="A36" s="326" t="s">
        <v>900</v>
      </c>
      <c r="B36" s="326" t="s">
        <v>901</v>
      </c>
      <c r="C36" s="326" t="s">
        <v>3683</v>
      </c>
      <c r="D36" s="1036">
        <v>13319.390000000001</v>
      </c>
      <c r="E36" s="387">
        <v>13319.44</v>
      </c>
      <c r="F36" s="387">
        <v>13319.44</v>
      </c>
      <c r="G36" s="387">
        <v>13319.350000000002</v>
      </c>
      <c r="H36" s="387">
        <v>13124.060000000001</v>
      </c>
      <c r="I36" s="387">
        <v>12983.76</v>
      </c>
      <c r="J36" s="387">
        <v>12985.11</v>
      </c>
      <c r="K36" s="387">
        <v>10878.960000000001</v>
      </c>
      <c r="L36" s="387">
        <v>10878.960000000001</v>
      </c>
      <c r="M36" s="387">
        <v>11055.980000000001</v>
      </c>
      <c r="N36" s="387">
        <v>11041.900000000001</v>
      </c>
      <c r="O36" s="988">
        <v>11041.880000000001</v>
      </c>
      <c r="P36" s="386">
        <v>42.01</v>
      </c>
      <c r="Q36" s="386">
        <v>42.06</v>
      </c>
      <c r="R36" s="386">
        <v>42.06</v>
      </c>
      <c r="S36" s="386">
        <v>42.06</v>
      </c>
      <c r="T36" s="386">
        <v>42.06</v>
      </c>
      <c r="U36" s="386">
        <v>42.06</v>
      </c>
      <c r="V36" s="386">
        <v>42.06</v>
      </c>
      <c r="W36" s="386">
        <v>42.06</v>
      </c>
      <c r="X36" s="386">
        <v>42.06</v>
      </c>
      <c r="Y36" s="386">
        <v>42.06</v>
      </c>
      <c r="Z36" s="386">
        <v>42.06</v>
      </c>
      <c r="AA36" s="987">
        <v>42.06</v>
      </c>
      <c r="AB36" s="386"/>
      <c r="AC36" s="386"/>
      <c r="AD36" s="386"/>
      <c r="AE36" s="386"/>
      <c r="AF36" s="386"/>
      <c r="AG36" s="386"/>
      <c r="AH36" s="386"/>
      <c r="AI36" s="386"/>
      <c r="AJ36" s="386"/>
      <c r="AK36" s="386"/>
      <c r="AL36" s="386"/>
      <c r="AM36" s="987"/>
      <c r="AN36" s="386"/>
      <c r="AO36" s="386"/>
      <c r="AP36" s="386"/>
      <c r="AQ36" s="386"/>
      <c r="AR36" s="386"/>
      <c r="AS36" s="386"/>
      <c r="AT36" s="386"/>
      <c r="AU36" s="386"/>
      <c r="AV36" s="386"/>
      <c r="AW36" s="386"/>
      <c r="AX36" s="386"/>
      <c r="AY36" s="987"/>
      <c r="AZ36" s="386"/>
      <c r="BA36" s="386"/>
      <c r="BB36" s="386"/>
      <c r="BC36" s="386"/>
      <c r="BD36" s="386"/>
      <c r="BE36" s="386"/>
      <c r="BF36" s="386"/>
      <c r="BG36" s="386"/>
      <c r="BH36" s="386"/>
      <c r="BI36" s="386"/>
      <c r="BJ36" s="386"/>
      <c r="BK36" s="987"/>
      <c r="BL36" s="386"/>
      <c r="BM36" s="386"/>
      <c r="BN36" s="386"/>
      <c r="BO36" s="386"/>
      <c r="BP36" s="386"/>
      <c r="BQ36" s="386"/>
      <c r="BR36" s="386"/>
      <c r="BS36" s="386"/>
      <c r="BT36" s="386"/>
      <c r="BU36" s="386"/>
      <c r="BV36" s="386"/>
      <c r="BW36" s="987"/>
      <c r="BX36" s="386"/>
      <c r="BY36" s="386"/>
      <c r="BZ36" s="386"/>
      <c r="CA36" s="386"/>
      <c r="CB36" s="386"/>
      <c r="CC36" s="386"/>
      <c r="CD36" s="386"/>
      <c r="CE36" s="386"/>
      <c r="CF36" s="386"/>
      <c r="CG36" s="386"/>
      <c r="CH36" s="386"/>
      <c r="CI36" s="987"/>
      <c r="CJ36" s="386"/>
      <c r="CK36" s="386"/>
      <c r="CL36" s="386"/>
      <c r="CM36" s="386"/>
      <c r="CN36" s="386"/>
      <c r="CO36" s="386"/>
      <c r="CP36" s="386"/>
      <c r="CQ36" s="386"/>
      <c r="CR36" s="386"/>
      <c r="CS36" s="386"/>
      <c r="CT36" s="386"/>
      <c r="CU36" s="987"/>
      <c r="CV36" s="386"/>
      <c r="CW36" s="386"/>
      <c r="CX36" s="386"/>
      <c r="CY36" s="386"/>
      <c r="CZ36" s="386"/>
      <c r="DA36" s="386"/>
      <c r="DB36" s="386"/>
      <c r="DC36" s="386"/>
      <c r="DD36" s="386"/>
      <c r="DE36" s="386"/>
      <c r="DF36" s="386"/>
      <c r="DG36" s="987"/>
      <c r="DH36" s="386"/>
      <c r="DI36" s="386"/>
      <c r="DJ36" s="386"/>
      <c r="DK36" s="386"/>
      <c r="DL36" s="386"/>
      <c r="DM36" s="386"/>
      <c r="DN36" s="386"/>
      <c r="DO36" s="386"/>
      <c r="DP36" s="386"/>
      <c r="DQ36" s="386"/>
      <c r="DR36" s="386"/>
      <c r="DS36" s="987"/>
      <c r="DT36" s="386">
        <v>563.89</v>
      </c>
      <c r="DU36" s="386">
        <v>563.95000000000005</v>
      </c>
      <c r="DV36" s="386">
        <v>1096.53</v>
      </c>
      <c r="DW36" s="386">
        <v>1096.53</v>
      </c>
      <c r="DX36" s="386">
        <v>1096.53</v>
      </c>
      <c r="DY36" s="386">
        <v>1096.53</v>
      </c>
      <c r="DZ36" s="386">
        <v>1096.53</v>
      </c>
      <c r="EA36" s="386">
        <v>1096.53</v>
      </c>
      <c r="EB36" s="386">
        <v>1096.53</v>
      </c>
      <c r="EC36" s="386">
        <v>1096.53</v>
      </c>
      <c r="ED36" s="386">
        <v>1096.53</v>
      </c>
      <c r="EE36" s="987">
        <v>1096.53</v>
      </c>
      <c r="EF36" s="386"/>
      <c r="EG36" s="386"/>
      <c r="EH36" s="386"/>
      <c r="EI36" s="386"/>
      <c r="EJ36" s="386"/>
      <c r="EK36" s="386"/>
      <c r="EL36" s="386"/>
      <c r="EM36" s="386"/>
      <c r="EN36" s="386"/>
      <c r="EO36" s="386"/>
      <c r="EP36" s="386"/>
      <c r="EQ36" s="987"/>
      <c r="ER36" s="386"/>
      <c r="ES36" s="386"/>
      <c r="ET36" s="386"/>
      <c r="EU36" s="386"/>
      <c r="EV36" s="386"/>
      <c r="EW36" s="386"/>
      <c r="EX36" s="386"/>
      <c r="EY36" s="386"/>
      <c r="EZ36" s="386"/>
      <c r="FA36" s="386"/>
      <c r="FB36" s="386"/>
      <c r="FC36" s="987"/>
      <c r="FD36" s="386"/>
      <c r="FE36" s="386"/>
      <c r="FF36" s="386"/>
      <c r="FG36" s="386"/>
      <c r="FH36" s="386"/>
      <c r="FI36" s="386"/>
      <c r="FJ36" s="386"/>
      <c r="FK36" s="386"/>
      <c r="FL36" s="386"/>
      <c r="FM36" s="386"/>
      <c r="FN36" s="386"/>
      <c r="FO36" s="987"/>
      <c r="FP36" s="386"/>
      <c r="FQ36" s="386"/>
      <c r="FR36" s="386"/>
      <c r="FS36" s="386"/>
      <c r="FT36" s="386"/>
      <c r="FU36" s="386"/>
      <c r="FV36" s="386"/>
      <c r="FW36" s="386"/>
      <c r="FX36" s="386"/>
      <c r="FY36" s="386"/>
      <c r="FZ36" s="386"/>
      <c r="GA36" s="987"/>
      <c r="GB36" s="109"/>
      <c r="GC36" s="2201">
        <f t="shared" ref="GC36:GN37" si="82">SUMPRODUCT(--($D$6:$DS$6=GC$6),$D36:$DS36,$D$278:$DS$278)</f>
        <v>13361.400000000001</v>
      </c>
      <c r="GD36" s="2202">
        <f t="shared" si="82"/>
        <v>13361.5</v>
      </c>
      <c r="GE36" s="2202">
        <f t="shared" si="82"/>
        <v>13361.5</v>
      </c>
      <c r="GF36" s="2202">
        <f t="shared" si="82"/>
        <v>13361.410000000002</v>
      </c>
      <c r="GG36" s="2202">
        <f t="shared" si="82"/>
        <v>13166.12</v>
      </c>
      <c r="GH36" s="2202">
        <f t="shared" si="82"/>
        <v>13025.82</v>
      </c>
      <c r="GI36" s="2202">
        <f t="shared" si="82"/>
        <v>13027.17</v>
      </c>
      <c r="GJ36" s="2202">
        <f t="shared" si="82"/>
        <v>10921.02</v>
      </c>
      <c r="GK36" s="2202">
        <f t="shared" si="82"/>
        <v>10921.02</v>
      </c>
      <c r="GL36" s="2202">
        <f t="shared" si="82"/>
        <v>11098.04</v>
      </c>
      <c r="GM36" s="2202">
        <f t="shared" si="82"/>
        <v>11083.960000000001</v>
      </c>
      <c r="GN36" s="2203">
        <f t="shared" si="82"/>
        <v>11083.94</v>
      </c>
      <c r="GO36" s="1036">
        <f t="shared" ref="GO36:GZ45" si="83">SUMPRODUCT(--($DT$6:$GA$6=GO$6),$DT36:$GA36,$DT$278:$GA$278)</f>
        <v>563.89</v>
      </c>
      <c r="GP36" s="387">
        <f t="shared" si="83"/>
        <v>563.95000000000005</v>
      </c>
      <c r="GQ36" s="387">
        <f t="shared" si="83"/>
        <v>1096.53</v>
      </c>
      <c r="GR36" s="387">
        <f t="shared" si="83"/>
        <v>1096.53</v>
      </c>
      <c r="GS36" s="387">
        <f t="shared" si="83"/>
        <v>1096.53</v>
      </c>
      <c r="GT36" s="387">
        <f t="shared" si="83"/>
        <v>1096.53</v>
      </c>
      <c r="GU36" s="387">
        <f t="shared" si="83"/>
        <v>1096.53</v>
      </c>
      <c r="GV36" s="387">
        <f t="shared" si="83"/>
        <v>1096.53</v>
      </c>
      <c r="GW36" s="387">
        <f t="shared" si="83"/>
        <v>1096.53</v>
      </c>
      <c r="GX36" s="387">
        <f t="shared" si="83"/>
        <v>1096.53</v>
      </c>
      <c r="GY36" s="387">
        <f t="shared" si="83"/>
        <v>1096.53</v>
      </c>
      <c r="GZ36" s="988">
        <f t="shared" si="83"/>
        <v>1096.53</v>
      </c>
      <c r="HB36" s="386"/>
      <c r="HC36" s="386"/>
      <c r="HD36" s="386"/>
      <c r="HE36" s="386"/>
      <c r="HF36" s="386"/>
      <c r="HG36" s="386"/>
      <c r="HH36" s="386"/>
      <c r="HI36" s="386"/>
      <c r="HJ36" s="386"/>
      <c r="HK36" s="386"/>
      <c r="HL36" s="386"/>
      <c r="HM36" s="987"/>
    </row>
    <row r="37" spans="1:221">
      <c r="A37" s="326" t="s">
        <v>900</v>
      </c>
      <c r="B37" s="326" t="s">
        <v>901</v>
      </c>
      <c r="C37" s="326" t="s">
        <v>3684</v>
      </c>
      <c r="D37" s="1036" t="s">
        <v>2154</v>
      </c>
      <c r="E37" s="387" t="s">
        <v>2154</v>
      </c>
      <c r="F37" s="387" t="s">
        <v>2154</v>
      </c>
      <c r="G37" s="387" t="s">
        <v>2154</v>
      </c>
      <c r="H37" s="387" t="s">
        <v>2154</v>
      </c>
      <c r="I37" s="387" t="s">
        <v>2154</v>
      </c>
      <c r="J37" s="387" t="s">
        <v>2154</v>
      </c>
      <c r="K37" s="387" t="s">
        <v>2154</v>
      </c>
      <c r="L37" s="387" t="s">
        <v>2154</v>
      </c>
      <c r="M37" s="387" t="s">
        <v>2154</v>
      </c>
      <c r="N37" s="387" t="s">
        <v>2154</v>
      </c>
      <c r="O37" s="988" t="s">
        <v>2154</v>
      </c>
      <c r="P37" s="387" t="s">
        <v>2154</v>
      </c>
      <c r="Q37" s="387" t="s">
        <v>2154</v>
      </c>
      <c r="R37" s="387" t="s">
        <v>2154</v>
      </c>
      <c r="S37" s="387" t="s">
        <v>2154</v>
      </c>
      <c r="T37" s="387" t="s">
        <v>2154</v>
      </c>
      <c r="U37" s="387" t="s">
        <v>2154</v>
      </c>
      <c r="V37" s="387" t="s">
        <v>2154</v>
      </c>
      <c r="W37" s="387" t="s">
        <v>2154</v>
      </c>
      <c r="X37" s="387" t="s">
        <v>2154</v>
      </c>
      <c r="Y37" s="387" t="s">
        <v>2154</v>
      </c>
      <c r="Z37" s="387" t="s">
        <v>2154</v>
      </c>
      <c r="AA37" s="988" t="s">
        <v>2154</v>
      </c>
      <c r="AB37" s="387"/>
      <c r="AC37" s="387"/>
      <c r="AD37" s="387"/>
      <c r="AE37" s="387"/>
      <c r="AF37" s="387"/>
      <c r="AG37" s="387"/>
      <c r="AH37" s="387"/>
      <c r="AI37" s="387"/>
      <c r="AJ37" s="387"/>
      <c r="AK37" s="387"/>
      <c r="AL37" s="387"/>
      <c r="AM37" s="988"/>
      <c r="AN37" s="387"/>
      <c r="AO37" s="387"/>
      <c r="AP37" s="387"/>
      <c r="AQ37" s="387"/>
      <c r="AR37" s="387"/>
      <c r="AS37" s="387"/>
      <c r="AT37" s="387"/>
      <c r="AU37" s="387"/>
      <c r="AV37" s="387"/>
      <c r="AW37" s="387"/>
      <c r="AX37" s="387"/>
      <c r="AY37" s="988"/>
      <c r="AZ37" s="387"/>
      <c r="BA37" s="387"/>
      <c r="BB37" s="387"/>
      <c r="BC37" s="387"/>
      <c r="BD37" s="387"/>
      <c r="BE37" s="387"/>
      <c r="BF37" s="387"/>
      <c r="BG37" s="387"/>
      <c r="BH37" s="387"/>
      <c r="BI37" s="387"/>
      <c r="BJ37" s="387"/>
      <c r="BK37" s="988"/>
      <c r="BL37" s="387"/>
      <c r="BM37" s="387"/>
      <c r="BN37" s="387"/>
      <c r="BO37" s="387"/>
      <c r="BP37" s="387"/>
      <c r="BQ37" s="387"/>
      <c r="BR37" s="387"/>
      <c r="BS37" s="387"/>
      <c r="BT37" s="387"/>
      <c r="BU37" s="387"/>
      <c r="BV37" s="387"/>
      <c r="BW37" s="988"/>
      <c r="BX37" s="387"/>
      <c r="BY37" s="387"/>
      <c r="BZ37" s="387"/>
      <c r="CA37" s="387"/>
      <c r="CB37" s="387"/>
      <c r="CC37" s="387"/>
      <c r="CD37" s="387"/>
      <c r="CE37" s="387"/>
      <c r="CF37" s="387"/>
      <c r="CG37" s="387"/>
      <c r="CH37" s="387"/>
      <c r="CI37" s="988"/>
      <c r="CJ37" s="387"/>
      <c r="CK37" s="387"/>
      <c r="CL37" s="387"/>
      <c r="CM37" s="387"/>
      <c r="CN37" s="387"/>
      <c r="CO37" s="387"/>
      <c r="CP37" s="387"/>
      <c r="CQ37" s="387"/>
      <c r="CR37" s="387"/>
      <c r="CS37" s="387"/>
      <c r="CT37" s="387"/>
      <c r="CU37" s="988"/>
      <c r="CV37" s="387"/>
      <c r="CW37" s="387"/>
      <c r="CX37" s="387"/>
      <c r="CY37" s="387"/>
      <c r="CZ37" s="387"/>
      <c r="DA37" s="387"/>
      <c r="DB37" s="387"/>
      <c r="DC37" s="387"/>
      <c r="DD37" s="387"/>
      <c r="DE37" s="387"/>
      <c r="DF37" s="387"/>
      <c r="DG37" s="988"/>
      <c r="DH37" s="387"/>
      <c r="DI37" s="387"/>
      <c r="DJ37" s="387"/>
      <c r="DK37" s="387"/>
      <c r="DL37" s="387"/>
      <c r="DM37" s="387"/>
      <c r="DN37" s="387"/>
      <c r="DO37" s="387"/>
      <c r="DP37" s="387"/>
      <c r="DQ37" s="387"/>
      <c r="DR37" s="387"/>
      <c r="DS37" s="988"/>
      <c r="DT37" s="387" t="s">
        <v>2154</v>
      </c>
      <c r="DU37" s="387" t="s">
        <v>2154</v>
      </c>
      <c r="DV37" s="387" t="s">
        <v>2154</v>
      </c>
      <c r="DW37" s="387" t="s">
        <v>2154</v>
      </c>
      <c r="DX37" s="387" t="s">
        <v>2154</v>
      </c>
      <c r="DY37" s="387" t="s">
        <v>2154</v>
      </c>
      <c r="DZ37" s="387" t="s">
        <v>2154</v>
      </c>
      <c r="EA37" s="387" t="s">
        <v>2154</v>
      </c>
      <c r="EB37" s="387" t="s">
        <v>2154</v>
      </c>
      <c r="EC37" s="387" t="s">
        <v>2154</v>
      </c>
      <c r="ED37" s="387" t="s">
        <v>2154</v>
      </c>
      <c r="EE37" s="988" t="s">
        <v>2154</v>
      </c>
      <c r="EF37" s="387"/>
      <c r="EG37" s="387"/>
      <c r="EH37" s="387"/>
      <c r="EI37" s="387"/>
      <c r="EJ37" s="387"/>
      <c r="EK37" s="387"/>
      <c r="EL37" s="387"/>
      <c r="EM37" s="387"/>
      <c r="EN37" s="387"/>
      <c r="EO37" s="387"/>
      <c r="EP37" s="387"/>
      <c r="EQ37" s="988"/>
      <c r="ER37" s="387"/>
      <c r="ES37" s="387"/>
      <c r="ET37" s="387"/>
      <c r="EU37" s="387"/>
      <c r="EV37" s="387"/>
      <c r="EW37" s="387"/>
      <c r="EX37" s="387"/>
      <c r="EY37" s="387"/>
      <c r="EZ37" s="387"/>
      <c r="FA37" s="387"/>
      <c r="FB37" s="387"/>
      <c r="FC37" s="988"/>
      <c r="FD37" s="387"/>
      <c r="FE37" s="387"/>
      <c r="FF37" s="387"/>
      <c r="FG37" s="387"/>
      <c r="FH37" s="387"/>
      <c r="FI37" s="387"/>
      <c r="FJ37" s="387"/>
      <c r="FK37" s="387"/>
      <c r="FL37" s="387"/>
      <c r="FM37" s="387"/>
      <c r="FN37" s="387"/>
      <c r="FO37" s="988"/>
      <c r="FP37" s="387"/>
      <c r="FQ37" s="387"/>
      <c r="FR37" s="387"/>
      <c r="FS37" s="387"/>
      <c r="FT37" s="387"/>
      <c r="FU37" s="387"/>
      <c r="FV37" s="387"/>
      <c r="FW37" s="387"/>
      <c r="FX37" s="387"/>
      <c r="FY37" s="387"/>
      <c r="FZ37" s="387"/>
      <c r="GA37" s="988"/>
      <c r="GB37" s="109"/>
      <c r="GC37" s="2201">
        <f t="shared" si="82"/>
        <v>0</v>
      </c>
      <c r="GD37" s="2202">
        <f t="shared" si="82"/>
        <v>0</v>
      </c>
      <c r="GE37" s="2202">
        <f t="shared" si="82"/>
        <v>0</v>
      </c>
      <c r="GF37" s="2202">
        <f t="shared" si="82"/>
        <v>0</v>
      </c>
      <c r="GG37" s="2202">
        <f t="shared" si="82"/>
        <v>0</v>
      </c>
      <c r="GH37" s="2202">
        <f t="shared" si="82"/>
        <v>0</v>
      </c>
      <c r="GI37" s="2202">
        <f t="shared" si="82"/>
        <v>0</v>
      </c>
      <c r="GJ37" s="2202">
        <f t="shared" si="82"/>
        <v>0</v>
      </c>
      <c r="GK37" s="2202">
        <f t="shared" si="82"/>
        <v>0</v>
      </c>
      <c r="GL37" s="2202">
        <f t="shared" si="82"/>
        <v>0</v>
      </c>
      <c r="GM37" s="2202">
        <f t="shared" si="82"/>
        <v>0</v>
      </c>
      <c r="GN37" s="2203">
        <f t="shared" si="82"/>
        <v>0</v>
      </c>
      <c r="GO37" s="1036">
        <f t="shared" si="83"/>
        <v>0</v>
      </c>
      <c r="GP37" s="387">
        <f t="shared" si="83"/>
        <v>0</v>
      </c>
      <c r="GQ37" s="387">
        <f t="shared" si="83"/>
        <v>0</v>
      </c>
      <c r="GR37" s="387">
        <f t="shared" si="83"/>
        <v>0</v>
      </c>
      <c r="GS37" s="387">
        <f t="shared" si="83"/>
        <v>0</v>
      </c>
      <c r="GT37" s="387">
        <f t="shared" si="83"/>
        <v>0</v>
      </c>
      <c r="GU37" s="387">
        <f t="shared" si="83"/>
        <v>0</v>
      </c>
      <c r="GV37" s="387">
        <f t="shared" si="83"/>
        <v>0</v>
      </c>
      <c r="GW37" s="387">
        <f t="shared" si="83"/>
        <v>0</v>
      </c>
      <c r="GX37" s="387">
        <f t="shared" si="83"/>
        <v>0</v>
      </c>
      <c r="GY37" s="387">
        <f t="shared" si="83"/>
        <v>0</v>
      </c>
      <c r="GZ37" s="988">
        <f t="shared" si="83"/>
        <v>0</v>
      </c>
      <c r="HB37" s="387"/>
      <c r="HC37" s="387"/>
      <c r="HD37" s="387"/>
      <c r="HE37" s="387"/>
      <c r="HF37" s="387"/>
      <c r="HG37" s="387"/>
      <c r="HH37" s="387"/>
      <c r="HI37" s="387"/>
      <c r="HJ37" s="387"/>
      <c r="HK37" s="387"/>
      <c r="HL37" s="387"/>
      <c r="HM37" s="988"/>
    </row>
    <row r="38" spans="1:221">
      <c r="A38" s="326" t="s">
        <v>900</v>
      </c>
      <c r="B38" s="326" t="s">
        <v>901</v>
      </c>
      <c r="C38" s="326" t="s">
        <v>3685</v>
      </c>
      <c r="D38" s="1036" t="s">
        <v>2154</v>
      </c>
      <c r="E38" s="387" t="s">
        <v>2154</v>
      </c>
      <c r="F38" s="387" t="s">
        <v>2154</v>
      </c>
      <c r="G38" s="387" t="s">
        <v>2154</v>
      </c>
      <c r="H38" s="387" t="s">
        <v>2154</v>
      </c>
      <c r="I38" s="387" t="s">
        <v>2154</v>
      </c>
      <c r="J38" s="387" t="s">
        <v>2154</v>
      </c>
      <c r="K38" s="387" t="s">
        <v>2154</v>
      </c>
      <c r="L38" s="387" t="s">
        <v>2154</v>
      </c>
      <c r="M38" s="387">
        <v>5842.87</v>
      </c>
      <c r="N38" s="387" t="s">
        <v>2154</v>
      </c>
      <c r="O38" s="988" t="s">
        <v>2154</v>
      </c>
      <c r="P38" s="387" t="s">
        <v>2154</v>
      </c>
      <c r="Q38" s="387" t="s">
        <v>2154</v>
      </c>
      <c r="R38" s="387" t="s">
        <v>2154</v>
      </c>
      <c r="S38" s="387" t="s">
        <v>2154</v>
      </c>
      <c r="T38" s="387" t="s">
        <v>2154</v>
      </c>
      <c r="U38" s="387" t="s">
        <v>2154</v>
      </c>
      <c r="V38" s="387" t="s">
        <v>2154</v>
      </c>
      <c r="W38" s="387" t="s">
        <v>2154</v>
      </c>
      <c r="X38" s="387" t="s">
        <v>2154</v>
      </c>
      <c r="Y38" s="387" t="s">
        <v>2154</v>
      </c>
      <c r="Z38" s="387" t="s">
        <v>2154</v>
      </c>
      <c r="AA38" s="988" t="s">
        <v>2154</v>
      </c>
      <c r="AB38" s="387"/>
      <c r="AC38" s="387"/>
      <c r="AD38" s="387"/>
      <c r="AE38" s="387"/>
      <c r="AF38" s="387"/>
      <c r="AG38" s="387"/>
      <c r="AH38" s="387"/>
      <c r="AI38" s="387"/>
      <c r="AJ38" s="387"/>
      <c r="AK38" s="387"/>
      <c r="AL38" s="387"/>
      <c r="AM38" s="988"/>
      <c r="AN38" s="387"/>
      <c r="AO38" s="387"/>
      <c r="AP38" s="387"/>
      <c r="AQ38" s="387"/>
      <c r="AR38" s="387"/>
      <c r="AS38" s="387"/>
      <c r="AT38" s="387"/>
      <c r="AU38" s="387"/>
      <c r="AV38" s="387"/>
      <c r="AW38" s="387"/>
      <c r="AX38" s="387"/>
      <c r="AY38" s="988"/>
      <c r="AZ38" s="387"/>
      <c r="BA38" s="387"/>
      <c r="BB38" s="387"/>
      <c r="BC38" s="387"/>
      <c r="BD38" s="387"/>
      <c r="BE38" s="387"/>
      <c r="BF38" s="387"/>
      <c r="BG38" s="387"/>
      <c r="BH38" s="387"/>
      <c r="BI38" s="387"/>
      <c r="BJ38" s="387"/>
      <c r="BK38" s="988"/>
      <c r="BL38" s="387"/>
      <c r="BM38" s="387"/>
      <c r="BN38" s="387"/>
      <c r="BO38" s="387"/>
      <c r="BP38" s="387"/>
      <c r="BQ38" s="387"/>
      <c r="BR38" s="387"/>
      <c r="BS38" s="386"/>
      <c r="BT38" s="387"/>
      <c r="BU38" s="387"/>
      <c r="BV38" s="387"/>
      <c r="BW38" s="988"/>
      <c r="BX38" s="387"/>
      <c r="BY38" s="387"/>
      <c r="BZ38" s="387"/>
      <c r="CA38" s="386"/>
      <c r="CB38" s="387"/>
      <c r="CC38" s="387"/>
      <c r="CD38" s="387"/>
      <c r="CE38" s="386"/>
      <c r="CF38" s="387"/>
      <c r="CG38" s="387"/>
      <c r="CH38" s="387"/>
      <c r="CI38" s="988"/>
      <c r="CJ38" s="387"/>
      <c r="CK38" s="387"/>
      <c r="CL38" s="387"/>
      <c r="CM38" s="387"/>
      <c r="CN38" s="387"/>
      <c r="CO38" s="387"/>
      <c r="CP38" s="387"/>
      <c r="CQ38" s="386"/>
      <c r="CR38" s="387"/>
      <c r="CS38" s="387"/>
      <c r="CT38" s="387"/>
      <c r="CU38" s="988"/>
      <c r="CV38" s="387"/>
      <c r="CW38" s="387"/>
      <c r="CX38" s="387"/>
      <c r="CY38" s="387"/>
      <c r="CZ38" s="387"/>
      <c r="DA38" s="387"/>
      <c r="DB38" s="387"/>
      <c r="DC38" s="387"/>
      <c r="DD38" s="387"/>
      <c r="DE38" s="387"/>
      <c r="DF38" s="387"/>
      <c r="DG38" s="988"/>
      <c r="DH38" s="387"/>
      <c r="DI38" s="386"/>
      <c r="DJ38" s="386"/>
      <c r="DK38" s="386"/>
      <c r="DL38" s="386"/>
      <c r="DM38" s="387"/>
      <c r="DN38" s="387"/>
      <c r="DO38" s="386"/>
      <c r="DP38" s="387"/>
      <c r="DQ38" s="387"/>
      <c r="DR38" s="387"/>
      <c r="DS38" s="988"/>
      <c r="DT38" s="387" t="s">
        <v>2154</v>
      </c>
      <c r="DU38" s="387" t="s">
        <v>2154</v>
      </c>
      <c r="DV38" s="387" t="s">
        <v>2154</v>
      </c>
      <c r="DW38" s="387" t="s">
        <v>2154</v>
      </c>
      <c r="DX38" s="387" t="s">
        <v>2154</v>
      </c>
      <c r="DY38" s="387" t="s">
        <v>2154</v>
      </c>
      <c r="DZ38" s="387" t="s">
        <v>2154</v>
      </c>
      <c r="EA38" s="387" t="s">
        <v>2154</v>
      </c>
      <c r="EB38" s="387" t="s">
        <v>2154</v>
      </c>
      <c r="EC38" s="387" t="s">
        <v>2154</v>
      </c>
      <c r="ED38" s="387" t="s">
        <v>2154</v>
      </c>
      <c r="EE38" s="988" t="s">
        <v>2154</v>
      </c>
      <c r="EF38" s="387"/>
      <c r="EG38" s="387"/>
      <c r="EH38" s="387"/>
      <c r="EI38" s="387"/>
      <c r="EJ38" s="387"/>
      <c r="EK38" s="387"/>
      <c r="EL38" s="387"/>
      <c r="EM38" s="387"/>
      <c r="EN38" s="387"/>
      <c r="EO38" s="387"/>
      <c r="EP38" s="387"/>
      <c r="EQ38" s="988"/>
      <c r="ER38" s="387"/>
      <c r="ES38" s="386"/>
      <c r="ET38" s="386"/>
      <c r="EU38" s="386"/>
      <c r="EV38" s="386"/>
      <c r="EW38" s="387"/>
      <c r="EX38" s="387"/>
      <c r="EY38" s="386"/>
      <c r="EZ38" s="387"/>
      <c r="FA38" s="387"/>
      <c r="FB38" s="387"/>
      <c r="FC38" s="988"/>
      <c r="FD38" s="387"/>
      <c r="FE38" s="386"/>
      <c r="FF38" s="386"/>
      <c r="FG38" s="386"/>
      <c r="FH38" s="386"/>
      <c r="FI38" s="387"/>
      <c r="FJ38" s="387"/>
      <c r="FK38" s="386"/>
      <c r="FL38" s="387"/>
      <c r="FM38" s="387"/>
      <c r="FN38" s="387"/>
      <c r="FO38" s="988"/>
      <c r="FP38" s="387"/>
      <c r="FQ38" s="386"/>
      <c r="FR38" s="386"/>
      <c r="FS38" s="386"/>
      <c r="FT38" s="386"/>
      <c r="FU38" s="387"/>
      <c r="FV38" s="387"/>
      <c r="FW38" s="386"/>
      <c r="FX38" s="387"/>
      <c r="FY38" s="387"/>
      <c r="FZ38" s="387"/>
      <c r="GA38" s="988"/>
      <c r="GB38" s="109"/>
      <c r="GC38" s="1036">
        <f t="shared" ref="GC38:GN48" si="84">SUMPRODUCT(--($D$6:$GA$6=GC$6),$D38:$GA38,$D$278:$GA$278)</f>
        <v>0</v>
      </c>
      <c r="GD38" s="387">
        <f t="shared" si="84"/>
        <v>0</v>
      </c>
      <c r="GE38" s="387">
        <f t="shared" si="84"/>
        <v>0</v>
      </c>
      <c r="GF38" s="387">
        <f t="shared" si="84"/>
        <v>0</v>
      </c>
      <c r="GG38" s="387">
        <f t="shared" si="84"/>
        <v>0</v>
      </c>
      <c r="GH38" s="387">
        <f t="shared" si="84"/>
        <v>0</v>
      </c>
      <c r="GI38" s="387">
        <f t="shared" si="84"/>
        <v>0</v>
      </c>
      <c r="GJ38" s="387">
        <f t="shared" si="84"/>
        <v>0</v>
      </c>
      <c r="GK38" s="387">
        <f t="shared" si="84"/>
        <v>0</v>
      </c>
      <c r="GL38" s="387">
        <f t="shared" si="84"/>
        <v>5842.87</v>
      </c>
      <c r="GM38" s="387">
        <f t="shared" si="84"/>
        <v>0</v>
      </c>
      <c r="GN38" s="988">
        <f t="shared" si="84"/>
        <v>0</v>
      </c>
      <c r="GO38" s="1036">
        <f t="shared" si="83"/>
        <v>0</v>
      </c>
      <c r="GP38" s="387">
        <f t="shared" si="83"/>
        <v>0</v>
      </c>
      <c r="GQ38" s="387">
        <f t="shared" si="83"/>
        <v>0</v>
      </c>
      <c r="GR38" s="387">
        <f t="shared" si="83"/>
        <v>0</v>
      </c>
      <c r="GS38" s="387">
        <f t="shared" si="83"/>
        <v>0</v>
      </c>
      <c r="GT38" s="387">
        <f t="shared" si="83"/>
        <v>0</v>
      </c>
      <c r="GU38" s="387">
        <f t="shared" si="83"/>
        <v>0</v>
      </c>
      <c r="GV38" s="387">
        <f t="shared" si="83"/>
        <v>0</v>
      </c>
      <c r="GW38" s="387">
        <f t="shared" si="83"/>
        <v>0</v>
      </c>
      <c r="GX38" s="387">
        <f t="shared" si="83"/>
        <v>0</v>
      </c>
      <c r="GY38" s="387">
        <f t="shared" si="83"/>
        <v>0</v>
      </c>
      <c r="GZ38" s="988">
        <f t="shared" si="83"/>
        <v>0</v>
      </c>
      <c r="HB38" s="387"/>
      <c r="HC38" s="386"/>
      <c r="HD38" s="386"/>
      <c r="HE38" s="386"/>
      <c r="HF38" s="386"/>
      <c r="HG38" s="386"/>
      <c r="HH38" s="387"/>
      <c r="HI38" s="386"/>
      <c r="HJ38" s="386"/>
      <c r="HK38" s="387"/>
      <c r="HL38" s="387"/>
      <c r="HM38" s="987"/>
    </row>
    <row r="39" spans="1:221">
      <c r="A39" s="326" t="s">
        <v>900</v>
      </c>
      <c r="B39" s="326" t="s">
        <v>3686</v>
      </c>
      <c r="C39" s="326" t="s">
        <v>3687</v>
      </c>
      <c r="D39" s="1036" t="s">
        <v>2154</v>
      </c>
      <c r="E39" s="387">
        <v>2116.52</v>
      </c>
      <c r="F39" s="387">
        <v>4703.3599999999997</v>
      </c>
      <c r="G39" s="387">
        <v>5057.82</v>
      </c>
      <c r="H39" s="387">
        <v>6283.7099999999991</v>
      </c>
      <c r="I39" s="387">
        <v>3823.23</v>
      </c>
      <c r="J39" s="387">
        <v>4124.6400000000003</v>
      </c>
      <c r="K39" s="387">
        <v>4537.1100000000006</v>
      </c>
      <c r="L39" s="387">
        <v>2395.46</v>
      </c>
      <c r="M39" s="387">
        <v>1713.31</v>
      </c>
      <c r="N39" s="387">
        <v>1729.18</v>
      </c>
      <c r="O39" s="988">
        <v>1507.0800000000002</v>
      </c>
      <c r="P39" s="387">
        <v>4730.79</v>
      </c>
      <c r="Q39" s="387">
        <v>4629.1400000000003</v>
      </c>
      <c r="R39" s="387">
        <v>1175.8399999999999</v>
      </c>
      <c r="S39" s="387">
        <v>1264.4499999999998</v>
      </c>
      <c r="T39" s="387">
        <v>1396.03</v>
      </c>
      <c r="U39" s="387">
        <v>1205.67</v>
      </c>
      <c r="V39" s="387">
        <v>1269.1200000000001</v>
      </c>
      <c r="W39" s="387">
        <v>1396.03</v>
      </c>
      <c r="X39" s="387">
        <v>1078.75</v>
      </c>
      <c r="Y39" s="386">
        <v>1142.21</v>
      </c>
      <c r="Z39" s="386">
        <v>1396.02</v>
      </c>
      <c r="AA39" s="987">
        <v>1205.6699999999998</v>
      </c>
      <c r="AB39" s="386"/>
      <c r="AC39" s="386"/>
      <c r="AD39" s="386"/>
      <c r="AE39" s="386"/>
      <c r="AF39" s="386"/>
      <c r="AG39" s="386"/>
      <c r="AH39" s="387"/>
      <c r="AI39" s="387"/>
      <c r="AJ39" s="387"/>
      <c r="AK39" s="387"/>
      <c r="AL39" s="387"/>
      <c r="AM39" s="987"/>
      <c r="AN39" s="386"/>
      <c r="AO39" s="386"/>
      <c r="AP39" s="386"/>
      <c r="AQ39" s="386"/>
      <c r="AR39" s="386"/>
      <c r="AS39" s="386"/>
      <c r="AT39" s="386"/>
      <c r="AU39" s="386"/>
      <c r="AV39" s="386"/>
      <c r="AW39" s="386"/>
      <c r="AX39" s="386"/>
      <c r="AY39" s="987"/>
      <c r="AZ39" s="386"/>
      <c r="BA39" s="386"/>
      <c r="BB39" s="386"/>
      <c r="BC39" s="386"/>
      <c r="BD39" s="386"/>
      <c r="BE39" s="386"/>
      <c r="BF39" s="386"/>
      <c r="BG39" s="386"/>
      <c r="BH39" s="386"/>
      <c r="BI39" s="386"/>
      <c r="BJ39" s="386"/>
      <c r="BK39" s="987"/>
      <c r="BL39" s="387"/>
      <c r="BM39" s="387"/>
      <c r="BN39" s="387"/>
      <c r="BO39" s="387"/>
      <c r="BP39" s="387"/>
      <c r="BQ39" s="387"/>
      <c r="BR39" s="387"/>
      <c r="BS39" s="387"/>
      <c r="BT39" s="386"/>
      <c r="BU39" s="386"/>
      <c r="BV39" s="386"/>
      <c r="BW39" s="987"/>
      <c r="BX39" s="387"/>
      <c r="BY39" s="387"/>
      <c r="BZ39" s="387"/>
      <c r="CA39" s="387"/>
      <c r="CB39" s="387"/>
      <c r="CC39" s="386"/>
      <c r="CD39" s="386"/>
      <c r="CE39" s="386"/>
      <c r="CF39" s="386"/>
      <c r="CG39" s="386"/>
      <c r="CH39" s="386"/>
      <c r="CI39" s="987"/>
      <c r="CJ39" s="387"/>
      <c r="CK39" s="387"/>
      <c r="CL39" s="387"/>
      <c r="CM39" s="387"/>
      <c r="CN39" s="387"/>
      <c r="CO39" s="386"/>
      <c r="CP39" s="386"/>
      <c r="CQ39" s="386"/>
      <c r="CR39" s="386"/>
      <c r="CS39" s="386"/>
      <c r="CT39" s="386"/>
      <c r="CU39" s="987"/>
      <c r="CV39" s="387"/>
      <c r="CW39" s="387"/>
      <c r="CX39" s="387"/>
      <c r="CY39" s="387"/>
      <c r="CZ39" s="387"/>
      <c r="DA39" s="386"/>
      <c r="DB39" s="386"/>
      <c r="DC39" s="386"/>
      <c r="DD39" s="386"/>
      <c r="DE39" s="386"/>
      <c r="DF39" s="386"/>
      <c r="DG39" s="987"/>
      <c r="DH39" s="387"/>
      <c r="DI39" s="387"/>
      <c r="DJ39" s="387"/>
      <c r="DK39" s="387"/>
      <c r="DL39" s="387"/>
      <c r="DM39" s="386"/>
      <c r="DN39" s="386"/>
      <c r="DO39" s="386"/>
      <c r="DP39" s="386"/>
      <c r="DQ39" s="386"/>
      <c r="DR39" s="386"/>
      <c r="DS39" s="987"/>
      <c r="DT39" s="387">
        <v>290.53000000000003</v>
      </c>
      <c r="DU39" s="387">
        <v>308</v>
      </c>
      <c r="DV39" s="387">
        <v>280</v>
      </c>
      <c r="DW39" s="387">
        <v>798</v>
      </c>
      <c r="DX39" s="387">
        <v>1190</v>
      </c>
      <c r="DY39" s="387">
        <v>1582</v>
      </c>
      <c r="DZ39" s="387">
        <v>1435</v>
      </c>
      <c r="EA39" s="387">
        <v>1435</v>
      </c>
      <c r="EB39" s="387">
        <v>1363.25</v>
      </c>
      <c r="EC39" s="387">
        <v>2411</v>
      </c>
      <c r="ED39" s="387">
        <v>2411</v>
      </c>
      <c r="EE39" s="988">
        <v>2290.4499999999998</v>
      </c>
      <c r="EF39" s="387"/>
      <c r="EG39" s="387"/>
      <c r="EH39" s="387"/>
      <c r="EI39" s="387"/>
      <c r="EJ39" s="387"/>
      <c r="EK39" s="387"/>
      <c r="EL39" s="387"/>
      <c r="EM39" s="387"/>
      <c r="EN39" s="387"/>
      <c r="EO39" s="387"/>
      <c r="EP39" s="387"/>
      <c r="EQ39" s="988"/>
      <c r="ER39" s="387"/>
      <c r="ES39" s="387"/>
      <c r="ET39" s="387"/>
      <c r="EU39" s="387"/>
      <c r="EV39" s="387"/>
      <c r="EW39" s="386"/>
      <c r="EX39" s="386"/>
      <c r="EY39" s="386"/>
      <c r="EZ39" s="386"/>
      <c r="FA39" s="386"/>
      <c r="FB39" s="386"/>
      <c r="FC39" s="987"/>
      <c r="FD39" s="387"/>
      <c r="FE39" s="387"/>
      <c r="FF39" s="387"/>
      <c r="FG39" s="387"/>
      <c r="FH39" s="387"/>
      <c r="FI39" s="386"/>
      <c r="FJ39" s="386"/>
      <c r="FK39" s="386"/>
      <c r="FL39" s="386"/>
      <c r="FM39" s="386"/>
      <c r="FN39" s="386"/>
      <c r="FO39" s="987"/>
      <c r="FP39" s="387"/>
      <c r="FQ39" s="387"/>
      <c r="FR39" s="387"/>
      <c r="FS39" s="387"/>
      <c r="FT39" s="387"/>
      <c r="FU39" s="386"/>
      <c r="FV39" s="386"/>
      <c r="FW39" s="386"/>
      <c r="FX39" s="386"/>
      <c r="FY39" s="386"/>
      <c r="FZ39" s="386"/>
      <c r="GA39" s="987"/>
      <c r="GB39" s="109"/>
      <c r="GC39" s="1036">
        <f t="shared" si="84"/>
        <v>5021.32</v>
      </c>
      <c r="GD39" s="387">
        <f t="shared" si="84"/>
        <v>7053.66</v>
      </c>
      <c r="GE39" s="387">
        <f t="shared" si="84"/>
        <v>6159.2</v>
      </c>
      <c r="GF39" s="387">
        <f t="shared" si="84"/>
        <v>7120.2699999999995</v>
      </c>
      <c r="GG39" s="387">
        <f t="shared" si="84"/>
        <v>8869.739999999998</v>
      </c>
      <c r="GH39" s="387">
        <f t="shared" si="84"/>
        <v>6610.9</v>
      </c>
      <c r="GI39" s="387">
        <f t="shared" si="84"/>
        <v>6828.76</v>
      </c>
      <c r="GJ39" s="387">
        <f t="shared" si="84"/>
        <v>7368.14</v>
      </c>
      <c r="GK39" s="387">
        <f t="shared" si="84"/>
        <v>4837.46</v>
      </c>
      <c r="GL39" s="387">
        <f t="shared" si="84"/>
        <v>5266.52</v>
      </c>
      <c r="GM39" s="387">
        <f t="shared" si="84"/>
        <v>5536.2</v>
      </c>
      <c r="GN39" s="988">
        <f t="shared" si="84"/>
        <v>5003.2</v>
      </c>
      <c r="GO39" s="1036">
        <f t="shared" si="83"/>
        <v>290.53000000000003</v>
      </c>
      <c r="GP39" s="387">
        <f t="shared" si="83"/>
        <v>308</v>
      </c>
      <c r="GQ39" s="387">
        <f t="shared" si="83"/>
        <v>280</v>
      </c>
      <c r="GR39" s="387">
        <f t="shared" si="83"/>
        <v>798</v>
      </c>
      <c r="GS39" s="387">
        <f t="shared" si="83"/>
        <v>1190</v>
      </c>
      <c r="GT39" s="387">
        <f t="shared" si="83"/>
        <v>1582</v>
      </c>
      <c r="GU39" s="387">
        <f t="shared" si="83"/>
        <v>1435</v>
      </c>
      <c r="GV39" s="387">
        <f t="shared" si="83"/>
        <v>1435</v>
      </c>
      <c r="GW39" s="387">
        <f t="shared" si="83"/>
        <v>1363.25</v>
      </c>
      <c r="GX39" s="387">
        <f t="shared" si="83"/>
        <v>2411</v>
      </c>
      <c r="GY39" s="387">
        <f t="shared" si="83"/>
        <v>2411</v>
      </c>
      <c r="GZ39" s="988">
        <f t="shared" si="83"/>
        <v>2290.4499999999998</v>
      </c>
      <c r="HB39" s="386"/>
      <c r="HC39" s="386"/>
      <c r="HD39" s="386"/>
      <c r="HE39" s="386"/>
      <c r="HF39" s="386"/>
      <c r="HG39" s="386"/>
      <c r="HH39" s="386"/>
      <c r="HI39" s="386"/>
      <c r="HJ39" s="386"/>
      <c r="HK39" s="386"/>
      <c r="HL39" s="386"/>
      <c r="HM39" s="987"/>
    </row>
    <row r="40" spans="1:221">
      <c r="A40" s="326" t="s">
        <v>900</v>
      </c>
      <c r="B40" s="326" t="s">
        <v>3688</v>
      </c>
      <c r="C40" s="326" t="s">
        <v>3687</v>
      </c>
      <c r="D40" s="1036">
        <v>2189.9699999999998</v>
      </c>
      <c r="E40" s="387">
        <v>2545.84</v>
      </c>
      <c r="F40" s="387">
        <v>2326.85</v>
      </c>
      <c r="G40" s="387">
        <v>2450.04</v>
      </c>
      <c r="H40" s="387">
        <v>2763.1800000000003</v>
      </c>
      <c r="I40" s="387">
        <v>2758.4300000000003</v>
      </c>
      <c r="J40" s="387">
        <v>1540.23</v>
      </c>
      <c r="K40" s="387">
        <v>2618.41</v>
      </c>
      <c r="L40" s="387">
        <v>2632.41</v>
      </c>
      <c r="M40" s="387">
        <v>2506.3900000000003</v>
      </c>
      <c r="N40" s="387">
        <v>2487.54</v>
      </c>
      <c r="O40" s="988">
        <v>2357.1999999999998</v>
      </c>
      <c r="P40" s="386">
        <v>505.38999999999993</v>
      </c>
      <c r="Q40" s="386">
        <v>587.51</v>
      </c>
      <c r="R40" s="386">
        <v>536.97</v>
      </c>
      <c r="S40" s="386">
        <v>565.4</v>
      </c>
      <c r="T40" s="386">
        <v>607.4799999999999</v>
      </c>
      <c r="U40" s="386">
        <v>636.56999999999994</v>
      </c>
      <c r="V40" s="386">
        <v>355.44</v>
      </c>
      <c r="W40" s="386">
        <v>604.25</v>
      </c>
      <c r="X40" s="386">
        <v>607.4899999999999</v>
      </c>
      <c r="Y40" s="386">
        <v>578.4</v>
      </c>
      <c r="Z40" s="386">
        <v>574.08999999999992</v>
      </c>
      <c r="AA40" s="987">
        <v>543.93000000000006</v>
      </c>
      <c r="AB40" s="386"/>
      <c r="AC40" s="386"/>
      <c r="AD40" s="386"/>
      <c r="AE40" s="386"/>
      <c r="AF40" s="386"/>
      <c r="AG40" s="386"/>
      <c r="AH40" s="386"/>
      <c r="AI40" s="386"/>
      <c r="AJ40" s="386"/>
      <c r="AK40" s="386"/>
      <c r="AL40" s="386"/>
      <c r="AM40" s="987"/>
      <c r="AN40" s="386"/>
      <c r="AO40" s="386"/>
      <c r="AP40" s="386"/>
      <c r="AQ40" s="386"/>
      <c r="AR40" s="386"/>
      <c r="AS40" s="386"/>
      <c r="AT40" s="386"/>
      <c r="AU40" s="386"/>
      <c r="AV40" s="386"/>
      <c r="AW40" s="386"/>
      <c r="AX40" s="386"/>
      <c r="AY40" s="987"/>
      <c r="AZ40" s="386"/>
      <c r="BA40" s="386"/>
      <c r="BB40" s="386"/>
      <c r="BC40" s="386"/>
      <c r="BD40" s="386"/>
      <c r="BE40" s="386"/>
      <c r="BF40" s="386"/>
      <c r="BG40" s="386"/>
      <c r="BH40" s="386"/>
      <c r="BI40" s="386"/>
      <c r="BJ40" s="386"/>
      <c r="BK40" s="987"/>
      <c r="BL40" s="386"/>
      <c r="BM40" s="386"/>
      <c r="BN40" s="386"/>
      <c r="BO40" s="386"/>
      <c r="BP40" s="386"/>
      <c r="BQ40" s="386"/>
      <c r="BR40" s="386"/>
      <c r="BS40" s="387"/>
      <c r="BT40" s="386"/>
      <c r="BU40" s="386"/>
      <c r="BV40" s="386"/>
      <c r="BW40" s="987"/>
      <c r="BX40" s="387"/>
      <c r="BY40" s="386"/>
      <c r="BZ40" s="387"/>
      <c r="CA40" s="387"/>
      <c r="CB40" s="386"/>
      <c r="CC40" s="386"/>
      <c r="CD40" s="386"/>
      <c r="CE40" s="387"/>
      <c r="CF40" s="386"/>
      <c r="CG40" s="386"/>
      <c r="CH40" s="386"/>
      <c r="CI40" s="987"/>
      <c r="CJ40" s="387"/>
      <c r="CK40" s="386"/>
      <c r="CL40" s="387"/>
      <c r="CM40" s="387"/>
      <c r="CN40" s="386"/>
      <c r="CO40" s="386"/>
      <c r="CP40" s="386"/>
      <c r="CQ40" s="387"/>
      <c r="CR40" s="386"/>
      <c r="CS40" s="386"/>
      <c r="CT40" s="386"/>
      <c r="CU40" s="987"/>
      <c r="CV40" s="387"/>
      <c r="CW40" s="386"/>
      <c r="CX40" s="387"/>
      <c r="CY40" s="387"/>
      <c r="CZ40" s="386"/>
      <c r="DA40" s="386"/>
      <c r="DB40" s="386"/>
      <c r="DC40" s="387"/>
      <c r="DD40" s="386"/>
      <c r="DE40" s="386"/>
      <c r="DF40" s="386"/>
      <c r="DG40" s="987"/>
      <c r="DH40" s="387"/>
      <c r="DI40" s="386"/>
      <c r="DJ40" s="387"/>
      <c r="DK40" s="387"/>
      <c r="DL40" s="386"/>
      <c r="DM40" s="386"/>
      <c r="DN40" s="386"/>
      <c r="DO40" s="387"/>
      <c r="DP40" s="386"/>
      <c r="DQ40" s="386"/>
      <c r="DR40" s="386"/>
      <c r="DS40" s="987"/>
      <c r="DT40" s="387">
        <v>86.87</v>
      </c>
      <c r="DU40" s="387">
        <v>116.1</v>
      </c>
      <c r="DV40" s="387">
        <v>112.44</v>
      </c>
      <c r="DW40" s="387">
        <v>105.4</v>
      </c>
      <c r="DX40" s="387">
        <v>137.16999999999999</v>
      </c>
      <c r="DY40" s="387">
        <v>100.06</v>
      </c>
      <c r="DZ40" s="387">
        <v>118.62</v>
      </c>
      <c r="EA40" s="387">
        <v>84.61</v>
      </c>
      <c r="EB40" s="387">
        <v>112.44000000000001</v>
      </c>
      <c r="EC40" s="387">
        <v>111.88</v>
      </c>
      <c r="ED40" s="387">
        <v>129.31</v>
      </c>
      <c r="EE40" s="988">
        <v>52.28</v>
      </c>
      <c r="EF40" s="387"/>
      <c r="EG40" s="387"/>
      <c r="EH40" s="387"/>
      <c r="EI40" s="387"/>
      <c r="EJ40" s="387"/>
      <c r="EK40" s="387"/>
      <c r="EL40" s="387"/>
      <c r="EM40" s="387"/>
      <c r="EN40" s="387"/>
      <c r="EO40" s="387"/>
      <c r="EP40" s="387"/>
      <c r="EQ40" s="988"/>
      <c r="ER40" s="387"/>
      <c r="ES40" s="386"/>
      <c r="ET40" s="387"/>
      <c r="EU40" s="387"/>
      <c r="EV40" s="386"/>
      <c r="EW40" s="386"/>
      <c r="EX40" s="386"/>
      <c r="EY40" s="387"/>
      <c r="EZ40" s="386"/>
      <c r="FA40" s="386"/>
      <c r="FB40" s="386"/>
      <c r="FC40" s="987"/>
      <c r="FD40" s="387"/>
      <c r="FE40" s="386"/>
      <c r="FF40" s="387"/>
      <c r="FG40" s="387"/>
      <c r="FH40" s="386"/>
      <c r="FI40" s="386"/>
      <c r="FJ40" s="386"/>
      <c r="FK40" s="387"/>
      <c r="FL40" s="386"/>
      <c r="FM40" s="386"/>
      <c r="FN40" s="386"/>
      <c r="FO40" s="987"/>
      <c r="FP40" s="387"/>
      <c r="FQ40" s="386"/>
      <c r="FR40" s="387"/>
      <c r="FS40" s="387"/>
      <c r="FT40" s="386"/>
      <c r="FU40" s="386"/>
      <c r="FV40" s="386"/>
      <c r="FW40" s="387"/>
      <c r="FX40" s="386"/>
      <c r="FY40" s="386"/>
      <c r="FZ40" s="386"/>
      <c r="GA40" s="987"/>
      <c r="GB40" s="109"/>
      <c r="GC40" s="1036">
        <f t="shared" si="84"/>
        <v>2782.2299999999996</v>
      </c>
      <c r="GD40" s="387">
        <f t="shared" si="84"/>
        <v>3249.4500000000003</v>
      </c>
      <c r="GE40" s="387">
        <f t="shared" si="84"/>
        <v>2976.2599999999998</v>
      </c>
      <c r="GF40" s="387">
        <f t="shared" si="84"/>
        <v>3120.84</v>
      </c>
      <c r="GG40" s="387">
        <f t="shared" si="84"/>
        <v>3507.8300000000004</v>
      </c>
      <c r="GH40" s="387">
        <f t="shared" si="84"/>
        <v>3495.06</v>
      </c>
      <c r="GI40" s="387">
        <f t="shared" si="84"/>
        <v>2014.29</v>
      </c>
      <c r="GJ40" s="387">
        <f t="shared" si="84"/>
        <v>3307.27</v>
      </c>
      <c r="GK40" s="387">
        <f t="shared" si="84"/>
        <v>3352.3399999999997</v>
      </c>
      <c r="GL40" s="387">
        <f t="shared" si="84"/>
        <v>3196.6700000000005</v>
      </c>
      <c r="GM40" s="387">
        <f t="shared" si="84"/>
        <v>3190.94</v>
      </c>
      <c r="GN40" s="988">
        <f t="shared" si="84"/>
        <v>2953.4100000000003</v>
      </c>
      <c r="GO40" s="1036">
        <f t="shared" si="83"/>
        <v>86.87</v>
      </c>
      <c r="GP40" s="387">
        <f t="shared" si="83"/>
        <v>116.1</v>
      </c>
      <c r="GQ40" s="387">
        <f t="shared" si="83"/>
        <v>112.44</v>
      </c>
      <c r="GR40" s="387">
        <f t="shared" si="83"/>
        <v>105.4</v>
      </c>
      <c r="GS40" s="387">
        <f t="shared" si="83"/>
        <v>137.16999999999999</v>
      </c>
      <c r="GT40" s="387">
        <f t="shared" si="83"/>
        <v>100.06</v>
      </c>
      <c r="GU40" s="387">
        <f t="shared" si="83"/>
        <v>118.62</v>
      </c>
      <c r="GV40" s="387">
        <f t="shared" si="83"/>
        <v>84.61</v>
      </c>
      <c r="GW40" s="387">
        <f t="shared" si="83"/>
        <v>112.44000000000001</v>
      </c>
      <c r="GX40" s="387">
        <f t="shared" si="83"/>
        <v>111.88</v>
      </c>
      <c r="GY40" s="387">
        <f t="shared" si="83"/>
        <v>129.31</v>
      </c>
      <c r="GZ40" s="988">
        <f t="shared" si="83"/>
        <v>52.28</v>
      </c>
      <c r="HB40" s="386"/>
      <c r="HC40" s="386"/>
      <c r="HD40" s="386"/>
      <c r="HE40" s="386"/>
      <c r="HF40" s="386"/>
      <c r="HG40" s="386"/>
      <c r="HH40" s="386"/>
      <c r="HI40" s="386"/>
      <c r="HJ40" s="386"/>
      <c r="HK40" s="386"/>
      <c r="HL40" s="386"/>
      <c r="HM40" s="987"/>
    </row>
    <row r="41" spans="1:221">
      <c r="A41" s="326" t="s">
        <v>900</v>
      </c>
      <c r="B41" s="326" t="s">
        <v>3689</v>
      </c>
      <c r="C41" s="326" t="s">
        <v>3687</v>
      </c>
      <c r="D41" s="1036">
        <v>1636.98</v>
      </c>
      <c r="E41" s="387">
        <v>2107.69</v>
      </c>
      <c r="F41" s="387">
        <v>2147.96</v>
      </c>
      <c r="G41" s="387">
        <v>2255.36</v>
      </c>
      <c r="H41" s="387">
        <v>2066.0299999999997</v>
      </c>
      <c r="I41" s="387">
        <v>1945.21</v>
      </c>
      <c r="J41" s="387">
        <v>1429.98</v>
      </c>
      <c r="K41" s="387">
        <v>2325.39</v>
      </c>
      <c r="L41" s="387">
        <v>1865.9199999999996</v>
      </c>
      <c r="M41" s="387">
        <v>2167.7599999999998</v>
      </c>
      <c r="N41" s="387">
        <v>2394.56</v>
      </c>
      <c r="O41" s="988">
        <v>2160.48</v>
      </c>
      <c r="P41" s="387">
        <v>591.78</v>
      </c>
      <c r="Q41" s="387">
        <v>688.21</v>
      </c>
      <c r="R41" s="387">
        <v>701.36</v>
      </c>
      <c r="S41" s="387">
        <v>736.43000000000006</v>
      </c>
      <c r="T41" s="387">
        <v>824.1</v>
      </c>
      <c r="U41" s="386">
        <v>775.88</v>
      </c>
      <c r="V41" s="386">
        <v>570.33999999999992</v>
      </c>
      <c r="W41" s="386">
        <v>846.72</v>
      </c>
      <c r="X41" s="386">
        <v>609.27999999999986</v>
      </c>
      <c r="Y41" s="386">
        <v>707.84</v>
      </c>
      <c r="Z41" s="386">
        <v>781.76</v>
      </c>
      <c r="AA41" s="987">
        <v>705.6</v>
      </c>
      <c r="AB41" s="387"/>
      <c r="AC41" s="387"/>
      <c r="AD41" s="387"/>
      <c r="AE41" s="387"/>
      <c r="AF41" s="387"/>
      <c r="AG41" s="386"/>
      <c r="AH41" s="386"/>
      <c r="AI41" s="386"/>
      <c r="AJ41" s="386"/>
      <c r="AK41" s="386"/>
      <c r="AL41" s="386"/>
      <c r="AM41" s="987"/>
      <c r="AN41" s="387"/>
      <c r="AO41" s="387"/>
      <c r="AP41" s="387"/>
      <c r="AQ41" s="387"/>
      <c r="AR41" s="387"/>
      <c r="AS41" s="386"/>
      <c r="AT41" s="386"/>
      <c r="AU41" s="386"/>
      <c r="AV41" s="386"/>
      <c r="AW41" s="386"/>
      <c r="AX41" s="386"/>
      <c r="AY41" s="987"/>
      <c r="AZ41" s="387"/>
      <c r="BA41" s="387"/>
      <c r="BB41" s="387"/>
      <c r="BC41" s="387"/>
      <c r="BD41" s="387"/>
      <c r="BE41" s="386"/>
      <c r="BF41" s="386"/>
      <c r="BG41" s="386"/>
      <c r="BH41" s="386"/>
      <c r="BI41" s="386"/>
      <c r="BJ41" s="386"/>
      <c r="BK41" s="987"/>
      <c r="BL41" s="387"/>
      <c r="BM41" s="387"/>
      <c r="BN41" s="387"/>
      <c r="BO41" s="387"/>
      <c r="BP41" s="387"/>
      <c r="BQ41" s="386"/>
      <c r="BR41" s="386"/>
      <c r="BS41" s="386"/>
      <c r="BT41" s="386"/>
      <c r="BU41" s="386"/>
      <c r="BV41" s="386"/>
      <c r="BW41" s="987"/>
      <c r="BX41" s="387"/>
      <c r="BY41" s="387"/>
      <c r="BZ41" s="387"/>
      <c r="CA41" s="387"/>
      <c r="CB41" s="387"/>
      <c r="CC41" s="386"/>
      <c r="CD41" s="386"/>
      <c r="CE41" s="386"/>
      <c r="CF41" s="386"/>
      <c r="CG41" s="386"/>
      <c r="CH41" s="386"/>
      <c r="CI41" s="987"/>
      <c r="CJ41" s="387"/>
      <c r="CK41" s="387"/>
      <c r="CL41" s="387"/>
      <c r="CM41" s="387"/>
      <c r="CN41" s="387"/>
      <c r="CO41" s="386"/>
      <c r="CP41" s="386"/>
      <c r="CQ41" s="386"/>
      <c r="CR41" s="386"/>
      <c r="CS41" s="386"/>
      <c r="CT41" s="386"/>
      <c r="CU41" s="987"/>
      <c r="CV41" s="387"/>
      <c r="CW41" s="387"/>
      <c r="CX41" s="387"/>
      <c r="CY41" s="387"/>
      <c r="CZ41" s="387"/>
      <c r="DA41" s="386"/>
      <c r="DB41" s="386"/>
      <c r="DC41" s="386"/>
      <c r="DD41" s="386"/>
      <c r="DE41" s="386"/>
      <c r="DF41" s="386"/>
      <c r="DG41" s="987"/>
      <c r="DH41" s="387"/>
      <c r="DI41" s="387"/>
      <c r="DJ41" s="387"/>
      <c r="DK41" s="387"/>
      <c r="DL41" s="387"/>
      <c r="DM41" s="386"/>
      <c r="DN41" s="386"/>
      <c r="DO41" s="386"/>
      <c r="DP41" s="386"/>
      <c r="DQ41" s="386"/>
      <c r="DR41" s="386"/>
      <c r="DS41" s="987"/>
      <c r="DT41" s="387">
        <v>84.850000000000009</v>
      </c>
      <c r="DU41" s="387">
        <v>112.02000000000001</v>
      </c>
      <c r="DV41" s="387">
        <v>103.48</v>
      </c>
      <c r="DW41" s="387">
        <v>95.720000000000027</v>
      </c>
      <c r="DX41" s="387">
        <v>120.56</v>
      </c>
      <c r="DY41" s="387">
        <v>120.57000000000001</v>
      </c>
      <c r="DZ41" s="387">
        <v>95</v>
      </c>
      <c r="EA41" s="387">
        <v>111.69</v>
      </c>
      <c r="EB41" s="387">
        <v>111.95000000000002</v>
      </c>
      <c r="EC41" s="387">
        <v>100.03</v>
      </c>
      <c r="ED41" s="387">
        <v>123.34</v>
      </c>
      <c r="EE41" s="988">
        <v>111.94999999999999</v>
      </c>
      <c r="EF41" s="387"/>
      <c r="EG41" s="387"/>
      <c r="EH41" s="387"/>
      <c r="EI41" s="387"/>
      <c r="EJ41" s="387"/>
      <c r="EK41" s="387"/>
      <c r="EL41" s="387"/>
      <c r="EM41" s="387"/>
      <c r="EN41" s="387"/>
      <c r="EO41" s="387"/>
      <c r="EP41" s="387"/>
      <c r="EQ41" s="988"/>
      <c r="ER41" s="387"/>
      <c r="ES41" s="387"/>
      <c r="ET41" s="387"/>
      <c r="EU41" s="387"/>
      <c r="EV41" s="387"/>
      <c r="EW41" s="386"/>
      <c r="EX41" s="386"/>
      <c r="EY41" s="386"/>
      <c r="EZ41" s="386"/>
      <c r="FA41" s="386"/>
      <c r="FB41" s="386"/>
      <c r="FC41" s="987"/>
      <c r="FD41" s="387"/>
      <c r="FE41" s="387"/>
      <c r="FF41" s="387"/>
      <c r="FG41" s="387"/>
      <c r="FH41" s="387"/>
      <c r="FI41" s="386"/>
      <c r="FJ41" s="386"/>
      <c r="FK41" s="386"/>
      <c r="FL41" s="386"/>
      <c r="FM41" s="386"/>
      <c r="FN41" s="386"/>
      <c r="FO41" s="987"/>
      <c r="FP41" s="387"/>
      <c r="FQ41" s="387"/>
      <c r="FR41" s="387"/>
      <c r="FS41" s="387"/>
      <c r="FT41" s="387"/>
      <c r="FU41" s="386"/>
      <c r="FV41" s="386"/>
      <c r="FW41" s="386"/>
      <c r="FX41" s="386"/>
      <c r="FY41" s="386"/>
      <c r="FZ41" s="386"/>
      <c r="GA41" s="987"/>
      <c r="GB41" s="109"/>
      <c r="GC41" s="1036">
        <f t="shared" si="84"/>
        <v>2313.61</v>
      </c>
      <c r="GD41" s="387">
        <f t="shared" si="84"/>
        <v>2907.92</v>
      </c>
      <c r="GE41" s="387">
        <f t="shared" si="84"/>
        <v>2952.8</v>
      </c>
      <c r="GF41" s="387">
        <f t="shared" si="84"/>
        <v>3087.51</v>
      </c>
      <c r="GG41" s="387">
        <f t="shared" si="84"/>
        <v>3010.6899999999996</v>
      </c>
      <c r="GH41" s="387">
        <f t="shared" si="84"/>
        <v>2841.6600000000003</v>
      </c>
      <c r="GI41" s="387">
        <f t="shared" si="84"/>
        <v>2095.3199999999997</v>
      </c>
      <c r="GJ41" s="387">
        <f t="shared" si="84"/>
        <v>3283.7999999999997</v>
      </c>
      <c r="GK41" s="387">
        <f t="shared" si="84"/>
        <v>2587.1499999999992</v>
      </c>
      <c r="GL41" s="387">
        <f t="shared" si="84"/>
        <v>2975.63</v>
      </c>
      <c r="GM41" s="387">
        <f t="shared" si="84"/>
        <v>3299.66</v>
      </c>
      <c r="GN41" s="988">
        <f t="shared" si="84"/>
        <v>2978.0299999999997</v>
      </c>
      <c r="GO41" s="1036">
        <f t="shared" si="83"/>
        <v>84.850000000000009</v>
      </c>
      <c r="GP41" s="387">
        <f t="shared" si="83"/>
        <v>112.02000000000001</v>
      </c>
      <c r="GQ41" s="387">
        <f t="shared" si="83"/>
        <v>103.48</v>
      </c>
      <c r="GR41" s="387">
        <f t="shared" si="83"/>
        <v>95.720000000000027</v>
      </c>
      <c r="GS41" s="387">
        <f t="shared" si="83"/>
        <v>120.56</v>
      </c>
      <c r="GT41" s="387">
        <f t="shared" si="83"/>
        <v>120.57000000000001</v>
      </c>
      <c r="GU41" s="387">
        <f t="shared" si="83"/>
        <v>95</v>
      </c>
      <c r="GV41" s="387">
        <f t="shared" si="83"/>
        <v>111.69</v>
      </c>
      <c r="GW41" s="387">
        <f t="shared" si="83"/>
        <v>111.95000000000002</v>
      </c>
      <c r="GX41" s="387">
        <f t="shared" si="83"/>
        <v>100.03</v>
      </c>
      <c r="GY41" s="387">
        <f t="shared" si="83"/>
        <v>123.34</v>
      </c>
      <c r="GZ41" s="988">
        <f t="shared" si="83"/>
        <v>111.94999999999999</v>
      </c>
      <c r="HB41" s="387"/>
      <c r="HC41" s="387"/>
      <c r="HD41" s="387"/>
      <c r="HE41" s="387"/>
      <c r="HF41" s="387"/>
      <c r="HG41" s="386"/>
      <c r="HH41" s="386"/>
      <c r="HI41" s="386"/>
      <c r="HJ41" s="386"/>
      <c r="HK41" s="386"/>
      <c r="HL41" s="386"/>
      <c r="HM41" s="987"/>
    </row>
    <row r="42" spans="1:221">
      <c r="A42" s="326" t="s">
        <v>900</v>
      </c>
      <c r="B42" s="326" t="s">
        <v>3690</v>
      </c>
      <c r="C42" s="326" t="s">
        <v>3687</v>
      </c>
      <c r="D42" s="1036">
        <v>1867.18</v>
      </c>
      <c r="E42" s="387">
        <v>2447.6499999999996</v>
      </c>
      <c r="F42" s="387">
        <v>2498.8000000000002</v>
      </c>
      <c r="G42" s="387">
        <v>1826.41</v>
      </c>
      <c r="H42" s="387">
        <v>2601.33</v>
      </c>
      <c r="I42" s="387">
        <v>2557.1000000000004</v>
      </c>
      <c r="J42" s="387">
        <v>2545.48</v>
      </c>
      <c r="K42" s="387">
        <v>2741.87</v>
      </c>
      <c r="L42" s="387">
        <v>3422.4599999999996</v>
      </c>
      <c r="M42" s="387">
        <v>3154.1000000000004</v>
      </c>
      <c r="N42" s="387">
        <v>3626.33</v>
      </c>
      <c r="O42" s="988">
        <v>3204.31</v>
      </c>
      <c r="P42" s="387" t="s">
        <v>2154</v>
      </c>
      <c r="Q42" s="387" t="s">
        <v>2154</v>
      </c>
      <c r="R42" s="387" t="s">
        <v>2154</v>
      </c>
      <c r="S42" s="387" t="s">
        <v>2154</v>
      </c>
      <c r="T42" s="387" t="s">
        <v>2154</v>
      </c>
      <c r="U42" s="387" t="s">
        <v>2154</v>
      </c>
      <c r="V42" s="387" t="s">
        <v>2154</v>
      </c>
      <c r="W42" s="387" t="s">
        <v>2154</v>
      </c>
      <c r="X42" s="387" t="s">
        <v>2154</v>
      </c>
      <c r="Y42" s="387" t="s">
        <v>2154</v>
      </c>
      <c r="Z42" s="387" t="s">
        <v>2154</v>
      </c>
      <c r="AA42" s="988" t="s">
        <v>2154</v>
      </c>
      <c r="AB42" s="387"/>
      <c r="AC42" s="386"/>
      <c r="AD42" s="387"/>
      <c r="AE42" s="387"/>
      <c r="AF42" s="386"/>
      <c r="AG42" s="386"/>
      <c r="AH42" s="386"/>
      <c r="AI42" s="386"/>
      <c r="AJ42" s="386"/>
      <c r="AK42" s="386"/>
      <c r="AL42" s="386"/>
      <c r="AM42" s="987"/>
      <c r="AN42" s="387"/>
      <c r="AO42" s="386"/>
      <c r="AP42" s="387"/>
      <c r="AQ42" s="387"/>
      <c r="AR42" s="386"/>
      <c r="AS42" s="386"/>
      <c r="AT42" s="386"/>
      <c r="AU42" s="386"/>
      <c r="AV42" s="386"/>
      <c r="AW42" s="386"/>
      <c r="AX42" s="386"/>
      <c r="AY42" s="987"/>
      <c r="AZ42" s="387"/>
      <c r="BA42" s="386"/>
      <c r="BB42" s="387"/>
      <c r="BC42" s="387"/>
      <c r="BD42" s="386"/>
      <c r="BE42" s="386"/>
      <c r="BF42" s="386"/>
      <c r="BG42" s="386"/>
      <c r="BH42" s="386"/>
      <c r="BI42" s="386"/>
      <c r="BJ42" s="386"/>
      <c r="BK42" s="987"/>
      <c r="BL42" s="387"/>
      <c r="BM42" s="386"/>
      <c r="BN42" s="387"/>
      <c r="BO42" s="387"/>
      <c r="BP42" s="386"/>
      <c r="BQ42" s="386"/>
      <c r="BR42" s="386"/>
      <c r="BS42" s="386"/>
      <c r="BT42" s="386"/>
      <c r="BU42" s="386"/>
      <c r="BV42" s="386"/>
      <c r="BW42" s="987"/>
      <c r="BX42" s="387"/>
      <c r="BY42" s="386"/>
      <c r="BZ42" s="387"/>
      <c r="CA42" s="387"/>
      <c r="CB42" s="386"/>
      <c r="CC42" s="387"/>
      <c r="CD42" s="386"/>
      <c r="CE42" s="386"/>
      <c r="CF42" s="386"/>
      <c r="CG42" s="386"/>
      <c r="CH42" s="386"/>
      <c r="CI42" s="987"/>
      <c r="CJ42" s="387"/>
      <c r="CK42" s="386"/>
      <c r="CL42" s="387"/>
      <c r="CM42" s="387"/>
      <c r="CN42" s="386"/>
      <c r="CO42" s="387"/>
      <c r="CP42" s="386"/>
      <c r="CQ42" s="386"/>
      <c r="CR42" s="386"/>
      <c r="CS42" s="386"/>
      <c r="CT42" s="386"/>
      <c r="CU42" s="987"/>
      <c r="CV42" s="387"/>
      <c r="CW42" s="386"/>
      <c r="CX42" s="387"/>
      <c r="CY42" s="387"/>
      <c r="CZ42" s="386"/>
      <c r="DA42" s="387"/>
      <c r="DB42" s="386"/>
      <c r="DC42" s="386"/>
      <c r="DD42" s="386"/>
      <c r="DE42" s="386"/>
      <c r="DF42" s="386"/>
      <c r="DG42" s="987"/>
      <c r="DH42" s="387"/>
      <c r="DI42" s="386"/>
      <c r="DJ42" s="387"/>
      <c r="DK42" s="387"/>
      <c r="DL42" s="386"/>
      <c r="DM42" s="387"/>
      <c r="DN42" s="386"/>
      <c r="DO42" s="386"/>
      <c r="DP42" s="386"/>
      <c r="DQ42" s="386"/>
      <c r="DR42" s="386"/>
      <c r="DS42" s="987"/>
      <c r="DT42" s="387" t="s">
        <v>2154</v>
      </c>
      <c r="DU42" s="387" t="s">
        <v>2154</v>
      </c>
      <c r="DV42" s="387" t="s">
        <v>2154</v>
      </c>
      <c r="DW42" s="387" t="s">
        <v>2154</v>
      </c>
      <c r="DX42" s="387" t="s">
        <v>2154</v>
      </c>
      <c r="DY42" s="387" t="s">
        <v>2154</v>
      </c>
      <c r="DZ42" s="387" t="s">
        <v>2154</v>
      </c>
      <c r="EA42" s="387" t="s">
        <v>2154</v>
      </c>
      <c r="EB42" s="387" t="s">
        <v>2154</v>
      </c>
      <c r="EC42" s="387" t="s">
        <v>2154</v>
      </c>
      <c r="ED42" s="387" t="s">
        <v>2154</v>
      </c>
      <c r="EE42" s="988" t="s">
        <v>2154</v>
      </c>
      <c r="EF42" s="387"/>
      <c r="EG42" s="387"/>
      <c r="EH42" s="387"/>
      <c r="EI42" s="387"/>
      <c r="EJ42" s="387"/>
      <c r="EK42" s="387"/>
      <c r="EL42" s="387"/>
      <c r="EM42" s="387"/>
      <c r="EN42" s="387"/>
      <c r="EO42" s="387"/>
      <c r="EP42" s="387"/>
      <c r="EQ42" s="988"/>
      <c r="ER42" s="387"/>
      <c r="ES42" s="386"/>
      <c r="ET42" s="387"/>
      <c r="EU42" s="387"/>
      <c r="EV42" s="386"/>
      <c r="EW42" s="387"/>
      <c r="EX42" s="386"/>
      <c r="EY42" s="386"/>
      <c r="EZ42" s="386"/>
      <c r="FA42" s="386"/>
      <c r="FB42" s="386"/>
      <c r="FC42" s="987"/>
      <c r="FD42" s="387"/>
      <c r="FE42" s="386"/>
      <c r="FF42" s="387"/>
      <c r="FG42" s="387"/>
      <c r="FH42" s="386"/>
      <c r="FI42" s="387"/>
      <c r="FJ42" s="386"/>
      <c r="FK42" s="386"/>
      <c r="FL42" s="386"/>
      <c r="FM42" s="386"/>
      <c r="FN42" s="386"/>
      <c r="FO42" s="987"/>
      <c r="FP42" s="387"/>
      <c r="FQ42" s="386"/>
      <c r="FR42" s="387"/>
      <c r="FS42" s="387"/>
      <c r="FT42" s="386"/>
      <c r="FU42" s="387"/>
      <c r="FV42" s="386"/>
      <c r="FW42" s="386"/>
      <c r="FX42" s="386"/>
      <c r="FY42" s="386"/>
      <c r="FZ42" s="386"/>
      <c r="GA42" s="987"/>
      <c r="GB42" s="109"/>
      <c r="GC42" s="1036">
        <f t="shared" si="84"/>
        <v>1867.18</v>
      </c>
      <c r="GD42" s="387">
        <f t="shared" si="84"/>
        <v>2447.6499999999996</v>
      </c>
      <c r="GE42" s="387">
        <f t="shared" si="84"/>
        <v>2498.8000000000002</v>
      </c>
      <c r="GF42" s="387">
        <f t="shared" si="84"/>
        <v>1826.41</v>
      </c>
      <c r="GG42" s="387">
        <f t="shared" si="84"/>
        <v>2601.33</v>
      </c>
      <c r="GH42" s="387">
        <f t="shared" si="84"/>
        <v>2557.1000000000004</v>
      </c>
      <c r="GI42" s="387">
        <f t="shared" si="84"/>
        <v>2545.48</v>
      </c>
      <c r="GJ42" s="387">
        <f t="shared" si="84"/>
        <v>2741.87</v>
      </c>
      <c r="GK42" s="387">
        <f t="shared" si="84"/>
        <v>3422.4599999999996</v>
      </c>
      <c r="GL42" s="387">
        <f t="shared" si="84"/>
        <v>3154.1000000000004</v>
      </c>
      <c r="GM42" s="387">
        <f t="shared" si="84"/>
        <v>3626.33</v>
      </c>
      <c r="GN42" s="988">
        <f t="shared" si="84"/>
        <v>3204.31</v>
      </c>
      <c r="GO42" s="1036">
        <f t="shared" si="83"/>
        <v>0</v>
      </c>
      <c r="GP42" s="387">
        <f t="shared" si="83"/>
        <v>0</v>
      </c>
      <c r="GQ42" s="387">
        <f t="shared" si="83"/>
        <v>0</v>
      </c>
      <c r="GR42" s="387">
        <f t="shared" si="83"/>
        <v>0</v>
      </c>
      <c r="GS42" s="387">
        <f t="shared" si="83"/>
        <v>0</v>
      </c>
      <c r="GT42" s="387">
        <f t="shared" si="83"/>
        <v>0</v>
      </c>
      <c r="GU42" s="387">
        <f t="shared" si="83"/>
        <v>0</v>
      </c>
      <c r="GV42" s="387">
        <f t="shared" si="83"/>
        <v>0</v>
      </c>
      <c r="GW42" s="387">
        <f t="shared" si="83"/>
        <v>0</v>
      </c>
      <c r="GX42" s="387">
        <f t="shared" si="83"/>
        <v>0</v>
      </c>
      <c r="GY42" s="387">
        <f t="shared" si="83"/>
        <v>0</v>
      </c>
      <c r="GZ42" s="988">
        <f t="shared" si="83"/>
        <v>0</v>
      </c>
      <c r="HB42" s="387"/>
      <c r="HC42" s="386"/>
      <c r="HD42" s="387"/>
      <c r="HE42" s="387"/>
      <c r="HF42" s="386"/>
      <c r="HG42" s="386"/>
      <c r="HH42" s="386"/>
      <c r="HI42" s="386"/>
      <c r="HJ42" s="386"/>
      <c r="HK42" s="386"/>
      <c r="HL42" s="386"/>
      <c r="HM42" s="987"/>
    </row>
    <row r="43" spans="1:221">
      <c r="A43" s="326" t="s">
        <v>900</v>
      </c>
      <c r="B43" s="2229" t="s">
        <v>2345</v>
      </c>
      <c r="C43" s="326" t="s">
        <v>3687</v>
      </c>
      <c r="D43" s="1036" t="s">
        <v>2154</v>
      </c>
      <c r="E43" s="387" t="s">
        <v>2154</v>
      </c>
      <c r="F43" s="387" t="s">
        <v>2154</v>
      </c>
      <c r="G43" s="387" t="s">
        <v>2154</v>
      </c>
      <c r="H43" s="387" t="s">
        <v>2154</v>
      </c>
      <c r="I43" s="387" t="s">
        <v>2154</v>
      </c>
      <c r="J43" s="387" t="s">
        <v>2154</v>
      </c>
      <c r="K43" s="387" t="s">
        <v>2154</v>
      </c>
      <c r="L43" s="387" t="s">
        <v>2154</v>
      </c>
      <c r="M43" s="387" t="s">
        <v>2154</v>
      </c>
      <c r="N43" s="387" t="s">
        <v>2154</v>
      </c>
      <c r="O43" s="988" t="s">
        <v>2154</v>
      </c>
      <c r="P43" s="387" t="s">
        <v>2154</v>
      </c>
      <c r="Q43" s="387" t="s">
        <v>2154</v>
      </c>
      <c r="R43" s="387" t="s">
        <v>2154</v>
      </c>
      <c r="S43" s="387" t="s">
        <v>2154</v>
      </c>
      <c r="T43" s="387" t="s">
        <v>2154</v>
      </c>
      <c r="U43" s="387" t="s">
        <v>2154</v>
      </c>
      <c r="V43" s="387" t="s">
        <v>2154</v>
      </c>
      <c r="W43" s="387" t="s">
        <v>2154</v>
      </c>
      <c r="X43" s="387" t="s">
        <v>2154</v>
      </c>
      <c r="Y43" s="387" t="s">
        <v>2154</v>
      </c>
      <c r="Z43" s="387" t="s">
        <v>2154</v>
      </c>
      <c r="AA43" s="988" t="s">
        <v>2154</v>
      </c>
      <c r="AB43" s="387"/>
      <c r="AC43" s="387"/>
      <c r="AD43" s="387"/>
      <c r="AE43" s="387"/>
      <c r="AF43" s="387"/>
      <c r="AG43" s="387"/>
      <c r="AH43" s="387"/>
      <c r="AI43" s="387"/>
      <c r="AJ43" s="387"/>
      <c r="AK43" s="387"/>
      <c r="AL43" s="387"/>
      <c r="AM43" s="988"/>
      <c r="AN43" s="387"/>
      <c r="AO43" s="387"/>
      <c r="AP43" s="387"/>
      <c r="AQ43" s="387"/>
      <c r="AR43" s="387"/>
      <c r="AS43" s="387"/>
      <c r="AT43" s="387"/>
      <c r="AU43" s="387"/>
      <c r="AV43" s="387"/>
      <c r="AW43" s="387"/>
      <c r="AX43" s="387"/>
      <c r="AY43" s="988"/>
      <c r="AZ43" s="387"/>
      <c r="BA43" s="387"/>
      <c r="BB43" s="387"/>
      <c r="BC43" s="387"/>
      <c r="BD43" s="387"/>
      <c r="BE43" s="387"/>
      <c r="BF43" s="387"/>
      <c r="BG43" s="387"/>
      <c r="BH43" s="387"/>
      <c r="BI43" s="387"/>
      <c r="BJ43" s="387"/>
      <c r="BK43" s="988"/>
      <c r="BL43" s="387"/>
      <c r="BM43" s="387"/>
      <c r="BN43" s="387"/>
      <c r="BO43" s="387"/>
      <c r="BP43" s="387"/>
      <c r="BQ43" s="387"/>
      <c r="BR43" s="387"/>
      <c r="BS43" s="387"/>
      <c r="BT43" s="387"/>
      <c r="BU43" s="387"/>
      <c r="BV43" s="387"/>
      <c r="BW43" s="988"/>
      <c r="BX43" s="387"/>
      <c r="BY43" s="387"/>
      <c r="BZ43" s="387"/>
      <c r="CA43" s="387"/>
      <c r="CB43" s="387"/>
      <c r="CC43" s="387"/>
      <c r="CD43" s="387"/>
      <c r="CE43" s="387"/>
      <c r="CF43" s="387"/>
      <c r="CG43" s="387"/>
      <c r="CH43" s="387"/>
      <c r="CI43" s="988"/>
      <c r="CJ43" s="387"/>
      <c r="CK43" s="387"/>
      <c r="CL43" s="387"/>
      <c r="CM43" s="387"/>
      <c r="CN43" s="387"/>
      <c r="CO43" s="387"/>
      <c r="CP43" s="387"/>
      <c r="CQ43" s="387"/>
      <c r="CR43" s="387"/>
      <c r="CS43" s="387"/>
      <c r="CT43" s="387"/>
      <c r="CU43" s="988"/>
      <c r="CV43" s="387"/>
      <c r="CW43" s="387"/>
      <c r="CX43" s="387"/>
      <c r="CY43" s="387"/>
      <c r="CZ43" s="387"/>
      <c r="DA43" s="387"/>
      <c r="DB43" s="387"/>
      <c r="DC43" s="387"/>
      <c r="DD43" s="387"/>
      <c r="DE43" s="387"/>
      <c r="DF43" s="387"/>
      <c r="DG43" s="988"/>
      <c r="DH43" s="387"/>
      <c r="DI43" s="387"/>
      <c r="DJ43" s="387"/>
      <c r="DK43" s="387"/>
      <c r="DL43" s="387"/>
      <c r="DM43" s="387"/>
      <c r="DN43" s="387"/>
      <c r="DO43" s="387"/>
      <c r="DP43" s="387"/>
      <c r="DQ43" s="387"/>
      <c r="DR43" s="387"/>
      <c r="DS43" s="988"/>
      <c r="DT43" s="387" t="s">
        <v>2154</v>
      </c>
      <c r="DU43" s="387" t="s">
        <v>2154</v>
      </c>
      <c r="DV43" s="387" t="s">
        <v>2154</v>
      </c>
      <c r="DW43" s="387" t="s">
        <v>2154</v>
      </c>
      <c r="DX43" s="387" t="s">
        <v>2154</v>
      </c>
      <c r="DY43" s="387" t="s">
        <v>2154</v>
      </c>
      <c r="DZ43" s="387" t="s">
        <v>2154</v>
      </c>
      <c r="EA43" s="387" t="s">
        <v>2154</v>
      </c>
      <c r="EB43" s="387" t="s">
        <v>2154</v>
      </c>
      <c r="EC43" s="387" t="s">
        <v>2154</v>
      </c>
      <c r="ED43" s="387" t="s">
        <v>2154</v>
      </c>
      <c r="EE43" s="988" t="s">
        <v>2154</v>
      </c>
      <c r="EF43" s="387"/>
      <c r="EG43" s="387"/>
      <c r="EH43" s="387"/>
      <c r="EI43" s="387"/>
      <c r="EJ43" s="387"/>
      <c r="EK43" s="387"/>
      <c r="EL43" s="387"/>
      <c r="EM43" s="387"/>
      <c r="EN43" s="387"/>
      <c r="EO43" s="387"/>
      <c r="EP43" s="387"/>
      <c r="EQ43" s="988"/>
      <c r="ER43" s="387"/>
      <c r="ES43" s="387"/>
      <c r="ET43" s="387"/>
      <c r="EU43" s="387"/>
      <c r="EV43" s="387"/>
      <c r="EW43" s="387"/>
      <c r="EX43" s="387"/>
      <c r="EY43" s="387"/>
      <c r="EZ43" s="387"/>
      <c r="FA43" s="387"/>
      <c r="FB43" s="387"/>
      <c r="FC43" s="988"/>
      <c r="FD43" s="387"/>
      <c r="FE43" s="387"/>
      <c r="FF43" s="387"/>
      <c r="FG43" s="387"/>
      <c r="FH43" s="387"/>
      <c r="FI43" s="387"/>
      <c r="FJ43" s="387"/>
      <c r="FK43" s="387"/>
      <c r="FL43" s="387"/>
      <c r="FM43" s="387"/>
      <c r="FN43" s="387"/>
      <c r="FO43" s="988"/>
      <c r="FP43" s="387"/>
      <c r="FQ43" s="387"/>
      <c r="FR43" s="387"/>
      <c r="FS43" s="387"/>
      <c r="FT43" s="387"/>
      <c r="FU43" s="387"/>
      <c r="FV43" s="387"/>
      <c r="FW43" s="387"/>
      <c r="FX43" s="387"/>
      <c r="FY43" s="387"/>
      <c r="FZ43" s="387"/>
      <c r="GA43" s="988"/>
      <c r="GB43" s="109"/>
      <c r="GC43" s="1036">
        <f t="shared" si="84"/>
        <v>0</v>
      </c>
      <c r="GD43" s="387">
        <f t="shared" si="84"/>
        <v>0</v>
      </c>
      <c r="GE43" s="387">
        <f t="shared" si="84"/>
        <v>0</v>
      </c>
      <c r="GF43" s="387">
        <f t="shared" si="84"/>
        <v>0</v>
      </c>
      <c r="GG43" s="387">
        <f t="shared" si="84"/>
        <v>0</v>
      </c>
      <c r="GH43" s="387">
        <f t="shared" si="84"/>
        <v>0</v>
      </c>
      <c r="GI43" s="387">
        <f t="shared" si="84"/>
        <v>0</v>
      </c>
      <c r="GJ43" s="387">
        <f t="shared" si="84"/>
        <v>0</v>
      </c>
      <c r="GK43" s="387">
        <f t="shared" si="84"/>
        <v>0</v>
      </c>
      <c r="GL43" s="387">
        <f t="shared" si="84"/>
        <v>0</v>
      </c>
      <c r="GM43" s="387">
        <f t="shared" si="84"/>
        <v>0</v>
      </c>
      <c r="GN43" s="988">
        <f t="shared" si="84"/>
        <v>0</v>
      </c>
      <c r="GO43" s="1036">
        <f t="shared" si="83"/>
        <v>0</v>
      </c>
      <c r="GP43" s="387">
        <f t="shared" si="83"/>
        <v>0</v>
      </c>
      <c r="GQ43" s="387">
        <f t="shared" si="83"/>
        <v>0</v>
      </c>
      <c r="GR43" s="387">
        <f t="shared" si="83"/>
        <v>0</v>
      </c>
      <c r="GS43" s="387">
        <f t="shared" si="83"/>
        <v>0</v>
      </c>
      <c r="GT43" s="387">
        <f t="shared" si="83"/>
        <v>0</v>
      </c>
      <c r="GU43" s="387">
        <f t="shared" si="83"/>
        <v>0</v>
      </c>
      <c r="GV43" s="387">
        <f t="shared" si="83"/>
        <v>0</v>
      </c>
      <c r="GW43" s="387">
        <f t="shared" si="83"/>
        <v>0</v>
      </c>
      <c r="GX43" s="387">
        <f t="shared" si="83"/>
        <v>0</v>
      </c>
      <c r="GY43" s="387">
        <f t="shared" si="83"/>
        <v>0</v>
      </c>
      <c r="GZ43" s="988">
        <f t="shared" si="83"/>
        <v>0</v>
      </c>
      <c r="HB43" s="386"/>
      <c r="HC43" s="386"/>
      <c r="HD43" s="386"/>
      <c r="HE43" s="386"/>
      <c r="HF43" s="386"/>
      <c r="HG43" s="386"/>
      <c r="HH43" s="386"/>
      <c r="HI43" s="386"/>
      <c r="HJ43" s="386"/>
      <c r="HK43" s="386"/>
      <c r="HL43" s="386"/>
      <c r="HM43" s="987"/>
    </row>
    <row r="44" spans="1:221">
      <c r="A44" s="326" t="s">
        <v>900</v>
      </c>
      <c r="B44" s="326" t="s">
        <v>3686</v>
      </c>
      <c r="C44" s="326" t="s">
        <v>3899</v>
      </c>
      <c r="D44" s="1036" t="s">
        <v>2154</v>
      </c>
      <c r="E44" s="387">
        <v>57.6</v>
      </c>
      <c r="F44" s="387">
        <v>128</v>
      </c>
      <c r="G44" s="387">
        <v>128</v>
      </c>
      <c r="H44" s="387">
        <v>140.80000000000001</v>
      </c>
      <c r="I44" s="387">
        <v>96.4</v>
      </c>
      <c r="J44" s="387">
        <v>104</v>
      </c>
      <c r="K44" s="387">
        <v>114.39999999999999</v>
      </c>
      <c r="L44" s="387">
        <v>60.4</v>
      </c>
      <c r="M44" s="387">
        <v>43.2</v>
      </c>
      <c r="N44" s="387">
        <v>43.6</v>
      </c>
      <c r="O44" s="988">
        <v>38</v>
      </c>
      <c r="P44" s="387">
        <v>120</v>
      </c>
      <c r="Q44" s="387">
        <v>118.4</v>
      </c>
      <c r="R44" s="387">
        <v>32</v>
      </c>
      <c r="S44" s="387">
        <v>32</v>
      </c>
      <c r="T44" s="387">
        <v>35.200000000000003</v>
      </c>
      <c r="U44" s="387">
        <v>30.400000000000002</v>
      </c>
      <c r="V44" s="387">
        <v>32</v>
      </c>
      <c r="W44" s="387">
        <v>35.200000000000003</v>
      </c>
      <c r="X44" s="387">
        <v>27.2</v>
      </c>
      <c r="Y44" s="386">
        <v>28.800000000000004</v>
      </c>
      <c r="Z44" s="386">
        <v>35.200000000000003</v>
      </c>
      <c r="AA44" s="987">
        <v>30.4</v>
      </c>
      <c r="AB44" s="387"/>
      <c r="AC44" s="386"/>
      <c r="AD44" s="387"/>
      <c r="AE44" s="387"/>
      <c r="AF44" s="386"/>
      <c r="AG44" s="387"/>
      <c r="AH44" s="387"/>
      <c r="AI44" s="387"/>
      <c r="AJ44" s="387"/>
      <c r="AK44" s="387"/>
      <c r="AL44" s="387"/>
      <c r="AM44" s="987"/>
      <c r="AN44" s="387"/>
      <c r="AO44" s="387"/>
      <c r="AP44" s="387"/>
      <c r="AQ44" s="387"/>
      <c r="AR44" s="386"/>
      <c r="AS44" s="387"/>
      <c r="AT44" s="386"/>
      <c r="AU44" s="386"/>
      <c r="AV44" s="386"/>
      <c r="AW44" s="386"/>
      <c r="AX44" s="386"/>
      <c r="AY44" s="987"/>
      <c r="AZ44" s="387"/>
      <c r="BA44" s="386"/>
      <c r="BB44" s="387"/>
      <c r="BC44" s="387"/>
      <c r="BD44" s="386"/>
      <c r="BE44" s="387"/>
      <c r="BF44" s="386"/>
      <c r="BG44" s="386"/>
      <c r="BH44" s="386"/>
      <c r="BI44" s="386"/>
      <c r="BJ44" s="386"/>
      <c r="BK44" s="987"/>
      <c r="BL44" s="387"/>
      <c r="BM44" s="387"/>
      <c r="BN44" s="387"/>
      <c r="BO44" s="387"/>
      <c r="BP44" s="387"/>
      <c r="BQ44" s="387"/>
      <c r="BR44" s="387"/>
      <c r="BS44" s="387"/>
      <c r="BT44" s="386"/>
      <c r="BU44" s="386"/>
      <c r="BV44" s="386"/>
      <c r="BW44" s="987"/>
      <c r="BX44" s="387"/>
      <c r="BY44" s="387"/>
      <c r="BZ44" s="387"/>
      <c r="CA44" s="387"/>
      <c r="CB44" s="387"/>
      <c r="CC44" s="387"/>
      <c r="CD44" s="386"/>
      <c r="CE44" s="386"/>
      <c r="CF44" s="386"/>
      <c r="CG44" s="386"/>
      <c r="CH44" s="386"/>
      <c r="CI44" s="987"/>
      <c r="CJ44" s="387"/>
      <c r="CK44" s="387"/>
      <c r="CL44" s="387"/>
      <c r="CM44" s="387"/>
      <c r="CN44" s="387"/>
      <c r="CO44" s="387"/>
      <c r="CP44" s="386"/>
      <c r="CQ44" s="386"/>
      <c r="CR44" s="386"/>
      <c r="CS44" s="386"/>
      <c r="CT44" s="386"/>
      <c r="CU44" s="987"/>
      <c r="CV44" s="387"/>
      <c r="CW44" s="387"/>
      <c r="CX44" s="387"/>
      <c r="CY44" s="387"/>
      <c r="CZ44" s="387"/>
      <c r="DA44" s="387"/>
      <c r="DB44" s="386"/>
      <c r="DC44" s="386"/>
      <c r="DD44" s="386"/>
      <c r="DE44" s="386"/>
      <c r="DF44" s="386"/>
      <c r="DG44" s="987"/>
      <c r="DH44" s="387"/>
      <c r="DI44" s="387"/>
      <c r="DJ44" s="387"/>
      <c r="DK44" s="387"/>
      <c r="DL44" s="387"/>
      <c r="DM44" s="387"/>
      <c r="DN44" s="386"/>
      <c r="DO44" s="386"/>
      <c r="DP44" s="386"/>
      <c r="DQ44" s="386"/>
      <c r="DR44" s="386"/>
      <c r="DS44" s="987"/>
      <c r="DT44" s="387">
        <v>8</v>
      </c>
      <c r="DU44" s="387">
        <v>8.8000000000000007</v>
      </c>
      <c r="DV44" s="387">
        <v>8</v>
      </c>
      <c r="DW44" s="387">
        <v>22.799999999999997</v>
      </c>
      <c r="DX44" s="387">
        <v>34</v>
      </c>
      <c r="DY44" s="387">
        <v>44</v>
      </c>
      <c r="DZ44" s="387">
        <v>40</v>
      </c>
      <c r="EA44" s="387">
        <v>40</v>
      </c>
      <c r="EB44" s="387">
        <v>38</v>
      </c>
      <c r="EC44" s="387">
        <v>64</v>
      </c>
      <c r="ED44" s="387">
        <v>64</v>
      </c>
      <c r="EE44" s="988">
        <v>60.8</v>
      </c>
      <c r="EF44" s="387"/>
      <c r="EG44" s="387"/>
      <c r="EH44" s="387"/>
      <c r="EI44" s="387"/>
      <c r="EJ44" s="387"/>
      <c r="EK44" s="387"/>
      <c r="EL44" s="387"/>
      <c r="EM44" s="387"/>
      <c r="EN44" s="387"/>
      <c r="EO44" s="387"/>
      <c r="EP44" s="387"/>
      <c r="EQ44" s="988"/>
      <c r="ER44" s="387"/>
      <c r="ES44" s="387"/>
      <c r="ET44" s="387"/>
      <c r="EU44" s="387"/>
      <c r="EV44" s="387"/>
      <c r="EW44" s="387"/>
      <c r="EX44" s="386"/>
      <c r="EY44" s="386"/>
      <c r="EZ44" s="386"/>
      <c r="FA44" s="386"/>
      <c r="FB44" s="386"/>
      <c r="FC44" s="987"/>
      <c r="FD44" s="387"/>
      <c r="FE44" s="387"/>
      <c r="FF44" s="387"/>
      <c r="FG44" s="387"/>
      <c r="FH44" s="387"/>
      <c r="FI44" s="387"/>
      <c r="FJ44" s="386"/>
      <c r="FK44" s="386"/>
      <c r="FL44" s="386"/>
      <c r="FM44" s="386"/>
      <c r="FN44" s="386"/>
      <c r="FO44" s="987"/>
      <c r="FP44" s="387"/>
      <c r="FQ44" s="387"/>
      <c r="FR44" s="387"/>
      <c r="FS44" s="387"/>
      <c r="FT44" s="387"/>
      <c r="FU44" s="387"/>
      <c r="FV44" s="386"/>
      <c r="FW44" s="386"/>
      <c r="FX44" s="386"/>
      <c r="FY44" s="386"/>
      <c r="FZ44" s="386"/>
      <c r="GA44" s="987"/>
      <c r="GB44" s="109"/>
      <c r="GC44" s="1036">
        <f t="shared" si="84"/>
        <v>128</v>
      </c>
      <c r="GD44" s="387">
        <f t="shared" si="84"/>
        <v>184.8</v>
      </c>
      <c r="GE44" s="387">
        <f t="shared" si="84"/>
        <v>168</v>
      </c>
      <c r="GF44" s="387">
        <f t="shared" si="84"/>
        <v>182.8</v>
      </c>
      <c r="GG44" s="387">
        <f t="shared" si="84"/>
        <v>210</v>
      </c>
      <c r="GH44" s="387">
        <f t="shared" si="84"/>
        <v>170.8</v>
      </c>
      <c r="GI44" s="387">
        <f t="shared" si="84"/>
        <v>176</v>
      </c>
      <c r="GJ44" s="387">
        <f t="shared" si="84"/>
        <v>189.6</v>
      </c>
      <c r="GK44" s="387">
        <f t="shared" si="84"/>
        <v>125.6</v>
      </c>
      <c r="GL44" s="387">
        <f t="shared" si="84"/>
        <v>136</v>
      </c>
      <c r="GM44" s="387">
        <f t="shared" si="84"/>
        <v>142.80000000000001</v>
      </c>
      <c r="GN44" s="988">
        <f t="shared" si="84"/>
        <v>129.19999999999999</v>
      </c>
      <c r="GO44" s="1036">
        <f t="shared" si="83"/>
        <v>8</v>
      </c>
      <c r="GP44" s="387">
        <f t="shared" si="83"/>
        <v>8.8000000000000007</v>
      </c>
      <c r="GQ44" s="387">
        <f t="shared" si="83"/>
        <v>8</v>
      </c>
      <c r="GR44" s="387">
        <f t="shared" si="83"/>
        <v>22.799999999999997</v>
      </c>
      <c r="GS44" s="387">
        <f t="shared" si="83"/>
        <v>34</v>
      </c>
      <c r="GT44" s="387">
        <f t="shared" si="83"/>
        <v>44</v>
      </c>
      <c r="GU44" s="387">
        <f t="shared" si="83"/>
        <v>40</v>
      </c>
      <c r="GV44" s="387">
        <f t="shared" si="83"/>
        <v>40</v>
      </c>
      <c r="GW44" s="387">
        <f t="shared" si="83"/>
        <v>38</v>
      </c>
      <c r="GX44" s="387">
        <f t="shared" si="83"/>
        <v>64</v>
      </c>
      <c r="GY44" s="387">
        <f t="shared" si="83"/>
        <v>64</v>
      </c>
      <c r="GZ44" s="988">
        <f t="shared" si="83"/>
        <v>60.8</v>
      </c>
      <c r="HB44" s="387"/>
      <c r="HC44" s="386"/>
      <c r="HD44" s="387"/>
      <c r="HE44" s="387"/>
      <c r="HF44" s="386"/>
      <c r="HG44" s="387"/>
      <c r="HH44" s="386"/>
      <c r="HI44" s="386"/>
      <c r="HJ44" s="386"/>
      <c r="HK44" s="386"/>
      <c r="HL44" s="386"/>
      <c r="HM44" s="987"/>
    </row>
    <row r="45" spans="1:221">
      <c r="A45" s="326" t="s">
        <v>900</v>
      </c>
      <c r="B45" s="326" t="s">
        <v>3688</v>
      </c>
      <c r="C45" s="326" t="s">
        <v>3899</v>
      </c>
      <c r="D45" s="1036">
        <v>83.199999999999989</v>
      </c>
      <c r="E45" s="387">
        <v>96.72</v>
      </c>
      <c r="F45" s="387">
        <v>88.4</v>
      </c>
      <c r="G45" s="387">
        <v>93.08</v>
      </c>
      <c r="H45" s="387">
        <v>97.759999999999991</v>
      </c>
      <c r="I45" s="387">
        <v>102.44</v>
      </c>
      <c r="J45" s="387">
        <v>57.2</v>
      </c>
      <c r="K45" s="387">
        <v>97.24</v>
      </c>
      <c r="L45" s="387">
        <v>97.759999999999991</v>
      </c>
      <c r="M45" s="387">
        <v>93.08</v>
      </c>
      <c r="N45" s="387">
        <v>92.38</v>
      </c>
      <c r="O45" s="988">
        <v>87.539999999999992</v>
      </c>
      <c r="P45" s="387">
        <v>19.200000000000003</v>
      </c>
      <c r="Q45" s="387">
        <v>22.32</v>
      </c>
      <c r="R45" s="387">
        <v>20.399999999999999</v>
      </c>
      <c r="S45" s="387">
        <v>21.479999999999997</v>
      </c>
      <c r="T45" s="387">
        <v>22.560000000000002</v>
      </c>
      <c r="U45" s="387">
        <v>23.64</v>
      </c>
      <c r="V45" s="387">
        <v>13.2</v>
      </c>
      <c r="W45" s="387">
        <v>22.44</v>
      </c>
      <c r="X45" s="387">
        <v>22.560000000000002</v>
      </c>
      <c r="Y45" s="387">
        <v>21.479999999999997</v>
      </c>
      <c r="Z45" s="387">
        <v>21.32</v>
      </c>
      <c r="AA45" s="988">
        <v>20.200000000000003</v>
      </c>
      <c r="AB45" s="387"/>
      <c r="AC45" s="387"/>
      <c r="AD45" s="387"/>
      <c r="AE45" s="387"/>
      <c r="AF45" s="387"/>
      <c r="AG45" s="387"/>
      <c r="AH45" s="387"/>
      <c r="AI45" s="387"/>
      <c r="AJ45" s="387"/>
      <c r="AK45" s="387"/>
      <c r="AL45" s="387"/>
      <c r="AM45" s="988"/>
      <c r="AN45" s="387"/>
      <c r="AO45" s="387"/>
      <c r="AP45" s="387"/>
      <c r="AQ45" s="387"/>
      <c r="AR45" s="387"/>
      <c r="AS45" s="387"/>
      <c r="AT45" s="387"/>
      <c r="AU45" s="387"/>
      <c r="AV45" s="387"/>
      <c r="AW45" s="387"/>
      <c r="AX45" s="387"/>
      <c r="AY45" s="988"/>
      <c r="AZ45" s="387"/>
      <c r="BA45" s="387"/>
      <c r="BB45" s="387"/>
      <c r="BC45" s="387"/>
      <c r="BD45" s="387"/>
      <c r="BE45" s="387"/>
      <c r="BF45" s="387"/>
      <c r="BG45" s="387"/>
      <c r="BH45" s="387"/>
      <c r="BI45" s="387"/>
      <c r="BJ45" s="387"/>
      <c r="BK45" s="988"/>
      <c r="BL45" s="387"/>
      <c r="BM45" s="387"/>
      <c r="BN45" s="387"/>
      <c r="BO45" s="387"/>
      <c r="BP45" s="387"/>
      <c r="BQ45" s="387"/>
      <c r="BR45" s="387"/>
      <c r="BS45" s="387"/>
      <c r="BT45" s="387"/>
      <c r="BU45" s="387"/>
      <c r="BV45" s="387"/>
      <c r="BW45" s="988"/>
      <c r="BX45" s="387"/>
      <c r="BY45" s="387"/>
      <c r="BZ45" s="387"/>
      <c r="CA45" s="387"/>
      <c r="CB45" s="387"/>
      <c r="CC45" s="387"/>
      <c r="CD45" s="387"/>
      <c r="CE45" s="387"/>
      <c r="CF45" s="387"/>
      <c r="CG45" s="387"/>
      <c r="CH45" s="387"/>
      <c r="CI45" s="988"/>
      <c r="CJ45" s="387"/>
      <c r="CK45" s="387"/>
      <c r="CL45" s="387"/>
      <c r="CM45" s="387"/>
      <c r="CN45" s="387"/>
      <c r="CO45" s="387"/>
      <c r="CP45" s="387"/>
      <c r="CQ45" s="387"/>
      <c r="CR45" s="387"/>
      <c r="CS45" s="387"/>
      <c r="CT45" s="387"/>
      <c r="CU45" s="988"/>
      <c r="CV45" s="387"/>
      <c r="CW45" s="387"/>
      <c r="CX45" s="387"/>
      <c r="CY45" s="387"/>
      <c r="CZ45" s="387"/>
      <c r="DA45" s="387"/>
      <c r="DB45" s="387"/>
      <c r="DC45" s="387"/>
      <c r="DD45" s="387"/>
      <c r="DE45" s="387"/>
      <c r="DF45" s="387"/>
      <c r="DG45" s="988"/>
      <c r="DH45" s="387"/>
      <c r="DI45" s="387"/>
      <c r="DJ45" s="387"/>
      <c r="DK45" s="387"/>
      <c r="DL45" s="387"/>
      <c r="DM45" s="387"/>
      <c r="DN45" s="387"/>
      <c r="DO45" s="387"/>
      <c r="DP45" s="387"/>
      <c r="DQ45" s="387"/>
      <c r="DR45" s="387"/>
      <c r="DS45" s="988"/>
      <c r="DT45" s="387">
        <v>3.09</v>
      </c>
      <c r="DU45" s="387">
        <v>4.13</v>
      </c>
      <c r="DV45" s="387">
        <v>4</v>
      </c>
      <c r="DW45" s="387">
        <v>3.7500000000000009</v>
      </c>
      <c r="DX45" s="387">
        <v>4.8800000000000008</v>
      </c>
      <c r="DY45" s="387">
        <v>3.56</v>
      </c>
      <c r="DZ45" s="387">
        <v>4.22</v>
      </c>
      <c r="EA45" s="387">
        <v>3.01</v>
      </c>
      <c r="EB45" s="387">
        <v>4</v>
      </c>
      <c r="EC45" s="387">
        <v>3.9800000000000004</v>
      </c>
      <c r="ED45" s="387">
        <v>4.5999999999999996</v>
      </c>
      <c r="EE45" s="988">
        <v>1.8599999999999999</v>
      </c>
      <c r="EF45" s="387"/>
      <c r="EG45" s="387"/>
      <c r="EH45" s="387"/>
      <c r="EI45" s="387"/>
      <c r="EJ45" s="387"/>
      <c r="EK45" s="387"/>
      <c r="EL45" s="387"/>
      <c r="EM45" s="387"/>
      <c r="EN45" s="387"/>
      <c r="EO45" s="387"/>
      <c r="EP45" s="387"/>
      <c r="EQ45" s="988"/>
      <c r="ER45" s="387"/>
      <c r="ES45" s="387"/>
      <c r="ET45" s="387"/>
      <c r="EU45" s="387"/>
      <c r="EV45" s="387"/>
      <c r="EW45" s="387"/>
      <c r="EX45" s="387"/>
      <c r="EY45" s="387"/>
      <c r="EZ45" s="387"/>
      <c r="FA45" s="387"/>
      <c r="FB45" s="387"/>
      <c r="FC45" s="988"/>
      <c r="FD45" s="387"/>
      <c r="FE45" s="387"/>
      <c r="FF45" s="387"/>
      <c r="FG45" s="387"/>
      <c r="FH45" s="387"/>
      <c r="FI45" s="387"/>
      <c r="FJ45" s="387"/>
      <c r="FK45" s="387"/>
      <c r="FL45" s="387"/>
      <c r="FM45" s="387"/>
      <c r="FN45" s="387"/>
      <c r="FO45" s="988"/>
      <c r="FP45" s="387"/>
      <c r="FQ45" s="387"/>
      <c r="FR45" s="387"/>
      <c r="FS45" s="387"/>
      <c r="FT45" s="387"/>
      <c r="FU45" s="387"/>
      <c r="FV45" s="387"/>
      <c r="FW45" s="387"/>
      <c r="FX45" s="387"/>
      <c r="FY45" s="387"/>
      <c r="FZ45" s="387"/>
      <c r="GA45" s="988"/>
      <c r="GB45" s="109"/>
      <c r="GC45" s="1036">
        <f t="shared" si="84"/>
        <v>105.49</v>
      </c>
      <c r="GD45" s="387">
        <f t="shared" si="84"/>
        <v>123.16999999999999</v>
      </c>
      <c r="GE45" s="387">
        <f t="shared" si="84"/>
        <v>112.80000000000001</v>
      </c>
      <c r="GF45" s="387">
        <f t="shared" si="84"/>
        <v>118.31</v>
      </c>
      <c r="GG45" s="387">
        <f t="shared" si="84"/>
        <v>125.19999999999999</v>
      </c>
      <c r="GH45" s="387">
        <f t="shared" si="84"/>
        <v>129.63999999999999</v>
      </c>
      <c r="GI45" s="387">
        <f t="shared" si="84"/>
        <v>74.62</v>
      </c>
      <c r="GJ45" s="387">
        <f t="shared" si="84"/>
        <v>122.69</v>
      </c>
      <c r="GK45" s="387">
        <f t="shared" si="84"/>
        <v>124.32</v>
      </c>
      <c r="GL45" s="387">
        <f t="shared" si="84"/>
        <v>118.54</v>
      </c>
      <c r="GM45" s="387">
        <f t="shared" si="84"/>
        <v>118.29999999999998</v>
      </c>
      <c r="GN45" s="988">
        <f t="shared" si="84"/>
        <v>109.6</v>
      </c>
      <c r="GO45" s="1036">
        <f t="shared" si="83"/>
        <v>3.09</v>
      </c>
      <c r="GP45" s="387">
        <f t="shared" si="83"/>
        <v>4.13</v>
      </c>
      <c r="GQ45" s="387">
        <f t="shared" si="83"/>
        <v>4</v>
      </c>
      <c r="GR45" s="387">
        <f t="shared" si="83"/>
        <v>3.7500000000000009</v>
      </c>
      <c r="GS45" s="387">
        <f t="shared" si="83"/>
        <v>4.8800000000000008</v>
      </c>
      <c r="GT45" s="387">
        <f t="shared" si="83"/>
        <v>3.56</v>
      </c>
      <c r="GU45" s="387">
        <f t="shared" si="83"/>
        <v>4.22</v>
      </c>
      <c r="GV45" s="387">
        <f t="shared" si="83"/>
        <v>3.01</v>
      </c>
      <c r="GW45" s="387">
        <f t="shared" si="83"/>
        <v>4</v>
      </c>
      <c r="GX45" s="387">
        <f t="shared" si="83"/>
        <v>3.9800000000000004</v>
      </c>
      <c r="GY45" s="387">
        <f t="shared" si="83"/>
        <v>4.5999999999999996</v>
      </c>
      <c r="GZ45" s="988">
        <f t="shared" si="83"/>
        <v>1.8599999999999999</v>
      </c>
      <c r="HB45" s="387"/>
      <c r="HC45" s="387"/>
      <c r="HD45" s="387"/>
      <c r="HE45" s="387"/>
      <c r="HF45" s="387"/>
      <c r="HG45" s="387"/>
      <c r="HH45" s="387"/>
      <c r="HI45" s="387"/>
      <c r="HJ45" s="387"/>
      <c r="HK45" s="387"/>
      <c r="HL45" s="387"/>
      <c r="HM45" s="988"/>
    </row>
    <row r="46" spans="1:221">
      <c r="A46" s="326" t="s">
        <v>900</v>
      </c>
      <c r="B46" s="326" t="s">
        <v>3689</v>
      </c>
      <c r="C46" s="326" t="s">
        <v>3899</v>
      </c>
      <c r="D46" s="1036">
        <v>59.75</v>
      </c>
      <c r="E46" s="387">
        <v>76.930000000000007</v>
      </c>
      <c r="F46" s="387">
        <v>78.400000000000006</v>
      </c>
      <c r="G46" s="387">
        <v>82.320000000000007</v>
      </c>
      <c r="H46" s="387">
        <v>75.41</v>
      </c>
      <c r="I46" s="387">
        <v>71</v>
      </c>
      <c r="J46" s="387">
        <v>52.15</v>
      </c>
      <c r="K46" s="387">
        <v>81.5</v>
      </c>
      <c r="L46" s="387">
        <v>66.64</v>
      </c>
      <c r="M46" s="387">
        <v>77.42</v>
      </c>
      <c r="N46" s="387">
        <v>85.52000000000001</v>
      </c>
      <c r="O46" s="988">
        <v>77.16</v>
      </c>
      <c r="P46" s="387">
        <v>21.6</v>
      </c>
      <c r="Q46" s="387">
        <v>25.12</v>
      </c>
      <c r="R46" s="387">
        <v>25.6</v>
      </c>
      <c r="S46" s="387">
        <v>26.880000000000003</v>
      </c>
      <c r="T46" s="387">
        <v>30.08</v>
      </c>
      <c r="U46" s="386">
        <v>28.32</v>
      </c>
      <c r="V46" s="386">
        <v>20.8</v>
      </c>
      <c r="W46" s="386">
        <v>30.240000000000002</v>
      </c>
      <c r="X46" s="386">
        <v>21.76</v>
      </c>
      <c r="Y46" s="386">
        <v>25.28</v>
      </c>
      <c r="Z46" s="386">
        <v>27.92</v>
      </c>
      <c r="AA46" s="987">
        <v>25.2</v>
      </c>
      <c r="AB46" s="387"/>
      <c r="AC46" s="387"/>
      <c r="AD46" s="387"/>
      <c r="AE46" s="387"/>
      <c r="AF46" s="387"/>
      <c r="AG46" s="386"/>
      <c r="AH46" s="386"/>
      <c r="AI46" s="386"/>
      <c r="AJ46" s="386"/>
      <c r="AK46" s="386"/>
      <c r="AL46" s="386"/>
      <c r="AM46" s="987"/>
      <c r="AN46" s="387"/>
      <c r="AO46" s="387"/>
      <c r="AP46" s="387"/>
      <c r="AQ46" s="387"/>
      <c r="AR46" s="387"/>
      <c r="AS46" s="386"/>
      <c r="AT46" s="386"/>
      <c r="AU46" s="386"/>
      <c r="AV46" s="386"/>
      <c r="AW46" s="386"/>
      <c r="AX46" s="386"/>
      <c r="AY46" s="987"/>
      <c r="AZ46" s="387"/>
      <c r="BA46" s="387"/>
      <c r="BB46" s="387"/>
      <c r="BC46" s="387"/>
      <c r="BD46" s="387"/>
      <c r="BE46" s="386"/>
      <c r="BF46" s="386"/>
      <c r="BG46" s="386"/>
      <c r="BH46" s="386"/>
      <c r="BI46" s="386"/>
      <c r="BJ46" s="386"/>
      <c r="BK46" s="987"/>
      <c r="BL46" s="387"/>
      <c r="BM46" s="387"/>
      <c r="BN46" s="387"/>
      <c r="BO46" s="387"/>
      <c r="BP46" s="387"/>
      <c r="BQ46" s="386"/>
      <c r="BR46" s="386"/>
      <c r="BS46" s="386"/>
      <c r="BT46" s="386"/>
      <c r="BU46" s="386"/>
      <c r="BV46" s="386"/>
      <c r="BW46" s="987"/>
      <c r="BX46" s="387"/>
      <c r="BY46" s="387"/>
      <c r="BZ46" s="387"/>
      <c r="CA46" s="387"/>
      <c r="CB46" s="387"/>
      <c r="CC46" s="386"/>
      <c r="CD46" s="386"/>
      <c r="CE46" s="386"/>
      <c r="CF46" s="386"/>
      <c r="CG46" s="386"/>
      <c r="CH46" s="386"/>
      <c r="CI46" s="987"/>
      <c r="CJ46" s="387"/>
      <c r="CK46" s="387"/>
      <c r="CL46" s="387"/>
      <c r="CM46" s="387"/>
      <c r="CN46" s="387"/>
      <c r="CO46" s="386"/>
      <c r="CP46" s="386"/>
      <c r="CQ46" s="386"/>
      <c r="CR46" s="386"/>
      <c r="CS46" s="386"/>
      <c r="CT46" s="386"/>
      <c r="CU46" s="987"/>
      <c r="CV46" s="387"/>
      <c r="CW46" s="387"/>
      <c r="CX46" s="387"/>
      <c r="CY46" s="387"/>
      <c r="CZ46" s="387"/>
      <c r="DA46" s="386"/>
      <c r="DB46" s="386"/>
      <c r="DC46" s="386"/>
      <c r="DD46" s="386"/>
      <c r="DE46" s="386"/>
      <c r="DF46" s="386"/>
      <c r="DG46" s="987"/>
      <c r="DH46" s="387"/>
      <c r="DI46" s="387"/>
      <c r="DJ46" s="387"/>
      <c r="DK46" s="387"/>
      <c r="DL46" s="387"/>
      <c r="DM46" s="386"/>
      <c r="DN46" s="386"/>
      <c r="DO46" s="386"/>
      <c r="DP46" s="386"/>
      <c r="DQ46" s="386"/>
      <c r="DR46" s="386"/>
      <c r="DS46" s="987"/>
      <c r="DT46" s="387">
        <v>3.2800000000000002</v>
      </c>
      <c r="DU46" s="387">
        <v>4.33</v>
      </c>
      <c r="DV46" s="387">
        <v>4</v>
      </c>
      <c r="DW46" s="387">
        <v>3.7</v>
      </c>
      <c r="DX46" s="387">
        <v>4.66</v>
      </c>
      <c r="DY46" s="387">
        <v>4.660000000000001</v>
      </c>
      <c r="DZ46" s="387">
        <v>3.5700000000000003</v>
      </c>
      <c r="EA46" s="387">
        <v>4.22</v>
      </c>
      <c r="EB46" s="387">
        <v>4.2300000000000004</v>
      </c>
      <c r="EC46" s="387">
        <v>3.7800000000000002</v>
      </c>
      <c r="ED46" s="387">
        <v>4.66</v>
      </c>
      <c r="EE46" s="988">
        <v>4.2300000000000004</v>
      </c>
      <c r="EF46" s="387"/>
      <c r="EG46" s="387"/>
      <c r="EH46" s="387"/>
      <c r="EI46" s="387"/>
      <c r="EJ46" s="387"/>
      <c r="EK46" s="387"/>
      <c r="EL46" s="387"/>
      <c r="EM46" s="387"/>
      <c r="EN46" s="387"/>
      <c r="EO46" s="387"/>
      <c r="EP46" s="387"/>
      <c r="EQ46" s="988"/>
      <c r="ER46" s="387"/>
      <c r="ES46" s="387"/>
      <c r="ET46" s="387"/>
      <c r="EU46" s="387"/>
      <c r="EV46" s="387"/>
      <c r="EW46" s="386"/>
      <c r="EX46" s="386"/>
      <c r="EY46" s="386"/>
      <c r="EZ46" s="386"/>
      <c r="FA46" s="386"/>
      <c r="FB46" s="386"/>
      <c r="FC46" s="987"/>
      <c r="FD46" s="387"/>
      <c r="FE46" s="387"/>
      <c r="FF46" s="387"/>
      <c r="FG46" s="387"/>
      <c r="FH46" s="387"/>
      <c r="FI46" s="386"/>
      <c r="FJ46" s="386"/>
      <c r="FK46" s="386"/>
      <c r="FL46" s="386"/>
      <c r="FM46" s="386"/>
      <c r="FN46" s="386"/>
      <c r="FO46" s="987"/>
      <c r="FP46" s="387"/>
      <c r="FQ46" s="387"/>
      <c r="FR46" s="387"/>
      <c r="FS46" s="387"/>
      <c r="FT46" s="387"/>
      <c r="FU46" s="386"/>
      <c r="FV46" s="386"/>
      <c r="FW46" s="386"/>
      <c r="FX46" s="386"/>
      <c r="FY46" s="386"/>
      <c r="FZ46" s="386"/>
      <c r="GA46" s="987"/>
      <c r="GB46" s="109"/>
      <c r="GC46" s="1036">
        <f t="shared" si="84"/>
        <v>84.63</v>
      </c>
      <c r="GD46" s="387">
        <f t="shared" si="84"/>
        <v>106.38000000000001</v>
      </c>
      <c r="GE46" s="387">
        <f t="shared" si="84"/>
        <v>108</v>
      </c>
      <c r="GF46" s="387">
        <f t="shared" si="84"/>
        <v>112.90000000000002</v>
      </c>
      <c r="GG46" s="387">
        <f t="shared" si="84"/>
        <v>110.14999999999999</v>
      </c>
      <c r="GH46" s="387">
        <f t="shared" si="84"/>
        <v>103.97999999999999</v>
      </c>
      <c r="GI46" s="387">
        <f t="shared" si="84"/>
        <v>76.52000000000001</v>
      </c>
      <c r="GJ46" s="387">
        <f t="shared" si="84"/>
        <v>115.96000000000001</v>
      </c>
      <c r="GK46" s="387">
        <f t="shared" si="84"/>
        <v>92.63000000000001</v>
      </c>
      <c r="GL46" s="387">
        <f t="shared" si="84"/>
        <v>106.48</v>
      </c>
      <c r="GM46" s="387">
        <f t="shared" si="84"/>
        <v>118.10000000000001</v>
      </c>
      <c r="GN46" s="988">
        <f t="shared" si="84"/>
        <v>106.59</v>
      </c>
      <c r="GO46" s="1036">
        <f t="shared" ref="GO46:GZ60" si="85">SUMPRODUCT(--($DT$6:$GA$6=GO$6),$DT46:$GA46,$DT$278:$GA$278)</f>
        <v>3.2800000000000002</v>
      </c>
      <c r="GP46" s="387">
        <f t="shared" si="85"/>
        <v>4.33</v>
      </c>
      <c r="GQ46" s="387">
        <f t="shared" si="85"/>
        <v>4</v>
      </c>
      <c r="GR46" s="387">
        <f t="shared" si="85"/>
        <v>3.7</v>
      </c>
      <c r="GS46" s="387">
        <f t="shared" si="85"/>
        <v>4.66</v>
      </c>
      <c r="GT46" s="387">
        <f t="shared" si="85"/>
        <v>4.660000000000001</v>
      </c>
      <c r="GU46" s="387">
        <f t="shared" si="85"/>
        <v>3.5700000000000003</v>
      </c>
      <c r="GV46" s="387">
        <f t="shared" si="85"/>
        <v>4.22</v>
      </c>
      <c r="GW46" s="387">
        <f t="shared" si="85"/>
        <v>4.2300000000000004</v>
      </c>
      <c r="GX46" s="387">
        <f t="shared" si="85"/>
        <v>3.7800000000000002</v>
      </c>
      <c r="GY46" s="387">
        <f t="shared" si="85"/>
        <v>4.66</v>
      </c>
      <c r="GZ46" s="988">
        <f t="shared" si="85"/>
        <v>4.2300000000000004</v>
      </c>
      <c r="HB46" s="387"/>
      <c r="HC46" s="387"/>
      <c r="HD46" s="387"/>
      <c r="HE46" s="387"/>
      <c r="HF46" s="387"/>
      <c r="HG46" s="386"/>
      <c r="HH46" s="386"/>
      <c r="HI46" s="386"/>
      <c r="HJ46" s="386"/>
      <c r="HK46" s="386"/>
      <c r="HL46" s="386"/>
      <c r="HM46" s="987"/>
    </row>
    <row r="47" spans="1:221">
      <c r="A47" s="326" t="s">
        <v>900</v>
      </c>
      <c r="B47" s="326" t="s">
        <v>3690</v>
      </c>
      <c r="C47" s="326" t="s">
        <v>3899</v>
      </c>
      <c r="D47" s="1036">
        <v>91.610000000000014</v>
      </c>
      <c r="E47" s="387">
        <v>120.09</v>
      </c>
      <c r="F47" s="387">
        <v>122.6</v>
      </c>
      <c r="G47" s="387">
        <v>89.610000000000014</v>
      </c>
      <c r="H47" s="387">
        <v>127.63</v>
      </c>
      <c r="I47" s="387">
        <v>125.46</v>
      </c>
      <c r="J47" s="387">
        <v>124.89</v>
      </c>
      <c r="K47" s="387">
        <v>133.99</v>
      </c>
      <c r="L47" s="387">
        <v>162.57999999999998</v>
      </c>
      <c r="M47" s="387">
        <v>151.42000000000002</v>
      </c>
      <c r="N47" s="387">
        <v>174.08999999999997</v>
      </c>
      <c r="O47" s="988">
        <v>153.82999999999998</v>
      </c>
      <c r="P47" s="387" t="s">
        <v>2154</v>
      </c>
      <c r="Q47" s="387" t="s">
        <v>2154</v>
      </c>
      <c r="R47" s="387" t="s">
        <v>2154</v>
      </c>
      <c r="S47" s="387" t="s">
        <v>2154</v>
      </c>
      <c r="T47" s="387" t="s">
        <v>2154</v>
      </c>
      <c r="U47" s="387" t="s">
        <v>2154</v>
      </c>
      <c r="V47" s="387" t="s">
        <v>2154</v>
      </c>
      <c r="W47" s="387" t="s">
        <v>2154</v>
      </c>
      <c r="X47" s="387" t="s">
        <v>2154</v>
      </c>
      <c r="Y47" s="387" t="s">
        <v>2154</v>
      </c>
      <c r="Z47" s="387" t="s">
        <v>2154</v>
      </c>
      <c r="AA47" s="988" t="s">
        <v>2154</v>
      </c>
      <c r="AB47" s="387"/>
      <c r="AC47" s="386"/>
      <c r="AD47" s="387"/>
      <c r="AE47" s="387"/>
      <c r="AF47" s="386"/>
      <c r="AG47" s="386"/>
      <c r="AH47" s="386"/>
      <c r="AI47" s="386"/>
      <c r="AJ47" s="386"/>
      <c r="AK47" s="386"/>
      <c r="AL47" s="386"/>
      <c r="AM47" s="987"/>
      <c r="AN47" s="387"/>
      <c r="AO47" s="386"/>
      <c r="AP47" s="387"/>
      <c r="AQ47" s="387"/>
      <c r="AR47" s="386"/>
      <c r="AS47" s="386"/>
      <c r="AT47" s="386"/>
      <c r="AU47" s="386"/>
      <c r="AV47" s="386"/>
      <c r="AW47" s="386"/>
      <c r="AX47" s="386"/>
      <c r="AY47" s="987"/>
      <c r="AZ47" s="387"/>
      <c r="BA47" s="386"/>
      <c r="BB47" s="387"/>
      <c r="BC47" s="387"/>
      <c r="BD47" s="386"/>
      <c r="BE47" s="386"/>
      <c r="BF47" s="386"/>
      <c r="BG47" s="386"/>
      <c r="BH47" s="386"/>
      <c r="BI47" s="386"/>
      <c r="BJ47" s="386"/>
      <c r="BK47" s="987"/>
      <c r="BL47" s="387"/>
      <c r="BM47" s="386"/>
      <c r="BN47" s="387"/>
      <c r="BO47" s="387"/>
      <c r="BP47" s="386"/>
      <c r="BQ47" s="386"/>
      <c r="BR47" s="386"/>
      <c r="BS47" s="386"/>
      <c r="BT47" s="386"/>
      <c r="BU47" s="386"/>
      <c r="BV47" s="386"/>
      <c r="BW47" s="987"/>
      <c r="BX47" s="387"/>
      <c r="BY47" s="386"/>
      <c r="BZ47" s="387"/>
      <c r="CA47" s="387"/>
      <c r="CB47" s="386"/>
      <c r="CC47" s="387"/>
      <c r="CD47" s="386"/>
      <c r="CE47" s="386"/>
      <c r="CF47" s="386"/>
      <c r="CG47" s="386"/>
      <c r="CH47" s="386"/>
      <c r="CI47" s="987"/>
      <c r="CJ47" s="387"/>
      <c r="CK47" s="386"/>
      <c r="CL47" s="387"/>
      <c r="CM47" s="387"/>
      <c r="CN47" s="386"/>
      <c r="CO47" s="387"/>
      <c r="CP47" s="386"/>
      <c r="CQ47" s="386"/>
      <c r="CR47" s="386"/>
      <c r="CS47" s="386"/>
      <c r="CT47" s="386"/>
      <c r="CU47" s="987"/>
      <c r="CV47" s="387"/>
      <c r="CW47" s="386"/>
      <c r="CX47" s="387"/>
      <c r="CY47" s="387"/>
      <c r="CZ47" s="386"/>
      <c r="DA47" s="387"/>
      <c r="DB47" s="386"/>
      <c r="DC47" s="386"/>
      <c r="DD47" s="386"/>
      <c r="DE47" s="386"/>
      <c r="DF47" s="386"/>
      <c r="DG47" s="987"/>
      <c r="DH47" s="387"/>
      <c r="DI47" s="386"/>
      <c r="DJ47" s="387"/>
      <c r="DK47" s="387"/>
      <c r="DL47" s="386"/>
      <c r="DM47" s="387"/>
      <c r="DN47" s="386"/>
      <c r="DO47" s="386"/>
      <c r="DP47" s="386"/>
      <c r="DQ47" s="386"/>
      <c r="DR47" s="386"/>
      <c r="DS47" s="987"/>
      <c r="DT47" s="387" t="s">
        <v>2154</v>
      </c>
      <c r="DU47" s="387" t="s">
        <v>2154</v>
      </c>
      <c r="DV47" s="387" t="s">
        <v>2154</v>
      </c>
      <c r="DW47" s="387" t="s">
        <v>2154</v>
      </c>
      <c r="DX47" s="387" t="s">
        <v>2154</v>
      </c>
      <c r="DY47" s="387" t="s">
        <v>2154</v>
      </c>
      <c r="DZ47" s="387" t="s">
        <v>2154</v>
      </c>
      <c r="EA47" s="387" t="s">
        <v>2154</v>
      </c>
      <c r="EB47" s="387" t="s">
        <v>2154</v>
      </c>
      <c r="EC47" s="387" t="s">
        <v>2154</v>
      </c>
      <c r="ED47" s="387" t="s">
        <v>2154</v>
      </c>
      <c r="EE47" s="988" t="s">
        <v>2154</v>
      </c>
      <c r="EF47" s="387"/>
      <c r="EG47" s="387"/>
      <c r="EH47" s="387"/>
      <c r="EI47" s="387"/>
      <c r="EJ47" s="387"/>
      <c r="EK47" s="387"/>
      <c r="EL47" s="387"/>
      <c r="EM47" s="387"/>
      <c r="EN47" s="387"/>
      <c r="EO47" s="387"/>
      <c r="EP47" s="387"/>
      <c r="EQ47" s="988"/>
      <c r="ER47" s="387"/>
      <c r="ES47" s="386"/>
      <c r="ET47" s="387"/>
      <c r="EU47" s="387"/>
      <c r="EV47" s="386"/>
      <c r="EW47" s="387"/>
      <c r="EX47" s="386"/>
      <c r="EY47" s="386"/>
      <c r="EZ47" s="386"/>
      <c r="FA47" s="386"/>
      <c r="FB47" s="386"/>
      <c r="FC47" s="987"/>
      <c r="FD47" s="387"/>
      <c r="FE47" s="386"/>
      <c r="FF47" s="387"/>
      <c r="FG47" s="387"/>
      <c r="FH47" s="386"/>
      <c r="FI47" s="387"/>
      <c r="FJ47" s="386"/>
      <c r="FK47" s="386"/>
      <c r="FL47" s="386"/>
      <c r="FM47" s="386"/>
      <c r="FN47" s="386"/>
      <c r="FO47" s="987"/>
      <c r="FP47" s="387"/>
      <c r="FQ47" s="386"/>
      <c r="FR47" s="387"/>
      <c r="FS47" s="387"/>
      <c r="FT47" s="386"/>
      <c r="FU47" s="387"/>
      <c r="FV47" s="386"/>
      <c r="FW47" s="386"/>
      <c r="FX47" s="386"/>
      <c r="FY47" s="386"/>
      <c r="FZ47" s="386"/>
      <c r="GA47" s="987"/>
      <c r="GB47" s="109"/>
      <c r="GC47" s="1036">
        <f t="shared" si="84"/>
        <v>91.610000000000014</v>
      </c>
      <c r="GD47" s="387">
        <f t="shared" si="84"/>
        <v>120.09</v>
      </c>
      <c r="GE47" s="387">
        <f t="shared" si="84"/>
        <v>122.6</v>
      </c>
      <c r="GF47" s="387">
        <f t="shared" si="84"/>
        <v>89.610000000000014</v>
      </c>
      <c r="GG47" s="387">
        <f t="shared" si="84"/>
        <v>127.63</v>
      </c>
      <c r="GH47" s="387">
        <f t="shared" si="84"/>
        <v>125.46</v>
      </c>
      <c r="GI47" s="387">
        <f t="shared" si="84"/>
        <v>124.89</v>
      </c>
      <c r="GJ47" s="387">
        <f t="shared" si="84"/>
        <v>133.99</v>
      </c>
      <c r="GK47" s="387">
        <f t="shared" si="84"/>
        <v>162.57999999999998</v>
      </c>
      <c r="GL47" s="387">
        <f t="shared" si="84"/>
        <v>151.42000000000002</v>
      </c>
      <c r="GM47" s="387">
        <f t="shared" si="84"/>
        <v>174.08999999999997</v>
      </c>
      <c r="GN47" s="988">
        <f t="shared" si="84"/>
        <v>153.82999999999998</v>
      </c>
      <c r="GO47" s="1036">
        <f t="shared" si="85"/>
        <v>0</v>
      </c>
      <c r="GP47" s="387">
        <f t="shared" si="85"/>
        <v>0</v>
      </c>
      <c r="GQ47" s="387">
        <f t="shared" si="85"/>
        <v>0</v>
      </c>
      <c r="GR47" s="387">
        <f t="shared" si="85"/>
        <v>0</v>
      </c>
      <c r="GS47" s="387">
        <f t="shared" si="85"/>
        <v>0</v>
      </c>
      <c r="GT47" s="387">
        <f t="shared" si="85"/>
        <v>0</v>
      </c>
      <c r="GU47" s="387">
        <f t="shared" si="85"/>
        <v>0</v>
      </c>
      <c r="GV47" s="387">
        <f t="shared" si="85"/>
        <v>0</v>
      </c>
      <c r="GW47" s="387">
        <f t="shared" si="85"/>
        <v>0</v>
      </c>
      <c r="GX47" s="387">
        <f t="shared" si="85"/>
        <v>0</v>
      </c>
      <c r="GY47" s="387">
        <f t="shared" si="85"/>
        <v>0</v>
      </c>
      <c r="GZ47" s="988">
        <f t="shared" si="85"/>
        <v>0</v>
      </c>
      <c r="HB47" s="387"/>
      <c r="HC47" s="386"/>
      <c r="HD47" s="387"/>
      <c r="HE47" s="387"/>
      <c r="HF47" s="386"/>
      <c r="HG47" s="386"/>
      <c r="HH47" s="386"/>
      <c r="HI47" s="386"/>
      <c r="HJ47" s="386"/>
      <c r="HK47" s="386"/>
      <c r="HL47" s="386"/>
      <c r="HM47" s="987"/>
    </row>
    <row r="48" spans="1:221">
      <c r="A48" s="326" t="s">
        <v>900</v>
      </c>
      <c r="B48" s="2229" t="s">
        <v>2345</v>
      </c>
      <c r="C48" s="326" t="s">
        <v>3899</v>
      </c>
      <c r="D48" s="1036" t="s">
        <v>2154</v>
      </c>
      <c r="E48" s="387" t="s">
        <v>2154</v>
      </c>
      <c r="F48" s="387" t="s">
        <v>2154</v>
      </c>
      <c r="G48" s="387" t="s">
        <v>2154</v>
      </c>
      <c r="H48" s="387" t="s">
        <v>2154</v>
      </c>
      <c r="I48" s="387" t="s">
        <v>2154</v>
      </c>
      <c r="J48" s="387" t="s">
        <v>2154</v>
      </c>
      <c r="K48" s="387" t="s">
        <v>2154</v>
      </c>
      <c r="L48" s="387" t="s">
        <v>2154</v>
      </c>
      <c r="M48" s="387" t="s">
        <v>2154</v>
      </c>
      <c r="N48" s="387" t="s">
        <v>2154</v>
      </c>
      <c r="O48" s="988" t="s">
        <v>2154</v>
      </c>
      <c r="P48" s="387" t="s">
        <v>2154</v>
      </c>
      <c r="Q48" s="387" t="s">
        <v>2154</v>
      </c>
      <c r="R48" s="387" t="s">
        <v>2154</v>
      </c>
      <c r="S48" s="387" t="s">
        <v>2154</v>
      </c>
      <c r="T48" s="387" t="s">
        <v>2154</v>
      </c>
      <c r="U48" s="387" t="s">
        <v>2154</v>
      </c>
      <c r="V48" s="387" t="s">
        <v>2154</v>
      </c>
      <c r="W48" s="387" t="s">
        <v>2154</v>
      </c>
      <c r="X48" s="387" t="s">
        <v>2154</v>
      </c>
      <c r="Y48" s="387" t="s">
        <v>2154</v>
      </c>
      <c r="Z48" s="387" t="s">
        <v>2154</v>
      </c>
      <c r="AA48" s="988" t="s">
        <v>2154</v>
      </c>
      <c r="AB48" s="387"/>
      <c r="AC48" s="387"/>
      <c r="AD48" s="387"/>
      <c r="AE48" s="387"/>
      <c r="AF48" s="387"/>
      <c r="AG48" s="387"/>
      <c r="AH48" s="387"/>
      <c r="AI48" s="387"/>
      <c r="AJ48" s="387"/>
      <c r="AK48" s="387"/>
      <c r="AL48" s="387"/>
      <c r="AM48" s="988"/>
      <c r="AN48" s="387"/>
      <c r="AO48" s="387"/>
      <c r="AP48" s="387"/>
      <c r="AQ48" s="387"/>
      <c r="AR48" s="387"/>
      <c r="AS48" s="387"/>
      <c r="AT48" s="387"/>
      <c r="AU48" s="387"/>
      <c r="AV48" s="387"/>
      <c r="AW48" s="387"/>
      <c r="AX48" s="387"/>
      <c r="AY48" s="988"/>
      <c r="AZ48" s="387"/>
      <c r="BA48" s="387"/>
      <c r="BB48" s="387"/>
      <c r="BC48" s="387"/>
      <c r="BD48" s="387"/>
      <c r="BE48" s="387"/>
      <c r="BF48" s="387"/>
      <c r="BG48" s="387"/>
      <c r="BH48" s="387"/>
      <c r="BI48" s="387"/>
      <c r="BJ48" s="387"/>
      <c r="BK48" s="988"/>
      <c r="BL48" s="387"/>
      <c r="BM48" s="387"/>
      <c r="BN48" s="387"/>
      <c r="BO48" s="387"/>
      <c r="BP48" s="387"/>
      <c r="BQ48" s="387"/>
      <c r="BR48" s="387"/>
      <c r="BS48" s="387"/>
      <c r="BT48" s="387"/>
      <c r="BU48" s="387"/>
      <c r="BV48" s="387"/>
      <c r="BW48" s="988"/>
      <c r="BX48" s="387"/>
      <c r="BY48" s="387"/>
      <c r="BZ48" s="387"/>
      <c r="CA48" s="387"/>
      <c r="CB48" s="387"/>
      <c r="CC48" s="387"/>
      <c r="CD48" s="387"/>
      <c r="CE48" s="387"/>
      <c r="CF48" s="387"/>
      <c r="CG48" s="387"/>
      <c r="CH48" s="387"/>
      <c r="CI48" s="988"/>
      <c r="CJ48" s="387"/>
      <c r="CK48" s="387"/>
      <c r="CL48" s="387"/>
      <c r="CM48" s="387"/>
      <c r="CN48" s="387"/>
      <c r="CO48" s="387"/>
      <c r="CP48" s="387"/>
      <c r="CQ48" s="387"/>
      <c r="CR48" s="387"/>
      <c r="CS48" s="387"/>
      <c r="CT48" s="387"/>
      <c r="CU48" s="988"/>
      <c r="CV48" s="387"/>
      <c r="CW48" s="387"/>
      <c r="CX48" s="387"/>
      <c r="CY48" s="387"/>
      <c r="CZ48" s="387"/>
      <c r="DA48" s="387"/>
      <c r="DB48" s="387"/>
      <c r="DC48" s="387"/>
      <c r="DD48" s="387"/>
      <c r="DE48" s="387"/>
      <c r="DF48" s="387"/>
      <c r="DG48" s="988"/>
      <c r="DH48" s="387"/>
      <c r="DI48" s="387"/>
      <c r="DJ48" s="387"/>
      <c r="DK48" s="387"/>
      <c r="DL48" s="387"/>
      <c r="DM48" s="387"/>
      <c r="DN48" s="387"/>
      <c r="DO48" s="387"/>
      <c r="DP48" s="387"/>
      <c r="DQ48" s="387"/>
      <c r="DR48" s="387"/>
      <c r="DS48" s="988"/>
      <c r="DT48" s="387" t="s">
        <v>2154</v>
      </c>
      <c r="DU48" s="387" t="s">
        <v>2154</v>
      </c>
      <c r="DV48" s="387" t="s">
        <v>2154</v>
      </c>
      <c r="DW48" s="387" t="s">
        <v>2154</v>
      </c>
      <c r="DX48" s="387" t="s">
        <v>2154</v>
      </c>
      <c r="DY48" s="387" t="s">
        <v>2154</v>
      </c>
      <c r="DZ48" s="387" t="s">
        <v>2154</v>
      </c>
      <c r="EA48" s="387" t="s">
        <v>2154</v>
      </c>
      <c r="EB48" s="387" t="s">
        <v>2154</v>
      </c>
      <c r="EC48" s="387" t="s">
        <v>2154</v>
      </c>
      <c r="ED48" s="387" t="s">
        <v>2154</v>
      </c>
      <c r="EE48" s="988" t="s">
        <v>2154</v>
      </c>
      <c r="EF48" s="387"/>
      <c r="EG48" s="387"/>
      <c r="EH48" s="387"/>
      <c r="EI48" s="387"/>
      <c r="EJ48" s="387"/>
      <c r="EK48" s="387"/>
      <c r="EL48" s="387"/>
      <c r="EM48" s="387"/>
      <c r="EN48" s="387"/>
      <c r="EO48" s="387"/>
      <c r="EP48" s="387"/>
      <c r="EQ48" s="988"/>
      <c r="ER48" s="387"/>
      <c r="ES48" s="387"/>
      <c r="ET48" s="387"/>
      <c r="EU48" s="387"/>
      <c r="EV48" s="387"/>
      <c r="EW48" s="387"/>
      <c r="EX48" s="387"/>
      <c r="EY48" s="387"/>
      <c r="EZ48" s="387"/>
      <c r="FA48" s="387"/>
      <c r="FB48" s="387"/>
      <c r="FC48" s="988"/>
      <c r="FD48" s="387"/>
      <c r="FE48" s="387"/>
      <c r="FF48" s="387"/>
      <c r="FG48" s="387"/>
      <c r="FH48" s="387"/>
      <c r="FI48" s="387"/>
      <c r="FJ48" s="387"/>
      <c r="FK48" s="387"/>
      <c r="FL48" s="387"/>
      <c r="FM48" s="387"/>
      <c r="FN48" s="387"/>
      <c r="FO48" s="988"/>
      <c r="FP48" s="387"/>
      <c r="FQ48" s="387"/>
      <c r="FR48" s="387"/>
      <c r="FS48" s="387"/>
      <c r="FT48" s="387"/>
      <c r="FU48" s="387"/>
      <c r="FV48" s="387"/>
      <c r="FW48" s="387"/>
      <c r="FX48" s="387"/>
      <c r="FY48" s="387"/>
      <c r="FZ48" s="387"/>
      <c r="GA48" s="988"/>
      <c r="GB48" s="109"/>
      <c r="GC48" s="1036">
        <f t="shared" si="84"/>
        <v>0</v>
      </c>
      <c r="GD48" s="387">
        <f t="shared" si="84"/>
        <v>0</v>
      </c>
      <c r="GE48" s="387">
        <f t="shared" si="84"/>
        <v>0</v>
      </c>
      <c r="GF48" s="387">
        <f t="shared" si="84"/>
        <v>0</v>
      </c>
      <c r="GG48" s="387">
        <f t="shared" si="84"/>
        <v>0</v>
      </c>
      <c r="GH48" s="387">
        <f t="shared" si="84"/>
        <v>0</v>
      </c>
      <c r="GI48" s="387">
        <f t="shared" si="84"/>
        <v>0</v>
      </c>
      <c r="GJ48" s="387">
        <f t="shared" si="84"/>
        <v>0</v>
      </c>
      <c r="GK48" s="387">
        <f t="shared" si="84"/>
        <v>0</v>
      </c>
      <c r="GL48" s="387">
        <f t="shared" si="84"/>
        <v>0</v>
      </c>
      <c r="GM48" s="387">
        <f t="shared" si="84"/>
        <v>0</v>
      </c>
      <c r="GN48" s="988">
        <f t="shared" si="84"/>
        <v>0</v>
      </c>
      <c r="GO48" s="1036">
        <f t="shared" si="85"/>
        <v>0</v>
      </c>
      <c r="GP48" s="387">
        <f t="shared" si="85"/>
        <v>0</v>
      </c>
      <c r="GQ48" s="387">
        <f t="shared" si="85"/>
        <v>0</v>
      </c>
      <c r="GR48" s="387">
        <f t="shared" si="85"/>
        <v>0</v>
      </c>
      <c r="GS48" s="387">
        <f t="shared" si="85"/>
        <v>0</v>
      </c>
      <c r="GT48" s="387">
        <f t="shared" si="85"/>
        <v>0</v>
      </c>
      <c r="GU48" s="387">
        <f t="shared" si="85"/>
        <v>0</v>
      </c>
      <c r="GV48" s="387">
        <f t="shared" si="85"/>
        <v>0</v>
      </c>
      <c r="GW48" s="387">
        <f t="shared" si="85"/>
        <v>0</v>
      </c>
      <c r="GX48" s="387">
        <f t="shared" si="85"/>
        <v>0</v>
      </c>
      <c r="GY48" s="387">
        <f t="shared" si="85"/>
        <v>0</v>
      </c>
      <c r="GZ48" s="988">
        <f t="shared" si="85"/>
        <v>0</v>
      </c>
      <c r="HB48" s="386"/>
      <c r="HC48" s="386"/>
      <c r="HD48" s="386"/>
      <c r="HE48" s="386"/>
      <c r="HF48" s="386"/>
      <c r="HG48" s="386"/>
      <c r="HH48" s="386"/>
      <c r="HI48" s="386"/>
      <c r="HJ48" s="386"/>
      <c r="HK48" s="386"/>
      <c r="HL48" s="386"/>
      <c r="HM48" s="987"/>
    </row>
    <row r="49" spans="1:221">
      <c r="A49" s="326" t="s">
        <v>900</v>
      </c>
      <c r="B49" s="326" t="s">
        <v>901</v>
      </c>
      <c r="C49" s="1841" t="s">
        <v>2403</v>
      </c>
      <c r="D49" s="1036" t="s">
        <v>2154</v>
      </c>
      <c r="E49" s="387">
        <v>13</v>
      </c>
      <c r="F49" s="387">
        <v>8</v>
      </c>
      <c r="G49" s="387">
        <v>12</v>
      </c>
      <c r="H49" s="387">
        <v>17</v>
      </c>
      <c r="I49" s="387">
        <v>14</v>
      </c>
      <c r="J49" s="387">
        <v>25</v>
      </c>
      <c r="K49" s="387">
        <v>28</v>
      </c>
      <c r="L49" s="387">
        <v>14</v>
      </c>
      <c r="M49" s="387">
        <v>13</v>
      </c>
      <c r="N49" s="387">
        <v>14</v>
      </c>
      <c r="O49" s="988">
        <v>13</v>
      </c>
      <c r="P49" s="387" t="s">
        <v>2154</v>
      </c>
      <c r="Q49" s="387" t="s">
        <v>2154</v>
      </c>
      <c r="R49" s="387" t="s">
        <v>2154</v>
      </c>
      <c r="S49" s="387" t="s">
        <v>2154</v>
      </c>
      <c r="T49" s="387" t="s">
        <v>2154</v>
      </c>
      <c r="U49" s="387" t="s">
        <v>2154</v>
      </c>
      <c r="V49" s="387" t="s">
        <v>2154</v>
      </c>
      <c r="W49" s="387" t="s">
        <v>2154</v>
      </c>
      <c r="X49" s="387" t="s">
        <v>2154</v>
      </c>
      <c r="Y49" s="387" t="s">
        <v>2154</v>
      </c>
      <c r="Z49" s="387" t="s">
        <v>2154</v>
      </c>
      <c r="AA49" s="988" t="s">
        <v>2154</v>
      </c>
      <c r="AB49" s="387"/>
      <c r="AC49" s="387"/>
      <c r="AD49" s="387"/>
      <c r="AE49" s="387"/>
      <c r="AF49" s="387"/>
      <c r="AG49" s="387"/>
      <c r="AH49" s="387"/>
      <c r="AI49" s="387"/>
      <c r="AJ49" s="387"/>
      <c r="AK49" s="387"/>
      <c r="AL49" s="387"/>
      <c r="AM49" s="988"/>
      <c r="AN49" s="387"/>
      <c r="AO49" s="387"/>
      <c r="AP49" s="387"/>
      <c r="AQ49" s="387"/>
      <c r="AR49" s="387"/>
      <c r="AS49" s="387"/>
      <c r="AT49" s="387"/>
      <c r="AU49" s="387"/>
      <c r="AV49" s="387"/>
      <c r="AW49" s="387"/>
      <c r="AX49" s="387"/>
      <c r="AY49" s="988"/>
      <c r="AZ49" s="387"/>
      <c r="BA49" s="387"/>
      <c r="BB49" s="387"/>
      <c r="BC49" s="387"/>
      <c r="BD49" s="387"/>
      <c r="BE49" s="387"/>
      <c r="BF49" s="387"/>
      <c r="BG49" s="387"/>
      <c r="BH49" s="387"/>
      <c r="BI49" s="387"/>
      <c r="BJ49" s="387"/>
      <c r="BK49" s="988"/>
      <c r="BL49" s="387"/>
      <c r="BM49" s="387"/>
      <c r="BN49" s="387"/>
      <c r="BO49" s="387"/>
      <c r="BP49" s="387"/>
      <c r="BQ49" s="387"/>
      <c r="BR49" s="387"/>
      <c r="BS49" s="387"/>
      <c r="BT49" s="387"/>
      <c r="BU49" s="387"/>
      <c r="BV49" s="387"/>
      <c r="BW49" s="988"/>
      <c r="BX49" s="387"/>
      <c r="BY49" s="387"/>
      <c r="BZ49" s="387"/>
      <c r="CA49" s="387"/>
      <c r="CB49" s="387"/>
      <c r="CC49" s="387"/>
      <c r="CD49" s="387"/>
      <c r="CE49" s="387"/>
      <c r="CF49" s="387"/>
      <c r="CG49" s="387"/>
      <c r="CH49" s="387"/>
      <c r="CI49" s="988"/>
      <c r="CJ49" s="387"/>
      <c r="CK49" s="387"/>
      <c r="CL49" s="387"/>
      <c r="CM49" s="387"/>
      <c r="CN49" s="387"/>
      <c r="CO49" s="387"/>
      <c r="CP49" s="387"/>
      <c r="CQ49" s="387"/>
      <c r="CR49" s="387"/>
      <c r="CS49" s="387"/>
      <c r="CT49" s="387"/>
      <c r="CU49" s="988"/>
      <c r="CV49" s="387"/>
      <c r="CW49" s="387"/>
      <c r="CX49" s="387"/>
      <c r="CY49" s="387"/>
      <c r="CZ49" s="387"/>
      <c r="DA49" s="387"/>
      <c r="DB49" s="387"/>
      <c r="DC49" s="387"/>
      <c r="DD49" s="387"/>
      <c r="DE49" s="387"/>
      <c r="DF49" s="387"/>
      <c r="DG49" s="988"/>
      <c r="DH49" s="387"/>
      <c r="DI49" s="387"/>
      <c r="DJ49" s="387"/>
      <c r="DK49" s="387"/>
      <c r="DL49" s="387"/>
      <c r="DM49" s="387"/>
      <c r="DN49" s="387"/>
      <c r="DO49" s="387"/>
      <c r="DP49" s="387"/>
      <c r="DQ49" s="387"/>
      <c r="DR49" s="387"/>
      <c r="DS49" s="988"/>
      <c r="DT49" s="387" t="s">
        <v>2154</v>
      </c>
      <c r="DU49" s="387" t="s">
        <v>2154</v>
      </c>
      <c r="DV49" s="387" t="s">
        <v>2154</v>
      </c>
      <c r="DW49" s="387" t="s">
        <v>2154</v>
      </c>
      <c r="DX49" s="387">
        <v>26</v>
      </c>
      <c r="DY49" s="387">
        <v>27</v>
      </c>
      <c r="DZ49" s="387" t="s">
        <v>2154</v>
      </c>
      <c r="EA49" s="387" t="s">
        <v>2154</v>
      </c>
      <c r="EB49" s="387">
        <v>26</v>
      </c>
      <c r="EC49" s="387">
        <v>24</v>
      </c>
      <c r="ED49" s="387" t="s">
        <v>2154</v>
      </c>
      <c r="EE49" s="988" t="s">
        <v>2154</v>
      </c>
      <c r="EF49" s="387"/>
      <c r="EG49" s="387"/>
      <c r="EH49" s="387"/>
      <c r="EI49" s="387"/>
      <c r="EJ49" s="387"/>
      <c r="EK49" s="387"/>
      <c r="EL49" s="387"/>
      <c r="EM49" s="387"/>
      <c r="EN49" s="387"/>
      <c r="EO49" s="387"/>
      <c r="EP49" s="387"/>
      <c r="EQ49" s="988"/>
      <c r="ER49" s="387"/>
      <c r="ES49" s="387"/>
      <c r="ET49" s="387"/>
      <c r="EU49" s="387"/>
      <c r="EV49" s="387"/>
      <c r="EW49" s="387"/>
      <c r="EX49" s="387"/>
      <c r="EY49" s="387"/>
      <c r="EZ49" s="387"/>
      <c r="FA49" s="387"/>
      <c r="FB49" s="387"/>
      <c r="FC49" s="988"/>
      <c r="FD49" s="387"/>
      <c r="FE49" s="387"/>
      <c r="FF49" s="387"/>
      <c r="FG49" s="387"/>
      <c r="FH49" s="387"/>
      <c r="FI49" s="387"/>
      <c r="FJ49" s="387"/>
      <c r="FK49" s="387"/>
      <c r="FL49" s="387"/>
      <c r="FM49" s="387"/>
      <c r="FN49" s="387"/>
      <c r="FO49" s="988"/>
      <c r="FP49" s="387"/>
      <c r="FQ49" s="387"/>
      <c r="FR49" s="387"/>
      <c r="FS49" s="387"/>
      <c r="FT49" s="387"/>
      <c r="FU49" s="387"/>
      <c r="FV49" s="387"/>
      <c r="FW49" s="387"/>
      <c r="FX49" s="387"/>
      <c r="FY49" s="387"/>
      <c r="FZ49" s="387"/>
      <c r="GA49" s="988"/>
      <c r="GB49" s="109"/>
      <c r="GC49" s="1435">
        <f t="shared" ref="GC49:GN58" si="86">SUMPRODUCT(--($D$6:$DS$6=GC$6),$D49:$DS49,$D$278:$DS$278)</f>
        <v>0</v>
      </c>
      <c r="GD49" s="387">
        <f t="shared" si="86"/>
        <v>13</v>
      </c>
      <c r="GE49" s="387">
        <f t="shared" si="86"/>
        <v>8</v>
      </c>
      <c r="GF49" s="387">
        <f t="shared" si="86"/>
        <v>12</v>
      </c>
      <c r="GG49" s="387">
        <f t="shared" si="86"/>
        <v>17</v>
      </c>
      <c r="GH49" s="387">
        <f t="shared" si="86"/>
        <v>14</v>
      </c>
      <c r="GI49" s="387">
        <f t="shared" si="86"/>
        <v>25</v>
      </c>
      <c r="GJ49" s="387">
        <f t="shared" si="86"/>
        <v>28</v>
      </c>
      <c r="GK49" s="387">
        <f t="shared" si="86"/>
        <v>14</v>
      </c>
      <c r="GL49" s="387">
        <f t="shared" si="86"/>
        <v>13</v>
      </c>
      <c r="GM49" s="387">
        <f t="shared" si="86"/>
        <v>14</v>
      </c>
      <c r="GN49" s="988">
        <f t="shared" si="86"/>
        <v>13</v>
      </c>
      <c r="GO49" s="1036">
        <f t="shared" si="85"/>
        <v>0</v>
      </c>
      <c r="GP49" s="387">
        <f t="shared" si="85"/>
        <v>0</v>
      </c>
      <c r="GQ49" s="387">
        <f t="shared" si="85"/>
        <v>0</v>
      </c>
      <c r="GR49" s="387">
        <f t="shared" si="85"/>
        <v>0</v>
      </c>
      <c r="GS49" s="387">
        <f t="shared" si="85"/>
        <v>26</v>
      </c>
      <c r="GT49" s="387">
        <f t="shared" si="85"/>
        <v>27</v>
      </c>
      <c r="GU49" s="387">
        <f t="shared" si="85"/>
        <v>0</v>
      </c>
      <c r="GV49" s="387">
        <f t="shared" si="85"/>
        <v>0</v>
      </c>
      <c r="GW49" s="387">
        <f t="shared" si="85"/>
        <v>26</v>
      </c>
      <c r="GX49" s="387">
        <f t="shared" si="85"/>
        <v>24</v>
      </c>
      <c r="GY49" s="387">
        <f t="shared" si="85"/>
        <v>0</v>
      </c>
      <c r="GZ49" s="988">
        <f t="shared" si="85"/>
        <v>0</v>
      </c>
      <c r="HB49" s="387"/>
      <c r="HC49" s="387"/>
      <c r="HD49" s="387"/>
      <c r="HE49" s="387"/>
      <c r="HF49" s="387"/>
      <c r="HG49" s="387"/>
      <c r="HH49" s="387"/>
      <c r="HI49" s="387"/>
      <c r="HJ49" s="387"/>
      <c r="HK49" s="387"/>
      <c r="HL49" s="387"/>
      <c r="HM49" s="988"/>
    </row>
    <row r="50" spans="1:221">
      <c r="A50" s="326" t="s">
        <v>900</v>
      </c>
      <c r="B50" s="326" t="s">
        <v>901</v>
      </c>
      <c r="C50" s="1841" t="s">
        <v>2404</v>
      </c>
      <c r="D50" s="1036" t="s">
        <v>2154</v>
      </c>
      <c r="E50" s="387">
        <v>10724.67</v>
      </c>
      <c r="F50" s="387">
        <v>7253.32</v>
      </c>
      <c r="G50" s="387">
        <v>12090.11</v>
      </c>
      <c r="H50" s="387">
        <v>16632.97</v>
      </c>
      <c r="I50" s="387">
        <v>19822.669999999998</v>
      </c>
      <c r="J50" s="387">
        <v>22676.16</v>
      </c>
      <c r="K50" s="387">
        <v>25032.58</v>
      </c>
      <c r="L50" s="387">
        <v>11048.25</v>
      </c>
      <c r="M50" s="387">
        <v>11404</v>
      </c>
      <c r="N50" s="387">
        <v>12233.26</v>
      </c>
      <c r="O50" s="988">
        <v>12628.13</v>
      </c>
      <c r="P50" s="387" t="s">
        <v>2154</v>
      </c>
      <c r="Q50" s="387" t="s">
        <v>2154</v>
      </c>
      <c r="R50" s="387" t="s">
        <v>2154</v>
      </c>
      <c r="S50" s="387" t="s">
        <v>2154</v>
      </c>
      <c r="T50" s="387" t="s">
        <v>2154</v>
      </c>
      <c r="U50" s="387" t="s">
        <v>2154</v>
      </c>
      <c r="V50" s="387" t="s">
        <v>2154</v>
      </c>
      <c r="W50" s="387" t="s">
        <v>2154</v>
      </c>
      <c r="X50" s="387" t="s">
        <v>2154</v>
      </c>
      <c r="Y50" s="387" t="s">
        <v>2154</v>
      </c>
      <c r="Z50" s="387" t="s">
        <v>2154</v>
      </c>
      <c r="AA50" s="988" t="s">
        <v>2154</v>
      </c>
      <c r="AB50" s="387"/>
      <c r="AC50" s="387"/>
      <c r="AD50" s="387"/>
      <c r="AE50" s="387"/>
      <c r="AF50" s="387"/>
      <c r="AG50" s="387"/>
      <c r="AH50" s="387"/>
      <c r="AI50" s="387"/>
      <c r="AJ50" s="387"/>
      <c r="AK50" s="387"/>
      <c r="AL50" s="387"/>
      <c r="AM50" s="988"/>
      <c r="AN50" s="387"/>
      <c r="AO50" s="387"/>
      <c r="AP50" s="387"/>
      <c r="AQ50" s="387"/>
      <c r="AR50" s="387"/>
      <c r="AS50" s="387"/>
      <c r="AT50" s="387"/>
      <c r="AU50" s="387"/>
      <c r="AV50" s="387"/>
      <c r="AW50" s="387"/>
      <c r="AX50" s="387"/>
      <c r="AY50" s="988"/>
      <c r="AZ50" s="387"/>
      <c r="BA50" s="387"/>
      <c r="BB50" s="387"/>
      <c r="BC50" s="387"/>
      <c r="BD50" s="387"/>
      <c r="BE50" s="387"/>
      <c r="BF50" s="387"/>
      <c r="BG50" s="387"/>
      <c r="BH50" s="387"/>
      <c r="BI50" s="387"/>
      <c r="BJ50" s="387"/>
      <c r="BK50" s="988"/>
      <c r="BL50" s="387"/>
      <c r="BM50" s="387"/>
      <c r="BN50" s="387"/>
      <c r="BO50" s="387"/>
      <c r="BP50" s="387"/>
      <c r="BQ50" s="387"/>
      <c r="BR50" s="387"/>
      <c r="BS50" s="387"/>
      <c r="BT50" s="387"/>
      <c r="BU50" s="387"/>
      <c r="BV50" s="387"/>
      <c r="BW50" s="988"/>
      <c r="BX50" s="387"/>
      <c r="BY50" s="387"/>
      <c r="BZ50" s="387"/>
      <c r="CA50" s="387"/>
      <c r="CB50" s="387"/>
      <c r="CC50" s="387"/>
      <c r="CD50" s="387"/>
      <c r="CE50" s="387"/>
      <c r="CF50" s="387"/>
      <c r="CG50" s="387"/>
      <c r="CH50" s="387"/>
      <c r="CI50" s="988"/>
      <c r="CJ50" s="387"/>
      <c r="CK50" s="387"/>
      <c r="CL50" s="387"/>
      <c r="CM50" s="387"/>
      <c r="CN50" s="387"/>
      <c r="CO50" s="387"/>
      <c r="CP50" s="387"/>
      <c r="CQ50" s="387"/>
      <c r="CR50" s="387"/>
      <c r="CS50" s="387"/>
      <c r="CT50" s="387"/>
      <c r="CU50" s="988"/>
      <c r="CV50" s="387"/>
      <c r="CW50" s="387"/>
      <c r="CX50" s="387"/>
      <c r="CY50" s="387"/>
      <c r="CZ50" s="387"/>
      <c r="DA50" s="387"/>
      <c r="DB50" s="387"/>
      <c r="DC50" s="387"/>
      <c r="DD50" s="387"/>
      <c r="DE50" s="387"/>
      <c r="DF50" s="387"/>
      <c r="DG50" s="988"/>
      <c r="DH50" s="387"/>
      <c r="DI50" s="387"/>
      <c r="DJ50" s="387"/>
      <c r="DK50" s="387"/>
      <c r="DL50" s="387"/>
      <c r="DM50" s="387"/>
      <c r="DN50" s="387"/>
      <c r="DO50" s="387"/>
      <c r="DP50" s="387"/>
      <c r="DQ50" s="387"/>
      <c r="DR50" s="387"/>
      <c r="DS50" s="988"/>
      <c r="DT50" s="387" t="s">
        <v>2154</v>
      </c>
      <c r="DU50" s="387" t="s">
        <v>2154</v>
      </c>
      <c r="DV50" s="387" t="s">
        <v>2154</v>
      </c>
      <c r="DW50" s="387" t="s">
        <v>2154</v>
      </c>
      <c r="DX50" s="387">
        <v>19893.96</v>
      </c>
      <c r="DY50" s="387">
        <v>20727.060000000001</v>
      </c>
      <c r="DZ50" s="387" t="s">
        <v>2154</v>
      </c>
      <c r="EA50" s="387" t="s">
        <v>2154</v>
      </c>
      <c r="EB50" s="387">
        <v>20995.279999999999</v>
      </c>
      <c r="EC50" s="387">
        <v>18517.560000000001</v>
      </c>
      <c r="ED50" s="387" t="s">
        <v>2154</v>
      </c>
      <c r="EE50" s="988" t="s">
        <v>2154</v>
      </c>
      <c r="EF50" s="387"/>
      <c r="EG50" s="387"/>
      <c r="EH50" s="387"/>
      <c r="EI50" s="387"/>
      <c r="EJ50" s="387"/>
      <c r="EK50" s="387"/>
      <c r="EL50" s="387"/>
      <c r="EM50" s="387"/>
      <c r="EN50" s="387"/>
      <c r="EO50" s="387"/>
      <c r="EP50" s="387"/>
      <c r="EQ50" s="988"/>
      <c r="ER50" s="387"/>
      <c r="ES50" s="387"/>
      <c r="ET50" s="387"/>
      <c r="EU50" s="387"/>
      <c r="EV50" s="387"/>
      <c r="EW50" s="387"/>
      <c r="EX50" s="387"/>
      <c r="EY50" s="387"/>
      <c r="EZ50" s="387"/>
      <c r="FA50" s="387"/>
      <c r="FB50" s="387"/>
      <c r="FC50" s="988"/>
      <c r="FD50" s="387"/>
      <c r="FE50" s="387"/>
      <c r="FF50" s="387"/>
      <c r="FG50" s="387"/>
      <c r="FH50" s="387"/>
      <c r="FI50" s="387"/>
      <c r="FJ50" s="387"/>
      <c r="FK50" s="387"/>
      <c r="FL50" s="387"/>
      <c r="FM50" s="387"/>
      <c r="FN50" s="387"/>
      <c r="FO50" s="988"/>
      <c r="FP50" s="387"/>
      <c r="FQ50" s="387"/>
      <c r="FR50" s="387"/>
      <c r="FS50" s="387"/>
      <c r="FT50" s="387"/>
      <c r="FU50" s="387"/>
      <c r="FV50" s="387"/>
      <c r="FW50" s="387"/>
      <c r="FX50" s="387"/>
      <c r="FY50" s="387"/>
      <c r="FZ50" s="387"/>
      <c r="GA50" s="988"/>
      <c r="GB50" s="109"/>
      <c r="GC50" s="1435">
        <f t="shared" si="86"/>
        <v>0</v>
      </c>
      <c r="GD50" s="387">
        <f t="shared" si="86"/>
        <v>10724.67</v>
      </c>
      <c r="GE50" s="387">
        <f t="shared" si="86"/>
        <v>7253.32</v>
      </c>
      <c r="GF50" s="387">
        <f t="shared" si="86"/>
        <v>12090.11</v>
      </c>
      <c r="GG50" s="387">
        <f t="shared" si="86"/>
        <v>16632.97</v>
      </c>
      <c r="GH50" s="387">
        <f t="shared" si="86"/>
        <v>19822.669999999998</v>
      </c>
      <c r="GI50" s="387">
        <f t="shared" si="86"/>
        <v>22676.16</v>
      </c>
      <c r="GJ50" s="387">
        <f t="shared" si="86"/>
        <v>25032.58</v>
      </c>
      <c r="GK50" s="387">
        <f t="shared" si="86"/>
        <v>11048.25</v>
      </c>
      <c r="GL50" s="387">
        <f t="shared" si="86"/>
        <v>11404</v>
      </c>
      <c r="GM50" s="387">
        <f t="shared" si="86"/>
        <v>12233.26</v>
      </c>
      <c r="GN50" s="988">
        <f t="shared" si="86"/>
        <v>12628.13</v>
      </c>
      <c r="GO50" s="1036">
        <f t="shared" si="85"/>
        <v>0</v>
      </c>
      <c r="GP50" s="387">
        <f t="shared" si="85"/>
        <v>0</v>
      </c>
      <c r="GQ50" s="387">
        <f t="shared" si="85"/>
        <v>0</v>
      </c>
      <c r="GR50" s="387">
        <f t="shared" si="85"/>
        <v>0</v>
      </c>
      <c r="GS50" s="387">
        <f t="shared" si="85"/>
        <v>19893.96</v>
      </c>
      <c r="GT50" s="387">
        <f t="shared" si="85"/>
        <v>20727.060000000001</v>
      </c>
      <c r="GU50" s="387">
        <f t="shared" si="85"/>
        <v>0</v>
      </c>
      <c r="GV50" s="387">
        <f t="shared" si="85"/>
        <v>0</v>
      </c>
      <c r="GW50" s="387">
        <f t="shared" si="85"/>
        <v>20995.279999999999</v>
      </c>
      <c r="GX50" s="387">
        <f t="shared" si="85"/>
        <v>18517.560000000001</v>
      </c>
      <c r="GY50" s="387">
        <f t="shared" si="85"/>
        <v>0</v>
      </c>
      <c r="GZ50" s="988">
        <f t="shared" si="85"/>
        <v>0</v>
      </c>
      <c r="HB50" s="387"/>
      <c r="HC50" s="387"/>
      <c r="HD50" s="387"/>
      <c r="HE50" s="387"/>
      <c r="HF50" s="387"/>
      <c r="HG50" s="387"/>
      <c r="HH50" s="387"/>
      <c r="HI50" s="387"/>
      <c r="HJ50" s="387"/>
      <c r="HK50" s="387"/>
      <c r="HL50" s="387"/>
      <c r="HM50" s="988"/>
    </row>
    <row r="51" spans="1:221">
      <c r="A51" s="326" t="s">
        <v>900</v>
      </c>
      <c r="B51" s="326" t="s">
        <v>901</v>
      </c>
      <c r="C51" s="1841" t="s">
        <v>2405</v>
      </c>
      <c r="D51" s="1036" t="s">
        <v>2154</v>
      </c>
      <c r="E51" s="387" t="s">
        <v>2154</v>
      </c>
      <c r="F51" s="387" t="s">
        <v>2154</v>
      </c>
      <c r="G51" s="387" t="s">
        <v>2154</v>
      </c>
      <c r="H51" s="387" t="s">
        <v>2154</v>
      </c>
      <c r="I51" s="387" t="s">
        <v>2154</v>
      </c>
      <c r="J51" s="387" t="s">
        <v>2154</v>
      </c>
      <c r="K51" s="387" t="s">
        <v>2154</v>
      </c>
      <c r="L51" s="387" t="s">
        <v>2154</v>
      </c>
      <c r="M51" s="387" t="s">
        <v>2154</v>
      </c>
      <c r="N51" s="387" t="s">
        <v>2154</v>
      </c>
      <c r="O51" s="988" t="s">
        <v>2154</v>
      </c>
      <c r="P51" s="387">
        <v>4.28</v>
      </c>
      <c r="Q51" s="387" t="s">
        <v>2154</v>
      </c>
      <c r="R51" s="387">
        <v>12</v>
      </c>
      <c r="S51" s="387">
        <v>13.28</v>
      </c>
      <c r="T51" s="387">
        <v>12.85</v>
      </c>
      <c r="U51" s="387">
        <v>13.28</v>
      </c>
      <c r="V51" s="387">
        <v>37.71</v>
      </c>
      <c r="W51" s="387">
        <v>39.85</v>
      </c>
      <c r="X51" s="387">
        <v>50.85</v>
      </c>
      <c r="Y51" s="387">
        <v>51.42</v>
      </c>
      <c r="Z51" s="387">
        <v>53.14</v>
      </c>
      <c r="AA51" s="988">
        <v>64.28</v>
      </c>
      <c r="AB51" s="387"/>
      <c r="AC51" s="387"/>
      <c r="AD51" s="387"/>
      <c r="AE51" s="387"/>
      <c r="AF51" s="387"/>
      <c r="AG51" s="387"/>
      <c r="AH51" s="387"/>
      <c r="AI51" s="387"/>
      <c r="AJ51" s="387"/>
      <c r="AK51" s="387"/>
      <c r="AL51" s="387"/>
      <c r="AM51" s="988"/>
      <c r="AN51" s="387"/>
      <c r="AO51" s="387"/>
      <c r="AP51" s="387"/>
      <c r="AQ51" s="387"/>
      <c r="AR51" s="387"/>
      <c r="AS51" s="387"/>
      <c r="AT51" s="387"/>
      <c r="AU51" s="387"/>
      <c r="AV51" s="387"/>
      <c r="AW51" s="387"/>
      <c r="AX51" s="387"/>
      <c r="AY51" s="988"/>
      <c r="AZ51" s="387"/>
      <c r="BA51" s="387"/>
      <c r="BB51" s="387"/>
      <c r="BC51" s="387"/>
      <c r="BD51" s="387"/>
      <c r="BE51" s="387"/>
      <c r="BF51" s="387"/>
      <c r="BG51" s="387"/>
      <c r="BH51" s="387"/>
      <c r="BI51" s="387"/>
      <c r="BJ51" s="387"/>
      <c r="BK51" s="988"/>
      <c r="BL51" s="387"/>
      <c r="BM51" s="387"/>
      <c r="BN51" s="387"/>
      <c r="BO51" s="387"/>
      <c r="BP51" s="387"/>
      <c r="BQ51" s="387"/>
      <c r="BR51" s="387"/>
      <c r="BS51" s="387"/>
      <c r="BT51" s="387"/>
      <c r="BU51" s="387"/>
      <c r="BV51" s="387"/>
      <c r="BW51" s="988"/>
      <c r="BX51" s="387"/>
      <c r="BY51" s="387"/>
      <c r="BZ51" s="387"/>
      <c r="CA51" s="387"/>
      <c r="CB51" s="387"/>
      <c r="CC51" s="387"/>
      <c r="CD51" s="387"/>
      <c r="CE51" s="387"/>
      <c r="CF51" s="387"/>
      <c r="CG51" s="387"/>
      <c r="CH51" s="387"/>
      <c r="CI51" s="988"/>
      <c r="CJ51" s="387"/>
      <c r="CK51" s="387"/>
      <c r="CL51" s="387"/>
      <c r="CM51" s="387"/>
      <c r="CN51" s="387"/>
      <c r="CO51" s="387"/>
      <c r="CP51" s="387"/>
      <c r="CQ51" s="387"/>
      <c r="CR51" s="387"/>
      <c r="CS51" s="387"/>
      <c r="CT51" s="387"/>
      <c r="CU51" s="988"/>
      <c r="CV51" s="387"/>
      <c r="CW51" s="387"/>
      <c r="CX51" s="387"/>
      <c r="CY51" s="387"/>
      <c r="CZ51" s="387"/>
      <c r="DA51" s="387"/>
      <c r="DB51" s="387"/>
      <c r="DC51" s="387"/>
      <c r="DD51" s="387"/>
      <c r="DE51" s="387"/>
      <c r="DF51" s="387"/>
      <c r="DG51" s="988"/>
      <c r="DH51" s="387"/>
      <c r="DI51" s="387"/>
      <c r="DJ51" s="387"/>
      <c r="DK51" s="387"/>
      <c r="DL51" s="387"/>
      <c r="DM51" s="387"/>
      <c r="DN51" s="387"/>
      <c r="DO51" s="387"/>
      <c r="DP51" s="387"/>
      <c r="DQ51" s="387"/>
      <c r="DR51" s="387"/>
      <c r="DS51" s="988"/>
      <c r="DT51" s="387" t="s">
        <v>2154</v>
      </c>
      <c r="DU51" s="387" t="s">
        <v>2154</v>
      </c>
      <c r="DV51" s="387" t="s">
        <v>2154</v>
      </c>
      <c r="DW51" s="387" t="s">
        <v>2154</v>
      </c>
      <c r="DX51" s="387" t="s">
        <v>2154</v>
      </c>
      <c r="DY51" s="387" t="s">
        <v>2154</v>
      </c>
      <c r="DZ51" s="387" t="s">
        <v>2154</v>
      </c>
      <c r="EA51" s="387" t="s">
        <v>2154</v>
      </c>
      <c r="EB51" s="387" t="s">
        <v>2154</v>
      </c>
      <c r="EC51" s="387" t="s">
        <v>2154</v>
      </c>
      <c r="ED51" s="387" t="s">
        <v>2154</v>
      </c>
      <c r="EE51" s="988" t="s">
        <v>2154</v>
      </c>
      <c r="EF51" s="387"/>
      <c r="EG51" s="387"/>
      <c r="EH51" s="387"/>
      <c r="EI51" s="387"/>
      <c r="EJ51" s="387"/>
      <c r="EK51" s="387"/>
      <c r="EL51" s="387"/>
      <c r="EM51" s="387"/>
      <c r="EN51" s="387"/>
      <c r="EO51" s="387"/>
      <c r="EP51" s="387"/>
      <c r="EQ51" s="988"/>
      <c r="ER51" s="387"/>
      <c r="ES51" s="387"/>
      <c r="ET51" s="387"/>
      <c r="EU51" s="387"/>
      <c r="EV51" s="387"/>
      <c r="EW51" s="387"/>
      <c r="EX51" s="387"/>
      <c r="EY51" s="387"/>
      <c r="EZ51" s="387"/>
      <c r="FA51" s="387"/>
      <c r="FB51" s="387"/>
      <c r="FC51" s="988"/>
      <c r="FD51" s="387"/>
      <c r="FE51" s="387"/>
      <c r="FF51" s="387"/>
      <c r="FG51" s="387"/>
      <c r="FH51" s="387"/>
      <c r="FI51" s="387"/>
      <c r="FJ51" s="387"/>
      <c r="FK51" s="387"/>
      <c r="FL51" s="387"/>
      <c r="FM51" s="387"/>
      <c r="FN51" s="387"/>
      <c r="FO51" s="988"/>
      <c r="FP51" s="387"/>
      <c r="FQ51" s="387"/>
      <c r="FR51" s="387"/>
      <c r="FS51" s="387"/>
      <c r="FT51" s="387"/>
      <c r="FU51" s="387"/>
      <c r="FV51" s="387"/>
      <c r="FW51" s="387"/>
      <c r="FX51" s="387"/>
      <c r="FY51" s="387"/>
      <c r="FZ51" s="387"/>
      <c r="GA51" s="988"/>
      <c r="GB51" s="109"/>
      <c r="GC51" s="1435">
        <f t="shared" si="86"/>
        <v>4.28</v>
      </c>
      <c r="GD51" s="387">
        <f t="shared" si="86"/>
        <v>0</v>
      </c>
      <c r="GE51" s="387">
        <f t="shared" si="86"/>
        <v>12</v>
      </c>
      <c r="GF51" s="387">
        <f t="shared" si="86"/>
        <v>13.28</v>
      </c>
      <c r="GG51" s="387">
        <f t="shared" si="86"/>
        <v>12.85</v>
      </c>
      <c r="GH51" s="387">
        <f t="shared" si="86"/>
        <v>13.28</v>
      </c>
      <c r="GI51" s="387">
        <f t="shared" si="86"/>
        <v>37.71</v>
      </c>
      <c r="GJ51" s="387">
        <f t="shared" si="86"/>
        <v>39.85</v>
      </c>
      <c r="GK51" s="387">
        <f t="shared" si="86"/>
        <v>50.85</v>
      </c>
      <c r="GL51" s="387">
        <f t="shared" si="86"/>
        <v>51.42</v>
      </c>
      <c r="GM51" s="387">
        <f t="shared" si="86"/>
        <v>53.14</v>
      </c>
      <c r="GN51" s="988">
        <f t="shared" si="86"/>
        <v>64.28</v>
      </c>
      <c r="GO51" s="1036">
        <f t="shared" si="85"/>
        <v>0</v>
      </c>
      <c r="GP51" s="387">
        <f t="shared" si="85"/>
        <v>0</v>
      </c>
      <c r="GQ51" s="387">
        <f t="shared" si="85"/>
        <v>0</v>
      </c>
      <c r="GR51" s="387">
        <f t="shared" si="85"/>
        <v>0</v>
      </c>
      <c r="GS51" s="387">
        <f t="shared" si="85"/>
        <v>0</v>
      </c>
      <c r="GT51" s="387">
        <f t="shared" si="85"/>
        <v>0</v>
      </c>
      <c r="GU51" s="387">
        <f t="shared" si="85"/>
        <v>0</v>
      </c>
      <c r="GV51" s="387">
        <f t="shared" si="85"/>
        <v>0</v>
      </c>
      <c r="GW51" s="387">
        <f t="shared" si="85"/>
        <v>0</v>
      </c>
      <c r="GX51" s="387">
        <f t="shared" si="85"/>
        <v>0</v>
      </c>
      <c r="GY51" s="387">
        <f t="shared" si="85"/>
        <v>0</v>
      </c>
      <c r="GZ51" s="988">
        <f t="shared" si="85"/>
        <v>0</v>
      </c>
      <c r="HB51" s="387"/>
      <c r="HC51" s="387"/>
      <c r="HD51" s="387"/>
      <c r="HE51" s="387"/>
      <c r="HF51" s="387"/>
      <c r="HG51" s="387"/>
      <c r="HH51" s="387"/>
      <c r="HI51" s="387"/>
      <c r="HJ51" s="387"/>
      <c r="HK51" s="387"/>
      <c r="HL51" s="387"/>
      <c r="HM51" s="988"/>
    </row>
    <row r="52" spans="1:221">
      <c r="A52" s="326" t="s">
        <v>900</v>
      </c>
      <c r="B52" s="326" t="s">
        <v>901</v>
      </c>
      <c r="C52" s="1841" t="s">
        <v>2406</v>
      </c>
      <c r="D52" s="1036" t="s">
        <v>2154</v>
      </c>
      <c r="E52" s="387" t="s">
        <v>2154</v>
      </c>
      <c r="F52" s="387" t="s">
        <v>2154</v>
      </c>
      <c r="G52" s="387" t="s">
        <v>2154</v>
      </c>
      <c r="H52" s="387" t="s">
        <v>2154</v>
      </c>
      <c r="I52" s="387" t="s">
        <v>2154</v>
      </c>
      <c r="J52" s="387" t="s">
        <v>2154</v>
      </c>
      <c r="K52" s="387" t="s">
        <v>2154</v>
      </c>
      <c r="L52" s="387" t="s">
        <v>2154</v>
      </c>
      <c r="M52" s="387" t="s">
        <v>2154</v>
      </c>
      <c r="N52" s="387" t="s">
        <v>2154</v>
      </c>
      <c r="O52" s="988" t="s">
        <v>2154</v>
      </c>
      <c r="P52" s="387">
        <v>3610</v>
      </c>
      <c r="Q52" s="387" t="s">
        <v>2154</v>
      </c>
      <c r="R52" s="387">
        <v>17052</v>
      </c>
      <c r="S52" s="387">
        <v>18879</v>
      </c>
      <c r="T52" s="387">
        <v>18270</v>
      </c>
      <c r="U52" s="387">
        <v>18879</v>
      </c>
      <c r="V52" s="387">
        <v>52062.29</v>
      </c>
      <c r="W52" s="387">
        <v>57181.14</v>
      </c>
      <c r="X52" s="387">
        <v>65570.649999999994</v>
      </c>
      <c r="Y52" s="387">
        <v>68834.22</v>
      </c>
      <c r="Z52" s="387">
        <v>97856.7</v>
      </c>
      <c r="AA52" s="988">
        <v>105971.26</v>
      </c>
      <c r="AB52" s="387"/>
      <c r="AC52" s="387"/>
      <c r="AD52" s="387"/>
      <c r="AE52" s="387"/>
      <c r="AF52" s="387"/>
      <c r="AG52" s="387"/>
      <c r="AH52" s="387"/>
      <c r="AI52" s="387"/>
      <c r="AJ52" s="387"/>
      <c r="AK52" s="387"/>
      <c r="AL52" s="387"/>
      <c r="AM52" s="988"/>
      <c r="AN52" s="387"/>
      <c r="AO52" s="387"/>
      <c r="AP52" s="387"/>
      <c r="AQ52" s="387"/>
      <c r="AR52" s="387"/>
      <c r="AS52" s="387"/>
      <c r="AT52" s="387"/>
      <c r="AU52" s="387"/>
      <c r="AV52" s="387"/>
      <c r="AW52" s="387"/>
      <c r="AX52" s="387"/>
      <c r="AY52" s="988"/>
      <c r="AZ52" s="387"/>
      <c r="BA52" s="387"/>
      <c r="BB52" s="387"/>
      <c r="BC52" s="387"/>
      <c r="BD52" s="387"/>
      <c r="BE52" s="387"/>
      <c r="BF52" s="387"/>
      <c r="BG52" s="387"/>
      <c r="BH52" s="387"/>
      <c r="BI52" s="387"/>
      <c r="BJ52" s="387"/>
      <c r="BK52" s="988"/>
      <c r="BL52" s="387"/>
      <c r="BM52" s="387"/>
      <c r="BN52" s="387"/>
      <c r="BO52" s="387"/>
      <c r="BP52" s="387"/>
      <c r="BQ52" s="387"/>
      <c r="BR52" s="387"/>
      <c r="BS52" s="387"/>
      <c r="BT52" s="387"/>
      <c r="BU52" s="387"/>
      <c r="BV52" s="387"/>
      <c r="BW52" s="988"/>
      <c r="BX52" s="387"/>
      <c r="BY52" s="387"/>
      <c r="BZ52" s="387"/>
      <c r="CA52" s="387"/>
      <c r="CB52" s="387"/>
      <c r="CC52" s="387"/>
      <c r="CD52" s="387"/>
      <c r="CE52" s="387"/>
      <c r="CF52" s="387"/>
      <c r="CG52" s="387"/>
      <c r="CH52" s="387"/>
      <c r="CI52" s="988"/>
      <c r="CJ52" s="387"/>
      <c r="CK52" s="387"/>
      <c r="CL52" s="387"/>
      <c r="CM52" s="387"/>
      <c r="CN52" s="387"/>
      <c r="CO52" s="387"/>
      <c r="CP52" s="387"/>
      <c r="CQ52" s="387"/>
      <c r="CR52" s="387"/>
      <c r="CS52" s="387"/>
      <c r="CT52" s="387"/>
      <c r="CU52" s="988"/>
      <c r="CV52" s="387"/>
      <c r="CW52" s="387"/>
      <c r="CX52" s="387"/>
      <c r="CY52" s="387"/>
      <c r="CZ52" s="387"/>
      <c r="DA52" s="387"/>
      <c r="DB52" s="387"/>
      <c r="DC52" s="387"/>
      <c r="DD52" s="387"/>
      <c r="DE52" s="387"/>
      <c r="DF52" s="387"/>
      <c r="DG52" s="988"/>
      <c r="DH52" s="387"/>
      <c r="DI52" s="387"/>
      <c r="DJ52" s="387"/>
      <c r="DK52" s="387"/>
      <c r="DL52" s="387"/>
      <c r="DM52" s="387"/>
      <c r="DN52" s="387"/>
      <c r="DO52" s="387"/>
      <c r="DP52" s="387"/>
      <c r="DQ52" s="387"/>
      <c r="DR52" s="387"/>
      <c r="DS52" s="988"/>
      <c r="DT52" s="387" t="s">
        <v>2154</v>
      </c>
      <c r="DU52" s="387" t="s">
        <v>2154</v>
      </c>
      <c r="DV52" s="387" t="s">
        <v>2154</v>
      </c>
      <c r="DW52" s="387" t="s">
        <v>2154</v>
      </c>
      <c r="DX52" s="387" t="s">
        <v>2154</v>
      </c>
      <c r="DY52" s="387" t="s">
        <v>2154</v>
      </c>
      <c r="DZ52" s="387" t="s">
        <v>2154</v>
      </c>
      <c r="EA52" s="387" t="s">
        <v>2154</v>
      </c>
      <c r="EB52" s="387" t="s">
        <v>2154</v>
      </c>
      <c r="EC52" s="387" t="s">
        <v>2154</v>
      </c>
      <c r="ED52" s="387" t="s">
        <v>2154</v>
      </c>
      <c r="EE52" s="988" t="s">
        <v>2154</v>
      </c>
      <c r="EF52" s="387"/>
      <c r="EG52" s="387"/>
      <c r="EH52" s="387"/>
      <c r="EI52" s="387"/>
      <c r="EJ52" s="387"/>
      <c r="EK52" s="387"/>
      <c r="EL52" s="387"/>
      <c r="EM52" s="387"/>
      <c r="EN52" s="387"/>
      <c r="EO52" s="387"/>
      <c r="EP52" s="387"/>
      <c r="EQ52" s="988"/>
      <c r="ER52" s="387"/>
      <c r="ES52" s="387"/>
      <c r="ET52" s="387"/>
      <c r="EU52" s="387"/>
      <c r="EV52" s="387"/>
      <c r="EW52" s="387"/>
      <c r="EX52" s="387"/>
      <c r="EY52" s="387"/>
      <c r="EZ52" s="387"/>
      <c r="FA52" s="387"/>
      <c r="FB52" s="387"/>
      <c r="FC52" s="988"/>
      <c r="FD52" s="387"/>
      <c r="FE52" s="387"/>
      <c r="FF52" s="387"/>
      <c r="FG52" s="387"/>
      <c r="FH52" s="387"/>
      <c r="FI52" s="387"/>
      <c r="FJ52" s="387"/>
      <c r="FK52" s="387"/>
      <c r="FL52" s="387"/>
      <c r="FM52" s="387"/>
      <c r="FN52" s="387"/>
      <c r="FO52" s="988"/>
      <c r="FP52" s="387"/>
      <c r="FQ52" s="387"/>
      <c r="FR52" s="387"/>
      <c r="FS52" s="387"/>
      <c r="FT52" s="387"/>
      <c r="FU52" s="387"/>
      <c r="FV52" s="387"/>
      <c r="FW52" s="387"/>
      <c r="FX52" s="387"/>
      <c r="FY52" s="387"/>
      <c r="FZ52" s="387"/>
      <c r="GA52" s="988"/>
      <c r="GB52" s="109"/>
      <c r="GC52" s="1435">
        <f t="shared" si="86"/>
        <v>3610</v>
      </c>
      <c r="GD52" s="387">
        <f t="shared" si="86"/>
        <v>0</v>
      </c>
      <c r="GE52" s="387">
        <f t="shared" si="86"/>
        <v>17052</v>
      </c>
      <c r="GF52" s="387">
        <f t="shared" si="86"/>
        <v>18879</v>
      </c>
      <c r="GG52" s="387">
        <f t="shared" si="86"/>
        <v>18270</v>
      </c>
      <c r="GH52" s="387">
        <f t="shared" si="86"/>
        <v>18879</v>
      </c>
      <c r="GI52" s="387">
        <f t="shared" si="86"/>
        <v>52062.29</v>
      </c>
      <c r="GJ52" s="387">
        <f t="shared" si="86"/>
        <v>57181.14</v>
      </c>
      <c r="GK52" s="387">
        <f t="shared" si="86"/>
        <v>65570.649999999994</v>
      </c>
      <c r="GL52" s="387">
        <f t="shared" si="86"/>
        <v>68834.22</v>
      </c>
      <c r="GM52" s="387">
        <f t="shared" si="86"/>
        <v>97856.7</v>
      </c>
      <c r="GN52" s="988">
        <f t="shared" si="86"/>
        <v>105971.26</v>
      </c>
      <c r="GO52" s="1036">
        <f t="shared" si="85"/>
        <v>0</v>
      </c>
      <c r="GP52" s="387">
        <f t="shared" si="85"/>
        <v>0</v>
      </c>
      <c r="GQ52" s="387">
        <f t="shared" si="85"/>
        <v>0</v>
      </c>
      <c r="GR52" s="387">
        <f t="shared" si="85"/>
        <v>0</v>
      </c>
      <c r="GS52" s="387">
        <f t="shared" si="85"/>
        <v>0</v>
      </c>
      <c r="GT52" s="387">
        <f t="shared" si="85"/>
        <v>0</v>
      </c>
      <c r="GU52" s="387">
        <f t="shared" si="85"/>
        <v>0</v>
      </c>
      <c r="GV52" s="387">
        <f t="shared" si="85"/>
        <v>0</v>
      </c>
      <c r="GW52" s="387">
        <f t="shared" si="85"/>
        <v>0</v>
      </c>
      <c r="GX52" s="387">
        <f t="shared" si="85"/>
        <v>0</v>
      </c>
      <c r="GY52" s="387">
        <f t="shared" si="85"/>
        <v>0</v>
      </c>
      <c r="GZ52" s="988">
        <f t="shared" si="85"/>
        <v>0</v>
      </c>
      <c r="HB52" s="387"/>
      <c r="HC52" s="387"/>
      <c r="HD52" s="387"/>
      <c r="HE52" s="387"/>
      <c r="HF52" s="387"/>
      <c r="HG52" s="387"/>
      <c r="HH52" s="387"/>
      <c r="HI52" s="387"/>
      <c r="HJ52" s="387"/>
      <c r="HK52" s="387"/>
      <c r="HL52" s="387"/>
      <c r="HM52" s="988"/>
    </row>
    <row r="53" spans="1:221">
      <c r="A53" s="326" t="s">
        <v>900</v>
      </c>
      <c r="B53" s="326" t="s">
        <v>901</v>
      </c>
      <c r="C53" s="326" t="s">
        <v>3900</v>
      </c>
      <c r="D53" s="1036">
        <v>53</v>
      </c>
      <c r="E53" s="387">
        <v>54</v>
      </c>
      <c r="F53" s="387">
        <v>50</v>
      </c>
      <c r="G53" s="387">
        <v>57</v>
      </c>
      <c r="H53" s="387">
        <v>55</v>
      </c>
      <c r="I53" s="387">
        <v>51</v>
      </c>
      <c r="J53" s="387">
        <v>50</v>
      </c>
      <c r="K53" s="387">
        <v>49</v>
      </c>
      <c r="L53" s="387">
        <v>49</v>
      </c>
      <c r="M53" s="387">
        <v>49</v>
      </c>
      <c r="N53" s="387">
        <v>50</v>
      </c>
      <c r="O53" s="988">
        <v>50</v>
      </c>
      <c r="P53" s="387" t="s">
        <v>2154</v>
      </c>
      <c r="Q53" s="387" t="s">
        <v>2154</v>
      </c>
      <c r="R53" s="387" t="s">
        <v>2154</v>
      </c>
      <c r="S53" s="387" t="s">
        <v>2154</v>
      </c>
      <c r="T53" s="387" t="s">
        <v>2154</v>
      </c>
      <c r="U53" s="387" t="s">
        <v>2154</v>
      </c>
      <c r="V53" s="387" t="s">
        <v>2154</v>
      </c>
      <c r="W53" s="387" t="s">
        <v>2154</v>
      </c>
      <c r="X53" s="387" t="s">
        <v>2154</v>
      </c>
      <c r="Y53" s="387" t="s">
        <v>2154</v>
      </c>
      <c r="Z53" s="387" t="s">
        <v>2154</v>
      </c>
      <c r="AA53" s="988" t="s">
        <v>2154</v>
      </c>
      <c r="AB53" s="387"/>
      <c r="AC53" s="387"/>
      <c r="AD53" s="387"/>
      <c r="AE53" s="387"/>
      <c r="AF53" s="387"/>
      <c r="AG53" s="387"/>
      <c r="AH53" s="387"/>
      <c r="AI53" s="387"/>
      <c r="AJ53" s="387"/>
      <c r="AK53" s="387"/>
      <c r="AL53" s="387"/>
      <c r="AM53" s="988"/>
      <c r="AN53" s="387"/>
      <c r="AO53" s="387"/>
      <c r="AP53" s="387"/>
      <c r="AQ53" s="387"/>
      <c r="AR53" s="387"/>
      <c r="AS53" s="387"/>
      <c r="AT53" s="387"/>
      <c r="AU53" s="387"/>
      <c r="AV53" s="387"/>
      <c r="AW53" s="387"/>
      <c r="AX53" s="387"/>
      <c r="AY53" s="988"/>
      <c r="AZ53" s="387"/>
      <c r="BA53" s="387"/>
      <c r="BB53" s="387"/>
      <c r="BC53" s="387"/>
      <c r="BD53" s="387"/>
      <c r="BE53" s="387"/>
      <c r="BF53" s="387"/>
      <c r="BG53" s="387"/>
      <c r="BH53" s="387"/>
      <c r="BI53" s="387"/>
      <c r="BJ53" s="387"/>
      <c r="BK53" s="988"/>
      <c r="BL53" s="387"/>
      <c r="BM53" s="387"/>
      <c r="BN53" s="387"/>
      <c r="BO53" s="387"/>
      <c r="BP53" s="387"/>
      <c r="BQ53" s="387"/>
      <c r="BR53" s="387"/>
      <c r="BS53" s="387"/>
      <c r="BT53" s="387"/>
      <c r="BU53" s="387"/>
      <c r="BV53" s="387"/>
      <c r="BW53" s="988"/>
      <c r="BX53" s="387"/>
      <c r="BY53" s="387"/>
      <c r="BZ53" s="387"/>
      <c r="CA53" s="387"/>
      <c r="CB53" s="387"/>
      <c r="CC53" s="387"/>
      <c r="CD53" s="387"/>
      <c r="CE53" s="387"/>
      <c r="CF53" s="387"/>
      <c r="CG53" s="387"/>
      <c r="CH53" s="387"/>
      <c r="CI53" s="988"/>
      <c r="CJ53" s="387"/>
      <c r="CK53" s="387"/>
      <c r="CL53" s="387"/>
      <c r="CM53" s="387"/>
      <c r="CN53" s="387"/>
      <c r="CO53" s="387"/>
      <c r="CP53" s="387"/>
      <c r="CQ53" s="387"/>
      <c r="CR53" s="387"/>
      <c r="CS53" s="387"/>
      <c r="CT53" s="387"/>
      <c r="CU53" s="988"/>
      <c r="CV53" s="387"/>
      <c r="CW53" s="387"/>
      <c r="CX53" s="387"/>
      <c r="CY53" s="387"/>
      <c r="CZ53" s="387"/>
      <c r="DA53" s="387"/>
      <c r="DB53" s="387"/>
      <c r="DC53" s="387"/>
      <c r="DD53" s="387"/>
      <c r="DE53" s="387"/>
      <c r="DF53" s="387"/>
      <c r="DG53" s="988"/>
      <c r="DH53" s="387"/>
      <c r="DI53" s="387"/>
      <c r="DJ53" s="387"/>
      <c r="DK53" s="387"/>
      <c r="DL53" s="387"/>
      <c r="DM53" s="387"/>
      <c r="DN53" s="387"/>
      <c r="DO53" s="387"/>
      <c r="DP53" s="387"/>
      <c r="DQ53" s="387"/>
      <c r="DR53" s="387"/>
      <c r="DS53" s="988"/>
      <c r="DT53" s="387" t="s">
        <v>2154</v>
      </c>
      <c r="DU53" s="387" t="s">
        <v>2154</v>
      </c>
      <c r="DV53" s="387" t="s">
        <v>2154</v>
      </c>
      <c r="DW53" s="387" t="s">
        <v>2154</v>
      </c>
      <c r="DX53" s="387" t="s">
        <v>2154</v>
      </c>
      <c r="DY53" s="387" t="s">
        <v>2154</v>
      </c>
      <c r="DZ53" s="387" t="s">
        <v>2154</v>
      </c>
      <c r="EA53" s="387" t="s">
        <v>2154</v>
      </c>
      <c r="EB53" s="387" t="s">
        <v>2154</v>
      </c>
      <c r="EC53" s="387" t="s">
        <v>2154</v>
      </c>
      <c r="ED53" s="387" t="s">
        <v>2154</v>
      </c>
      <c r="EE53" s="988" t="s">
        <v>2154</v>
      </c>
      <c r="EF53" s="387"/>
      <c r="EG53" s="387"/>
      <c r="EH53" s="387"/>
      <c r="EI53" s="387"/>
      <c r="EJ53" s="387"/>
      <c r="EK53" s="387"/>
      <c r="EL53" s="387"/>
      <c r="EM53" s="387"/>
      <c r="EN53" s="387"/>
      <c r="EO53" s="387"/>
      <c r="EP53" s="387"/>
      <c r="EQ53" s="988"/>
      <c r="ER53" s="387"/>
      <c r="ES53" s="387"/>
      <c r="ET53" s="387"/>
      <c r="EU53" s="387"/>
      <c r="EV53" s="387"/>
      <c r="EW53" s="387"/>
      <c r="EX53" s="387"/>
      <c r="EY53" s="387"/>
      <c r="EZ53" s="387"/>
      <c r="FA53" s="387"/>
      <c r="FB53" s="387"/>
      <c r="FC53" s="988"/>
      <c r="FD53" s="387"/>
      <c r="FE53" s="387"/>
      <c r="FF53" s="387"/>
      <c r="FG53" s="387"/>
      <c r="FH53" s="387"/>
      <c r="FI53" s="387"/>
      <c r="FJ53" s="387"/>
      <c r="FK53" s="387"/>
      <c r="FL53" s="387"/>
      <c r="FM53" s="387"/>
      <c r="FN53" s="387"/>
      <c r="FO53" s="988"/>
      <c r="FP53" s="387"/>
      <c r="FQ53" s="387"/>
      <c r="FR53" s="387"/>
      <c r="FS53" s="387"/>
      <c r="FT53" s="387"/>
      <c r="FU53" s="387"/>
      <c r="FV53" s="387"/>
      <c r="FW53" s="387"/>
      <c r="FX53" s="387"/>
      <c r="FY53" s="387"/>
      <c r="FZ53" s="387"/>
      <c r="GA53" s="988"/>
      <c r="GB53" s="109"/>
      <c r="GC53" s="1435">
        <f t="shared" si="86"/>
        <v>53</v>
      </c>
      <c r="GD53" s="387">
        <f t="shared" si="86"/>
        <v>54</v>
      </c>
      <c r="GE53" s="387">
        <f t="shared" si="86"/>
        <v>50</v>
      </c>
      <c r="GF53" s="387">
        <f t="shared" si="86"/>
        <v>57</v>
      </c>
      <c r="GG53" s="387">
        <f t="shared" si="86"/>
        <v>55</v>
      </c>
      <c r="GH53" s="387">
        <f t="shared" si="86"/>
        <v>51</v>
      </c>
      <c r="GI53" s="387">
        <f t="shared" si="86"/>
        <v>50</v>
      </c>
      <c r="GJ53" s="387">
        <f t="shared" si="86"/>
        <v>49</v>
      </c>
      <c r="GK53" s="387">
        <f t="shared" si="86"/>
        <v>49</v>
      </c>
      <c r="GL53" s="387">
        <f t="shared" si="86"/>
        <v>49</v>
      </c>
      <c r="GM53" s="387">
        <f t="shared" si="86"/>
        <v>50</v>
      </c>
      <c r="GN53" s="988">
        <f t="shared" si="86"/>
        <v>50</v>
      </c>
      <c r="GO53" s="1036">
        <f t="shared" si="85"/>
        <v>0</v>
      </c>
      <c r="GP53" s="387">
        <f t="shared" si="85"/>
        <v>0</v>
      </c>
      <c r="GQ53" s="387">
        <f t="shared" si="85"/>
        <v>0</v>
      </c>
      <c r="GR53" s="387">
        <f t="shared" si="85"/>
        <v>0</v>
      </c>
      <c r="GS53" s="387">
        <f t="shared" si="85"/>
        <v>0</v>
      </c>
      <c r="GT53" s="387">
        <f t="shared" si="85"/>
        <v>0</v>
      </c>
      <c r="GU53" s="387">
        <f t="shared" si="85"/>
        <v>0</v>
      </c>
      <c r="GV53" s="387">
        <f t="shared" si="85"/>
        <v>0</v>
      </c>
      <c r="GW53" s="387">
        <f t="shared" si="85"/>
        <v>0</v>
      </c>
      <c r="GX53" s="387">
        <f t="shared" si="85"/>
        <v>0</v>
      </c>
      <c r="GY53" s="387">
        <f t="shared" si="85"/>
        <v>0</v>
      </c>
      <c r="GZ53" s="988">
        <f t="shared" si="85"/>
        <v>0</v>
      </c>
      <c r="HB53" s="387"/>
      <c r="HC53" s="387"/>
      <c r="HD53" s="387"/>
      <c r="HE53" s="387"/>
      <c r="HF53" s="387"/>
      <c r="HG53" s="387"/>
      <c r="HH53" s="387"/>
      <c r="HI53" s="387"/>
      <c r="HJ53" s="387"/>
      <c r="HK53" s="387"/>
      <c r="HL53" s="387"/>
      <c r="HM53" s="988"/>
    </row>
    <row r="54" spans="1:221">
      <c r="A54" s="326" t="s">
        <v>900</v>
      </c>
      <c r="B54" s="326" t="s">
        <v>901</v>
      </c>
      <c r="C54" s="326" t="s">
        <v>1576</v>
      </c>
      <c r="D54" s="1036">
        <v>1</v>
      </c>
      <c r="E54" s="387">
        <v>1</v>
      </c>
      <c r="F54" s="387">
        <v>1</v>
      </c>
      <c r="G54" s="387" t="s">
        <v>2154</v>
      </c>
      <c r="H54" s="387" t="s">
        <v>2154</v>
      </c>
      <c r="I54" s="387" t="s">
        <v>2154</v>
      </c>
      <c r="J54" s="387" t="s">
        <v>2154</v>
      </c>
      <c r="K54" s="387" t="s">
        <v>2154</v>
      </c>
      <c r="L54" s="387" t="s">
        <v>2154</v>
      </c>
      <c r="M54" s="387" t="s">
        <v>2154</v>
      </c>
      <c r="N54" s="387" t="s">
        <v>2154</v>
      </c>
      <c r="O54" s="988" t="s">
        <v>2154</v>
      </c>
      <c r="P54" s="387">
        <v>15</v>
      </c>
      <c r="Q54" s="387">
        <v>16</v>
      </c>
      <c r="R54" s="387">
        <v>17</v>
      </c>
      <c r="S54" s="387">
        <v>17</v>
      </c>
      <c r="T54" s="387">
        <v>19</v>
      </c>
      <c r="U54" s="387">
        <v>17</v>
      </c>
      <c r="V54" s="387">
        <v>18</v>
      </c>
      <c r="W54" s="387">
        <v>18</v>
      </c>
      <c r="X54" s="387">
        <v>19</v>
      </c>
      <c r="Y54" s="387">
        <v>19</v>
      </c>
      <c r="Z54" s="387">
        <v>19</v>
      </c>
      <c r="AA54" s="988">
        <v>19</v>
      </c>
      <c r="AB54" s="387"/>
      <c r="AC54" s="387"/>
      <c r="AD54" s="387"/>
      <c r="AE54" s="387"/>
      <c r="AF54" s="387"/>
      <c r="AG54" s="387"/>
      <c r="AH54" s="387"/>
      <c r="AI54" s="387"/>
      <c r="AJ54" s="387"/>
      <c r="AK54" s="387"/>
      <c r="AL54" s="387"/>
      <c r="AM54" s="988"/>
      <c r="AN54" s="387"/>
      <c r="AO54" s="387"/>
      <c r="AP54" s="387"/>
      <c r="AQ54" s="387"/>
      <c r="AR54" s="387"/>
      <c r="AS54" s="387"/>
      <c r="AT54" s="387"/>
      <c r="AU54" s="387"/>
      <c r="AV54" s="387"/>
      <c r="AW54" s="387"/>
      <c r="AX54" s="387"/>
      <c r="AY54" s="988"/>
      <c r="AZ54" s="387"/>
      <c r="BA54" s="387"/>
      <c r="BB54" s="387"/>
      <c r="BC54" s="387"/>
      <c r="BD54" s="387"/>
      <c r="BE54" s="387"/>
      <c r="BF54" s="387"/>
      <c r="BG54" s="387"/>
      <c r="BH54" s="387"/>
      <c r="BI54" s="387"/>
      <c r="BJ54" s="387"/>
      <c r="BK54" s="988"/>
      <c r="BL54" s="387"/>
      <c r="BM54" s="387"/>
      <c r="BN54" s="387"/>
      <c r="BO54" s="387"/>
      <c r="BP54" s="387"/>
      <c r="BQ54" s="387"/>
      <c r="BR54" s="387"/>
      <c r="BS54" s="387"/>
      <c r="BT54" s="387"/>
      <c r="BU54" s="387"/>
      <c r="BV54" s="387"/>
      <c r="BW54" s="988"/>
      <c r="BX54" s="387"/>
      <c r="BY54" s="387"/>
      <c r="BZ54" s="387"/>
      <c r="CA54" s="387"/>
      <c r="CB54" s="387"/>
      <c r="CC54" s="387"/>
      <c r="CD54" s="387"/>
      <c r="CE54" s="387"/>
      <c r="CF54" s="387"/>
      <c r="CG54" s="387"/>
      <c r="CH54" s="387"/>
      <c r="CI54" s="988"/>
      <c r="CJ54" s="387"/>
      <c r="CK54" s="387"/>
      <c r="CL54" s="387"/>
      <c r="CM54" s="387"/>
      <c r="CN54" s="387"/>
      <c r="CO54" s="387"/>
      <c r="CP54" s="387"/>
      <c r="CQ54" s="387"/>
      <c r="CR54" s="387"/>
      <c r="CS54" s="387"/>
      <c r="CT54" s="387"/>
      <c r="CU54" s="988"/>
      <c r="CV54" s="387"/>
      <c r="CW54" s="387"/>
      <c r="CX54" s="387"/>
      <c r="CY54" s="387"/>
      <c r="CZ54" s="387"/>
      <c r="DA54" s="387"/>
      <c r="DB54" s="387"/>
      <c r="DC54" s="387"/>
      <c r="DD54" s="387"/>
      <c r="DE54" s="387"/>
      <c r="DF54" s="387"/>
      <c r="DG54" s="988"/>
      <c r="DH54" s="387"/>
      <c r="DI54" s="387"/>
      <c r="DJ54" s="387"/>
      <c r="DK54" s="387"/>
      <c r="DL54" s="387"/>
      <c r="DM54" s="387"/>
      <c r="DN54" s="387"/>
      <c r="DO54" s="387"/>
      <c r="DP54" s="387"/>
      <c r="DQ54" s="387"/>
      <c r="DR54" s="387"/>
      <c r="DS54" s="988"/>
      <c r="DT54" s="387" t="s">
        <v>2154</v>
      </c>
      <c r="DU54" s="387" t="s">
        <v>2154</v>
      </c>
      <c r="DV54" s="387" t="s">
        <v>2154</v>
      </c>
      <c r="DW54" s="387" t="s">
        <v>2154</v>
      </c>
      <c r="DX54" s="387" t="s">
        <v>2154</v>
      </c>
      <c r="DY54" s="387" t="s">
        <v>2154</v>
      </c>
      <c r="DZ54" s="387" t="s">
        <v>2154</v>
      </c>
      <c r="EA54" s="387" t="s">
        <v>2154</v>
      </c>
      <c r="EB54" s="387" t="s">
        <v>2154</v>
      </c>
      <c r="EC54" s="387" t="s">
        <v>2154</v>
      </c>
      <c r="ED54" s="387" t="s">
        <v>2154</v>
      </c>
      <c r="EE54" s="988" t="s">
        <v>2154</v>
      </c>
      <c r="EF54" s="387"/>
      <c r="EG54" s="387"/>
      <c r="EH54" s="387"/>
      <c r="EI54" s="387"/>
      <c r="EJ54" s="387"/>
      <c r="EK54" s="387"/>
      <c r="EL54" s="387"/>
      <c r="EM54" s="387"/>
      <c r="EN54" s="387"/>
      <c r="EO54" s="387"/>
      <c r="EP54" s="387"/>
      <c r="EQ54" s="988"/>
      <c r="ER54" s="387"/>
      <c r="ES54" s="387"/>
      <c r="ET54" s="387"/>
      <c r="EU54" s="387"/>
      <c r="EV54" s="387"/>
      <c r="EW54" s="387"/>
      <c r="EX54" s="387"/>
      <c r="EY54" s="387"/>
      <c r="EZ54" s="387"/>
      <c r="FA54" s="387"/>
      <c r="FB54" s="387"/>
      <c r="FC54" s="988"/>
      <c r="FD54" s="387"/>
      <c r="FE54" s="387"/>
      <c r="FF54" s="387"/>
      <c r="FG54" s="387"/>
      <c r="FH54" s="387"/>
      <c r="FI54" s="387"/>
      <c r="FJ54" s="387"/>
      <c r="FK54" s="387"/>
      <c r="FL54" s="387"/>
      <c r="FM54" s="387"/>
      <c r="FN54" s="387"/>
      <c r="FO54" s="988"/>
      <c r="FP54" s="387"/>
      <c r="FQ54" s="387"/>
      <c r="FR54" s="387"/>
      <c r="FS54" s="387"/>
      <c r="FT54" s="387"/>
      <c r="FU54" s="387"/>
      <c r="FV54" s="387"/>
      <c r="FW54" s="387"/>
      <c r="FX54" s="387"/>
      <c r="FY54" s="387"/>
      <c r="FZ54" s="387"/>
      <c r="GA54" s="988"/>
      <c r="GB54" s="109"/>
      <c r="GC54" s="1435">
        <f t="shared" si="86"/>
        <v>16</v>
      </c>
      <c r="GD54" s="387">
        <f t="shared" si="86"/>
        <v>17</v>
      </c>
      <c r="GE54" s="387">
        <f t="shared" si="86"/>
        <v>18</v>
      </c>
      <c r="GF54" s="387">
        <f t="shared" si="86"/>
        <v>17</v>
      </c>
      <c r="GG54" s="387">
        <f t="shared" si="86"/>
        <v>19</v>
      </c>
      <c r="GH54" s="387">
        <f t="shared" si="86"/>
        <v>17</v>
      </c>
      <c r="GI54" s="387">
        <f t="shared" si="86"/>
        <v>18</v>
      </c>
      <c r="GJ54" s="387">
        <f t="shared" si="86"/>
        <v>18</v>
      </c>
      <c r="GK54" s="387">
        <f t="shared" si="86"/>
        <v>19</v>
      </c>
      <c r="GL54" s="387">
        <f t="shared" si="86"/>
        <v>19</v>
      </c>
      <c r="GM54" s="387">
        <f t="shared" si="86"/>
        <v>19</v>
      </c>
      <c r="GN54" s="988">
        <f t="shared" si="86"/>
        <v>19</v>
      </c>
      <c r="GO54" s="1036">
        <f t="shared" si="85"/>
        <v>0</v>
      </c>
      <c r="GP54" s="387">
        <f t="shared" si="85"/>
        <v>0</v>
      </c>
      <c r="GQ54" s="387">
        <f t="shared" si="85"/>
        <v>0</v>
      </c>
      <c r="GR54" s="387">
        <f t="shared" si="85"/>
        <v>0</v>
      </c>
      <c r="GS54" s="387">
        <f t="shared" si="85"/>
        <v>0</v>
      </c>
      <c r="GT54" s="387">
        <f t="shared" si="85"/>
        <v>0</v>
      </c>
      <c r="GU54" s="387">
        <f t="shared" si="85"/>
        <v>0</v>
      </c>
      <c r="GV54" s="387">
        <f t="shared" si="85"/>
        <v>0</v>
      </c>
      <c r="GW54" s="387">
        <f t="shared" si="85"/>
        <v>0</v>
      </c>
      <c r="GX54" s="387">
        <f t="shared" si="85"/>
        <v>0</v>
      </c>
      <c r="GY54" s="387">
        <f t="shared" si="85"/>
        <v>0</v>
      </c>
      <c r="GZ54" s="988">
        <f t="shared" si="85"/>
        <v>0</v>
      </c>
      <c r="HB54" s="387"/>
      <c r="HC54" s="387"/>
      <c r="HD54" s="387"/>
      <c r="HE54" s="387"/>
      <c r="HF54" s="387"/>
      <c r="HG54" s="387"/>
      <c r="HH54" s="387"/>
      <c r="HI54" s="387"/>
      <c r="HJ54" s="387"/>
      <c r="HK54" s="387"/>
      <c r="HL54" s="387"/>
      <c r="HM54" s="988"/>
    </row>
    <row r="55" spans="1:221">
      <c r="A55" s="326" t="s">
        <v>1577</v>
      </c>
      <c r="B55" s="326" t="s">
        <v>901</v>
      </c>
      <c r="C55" s="326" t="s">
        <v>2151</v>
      </c>
      <c r="D55" s="1036">
        <v>667</v>
      </c>
      <c r="E55" s="387">
        <v>646</v>
      </c>
      <c r="F55" s="387">
        <v>592</v>
      </c>
      <c r="G55" s="387">
        <v>655</v>
      </c>
      <c r="H55" s="387">
        <v>688</v>
      </c>
      <c r="I55" s="387">
        <v>705</v>
      </c>
      <c r="J55" s="387">
        <v>626</v>
      </c>
      <c r="K55" s="387">
        <v>653</v>
      </c>
      <c r="L55" s="387">
        <v>630</v>
      </c>
      <c r="M55" s="387">
        <v>585</v>
      </c>
      <c r="N55" s="387">
        <v>649</v>
      </c>
      <c r="O55" s="988">
        <v>589</v>
      </c>
      <c r="P55" s="387" t="s">
        <v>2154</v>
      </c>
      <c r="Q55" s="387" t="s">
        <v>2154</v>
      </c>
      <c r="R55" s="387" t="s">
        <v>2154</v>
      </c>
      <c r="S55" s="387" t="s">
        <v>2154</v>
      </c>
      <c r="T55" s="387" t="s">
        <v>2154</v>
      </c>
      <c r="U55" s="387" t="s">
        <v>2154</v>
      </c>
      <c r="V55" s="387" t="s">
        <v>2154</v>
      </c>
      <c r="W55" s="387" t="s">
        <v>2154</v>
      </c>
      <c r="X55" s="387" t="s">
        <v>2154</v>
      </c>
      <c r="Y55" s="387" t="s">
        <v>2154</v>
      </c>
      <c r="Z55" s="387" t="s">
        <v>2154</v>
      </c>
      <c r="AA55" s="988" t="s">
        <v>2154</v>
      </c>
      <c r="AB55" s="387"/>
      <c r="AC55" s="387"/>
      <c r="AD55" s="387"/>
      <c r="AE55" s="387"/>
      <c r="AF55" s="387"/>
      <c r="AG55" s="387"/>
      <c r="AH55" s="387"/>
      <c r="AI55" s="387"/>
      <c r="AJ55" s="387"/>
      <c r="AK55" s="387"/>
      <c r="AL55" s="387"/>
      <c r="AM55" s="988"/>
      <c r="AN55" s="387"/>
      <c r="AO55" s="387"/>
      <c r="AP55" s="387"/>
      <c r="AQ55" s="387"/>
      <c r="AR55" s="387"/>
      <c r="AS55" s="387"/>
      <c r="AT55" s="387"/>
      <c r="AU55" s="387"/>
      <c r="AV55" s="387"/>
      <c r="AW55" s="387"/>
      <c r="AX55" s="387"/>
      <c r="AY55" s="988"/>
      <c r="AZ55" s="387"/>
      <c r="BA55" s="387"/>
      <c r="BB55" s="387"/>
      <c r="BC55" s="387"/>
      <c r="BD55" s="387"/>
      <c r="BE55" s="387"/>
      <c r="BF55" s="387"/>
      <c r="BG55" s="387"/>
      <c r="BH55" s="387"/>
      <c r="BI55" s="387"/>
      <c r="BJ55" s="387"/>
      <c r="BK55" s="988"/>
      <c r="BL55" s="387"/>
      <c r="BM55" s="387"/>
      <c r="BN55" s="387"/>
      <c r="BO55" s="387"/>
      <c r="BP55" s="387"/>
      <c r="BQ55" s="387"/>
      <c r="BR55" s="387"/>
      <c r="BS55" s="387"/>
      <c r="BT55" s="387"/>
      <c r="BU55" s="387"/>
      <c r="BV55" s="387"/>
      <c r="BW55" s="988"/>
      <c r="BX55" s="387"/>
      <c r="BY55" s="387"/>
      <c r="BZ55" s="387"/>
      <c r="CA55" s="387"/>
      <c r="CB55" s="387"/>
      <c r="CC55" s="387"/>
      <c r="CD55" s="387"/>
      <c r="CE55" s="387"/>
      <c r="CF55" s="387"/>
      <c r="CG55" s="387"/>
      <c r="CH55" s="387"/>
      <c r="CI55" s="988"/>
      <c r="CJ55" s="387"/>
      <c r="CK55" s="387"/>
      <c r="CL55" s="387"/>
      <c r="CM55" s="387"/>
      <c r="CN55" s="387"/>
      <c r="CO55" s="387"/>
      <c r="CP55" s="387"/>
      <c r="CQ55" s="387"/>
      <c r="CR55" s="387"/>
      <c r="CS55" s="387"/>
      <c r="CT55" s="387"/>
      <c r="CU55" s="988"/>
      <c r="CV55" s="387"/>
      <c r="CW55" s="387"/>
      <c r="CX55" s="387"/>
      <c r="CY55" s="387"/>
      <c r="CZ55" s="387"/>
      <c r="DA55" s="387"/>
      <c r="DB55" s="387"/>
      <c r="DC55" s="387"/>
      <c r="DD55" s="387"/>
      <c r="DE55" s="387"/>
      <c r="DF55" s="387"/>
      <c r="DG55" s="988"/>
      <c r="DH55" s="387"/>
      <c r="DI55" s="387"/>
      <c r="DJ55" s="387"/>
      <c r="DK55" s="387"/>
      <c r="DL55" s="387"/>
      <c r="DM55" s="387"/>
      <c r="DN55" s="387"/>
      <c r="DO55" s="387"/>
      <c r="DP55" s="387"/>
      <c r="DQ55" s="387"/>
      <c r="DR55" s="387"/>
      <c r="DS55" s="988"/>
      <c r="DT55" s="387" t="s">
        <v>2154</v>
      </c>
      <c r="DU55" s="387" t="s">
        <v>2154</v>
      </c>
      <c r="DV55" s="387" t="s">
        <v>2154</v>
      </c>
      <c r="DW55" s="387" t="s">
        <v>2154</v>
      </c>
      <c r="DX55" s="387" t="s">
        <v>2154</v>
      </c>
      <c r="DY55" s="387" t="s">
        <v>2154</v>
      </c>
      <c r="DZ55" s="387" t="s">
        <v>2154</v>
      </c>
      <c r="EA55" s="387" t="s">
        <v>2154</v>
      </c>
      <c r="EB55" s="387" t="s">
        <v>2154</v>
      </c>
      <c r="EC55" s="387" t="s">
        <v>2154</v>
      </c>
      <c r="ED55" s="387" t="s">
        <v>2154</v>
      </c>
      <c r="EE55" s="988" t="s">
        <v>2154</v>
      </c>
      <c r="EF55" s="387"/>
      <c r="EG55" s="387"/>
      <c r="EH55" s="387"/>
      <c r="EI55" s="387"/>
      <c r="EJ55" s="387"/>
      <c r="EK55" s="387"/>
      <c r="EL55" s="387"/>
      <c r="EM55" s="387"/>
      <c r="EN55" s="387"/>
      <c r="EO55" s="387"/>
      <c r="EP55" s="387"/>
      <c r="EQ55" s="988"/>
      <c r="ER55" s="387"/>
      <c r="ES55" s="387"/>
      <c r="ET55" s="387"/>
      <c r="EU55" s="387"/>
      <c r="EV55" s="387"/>
      <c r="EW55" s="387"/>
      <c r="EX55" s="387"/>
      <c r="EY55" s="387"/>
      <c r="EZ55" s="387"/>
      <c r="FA55" s="387"/>
      <c r="FB55" s="387"/>
      <c r="FC55" s="988"/>
      <c r="FD55" s="387"/>
      <c r="FE55" s="387"/>
      <c r="FF55" s="387"/>
      <c r="FG55" s="387"/>
      <c r="FH55" s="387"/>
      <c r="FI55" s="387"/>
      <c r="FJ55" s="387"/>
      <c r="FK55" s="387"/>
      <c r="FL55" s="387"/>
      <c r="FM55" s="387"/>
      <c r="FN55" s="387"/>
      <c r="FO55" s="988"/>
      <c r="FP55" s="387"/>
      <c r="FQ55" s="387"/>
      <c r="FR55" s="387"/>
      <c r="FS55" s="387"/>
      <c r="FT55" s="387"/>
      <c r="FU55" s="387"/>
      <c r="FV55" s="387"/>
      <c r="FW55" s="387"/>
      <c r="FX55" s="387"/>
      <c r="FY55" s="387"/>
      <c r="FZ55" s="387"/>
      <c r="GA55" s="988"/>
      <c r="GB55" s="109"/>
      <c r="GC55" s="1435">
        <f t="shared" si="86"/>
        <v>667</v>
      </c>
      <c r="GD55" s="387">
        <f t="shared" si="86"/>
        <v>646</v>
      </c>
      <c r="GE55" s="387">
        <f t="shared" si="86"/>
        <v>592</v>
      </c>
      <c r="GF55" s="387">
        <f t="shared" si="86"/>
        <v>655</v>
      </c>
      <c r="GG55" s="387">
        <f t="shared" si="86"/>
        <v>688</v>
      </c>
      <c r="GH55" s="387">
        <f t="shared" si="86"/>
        <v>705</v>
      </c>
      <c r="GI55" s="387">
        <f t="shared" si="86"/>
        <v>626</v>
      </c>
      <c r="GJ55" s="387">
        <f t="shared" si="86"/>
        <v>653</v>
      </c>
      <c r="GK55" s="387">
        <f t="shared" si="86"/>
        <v>630</v>
      </c>
      <c r="GL55" s="387">
        <f t="shared" si="86"/>
        <v>585</v>
      </c>
      <c r="GM55" s="387">
        <f t="shared" si="86"/>
        <v>649</v>
      </c>
      <c r="GN55" s="988">
        <f t="shared" si="86"/>
        <v>589</v>
      </c>
      <c r="GO55" s="1036">
        <f t="shared" si="85"/>
        <v>0</v>
      </c>
      <c r="GP55" s="387">
        <f t="shared" si="85"/>
        <v>0</v>
      </c>
      <c r="GQ55" s="387">
        <f t="shared" si="85"/>
        <v>0</v>
      </c>
      <c r="GR55" s="387">
        <f t="shared" si="85"/>
        <v>0</v>
      </c>
      <c r="GS55" s="387">
        <f t="shared" si="85"/>
        <v>0</v>
      </c>
      <c r="GT55" s="387">
        <f t="shared" si="85"/>
        <v>0</v>
      </c>
      <c r="GU55" s="387">
        <f t="shared" si="85"/>
        <v>0</v>
      </c>
      <c r="GV55" s="387">
        <f t="shared" si="85"/>
        <v>0</v>
      </c>
      <c r="GW55" s="387">
        <f t="shared" si="85"/>
        <v>0</v>
      </c>
      <c r="GX55" s="387">
        <f t="shared" si="85"/>
        <v>0</v>
      </c>
      <c r="GY55" s="387">
        <f t="shared" si="85"/>
        <v>0</v>
      </c>
      <c r="GZ55" s="988">
        <f t="shared" si="85"/>
        <v>0</v>
      </c>
      <c r="HB55" s="387"/>
      <c r="HC55" s="387"/>
      <c r="HD55" s="387"/>
      <c r="HE55" s="387"/>
      <c r="HF55" s="387"/>
      <c r="HG55" s="387"/>
      <c r="HH55" s="387"/>
      <c r="HI55" s="387"/>
      <c r="HJ55" s="387"/>
      <c r="HK55" s="387"/>
      <c r="HL55" s="387"/>
      <c r="HM55" s="988"/>
    </row>
    <row r="56" spans="1:221">
      <c r="A56" s="326" t="s">
        <v>1577</v>
      </c>
      <c r="B56" s="326" t="s">
        <v>1578</v>
      </c>
      <c r="C56" s="326" t="s">
        <v>2151</v>
      </c>
      <c r="D56" s="1036">
        <v>653</v>
      </c>
      <c r="E56" s="387">
        <v>633</v>
      </c>
      <c r="F56" s="387">
        <v>584</v>
      </c>
      <c r="G56" s="387">
        <v>643</v>
      </c>
      <c r="H56" s="387">
        <v>671</v>
      </c>
      <c r="I56" s="387">
        <v>678</v>
      </c>
      <c r="J56" s="387">
        <v>592</v>
      </c>
      <c r="K56" s="387">
        <v>624</v>
      </c>
      <c r="L56" s="387">
        <v>604</v>
      </c>
      <c r="M56" s="387">
        <v>559</v>
      </c>
      <c r="N56" s="387">
        <v>622</v>
      </c>
      <c r="O56" s="988">
        <v>562</v>
      </c>
      <c r="P56" s="387" t="s">
        <v>2154</v>
      </c>
      <c r="Q56" s="387" t="s">
        <v>2154</v>
      </c>
      <c r="R56" s="387" t="s">
        <v>2154</v>
      </c>
      <c r="S56" s="387" t="s">
        <v>2154</v>
      </c>
      <c r="T56" s="387" t="s">
        <v>2154</v>
      </c>
      <c r="U56" s="387" t="s">
        <v>2154</v>
      </c>
      <c r="V56" s="387" t="s">
        <v>2154</v>
      </c>
      <c r="W56" s="387" t="s">
        <v>2154</v>
      </c>
      <c r="X56" s="387" t="s">
        <v>2154</v>
      </c>
      <c r="Y56" s="387" t="s">
        <v>2154</v>
      </c>
      <c r="Z56" s="387" t="s">
        <v>2154</v>
      </c>
      <c r="AA56" s="988" t="s">
        <v>2154</v>
      </c>
      <c r="AB56" s="386"/>
      <c r="AC56" s="386"/>
      <c r="AD56" s="386"/>
      <c r="AE56" s="386"/>
      <c r="AF56" s="386"/>
      <c r="AG56" s="386"/>
      <c r="AH56" s="386"/>
      <c r="AI56" s="386"/>
      <c r="AJ56" s="386"/>
      <c r="AK56" s="386"/>
      <c r="AL56" s="386"/>
      <c r="AM56" s="987"/>
      <c r="AN56" s="386"/>
      <c r="AO56" s="386"/>
      <c r="AP56" s="386"/>
      <c r="AQ56" s="386"/>
      <c r="AR56" s="386"/>
      <c r="AS56" s="386"/>
      <c r="AT56" s="386"/>
      <c r="AU56" s="386"/>
      <c r="AV56" s="386"/>
      <c r="AW56" s="386"/>
      <c r="AX56" s="386"/>
      <c r="AY56" s="987"/>
      <c r="AZ56" s="386"/>
      <c r="BA56" s="386"/>
      <c r="BB56" s="386"/>
      <c r="BC56" s="386"/>
      <c r="BD56" s="386"/>
      <c r="BE56" s="386"/>
      <c r="BF56" s="386"/>
      <c r="BG56" s="386"/>
      <c r="BH56" s="386"/>
      <c r="BI56" s="386"/>
      <c r="BJ56" s="386"/>
      <c r="BK56" s="987"/>
      <c r="BL56" s="386"/>
      <c r="BM56" s="386"/>
      <c r="BN56" s="386"/>
      <c r="BO56" s="386"/>
      <c r="BP56" s="386"/>
      <c r="BQ56" s="386"/>
      <c r="BR56" s="387"/>
      <c r="BS56" s="387"/>
      <c r="BT56" s="387"/>
      <c r="BU56" s="387"/>
      <c r="BV56" s="387"/>
      <c r="BW56" s="988"/>
      <c r="BX56" s="387"/>
      <c r="BY56" s="387"/>
      <c r="BZ56" s="387"/>
      <c r="CA56" s="387"/>
      <c r="CB56" s="387"/>
      <c r="CC56" s="387"/>
      <c r="CD56" s="387"/>
      <c r="CE56" s="387"/>
      <c r="CF56" s="387"/>
      <c r="CG56" s="387"/>
      <c r="CH56" s="387"/>
      <c r="CI56" s="988"/>
      <c r="CJ56" s="387"/>
      <c r="CK56" s="387"/>
      <c r="CL56" s="387"/>
      <c r="CM56" s="387"/>
      <c r="CN56" s="387"/>
      <c r="CO56" s="387"/>
      <c r="CP56" s="387"/>
      <c r="CQ56" s="387"/>
      <c r="CR56" s="387"/>
      <c r="CS56" s="387"/>
      <c r="CT56" s="387"/>
      <c r="CU56" s="988"/>
      <c r="CV56" s="387"/>
      <c r="CW56" s="387"/>
      <c r="CX56" s="387"/>
      <c r="CY56" s="387"/>
      <c r="CZ56" s="387"/>
      <c r="DA56" s="387"/>
      <c r="DB56" s="387"/>
      <c r="DC56" s="387"/>
      <c r="DD56" s="387"/>
      <c r="DE56" s="387"/>
      <c r="DF56" s="387"/>
      <c r="DG56" s="988"/>
      <c r="DH56" s="387"/>
      <c r="DI56" s="387"/>
      <c r="DJ56" s="387"/>
      <c r="DK56" s="387"/>
      <c r="DL56" s="387"/>
      <c r="DM56" s="387"/>
      <c r="DN56" s="387"/>
      <c r="DO56" s="387"/>
      <c r="DP56" s="387"/>
      <c r="DQ56" s="387"/>
      <c r="DR56" s="387"/>
      <c r="DS56" s="988"/>
      <c r="DT56" s="387" t="s">
        <v>2154</v>
      </c>
      <c r="DU56" s="387" t="s">
        <v>2154</v>
      </c>
      <c r="DV56" s="387" t="s">
        <v>2154</v>
      </c>
      <c r="DW56" s="387" t="s">
        <v>2154</v>
      </c>
      <c r="DX56" s="387" t="s">
        <v>2154</v>
      </c>
      <c r="DY56" s="387" t="s">
        <v>2154</v>
      </c>
      <c r="DZ56" s="387" t="s">
        <v>2154</v>
      </c>
      <c r="EA56" s="387" t="s">
        <v>2154</v>
      </c>
      <c r="EB56" s="387" t="s">
        <v>2154</v>
      </c>
      <c r="EC56" s="387" t="s">
        <v>2154</v>
      </c>
      <c r="ED56" s="387" t="s">
        <v>2154</v>
      </c>
      <c r="EE56" s="988" t="s">
        <v>2154</v>
      </c>
      <c r="EF56" s="387"/>
      <c r="EG56" s="387"/>
      <c r="EH56" s="387"/>
      <c r="EI56" s="387"/>
      <c r="EJ56" s="387"/>
      <c r="EK56" s="387"/>
      <c r="EL56" s="387"/>
      <c r="EM56" s="387"/>
      <c r="EN56" s="387"/>
      <c r="EO56" s="387"/>
      <c r="EP56" s="387"/>
      <c r="EQ56" s="988"/>
      <c r="ER56" s="387"/>
      <c r="ES56" s="387"/>
      <c r="ET56" s="387"/>
      <c r="EU56" s="387"/>
      <c r="EV56" s="387"/>
      <c r="EW56" s="387"/>
      <c r="EX56" s="387"/>
      <c r="EY56" s="387"/>
      <c r="EZ56" s="387"/>
      <c r="FA56" s="387"/>
      <c r="FB56" s="387"/>
      <c r="FC56" s="988"/>
      <c r="FD56" s="387"/>
      <c r="FE56" s="387"/>
      <c r="FF56" s="387"/>
      <c r="FG56" s="387"/>
      <c r="FH56" s="387"/>
      <c r="FI56" s="387"/>
      <c r="FJ56" s="387"/>
      <c r="FK56" s="387"/>
      <c r="FL56" s="387"/>
      <c r="FM56" s="387"/>
      <c r="FN56" s="387"/>
      <c r="FO56" s="988"/>
      <c r="FP56" s="387"/>
      <c r="FQ56" s="387"/>
      <c r="FR56" s="387"/>
      <c r="FS56" s="387"/>
      <c r="FT56" s="387"/>
      <c r="FU56" s="387"/>
      <c r="FV56" s="387"/>
      <c r="FW56" s="387"/>
      <c r="FX56" s="387"/>
      <c r="FY56" s="387"/>
      <c r="FZ56" s="387"/>
      <c r="GA56" s="988"/>
      <c r="GB56" s="109"/>
      <c r="GC56" s="2217">
        <f t="shared" si="86"/>
        <v>653</v>
      </c>
      <c r="GD56" s="387">
        <f t="shared" si="86"/>
        <v>633</v>
      </c>
      <c r="GE56" s="387">
        <f t="shared" si="86"/>
        <v>584</v>
      </c>
      <c r="GF56" s="387">
        <f t="shared" si="86"/>
        <v>643</v>
      </c>
      <c r="GG56" s="387">
        <f t="shared" si="86"/>
        <v>671</v>
      </c>
      <c r="GH56" s="387">
        <f t="shared" si="86"/>
        <v>678</v>
      </c>
      <c r="GI56" s="387">
        <f t="shared" si="86"/>
        <v>592</v>
      </c>
      <c r="GJ56" s="387">
        <f t="shared" si="86"/>
        <v>624</v>
      </c>
      <c r="GK56" s="387">
        <f t="shared" si="86"/>
        <v>604</v>
      </c>
      <c r="GL56" s="387">
        <f t="shared" si="86"/>
        <v>559</v>
      </c>
      <c r="GM56" s="387">
        <f t="shared" si="86"/>
        <v>622</v>
      </c>
      <c r="GN56" s="988">
        <f t="shared" si="86"/>
        <v>562</v>
      </c>
      <c r="GO56" s="1036">
        <f t="shared" si="85"/>
        <v>0</v>
      </c>
      <c r="GP56" s="387">
        <f t="shared" si="85"/>
        <v>0</v>
      </c>
      <c r="GQ56" s="387">
        <f t="shared" si="85"/>
        <v>0</v>
      </c>
      <c r="GR56" s="387">
        <f t="shared" si="85"/>
        <v>0</v>
      </c>
      <c r="GS56" s="387">
        <f t="shared" si="85"/>
        <v>0</v>
      </c>
      <c r="GT56" s="387">
        <f t="shared" si="85"/>
        <v>0</v>
      </c>
      <c r="GU56" s="387">
        <f t="shared" si="85"/>
        <v>0</v>
      </c>
      <c r="GV56" s="387">
        <f t="shared" si="85"/>
        <v>0</v>
      </c>
      <c r="GW56" s="387">
        <f t="shared" si="85"/>
        <v>0</v>
      </c>
      <c r="GX56" s="387">
        <f t="shared" si="85"/>
        <v>0</v>
      </c>
      <c r="GY56" s="387">
        <f t="shared" si="85"/>
        <v>0</v>
      </c>
      <c r="GZ56" s="988">
        <f t="shared" si="85"/>
        <v>0</v>
      </c>
      <c r="HB56" s="386"/>
      <c r="HC56" s="386"/>
      <c r="HD56" s="386"/>
      <c r="HE56" s="386"/>
      <c r="HF56" s="386"/>
      <c r="HG56" s="386"/>
      <c r="HH56" s="386"/>
      <c r="HI56" s="386"/>
      <c r="HJ56" s="386"/>
      <c r="HK56" s="386"/>
      <c r="HL56" s="386"/>
      <c r="HM56" s="987"/>
    </row>
    <row r="57" spans="1:221">
      <c r="A57" s="326" t="s">
        <v>1577</v>
      </c>
      <c r="B57" s="326" t="s">
        <v>1657</v>
      </c>
      <c r="C57" s="326" t="s">
        <v>2151</v>
      </c>
      <c r="D57" s="1036">
        <v>549</v>
      </c>
      <c r="E57" s="387">
        <v>547</v>
      </c>
      <c r="F57" s="387">
        <v>525</v>
      </c>
      <c r="G57" s="387">
        <v>571</v>
      </c>
      <c r="H57" s="387">
        <v>590</v>
      </c>
      <c r="I57" s="387">
        <v>602</v>
      </c>
      <c r="J57" s="387">
        <v>546</v>
      </c>
      <c r="K57" s="387">
        <v>559</v>
      </c>
      <c r="L57" s="387">
        <v>528</v>
      </c>
      <c r="M57" s="387">
        <v>479</v>
      </c>
      <c r="N57" s="387">
        <v>547</v>
      </c>
      <c r="O57" s="988">
        <v>508</v>
      </c>
      <c r="P57" s="387" t="s">
        <v>2154</v>
      </c>
      <c r="Q57" s="387" t="s">
        <v>2154</v>
      </c>
      <c r="R57" s="387" t="s">
        <v>2154</v>
      </c>
      <c r="S57" s="387" t="s">
        <v>2154</v>
      </c>
      <c r="T57" s="387" t="s">
        <v>2154</v>
      </c>
      <c r="U57" s="387" t="s">
        <v>2154</v>
      </c>
      <c r="V57" s="387" t="s">
        <v>2154</v>
      </c>
      <c r="W57" s="387" t="s">
        <v>2154</v>
      </c>
      <c r="X57" s="387" t="s">
        <v>2154</v>
      </c>
      <c r="Y57" s="387" t="s">
        <v>2154</v>
      </c>
      <c r="Z57" s="387" t="s">
        <v>2154</v>
      </c>
      <c r="AA57" s="988" t="s">
        <v>2154</v>
      </c>
      <c r="AB57" s="386"/>
      <c r="AC57" s="386"/>
      <c r="AD57" s="386"/>
      <c r="AE57" s="386"/>
      <c r="AF57" s="386"/>
      <c r="AG57" s="386"/>
      <c r="AH57" s="386"/>
      <c r="AI57" s="386"/>
      <c r="AJ57" s="386"/>
      <c r="AK57" s="386"/>
      <c r="AL57" s="386"/>
      <c r="AM57" s="987"/>
      <c r="AN57" s="386"/>
      <c r="AO57" s="386"/>
      <c r="AP57" s="386"/>
      <c r="AQ57" s="386"/>
      <c r="AR57" s="386"/>
      <c r="AS57" s="386"/>
      <c r="AT57" s="386"/>
      <c r="AU57" s="386"/>
      <c r="AV57" s="386"/>
      <c r="AW57" s="386"/>
      <c r="AX57" s="386"/>
      <c r="AY57" s="987"/>
      <c r="AZ57" s="386"/>
      <c r="BA57" s="386"/>
      <c r="BB57" s="386"/>
      <c r="BC57" s="386"/>
      <c r="BD57" s="386"/>
      <c r="BE57" s="386"/>
      <c r="BF57" s="386"/>
      <c r="BG57" s="386"/>
      <c r="BH57" s="386"/>
      <c r="BI57" s="386"/>
      <c r="BJ57" s="386"/>
      <c r="BK57" s="987"/>
      <c r="BL57" s="386"/>
      <c r="BM57" s="386"/>
      <c r="BN57" s="386"/>
      <c r="BO57" s="386"/>
      <c r="BP57" s="386"/>
      <c r="BQ57" s="386"/>
      <c r="BR57" s="387"/>
      <c r="BS57" s="387"/>
      <c r="BT57" s="387"/>
      <c r="BU57" s="387"/>
      <c r="BV57" s="387"/>
      <c r="BW57" s="988"/>
      <c r="BX57" s="387"/>
      <c r="BY57" s="387"/>
      <c r="BZ57" s="387"/>
      <c r="CA57" s="387"/>
      <c r="CB57" s="387"/>
      <c r="CC57" s="387"/>
      <c r="CD57" s="387"/>
      <c r="CE57" s="387"/>
      <c r="CF57" s="387"/>
      <c r="CG57" s="387"/>
      <c r="CH57" s="387"/>
      <c r="CI57" s="988"/>
      <c r="CJ57" s="387"/>
      <c r="CK57" s="387"/>
      <c r="CL57" s="387"/>
      <c r="CM57" s="387"/>
      <c r="CN57" s="387"/>
      <c r="CO57" s="387"/>
      <c r="CP57" s="387"/>
      <c r="CQ57" s="387"/>
      <c r="CR57" s="387"/>
      <c r="CS57" s="387"/>
      <c r="CT57" s="387"/>
      <c r="CU57" s="988"/>
      <c r="CV57" s="387"/>
      <c r="CW57" s="387"/>
      <c r="CX57" s="387"/>
      <c r="CY57" s="387"/>
      <c r="CZ57" s="387"/>
      <c r="DA57" s="387"/>
      <c r="DB57" s="387"/>
      <c r="DC57" s="387"/>
      <c r="DD57" s="387"/>
      <c r="DE57" s="387"/>
      <c r="DF57" s="387"/>
      <c r="DG57" s="988"/>
      <c r="DH57" s="387"/>
      <c r="DI57" s="387"/>
      <c r="DJ57" s="387"/>
      <c r="DK57" s="387"/>
      <c r="DL57" s="387"/>
      <c r="DM57" s="387"/>
      <c r="DN57" s="387"/>
      <c r="DO57" s="387"/>
      <c r="DP57" s="387"/>
      <c r="DQ57" s="387"/>
      <c r="DR57" s="387"/>
      <c r="DS57" s="988"/>
      <c r="DT57" s="387" t="s">
        <v>2154</v>
      </c>
      <c r="DU57" s="387" t="s">
        <v>2154</v>
      </c>
      <c r="DV57" s="387" t="s">
        <v>2154</v>
      </c>
      <c r="DW57" s="387" t="s">
        <v>2154</v>
      </c>
      <c r="DX57" s="387" t="s">
        <v>2154</v>
      </c>
      <c r="DY57" s="387" t="s">
        <v>2154</v>
      </c>
      <c r="DZ57" s="387" t="s">
        <v>2154</v>
      </c>
      <c r="EA57" s="387" t="s">
        <v>2154</v>
      </c>
      <c r="EB57" s="387" t="s">
        <v>2154</v>
      </c>
      <c r="EC57" s="387" t="s">
        <v>2154</v>
      </c>
      <c r="ED57" s="387" t="s">
        <v>2154</v>
      </c>
      <c r="EE57" s="988" t="s">
        <v>2154</v>
      </c>
      <c r="EF57" s="387"/>
      <c r="EG57" s="387"/>
      <c r="EH57" s="387"/>
      <c r="EI57" s="387"/>
      <c r="EJ57" s="387"/>
      <c r="EK57" s="387"/>
      <c r="EL57" s="387"/>
      <c r="EM57" s="387"/>
      <c r="EN57" s="387"/>
      <c r="EO57" s="387"/>
      <c r="EP57" s="387"/>
      <c r="EQ57" s="988"/>
      <c r="ER57" s="387"/>
      <c r="ES57" s="387"/>
      <c r="ET57" s="387"/>
      <c r="EU57" s="387"/>
      <c r="EV57" s="387"/>
      <c r="EW57" s="387"/>
      <c r="EX57" s="387"/>
      <c r="EY57" s="387"/>
      <c r="EZ57" s="387"/>
      <c r="FA57" s="387"/>
      <c r="FB57" s="387"/>
      <c r="FC57" s="988"/>
      <c r="FD57" s="387"/>
      <c r="FE57" s="387"/>
      <c r="FF57" s="387"/>
      <c r="FG57" s="387"/>
      <c r="FH57" s="387"/>
      <c r="FI57" s="387"/>
      <c r="FJ57" s="387"/>
      <c r="FK57" s="387"/>
      <c r="FL57" s="387"/>
      <c r="FM57" s="387"/>
      <c r="FN57" s="387"/>
      <c r="FO57" s="988"/>
      <c r="FP57" s="387"/>
      <c r="FQ57" s="387"/>
      <c r="FR57" s="387"/>
      <c r="FS57" s="387"/>
      <c r="FT57" s="387"/>
      <c r="FU57" s="387"/>
      <c r="FV57" s="387"/>
      <c r="FW57" s="387"/>
      <c r="FX57" s="387"/>
      <c r="FY57" s="387"/>
      <c r="FZ57" s="387"/>
      <c r="GA57" s="988"/>
      <c r="GB57" s="109"/>
      <c r="GC57" s="2217">
        <f t="shared" si="86"/>
        <v>549</v>
      </c>
      <c r="GD57" s="387">
        <f t="shared" si="86"/>
        <v>547</v>
      </c>
      <c r="GE57" s="387">
        <f t="shared" si="86"/>
        <v>525</v>
      </c>
      <c r="GF57" s="387">
        <f t="shared" si="86"/>
        <v>571</v>
      </c>
      <c r="GG57" s="387">
        <f t="shared" si="86"/>
        <v>590</v>
      </c>
      <c r="GH57" s="387">
        <f t="shared" si="86"/>
        <v>602</v>
      </c>
      <c r="GI57" s="387">
        <f t="shared" si="86"/>
        <v>546</v>
      </c>
      <c r="GJ57" s="387">
        <f t="shared" si="86"/>
        <v>559</v>
      </c>
      <c r="GK57" s="387">
        <f t="shared" si="86"/>
        <v>528</v>
      </c>
      <c r="GL57" s="387">
        <f t="shared" si="86"/>
        <v>479</v>
      </c>
      <c r="GM57" s="387">
        <f t="shared" si="86"/>
        <v>547</v>
      </c>
      <c r="GN57" s="988">
        <f t="shared" si="86"/>
        <v>508</v>
      </c>
      <c r="GO57" s="1036">
        <f t="shared" si="85"/>
        <v>0</v>
      </c>
      <c r="GP57" s="387">
        <f t="shared" si="85"/>
        <v>0</v>
      </c>
      <c r="GQ57" s="387">
        <f t="shared" si="85"/>
        <v>0</v>
      </c>
      <c r="GR57" s="387">
        <f t="shared" si="85"/>
        <v>0</v>
      </c>
      <c r="GS57" s="387">
        <f t="shared" si="85"/>
        <v>0</v>
      </c>
      <c r="GT57" s="387">
        <f t="shared" si="85"/>
        <v>0</v>
      </c>
      <c r="GU57" s="387">
        <f t="shared" si="85"/>
        <v>0</v>
      </c>
      <c r="GV57" s="387">
        <f t="shared" si="85"/>
        <v>0</v>
      </c>
      <c r="GW57" s="387">
        <f t="shared" si="85"/>
        <v>0</v>
      </c>
      <c r="GX57" s="387">
        <f t="shared" si="85"/>
        <v>0</v>
      </c>
      <c r="GY57" s="387">
        <f t="shared" si="85"/>
        <v>0</v>
      </c>
      <c r="GZ57" s="988">
        <f t="shared" si="85"/>
        <v>0</v>
      </c>
      <c r="HB57" s="386"/>
      <c r="HC57" s="386"/>
      <c r="HD57" s="386"/>
      <c r="HE57" s="386"/>
      <c r="HF57" s="386"/>
      <c r="HG57" s="386"/>
      <c r="HH57" s="386"/>
      <c r="HI57" s="386"/>
      <c r="HJ57" s="386"/>
      <c r="HK57" s="386"/>
      <c r="HL57" s="386"/>
      <c r="HM57" s="987"/>
    </row>
    <row r="58" spans="1:221">
      <c r="A58" s="326" t="s">
        <v>1577</v>
      </c>
      <c r="B58" s="326" t="s">
        <v>1579</v>
      </c>
      <c r="C58" s="326" t="s">
        <v>2151</v>
      </c>
      <c r="D58" s="1036">
        <v>14</v>
      </c>
      <c r="E58" s="387">
        <v>13</v>
      </c>
      <c r="F58" s="387">
        <v>8</v>
      </c>
      <c r="G58" s="387">
        <v>12</v>
      </c>
      <c r="H58" s="387">
        <v>17</v>
      </c>
      <c r="I58" s="387">
        <v>27</v>
      </c>
      <c r="J58" s="387">
        <v>34</v>
      </c>
      <c r="K58" s="387">
        <v>29</v>
      </c>
      <c r="L58" s="387">
        <v>26</v>
      </c>
      <c r="M58" s="387">
        <v>26</v>
      </c>
      <c r="N58" s="387">
        <v>27</v>
      </c>
      <c r="O58" s="988">
        <v>27</v>
      </c>
      <c r="P58" s="387" t="s">
        <v>2154</v>
      </c>
      <c r="Q58" s="387" t="s">
        <v>2154</v>
      </c>
      <c r="R58" s="387" t="s">
        <v>2154</v>
      </c>
      <c r="S58" s="387" t="s">
        <v>2154</v>
      </c>
      <c r="T58" s="387" t="s">
        <v>2154</v>
      </c>
      <c r="U58" s="387" t="s">
        <v>2154</v>
      </c>
      <c r="V58" s="387" t="s">
        <v>2154</v>
      </c>
      <c r="W58" s="387" t="s">
        <v>2154</v>
      </c>
      <c r="X58" s="387" t="s">
        <v>2154</v>
      </c>
      <c r="Y58" s="387" t="s">
        <v>2154</v>
      </c>
      <c r="Z58" s="387" t="s">
        <v>2154</v>
      </c>
      <c r="AA58" s="988" t="s">
        <v>2154</v>
      </c>
      <c r="AB58" s="387"/>
      <c r="AC58" s="387"/>
      <c r="AD58" s="387"/>
      <c r="AE58" s="387"/>
      <c r="AF58" s="387"/>
      <c r="AG58" s="387"/>
      <c r="AH58" s="387"/>
      <c r="AI58" s="387"/>
      <c r="AJ58" s="387"/>
      <c r="AK58" s="387"/>
      <c r="AL58" s="387"/>
      <c r="AM58" s="988"/>
      <c r="AN58" s="387"/>
      <c r="AO58" s="387"/>
      <c r="AP58" s="387"/>
      <c r="AQ58" s="387"/>
      <c r="AR58" s="387"/>
      <c r="AS58" s="387"/>
      <c r="AT58" s="387"/>
      <c r="AU58" s="387"/>
      <c r="AV58" s="387"/>
      <c r="AW58" s="387"/>
      <c r="AX58" s="387"/>
      <c r="AY58" s="988"/>
      <c r="AZ58" s="387"/>
      <c r="BA58" s="387"/>
      <c r="BB58" s="387"/>
      <c r="BC58" s="387"/>
      <c r="BD58" s="387"/>
      <c r="BE58" s="387"/>
      <c r="BF58" s="387"/>
      <c r="BG58" s="387"/>
      <c r="BH58" s="387"/>
      <c r="BI58" s="387"/>
      <c r="BJ58" s="387"/>
      <c r="BK58" s="988"/>
      <c r="BL58" s="387"/>
      <c r="BM58" s="387"/>
      <c r="BN58" s="387"/>
      <c r="BO58" s="387"/>
      <c r="BP58" s="387"/>
      <c r="BQ58" s="387"/>
      <c r="BR58" s="387"/>
      <c r="BS58" s="387"/>
      <c r="BT58" s="387"/>
      <c r="BU58" s="387"/>
      <c r="BV58" s="387"/>
      <c r="BW58" s="988"/>
      <c r="BX58" s="387"/>
      <c r="BY58" s="387"/>
      <c r="BZ58" s="387"/>
      <c r="CA58" s="387"/>
      <c r="CB58" s="387"/>
      <c r="CC58" s="387"/>
      <c r="CD58" s="387"/>
      <c r="CE58" s="387"/>
      <c r="CF58" s="387"/>
      <c r="CG58" s="387"/>
      <c r="CH58" s="387"/>
      <c r="CI58" s="988"/>
      <c r="CJ58" s="387"/>
      <c r="CK58" s="387"/>
      <c r="CL58" s="387"/>
      <c r="CM58" s="387"/>
      <c r="CN58" s="387"/>
      <c r="CO58" s="387"/>
      <c r="CP58" s="387"/>
      <c r="CQ58" s="387"/>
      <c r="CR58" s="387"/>
      <c r="CS58" s="387"/>
      <c r="CT58" s="387"/>
      <c r="CU58" s="988"/>
      <c r="CV58" s="387"/>
      <c r="CW58" s="387"/>
      <c r="CX58" s="387"/>
      <c r="CY58" s="387"/>
      <c r="CZ58" s="387"/>
      <c r="DA58" s="387"/>
      <c r="DB58" s="387"/>
      <c r="DC58" s="387"/>
      <c r="DD58" s="387"/>
      <c r="DE58" s="387"/>
      <c r="DF58" s="387"/>
      <c r="DG58" s="988"/>
      <c r="DH58" s="387"/>
      <c r="DI58" s="387"/>
      <c r="DJ58" s="387"/>
      <c r="DK58" s="387"/>
      <c r="DL58" s="387"/>
      <c r="DM58" s="387"/>
      <c r="DN58" s="387"/>
      <c r="DO58" s="387"/>
      <c r="DP58" s="387"/>
      <c r="DQ58" s="387"/>
      <c r="DR58" s="387"/>
      <c r="DS58" s="988"/>
      <c r="DT58" s="387" t="s">
        <v>2154</v>
      </c>
      <c r="DU58" s="387" t="s">
        <v>2154</v>
      </c>
      <c r="DV58" s="387" t="s">
        <v>2154</v>
      </c>
      <c r="DW58" s="387" t="s">
        <v>2154</v>
      </c>
      <c r="DX58" s="387" t="s">
        <v>2154</v>
      </c>
      <c r="DY58" s="387" t="s">
        <v>2154</v>
      </c>
      <c r="DZ58" s="387" t="s">
        <v>2154</v>
      </c>
      <c r="EA58" s="387" t="s">
        <v>2154</v>
      </c>
      <c r="EB58" s="387" t="s">
        <v>2154</v>
      </c>
      <c r="EC58" s="387" t="s">
        <v>2154</v>
      </c>
      <c r="ED58" s="387" t="s">
        <v>2154</v>
      </c>
      <c r="EE58" s="988" t="s">
        <v>2154</v>
      </c>
      <c r="EF58" s="387"/>
      <c r="EG58" s="387"/>
      <c r="EH58" s="387"/>
      <c r="EI58" s="387"/>
      <c r="EJ58" s="387"/>
      <c r="EK58" s="387"/>
      <c r="EL58" s="387"/>
      <c r="EM58" s="387"/>
      <c r="EN58" s="387"/>
      <c r="EO58" s="387"/>
      <c r="EP58" s="387"/>
      <c r="EQ58" s="988"/>
      <c r="ER58" s="387"/>
      <c r="ES58" s="387"/>
      <c r="ET58" s="387"/>
      <c r="EU58" s="387"/>
      <c r="EV58" s="387"/>
      <c r="EW58" s="387"/>
      <c r="EX58" s="387"/>
      <c r="EY58" s="387"/>
      <c r="EZ58" s="387"/>
      <c r="FA58" s="387"/>
      <c r="FB58" s="387"/>
      <c r="FC58" s="988"/>
      <c r="FD58" s="387"/>
      <c r="FE58" s="387"/>
      <c r="FF58" s="387"/>
      <c r="FG58" s="387"/>
      <c r="FH58" s="387"/>
      <c r="FI58" s="387"/>
      <c r="FJ58" s="387"/>
      <c r="FK58" s="387"/>
      <c r="FL58" s="387"/>
      <c r="FM58" s="387"/>
      <c r="FN58" s="387"/>
      <c r="FO58" s="988"/>
      <c r="FP58" s="387"/>
      <c r="FQ58" s="387"/>
      <c r="FR58" s="387"/>
      <c r="FS58" s="387"/>
      <c r="FT58" s="387"/>
      <c r="FU58" s="387"/>
      <c r="FV58" s="387"/>
      <c r="FW58" s="387"/>
      <c r="FX58" s="387"/>
      <c r="FY58" s="387"/>
      <c r="FZ58" s="387"/>
      <c r="GA58" s="988"/>
      <c r="GB58" s="109"/>
      <c r="GC58" s="2217">
        <f t="shared" si="86"/>
        <v>14</v>
      </c>
      <c r="GD58" s="387">
        <f t="shared" si="86"/>
        <v>13</v>
      </c>
      <c r="GE58" s="387">
        <f t="shared" si="86"/>
        <v>8</v>
      </c>
      <c r="GF58" s="387">
        <f t="shared" si="86"/>
        <v>12</v>
      </c>
      <c r="GG58" s="387">
        <f t="shared" si="86"/>
        <v>17</v>
      </c>
      <c r="GH58" s="387">
        <f t="shared" si="86"/>
        <v>27</v>
      </c>
      <c r="GI58" s="387">
        <f t="shared" si="86"/>
        <v>34</v>
      </c>
      <c r="GJ58" s="387">
        <f t="shared" si="86"/>
        <v>29</v>
      </c>
      <c r="GK58" s="387">
        <f t="shared" si="86"/>
        <v>26</v>
      </c>
      <c r="GL58" s="387">
        <f t="shared" si="86"/>
        <v>26</v>
      </c>
      <c r="GM58" s="387">
        <f t="shared" si="86"/>
        <v>27</v>
      </c>
      <c r="GN58" s="988">
        <f t="shared" si="86"/>
        <v>27</v>
      </c>
      <c r="GO58" s="1036">
        <f t="shared" si="85"/>
        <v>0</v>
      </c>
      <c r="GP58" s="387">
        <f t="shared" si="85"/>
        <v>0</v>
      </c>
      <c r="GQ58" s="387">
        <f t="shared" si="85"/>
        <v>0</v>
      </c>
      <c r="GR58" s="387">
        <f t="shared" si="85"/>
        <v>0</v>
      </c>
      <c r="GS58" s="387">
        <f t="shared" si="85"/>
        <v>0</v>
      </c>
      <c r="GT58" s="387">
        <f t="shared" si="85"/>
        <v>0</v>
      </c>
      <c r="GU58" s="387">
        <f t="shared" si="85"/>
        <v>0</v>
      </c>
      <c r="GV58" s="387">
        <f t="shared" si="85"/>
        <v>0</v>
      </c>
      <c r="GW58" s="387">
        <f t="shared" si="85"/>
        <v>0</v>
      </c>
      <c r="GX58" s="387">
        <f t="shared" si="85"/>
        <v>0</v>
      </c>
      <c r="GY58" s="387">
        <f t="shared" si="85"/>
        <v>0</v>
      </c>
      <c r="GZ58" s="988">
        <f t="shared" si="85"/>
        <v>0</v>
      </c>
      <c r="HB58" s="387"/>
      <c r="HC58" s="387"/>
      <c r="HD58" s="387"/>
      <c r="HE58" s="387"/>
      <c r="HF58" s="387"/>
      <c r="HG58" s="387"/>
      <c r="HH58" s="387"/>
      <c r="HI58" s="387"/>
      <c r="HJ58" s="387"/>
      <c r="HK58" s="387"/>
      <c r="HL58" s="387"/>
      <c r="HM58" s="988"/>
    </row>
    <row r="59" spans="1:221">
      <c r="A59" s="326" t="s">
        <v>1577</v>
      </c>
      <c r="B59" s="326" t="s">
        <v>1657</v>
      </c>
      <c r="C59" s="326" t="s">
        <v>1580</v>
      </c>
      <c r="D59" s="1036">
        <v>110420.22</v>
      </c>
      <c r="E59" s="387">
        <v>113709.05</v>
      </c>
      <c r="F59" s="387">
        <v>109738.09</v>
      </c>
      <c r="G59" s="387">
        <v>120899.40999999997</v>
      </c>
      <c r="H59" s="387">
        <v>117783.48000000001</v>
      </c>
      <c r="I59" s="387">
        <v>123398.83</v>
      </c>
      <c r="J59" s="387">
        <v>106344.61000000002</v>
      </c>
      <c r="K59" s="387">
        <v>113046.54</v>
      </c>
      <c r="L59" s="387">
        <v>103013.97</v>
      </c>
      <c r="M59" s="387">
        <v>98925.319999999992</v>
      </c>
      <c r="N59" s="387">
        <v>117765.49999999999</v>
      </c>
      <c r="O59" s="988">
        <v>107281.62999999998</v>
      </c>
      <c r="P59" s="387" t="s">
        <v>2154</v>
      </c>
      <c r="Q59" s="387" t="s">
        <v>2154</v>
      </c>
      <c r="R59" s="387" t="s">
        <v>2154</v>
      </c>
      <c r="S59" s="387" t="s">
        <v>2154</v>
      </c>
      <c r="T59" s="387" t="s">
        <v>2154</v>
      </c>
      <c r="U59" s="387" t="s">
        <v>2154</v>
      </c>
      <c r="V59" s="387" t="s">
        <v>2154</v>
      </c>
      <c r="W59" s="387" t="s">
        <v>2154</v>
      </c>
      <c r="X59" s="387" t="s">
        <v>2154</v>
      </c>
      <c r="Y59" s="387" t="s">
        <v>2154</v>
      </c>
      <c r="Z59" s="387" t="s">
        <v>2154</v>
      </c>
      <c r="AA59" s="988" t="s">
        <v>2154</v>
      </c>
      <c r="AB59" s="387"/>
      <c r="AC59" s="387"/>
      <c r="AD59" s="387"/>
      <c r="AE59" s="387"/>
      <c r="AF59" s="386"/>
      <c r="AG59" s="386"/>
      <c r="AH59" s="386"/>
      <c r="AI59" s="386"/>
      <c r="AJ59" s="386"/>
      <c r="AK59" s="387"/>
      <c r="AL59" s="387"/>
      <c r="AM59" s="988"/>
      <c r="AN59" s="387"/>
      <c r="AO59" s="387"/>
      <c r="AP59" s="387"/>
      <c r="AQ59" s="387"/>
      <c r="AR59" s="386"/>
      <c r="AS59" s="386"/>
      <c r="AT59" s="386"/>
      <c r="AU59" s="386"/>
      <c r="AV59" s="386"/>
      <c r="AW59" s="387"/>
      <c r="AX59" s="387"/>
      <c r="AY59" s="988"/>
      <c r="AZ59" s="387"/>
      <c r="BA59" s="387"/>
      <c r="BB59" s="387"/>
      <c r="BC59" s="387"/>
      <c r="BD59" s="386"/>
      <c r="BE59" s="386"/>
      <c r="BF59" s="386"/>
      <c r="BG59" s="386"/>
      <c r="BH59" s="386"/>
      <c r="BI59" s="387"/>
      <c r="BJ59" s="387"/>
      <c r="BK59" s="988"/>
      <c r="BL59" s="387"/>
      <c r="BM59" s="387"/>
      <c r="BN59" s="387"/>
      <c r="BO59" s="387"/>
      <c r="BP59" s="386"/>
      <c r="BQ59" s="386"/>
      <c r="BR59" s="387"/>
      <c r="BS59" s="386"/>
      <c r="BT59" s="386"/>
      <c r="BU59" s="387"/>
      <c r="BV59" s="387"/>
      <c r="BW59" s="988"/>
      <c r="BX59" s="387"/>
      <c r="BY59" s="387"/>
      <c r="BZ59" s="387"/>
      <c r="CA59" s="387"/>
      <c r="CB59" s="386"/>
      <c r="CC59" s="386"/>
      <c r="CD59" s="387"/>
      <c r="CE59" s="386"/>
      <c r="CF59" s="386"/>
      <c r="CG59" s="387"/>
      <c r="CH59" s="387"/>
      <c r="CI59" s="988"/>
      <c r="CJ59" s="387"/>
      <c r="CK59" s="387"/>
      <c r="CL59" s="387"/>
      <c r="CM59" s="387"/>
      <c r="CN59" s="386"/>
      <c r="CO59" s="386"/>
      <c r="CP59" s="387"/>
      <c r="CQ59" s="386"/>
      <c r="CR59" s="386"/>
      <c r="CS59" s="387"/>
      <c r="CT59" s="387"/>
      <c r="CU59" s="988"/>
      <c r="CV59" s="387"/>
      <c r="CW59" s="387"/>
      <c r="CX59" s="387"/>
      <c r="CY59" s="387"/>
      <c r="CZ59" s="386"/>
      <c r="DA59" s="386"/>
      <c r="DB59" s="387"/>
      <c r="DC59" s="386"/>
      <c r="DD59" s="386"/>
      <c r="DE59" s="387"/>
      <c r="DF59" s="387"/>
      <c r="DG59" s="988"/>
      <c r="DH59" s="387"/>
      <c r="DI59" s="387"/>
      <c r="DJ59" s="387"/>
      <c r="DK59" s="387"/>
      <c r="DL59" s="386"/>
      <c r="DM59" s="386"/>
      <c r="DN59" s="387"/>
      <c r="DO59" s="386"/>
      <c r="DP59" s="386"/>
      <c r="DQ59" s="387"/>
      <c r="DR59" s="387"/>
      <c r="DS59" s="988"/>
      <c r="DT59" s="387" t="s">
        <v>2154</v>
      </c>
      <c r="DU59" s="387" t="s">
        <v>2154</v>
      </c>
      <c r="DV59" s="387" t="s">
        <v>2154</v>
      </c>
      <c r="DW59" s="387" t="s">
        <v>2154</v>
      </c>
      <c r="DX59" s="387" t="s">
        <v>2154</v>
      </c>
      <c r="DY59" s="387" t="s">
        <v>2154</v>
      </c>
      <c r="DZ59" s="387" t="s">
        <v>2154</v>
      </c>
      <c r="EA59" s="387" t="s">
        <v>2154</v>
      </c>
      <c r="EB59" s="387" t="s">
        <v>2154</v>
      </c>
      <c r="EC59" s="387" t="s">
        <v>2154</v>
      </c>
      <c r="ED59" s="387" t="s">
        <v>2154</v>
      </c>
      <c r="EE59" s="988" t="s">
        <v>2154</v>
      </c>
      <c r="EF59" s="387"/>
      <c r="EG59" s="387"/>
      <c r="EH59" s="387"/>
      <c r="EI59" s="387"/>
      <c r="EJ59" s="387"/>
      <c r="EK59" s="387"/>
      <c r="EL59" s="387"/>
      <c r="EM59" s="387"/>
      <c r="EN59" s="387"/>
      <c r="EO59" s="387"/>
      <c r="EP59" s="387"/>
      <c r="EQ59" s="988"/>
      <c r="ER59" s="387"/>
      <c r="ES59" s="387"/>
      <c r="ET59" s="387"/>
      <c r="EU59" s="387"/>
      <c r="EV59" s="386"/>
      <c r="EW59" s="386"/>
      <c r="EX59" s="387"/>
      <c r="EY59" s="386"/>
      <c r="EZ59" s="386"/>
      <c r="FA59" s="387"/>
      <c r="FB59" s="387"/>
      <c r="FC59" s="988"/>
      <c r="FD59" s="387"/>
      <c r="FE59" s="387"/>
      <c r="FF59" s="387"/>
      <c r="FG59" s="387"/>
      <c r="FH59" s="386"/>
      <c r="FI59" s="386"/>
      <c r="FJ59" s="387"/>
      <c r="FK59" s="386"/>
      <c r="FL59" s="386"/>
      <c r="FM59" s="387"/>
      <c r="FN59" s="387"/>
      <c r="FO59" s="988"/>
      <c r="FP59" s="387"/>
      <c r="FQ59" s="387"/>
      <c r="FR59" s="387"/>
      <c r="FS59" s="387"/>
      <c r="FT59" s="386"/>
      <c r="FU59" s="386"/>
      <c r="FV59" s="387"/>
      <c r="FW59" s="386"/>
      <c r="FX59" s="386"/>
      <c r="FY59" s="387"/>
      <c r="FZ59" s="387"/>
      <c r="GA59" s="988"/>
      <c r="GB59" s="109"/>
      <c r="GC59" s="1435">
        <f t="shared" ref="GC59:GN60" si="87">SUMPRODUCT(--($D$6:$GA$6=GC$6),$D59:$GA59,$D$278:$GA$278)</f>
        <v>110420.22</v>
      </c>
      <c r="GD59" s="387">
        <f t="shared" si="87"/>
        <v>113709.05</v>
      </c>
      <c r="GE59" s="387">
        <f t="shared" si="87"/>
        <v>109738.09</v>
      </c>
      <c r="GF59" s="387">
        <f t="shared" si="87"/>
        <v>120899.40999999997</v>
      </c>
      <c r="GG59" s="387">
        <f t="shared" si="87"/>
        <v>117783.48000000001</v>
      </c>
      <c r="GH59" s="387">
        <f t="shared" si="87"/>
        <v>123398.83</v>
      </c>
      <c r="GI59" s="387">
        <f t="shared" si="87"/>
        <v>106344.61000000002</v>
      </c>
      <c r="GJ59" s="387">
        <f t="shared" si="87"/>
        <v>113046.54</v>
      </c>
      <c r="GK59" s="387">
        <f t="shared" si="87"/>
        <v>103013.97</v>
      </c>
      <c r="GL59" s="387">
        <f t="shared" si="87"/>
        <v>98925.319999999992</v>
      </c>
      <c r="GM59" s="387">
        <f t="shared" si="87"/>
        <v>117765.49999999999</v>
      </c>
      <c r="GN59" s="988">
        <f t="shared" si="87"/>
        <v>107281.62999999998</v>
      </c>
      <c r="GO59" s="1036">
        <f t="shared" si="85"/>
        <v>0</v>
      </c>
      <c r="GP59" s="387">
        <f t="shared" si="85"/>
        <v>0</v>
      </c>
      <c r="GQ59" s="387">
        <f t="shared" si="85"/>
        <v>0</v>
      </c>
      <c r="GR59" s="387">
        <f t="shared" si="85"/>
        <v>0</v>
      </c>
      <c r="GS59" s="387">
        <f t="shared" si="85"/>
        <v>0</v>
      </c>
      <c r="GT59" s="387">
        <f t="shared" si="85"/>
        <v>0</v>
      </c>
      <c r="GU59" s="387">
        <f t="shared" si="85"/>
        <v>0</v>
      </c>
      <c r="GV59" s="387">
        <f t="shared" si="85"/>
        <v>0</v>
      </c>
      <c r="GW59" s="387">
        <f t="shared" si="85"/>
        <v>0</v>
      </c>
      <c r="GX59" s="387">
        <f t="shared" si="85"/>
        <v>0</v>
      </c>
      <c r="GY59" s="387">
        <f t="shared" si="85"/>
        <v>0</v>
      </c>
      <c r="GZ59" s="988">
        <f t="shared" si="85"/>
        <v>0</v>
      </c>
      <c r="HB59" s="387"/>
      <c r="HC59" s="387"/>
      <c r="HD59" s="387"/>
      <c r="HE59" s="387"/>
      <c r="HF59" s="386"/>
      <c r="HG59" s="386"/>
      <c r="HH59" s="386"/>
      <c r="HI59" s="386"/>
      <c r="HJ59" s="386"/>
      <c r="HK59" s="387"/>
      <c r="HL59" s="387"/>
      <c r="HM59" s="988"/>
    </row>
    <row r="60" spans="1:221">
      <c r="A60" s="326" t="s">
        <v>1577</v>
      </c>
      <c r="B60" s="326" t="s">
        <v>1578</v>
      </c>
      <c r="C60" s="326" t="s">
        <v>1580</v>
      </c>
      <c r="D60" s="1036">
        <v>150853.73000000001</v>
      </c>
      <c r="E60" s="387">
        <v>152671.56999999998</v>
      </c>
      <c r="F60" s="387">
        <v>147685.84</v>
      </c>
      <c r="G60" s="387">
        <v>158270.60999999999</v>
      </c>
      <c r="H60" s="387">
        <v>157589.32</v>
      </c>
      <c r="I60" s="387">
        <v>183395.47999999998</v>
      </c>
      <c r="J60" s="387">
        <v>138235.56</v>
      </c>
      <c r="K60" s="387">
        <v>147910.03</v>
      </c>
      <c r="L60" s="387">
        <v>140380.75999999998</v>
      </c>
      <c r="M60" s="387">
        <v>134862.07</v>
      </c>
      <c r="N60" s="387">
        <v>152633.36999999997</v>
      </c>
      <c r="O60" s="988">
        <v>137813.94</v>
      </c>
      <c r="P60" s="387" t="s">
        <v>2154</v>
      </c>
      <c r="Q60" s="387" t="s">
        <v>2154</v>
      </c>
      <c r="R60" s="387" t="s">
        <v>2154</v>
      </c>
      <c r="S60" s="387" t="s">
        <v>2154</v>
      </c>
      <c r="T60" s="387" t="s">
        <v>2154</v>
      </c>
      <c r="U60" s="387" t="s">
        <v>2154</v>
      </c>
      <c r="V60" s="387" t="s">
        <v>2154</v>
      </c>
      <c r="W60" s="387" t="s">
        <v>2154</v>
      </c>
      <c r="X60" s="387" t="s">
        <v>2154</v>
      </c>
      <c r="Y60" s="387" t="s">
        <v>2154</v>
      </c>
      <c r="Z60" s="387" t="s">
        <v>2154</v>
      </c>
      <c r="AA60" s="988" t="s">
        <v>2154</v>
      </c>
      <c r="AB60" s="387"/>
      <c r="AC60" s="387"/>
      <c r="AD60" s="387"/>
      <c r="AE60" s="387"/>
      <c r="AF60" s="386"/>
      <c r="AG60" s="386"/>
      <c r="AH60" s="386"/>
      <c r="AI60" s="386"/>
      <c r="AJ60" s="386"/>
      <c r="AK60" s="387"/>
      <c r="AL60" s="387"/>
      <c r="AM60" s="988"/>
      <c r="AN60" s="387"/>
      <c r="AO60" s="387"/>
      <c r="AP60" s="387"/>
      <c r="AQ60" s="387"/>
      <c r="AR60" s="386"/>
      <c r="AS60" s="386"/>
      <c r="AT60" s="386"/>
      <c r="AU60" s="386"/>
      <c r="AV60" s="386"/>
      <c r="AW60" s="387"/>
      <c r="AX60" s="387"/>
      <c r="AY60" s="988"/>
      <c r="AZ60" s="387"/>
      <c r="BA60" s="387"/>
      <c r="BB60" s="387"/>
      <c r="BC60" s="387"/>
      <c r="BD60" s="386"/>
      <c r="BE60" s="386"/>
      <c r="BF60" s="386"/>
      <c r="BG60" s="386"/>
      <c r="BH60" s="386"/>
      <c r="BI60" s="387"/>
      <c r="BJ60" s="387"/>
      <c r="BK60" s="988"/>
      <c r="BL60" s="387"/>
      <c r="BM60" s="387"/>
      <c r="BN60" s="387"/>
      <c r="BO60" s="387"/>
      <c r="BP60" s="386"/>
      <c r="BQ60" s="386"/>
      <c r="BR60" s="387"/>
      <c r="BS60" s="386"/>
      <c r="BT60" s="386"/>
      <c r="BU60" s="387"/>
      <c r="BV60" s="387"/>
      <c r="BW60" s="988"/>
      <c r="BX60" s="387"/>
      <c r="BY60" s="387"/>
      <c r="BZ60" s="387"/>
      <c r="CA60" s="387"/>
      <c r="CB60" s="386"/>
      <c r="CC60" s="386"/>
      <c r="CD60" s="387"/>
      <c r="CE60" s="386"/>
      <c r="CF60" s="386"/>
      <c r="CG60" s="387"/>
      <c r="CH60" s="387"/>
      <c r="CI60" s="988"/>
      <c r="CJ60" s="387"/>
      <c r="CK60" s="387"/>
      <c r="CL60" s="387"/>
      <c r="CM60" s="387"/>
      <c r="CN60" s="386"/>
      <c r="CO60" s="386"/>
      <c r="CP60" s="387"/>
      <c r="CQ60" s="386"/>
      <c r="CR60" s="386"/>
      <c r="CS60" s="387"/>
      <c r="CT60" s="387"/>
      <c r="CU60" s="988"/>
      <c r="CV60" s="387"/>
      <c r="CW60" s="387"/>
      <c r="CX60" s="387"/>
      <c r="CY60" s="387"/>
      <c r="CZ60" s="386"/>
      <c r="DA60" s="386"/>
      <c r="DB60" s="387"/>
      <c r="DC60" s="386"/>
      <c r="DD60" s="386"/>
      <c r="DE60" s="387"/>
      <c r="DF60" s="387"/>
      <c r="DG60" s="988"/>
      <c r="DH60" s="387"/>
      <c r="DI60" s="387"/>
      <c r="DJ60" s="387"/>
      <c r="DK60" s="387"/>
      <c r="DL60" s="386"/>
      <c r="DM60" s="386"/>
      <c r="DN60" s="387"/>
      <c r="DO60" s="386"/>
      <c r="DP60" s="386"/>
      <c r="DQ60" s="387"/>
      <c r="DR60" s="387"/>
      <c r="DS60" s="988"/>
      <c r="DT60" s="387" t="s">
        <v>2154</v>
      </c>
      <c r="DU60" s="387" t="s">
        <v>2154</v>
      </c>
      <c r="DV60" s="387" t="s">
        <v>2154</v>
      </c>
      <c r="DW60" s="387" t="s">
        <v>2154</v>
      </c>
      <c r="DX60" s="387" t="s">
        <v>2154</v>
      </c>
      <c r="DY60" s="387" t="s">
        <v>2154</v>
      </c>
      <c r="DZ60" s="387" t="s">
        <v>2154</v>
      </c>
      <c r="EA60" s="387" t="s">
        <v>2154</v>
      </c>
      <c r="EB60" s="387" t="s">
        <v>2154</v>
      </c>
      <c r="EC60" s="387" t="s">
        <v>2154</v>
      </c>
      <c r="ED60" s="387" t="s">
        <v>2154</v>
      </c>
      <c r="EE60" s="988" t="s">
        <v>2154</v>
      </c>
      <c r="EF60" s="387"/>
      <c r="EG60" s="387"/>
      <c r="EH60" s="387"/>
      <c r="EI60" s="387"/>
      <c r="EJ60" s="387"/>
      <c r="EK60" s="387"/>
      <c r="EL60" s="387"/>
      <c r="EM60" s="387"/>
      <c r="EN60" s="387"/>
      <c r="EO60" s="387"/>
      <c r="EP60" s="387"/>
      <c r="EQ60" s="988"/>
      <c r="ER60" s="387"/>
      <c r="ES60" s="387"/>
      <c r="ET60" s="387"/>
      <c r="EU60" s="387"/>
      <c r="EV60" s="386"/>
      <c r="EW60" s="386"/>
      <c r="EX60" s="387"/>
      <c r="EY60" s="386"/>
      <c r="EZ60" s="386"/>
      <c r="FA60" s="387"/>
      <c r="FB60" s="387"/>
      <c r="FC60" s="988"/>
      <c r="FD60" s="387"/>
      <c r="FE60" s="387"/>
      <c r="FF60" s="387"/>
      <c r="FG60" s="387"/>
      <c r="FH60" s="386"/>
      <c r="FI60" s="386"/>
      <c r="FJ60" s="387"/>
      <c r="FK60" s="386"/>
      <c r="FL60" s="386"/>
      <c r="FM60" s="387"/>
      <c r="FN60" s="387"/>
      <c r="FO60" s="988"/>
      <c r="FP60" s="387"/>
      <c r="FQ60" s="387"/>
      <c r="FR60" s="387"/>
      <c r="FS60" s="387"/>
      <c r="FT60" s="386"/>
      <c r="FU60" s="386"/>
      <c r="FV60" s="387"/>
      <c r="FW60" s="386"/>
      <c r="FX60" s="386"/>
      <c r="FY60" s="387"/>
      <c r="FZ60" s="387"/>
      <c r="GA60" s="988"/>
      <c r="GB60" s="109"/>
      <c r="GC60" s="1435">
        <f t="shared" si="87"/>
        <v>150853.73000000001</v>
      </c>
      <c r="GD60" s="387">
        <f t="shared" si="87"/>
        <v>152671.56999999998</v>
      </c>
      <c r="GE60" s="387">
        <f t="shared" si="87"/>
        <v>147685.84</v>
      </c>
      <c r="GF60" s="387">
        <f t="shared" si="87"/>
        <v>158270.60999999999</v>
      </c>
      <c r="GG60" s="387">
        <f t="shared" si="87"/>
        <v>157589.32</v>
      </c>
      <c r="GH60" s="387">
        <f t="shared" si="87"/>
        <v>183395.47999999998</v>
      </c>
      <c r="GI60" s="387">
        <f t="shared" si="87"/>
        <v>138235.56</v>
      </c>
      <c r="GJ60" s="387">
        <f t="shared" si="87"/>
        <v>147910.03</v>
      </c>
      <c r="GK60" s="387">
        <f t="shared" si="87"/>
        <v>140380.75999999998</v>
      </c>
      <c r="GL60" s="387">
        <f t="shared" si="87"/>
        <v>134862.07</v>
      </c>
      <c r="GM60" s="387">
        <f t="shared" si="87"/>
        <v>152633.36999999997</v>
      </c>
      <c r="GN60" s="988">
        <f t="shared" si="87"/>
        <v>137813.94</v>
      </c>
      <c r="GO60" s="1036">
        <f t="shared" si="85"/>
        <v>0</v>
      </c>
      <c r="GP60" s="387">
        <f t="shared" si="85"/>
        <v>0</v>
      </c>
      <c r="GQ60" s="387">
        <f t="shared" si="85"/>
        <v>0</v>
      </c>
      <c r="GR60" s="387">
        <f t="shared" si="85"/>
        <v>0</v>
      </c>
      <c r="GS60" s="387">
        <f t="shared" si="85"/>
        <v>0</v>
      </c>
      <c r="GT60" s="387">
        <f t="shared" si="85"/>
        <v>0</v>
      </c>
      <c r="GU60" s="387">
        <f t="shared" si="85"/>
        <v>0</v>
      </c>
      <c r="GV60" s="387">
        <f t="shared" si="85"/>
        <v>0</v>
      </c>
      <c r="GW60" s="387">
        <f t="shared" si="85"/>
        <v>0</v>
      </c>
      <c r="GX60" s="387">
        <f t="shared" si="85"/>
        <v>0</v>
      </c>
      <c r="GY60" s="387">
        <f t="shared" si="85"/>
        <v>0</v>
      </c>
      <c r="GZ60" s="988">
        <f t="shared" si="85"/>
        <v>0</v>
      </c>
      <c r="HB60" s="387"/>
      <c r="HC60" s="387"/>
      <c r="HD60" s="387"/>
      <c r="HE60" s="387"/>
      <c r="HF60" s="386"/>
      <c r="HG60" s="386"/>
      <c r="HH60" s="386"/>
      <c r="HI60" s="386"/>
      <c r="HJ60" s="386"/>
      <c r="HK60" s="387"/>
      <c r="HL60" s="387"/>
      <c r="HM60" s="988"/>
    </row>
    <row r="61" spans="1:221">
      <c r="A61" s="326"/>
      <c r="B61" s="326"/>
      <c r="C61" s="326"/>
      <c r="D61" s="1036">
        <f t="shared" ref="D61:AI61" si="88">IF(D56=0,0,(D60-D59)/(D56-D57))</f>
        <v>388.78375000000011</v>
      </c>
      <c r="E61" s="387">
        <f t="shared" si="88"/>
        <v>453.0525581395346</v>
      </c>
      <c r="F61" s="387">
        <f t="shared" si="88"/>
        <v>643.18220338983053</v>
      </c>
      <c r="G61" s="387">
        <f t="shared" si="88"/>
        <v>519.04444444444459</v>
      </c>
      <c r="H61" s="387">
        <f t="shared" si="88"/>
        <v>491.43012345679006</v>
      </c>
      <c r="I61" s="387">
        <f t="shared" si="88"/>
        <v>789.42960526315767</v>
      </c>
      <c r="J61" s="387">
        <f t="shared" si="88"/>
        <v>693.28152173913008</v>
      </c>
      <c r="K61" s="387">
        <f t="shared" si="88"/>
        <v>536.36138461538474</v>
      </c>
      <c r="L61" s="387">
        <f t="shared" si="88"/>
        <v>491.66828947368396</v>
      </c>
      <c r="M61" s="387">
        <f t="shared" si="88"/>
        <v>449.20937500000019</v>
      </c>
      <c r="N61" s="387">
        <f t="shared" si="88"/>
        <v>464.90493333333308</v>
      </c>
      <c r="O61" s="988">
        <f t="shared" si="88"/>
        <v>565.41314814814859</v>
      </c>
      <c r="P61" s="386" t="e">
        <f t="shared" si="88"/>
        <v>#DIV/0!</v>
      </c>
      <c r="Q61" s="386" t="e">
        <f t="shared" si="88"/>
        <v>#DIV/0!</v>
      </c>
      <c r="R61" s="386" t="e">
        <f t="shared" si="88"/>
        <v>#DIV/0!</v>
      </c>
      <c r="S61" s="386" t="e">
        <f t="shared" si="88"/>
        <v>#DIV/0!</v>
      </c>
      <c r="T61" s="386" t="e">
        <f t="shared" si="88"/>
        <v>#DIV/0!</v>
      </c>
      <c r="U61" s="386" t="e">
        <f t="shared" si="88"/>
        <v>#DIV/0!</v>
      </c>
      <c r="V61" s="386" t="e">
        <f t="shared" si="88"/>
        <v>#DIV/0!</v>
      </c>
      <c r="W61" s="386" t="e">
        <f t="shared" si="88"/>
        <v>#DIV/0!</v>
      </c>
      <c r="X61" s="386" t="e">
        <f t="shared" si="88"/>
        <v>#DIV/0!</v>
      </c>
      <c r="Y61" s="386" t="e">
        <f t="shared" si="88"/>
        <v>#DIV/0!</v>
      </c>
      <c r="Z61" s="386" t="e">
        <f t="shared" si="88"/>
        <v>#DIV/0!</v>
      </c>
      <c r="AA61" s="987" t="e">
        <f t="shared" si="88"/>
        <v>#DIV/0!</v>
      </c>
      <c r="AB61" s="386">
        <f t="shared" si="88"/>
        <v>0</v>
      </c>
      <c r="AC61" s="386">
        <f t="shared" si="88"/>
        <v>0</v>
      </c>
      <c r="AD61" s="386">
        <f t="shared" si="88"/>
        <v>0</v>
      </c>
      <c r="AE61" s="386">
        <f t="shared" si="88"/>
        <v>0</v>
      </c>
      <c r="AF61" s="386">
        <f t="shared" si="88"/>
        <v>0</v>
      </c>
      <c r="AG61" s="386">
        <f t="shared" si="88"/>
        <v>0</v>
      </c>
      <c r="AH61" s="386">
        <f t="shared" si="88"/>
        <v>0</v>
      </c>
      <c r="AI61" s="386">
        <f t="shared" si="88"/>
        <v>0</v>
      </c>
      <c r="AJ61" s="386">
        <f t="shared" ref="AJ61:BO61" si="89">IF(AJ56=0,0,(AJ60-AJ59)/(AJ56-AJ57))</f>
        <v>0</v>
      </c>
      <c r="AK61" s="386">
        <f t="shared" si="89"/>
        <v>0</v>
      </c>
      <c r="AL61" s="386">
        <f t="shared" si="89"/>
        <v>0</v>
      </c>
      <c r="AM61" s="987">
        <f t="shared" si="89"/>
        <v>0</v>
      </c>
      <c r="AN61" s="386">
        <f t="shared" si="89"/>
        <v>0</v>
      </c>
      <c r="AO61" s="386">
        <f t="shared" si="89"/>
        <v>0</v>
      </c>
      <c r="AP61" s="386">
        <f t="shared" si="89"/>
        <v>0</v>
      </c>
      <c r="AQ61" s="386">
        <f t="shared" si="89"/>
        <v>0</v>
      </c>
      <c r="AR61" s="386">
        <f t="shared" si="89"/>
        <v>0</v>
      </c>
      <c r="AS61" s="386">
        <f t="shared" si="89"/>
        <v>0</v>
      </c>
      <c r="AT61" s="386">
        <f t="shared" si="89"/>
        <v>0</v>
      </c>
      <c r="AU61" s="386">
        <f t="shared" si="89"/>
        <v>0</v>
      </c>
      <c r="AV61" s="386">
        <f t="shared" si="89"/>
        <v>0</v>
      </c>
      <c r="AW61" s="386">
        <f t="shared" si="89"/>
        <v>0</v>
      </c>
      <c r="AX61" s="386">
        <f t="shared" si="89"/>
        <v>0</v>
      </c>
      <c r="AY61" s="987">
        <f t="shared" si="89"/>
        <v>0</v>
      </c>
      <c r="AZ61" s="386">
        <f t="shared" si="89"/>
        <v>0</v>
      </c>
      <c r="BA61" s="386">
        <f t="shared" si="89"/>
        <v>0</v>
      </c>
      <c r="BB61" s="386">
        <f t="shared" si="89"/>
        <v>0</v>
      </c>
      <c r="BC61" s="386">
        <f t="shared" si="89"/>
        <v>0</v>
      </c>
      <c r="BD61" s="386">
        <f t="shared" si="89"/>
        <v>0</v>
      </c>
      <c r="BE61" s="386">
        <f t="shared" si="89"/>
        <v>0</v>
      </c>
      <c r="BF61" s="386">
        <f t="shared" si="89"/>
        <v>0</v>
      </c>
      <c r="BG61" s="386">
        <f t="shared" si="89"/>
        <v>0</v>
      </c>
      <c r="BH61" s="386">
        <f t="shared" si="89"/>
        <v>0</v>
      </c>
      <c r="BI61" s="386">
        <f t="shared" si="89"/>
        <v>0</v>
      </c>
      <c r="BJ61" s="386">
        <f t="shared" si="89"/>
        <v>0</v>
      </c>
      <c r="BK61" s="987">
        <f t="shared" si="89"/>
        <v>0</v>
      </c>
      <c r="BL61" s="386">
        <f t="shared" si="89"/>
        <v>0</v>
      </c>
      <c r="BM61" s="386">
        <f t="shared" si="89"/>
        <v>0</v>
      </c>
      <c r="BN61" s="386">
        <f t="shared" si="89"/>
        <v>0</v>
      </c>
      <c r="BO61" s="386">
        <f t="shared" si="89"/>
        <v>0</v>
      </c>
      <c r="BP61" s="386">
        <f t="shared" ref="BP61:CU61" si="90">IF(BP56=0,0,(BP60-BP59)/(BP56-BP57))</f>
        <v>0</v>
      </c>
      <c r="BQ61" s="386">
        <f t="shared" si="90"/>
        <v>0</v>
      </c>
      <c r="BR61" s="386">
        <f t="shared" si="90"/>
        <v>0</v>
      </c>
      <c r="BS61" s="386">
        <f t="shared" si="90"/>
        <v>0</v>
      </c>
      <c r="BT61" s="386">
        <f t="shared" si="90"/>
        <v>0</v>
      </c>
      <c r="BU61" s="386">
        <f t="shared" si="90"/>
        <v>0</v>
      </c>
      <c r="BV61" s="386">
        <f t="shared" si="90"/>
        <v>0</v>
      </c>
      <c r="BW61" s="987">
        <f t="shared" si="90"/>
        <v>0</v>
      </c>
      <c r="BX61" s="386">
        <f t="shared" si="90"/>
        <v>0</v>
      </c>
      <c r="BY61" s="386">
        <f t="shared" si="90"/>
        <v>0</v>
      </c>
      <c r="BZ61" s="386">
        <f t="shared" si="90"/>
        <v>0</v>
      </c>
      <c r="CA61" s="386">
        <f t="shared" si="90"/>
        <v>0</v>
      </c>
      <c r="CB61" s="386">
        <f t="shared" si="90"/>
        <v>0</v>
      </c>
      <c r="CC61" s="386">
        <f t="shared" si="90"/>
        <v>0</v>
      </c>
      <c r="CD61" s="386">
        <f t="shared" si="90"/>
        <v>0</v>
      </c>
      <c r="CE61" s="386">
        <f t="shared" si="90"/>
        <v>0</v>
      </c>
      <c r="CF61" s="386">
        <f t="shared" si="90"/>
        <v>0</v>
      </c>
      <c r="CG61" s="386">
        <f t="shared" si="90"/>
        <v>0</v>
      </c>
      <c r="CH61" s="386">
        <f t="shared" si="90"/>
        <v>0</v>
      </c>
      <c r="CI61" s="987">
        <f t="shared" si="90"/>
        <v>0</v>
      </c>
      <c r="CJ61" s="386">
        <f t="shared" si="90"/>
        <v>0</v>
      </c>
      <c r="CK61" s="386">
        <f t="shared" si="90"/>
        <v>0</v>
      </c>
      <c r="CL61" s="386">
        <f t="shared" si="90"/>
        <v>0</v>
      </c>
      <c r="CM61" s="386">
        <f t="shared" si="90"/>
        <v>0</v>
      </c>
      <c r="CN61" s="386">
        <f t="shared" si="90"/>
        <v>0</v>
      </c>
      <c r="CO61" s="386">
        <f t="shared" si="90"/>
        <v>0</v>
      </c>
      <c r="CP61" s="386">
        <f t="shared" si="90"/>
        <v>0</v>
      </c>
      <c r="CQ61" s="386">
        <f t="shared" si="90"/>
        <v>0</v>
      </c>
      <c r="CR61" s="386">
        <f t="shared" si="90"/>
        <v>0</v>
      </c>
      <c r="CS61" s="386">
        <f t="shared" si="90"/>
        <v>0</v>
      </c>
      <c r="CT61" s="386">
        <f t="shared" si="90"/>
        <v>0</v>
      </c>
      <c r="CU61" s="987">
        <f t="shared" si="90"/>
        <v>0</v>
      </c>
      <c r="CV61" s="386">
        <f t="shared" ref="CV61:EA61" si="91">IF(CV56=0,0,(CV60-CV59)/(CV56-CV57))</f>
        <v>0</v>
      </c>
      <c r="CW61" s="386">
        <f t="shared" si="91"/>
        <v>0</v>
      </c>
      <c r="CX61" s="386">
        <f t="shared" si="91"/>
        <v>0</v>
      </c>
      <c r="CY61" s="386">
        <f t="shared" si="91"/>
        <v>0</v>
      </c>
      <c r="CZ61" s="386">
        <f t="shared" si="91"/>
        <v>0</v>
      </c>
      <c r="DA61" s="386">
        <f t="shared" si="91"/>
        <v>0</v>
      </c>
      <c r="DB61" s="386">
        <f t="shared" si="91"/>
        <v>0</v>
      </c>
      <c r="DC61" s="386">
        <f t="shared" si="91"/>
        <v>0</v>
      </c>
      <c r="DD61" s="386">
        <f t="shared" si="91"/>
        <v>0</v>
      </c>
      <c r="DE61" s="386">
        <f t="shared" si="91"/>
        <v>0</v>
      </c>
      <c r="DF61" s="386">
        <f t="shared" si="91"/>
        <v>0</v>
      </c>
      <c r="DG61" s="987">
        <f t="shared" si="91"/>
        <v>0</v>
      </c>
      <c r="DH61" s="386">
        <f t="shared" si="91"/>
        <v>0</v>
      </c>
      <c r="DI61" s="386">
        <f t="shared" si="91"/>
        <v>0</v>
      </c>
      <c r="DJ61" s="386">
        <f t="shared" si="91"/>
        <v>0</v>
      </c>
      <c r="DK61" s="386">
        <f t="shared" si="91"/>
        <v>0</v>
      </c>
      <c r="DL61" s="386">
        <f t="shared" si="91"/>
        <v>0</v>
      </c>
      <c r="DM61" s="386">
        <f t="shared" si="91"/>
        <v>0</v>
      </c>
      <c r="DN61" s="386">
        <f t="shared" si="91"/>
        <v>0</v>
      </c>
      <c r="DO61" s="386">
        <f t="shared" si="91"/>
        <v>0</v>
      </c>
      <c r="DP61" s="386">
        <f t="shared" si="91"/>
        <v>0</v>
      </c>
      <c r="DQ61" s="386">
        <f t="shared" si="91"/>
        <v>0</v>
      </c>
      <c r="DR61" s="386">
        <f t="shared" si="91"/>
        <v>0</v>
      </c>
      <c r="DS61" s="987">
        <f t="shared" si="91"/>
        <v>0</v>
      </c>
      <c r="DT61" s="386" t="e">
        <f t="shared" si="91"/>
        <v>#DIV/0!</v>
      </c>
      <c r="DU61" s="386" t="e">
        <f t="shared" si="91"/>
        <v>#DIV/0!</v>
      </c>
      <c r="DV61" s="386" t="e">
        <f t="shared" si="91"/>
        <v>#DIV/0!</v>
      </c>
      <c r="DW61" s="386" t="e">
        <f t="shared" si="91"/>
        <v>#DIV/0!</v>
      </c>
      <c r="DX61" s="386" t="e">
        <f t="shared" si="91"/>
        <v>#DIV/0!</v>
      </c>
      <c r="DY61" s="386" t="e">
        <f t="shared" si="91"/>
        <v>#DIV/0!</v>
      </c>
      <c r="DZ61" s="386" t="e">
        <f t="shared" si="91"/>
        <v>#DIV/0!</v>
      </c>
      <c r="EA61" s="386" t="e">
        <f t="shared" si="91"/>
        <v>#DIV/0!</v>
      </c>
      <c r="EB61" s="386" t="e">
        <f t="shared" ref="EB61:FG61" si="92">IF(EB56=0,0,(EB60-EB59)/(EB56-EB57))</f>
        <v>#DIV/0!</v>
      </c>
      <c r="EC61" s="386" t="e">
        <f t="shared" si="92"/>
        <v>#DIV/0!</v>
      </c>
      <c r="ED61" s="386" t="e">
        <f t="shared" si="92"/>
        <v>#DIV/0!</v>
      </c>
      <c r="EE61" s="987" t="e">
        <f t="shared" si="92"/>
        <v>#DIV/0!</v>
      </c>
      <c r="EF61" s="386">
        <f t="shared" si="92"/>
        <v>0</v>
      </c>
      <c r="EG61" s="386">
        <f t="shared" si="92"/>
        <v>0</v>
      </c>
      <c r="EH61" s="386">
        <f t="shared" si="92"/>
        <v>0</v>
      </c>
      <c r="EI61" s="386">
        <f t="shared" si="92"/>
        <v>0</v>
      </c>
      <c r="EJ61" s="386">
        <f t="shared" si="92"/>
        <v>0</v>
      </c>
      <c r="EK61" s="386">
        <f t="shared" si="92"/>
        <v>0</v>
      </c>
      <c r="EL61" s="386">
        <f t="shared" si="92"/>
        <v>0</v>
      </c>
      <c r="EM61" s="386">
        <f t="shared" si="92"/>
        <v>0</v>
      </c>
      <c r="EN61" s="386">
        <f t="shared" si="92"/>
        <v>0</v>
      </c>
      <c r="EO61" s="386">
        <f t="shared" si="92"/>
        <v>0</v>
      </c>
      <c r="EP61" s="386">
        <f t="shared" si="92"/>
        <v>0</v>
      </c>
      <c r="EQ61" s="987">
        <f t="shared" si="92"/>
        <v>0</v>
      </c>
      <c r="ER61" s="386">
        <f t="shared" si="92"/>
        <v>0</v>
      </c>
      <c r="ES61" s="386">
        <f t="shared" si="92"/>
        <v>0</v>
      </c>
      <c r="ET61" s="386">
        <f t="shared" si="92"/>
        <v>0</v>
      </c>
      <c r="EU61" s="386">
        <f t="shared" si="92"/>
        <v>0</v>
      </c>
      <c r="EV61" s="386">
        <f t="shared" si="92"/>
        <v>0</v>
      </c>
      <c r="EW61" s="386">
        <f t="shared" si="92"/>
        <v>0</v>
      </c>
      <c r="EX61" s="386">
        <f t="shared" si="92"/>
        <v>0</v>
      </c>
      <c r="EY61" s="386">
        <f t="shared" si="92"/>
        <v>0</v>
      </c>
      <c r="EZ61" s="386">
        <f t="shared" si="92"/>
        <v>0</v>
      </c>
      <c r="FA61" s="386">
        <f t="shared" si="92"/>
        <v>0</v>
      </c>
      <c r="FB61" s="386">
        <f t="shared" si="92"/>
        <v>0</v>
      </c>
      <c r="FC61" s="987">
        <f t="shared" si="92"/>
        <v>0</v>
      </c>
      <c r="FD61" s="386">
        <f t="shared" si="92"/>
        <v>0</v>
      </c>
      <c r="FE61" s="386">
        <f t="shared" si="92"/>
        <v>0</v>
      </c>
      <c r="FF61" s="386">
        <f t="shared" si="92"/>
        <v>0</v>
      </c>
      <c r="FG61" s="386">
        <f t="shared" si="92"/>
        <v>0</v>
      </c>
      <c r="FH61" s="386">
        <f t="shared" ref="FH61:GA61" si="93">IF(FH56=0,0,(FH60-FH59)/(FH56-FH57))</f>
        <v>0</v>
      </c>
      <c r="FI61" s="386">
        <f t="shared" si="93"/>
        <v>0</v>
      </c>
      <c r="FJ61" s="386">
        <f t="shared" si="93"/>
        <v>0</v>
      </c>
      <c r="FK61" s="386">
        <f t="shared" si="93"/>
        <v>0</v>
      </c>
      <c r="FL61" s="386">
        <f t="shared" si="93"/>
        <v>0</v>
      </c>
      <c r="FM61" s="386">
        <f t="shared" si="93"/>
        <v>0</v>
      </c>
      <c r="FN61" s="386">
        <f t="shared" si="93"/>
        <v>0</v>
      </c>
      <c r="FO61" s="987">
        <f t="shared" si="93"/>
        <v>0</v>
      </c>
      <c r="FP61" s="386">
        <f t="shared" si="93"/>
        <v>0</v>
      </c>
      <c r="FQ61" s="386">
        <f t="shared" si="93"/>
        <v>0</v>
      </c>
      <c r="FR61" s="386">
        <f t="shared" si="93"/>
        <v>0</v>
      </c>
      <c r="FS61" s="386">
        <f t="shared" si="93"/>
        <v>0</v>
      </c>
      <c r="FT61" s="386">
        <f t="shared" si="93"/>
        <v>0</v>
      </c>
      <c r="FU61" s="386">
        <f t="shared" si="93"/>
        <v>0</v>
      </c>
      <c r="FV61" s="386">
        <f t="shared" si="93"/>
        <v>0</v>
      </c>
      <c r="FW61" s="386">
        <f t="shared" si="93"/>
        <v>0</v>
      </c>
      <c r="FX61" s="386">
        <f t="shared" si="93"/>
        <v>0</v>
      </c>
      <c r="FY61" s="386">
        <f t="shared" si="93"/>
        <v>0</v>
      </c>
      <c r="FZ61" s="386">
        <f t="shared" si="93"/>
        <v>0</v>
      </c>
      <c r="GA61" s="987">
        <f t="shared" si="93"/>
        <v>0</v>
      </c>
      <c r="GB61" s="109"/>
      <c r="GC61" s="1435">
        <f t="shared" ref="GC61:GZ61" si="94">IF(GC56=0,0,(GC60-GC59)/(GC56-GC57))</f>
        <v>388.78375000000011</v>
      </c>
      <c r="GD61" s="387">
        <f t="shared" si="94"/>
        <v>453.0525581395346</v>
      </c>
      <c r="GE61" s="387">
        <f t="shared" si="94"/>
        <v>643.18220338983053</v>
      </c>
      <c r="GF61" s="387">
        <f t="shared" si="94"/>
        <v>519.04444444444459</v>
      </c>
      <c r="GG61" s="387">
        <f t="shared" si="94"/>
        <v>491.43012345679006</v>
      </c>
      <c r="GH61" s="387">
        <f t="shared" si="94"/>
        <v>789.42960526315767</v>
      </c>
      <c r="GI61" s="387">
        <f t="shared" si="94"/>
        <v>693.28152173913008</v>
      </c>
      <c r="GJ61" s="387">
        <f t="shared" si="94"/>
        <v>536.36138461538474</v>
      </c>
      <c r="GK61" s="387">
        <f t="shared" si="94"/>
        <v>491.66828947368396</v>
      </c>
      <c r="GL61" s="387">
        <f t="shared" si="94"/>
        <v>449.20937500000019</v>
      </c>
      <c r="GM61" s="387">
        <f t="shared" si="94"/>
        <v>464.90493333333308</v>
      </c>
      <c r="GN61" s="988">
        <f t="shared" si="94"/>
        <v>565.41314814814859</v>
      </c>
      <c r="GO61" s="1036">
        <f t="shared" si="94"/>
        <v>0</v>
      </c>
      <c r="GP61" s="387">
        <f t="shared" si="94"/>
        <v>0</v>
      </c>
      <c r="GQ61" s="387">
        <f t="shared" si="94"/>
        <v>0</v>
      </c>
      <c r="GR61" s="387">
        <f t="shared" si="94"/>
        <v>0</v>
      </c>
      <c r="GS61" s="387">
        <f t="shared" si="94"/>
        <v>0</v>
      </c>
      <c r="GT61" s="387">
        <f t="shared" si="94"/>
        <v>0</v>
      </c>
      <c r="GU61" s="387">
        <f t="shared" si="94"/>
        <v>0</v>
      </c>
      <c r="GV61" s="387">
        <f t="shared" si="94"/>
        <v>0</v>
      </c>
      <c r="GW61" s="387">
        <f t="shared" si="94"/>
        <v>0</v>
      </c>
      <c r="GX61" s="387">
        <f t="shared" si="94"/>
        <v>0</v>
      </c>
      <c r="GY61" s="387">
        <f t="shared" si="94"/>
        <v>0</v>
      </c>
      <c r="GZ61" s="988">
        <f t="shared" si="94"/>
        <v>0</v>
      </c>
      <c r="HB61" s="386">
        <f t="shared" ref="HB61:HM61" si="95">IF(HB56=0,0,(HB60-HB59)/(HB56-HB57))</f>
        <v>0</v>
      </c>
      <c r="HC61" s="386">
        <f t="shared" si="95"/>
        <v>0</v>
      </c>
      <c r="HD61" s="386">
        <f t="shared" si="95"/>
        <v>0</v>
      </c>
      <c r="HE61" s="386">
        <f t="shared" si="95"/>
        <v>0</v>
      </c>
      <c r="HF61" s="386">
        <f t="shared" si="95"/>
        <v>0</v>
      </c>
      <c r="HG61" s="386">
        <f t="shared" si="95"/>
        <v>0</v>
      </c>
      <c r="HH61" s="386">
        <f t="shared" si="95"/>
        <v>0</v>
      </c>
      <c r="HI61" s="386">
        <f t="shared" si="95"/>
        <v>0</v>
      </c>
      <c r="HJ61" s="386">
        <f t="shared" si="95"/>
        <v>0</v>
      </c>
      <c r="HK61" s="386">
        <f t="shared" si="95"/>
        <v>0</v>
      </c>
      <c r="HL61" s="386">
        <f t="shared" si="95"/>
        <v>0</v>
      </c>
      <c r="HM61" s="987">
        <f t="shared" si="95"/>
        <v>0</v>
      </c>
    </row>
    <row r="62" spans="1:221">
      <c r="A62" s="326" t="s">
        <v>1577</v>
      </c>
      <c r="B62" s="326" t="s">
        <v>1579</v>
      </c>
      <c r="C62" s="326" t="s">
        <v>1580</v>
      </c>
      <c r="D62" s="1036">
        <v>21062.78</v>
      </c>
      <c r="E62" s="387">
        <v>22425.54</v>
      </c>
      <c r="F62" s="387">
        <v>16497.919999999998</v>
      </c>
      <c r="G62" s="387">
        <v>21050.730000000003</v>
      </c>
      <c r="H62" s="387">
        <v>27052.63</v>
      </c>
      <c r="I62" s="387">
        <v>38021.57</v>
      </c>
      <c r="J62" s="387">
        <v>42510.7</v>
      </c>
      <c r="K62" s="387">
        <v>38580.57</v>
      </c>
      <c r="L62" s="387">
        <v>31372.75</v>
      </c>
      <c r="M62" s="387">
        <v>30444.9</v>
      </c>
      <c r="N62" s="387">
        <v>44396.000000000007</v>
      </c>
      <c r="O62" s="988">
        <v>32692.61</v>
      </c>
      <c r="P62" s="387" t="s">
        <v>2154</v>
      </c>
      <c r="Q62" s="387" t="s">
        <v>2154</v>
      </c>
      <c r="R62" s="387" t="s">
        <v>2154</v>
      </c>
      <c r="S62" s="387" t="s">
        <v>2154</v>
      </c>
      <c r="T62" s="387" t="s">
        <v>2154</v>
      </c>
      <c r="U62" s="387" t="s">
        <v>2154</v>
      </c>
      <c r="V62" s="387" t="s">
        <v>2154</v>
      </c>
      <c r="W62" s="387" t="s">
        <v>2154</v>
      </c>
      <c r="X62" s="387" t="s">
        <v>2154</v>
      </c>
      <c r="Y62" s="387" t="s">
        <v>2154</v>
      </c>
      <c r="Z62" s="387" t="s">
        <v>2154</v>
      </c>
      <c r="AA62" s="988" t="s">
        <v>2154</v>
      </c>
      <c r="AB62" s="387"/>
      <c r="AC62" s="387"/>
      <c r="AD62" s="387"/>
      <c r="AE62" s="387"/>
      <c r="AF62" s="387"/>
      <c r="AG62" s="386"/>
      <c r="AH62" s="386"/>
      <c r="AI62" s="386"/>
      <c r="AJ62" s="386"/>
      <c r="AK62" s="387"/>
      <c r="AL62" s="387"/>
      <c r="AM62" s="988"/>
      <c r="AN62" s="387"/>
      <c r="AO62" s="387"/>
      <c r="AP62" s="387"/>
      <c r="AQ62" s="387"/>
      <c r="AR62" s="387"/>
      <c r="AS62" s="386"/>
      <c r="AT62" s="386"/>
      <c r="AU62" s="386"/>
      <c r="AV62" s="386"/>
      <c r="AW62" s="387"/>
      <c r="AX62" s="387"/>
      <c r="AY62" s="988"/>
      <c r="AZ62" s="387"/>
      <c r="BA62" s="387"/>
      <c r="BB62" s="387"/>
      <c r="BC62" s="387"/>
      <c r="BD62" s="387"/>
      <c r="BE62" s="386"/>
      <c r="BF62" s="386"/>
      <c r="BG62" s="386"/>
      <c r="BH62" s="386"/>
      <c r="BI62" s="387"/>
      <c r="BJ62" s="387"/>
      <c r="BK62" s="988"/>
      <c r="BL62" s="387"/>
      <c r="BM62" s="387"/>
      <c r="BN62" s="387"/>
      <c r="BO62" s="387"/>
      <c r="BP62" s="387"/>
      <c r="BQ62" s="386"/>
      <c r="BR62" s="387"/>
      <c r="BS62" s="386"/>
      <c r="BT62" s="387"/>
      <c r="BU62" s="387"/>
      <c r="BV62" s="387"/>
      <c r="BW62" s="988"/>
      <c r="BX62" s="387"/>
      <c r="BY62" s="387"/>
      <c r="BZ62" s="387"/>
      <c r="CA62" s="387"/>
      <c r="CB62" s="387"/>
      <c r="CC62" s="386"/>
      <c r="CD62" s="387"/>
      <c r="CE62" s="386"/>
      <c r="CF62" s="387"/>
      <c r="CG62" s="387"/>
      <c r="CH62" s="387"/>
      <c r="CI62" s="988"/>
      <c r="CJ62" s="387"/>
      <c r="CK62" s="387"/>
      <c r="CL62" s="387"/>
      <c r="CM62" s="387"/>
      <c r="CN62" s="387"/>
      <c r="CO62" s="386"/>
      <c r="CP62" s="387"/>
      <c r="CQ62" s="386"/>
      <c r="CR62" s="387"/>
      <c r="CS62" s="387"/>
      <c r="CT62" s="387"/>
      <c r="CU62" s="988"/>
      <c r="CV62" s="387"/>
      <c r="CW62" s="387"/>
      <c r="CX62" s="387"/>
      <c r="CY62" s="387"/>
      <c r="CZ62" s="387"/>
      <c r="DA62" s="386"/>
      <c r="DB62" s="387"/>
      <c r="DC62" s="386"/>
      <c r="DD62" s="387"/>
      <c r="DE62" s="387"/>
      <c r="DF62" s="387"/>
      <c r="DG62" s="988"/>
      <c r="DH62" s="387"/>
      <c r="DI62" s="387"/>
      <c r="DJ62" s="387"/>
      <c r="DK62" s="387"/>
      <c r="DL62" s="387"/>
      <c r="DM62" s="386"/>
      <c r="DN62" s="387"/>
      <c r="DO62" s="386"/>
      <c r="DP62" s="387"/>
      <c r="DQ62" s="387"/>
      <c r="DR62" s="387"/>
      <c r="DS62" s="988"/>
      <c r="DT62" s="387" t="s">
        <v>2154</v>
      </c>
      <c r="DU62" s="387" t="s">
        <v>2154</v>
      </c>
      <c r="DV62" s="387" t="s">
        <v>2154</v>
      </c>
      <c r="DW62" s="387" t="s">
        <v>2154</v>
      </c>
      <c r="DX62" s="387" t="s">
        <v>2154</v>
      </c>
      <c r="DY62" s="387" t="s">
        <v>2154</v>
      </c>
      <c r="DZ62" s="387" t="s">
        <v>2154</v>
      </c>
      <c r="EA62" s="387" t="s">
        <v>2154</v>
      </c>
      <c r="EB62" s="387" t="s">
        <v>2154</v>
      </c>
      <c r="EC62" s="387" t="s">
        <v>2154</v>
      </c>
      <c r="ED62" s="387" t="s">
        <v>2154</v>
      </c>
      <c r="EE62" s="988" t="s">
        <v>2154</v>
      </c>
      <c r="EF62" s="387"/>
      <c r="EG62" s="387"/>
      <c r="EH62" s="387"/>
      <c r="EI62" s="387"/>
      <c r="EJ62" s="387"/>
      <c r="EK62" s="387"/>
      <c r="EL62" s="387"/>
      <c r="EM62" s="387"/>
      <c r="EN62" s="387"/>
      <c r="EO62" s="387"/>
      <c r="EP62" s="387"/>
      <c r="EQ62" s="988"/>
      <c r="ER62" s="387"/>
      <c r="ES62" s="387"/>
      <c r="ET62" s="387"/>
      <c r="EU62" s="387"/>
      <c r="EV62" s="387"/>
      <c r="EW62" s="386"/>
      <c r="EX62" s="387"/>
      <c r="EY62" s="386"/>
      <c r="EZ62" s="387"/>
      <c r="FA62" s="387"/>
      <c r="FB62" s="387"/>
      <c r="FC62" s="988"/>
      <c r="FD62" s="387"/>
      <c r="FE62" s="387"/>
      <c r="FF62" s="387"/>
      <c r="FG62" s="387"/>
      <c r="FH62" s="387"/>
      <c r="FI62" s="386"/>
      <c r="FJ62" s="387"/>
      <c r="FK62" s="386"/>
      <c r="FL62" s="387"/>
      <c r="FM62" s="387"/>
      <c r="FN62" s="387"/>
      <c r="FO62" s="988"/>
      <c r="FP62" s="387"/>
      <c r="FQ62" s="387"/>
      <c r="FR62" s="387"/>
      <c r="FS62" s="387"/>
      <c r="FT62" s="387"/>
      <c r="FU62" s="386"/>
      <c r="FV62" s="387"/>
      <c r="FW62" s="386"/>
      <c r="FX62" s="387"/>
      <c r="FY62" s="387"/>
      <c r="FZ62" s="387"/>
      <c r="GA62" s="988"/>
      <c r="GB62" s="109"/>
      <c r="GC62" s="1435">
        <f t="shared" ref="GC62:GN71" si="96">SUMPRODUCT(--($D$6:$GA$6=GC$6),$D62:$GA62,$D$278:$GA$278)</f>
        <v>21062.78</v>
      </c>
      <c r="GD62" s="387">
        <f t="shared" si="96"/>
        <v>22425.54</v>
      </c>
      <c r="GE62" s="387">
        <f t="shared" si="96"/>
        <v>16497.919999999998</v>
      </c>
      <c r="GF62" s="387">
        <f t="shared" si="96"/>
        <v>21050.730000000003</v>
      </c>
      <c r="GG62" s="387">
        <f t="shared" si="96"/>
        <v>27052.63</v>
      </c>
      <c r="GH62" s="387">
        <f t="shared" si="96"/>
        <v>38021.57</v>
      </c>
      <c r="GI62" s="387">
        <f t="shared" si="96"/>
        <v>42510.7</v>
      </c>
      <c r="GJ62" s="387">
        <f t="shared" si="96"/>
        <v>38580.57</v>
      </c>
      <c r="GK62" s="387">
        <f t="shared" si="96"/>
        <v>31372.75</v>
      </c>
      <c r="GL62" s="387">
        <f t="shared" si="96"/>
        <v>30444.9</v>
      </c>
      <c r="GM62" s="387">
        <f t="shared" si="96"/>
        <v>44396.000000000007</v>
      </c>
      <c r="GN62" s="988">
        <f t="shared" si="96"/>
        <v>32692.61</v>
      </c>
      <c r="GO62" s="1036">
        <f t="shared" ref="GO62:GZ71" si="97">SUMPRODUCT(--($DT$6:$GA$6=GO$6),$DT62:$GA62,$DT$278:$GA$278)</f>
        <v>0</v>
      </c>
      <c r="GP62" s="387">
        <f t="shared" si="97"/>
        <v>0</v>
      </c>
      <c r="GQ62" s="387">
        <f t="shared" si="97"/>
        <v>0</v>
      </c>
      <c r="GR62" s="387">
        <f t="shared" si="97"/>
        <v>0</v>
      </c>
      <c r="GS62" s="387">
        <f t="shared" si="97"/>
        <v>0</v>
      </c>
      <c r="GT62" s="387">
        <f t="shared" si="97"/>
        <v>0</v>
      </c>
      <c r="GU62" s="387">
        <f t="shared" si="97"/>
        <v>0</v>
      </c>
      <c r="GV62" s="387">
        <f t="shared" si="97"/>
        <v>0</v>
      </c>
      <c r="GW62" s="387">
        <f t="shared" si="97"/>
        <v>0</v>
      </c>
      <c r="GX62" s="387">
        <f t="shared" si="97"/>
        <v>0</v>
      </c>
      <c r="GY62" s="387">
        <f t="shared" si="97"/>
        <v>0</v>
      </c>
      <c r="GZ62" s="988">
        <f t="shared" si="97"/>
        <v>0</v>
      </c>
      <c r="HB62" s="387"/>
      <c r="HC62" s="387"/>
      <c r="HD62" s="387"/>
      <c r="HE62" s="387"/>
      <c r="HF62" s="387"/>
      <c r="HG62" s="386"/>
      <c r="HH62" s="386"/>
      <c r="HI62" s="386"/>
      <c r="HJ62" s="386"/>
      <c r="HK62" s="387"/>
      <c r="HL62" s="387"/>
      <c r="HM62" s="988"/>
    </row>
    <row r="63" spans="1:221">
      <c r="A63" s="326" t="s">
        <v>1577</v>
      </c>
      <c r="B63" s="326" t="s">
        <v>1990</v>
      </c>
      <c r="C63" s="326" t="s">
        <v>3687</v>
      </c>
      <c r="D63" s="1036">
        <v>8831.59</v>
      </c>
      <c r="E63" s="387">
        <v>8588.35</v>
      </c>
      <c r="F63" s="387">
        <v>7975.1900000000005</v>
      </c>
      <c r="G63" s="387">
        <v>9700.4000000000015</v>
      </c>
      <c r="H63" s="387">
        <v>9333.39</v>
      </c>
      <c r="I63" s="387">
        <v>10053.150000000001</v>
      </c>
      <c r="J63" s="387">
        <v>10275.109999999999</v>
      </c>
      <c r="K63" s="387">
        <v>12018.580000000002</v>
      </c>
      <c r="L63" s="387">
        <v>9594.4500000000007</v>
      </c>
      <c r="M63" s="387">
        <v>9194.2899999999991</v>
      </c>
      <c r="N63" s="387">
        <v>10149.75</v>
      </c>
      <c r="O63" s="988">
        <v>9364.7000000000007</v>
      </c>
      <c r="P63" s="387" t="s">
        <v>2154</v>
      </c>
      <c r="Q63" s="387" t="s">
        <v>2154</v>
      </c>
      <c r="R63" s="387" t="s">
        <v>2154</v>
      </c>
      <c r="S63" s="387" t="s">
        <v>2154</v>
      </c>
      <c r="T63" s="387" t="s">
        <v>2154</v>
      </c>
      <c r="U63" s="387" t="s">
        <v>2154</v>
      </c>
      <c r="V63" s="387" t="s">
        <v>2154</v>
      </c>
      <c r="W63" s="387" t="s">
        <v>2154</v>
      </c>
      <c r="X63" s="387" t="s">
        <v>2154</v>
      </c>
      <c r="Y63" s="387" t="s">
        <v>2154</v>
      </c>
      <c r="Z63" s="387" t="s">
        <v>2154</v>
      </c>
      <c r="AA63" s="988" t="s">
        <v>2154</v>
      </c>
      <c r="AB63" s="387"/>
      <c r="AC63" s="387"/>
      <c r="AD63" s="387"/>
      <c r="AE63" s="387"/>
      <c r="AF63" s="387"/>
      <c r="AG63" s="387"/>
      <c r="AH63" s="387"/>
      <c r="AI63" s="387"/>
      <c r="AJ63" s="387"/>
      <c r="AK63" s="387"/>
      <c r="AL63" s="387"/>
      <c r="AM63" s="988"/>
      <c r="AN63" s="387"/>
      <c r="AO63" s="387"/>
      <c r="AP63" s="387"/>
      <c r="AQ63" s="387"/>
      <c r="AR63" s="387"/>
      <c r="AS63" s="387"/>
      <c r="AT63" s="387"/>
      <c r="AU63" s="387"/>
      <c r="AV63" s="387"/>
      <c r="AW63" s="387"/>
      <c r="AX63" s="387"/>
      <c r="AY63" s="988"/>
      <c r="AZ63" s="387"/>
      <c r="BA63" s="387"/>
      <c r="BB63" s="387"/>
      <c r="BC63" s="387"/>
      <c r="BD63" s="387"/>
      <c r="BE63" s="387"/>
      <c r="BF63" s="387"/>
      <c r="BG63" s="387"/>
      <c r="BH63" s="387"/>
      <c r="BI63" s="387"/>
      <c r="BJ63" s="387"/>
      <c r="BK63" s="988"/>
      <c r="BL63" s="387"/>
      <c r="BM63" s="387"/>
      <c r="BN63" s="387"/>
      <c r="BO63" s="387"/>
      <c r="BP63" s="387"/>
      <c r="BQ63" s="387"/>
      <c r="BR63" s="387"/>
      <c r="BS63" s="387"/>
      <c r="BT63" s="387"/>
      <c r="BU63" s="387"/>
      <c r="BV63" s="387"/>
      <c r="BW63" s="988"/>
      <c r="BX63" s="387"/>
      <c r="BY63" s="387"/>
      <c r="BZ63" s="387"/>
      <c r="CA63" s="387"/>
      <c r="CB63" s="387"/>
      <c r="CC63" s="387"/>
      <c r="CD63" s="387"/>
      <c r="CE63" s="387"/>
      <c r="CF63" s="387"/>
      <c r="CG63" s="387"/>
      <c r="CH63" s="387"/>
      <c r="CI63" s="988"/>
      <c r="CJ63" s="387"/>
      <c r="CK63" s="387"/>
      <c r="CL63" s="387"/>
      <c r="CM63" s="387"/>
      <c r="CN63" s="387"/>
      <c r="CO63" s="387"/>
      <c r="CP63" s="387"/>
      <c r="CQ63" s="387"/>
      <c r="CR63" s="387"/>
      <c r="CS63" s="387"/>
      <c r="CT63" s="387"/>
      <c r="CU63" s="988"/>
      <c r="CV63" s="387"/>
      <c r="CW63" s="387"/>
      <c r="CX63" s="387"/>
      <c r="CY63" s="387"/>
      <c r="CZ63" s="387"/>
      <c r="DA63" s="387"/>
      <c r="DB63" s="387"/>
      <c r="DC63" s="387"/>
      <c r="DD63" s="387"/>
      <c r="DE63" s="387"/>
      <c r="DF63" s="387"/>
      <c r="DG63" s="988"/>
      <c r="DH63" s="387"/>
      <c r="DI63" s="387"/>
      <c r="DJ63" s="387"/>
      <c r="DK63" s="387"/>
      <c r="DL63" s="387"/>
      <c r="DM63" s="387"/>
      <c r="DN63" s="387"/>
      <c r="DO63" s="387"/>
      <c r="DP63" s="387"/>
      <c r="DQ63" s="387"/>
      <c r="DR63" s="387"/>
      <c r="DS63" s="988"/>
      <c r="DT63" s="387" t="s">
        <v>2154</v>
      </c>
      <c r="DU63" s="387" t="s">
        <v>2154</v>
      </c>
      <c r="DV63" s="387" t="s">
        <v>2154</v>
      </c>
      <c r="DW63" s="387" t="s">
        <v>2154</v>
      </c>
      <c r="DX63" s="387" t="s">
        <v>2154</v>
      </c>
      <c r="DY63" s="387" t="s">
        <v>2154</v>
      </c>
      <c r="DZ63" s="387" t="s">
        <v>2154</v>
      </c>
      <c r="EA63" s="387" t="s">
        <v>2154</v>
      </c>
      <c r="EB63" s="387" t="s">
        <v>2154</v>
      </c>
      <c r="EC63" s="387" t="s">
        <v>2154</v>
      </c>
      <c r="ED63" s="387" t="s">
        <v>2154</v>
      </c>
      <c r="EE63" s="988" t="s">
        <v>2154</v>
      </c>
      <c r="EF63" s="387"/>
      <c r="EG63" s="387"/>
      <c r="EH63" s="387"/>
      <c r="EI63" s="387"/>
      <c r="EJ63" s="387"/>
      <c r="EK63" s="387"/>
      <c r="EL63" s="387"/>
      <c r="EM63" s="387"/>
      <c r="EN63" s="387"/>
      <c r="EO63" s="387"/>
      <c r="EP63" s="387"/>
      <c r="EQ63" s="988"/>
      <c r="ER63" s="387"/>
      <c r="ES63" s="387"/>
      <c r="ET63" s="387"/>
      <c r="EU63" s="387"/>
      <c r="EV63" s="387"/>
      <c r="EW63" s="387"/>
      <c r="EX63" s="387"/>
      <c r="EY63" s="387"/>
      <c r="EZ63" s="387"/>
      <c r="FA63" s="387"/>
      <c r="FB63" s="387"/>
      <c r="FC63" s="988"/>
      <c r="FD63" s="387"/>
      <c r="FE63" s="387"/>
      <c r="FF63" s="387"/>
      <c r="FG63" s="387"/>
      <c r="FH63" s="387"/>
      <c r="FI63" s="387"/>
      <c r="FJ63" s="387"/>
      <c r="FK63" s="387"/>
      <c r="FL63" s="387"/>
      <c r="FM63" s="387"/>
      <c r="FN63" s="387"/>
      <c r="FO63" s="988"/>
      <c r="FP63" s="387"/>
      <c r="FQ63" s="387"/>
      <c r="FR63" s="387"/>
      <c r="FS63" s="387"/>
      <c r="FT63" s="387"/>
      <c r="FU63" s="387"/>
      <c r="FV63" s="387"/>
      <c r="FW63" s="387"/>
      <c r="FX63" s="387"/>
      <c r="FY63" s="387"/>
      <c r="FZ63" s="387"/>
      <c r="GA63" s="988"/>
      <c r="GB63" s="109"/>
      <c r="GC63" s="1435">
        <f t="shared" si="96"/>
        <v>8831.59</v>
      </c>
      <c r="GD63" s="387">
        <f t="shared" si="96"/>
        <v>8588.35</v>
      </c>
      <c r="GE63" s="387">
        <f t="shared" si="96"/>
        <v>7975.1900000000005</v>
      </c>
      <c r="GF63" s="387">
        <f t="shared" si="96"/>
        <v>9700.4000000000015</v>
      </c>
      <c r="GG63" s="387">
        <f t="shared" si="96"/>
        <v>9333.39</v>
      </c>
      <c r="GH63" s="387">
        <f t="shared" si="96"/>
        <v>10053.150000000001</v>
      </c>
      <c r="GI63" s="387">
        <f t="shared" si="96"/>
        <v>10275.109999999999</v>
      </c>
      <c r="GJ63" s="387">
        <f t="shared" si="96"/>
        <v>12018.580000000002</v>
      </c>
      <c r="GK63" s="387">
        <f t="shared" si="96"/>
        <v>9594.4500000000007</v>
      </c>
      <c r="GL63" s="387">
        <f t="shared" si="96"/>
        <v>9194.2899999999991</v>
      </c>
      <c r="GM63" s="387">
        <f t="shared" si="96"/>
        <v>10149.75</v>
      </c>
      <c r="GN63" s="988">
        <f t="shared" si="96"/>
        <v>9364.7000000000007</v>
      </c>
      <c r="GO63" s="1036">
        <f t="shared" si="97"/>
        <v>0</v>
      </c>
      <c r="GP63" s="387">
        <f t="shared" si="97"/>
        <v>0</v>
      </c>
      <c r="GQ63" s="387">
        <f t="shared" si="97"/>
        <v>0</v>
      </c>
      <c r="GR63" s="387">
        <f t="shared" si="97"/>
        <v>0</v>
      </c>
      <c r="GS63" s="387">
        <f t="shared" si="97"/>
        <v>0</v>
      </c>
      <c r="GT63" s="387">
        <f t="shared" si="97"/>
        <v>0</v>
      </c>
      <c r="GU63" s="387">
        <f t="shared" si="97"/>
        <v>0</v>
      </c>
      <c r="GV63" s="387">
        <f t="shared" si="97"/>
        <v>0</v>
      </c>
      <c r="GW63" s="387">
        <f t="shared" si="97"/>
        <v>0</v>
      </c>
      <c r="GX63" s="387">
        <f t="shared" si="97"/>
        <v>0</v>
      </c>
      <c r="GY63" s="387">
        <f t="shared" si="97"/>
        <v>0</v>
      </c>
      <c r="GZ63" s="988">
        <f t="shared" si="97"/>
        <v>0</v>
      </c>
      <c r="HB63" s="387"/>
      <c r="HC63" s="387"/>
      <c r="HD63" s="387"/>
      <c r="HE63" s="387"/>
      <c r="HF63" s="387"/>
      <c r="HG63" s="387"/>
      <c r="HH63" s="387"/>
      <c r="HI63" s="387"/>
      <c r="HJ63" s="387"/>
      <c r="HK63" s="387"/>
      <c r="HL63" s="387"/>
      <c r="HM63" s="988"/>
    </row>
    <row r="64" spans="1:221">
      <c r="A64" s="326" t="s">
        <v>1577</v>
      </c>
      <c r="B64" s="326" t="s">
        <v>1990</v>
      </c>
      <c r="C64" s="326" t="s">
        <v>3899</v>
      </c>
      <c r="D64" s="1036">
        <v>286.98999999999995</v>
      </c>
      <c r="E64" s="387">
        <v>273.60000000000002</v>
      </c>
      <c r="F64" s="387">
        <v>255.99</v>
      </c>
      <c r="G64" s="387">
        <v>306.52</v>
      </c>
      <c r="H64" s="387">
        <v>295.36</v>
      </c>
      <c r="I64" s="387">
        <v>326.76</v>
      </c>
      <c r="J64" s="387">
        <v>336.3</v>
      </c>
      <c r="K64" s="387">
        <v>382.02000000000004</v>
      </c>
      <c r="L64" s="387">
        <v>315.09999999999997</v>
      </c>
      <c r="M64" s="387">
        <v>296.82</v>
      </c>
      <c r="N64" s="387">
        <v>326.31999999999994</v>
      </c>
      <c r="O64" s="988">
        <v>296.94</v>
      </c>
      <c r="P64" s="387" t="s">
        <v>2154</v>
      </c>
      <c r="Q64" s="387" t="s">
        <v>2154</v>
      </c>
      <c r="R64" s="387" t="s">
        <v>2154</v>
      </c>
      <c r="S64" s="387" t="s">
        <v>2154</v>
      </c>
      <c r="T64" s="387" t="s">
        <v>2154</v>
      </c>
      <c r="U64" s="387" t="s">
        <v>2154</v>
      </c>
      <c r="V64" s="387" t="s">
        <v>2154</v>
      </c>
      <c r="W64" s="387" t="s">
        <v>2154</v>
      </c>
      <c r="X64" s="387" t="s">
        <v>2154</v>
      </c>
      <c r="Y64" s="387" t="s">
        <v>2154</v>
      </c>
      <c r="Z64" s="387" t="s">
        <v>2154</v>
      </c>
      <c r="AA64" s="988" t="s">
        <v>2154</v>
      </c>
      <c r="AB64" s="387"/>
      <c r="AC64" s="387"/>
      <c r="AD64" s="387"/>
      <c r="AE64" s="387"/>
      <c r="AF64" s="387"/>
      <c r="AG64" s="387"/>
      <c r="AH64" s="387"/>
      <c r="AI64" s="387"/>
      <c r="AJ64" s="387"/>
      <c r="AK64" s="387"/>
      <c r="AL64" s="387"/>
      <c r="AM64" s="988"/>
      <c r="AN64" s="387"/>
      <c r="AO64" s="387"/>
      <c r="AP64" s="387"/>
      <c r="AQ64" s="387"/>
      <c r="AR64" s="387"/>
      <c r="AS64" s="387"/>
      <c r="AT64" s="387"/>
      <c r="AU64" s="387"/>
      <c r="AV64" s="387"/>
      <c r="AW64" s="387"/>
      <c r="AX64" s="387"/>
      <c r="AY64" s="988"/>
      <c r="AZ64" s="387"/>
      <c r="BA64" s="387"/>
      <c r="BB64" s="387"/>
      <c r="BC64" s="387"/>
      <c r="BD64" s="387"/>
      <c r="BE64" s="387"/>
      <c r="BF64" s="387"/>
      <c r="BG64" s="387"/>
      <c r="BH64" s="387"/>
      <c r="BI64" s="387"/>
      <c r="BJ64" s="387"/>
      <c r="BK64" s="988"/>
      <c r="BL64" s="387"/>
      <c r="BM64" s="387"/>
      <c r="BN64" s="387"/>
      <c r="BO64" s="387"/>
      <c r="BP64" s="387"/>
      <c r="BQ64" s="387"/>
      <c r="BR64" s="387"/>
      <c r="BS64" s="387"/>
      <c r="BT64" s="387"/>
      <c r="BU64" s="387"/>
      <c r="BV64" s="387"/>
      <c r="BW64" s="988"/>
      <c r="BX64" s="387"/>
      <c r="BY64" s="387"/>
      <c r="BZ64" s="387"/>
      <c r="CA64" s="387"/>
      <c r="CB64" s="387"/>
      <c r="CC64" s="387"/>
      <c r="CD64" s="387"/>
      <c r="CE64" s="387"/>
      <c r="CF64" s="387"/>
      <c r="CG64" s="387"/>
      <c r="CH64" s="387"/>
      <c r="CI64" s="988"/>
      <c r="CJ64" s="387"/>
      <c r="CK64" s="387"/>
      <c r="CL64" s="387"/>
      <c r="CM64" s="387"/>
      <c r="CN64" s="387"/>
      <c r="CO64" s="387"/>
      <c r="CP64" s="387"/>
      <c r="CQ64" s="387"/>
      <c r="CR64" s="387"/>
      <c r="CS64" s="387"/>
      <c r="CT64" s="387"/>
      <c r="CU64" s="988"/>
      <c r="CV64" s="387"/>
      <c r="CW64" s="387"/>
      <c r="CX64" s="387"/>
      <c r="CY64" s="387"/>
      <c r="CZ64" s="387"/>
      <c r="DA64" s="387"/>
      <c r="DB64" s="387"/>
      <c r="DC64" s="387"/>
      <c r="DD64" s="387"/>
      <c r="DE64" s="387"/>
      <c r="DF64" s="387"/>
      <c r="DG64" s="988"/>
      <c r="DH64" s="387"/>
      <c r="DI64" s="387"/>
      <c r="DJ64" s="387"/>
      <c r="DK64" s="387"/>
      <c r="DL64" s="387"/>
      <c r="DM64" s="387"/>
      <c r="DN64" s="387"/>
      <c r="DO64" s="387"/>
      <c r="DP64" s="387"/>
      <c r="DQ64" s="387"/>
      <c r="DR64" s="387"/>
      <c r="DS64" s="988"/>
      <c r="DT64" s="387" t="s">
        <v>2154</v>
      </c>
      <c r="DU64" s="387" t="s">
        <v>2154</v>
      </c>
      <c r="DV64" s="387" t="s">
        <v>2154</v>
      </c>
      <c r="DW64" s="387" t="s">
        <v>2154</v>
      </c>
      <c r="DX64" s="387" t="s">
        <v>2154</v>
      </c>
      <c r="DY64" s="387" t="s">
        <v>2154</v>
      </c>
      <c r="DZ64" s="387" t="s">
        <v>2154</v>
      </c>
      <c r="EA64" s="387" t="s">
        <v>2154</v>
      </c>
      <c r="EB64" s="387" t="s">
        <v>2154</v>
      </c>
      <c r="EC64" s="387" t="s">
        <v>2154</v>
      </c>
      <c r="ED64" s="387" t="s">
        <v>2154</v>
      </c>
      <c r="EE64" s="988" t="s">
        <v>2154</v>
      </c>
      <c r="EF64" s="387"/>
      <c r="EG64" s="387"/>
      <c r="EH64" s="387"/>
      <c r="EI64" s="387"/>
      <c r="EJ64" s="387"/>
      <c r="EK64" s="387"/>
      <c r="EL64" s="387"/>
      <c r="EM64" s="387"/>
      <c r="EN64" s="387"/>
      <c r="EO64" s="387"/>
      <c r="EP64" s="387"/>
      <c r="EQ64" s="988"/>
      <c r="ER64" s="387"/>
      <c r="ES64" s="387"/>
      <c r="ET64" s="387"/>
      <c r="EU64" s="387"/>
      <c r="EV64" s="387"/>
      <c r="EW64" s="387"/>
      <c r="EX64" s="387"/>
      <c r="EY64" s="387"/>
      <c r="EZ64" s="387"/>
      <c r="FA64" s="387"/>
      <c r="FB64" s="387"/>
      <c r="FC64" s="988"/>
      <c r="FD64" s="387"/>
      <c r="FE64" s="387"/>
      <c r="FF64" s="387"/>
      <c r="FG64" s="387"/>
      <c r="FH64" s="387"/>
      <c r="FI64" s="387"/>
      <c r="FJ64" s="387"/>
      <c r="FK64" s="387"/>
      <c r="FL64" s="387"/>
      <c r="FM64" s="387"/>
      <c r="FN64" s="387"/>
      <c r="FO64" s="988"/>
      <c r="FP64" s="387"/>
      <c r="FQ64" s="387"/>
      <c r="FR64" s="387"/>
      <c r="FS64" s="387"/>
      <c r="FT64" s="387"/>
      <c r="FU64" s="387"/>
      <c r="FV64" s="387"/>
      <c r="FW64" s="387"/>
      <c r="FX64" s="387"/>
      <c r="FY64" s="387"/>
      <c r="FZ64" s="387"/>
      <c r="GA64" s="988"/>
      <c r="GB64" s="109"/>
      <c r="GC64" s="1036">
        <f t="shared" si="96"/>
        <v>286.98999999999995</v>
      </c>
      <c r="GD64" s="387">
        <f t="shared" si="96"/>
        <v>273.60000000000002</v>
      </c>
      <c r="GE64" s="387">
        <f t="shared" si="96"/>
        <v>255.99</v>
      </c>
      <c r="GF64" s="387">
        <f t="shared" si="96"/>
        <v>306.52</v>
      </c>
      <c r="GG64" s="387">
        <f t="shared" si="96"/>
        <v>295.36</v>
      </c>
      <c r="GH64" s="387">
        <f t="shared" si="96"/>
        <v>326.76</v>
      </c>
      <c r="GI64" s="387">
        <f t="shared" si="96"/>
        <v>336.3</v>
      </c>
      <c r="GJ64" s="387">
        <f t="shared" si="96"/>
        <v>382.02000000000004</v>
      </c>
      <c r="GK64" s="387">
        <f t="shared" si="96"/>
        <v>315.09999999999997</v>
      </c>
      <c r="GL64" s="387">
        <f t="shared" si="96"/>
        <v>296.82</v>
      </c>
      <c r="GM64" s="387">
        <f t="shared" si="96"/>
        <v>326.31999999999994</v>
      </c>
      <c r="GN64" s="988">
        <f t="shared" si="96"/>
        <v>296.94</v>
      </c>
      <c r="GO64" s="1036">
        <f t="shared" si="97"/>
        <v>0</v>
      </c>
      <c r="GP64" s="387">
        <f t="shared" si="97"/>
        <v>0</v>
      </c>
      <c r="GQ64" s="387">
        <f t="shared" si="97"/>
        <v>0</v>
      </c>
      <c r="GR64" s="387">
        <f t="shared" si="97"/>
        <v>0</v>
      </c>
      <c r="GS64" s="387">
        <f t="shared" si="97"/>
        <v>0</v>
      </c>
      <c r="GT64" s="387">
        <f t="shared" si="97"/>
        <v>0</v>
      </c>
      <c r="GU64" s="387">
        <f t="shared" si="97"/>
        <v>0</v>
      </c>
      <c r="GV64" s="387">
        <f t="shared" si="97"/>
        <v>0</v>
      </c>
      <c r="GW64" s="387">
        <f t="shared" si="97"/>
        <v>0</v>
      </c>
      <c r="GX64" s="387">
        <f t="shared" si="97"/>
        <v>0</v>
      </c>
      <c r="GY64" s="387">
        <f t="shared" si="97"/>
        <v>0</v>
      </c>
      <c r="GZ64" s="988">
        <f t="shared" si="97"/>
        <v>0</v>
      </c>
      <c r="HB64" s="387"/>
      <c r="HC64" s="387"/>
      <c r="HD64" s="387"/>
      <c r="HE64" s="387"/>
      <c r="HF64" s="387"/>
      <c r="HG64" s="387"/>
      <c r="HH64" s="387"/>
      <c r="HI64" s="387"/>
      <c r="HJ64" s="387"/>
      <c r="HK64" s="387"/>
      <c r="HL64" s="387"/>
      <c r="HM64" s="988"/>
    </row>
    <row r="65" spans="1:221">
      <c r="A65" s="326" t="s">
        <v>1577</v>
      </c>
      <c r="B65" s="326" t="s">
        <v>1992</v>
      </c>
      <c r="C65" s="326" t="s">
        <v>3687</v>
      </c>
      <c r="D65" s="1036">
        <v>1286.94</v>
      </c>
      <c r="E65" s="387">
        <v>1737.5499999999997</v>
      </c>
      <c r="F65" s="387">
        <v>1037.4299999999998</v>
      </c>
      <c r="G65" s="387">
        <v>1283.78</v>
      </c>
      <c r="H65" s="387">
        <v>2343.88</v>
      </c>
      <c r="I65" s="387">
        <v>3149.8399999999997</v>
      </c>
      <c r="J65" s="387">
        <v>2372.7599999999998</v>
      </c>
      <c r="K65" s="387">
        <v>2094.66</v>
      </c>
      <c r="L65" s="387">
        <v>1783.41</v>
      </c>
      <c r="M65" s="387">
        <v>1503.5900000000001</v>
      </c>
      <c r="N65" s="387">
        <v>1635.8899999999999</v>
      </c>
      <c r="O65" s="988">
        <v>1707.75</v>
      </c>
      <c r="P65" s="387" t="s">
        <v>2154</v>
      </c>
      <c r="Q65" s="387" t="s">
        <v>2154</v>
      </c>
      <c r="R65" s="387" t="s">
        <v>2154</v>
      </c>
      <c r="S65" s="387" t="s">
        <v>2154</v>
      </c>
      <c r="T65" s="387" t="s">
        <v>2154</v>
      </c>
      <c r="U65" s="387" t="s">
        <v>2154</v>
      </c>
      <c r="V65" s="387" t="s">
        <v>2154</v>
      </c>
      <c r="W65" s="387" t="s">
        <v>2154</v>
      </c>
      <c r="X65" s="387" t="s">
        <v>2154</v>
      </c>
      <c r="Y65" s="387" t="s">
        <v>2154</v>
      </c>
      <c r="Z65" s="387" t="s">
        <v>2154</v>
      </c>
      <c r="AA65" s="988" t="s">
        <v>2154</v>
      </c>
      <c r="AB65" s="387"/>
      <c r="AC65" s="387"/>
      <c r="AD65" s="387"/>
      <c r="AE65" s="387"/>
      <c r="AF65" s="387"/>
      <c r="AG65" s="387"/>
      <c r="AH65" s="387"/>
      <c r="AI65" s="387"/>
      <c r="AJ65" s="387"/>
      <c r="AK65" s="387"/>
      <c r="AL65" s="387"/>
      <c r="AM65" s="988"/>
      <c r="AN65" s="387"/>
      <c r="AO65" s="387"/>
      <c r="AP65" s="387"/>
      <c r="AQ65" s="387"/>
      <c r="AR65" s="387"/>
      <c r="AS65" s="387"/>
      <c r="AT65" s="387"/>
      <c r="AU65" s="387"/>
      <c r="AV65" s="387"/>
      <c r="AW65" s="387"/>
      <c r="AX65" s="387"/>
      <c r="AY65" s="988"/>
      <c r="AZ65" s="387"/>
      <c r="BA65" s="387"/>
      <c r="BB65" s="387"/>
      <c r="BC65" s="387"/>
      <c r="BD65" s="387"/>
      <c r="BE65" s="387"/>
      <c r="BF65" s="387"/>
      <c r="BG65" s="387"/>
      <c r="BH65" s="387"/>
      <c r="BI65" s="387"/>
      <c r="BJ65" s="387"/>
      <c r="BK65" s="988"/>
      <c r="BL65" s="387"/>
      <c r="BM65" s="387"/>
      <c r="BN65" s="387"/>
      <c r="BO65" s="387"/>
      <c r="BP65" s="387"/>
      <c r="BQ65" s="387"/>
      <c r="BR65" s="387"/>
      <c r="BS65" s="387"/>
      <c r="BT65" s="387"/>
      <c r="BU65" s="387"/>
      <c r="BV65" s="387"/>
      <c r="BW65" s="988"/>
      <c r="BX65" s="387"/>
      <c r="BY65" s="387"/>
      <c r="BZ65" s="387"/>
      <c r="CA65" s="387"/>
      <c r="CB65" s="387"/>
      <c r="CC65" s="387"/>
      <c r="CD65" s="387"/>
      <c r="CE65" s="387"/>
      <c r="CF65" s="387"/>
      <c r="CG65" s="387"/>
      <c r="CH65" s="387"/>
      <c r="CI65" s="988"/>
      <c r="CJ65" s="387"/>
      <c r="CK65" s="387"/>
      <c r="CL65" s="387"/>
      <c r="CM65" s="387"/>
      <c r="CN65" s="387"/>
      <c r="CO65" s="387"/>
      <c r="CP65" s="387"/>
      <c r="CQ65" s="387"/>
      <c r="CR65" s="387"/>
      <c r="CS65" s="387"/>
      <c r="CT65" s="387"/>
      <c r="CU65" s="988"/>
      <c r="CV65" s="387"/>
      <c r="CW65" s="387"/>
      <c r="CX65" s="387"/>
      <c r="CY65" s="387"/>
      <c r="CZ65" s="387"/>
      <c r="DA65" s="387"/>
      <c r="DB65" s="387"/>
      <c r="DC65" s="387"/>
      <c r="DD65" s="387"/>
      <c r="DE65" s="387"/>
      <c r="DF65" s="387"/>
      <c r="DG65" s="988"/>
      <c r="DH65" s="387"/>
      <c r="DI65" s="387"/>
      <c r="DJ65" s="387"/>
      <c r="DK65" s="387"/>
      <c r="DL65" s="387"/>
      <c r="DM65" s="387"/>
      <c r="DN65" s="387"/>
      <c r="DO65" s="387"/>
      <c r="DP65" s="387"/>
      <c r="DQ65" s="387"/>
      <c r="DR65" s="387"/>
      <c r="DS65" s="988"/>
      <c r="DT65" s="387" t="s">
        <v>2154</v>
      </c>
      <c r="DU65" s="387" t="s">
        <v>2154</v>
      </c>
      <c r="DV65" s="387" t="s">
        <v>2154</v>
      </c>
      <c r="DW65" s="387" t="s">
        <v>2154</v>
      </c>
      <c r="DX65" s="387" t="s">
        <v>2154</v>
      </c>
      <c r="DY65" s="387" t="s">
        <v>2154</v>
      </c>
      <c r="DZ65" s="387" t="s">
        <v>2154</v>
      </c>
      <c r="EA65" s="387" t="s">
        <v>2154</v>
      </c>
      <c r="EB65" s="387" t="s">
        <v>2154</v>
      </c>
      <c r="EC65" s="387" t="s">
        <v>2154</v>
      </c>
      <c r="ED65" s="387" t="s">
        <v>2154</v>
      </c>
      <c r="EE65" s="988" t="s">
        <v>2154</v>
      </c>
      <c r="EF65" s="387"/>
      <c r="EG65" s="387"/>
      <c r="EH65" s="387"/>
      <c r="EI65" s="387"/>
      <c r="EJ65" s="387"/>
      <c r="EK65" s="387"/>
      <c r="EL65" s="387"/>
      <c r="EM65" s="387"/>
      <c r="EN65" s="387"/>
      <c r="EO65" s="387"/>
      <c r="EP65" s="387"/>
      <c r="EQ65" s="988"/>
      <c r="ER65" s="387"/>
      <c r="ES65" s="387"/>
      <c r="ET65" s="387"/>
      <c r="EU65" s="387"/>
      <c r="EV65" s="387"/>
      <c r="EW65" s="387"/>
      <c r="EX65" s="387"/>
      <c r="EY65" s="387"/>
      <c r="EZ65" s="387"/>
      <c r="FA65" s="387"/>
      <c r="FB65" s="387"/>
      <c r="FC65" s="988"/>
      <c r="FD65" s="387"/>
      <c r="FE65" s="387"/>
      <c r="FF65" s="387"/>
      <c r="FG65" s="387"/>
      <c r="FH65" s="387"/>
      <c r="FI65" s="387"/>
      <c r="FJ65" s="387"/>
      <c r="FK65" s="387"/>
      <c r="FL65" s="387"/>
      <c r="FM65" s="387"/>
      <c r="FN65" s="387"/>
      <c r="FO65" s="988"/>
      <c r="FP65" s="387"/>
      <c r="FQ65" s="387"/>
      <c r="FR65" s="387"/>
      <c r="FS65" s="387"/>
      <c r="FT65" s="387"/>
      <c r="FU65" s="387"/>
      <c r="FV65" s="387"/>
      <c r="FW65" s="387"/>
      <c r="FX65" s="387"/>
      <c r="FY65" s="387"/>
      <c r="FZ65" s="387"/>
      <c r="GA65" s="988"/>
      <c r="GB65" s="109"/>
      <c r="GC65" s="1036">
        <f t="shared" si="96"/>
        <v>1286.94</v>
      </c>
      <c r="GD65" s="387">
        <f t="shared" si="96"/>
        <v>1737.5499999999997</v>
      </c>
      <c r="GE65" s="387">
        <f t="shared" si="96"/>
        <v>1037.4299999999998</v>
      </c>
      <c r="GF65" s="387">
        <f t="shared" si="96"/>
        <v>1283.78</v>
      </c>
      <c r="GG65" s="387">
        <f t="shared" si="96"/>
        <v>2343.88</v>
      </c>
      <c r="GH65" s="387">
        <f t="shared" si="96"/>
        <v>3149.8399999999997</v>
      </c>
      <c r="GI65" s="387">
        <f t="shared" si="96"/>
        <v>2372.7599999999998</v>
      </c>
      <c r="GJ65" s="387">
        <f t="shared" si="96"/>
        <v>2094.66</v>
      </c>
      <c r="GK65" s="387">
        <f t="shared" si="96"/>
        <v>1783.41</v>
      </c>
      <c r="GL65" s="387">
        <f t="shared" si="96"/>
        <v>1503.5900000000001</v>
      </c>
      <c r="GM65" s="387">
        <f t="shared" si="96"/>
        <v>1635.8899999999999</v>
      </c>
      <c r="GN65" s="988">
        <f t="shared" si="96"/>
        <v>1707.75</v>
      </c>
      <c r="GO65" s="1036">
        <f t="shared" si="97"/>
        <v>0</v>
      </c>
      <c r="GP65" s="387">
        <f t="shared" si="97"/>
        <v>0</v>
      </c>
      <c r="GQ65" s="387">
        <f t="shared" si="97"/>
        <v>0</v>
      </c>
      <c r="GR65" s="387">
        <f t="shared" si="97"/>
        <v>0</v>
      </c>
      <c r="GS65" s="387">
        <f t="shared" si="97"/>
        <v>0</v>
      </c>
      <c r="GT65" s="387">
        <f t="shared" si="97"/>
        <v>0</v>
      </c>
      <c r="GU65" s="387">
        <f t="shared" si="97"/>
        <v>0</v>
      </c>
      <c r="GV65" s="387">
        <f t="shared" si="97"/>
        <v>0</v>
      </c>
      <c r="GW65" s="387">
        <f t="shared" si="97"/>
        <v>0</v>
      </c>
      <c r="GX65" s="387">
        <f t="shared" si="97"/>
        <v>0</v>
      </c>
      <c r="GY65" s="387">
        <f t="shared" si="97"/>
        <v>0</v>
      </c>
      <c r="GZ65" s="988">
        <f t="shared" si="97"/>
        <v>0</v>
      </c>
      <c r="HB65" s="387"/>
      <c r="HC65" s="387"/>
      <c r="HD65" s="387"/>
      <c r="HE65" s="387"/>
      <c r="HF65" s="387"/>
      <c r="HG65" s="387"/>
      <c r="HH65" s="387"/>
      <c r="HI65" s="387"/>
      <c r="HJ65" s="387"/>
      <c r="HK65" s="387"/>
      <c r="HL65" s="387"/>
      <c r="HM65" s="988"/>
    </row>
    <row r="66" spans="1:221">
      <c r="A66" s="326" t="s">
        <v>1577</v>
      </c>
      <c r="B66" s="326" t="s">
        <v>1992</v>
      </c>
      <c r="C66" s="326" t="s">
        <v>3899</v>
      </c>
      <c r="D66" s="1036">
        <v>70.679999999999993</v>
      </c>
      <c r="E66" s="387">
        <v>95.59</v>
      </c>
      <c r="F66" s="387">
        <v>56.820000000000007</v>
      </c>
      <c r="G66" s="387">
        <v>70.91</v>
      </c>
      <c r="H66" s="387">
        <v>128.04</v>
      </c>
      <c r="I66" s="387">
        <v>167.41</v>
      </c>
      <c r="J66" s="387">
        <v>128.52000000000001</v>
      </c>
      <c r="K66" s="387">
        <v>113.4</v>
      </c>
      <c r="L66" s="387">
        <v>95.960000000000008</v>
      </c>
      <c r="M66" s="387">
        <v>77.38</v>
      </c>
      <c r="N66" s="387">
        <v>88.84</v>
      </c>
      <c r="O66" s="988">
        <v>92.27</v>
      </c>
      <c r="P66" s="387" t="s">
        <v>2154</v>
      </c>
      <c r="Q66" s="387" t="s">
        <v>2154</v>
      </c>
      <c r="R66" s="387" t="s">
        <v>2154</v>
      </c>
      <c r="S66" s="387" t="s">
        <v>2154</v>
      </c>
      <c r="T66" s="387" t="s">
        <v>2154</v>
      </c>
      <c r="U66" s="387" t="s">
        <v>2154</v>
      </c>
      <c r="V66" s="387" t="s">
        <v>2154</v>
      </c>
      <c r="W66" s="387" t="s">
        <v>2154</v>
      </c>
      <c r="X66" s="387" t="s">
        <v>2154</v>
      </c>
      <c r="Y66" s="387" t="s">
        <v>2154</v>
      </c>
      <c r="Z66" s="387" t="s">
        <v>2154</v>
      </c>
      <c r="AA66" s="988" t="s">
        <v>2154</v>
      </c>
      <c r="AB66" s="387"/>
      <c r="AC66" s="387"/>
      <c r="AD66" s="387"/>
      <c r="AE66" s="387"/>
      <c r="AF66" s="387"/>
      <c r="AG66" s="387"/>
      <c r="AH66" s="387"/>
      <c r="AI66" s="387"/>
      <c r="AJ66" s="387"/>
      <c r="AK66" s="387"/>
      <c r="AL66" s="387"/>
      <c r="AM66" s="988"/>
      <c r="AN66" s="387"/>
      <c r="AO66" s="387"/>
      <c r="AP66" s="387"/>
      <c r="AQ66" s="387"/>
      <c r="AR66" s="387"/>
      <c r="AS66" s="387"/>
      <c r="AT66" s="387"/>
      <c r="AU66" s="387"/>
      <c r="AV66" s="387"/>
      <c r="AW66" s="387"/>
      <c r="AX66" s="387"/>
      <c r="AY66" s="988"/>
      <c r="AZ66" s="387"/>
      <c r="BA66" s="387"/>
      <c r="BB66" s="387"/>
      <c r="BC66" s="387"/>
      <c r="BD66" s="387"/>
      <c r="BE66" s="387"/>
      <c r="BF66" s="387"/>
      <c r="BG66" s="387"/>
      <c r="BH66" s="387"/>
      <c r="BI66" s="387"/>
      <c r="BJ66" s="387"/>
      <c r="BK66" s="988"/>
      <c r="BL66" s="387"/>
      <c r="BM66" s="387"/>
      <c r="BN66" s="387"/>
      <c r="BO66" s="387"/>
      <c r="BP66" s="387"/>
      <c r="BQ66" s="387"/>
      <c r="BR66" s="387"/>
      <c r="BS66" s="387"/>
      <c r="BT66" s="387"/>
      <c r="BU66" s="387"/>
      <c r="BV66" s="387"/>
      <c r="BW66" s="988"/>
      <c r="BX66" s="387"/>
      <c r="BY66" s="387"/>
      <c r="BZ66" s="387"/>
      <c r="CA66" s="387"/>
      <c r="CB66" s="387"/>
      <c r="CC66" s="387"/>
      <c r="CD66" s="387"/>
      <c r="CE66" s="387"/>
      <c r="CF66" s="387"/>
      <c r="CG66" s="387"/>
      <c r="CH66" s="387"/>
      <c r="CI66" s="988"/>
      <c r="CJ66" s="387"/>
      <c r="CK66" s="387"/>
      <c r="CL66" s="387"/>
      <c r="CM66" s="387"/>
      <c r="CN66" s="387"/>
      <c r="CO66" s="387"/>
      <c r="CP66" s="387"/>
      <c r="CQ66" s="387"/>
      <c r="CR66" s="387"/>
      <c r="CS66" s="387"/>
      <c r="CT66" s="387"/>
      <c r="CU66" s="988"/>
      <c r="CV66" s="387"/>
      <c r="CW66" s="387"/>
      <c r="CX66" s="387"/>
      <c r="CY66" s="387"/>
      <c r="CZ66" s="387"/>
      <c r="DA66" s="387"/>
      <c r="DB66" s="387"/>
      <c r="DC66" s="387"/>
      <c r="DD66" s="387"/>
      <c r="DE66" s="387"/>
      <c r="DF66" s="387"/>
      <c r="DG66" s="988"/>
      <c r="DH66" s="387"/>
      <c r="DI66" s="387"/>
      <c r="DJ66" s="387"/>
      <c r="DK66" s="387"/>
      <c r="DL66" s="387"/>
      <c r="DM66" s="387"/>
      <c r="DN66" s="387"/>
      <c r="DO66" s="387"/>
      <c r="DP66" s="387"/>
      <c r="DQ66" s="387"/>
      <c r="DR66" s="387"/>
      <c r="DS66" s="988"/>
      <c r="DT66" s="387" t="s">
        <v>2154</v>
      </c>
      <c r="DU66" s="387" t="s">
        <v>2154</v>
      </c>
      <c r="DV66" s="387" t="s">
        <v>2154</v>
      </c>
      <c r="DW66" s="387" t="s">
        <v>2154</v>
      </c>
      <c r="DX66" s="387" t="s">
        <v>2154</v>
      </c>
      <c r="DY66" s="387" t="s">
        <v>2154</v>
      </c>
      <c r="DZ66" s="387" t="s">
        <v>2154</v>
      </c>
      <c r="EA66" s="387" t="s">
        <v>2154</v>
      </c>
      <c r="EB66" s="387" t="s">
        <v>2154</v>
      </c>
      <c r="EC66" s="387" t="s">
        <v>2154</v>
      </c>
      <c r="ED66" s="387" t="s">
        <v>2154</v>
      </c>
      <c r="EE66" s="988" t="s">
        <v>2154</v>
      </c>
      <c r="EF66" s="387"/>
      <c r="EG66" s="387"/>
      <c r="EH66" s="387"/>
      <c r="EI66" s="387"/>
      <c r="EJ66" s="387"/>
      <c r="EK66" s="387"/>
      <c r="EL66" s="387"/>
      <c r="EM66" s="387"/>
      <c r="EN66" s="387"/>
      <c r="EO66" s="387"/>
      <c r="EP66" s="387"/>
      <c r="EQ66" s="988"/>
      <c r="ER66" s="387"/>
      <c r="ES66" s="387"/>
      <c r="ET66" s="387"/>
      <c r="EU66" s="387"/>
      <c r="EV66" s="387"/>
      <c r="EW66" s="387"/>
      <c r="EX66" s="387"/>
      <c r="EY66" s="387"/>
      <c r="EZ66" s="387"/>
      <c r="FA66" s="387"/>
      <c r="FB66" s="387"/>
      <c r="FC66" s="988"/>
      <c r="FD66" s="387"/>
      <c r="FE66" s="387"/>
      <c r="FF66" s="387"/>
      <c r="FG66" s="387"/>
      <c r="FH66" s="387"/>
      <c r="FI66" s="387"/>
      <c r="FJ66" s="387"/>
      <c r="FK66" s="387"/>
      <c r="FL66" s="387"/>
      <c r="FM66" s="387"/>
      <c r="FN66" s="387"/>
      <c r="FO66" s="988"/>
      <c r="FP66" s="387"/>
      <c r="FQ66" s="387"/>
      <c r="FR66" s="387"/>
      <c r="FS66" s="387"/>
      <c r="FT66" s="387"/>
      <c r="FU66" s="387"/>
      <c r="FV66" s="387"/>
      <c r="FW66" s="387"/>
      <c r="FX66" s="387"/>
      <c r="FY66" s="387"/>
      <c r="FZ66" s="387"/>
      <c r="GA66" s="988"/>
      <c r="GB66" s="109"/>
      <c r="GC66" s="1036">
        <f t="shared" si="96"/>
        <v>70.679999999999993</v>
      </c>
      <c r="GD66" s="387">
        <f t="shared" si="96"/>
        <v>95.59</v>
      </c>
      <c r="GE66" s="387">
        <f t="shared" si="96"/>
        <v>56.820000000000007</v>
      </c>
      <c r="GF66" s="387">
        <f t="shared" si="96"/>
        <v>70.91</v>
      </c>
      <c r="GG66" s="387">
        <f t="shared" si="96"/>
        <v>128.04</v>
      </c>
      <c r="GH66" s="387">
        <f t="shared" si="96"/>
        <v>167.41</v>
      </c>
      <c r="GI66" s="387">
        <f t="shared" si="96"/>
        <v>128.52000000000001</v>
      </c>
      <c r="GJ66" s="387">
        <f t="shared" si="96"/>
        <v>113.4</v>
      </c>
      <c r="GK66" s="387">
        <f t="shared" si="96"/>
        <v>95.960000000000008</v>
      </c>
      <c r="GL66" s="387">
        <f t="shared" si="96"/>
        <v>77.38</v>
      </c>
      <c r="GM66" s="387">
        <f t="shared" si="96"/>
        <v>88.84</v>
      </c>
      <c r="GN66" s="988">
        <f t="shared" si="96"/>
        <v>92.27</v>
      </c>
      <c r="GO66" s="1036">
        <f t="shared" si="97"/>
        <v>0</v>
      </c>
      <c r="GP66" s="387">
        <f t="shared" si="97"/>
        <v>0</v>
      </c>
      <c r="GQ66" s="387">
        <f t="shared" si="97"/>
        <v>0</v>
      </c>
      <c r="GR66" s="387">
        <f t="shared" si="97"/>
        <v>0</v>
      </c>
      <c r="GS66" s="387">
        <f t="shared" si="97"/>
        <v>0</v>
      </c>
      <c r="GT66" s="387">
        <f t="shared" si="97"/>
        <v>0</v>
      </c>
      <c r="GU66" s="387">
        <f t="shared" si="97"/>
        <v>0</v>
      </c>
      <c r="GV66" s="387">
        <f t="shared" si="97"/>
        <v>0</v>
      </c>
      <c r="GW66" s="387">
        <f t="shared" si="97"/>
        <v>0</v>
      </c>
      <c r="GX66" s="387">
        <f t="shared" si="97"/>
        <v>0</v>
      </c>
      <c r="GY66" s="387">
        <f t="shared" si="97"/>
        <v>0</v>
      </c>
      <c r="GZ66" s="988">
        <f t="shared" si="97"/>
        <v>0</v>
      </c>
      <c r="HB66" s="387"/>
      <c r="HC66" s="387"/>
      <c r="HD66" s="387"/>
      <c r="HE66" s="387"/>
      <c r="HF66" s="387"/>
      <c r="HG66" s="387"/>
      <c r="HH66" s="387"/>
      <c r="HI66" s="387"/>
      <c r="HJ66" s="387"/>
      <c r="HK66" s="387"/>
      <c r="HL66" s="387"/>
      <c r="HM66" s="988"/>
    </row>
    <row r="67" spans="1:221">
      <c r="A67" s="326" t="s">
        <v>1577</v>
      </c>
      <c r="B67" s="326" t="s">
        <v>1581</v>
      </c>
      <c r="C67" s="326" t="s">
        <v>3687</v>
      </c>
      <c r="D67" s="1036">
        <v>14358.69</v>
      </c>
      <c r="E67" s="387">
        <v>13901.9</v>
      </c>
      <c r="F67" s="387">
        <v>12916.690000000002</v>
      </c>
      <c r="G67" s="387">
        <v>14064.07</v>
      </c>
      <c r="H67" s="387">
        <v>15496.74</v>
      </c>
      <c r="I67" s="387">
        <v>15565.630000000001</v>
      </c>
      <c r="J67" s="387">
        <v>14273.350000000002</v>
      </c>
      <c r="K67" s="387">
        <v>13351.47</v>
      </c>
      <c r="L67" s="387">
        <v>12238.97</v>
      </c>
      <c r="M67" s="387">
        <v>11943.080000000002</v>
      </c>
      <c r="N67" s="387">
        <v>14194.720000000001</v>
      </c>
      <c r="O67" s="988">
        <v>14184.010000000002</v>
      </c>
      <c r="P67" s="387" t="s">
        <v>2154</v>
      </c>
      <c r="Q67" s="387" t="s">
        <v>2154</v>
      </c>
      <c r="R67" s="387" t="s">
        <v>2154</v>
      </c>
      <c r="S67" s="387" t="s">
        <v>2154</v>
      </c>
      <c r="T67" s="387" t="s">
        <v>2154</v>
      </c>
      <c r="U67" s="387" t="s">
        <v>2154</v>
      </c>
      <c r="V67" s="387" t="s">
        <v>2154</v>
      </c>
      <c r="W67" s="387" t="s">
        <v>2154</v>
      </c>
      <c r="X67" s="387" t="s">
        <v>2154</v>
      </c>
      <c r="Y67" s="387" t="s">
        <v>2154</v>
      </c>
      <c r="Z67" s="387" t="s">
        <v>2154</v>
      </c>
      <c r="AA67" s="988" t="s">
        <v>2154</v>
      </c>
      <c r="AB67" s="387"/>
      <c r="AC67" s="387"/>
      <c r="AD67" s="387"/>
      <c r="AE67" s="387"/>
      <c r="AF67" s="387"/>
      <c r="AG67" s="387"/>
      <c r="AH67" s="387"/>
      <c r="AI67" s="387"/>
      <c r="AJ67" s="387"/>
      <c r="AK67" s="387"/>
      <c r="AL67" s="387"/>
      <c r="AM67" s="988"/>
      <c r="AN67" s="387"/>
      <c r="AO67" s="387"/>
      <c r="AP67" s="387"/>
      <c r="AQ67" s="387"/>
      <c r="AR67" s="387"/>
      <c r="AS67" s="387"/>
      <c r="AT67" s="387"/>
      <c r="AU67" s="387"/>
      <c r="AV67" s="387"/>
      <c r="AW67" s="387"/>
      <c r="AX67" s="387"/>
      <c r="AY67" s="988"/>
      <c r="AZ67" s="387"/>
      <c r="BA67" s="387"/>
      <c r="BB67" s="387"/>
      <c r="BC67" s="387"/>
      <c r="BD67" s="387"/>
      <c r="BE67" s="387"/>
      <c r="BF67" s="387"/>
      <c r="BG67" s="387"/>
      <c r="BH67" s="387"/>
      <c r="BI67" s="387"/>
      <c r="BJ67" s="387"/>
      <c r="BK67" s="988"/>
      <c r="BL67" s="387"/>
      <c r="BM67" s="387"/>
      <c r="BN67" s="387"/>
      <c r="BO67" s="387"/>
      <c r="BP67" s="387"/>
      <c r="BQ67" s="387"/>
      <c r="BR67" s="387"/>
      <c r="BS67" s="387"/>
      <c r="BT67" s="387"/>
      <c r="BU67" s="387"/>
      <c r="BV67" s="387"/>
      <c r="BW67" s="988"/>
      <c r="BX67" s="387"/>
      <c r="BY67" s="387"/>
      <c r="BZ67" s="387"/>
      <c r="CA67" s="387"/>
      <c r="CB67" s="387"/>
      <c r="CC67" s="387"/>
      <c r="CD67" s="387"/>
      <c r="CE67" s="387"/>
      <c r="CF67" s="387"/>
      <c r="CG67" s="387"/>
      <c r="CH67" s="387"/>
      <c r="CI67" s="988"/>
      <c r="CJ67" s="387"/>
      <c r="CK67" s="387"/>
      <c r="CL67" s="387"/>
      <c r="CM67" s="387"/>
      <c r="CN67" s="387"/>
      <c r="CO67" s="387"/>
      <c r="CP67" s="387"/>
      <c r="CQ67" s="387"/>
      <c r="CR67" s="387"/>
      <c r="CS67" s="387"/>
      <c r="CT67" s="387"/>
      <c r="CU67" s="988"/>
      <c r="CV67" s="387"/>
      <c r="CW67" s="387"/>
      <c r="CX67" s="387"/>
      <c r="CY67" s="387"/>
      <c r="CZ67" s="387"/>
      <c r="DA67" s="387"/>
      <c r="DB67" s="387"/>
      <c r="DC67" s="387"/>
      <c r="DD67" s="387"/>
      <c r="DE67" s="387"/>
      <c r="DF67" s="387"/>
      <c r="DG67" s="988"/>
      <c r="DH67" s="387"/>
      <c r="DI67" s="387"/>
      <c r="DJ67" s="387"/>
      <c r="DK67" s="387"/>
      <c r="DL67" s="387"/>
      <c r="DM67" s="387"/>
      <c r="DN67" s="387"/>
      <c r="DO67" s="387"/>
      <c r="DP67" s="387"/>
      <c r="DQ67" s="387"/>
      <c r="DR67" s="387"/>
      <c r="DS67" s="988"/>
      <c r="DT67" s="387" t="s">
        <v>2154</v>
      </c>
      <c r="DU67" s="387" t="s">
        <v>2154</v>
      </c>
      <c r="DV67" s="387" t="s">
        <v>2154</v>
      </c>
      <c r="DW67" s="387" t="s">
        <v>2154</v>
      </c>
      <c r="DX67" s="387" t="s">
        <v>2154</v>
      </c>
      <c r="DY67" s="387" t="s">
        <v>2154</v>
      </c>
      <c r="DZ67" s="387" t="s">
        <v>2154</v>
      </c>
      <c r="EA67" s="387" t="s">
        <v>2154</v>
      </c>
      <c r="EB67" s="387" t="s">
        <v>2154</v>
      </c>
      <c r="EC67" s="387" t="s">
        <v>2154</v>
      </c>
      <c r="ED67" s="387" t="s">
        <v>2154</v>
      </c>
      <c r="EE67" s="988" t="s">
        <v>2154</v>
      </c>
      <c r="EF67" s="387"/>
      <c r="EG67" s="387"/>
      <c r="EH67" s="387"/>
      <c r="EI67" s="387"/>
      <c r="EJ67" s="387"/>
      <c r="EK67" s="387"/>
      <c r="EL67" s="387"/>
      <c r="EM67" s="387"/>
      <c r="EN67" s="387"/>
      <c r="EO67" s="387"/>
      <c r="EP67" s="387"/>
      <c r="EQ67" s="988"/>
      <c r="ER67" s="387"/>
      <c r="ES67" s="387"/>
      <c r="ET67" s="387"/>
      <c r="EU67" s="387"/>
      <c r="EV67" s="387"/>
      <c r="EW67" s="387"/>
      <c r="EX67" s="387"/>
      <c r="EY67" s="387"/>
      <c r="EZ67" s="387"/>
      <c r="FA67" s="387"/>
      <c r="FB67" s="387"/>
      <c r="FC67" s="988"/>
      <c r="FD67" s="387"/>
      <c r="FE67" s="387"/>
      <c r="FF67" s="387"/>
      <c r="FG67" s="387"/>
      <c r="FH67" s="387"/>
      <c r="FI67" s="387"/>
      <c r="FJ67" s="387"/>
      <c r="FK67" s="387"/>
      <c r="FL67" s="387"/>
      <c r="FM67" s="387"/>
      <c r="FN67" s="387"/>
      <c r="FO67" s="988"/>
      <c r="FP67" s="387"/>
      <c r="FQ67" s="387"/>
      <c r="FR67" s="387"/>
      <c r="FS67" s="387"/>
      <c r="FT67" s="387"/>
      <c r="FU67" s="387"/>
      <c r="FV67" s="387"/>
      <c r="FW67" s="387"/>
      <c r="FX67" s="387"/>
      <c r="FY67" s="387"/>
      <c r="FZ67" s="387"/>
      <c r="GA67" s="988"/>
      <c r="GB67" s="109"/>
      <c r="GC67" s="1036">
        <f t="shared" si="96"/>
        <v>14358.69</v>
      </c>
      <c r="GD67" s="387">
        <f t="shared" si="96"/>
        <v>13901.9</v>
      </c>
      <c r="GE67" s="387">
        <f t="shared" si="96"/>
        <v>12916.690000000002</v>
      </c>
      <c r="GF67" s="387">
        <f t="shared" si="96"/>
        <v>14064.07</v>
      </c>
      <c r="GG67" s="387">
        <f t="shared" si="96"/>
        <v>15496.74</v>
      </c>
      <c r="GH67" s="387">
        <f t="shared" si="96"/>
        <v>15565.630000000001</v>
      </c>
      <c r="GI67" s="387">
        <f t="shared" si="96"/>
        <v>14273.350000000002</v>
      </c>
      <c r="GJ67" s="387">
        <f t="shared" si="96"/>
        <v>13351.47</v>
      </c>
      <c r="GK67" s="387">
        <f t="shared" si="96"/>
        <v>12238.97</v>
      </c>
      <c r="GL67" s="387">
        <f t="shared" si="96"/>
        <v>11943.080000000002</v>
      </c>
      <c r="GM67" s="387">
        <f t="shared" si="96"/>
        <v>14194.720000000001</v>
      </c>
      <c r="GN67" s="988">
        <f t="shared" si="96"/>
        <v>14184.010000000002</v>
      </c>
      <c r="GO67" s="1036">
        <f t="shared" si="97"/>
        <v>0</v>
      </c>
      <c r="GP67" s="387">
        <f t="shared" si="97"/>
        <v>0</v>
      </c>
      <c r="GQ67" s="387">
        <f t="shared" si="97"/>
        <v>0</v>
      </c>
      <c r="GR67" s="387">
        <f t="shared" si="97"/>
        <v>0</v>
      </c>
      <c r="GS67" s="387">
        <f t="shared" si="97"/>
        <v>0</v>
      </c>
      <c r="GT67" s="387">
        <f t="shared" si="97"/>
        <v>0</v>
      </c>
      <c r="GU67" s="387">
        <f t="shared" si="97"/>
        <v>0</v>
      </c>
      <c r="GV67" s="387">
        <f t="shared" si="97"/>
        <v>0</v>
      </c>
      <c r="GW67" s="387">
        <f t="shared" si="97"/>
        <v>0</v>
      </c>
      <c r="GX67" s="387">
        <f t="shared" si="97"/>
        <v>0</v>
      </c>
      <c r="GY67" s="387">
        <f t="shared" si="97"/>
        <v>0</v>
      </c>
      <c r="GZ67" s="988">
        <f t="shared" si="97"/>
        <v>0</v>
      </c>
      <c r="HB67" s="387"/>
      <c r="HC67" s="387"/>
      <c r="HD67" s="387"/>
      <c r="HE67" s="387"/>
      <c r="HF67" s="387"/>
      <c r="HG67" s="387"/>
      <c r="HH67" s="387"/>
      <c r="HI67" s="387"/>
      <c r="HJ67" s="387"/>
      <c r="HK67" s="387"/>
      <c r="HL67" s="387"/>
      <c r="HM67" s="988"/>
    </row>
    <row r="68" spans="1:221">
      <c r="A68" s="326" t="s">
        <v>1577</v>
      </c>
      <c r="B68" s="326" t="s">
        <v>1581</v>
      </c>
      <c r="C68" s="326" t="s">
        <v>3899</v>
      </c>
      <c r="D68" s="1036">
        <v>895.31000000000017</v>
      </c>
      <c r="E68" s="387">
        <v>872.26</v>
      </c>
      <c r="F68" s="387">
        <v>822.24</v>
      </c>
      <c r="G68" s="387">
        <v>876.39</v>
      </c>
      <c r="H68" s="387">
        <v>962.22</v>
      </c>
      <c r="I68" s="387">
        <v>945.52</v>
      </c>
      <c r="J68" s="387">
        <v>803.41</v>
      </c>
      <c r="K68" s="387">
        <v>743.16</v>
      </c>
      <c r="L68" s="387">
        <v>732.4899999999999</v>
      </c>
      <c r="M68" s="387">
        <v>691.2299999999999</v>
      </c>
      <c r="N68" s="387">
        <v>773.9</v>
      </c>
      <c r="O68" s="988">
        <v>819.95</v>
      </c>
      <c r="P68" s="387" t="s">
        <v>2154</v>
      </c>
      <c r="Q68" s="387" t="s">
        <v>2154</v>
      </c>
      <c r="R68" s="387" t="s">
        <v>2154</v>
      </c>
      <c r="S68" s="387" t="s">
        <v>2154</v>
      </c>
      <c r="T68" s="387" t="s">
        <v>2154</v>
      </c>
      <c r="U68" s="387" t="s">
        <v>2154</v>
      </c>
      <c r="V68" s="387" t="s">
        <v>2154</v>
      </c>
      <c r="W68" s="387" t="s">
        <v>2154</v>
      </c>
      <c r="X68" s="387" t="s">
        <v>2154</v>
      </c>
      <c r="Y68" s="387" t="s">
        <v>2154</v>
      </c>
      <c r="Z68" s="387" t="s">
        <v>2154</v>
      </c>
      <c r="AA68" s="988" t="s">
        <v>2154</v>
      </c>
      <c r="AB68" s="387"/>
      <c r="AC68" s="387"/>
      <c r="AD68" s="387"/>
      <c r="AE68" s="387"/>
      <c r="AF68" s="387"/>
      <c r="AG68" s="387"/>
      <c r="AH68" s="387"/>
      <c r="AI68" s="387"/>
      <c r="AJ68" s="387"/>
      <c r="AK68" s="387"/>
      <c r="AL68" s="387"/>
      <c r="AM68" s="988"/>
      <c r="AN68" s="387"/>
      <c r="AO68" s="387"/>
      <c r="AP68" s="387"/>
      <c r="AQ68" s="387"/>
      <c r="AR68" s="387"/>
      <c r="AS68" s="387"/>
      <c r="AT68" s="387"/>
      <c r="AU68" s="387"/>
      <c r="AV68" s="387"/>
      <c r="AW68" s="387"/>
      <c r="AX68" s="387"/>
      <c r="AY68" s="988"/>
      <c r="AZ68" s="387"/>
      <c r="BA68" s="387"/>
      <c r="BB68" s="387"/>
      <c r="BC68" s="387"/>
      <c r="BD68" s="387"/>
      <c r="BE68" s="387"/>
      <c r="BF68" s="387"/>
      <c r="BG68" s="387"/>
      <c r="BH68" s="387"/>
      <c r="BI68" s="387"/>
      <c r="BJ68" s="387"/>
      <c r="BK68" s="988"/>
      <c r="BL68" s="387"/>
      <c r="BM68" s="387"/>
      <c r="BN68" s="387"/>
      <c r="BO68" s="387"/>
      <c r="BP68" s="387"/>
      <c r="BQ68" s="387"/>
      <c r="BR68" s="387"/>
      <c r="BS68" s="387"/>
      <c r="BT68" s="387"/>
      <c r="BU68" s="387"/>
      <c r="BV68" s="387"/>
      <c r="BW68" s="988"/>
      <c r="BX68" s="387"/>
      <c r="BY68" s="387"/>
      <c r="BZ68" s="387"/>
      <c r="CA68" s="387"/>
      <c r="CB68" s="387"/>
      <c r="CC68" s="387"/>
      <c r="CD68" s="387"/>
      <c r="CE68" s="387"/>
      <c r="CF68" s="387"/>
      <c r="CG68" s="387"/>
      <c r="CH68" s="387"/>
      <c r="CI68" s="988"/>
      <c r="CJ68" s="387"/>
      <c r="CK68" s="387"/>
      <c r="CL68" s="387"/>
      <c r="CM68" s="387"/>
      <c r="CN68" s="387"/>
      <c r="CO68" s="387"/>
      <c r="CP68" s="387"/>
      <c r="CQ68" s="387"/>
      <c r="CR68" s="387"/>
      <c r="CS68" s="387"/>
      <c r="CT68" s="387"/>
      <c r="CU68" s="988"/>
      <c r="CV68" s="387"/>
      <c r="CW68" s="387"/>
      <c r="CX68" s="387"/>
      <c r="CY68" s="387"/>
      <c r="CZ68" s="387"/>
      <c r="DA68" s="387"/>
      <c r="DB68" s="387"/>
      <c r="DC68" s="387"/>
      <c r="DD68" s="387"/>
      <c r="DE68" s="387"/>
      <c r="DF68" s="387"/>
      <c r="DG68" s="988"/>
      <c r="DH68" s="387"/>
      <c r="DI68" s="387"/>
      <c r="DJ68" s="387"/>
      <c r="DK68" s="387"/>
      <c r="DL68" s="387"/>
      <c r="DM68" s="387"/>
      <c r="DN68" s="387"/>
      <c r="DO68" s="387"/>
      <c r="DP68" s="387"/>
      <c r="DQ68" s="387"/>
      <c r="DR68" s="387"/>
      <c r="DS68" s="988"/>
      <c r="DT68" s="387" t="s">
        <v>2154</v>
      </c>
      <c r="DU68" s="387" t="s">
        <v>2154</v>
      </c>
      <c r="DV68" s="387" t="s">
        <v>2154</v>
      </c>
      <c r="DW68" s="387" t="s">
        <v>2154</v>
      </c>
      <c r="DX68" s="387" t="s">
        <v>2154</v>
      </c>
      <c r="DY68" s="387" t="s">
        <v>2154</v>
      </c>
      <c r="DZ68" s="387" t="s">
        <v>2154</v>
      </c>
      <c r="EA68" s="387" t="s">
        <v>2154</v>
      </c>
      <c r="EB68" s="387" t="s">
        <v>2154</v>
      </c>
      <c r="EC68" s="387" t="s">
        <v>2154</v>
      </c>
      <c r="ED68" s="387" t="s">
        <v>2154</v>
      </c>
      <c r="EE68" s="988" t="s">
        <v>2154</v>
      </c>
      <c r="EF68" s="387"/>
      <c r="EG68" s="387"/>
      <c r="EH68" s="387"/>
      <c r="EI68" s="387"/>
      <c r="EJ68" s="387"/>
      <c r="EK68" s="387"/>
      <c r="EL68" s="387"/>
      <c r="EM68" s="387"/>
      <c r="EN68" s="387"/>
      <c r="EO68" s="387"/>
      <c r="EP68" s="387"/>
      <c r="EQ68" s="988"/>
      <c r="ER68" s="387"/>
      <c r="ES68" s="387"/>
      <c r="ET68" s="387"/>
      <c r="EU68" s="387"/>
      <c r="EV68" s="387"/>
      <c r="EW68" s="387"/>
      <c r="EX68" s="387"/>
      <c r="EY68" s="387"/>
      <c r="EZ68" s="387"/>
      <c r="FA68" s="387"/>
      <c r="FB68" s="387"/>
      <c r="FC68" s="988"/>
      <c r="FD68" s="387"/>
      <c r="FE68" s="387"/>
      <c r="FF68" s="387"/>
      <c r="FG68" s="387"/>
      <c r="FH68" s="387"/>
      <c r="FI68" s="387"/>
      <c r="FJ68" s="387"/>
      <c r="FK68" s="387"/>
      <c r="FL68" s="387"/>
      <c r="FM68" s="387"/>
      <c r="FN68" s="387"/>
      <c r="FO68" s="988"/>
      <c r="FP68" s="387"/>
      <c r="FQ68" s="387"/>
      <c r="FR68" s="387"/>
      <c r="FS68" s="387"/>
      <c r="FT68" s="387"/>
      <c r="FU68" s="387"/>
      <c r="FV68" s="387"/>
      <c r="FW68" s="387"/>
      <c r="FX68" s="387"/>
      <c r="FY68" s="387"/>
      <c r="FZ68" s="387"/>
      <c r="GA68" s="988"/>
      <c r="GB68" s="109"/>
      <c r="GC68" s="1036">
        <f t="shared" si="96"/>
        <v>895.31000000000017</v>
      </c>
      <c r="GD68" s="387">
        <f t="shared" si="96"/>
        <v>872.26</v>
      </c>
      <c r="GE68" s="387">
        <f t="shared" si="96"/>
        <v>822.24</v>
      </c>
      <c r="GF68" s="387">
        <f t="shared" si="96"/>
        <v>876.39</v>
      </c>
      <c r="GG68" s="387">
        <f t="shared" si="96"/>
        <v>962.22</v>
      </c>
      <c r="GH68" s="387">
        <f t="shared" si="96"/>
        <v>945.52</v>
      </c>
      <c r="GI68" s="387">
        <f t="shared" si="96"/>
        <v>803.41</v>
      </c>
      <c r="GJ68" s="387">
        <f t="shared" si="96"/>
        <v>743.16</v>
      </c>
      <c r="GK68" s="387">
        <f t="shared" si="96"/>
        <v>732.4899999999999</v>
      </c>
      <c r="GL68" s="387">
        <f t="shared" si="96"/>
        <v>691.2299999999999</v>
      </c>
      <c r="GM68" s="387">
        <f t="shared" si="96"/>
        <v>773.9</v>
      </c>
      <c r="GN68" s="988">
        <f t="shared" si="96"/>
        <v>819.95</v>
      </c>
      <c r="GO68" s="1036">
        <f t="shared" si="97"/>
        <v>0</v>
      </c>
      <c r="GP68" s="387">
        <f t="shared" si="97"/>
        <v>0</v>
      </c>
      <c r="GQ68" s="387">
        <f t="shared" si="97"/>
        <v>0</v>
      </c>
      <c r="GR68" s="387">
        <f t="shared" si="97"/>
        <v>0</v>
      </c>
      <c r="GS68" s="387">
        <f t="shared" si="97"/>
        <v>0</v>
      </c>
      <c r="GT68" s="387">
        <f t="shared" si="97"/>
        <v>0</v>
      </c>
      <c r="GU68" s="387">
        <f t="shared" si="97"/>
        <v>0</v>
      </c>
      <c r="GV68" s="387">
        <f t="shared" si="97"/>
        <v>0</v>
      </c>
      <c r="GW68" s="387">
        <f t="shared" si="97"/>
        <v>0</v>
      </c>
      <c r="GX68" s="387">
        <f t="shared" si="97"/>
        <v>0</v>
      </c>
      <c r="GY68" s="387">
        <f t="shared" si="97"/>
        <v>0</v>
      </c>
      <c r="GZ68" s="988">
        <f t="shared" si="97"/>
        <v>0</v>
      </c>
      <c r="HB68" s="387"/>
      <c r="HC68" s="387"/>
      <c r="HD68" s="387"/>
      <c r="HE68" s="387"/>
      <c r="HF68" s="387"/>
      <c r="HG68" s="387"/>
      <c r="HH68" s="387"/>
      <c r="HI68" s="387"/>
      <c r="HJ68" s="387"/>
      <c r="HK68" s="387"/>
      <c r="HL68" s="387"/>
      <c r="HM68" s="988"/>
    </row>
    <row r="69" spans="1:221">
      <c r="A69" s="326" t="s">
        <v>1577</v>
      </c>
      <c r="B69" s="326" t="s">
        <v>1582</v>
      </c>
      <c r="C69" s="326" t="s">
        <v>3687</v>
      </c>
      <c r="D69" s="1036" t="s">
        <v>2154</v>
      </c>
      <c r="E69" s="387" t="s">
        <v>2154</v>
      </c>
      <c r="F69" s="387" t="s">
        <v>2154</v>
      </c>
      <c r="G69" s="387" t="s">
        <v>2154</v>
      </c>
      <c r="H69" s="387" t="s">
        <v>2154</v>
      </c>
      <c r="I69" s="387" t="s">
        <v>2154</v>
      </c>
      <c r="J69" s="387" t="s">
        <v>2154</v>
      </c>
      <c r="K69" s="387" t="s">
        <v>2154</v>
      </c>
      <c r="L69" s="387" t="s">
        <v>2154</v>
      </c>
      <c r="M69" s="387" t="s">
        <v>2154</v>
      </c>
      <c r="N69" s="387" t="s">
        <v>2154</v>
      </c>
      <c r="O69" s="988" t="s">
        <v>2154</v>
      </c>
      <c r="P69" s="387" t="s">
        <v>2154</v>
      </c>
      <c r="Q69" s="387" t="s">
        <v>2154</v>
      </c>
      <c r="R69" s="387" t="s">
        <v>2154</v>
      </c>
      <c r="S69" s="387" t="s">
        <v>2154</v>
      </c>
      <c r="T69" s="387" t="s">
        <v>2154</v>
      </c>
      <c r="U69" s="387" t="s">
        <v>2154</v>
      </c>
      <c r="V69" s="387" t="s">
        <v>2154</v>
      </c>
      <c r="W69" s="387" t="s">
        <v>2154</v>
      </c>
      <c r="X69" s="387" t="s">
        <v>2154</v>
      </c>
      <c r="Y69" s="387" t="s">
        <v>2154</v>
      </c>
      <c r="Z69" s="387" t="s">
        <v>2154</v>
      </c>
      <c r="AA69" s="988" t="s">
        <v>2154</v>
      </c>
      <c r="AB69" s="387"/>
      <c r="AC69" s="387"/>
      <c r="AD69" s="387"/>
      <c r="AE69" s="387"/>
      <c r="AF69" s="387"/>
      <c r="AG69" s="387"/>
      <c r="AH69" s="387"/>
      <c r="AI69" s="387"/>
      <c r="AJ69" s="387"/>
      <c r="AK69" s="387"/>
      <c r="AL69" s="387"/>
      <c r="AM69" s="988"/>
      <c r="AN69" s="387"/>
      <c r="AO69" s="387"/>
      <c r="AP69" s="387"/>
      <c r="AQ69" s="387"/>
      <c r="AR69" s="387"/>
      <c r="AS69" s="387"/>
      <c r="AT69" s="387"/>
      <c r="AU69" s="387"/>
      <c r="AV69" s="387"/>
      <c r="AW69" s="387"/>
      <c r="AX69" s="387"/>
      <c r="AY69" s="988"/>
      <c r="AZ69" s="387"/>
      <c r="BA69" s="387"/>
      <c r="BB69" s="387"/>
      <c r="BC69" s="387"/>
      <c r="BD69" s="387"/>
      <c r="BE69" s="387"/>
      <c r="BF69" s="387"/>
      <c r="BG69" s="387"/>
      <c r="BH69" s="387"/>
      <c r="BI69" s="387"/>
      <c r="BJ69" s="387"/>
      <c r="BK69" s="988"/>
      <c r="BL69" s="387"/>
      <c r="BM69" s="387"/>
      <c r="BN69" s="387"/>
      <c r="BO69" s="387"/>
      <c r="BP69" s="387"/>
      <c r="BQ69" s="387"/>
      <c r="BR69" s="387"/>
      <c r="BS69" s="387"/>
      <c r="BT69" s="387"/>
      <c r="BU69" s="387"/>
      <c r="BV69" s="387"/>
      <c r="BW69" s="988"/>
      <c r="BX69" s="387"/>
      <c r="BY69" s="387"/>
      <c r="BZ69" s="387"/>
      <c r="CA69" s="387"/>
      <c r="CB69" s="387"/>
      <c r="CC69" s="387"/>
      <c r="CD69" s="387"/>
      <c r="CE69" s="387"/>
      <c r="CF69" s="387"/>
      <c r="CG69" s="387"/>
      <c r="CH69" s="387"/>
      <c r="CI69" s="988"/>
      <c r="CJ69" s="387"/>
      <c r="CK69" s="387"/>
      <c r="CL69" s="387"/>
      <c r="CM69" s="387"/>
      <c r="CN69" s="387"/>
      <c r="CO69" s="387"/>
      <c r="CP69" s="387"/>
      <c r="CQ69" s="387"/>
      <c r="CR69" s="387"/>
      <c r="CS69" s="387"/>
      <c r="CT69" s="387"/>
      <c r="CU69" s="988"/>
      <c r="CV69" s="387"/>
      <c r="CW69" s="387"/>
      <c r="CX69" s="387"/>
      <c r="CY69" s="387"/>
      <c r="CZ69" s="387"/>
      <c r="DA69" s="387"/>
      <c r="DB69" s="387"/>
      <c r="DC69" s="387"/>
      <c r="DD69" s="387"/>
      <c r="DE69" s="387"/>
      <c r="DF69" s="387"/>
      <c r="DG69" s="988"/>
      <c r="DH69" s="387"/>
      <c r="DI69" s="387"/>
      <c r="DJ69" s="387"/>
      <c r="DK69" s="387"/>
      <c r="DL69" s="387"/>
      <c r="DM69" s="387"/>
      <c r="DN69" s="387"/>
      <c r="DO69" s="387"/>
      <c r="DP69" s="387"/>
      <c r="DQ69" s="387"/>
      <c r="DR69" s="387"/>
      <c r="DS69" s="988"/>
      <c r="DT69" s="387" t="s">
        <v>2154</v>
      </c>
      <c r="DU69" s="387" t="s">
        <v>2154</v>
      </c>
      <c r="DV69" s="387" t="s">
        <v>2154</v>
      </c>
      <c r="DW69" s="387" t="s">
        <v>2154</v>
      </c>
      <c r="DX69" s="387" t="s">
        <v>2154</v>
      </c>
      <c r="DY69" s="387" t="s">
        <v>2154</v>
      </c>
      <c r="DZ69" s="387" t="s">
        <v>2154</v>
      </c>
      <c r="EA69" s="387" t="s">
        <v>2154</v>
      </c>
      <c r="EB69" s="387" t="s">
        <v>2154</v>
      </c>
      <c r="EC69" s="387" t="s">
        <v>2154</v>
      </c>
      <c r="ED69" s="387" t="s">
        <v>2154</v>
      </c>
      <c r="EE69" s="988" t="s">
        <v>2154</v>
      </c>
      <c r="EF69" s="387"/>
      <c r="EG69" s="387"/>
      <c r="EH69" s="387"/>
      <c r="EI69" s="387"/>
      <c r="EJ69" s="387"/>
      <c r="EK69" s="387"/>
      <c r="EL69" s="387"/>
      <c r="EM69" s="387"/>
      <c r="EN69" s="387"/>
      <c r="EO69" s="387"/>
      <c r="EP69" s="387"/>
      <c r="EQ69" s="988"/>
      <c r="ER69" s="387"/>
      <c r="ES69" s="387"/>
      <c r="ET69" s="387"/>
      <c r="EU69" s="387"/>
      <c r="EV69" s="387"/>
      <c r="EW69" s="387"/>
      <c r="EX69" s="387"/>
      <c r="EY69" s="387"/>
      <c r="EZ69" s="387"/>
      <c r="FA69" s="387"/>
      <c r="FB69" s="387"/>
      <c r="FC69" s="988"/>
      <c r="FD69" s="387"/>
      <c r="FE69" s="387"/>
      <c r="FF69" s="387"/>
      <c r="FG69" s="387"/>
      <c r="FH69" s="387"/>
      <c r="FI69" s="387"/>
      <c r="FJ69" s="387"/>
      <c r="FK69" s="387"/>
      <c r="FL69" s="387"/>
      <c r="FM69" s="387"/>
      <c r="FN69" s="387"/>
      <c r="FO69" s="988"/>
      <c r="FP69" s="387"/>
      <c r="FQ69" s="387"/>
      <c r="FR69" s="387"/>
      <c r="FS69" s="387"/>
      <c r="FT69" s="387"/>
      <c r="FU69" s="387"/>
      <c r="FV69" s="387"/>
      <c r="FW69" s="387"/>
      <c r="FX69" s="387"/>
      <c r="FY69" s="387"/>
      <c r="FZ69" s="387"/>
      <c r="GA69" s="988"/>
      <c r="GB69" s="109"/>
      <c r="GC69" s="1036">
        <f t="shared" si="96"/>
        <v>0</v>
      </c>
      <c r="GD69" s="387">
        <f t="shared" si="96"/>
        <v>0</v>
      </c>
      <c r="GE69" s="387">
        <f t="shared" si="96"/>
        <v>0</v>
      </c>
      <c r="GF69" s="387">
        <f t="shared" si="96"/>
        <v>0</v>
      </c>
      <c r="GG69" s="387">
        <f t="shared" si="96"/>
        <v>0</v>
      </c>
      <c r="GH69" s="387">
        <f t="shared" si="96"/>
        <v>0</v>
      </c>
      <c r="GI69" s="387">
        <f t="shared" si="96"/>
        <v>0</v>
      </c>
      <c r="GJ69" s="387">
        <f t="shared" si="96"/>
        <v>0</v>
      </c>
      <c r="GK69" s="387">
        <f t="shared" si="96"/>
        <v>0</v>
      </c>
      <c r="GL69" s="387">
        <f t="shared" si="96"/>
        <v>0</v>
      </c>
      <c r="GM69" s="387">
        <f t="shared" si="96"/>
        <v>0</v>
      </c>
      <c r="GN69" s="988">
        <f t="shared" si="96"/>
        <v>0</v>
      </c>
      <c r="GO69" s="1036">
        <f t="shared" si="97"/>
        <v>0</v>
      </c>
      <c r="GP69" s="387">
        <f t="shared" si="97"/>
        <v>0</v>
      </c>
      <c r="GQ69" s="387">
        <f t="shared" si="97"/>
        <v>0</v>
      </c>
      <c r="GR69" s="387">
        <f t="shared" si="97"/>
        <v>0</v>
      </c>
      <c r="GS69" s="387">
        <f t="shared" si="97"/>
        <v>0</v>
      </c>
      <c r="GT69" s="387">
        <f t="shared" si="97"/>
        <v>0</v>
      </c>
      <c r="GU69" s="387">
        <f t="shared" si="97"/>
        <v>0</v>
      </c>
      <c r="GV69" s="387">
        <f t="shared" si="97"/>
        <v>0</v>
      </c>
      <c r="GW69" s="387">
        <f t="shared" si="97"/>
        <v>0</v>
      </c>
      <c r="GX69" s="387">
        <f t="shared" si="97"/>
        <v>0</v>
      </c>
      <c r="GY69" s="387">
        <f t="shared" si="97"/>
        <v>0</v>
      </c>
      <c r="GZ69" s="988">
        <f t="shared" si="97"/>
        <v>0</v>
      </c>
      <c r="HB69" s="387"/>
      <c r="HC69" s="387"/>
      <c r="HD69" s="387"/>
      <c r="HE69" s="387"/>
      <c r="HF69" s="387"/>
      <c r="HG69" s="387"/>
      <c r="HH69" s="387"/>
      <c r="HI69" s="387"/>
      <c r="HJ69" s="387"/>
      <c r="HK69" s="387"/>
      <c r="HL69" s="387"/>
      <c r="HM69" s="988"/>
    </row>
    <row r="70" spans="1:221">
      <c r="A70" s="326" t="s">
        <v>1577</v>
      </c>
      <c r="B70" s="326" t="s">
        <v>1582</v>
      </c>
      <c r="C70" s="326" t="s">
        <v>3899</v>
      </c>
      <c r="D70" s="1036" t="s">
        <v>2154</v>
      </c>
      <c r="E70" s="387" t="s">
        <v>2154</v>
      </c>
      <c r="F70" s="387" t="s">
        <v>2154</v>
      </c>
      <c r="G70" s="387" t="s">
        <v>2154</v>
      </c>
      <c r="H70" s="387" t="s">
        <v>2154</v>
      </c>
      <c r="I70" s="387" t="s">
        <v>2154</v>
      </c>
      <c r="J70" s="387" t="s">
        <v>2154</v>
      </c>
      <c r="K70" s="387" t="s">
        <v>2154</v>
      </c>
      <c r="L70" s="387" t="s">
        <v>2154</v>
      </c>
      <c r="M70" s="387" t="s">
        <v>2154</v>
      </c>
      <c r="N70" s="387" t="s">
        <v>2154</v>
      </c>
      <c r="O70" s="988" t="s">
        <v>2154</v>
      </c>
      <c r="P70" s="387" t="s">
        <v>2154</v>
      </c>
      <c r="Q70" s="387" t="s">
        <v>2154</v>
      </c>
      <c r="R70" s="387" t="s">
        <v>2154</v>
      </c>
      <c r="S70" s="387" t="s">
        <v>2154</v>
      </c>
      <c r="T70" s="387" t="s">
        <v>2154</v>
      </c>
      <c r="U70" s="387" t="s">
        <v>2154</v>
      </c>
      <c r="V70" s="387" t="s">
        <v>2154</v>
      </c>
      <c r="W70" s="387" t="s">
        <v>2154</v>
      </c>
      <c r="X70" s="387" t="s">
        <v>2154</v>
      </c>
      <c r="Y70" s="387" t="s">
        <v>2154</v>
      </c>
      <c r="Z70" s="387" t="s">
        <v>2154</v>
      </c>
      <c r="AA70" s="988" t="s">
        <v>2154</v>
      </c>
      <c r="AB70" s="387"/>
      <c r="AC70" s="387"/>
      <c r="AD70" s="387"/>
      <c r="AE70" s="387"/>
      <c r="AF70" s="387"/>
      <c r="AG70" s="387"/>
      <c r="AH70" s="387"/>
      <c r="AI70" s="387"/>
      <c r="AJ70" s="387"/>
      <c r="AK70" s="387"/>
      <c r="AL70" s="387"/>
      <c r="AM70" s="988"/>
      <c r="AN70" s="387"/>
      <c r="AO70" s="387"/>
      <c r="AP70" s="387"/>
      <c r="AQ70" s="387"/>
      <c r="AR70" s="387"/>
      <c r="AS70" s="387"/>
      <c r="AT70" s="387"/>
      <c r="AU70" s="387"/>
      <c r="AV70" s="387"/>
      <c r="AW70" s="387"/>
      <c r="AX70" s="387"/>
      <c r="AY70" s="988"/>
      <c r="AZ70" s="387"/>
      <c r="BA70" s="387"/>
      <c r="BB70" s="387"/>
      <c r="BC70" s="387"/>
      <c r="BD70" s="387"/>
      <c r="BE70" s="387"/>
      <c r="BF70" s="387"/>
      <c r="BG70" s="387"/>
      <c r="BH70" s="387"/>
      <c r="BI70" s="387"/>
      <c r="BJ70" s="387"/>
      <c r="BK70" s="988"/>
      <c r="BL70" s="387"/>
      <c r="BM70" s="387"/>
      <c r="BN70" s="387"/>
      <c r="BO70" s="387"/>
      <c r="BP70" s="387"/>
      <c r="BQ70" s="387"/>
      <c r="BR70" s="387"/>
      <c r="BS70" s="387"/>
      <c r="BT70" s="387"/>
      <c r="BU70" s="387"/>
      <c r="BV70" s="387"/>
      <c r="BW70" s="988"/>
      <c r="BX70" s="387"/>
      <c r="BY70" s="387"/>
      <c r="BZ70" s="387"/>
      <c r="CA70" s="387"/>
      <c r="CB70" s="387"/>
      <c r="CC70" s="387"/>
      <c r="CD70" s="387"/>
      <c r="CE70" s="387"/>
      <c r="CF70" s="387"/>
      <c r="CG70" s="387"/>
      <c r="CH70" s="387"/>
      <c r="CI70" s="988"/>
      <c r="CJ70" s="387"/>
      <c r="CK70" s="387"/>
      <c r="CL70" s="387"/>
      <c r="CM70" s="387"/>
      <c r="CN70" s="387"/>
      <c r="CO70" s="387"/>
      <c r="CP70" s="387"/>
      <c r="CQ70" s="387"/>
      <c r="CR70" s="387"/>
      <c r="CS70" s="387"/>
      <c r="CT70" s="387"/>
      <c r="CU70" s="988"/>
      <c r="CV70" s="387"/>
      <c r="CW70" s="387"/>
      <c r="CX70" s="387"/>
      <c r="CY70" s="387"/>
      <c r="CZ70" s="387"/>
      <c r="DA70" s="387"/>
      <c r="DB70" s="387"/>
      <c r="DC70" s="387"/>
      <c r="DD70" s="387"/>
      <c r="DE70" s="387"/>
      <c r="DF70" s="387"/>
      <c r="DG70" s="988"/>
      <c r="DH70" s="387"/>
      <c r="DI70" s="387"/>
      <c r="DJ70" s="387"/>
      <c r="DK70" s="387"/>
      <c r="DL70" s="387"/>
      <c r="DM70" s="387"/>
      <c r="DN70" s="387"/>
      <c r="DO70" s="387"/>
      <c r="DP70" s="387"/>
      <c r="DQ70" s="387"/>
      <c r="DR70" s="387"/>
      <c r="DS70" s="988"/>
      <c r="DT70" s="387" t="s">
        <v>2154</v>
      </c>
      <c r="DU70" s="387" t="s">
        <v>2154</v>
      </c>
      <c r="DV70" s="387" t="s">
        <v>2154</v>
      </c>
      <c r="DW70" s="387" t="s">
        <v>2154</v>
      </c>
      <c r="DX70" s="387" t="s">
        <v>2154</v>
      </c>
      <c r="DY70" s="387" t="s">
        <v>2154</v>
      </c>
      <c r="DZ70" s="387" t="s">
        <v>2154</v>
      </c>
      <c r="EA70" s="387" t="s">
        <v>2154</v>
      </c>
      <c r="EB70" s="387" t="s">
        <v>2154</v>
      </c>
      <c r="EC70" s="387" t="s">
        <v>2154</v>
      </c>
      <c r="ED70" s="387" t="s">
        <v>2154</v>
      </c>
      <c r="EE70" s="988" t="s">
        <v>2154</v>
      </c>
      <c r="EF70" s="387"/>
      <c r="EG70" s="387"/>
      <c r="EH70" s="387"/>
      <c r="EI70" s="387"/>
      <c r="EJ70" s="387"/>
      <c r="EK70" s="387"/>
      <c r="EL70" s="387"/>
      <c r="EM70" s="387"/>
      <c r="EN70" s="387"/>
      <c r="EO70" s="387"/>
      <c r="EP70" s="387"/>
      <c r="EQ70" s="988"/>
      <c r="ER70" s="387"/>
      <c r="ES70" s="387"/>
      <c r="ET70" s="387"/>
      <c r="EU70" s="387"/>
      <c r="EV70" s="387"/>
      <c r="EW70" s="387"/>
      <c r="EX70" s="387"/>
      <c r="EY70" s="387"/>
      <c r="EZ70" s="387"/>
      <c r="FA70" s="387"/>
      <c r="FB70" s="387"/>
      <c r="FC70" s="988"/>
      <c r="FD70" s="387"/>
      <c r="FE70" s="387"/>
      <c r="FF70" s="387"/>
      <c r="FG70" s="387"/>
      <c r="FH70" s="387"/>
      <c r="FI70" s="387"/>
      <c r="FJ70" s="387"/>
      <c r="FK70" s="387"/>
      <c r="FL70" s="387"/>
      <c r="FM70" s="387"/>
      <c r="FN70" s="387"/>
      <c r="FO70" s="988"/>
      <c r="FP70" s="387"/>
      <c r="FQ70" s="387"/>
      <c r="FR70" s="387"/>
      <c r="FS70" s="387"/>
      <c r="FT70" s="387"/>
      <c r="FU70" s="387"/>
      <c r="FV70" s="387"/>
      <c r="FW70" s="387"/>
      <c r="FX70" s="387"/>
      <c r="FY70" s="387"/>
      <c r="FZ70" s="387"/>
      <c r="GA70" s="988"/>
      <c r="GB70" s="109"/>
      <c r="GC70" s="1036">
        <f t="shared" si="96"/>
        <v>0</v>
      </c>
      <c r="GD70" s="387">
        <f t="shared" si="96"/>
        <v>0</v>
      </c>
      <c r="GE70" s="387">
        <f t="shared" si="96"/>
        <v>0</v>
      </c>
      <c r="GF70" s="387">
        <f t="shared" si="96"/>
        <v>0</v>
      </c>
      <c r="GG70" s="387">
        <f t="shared" si="96"/>
        <v>0</v>
      </c>
      <c r="GH70" s="387">
        <f t="shared" si="96"/>
        <v>0</v>
      </c>
      <c r="GI70" s="387">
        <f t="shared" si="96"/>
        <v>0</v>
      </c>
      <c r="GJ70" s="387">
        <f t="shared" si="96"/>
        <v>0</v>
      </c>
      <c r="GK70" s="387">
        <f t="shared" si="96"/>
        <v>0</v>
      </c>
      <c r="GL70" s="387">
        <f t="shared" si="96"/>
        <v>0</v>
      </c>
      <c r="GM70" s="387">
        <f t="shared" si="96"/>
        <v>0</v>
      </c>
      <c r="GN70" s="988">
        <f t="shared" si="96"/>
        <v>0</v>
      </c>
      <c r="GO70" s="1036">
        <f t="shared" si="97"/>
        <v>0</v>
      </c>
      <c r="GP70" s="387">
        <f t="shared" si="97"/>
        <v>0</v>
      </c>
      <c r="GQ70" s="387">
        <f t="shared" si="97"/>
        <v>0</v>
      </c>
      <c r="GR70" s="387">
        <f t="shared" si="97"/>
        <v>0</v>
      </c>
      <c r="GS70" s="387">
        <f t="shared" si="97"/>
        <v>0</v>
      </c>
      <c r="GT70" s="387">
        <f t="shared" si="97"/>
        <v>0</v>
      </c>
      <c r="GU70" s="387">
        <f t="shared" si="97"/>
        <v>0</v>
      </c>
      <c r="GV70" s="387">
        <f t="shared" si="97"/>
        <v>0</v>
      </c>
      <c r="GW70" s="387">
        <f t="shared" si="97"/>
        <v>0</v>
      </c>
      <c r="GX70" s="387">
        <f t="shared" si="97"/>
        <v>0</v>
      </c>
      <c r="GY70" s="387">
        <f t="shared" si="97"/>
        <v>0</v>
      </c>
      <c r="GZ70" s="988">
        <f t="shared" si="97"/>
        <v>0</v>
      </c>
      <c r="HB70" s="387"/>
      <c r="HC70" s="387"/>
      <c r="HD70" s="387"/>
      <c r="HE70" s="387"/>
      <c r="HF70" s="387"/>
      <c r="HG70" s="387"/>
      <c r="HH70" s="387"/>
      <c r="HI70" s="387"/>
      <c r="HJ70" s="387"/>
      <c r="HK70" s="387"/>
      <c r="HL70" s="387"/>
      <c r="HM70" s="988"/>
    </row>
    <row r="71" spans="1:221">
      <c r="A71" s="326" t="s">
        <v>1577</v>
      </c>
      <c r="B71" s="326" t="s">
        <v>1583</v>
      </c>
      <c r="C71" s="326" t="s">
        <v>3687</v>
      </c>
      <c r="D71" s="1036" t="s">
        <v>2154</v>
      </c>
      <c r="E71" s="387" t="s">
        <v>2154</v>
      </c>
      <c r="F71" s="387" t="s">
        <v>2154</v>
      </c>
      <c r="G71" s="387" t="s">
        <v>2154</v>
      </c>
      <c r="H71" s="387" t="s">
        <v>2154</v>
      </c>
      <c r="I71" s="387" t="s">
        <v>2154</v>
      </c>
      <c r="J71" s="387" t="s">
        <v>2154</v>
      </c>
      <c r="K71" s="387" t="s">
        <v>2154</v>
      </c>
      <c r="L71" s="387" t="s">
        <v>2154</v>
      </c>
      <c r="M71" s="387" t="s">
        <v>2154</v>
      </c>
      <c r="N71" s="387" t="s">
        <v>2154</v>
      </c>
      <c r="O71" s="988" t="s">
        <v>2154</v>
      </c>
      <c r="P71" s="387" t="s">
        <v>2154</v>
      </c>
      <c r="Q71" s="387" t="s">
        <v>2154</v>
      </c>
      <c r="R71" s="387" t="s">
        <v>2154</v>
      </c>
      <c r="S71" s="387" t="s">
        <v>2154</v>
      </c>
      <c r="T71" s="387" t="s">
        <v>2154</v>
      </c>
      <c r="U71" s="387" t="s">
        <v>2154</v>
      </c>
      <c r="V71" s="387" t="s">
        <v>2154</v>
      </c>
      <c r="W71" s="387" t="s">
        <v>2154</v>
      </c>
      <c r="X71" s="387" t="s">
        <v>2154</v>
      </c>
      <c r="Y71" s="387" t="s">
        <v>2154</v>
      </c>
      <c r="Z71" s="387" t="s">
        <v>2154</v>
      </c>
      <c r="AA71" s="988" t="s">
        <v>2154</v>
      </c>
      <c r="AB71" s="387"/>
      <c r="AC71" s="387"/>
      <c r="AD71" s="387"/>
      <c r="AE71" s="387"/>
      <c r="AF71" s="387"/>
      <c r="AG71" s="387"/>
      <c r="AH71" s="387"/>
      <c r="AI71" s="387"/>
      <c r="AJ71" s="387"/>
      <c r="AK71" s="387"/>
      <c r="AL71" s="387"/>
      <c r="AM71" s="988"/>
      <c r="AN71" s="387"/>
      <c r="AO71" s="387"/>
      <c r="AP71" s="387"/>
      <c r="AQ71" s="387"/>
      <c r="AR71" s="387"/>
      <c r="AS71" s="387"/>
      <c r="AT71" s="387"/>
      <c r="AU71" s="387"/>
      <c r="AV71" s="387"/>
      <c r="AW71" s="387"/>
      <c r="AX71" s="387"/>
      <c r="AY71" s="988"/>
      <c r="AZ71" s="387"/>
      <c r="BA71" s="387"/>
      <c r="BB71" s="387"/>
      <c r="BC71" s="387"/>
      <c r="BD71" s="387"/>
      <c r="BE71" s="387"/>
      <c r="BF71" s="387"/>
      <c r="BG71" s="387"/>
      <c r="BH71" s="387"/>
      <c r="BI71" s="387"/>
      <c r="BJ71" s="387"/>
      <c r="BK71" s="988"/>
      <c r="BL71" s="387"/>
      <c r="BM71" s="387"/>
      <c r="BN71" s="387"/>
      <c r="BO71" s="387"/>
      <c r="BP71" s="387"/>
      <c r="BQ71" s="387"/>
      <c r="BR71" s="387"/>
      <c r="BS71" s="387"/>
      <c r="BT71" s="387"/>
      <c r="BU71" s="387"/>
      <c r="BV71" s="387"/>
      <c r="BW71" s="988"/>
      <c r="BX71" s="387"/>
      <c r="BY71" s="387"/>
      <c r="BZ71" s="387"/>
      <c r="CA71" s="387"/>
      <c r="CB71" s="387"/>
      <c r="CC71" s="387"/>
      <c r="CD71" s="387"/>
      <c r="CE71" s="387"/>
      <c r="CF71" s="387"/>
      <c r="CG71" s="387"/>
      <c r="CH71" s="387"/>
      <c r="CI71" s="988"/>
      <c r="CJ71" s="387"/>
      <c r="CK71" s="387"/>
      <c r="CL71" s="387"/>
      <c r="CM71" s="387"/>
      <c r="CN71" s="387"/>
      <c r="CO71" s="387"/>
      <c r="CP71" s="387"/>
      <c r="CQ71" s="387"/>
      <c r="CR71" s="387"/>
      <c r="CS71" s="387"/>
      <c r="CT71" s="387"/>
      <c r="CU71" s="988"/>
      <c r="CV71" s="387"/>
      <c r="CW71" s="387"/>
      <c r="CX71" s="387"/>
      <c r="CY71" s="387"/>
      <c r="CZ71" s="387"/>
      <c r="DA71" s="387"/>
      <c r="DB71" s="387"/>
      <c r="DC71" s="387"/>
      <c r="DD71" s="387"/>
      <c r="DE71" s="387"/>
      <c r="DF71" s="387"/>
      <c r="DG71" s="988"/>
      <c r="DH71" s="387"/>
      <c r="DI71" s="387"/>
      <c r="DJ71" s="387"/>
      <c r="DK71" s="387"/>
      <c r="DL71" s="387"/>
      <c r="DM71" s="387"/>
      <c r="DN71" s="387"/>
      <c r="DO71" s="387"/>
      <c r="DP71" s="387"/>
      <c r="DQ71" s="387"/>
      <c r="DR71" s="387"/>
      <c r="DS71" s="988"/>
      <c r="DT71" s="387" t="s">
        <v>2154</v>
      </c>
      <c r="DU71" s="387" t="s">
        <v>2154</v>
      </c>
      <c r="DV71" s="387" t="s">
        <v>2154</v>
      </c>
      <c r="DW71" s="387" t="s">
        <v>2154</v>
      </c>
      <c r="DX71" s="387" t="s">
        <v>2154</v>
      </c>
      <c r="DY71" s="387" t="s">
        <v>2154</v>
      </c>
      <c r="DZ71" s="387" t="s">
        <v>2154</v>
      </c>
      <c r="EA71" s="387" t="s">
        <v>2154</v>
      </c>
      <c r="EB71" s="387" t="s">
        <v>2154</v>
      </c>
      <c r="EC71" s="387" t="s">
        <v>2154</v>
      </c>
      <c r="ED71" s="387" t="s">
        <v>2154</v>
      </c>
      <c r="EE71" s="988" t="s">
        <v>2154</v>
      </c>
      <c r="EF71" s="387"/>
      <c r="EG71" s="387"/>
      <c r="EH71" s="387"/>
      <c r="EI71" s="387"/>
      <c r="EJ71" s="387"/>
      <c r="EK71" s="387"/>
      <c r="EL71" s="387"/>
      <c r="EM71" s="387"/>
      <c r="EN71" s="387"/>
      <c r="EO71" s="387"/>
      <c r="EP71" s="387"/>
      <c r="EQ71" s="988"/>
      <c r="ER71" s="387"/>
      <c r="ES71" s="387"/>
      <c r="ET71" s="387"/>
      <c r="EU71" s="387"/>
      <c r="EV71" s="387"/>
      <c r="EW71" s="387"/>
      <c r="EX71" s="387"/>
      <c r="EY71" s="387"/>
      <c r="EZ71" s="387"/>
      <c r="FA71" s="387"/>
      <c r="FB71" s="387"/>
      <c r="FC71" s="988"/>
      <c r="FD71" s="387"/>
      <c r="FE71" s="387"/>
      <c r="FF71" s="387"/>
      <c r="FG71" s="387"/>
      <c r="FH71" s="387"/>
      <c r="FI71" s="387"/>
      <c r="FJ71" s="387"/>
      <c r="FK71" s="387"/>
      <c r="FL71" s="387"/>
      <c r="FM71" s="387"/>
      <c r="FN71" s="387"/>
      <c r="FO71" s="988"/>
      <c r="FP71" s="387"/>
      <c r="FQ71" s="387"/>
      <c r="FR71" s="387"/>
      <c r="FS71" s="387"/>
      <c r="FT71" s="387"/>
      <c r="FU71" s="387"/>
      <c r="FV71" s="387"/>
      <c r="FW71" s="387"/>
      <c r="FX71" s="387"/>
      <c r="FY71" s="387"/>
      <c r="FZ71" s="387"/>
      <c r="GA71" s="988"/>
      <c r="GB71" s="109"/>
      <c r="GC71" s="1036">
        <f t="shared" si="96"/>
        <v>0</v>
      </c>
      <c r="GD71" s="387">
        <f t="shared" si="96"/>
        <v>0</v>
      </c>
      <c r="GE71" s="387">
        <f t="shared" si="96"/>
        <v>0</v>
      </c>
      <c r="GF71" s="387">
        <f t="shared" si="96"/>
        <v>0</v>
      </c>
      <c r="GG71" s="387">
        <f t="shared" si="96"/>
        <v>0</v>
      </c>
      <c r="GH71" s="387">
        <f t="shared" si="96"/>
        <v>0</v>
      </c>
      <c r="GI71" s="387">
        <f t="shared" si="96"/>
        <v>0</v>
      </c>
      <c r="GJ71" s="387">
        <f t="shared" si="96"/>
        <v>0</v>
      </c>
      <c r="GK71" s="387">
        <f t="shared" si="96"/>
        <v>0</v>
      </c>
      <c r="GL71" s="387">
        <f t="shared" si="96"/>
        <v>0</v>
      </c>
      <c r="GM71" s="387">
        <f t="shared" si="96"/>
        <v>0</v>
      </c>
      <c r="GN71" s="988">
        <f t="shared" si="96"/>
        <v>0</v>
      </c>
      <c r="GO71" s="1036">
        <f t="shared" si="97"/>
        <v>0</v>
      </c>
      <c r="GP71" s="387">
        <f t="shared" si="97"/>
        <v>0</v>
      </c>
      <c r="GQ71" s="387">
        <f t="shared" si="97"/>
        <v>0</v>
      </c>
      <c r="GR71" s="387">
        <f t="shared" si="97"/>
        <v>0</v>
      </c>
      <c r="GS71" s="387">
        <f t="shared" si="97"/>
        <v>0</v>
      </c>
      <c r="GT71" s="387">
        <f t="shared" si="97"/>
        <v>0</v>
      </c>
      <c r="GU71" s="387">
        <f t="shared" si="97"/>
        <v>0</v>
      </c>
      <c r="GV71" s="387">
        <f t="shared" si="97"/>
        <v>0</v>
      </c>
      <c r="GW71" s="387">
        <f t="shared" si="97"/>
        <v>0</v>
      </c>
      <c r="GX71" s="387">
        <f t="shared" si="97"/>
        <v>0</v>
      </c>
      <c r="GY71" s="387">
        <f t="shared" si="97"/>
        <v>0</v>
      </c>
      <c r="GZ71" s="988">
        <f t="shared" si="97"/>
        <v>0</v>
      </c>
      <c r="HB71" s="387"/>
      <c r="HC71" s="387"/>
      <c r="HD71" s="387"/>
      <c r="HE71" s="387"/>
      <c r="HF71" s="387"/>
      <c r="HG71" s="387"/>
      <c r="HH71" s="387"/>
      <c r="HI71" s="387"/>
      <c r="HJ71" s="387"/>
      <c r="HK71" s="387"/>
      <c r="HL71" s="387"/>
      <c r="HM71" s="988"/>
    </row>
    <row r="72" spans="1:221">
      <c r="A72" s="326" t="s">
        <v>1577</v>
      </c>
      <c r="B72" s="326" t="s">
        <v>1583</v>
      </c>
      <c r="C72" s="326" t="s">
        <v>3899</v>
      </c>
      <c r="D72" s="1036" t="s">
        <v>2154</v>
      </c>
      <c r="E72" s="387" t="s">
        <v>2154</v>
      </c>
      <c r="F72" s="387" t="s">
        <v>2154</v>
      </c>
      <c r="G72" s="387" t="s">
        <v>2154</v>
      </c>
      <c r="H72" s="387" t="s">
        <v>2154</v>
      </c>
      <c r="I72" s="387" t="s">
        <v>2154</v>
      </c>
      <c r="J72" s="387" t="s">
        <v>2154</v>
      </c>
      <c r="K72" s="387" t="s">
        <v>2154</v>
      </c>
      <c r="L72" s="387" t="s">
        <v>2154</v>
      </c>
      <c r="M72" s="387" t="s">
        <v>2154</v>
      </c>
      <c r="N72" s="387" t="s">
        <v>2154</v>
      </c>
      <c r="O72" s="988" t="s">
        <v>2154</v>
      </c>
      <c r="P72" s="387" t="s">
        <v>2154</v>
      </c>
      <c r="Q72" s="387" t="s">
        <v>2154</v>
      </c>
      <c r="R72" s="387" t="s">
        <v>2154</v>
      </c>
      <c r="S72" s="387" t="s">
        <v>2154</v>
      </c>
      <c r="T72" s="387" t="s">
        <v>2154</v>
      </c>
      <c r="U72" s="387" t="s">
        <v>2154</v>
      </c>
      <c r="V72" s="387" t="s">
        <v>2154</v>
      </c>
      <c r="W72" s="387" t="s">
        <v>2154</v>
      </c>
      <c r="X72" s="387" t="s">
        <v>2154</v>
      </c>
      <c r="Y72" s="387" t="s">
        <v>2154</v>
      </c>
      <c r="Z72" s="387" t="s">
        <v>2154</v>
      </c>
      <c r="AA72" s="988" t="s">
        <v>2154</v>
      </c>
      <c r="AB72" s="387"/>
      <c r="AC72" s="387"/>
      <c r="AD72" s="387"/>
      <c r="AE72" s="387"/>
      <c r="AF72" s="387"/>
      <c r="AG72" s="387"/>
      <c r="AH72" s="387"/>
      <c r="AI72" s="387"/>
      <c r="AJ72" s="387"/>
      <c r="AK72" s="387"/>
      <c r="AL72" s="387"/>
      <c r="AM72" s="988"/>
      <c r="AN72" s="387"/>
      <c r="AO72" s="387"/>
      <c r="AP72" s="387"/>
      <c r="AQ72" s="387"/>
      <c r="AR72" s="387"/>
      <c r="AS72" s="387"/>
      <c r="AT72" s="387"/>
      <c r="AU72" s="387"/>
      <c r="AV72" s="387"/>
      <c r="AW72" s="387"/>
      <c r="AX72" s="387"/>
      <c r="AY72" s="988"/>
      <c r="AZ72" s="387"/>
      <c r="BA72" s="387"/>
      <c r="BB72" s="387"/>
      <c r="BC72" s="387"/>
      <c r="BD72" s="387"/>
      <c r="BE72" s="387"/>
      <c r="BF72" s="387"/>
      <c r="BG72" s="387"/>
      <c r="BH72" s="387"/>
      <c r="BI72" s="387"/>
      <c r="BJ72" s="387"/>
      <c r="BK72" s="988"/>
      <c r="BL72" s="387"/>
      <c r="BM72" s="387"/>
      <c r="BN72" s="387"/>
      <c r="BO72" s="387"/>
      <c r="BP72" s="387"/>
      <c r="BQ72" s="387"/>
      <c r="BR72" s="387"/>
      <c r="BS72" s="387"/>
      <c r="BT72" s="387"/>
      <c r="BU72" s="387"/>
      <c r="BV72" s="387"/>
      <c r="BW72" s="988"/>
      <c r="BX72" s="387"/>
      <c r="BY72" s="387"/>
      <c r="BZ72" s="387"/>
      <c r="CA72" s="387"/>
      <c r="CB72" s="387"/>
      <c r="CC72" s="387"/>
      <c r="CD72" s="387"/>
      <c r="CE72" s="387"/>
      <c r="CF72" s="387"/>
      <c r="CG72" s="387"/>
      <c r="CH72" s="387"/>
      <c r="CI72" s="988"/>
      <c r="CJ72" s="387"/>
      <c r="CK72" s="387"/>
      <c r="CL72" s="387"/>
      <c r="CM72" s="387"/>
      <c r="CN72" s="387"/>
      <c r="CO72" s="387"/>
      <c r="CP72" s="387"/>
      <c r="CQ72" s="387"/>
      <c r="CR72" s="387"/>
      <c r="CS72" s="387"/>
      <c r="CT72" s="387"/>
      <c r="CU72" s="988"/>
      <c r="CV72" s="387"/>
      <c r="CW72" s="387"/>
      <c r="CX72" s="387"/>
      <c r="CY72" s="387"/>
      <c r="CZ72" s="387"/>
      <c r="DA72" s="387"/>
      <c r="DB72" s="387"/>
      <c r="DC72" s="387"/>
      <c r="DD72" s="387"/>
      <c r="DE72" s="387"/>
      <c r="DF72" s="387"/>
      <c r="DG72" s="988"/>
      <c r="DH72" s="387"/>
      <c r="DI72" s="387"/>
      <c r="DJ72" s="387"/>
      <c r="DK72" s="387"/>
      <c r="DL72" s="387"/>
      <c r="DM72" s="387"/>
      <c r="DN72" s="387"/>
      <c r="DO72" s="387"/>
      <c r="DP72" s="387"/>
      <c r="DQ72" s="387"/>
      <c r="DR72" s="387"/>
      <c r="DS72" s="988"/>
      <c r="DT72" s="387" t="s">
        <v>2154</v>
      </c>
      <c r="DU72" s="387" t="s">
        <v>2154</v>
      </c>
      <c r="DV72" s="387" t="s">
        <v>2154</v>
      </c>
      <c r="DW72" s="387" t="s">
        <v>2154</v>
      </c>
      <c r="DX72" s="387" t="s">
        <v>2154</v>
      </c>
      <c r="DY72" s="387" t="s">
        <v>2154</v>
      </c>
      <c r="DZ72" s="387" t="s">
        <v>2154</v>
      </c>
      <c r="EA72" s="387" t="s">
        <v>2154</v>
      </c>
      <c r="EB72" s="387" t="s">
        <v>2154</v>
      </c>
      <c r="EC72" s="387" t="s">
        <v>2154</v>
      </c>
      <c r="ED72" s="387" t="s">
        <v>2154</v>
      </c>
      <c r="EE72" s="988" t="s">
        <v>2154</v>
      </c>
      <c r="EF72" s="387"/>
      <c r="EG72" s="387"/>
      <c r="EH72" s="387"/>
      <c r="EI72" s="387"/>
      <c r="EJ72" s="387"/>
      <c r="EK72" s="387"/>
      <c r="EL72" s="387"/>
      <c r="EM72" s="387"/>
      <c r="EN72" s="387"/>
      <c r="EO72" s="387"/>
      <c r="EP72" s="387"/>
      <c r="EQ72" s="988"/>
      <c r="ER72" s="387"/>
      <c r="ES72" s="387"/>
      <c r="ET72" s="387"/>
      <c r="EU72" s="387"/>
      <c r="EV72" s="387"/>
      <c r="EW72" s="387"/>
      <c r="EX72" s="387"/>
      <c r="EY72" s="387"/>
      <c r="EZ72" s="387"/>
      <c r="FA72" s="387"/>
      <c r="FB72" s="387"/>
      <c r="FC72" s="988"/>
      <c r="FD72" s="387"/>
      <c r="FE72" s="387"/>
      <c r="FF72" s="387"/>
      <c r="FG72" s="387"/>
      <c r="FH72" s="387"/>
      <c r="FI72" s="387"/>
      <c r="FJ72" s="387"/>
      <c r="FK72" s="387"/>
      <c r="FL72" s="387"/>
      <c r="FM72" s="387"/>
      <c r="FN72" s="387"/>
      <c r="FO72" s="988"/>
      <c r="FP72" s="387"/>
      <c r="FQ72" s="387"/>
      <c r="FR72" s="387"/>
      <c r="FS72" s="387"/>
      <c r="FT72" s="387"/>
      <c r="FU72" s="387"/>
      <c r="FV72" s="387"/>
      <c r="FW72" s="387"/>
      <c r="FX72" s="387"/>
      <c r="FY72" s="387"/>
      <c r="FZ72" s="387"/>
      <c r="GA72" s="988"/>
      <c r="GB72" s="109"/>
      <c r="GC72" s="1036">
        <f t="shared" ref="GC72:GN81" si="98">SUMPRODUCT(--($D$6:$GA$6=GC$6),$D72:$GA72,$D$278:$GA$278)</f>
        <v>0</v>
      </c>
      <c r="GD72" s="387">
        <f t="shared" si="98"/>
        <v>0</v>
      </c>
      <c r="GE72" s="387">
        <f t="shared" si="98"/>
        <v>0</v>
      </c>
      <c r="GF72" s="387">
        <f t="shared" si="98"/>
        <v>0</v>
      </c>
      <c r="GG72" s="387">
        <f t="shared" si="98"/>
        <v>0</v>
      </c>
      <c r="GH72" s="387">
        <f t="shared" si="98"/>
        <v>0</v>
      </c>
      <c r="GI72" s="387">
        <f t="shared" si="98"/>
        <v>0</v>
      </c>
      <c r="GJ72" s="387">
        <f t="shared" si="98"/>
        <v>0</v>
      </c>
      <c r="GK72" s="387">
        <f t="shared" si="98"/>
        <v>0</v>
      </c>
      <c r="GL72" s="387">
        <f t="shared" si="98"/>
        <v>0</v>
      </c>
      <c r="GM72" s="387">
        <f t="shared" si="98"/>
        <v>0</v>
      </c>
      <c r="GN72" s="988">
        <f t="shared" si="98"/>
        <v>0</v>
      </c>
      <c r="GO72" s="1036">
        <f t="shared" ref="GO72:GZ81" si="99">SUMPRODUCT(--($DT$6:$GA$6=GO$6),$DT72:$GA72,$DT$278:$GA$278)</f>
        <v>0</v>
      </c>
      <c r="GP72" s="387">
        <f t="shared" si="99"/>
        <v>0</v>
      </c>
      <c r="GQ72" s="387">
        <f t="shared" si="99"/>
        <v>0</v>
      </c>
      <c r="GR72" s="387">
        <f t="shared" si="99"/>
        <v>0</v>
      </c>
      <c r="GS72" s="387">
        <f t="shared" si="99"/>
        <v>0</v>
      </c>
      <c r="GT72" s="387">
        <f t="shared" si="99"/>
        <v>0</v>
      </c>
      <c r="GU72" s="387">
        <f t="shared" si="99"/>
        <v>0</v>
      </c>
      <c r="GV72" s="387">
        <f t="shared" si="99"/>
        <v>0</v>
      </c>
      <c r="GW72" s="387">
        <f t="shared" si="99"/>
        <v>0</v>
      </c>
      <c r="GX72" s="387">
        <f t="shared" si="99"/>
        <v>0</v>
      </c>
      <c r="GY72" s="387">
        <f t="shared" si="99"/>
        <v>0</v>
      </c>
      <c r="GZ72" s="988">
        <f t="shared" si="99"/>
        <v>0</v>
      </c>
      <c r="HB72" s="387"/>
      <c r="HC72" s="387"/>
      <c r="HD72" s="387"/>
      <c r="HE72" s="387"/>
      <c r="HF72" s="387"/>
      <c r="HG72" s="387"/>
      <c r="HH72" s="387"/>
      <c r="HI72" s="387"/>
      <c r="HJ72" s="387"/>
      <c r="HK72" s="387"/>
      <c r="HL72" s="387"/>
      <c r="HM72" s="988"/>
    </row>
    <row r="73" spans="1:221">
      <c r="A73" s="326" t="s">
        <v>1577</v>
      </c>
      <c r="B73" s="326" t="s">
        <v>1584</v>
      </c>
      <c r="C73" s="326" t="s">
        <v>3687</v>
      </c>
      <c r="D73" s="1036">
        <v>2973.87</v>
      </c>
      <c r="E73" s="387">
        <v>3092.74</v>
      </c>
      <c r="F73" s="387">
        <v>3953.9700000000003</v>
      </c>
      <c r="G73" s="387">
        <v>388.66999999999996</v>
      </c>
      <c r="H73" s="387">
        <v>49.81</v>
      </c>
      <c r="I73" s="387">
        <v>29.58</v>
      </c>
      <c r="J73" s="387">
        <v>497.01</v>
      </c>
      <c r="K73" s="387">
        <v>668.49</v>
      </c>
      <c r="L73" s="387">
        <v>2426.8600000000006</v>
      </c>
      <c r="M73" s="387">
        <v>2050.83</v>
      </c>
      <c r="N73" s="387">
        <v>2573.4499999999998</v>
      </c>
      <c r="O73" s="988">
        <v>-39.010000000000005</v>
      </c>
      <c r="P73" s="387" t="s">
        <v>2154</v>
      </c>
      <c r="Q73" s="387" t="s">
        <v>2154</v>
      </c>
      <c r="R73" s="387" t="s">
        <v>2154</v>
      </c>
      <c r="S73" s="387" t="s">
        <v>2154</v>
      </c>
      <c r="T73" s="387" t="s">
        <v>2154</v>
      </c>
      <c r="U73" s="387" t="s">
        <v>2154</v>
      </c>
      <c r="V73" s="387" t="s">
        <v>2154</v>
      </c>
      <c r="W73" s="387" t="s">
        <v>2154</v>
      </c>
      <c r="X73" s="387" t="s">
        <v>2154</v>
      </c>
      <c r="Y73" s="387" t="s">
        <v>2154</v>
      </c>
      <c r="Z73" s="387" t="s">
        <v>2154</v>
      </c>
      <c r="AA73" s="988" t="s">
        <v>2154</v>
      </c>
      <c r="AB73" s="387"/>
      <c r="AC73" s="387"/>
      <c r="AD73" s="387"/>
      <c r="AE73" s="387"/>
      <c r="AF73" s="387"/>
      <c r="AG73" s="387"/>
      <c r="AH73" s="387"/>
      <c r="AI73" s="387"/>
      <c r="AJ73" s="387"/>
      <c r="AK73" s="387"/>
      <c r="AL73" s="387"/>
      <c r="AM73" s="988"/>
      <c r="AN73" s="387"/>
      <c r="AO73" s="387"/>
      <c r="AP73" s="387"/>
      <c r="AQ73" s="387"/>
      <c r="AR73" s="387"/>
      <c r="AS73" s="387"/>
      <c r="AT73" s="387"/>
      <c r="AU73" s="387"/>
      <c r="AV73" s="387"/>
      <c r="AW73" s="387"/>
      <c r="AX73" s="387"/>
      <c r="AY73" s="988"/>
      <c r="AZ73" s="387"/>
      <c r="BA73" s="387"/>
      <c r="BB73" s="387"/>
      <c r="BC73" s="387"/>
      <c r="BD73" s="387"/>
      <c r="BE73" s="387"/>
      <c r="BF73" s="387"/>
      <c r="BG73" s="387"/>
      <c r="BH73" s="387"/>
      <c r="BI73" s="387"/>
      <c r="BJ73" s="387"/>
      <c r="BK73" s="988"/>
      <c r="BL73" s="387"/>
      <c r="BM73" s="387"/>
      <c r="BN73" s="387"/>
      <c r="BO73" s="387"/>
      <c r="BP73" s="387"/>
      <c r="BQ73" s="387"/>
      <c r="BR73" s="387"/>
      <c r="BS73" s="387"/>
      <c r="BT73" s="387"/>
      <c r="BU73" s="387"/>
      <c r="BV73" s="387"/>
      <c r="BW73" s="988"/>
      <c r="BX73" s="387"/>
      <c r="BY73" s="387"/>
      <c r="BZ73" s="387"/>
      <c r="CA73" s="387"/>
      <c r="CB73" s="387"/>
      <c r="CC73" s="387"/>
      <c r="CD73" s="387"/>
      <c r="CE73" s="387"/>
      <c r="CF73" s="387"/>
      <c r="CG73" s="387"/>
      <c r="CH73" s="387"/>
      <c r="CI73" s="988"/>
      <c r="CJ73" s="387"/>
      <c r="CK73" s="387"/>
      <c r="CL73" s="387"/>
      <c r="CM73" s="387"/>
      <c r="CN73" s="387"/>
      <c r="CO73" s="387"/>
      <c r="CP73" s="387"/>
      <c r="CQ73" s="387"/>
      <c r="CR73" s="387"/>
      <c r="CS73" s="387"/>
      <c r="CT73" s="387"/>
      <c r="CU73" s="988"/>
      <c r="CV73" s="387"/>
      <c r="CW73" s="387"/>
      <c r="CX73" s="387"/>
      <c r="CY73" s="387"/>
      <c r="CZ73" s="387"/>
      <c r="DA73" s="387"/>
      <c r="DB73" s="387"/>
      <c r="DC73" s="387"/>
      <c r="DD73" s="387"/>
      <c r="DE73" s="387"/>
      <c r="DF73" s="387"/>
      <c r="DG73" s="988"/>
      <c r="DH73" s="387"/>
      <c r="DI73" s="387"/>
      <c r="DJ73" s="387"/>
      <c r="DK73" s="387"/>
      <c r="DL73" s="387"/>
      <c r="DM73" s="387"/>
      <c r="DN73" s="387"/>
      <c r="DO73" s="387"/>
      <c r="DP73" s="387"/>
      <c r="DQ73" s="387"/>
      <c r="DR73" s="387"/>
      <c r="DS73" s="988"/>
      <c r="DT73" s="387" t="s">
        <v>2154</v>
      </c>
      <c r="DU73" s="387" t="s">
        <v>2154</v>
      </c>
      <c r="DV73" s="387" t="s">
        <v>2154</v>
      </c>
      <c r="DW73" s="387" t="s">
        <v>2154</v>
      </c>
      <c r="DX73" s="387" t="s">
        <v>2154</v>
      </c>
      <c r="DY73" s="387" t="s">
        <v>2154</v>
      </c>
      <c r="DZ73" s="387" t="s">
        <v>2154</v>
      </c>
      <c r="EA73" s="387" t="s">
        <v>2154</v>
      </c>
      <c r="EB73" s="387" t="s">
        <v>2154</v>
      </c>
      <c r="EC73" s="387" t="s">
        <v>2154</v>
      </c>
      <c r="ED73" s="387" t="s">
        <v>2154</v>
      </c>
      <c r="EE73" s="988" t="s">
        <v>2154</v>
      </c>
      <c r="EF73" s="387"/>
      <c r="EG73" s="387"/>
      <c r="EH73" s="387"/>
      <c r="EI73" s="387"/>
      <c r="EJ73" s="387"/>
      <c r="EK73" s="387"/>
      <c r="EL73" s="387"/>
      <c r="EM73" s="387"/>
      <c r="EN73" s="387"/>
      <c r="EO73" s="387"/>
      <c r="EP73" s="387"/>
      <c r="EQ73" s="988"/>
      <c r="ER73" s="387"/>
      <c r="ES73" s="387"/>
      <c r="ET73" s="387"/>
      <c r="EU73" s="387"/>
      <c r="EV73" s="387"/>
      <c r="EW73" s="387"/>
      <c r="EX73" s="387"/>
      <c r="EY73" s="387"/>
      <c r="EZ73" s="387"/>
      <c r="FA73" s="387"/>
      <c r="FB73" s="387"/>
      <c r="FC73" s="988"/>
      <c r="FD73" s="387"/>
      <c r="FE73" s="387"/>
      <c r="FF73" s="387"/>
      <c r="FG73" s="387"/>
      <c r="FH73" s="387"/>
      <c r="FI73" s="387"/>
      <c r="FJ73" s="387"/>
      <c r="FK73" s="387"/>
      <c r="FL73" s="387"/>
      <c r="FM73" s="387"/>
      <c r="FN73" s="387"/>
      <c r="FO73" s="988"/>
      <c r="FP73" s="387"/>
      <c r="FQ73" s="387"/>
      <c r="FR73" s="387"/>
      <c r="FS73" s="387"/>
      <c r="FT73" s="387"/>
      <c r="FU73" s="387"/>
      <c r="FV73" s="387"/>
      <c r="FW73" s="387"/>
      <c r="FX73" s="387"/>
      <c r="FY73" s="387"/>
      <c r="FZ73" s="387"/>
      <c r="GA73" s="988"/>
      <c r="GB73" s="109"/>
      <c r="GC73" s="1036">
        <f t="shared" si="98"/>
        <v>2973.87</v>
      </c>
      <c r="GD73" s="387">
        <f t="shared" si="98"/>
        <v>3092.74</v>
      </c>
      <c r="GE73" s="387">
        <f t="shared" si="98"/>
        <v>3953.9700000000003</v>
      </c>
      <c r="GF73" s="387">
        <f t="shared" si="98"/>
        <v>388.66999999999996</v>
      </c>
      <c r="GG73" s="387">
        <f t="shared" si="98"/>
        <v>49.81</v>
      </c>
      <c r="GH73" s="387">
        <f t="shared" si="98"/>
        <v>29.58</v>
      </c>
      <c r="GI73" s="387">
        <f t="shared" si="98"/>
        <v>497.01</v>
      </c>
      <c r="GJ73" s="387">
        <f t="shared" si="98"/>
        <v>668.49</v>
      </c>
      <c r="GK73" s="387">
        <f t="shared" si="98"/>
        <v>2426.8600000000006</v>
      </c>
      <c r="GL73" s="387">
        <f t="shared" si="98"/>
        <v>2050.83</v>
      </c>
      <c r="GM73" s="387">
        <f t="shared" si="98"/>
        <v>2573.4499999999998</v>
      </c>
      <c r="GN73" s="988">
        <f t="shared" si="98"/>
        <v>-39.010000000000005</v>
      </c>
      <c r="GO73" s="1036">
        <f t="shared" si="99"/>
        <v>0</v>
      </c>
      <c r="GP73" s="387">
        <f t="shared" si="99"/>
        <v>0</v>
      </c>
      <c r="GQ73" s="387">
        <f t="shared" si="99"/>
        <v>0</v>
      </c>
      <c r="GR73" s="387">
        <f t="shared" si="99"/>
        <v>0</v>
      </c>
      <c r="GS73" s="387">
        <f t="shared" si="99"/>
        <v>0</v>
      </c>
      <c r="GT73" s="387">
        <f t="shared" si="99"/>
        <v>0</v>
      </c>
      <c r="GU73" s="387">
        <f t="shared" si="99"/>
        <v>0</v>
      </c>
      <c r="GV73" s="387">
        <f t="shared" si="99"/>
        <v>0</v>
      </c>
      <c r="GW73" s="387">
        <f t="shared" si="99"/>
        <v>0</v>
      </c>
      <c r="GX73" s="387">
        <f t="shared" si="99"/>
        <v>0</v>
      </c>
      <c r="GY73" s="387">
        <f t="shared" si="99"/>
        <v>0</v>
      </c>
      <c r="GZ73" s="988">
        <f t="shared" si="99"/>
        <v>0</v>
      </c>
      <c r="HB73" s="387"/>
      <c r="HC73" s="387"/>
      <c r="HD73" s="387"/>
      <c r="HE73" s="387"/>
      <c r="HF73" s="387"/>
      <c r="HG73" s="387"/>
      <c r="HH73" s="387"/>
      <c r="HI73" s="387"/>
      <c r="HJ73" s="387"/>
      <c r="HK73" s="387"/>
      <c r="HL73" s="387"/>
      <c r="HM73" s="988"/>
    </row>
    <row r="74" spans="1:221">
      <c r="A74" s="326" t="s">
        <v>1577</v>
      </c>
      <c r="B74" s="326" t="s">
        <v>1584</v>
      </c>
      <c r="C74" s="326" t="s">
        <v>3899</v>
      </c>
      <c r="D74" s="1036">
        <v>108.14000000000001</v>
      </c>
      <c r="E74" s="387">
        <v>110.75999999999999</v>
      </c>
      <c r="F74" s="387">
        <v>142.54000000000002</v>
      </c>
      <c r="G74" s="387">
        <v>22.449999999999996</v>
      </c>
      <c r="H74" s="387">
        <v>1.6</v>
      </c>
      <c r="I74" s="387">
        <v>0.95</v>
      </c>
      <c r="J74" s="387">
        <v>32.5</v>
      </c>
      <c r="K74" s="387">
        <v>49.96</v>
      </c>
      <c r="L74" s="387">
        <v>174.04000000000002</v>
      </c>
      <c r="M74" s="387">
        <v>152.61000000000001</v>
      </c>
      <c r="N74" s="387">
        <v>177.91</v>
      </c>
      <c r="O74" s="988">
        <v>-3.6900000000000004</v>
      </c>
      <c r="P74" s="387" t="s">
        <v>2154</v>
      </c>
      <c r="Q74" s="387" t="s">
        <v>2154</v>
      </c>
      <c r="R74" s="387" t="s">
        <v>2154</v>
      </c>
      <c r="S74" s="387" t="s">
        <v>2154</v>
      </c>
      <c r="T74" s="387" t="s">
        <v>2154</v>
      </c>
      <c r="U74" s="387" t="s">
        <v>2154</v>
      </c>
      <c r="V74" s="387" t="s">
        <v>2154</v>
      </c>
      <c r="W74" s="387" t="s">
        <v>2154</v>
      </c>
      <c r="X74" s="387" t="s">
        <v>2154</v>
      </c>
      <c r="Y74" s="387" t="s">
        <v>2154</v>
      </c>
      <c r="Z74" s="387" t="s">
        <v>2154</v>
      </c>
      <c r="AA74" s="988" t="s">
        <v>2154</v>
      </c>
      <c r="AB74" s="387"/>
      <c r="AC74" s="387"/>
      <c r="AD74" s="387"/>
      <c r="AE74" s="387"/>
      <c r="AF74" s="387"/>
      <c r="AG74" s="387"/>
      <c r="AH74" s="387"/>
      <c r="AI74" s="387"/>
      <c r="AJ74" s="387"/>
      <c r="AK74" s="387"/>
      <c r="AL74" s="387"/>
      <c r="AM74" s="988"/>
      <c r="AN74" s="387"/>
      <c r="AO74" s="387"/>
      <c r="AP74" s="387"/>
      <c r="AQ74" s="387"/>
      <c r="AR74" s="387"/>
      <c r="AS74" s="387"/>
      <c r="AT74" s="387"/>
      <c r="AU74" s="387"/>
      <c r="AV74" s="387"/>
      <c r="AW74" s="387"/>
      <c r="AX74" s="387"/>
      <c r="AY74" s="988"/>
      <c r="AZ74" s="387"/>
      <c r="BA74" s="387"/>
      <c r="BB74" s="387"/>
      <c r="BC74" s="387"/>
      <c r="BD74" s="387"/>
      <c r="BE74" s="387"/>
      <c r="BF74" s="387"/>
      <c r="BG74" s="387"/>
      <c r="BH74" s="387"/>
      <c r="BI74" s="387"/>
      <c r="BJ74" s="387"/>
      <c r="BK74" s="988"/>
      <c r="BL74" s="387"/>
      <c r="BM74" s="387"/>
      <c r="BN74" s="387"/>
      <c r="BO74" s="387"/>
      <c r="BP74" s="387"/>
      <c r="BQ74" s="387"/>
      <c r="BR74" s="387"/>
      <c r="BS74" s="387"/>
      <c r="BT74" s="387"/>
      <c r="BU74" s="387"/>
      <c r="BV74" s="387"/>
      <c r="BW74" s="988"/>
      <c r="BX74" s="387"/>
      <c r="BY74" s="387"/>
      <c r="BZ74" s="387"/>
      <c r="CA74" s="387"/>
      <c r="CB74" s="387"/>
      <c r="CC74" s="387"/>
      <c r="CD74" s="387"/>
      <c r="CE74" s="387"/>
      <c r="CF74" s="387"/>
      <c r="CG74" s="387"/>
      <c r="CH74" s="387"/>
      <c r="CI74" s="988"/>
      <c r="CJ74" s="387"/>
      <c r="CK74" s="387"/>
      <c r="CL74" s="387"/>
      <c r="CM74" s="387"/>
      <c r="CN74" s="387"/>
      <c r="CO74" s="387"/>
      <c r="CP74" s="387"/>
      <c r="CQ74" s="387"/>
      <c r="CR74" s="387"/>
      <c r="CS74" s="387"/>
      <c r="CT74" s="387"/>
      <c r="CU74" s="988"/>
      <c r="CV74" s="387"/>
      <c r="CW74" s="387"/>
      <c r="CX74" s="387"/>
      <c r="CY74" s="387"/>
      <c r="CZ74" s="387"/>
      <c r="DA74" s="387"/>
      <c r="DB74" s="387"/>
      <c r="DC74" s="387"/>
      <c r="DD74" s="387"/>
      <c r="DE74" s="387"/>
      <c r="DF74" s="387"/>
      <c r="DG74" s="988"/>
      <c r="DH74" s="387"/>
      <c r="DI74" s="387"/>
      <c r="DJ74" s="387"/>
      <c r="DK74" s="387"/>
      <c r="DL74" s="387"/>
      <c r="DM74" s="387"/>
      <c r="DN74" s="387"/>
      <c r="DO74" s="387"/>
      <c r="DP74" s="387"/>
      <c r="DQ74" s="387"/>
      <c r="DR74" s="387"/>
      <c r="DS74" s="988"/>
      <c r="DT74" s="387" t="s">
        <v>2154</v>
      </c>
      <c r="DU74" s="387" t="s">
        <v>2154</v>
      </c>
      <c r="DV74" s="387" t="s">
        <v>2154</v>
      </c>
      <c r="DW74" s="387" t="s">
        <v>2154</v>
      </c>
      <c r="DX74" s="387" t="s">
        <v>2154</v>
      </c>
      <c r="DY74" s="387" t="s">
        <v>2154</v>
      </c>
      <c r="DZ74" s="387" t="s">
        <v>2154</v>
      </c>
      <c r="EA74" s="387" t="s">
        <v>2154</v>
      </c>
      <c r="EB74" s="387" t="s">
        <v>2154</v>
      </c>
      <c r="EC74" s="387" t="s">
        <v>2154</v>
      </c>
      <c r="ED74" s="387" t="s">
        <v>2154</v>
      </c>
      <c r="EE74" s="988" t="s">
        <v>2154</v>
      </c>
      <c r="EF74" s="387"/>
      <c r="EG74" s="387"/>
      <c r="EH74" s="387"/>
      <c r="EI74" s="387"/>
      <c r="EJ74" s="387"/>
      <c r="EK74" s="387"/>
      <c r="EL74" s="387"/>
      <c r="EM74" s="387"/>
      <c r="EN74" s="387"/>
      <c r="EO74" s="387"/>
      <c r="EP74" s="387"/>
      <c r="EQ74" s="988"/>
      <c r="ER74" s="387"/>
      <c r="ES74" s="387"/>
      <c r="ET74" s="387"/>
      <c r="EU74" s="387"/>
      <c r="EV74" s="387"/>
      <c r="EW74" s="387"/>
      <c r="EX74" s="387"/>
      <c r="EY74" s="387"/>
      <c r="EZ74" s="387"/>
      <c r="FA74" s="387"/>
      <c r="FB74" s="387"/>
      <c r="FC74" s="988"/>
      <c r="FD74" s="387"/>
      <c r="FE74" s="387"/>
      <c r="FF74" s="387"/>
      <c r="FG74" s="387"/>
      <c r="FH74" s="387"/>
      <c r="FI74" s="387"/>
      <c r="FJ74" s="387"/>
      <c r="FK74" s="387"/>
      <c r="FL74" s="387"/>
      <c r="FM74" s="387"/>
      <c r="FN74" s="387"/>
      <c r="FO74" s="988"/>
      <c r="FP74" s="387"/>
      <c r="FQ74" s="387"/>
      <c r="FR74" s="387"/>
      <c r="FS74" s="387"/>
      <c r="FT74" s="387"/>
      <c r="FU74" s="387"/>
      <c r="FV74" s="387"/>
      <c r="FW74" s="387"/>
      <c r="FX74" s="387"/>
      <c r="FY74" s="387"/>
      <c r="FZ74" s="387"/>
      <c r="GA74" s="988"/>
      <c r="GB74" s="109"/>
      <c r="GC74" s="1036">
        <f t="shared" si="98"/>
        <v>108.14000000000001</v>
      </c>
      <c r="GD74" s="387">
        <f t="shared" si="98"/>
        <v>110.75999999999999</v>
      </c>
      <c r="GE74" s="387">
        <f t="shared" si="98"/>
        <v>142.54000000000002</v>
      </c>
      <c r="GF74" s="387">
        <f t="shared" si="98"/>
        <v>22.449999999999996</v>
      </c>
      <c r="GG74" s="387">
        <f t="shared" si="98"/>
        <v>1.6</v>
      </c>
      <c r="GH74" s="387">
        <f t="shared" si="98"/>
        <v>0.95</v>
      </c>
      <c r="GI74" s="387">
        <f t="shared" si="98"/>
        <v>32.5</v>
      </c>
      <c r="GJ74" s="387">
        <f t="shared" si="98"/>
        <v>49.96</v>
      </c>
      <c r="GK74" s="387">
        <f t="shared" si="98"/>
        <v>174.04000000000002</v>
      </c>
      <c r="GL74" s="387">
        <f t="shared" si="98"/>
        <v>152.61000000000001</v>
      </c>
      <c r="GM74" s="387">
        <f t="shared" si="98"/>
        <v>177.91</v>
      </c>
      <c r="GN74" s="988">
        <f t="shared" si="98"/>
        <v>-3.6900000000000004</v>
      </c>
      <c r="GO74" s="1036">
        <f t="shared" si="99"/>
        <v>0</v>
      </c>
      <c r="GP74" s="387">
        <f t="shared" si="99"/>
        <v>0</v>
      </c>
      <c r="GQ74" s="387">
        <f t="shared" si="99"/>
        <v>0</v>
      </c>
      <c r="GR74" s="387">
        <f t="shared" si="99"/>
        <v>0</v>
      </c>
      <c r="GS74" s="387">
        <f t="shared" si="99"/>
        <v>0</v>
      </c>
      <c r="GT74" s="387">
        <f t="shared" si="99"/>
        <v>0</v>
      </c>
      <c r="GU74" s="387">
        <f t="shared" si="99"/>
        <v>0</v>
      </c>
      <c r="GV74" s="387">
        <f t="shared" si="99"/>
        <v>0</v>
      </c>
      <c r="GW74" s="387">
        <f t="shared" si="99"/>
        <v>0</v>
      </c>
      <c r="GX74" s="387">
        <f t="shared" si="99"/>
        <v>0</v>
      </c>
      <c r="GY74" s="387">
        <f t="shared" si="99"/>
        <v>0</v>
      </c>
      <c r="GZ74" s="988">
        <f t="shared" si="99"/>
        <v>0</v>
      </c>
      <c r="HB74" s="387"/>
      <c r="HC74" s="387"/>
      <c r="HD74" s="387"/>
      <c r="HE74" s="387"/>
      <c r="HF74" s="387"/>
      <c r="HG74" s="387"/>
      <c r="HH74" s="387"/>
      <c r="HI74" s="387"/>
      <c r="HJ74" s="387"/>
      <c r="HK74" s="387"/>
      <c r="HL74" s="387"/>
      <c r="HM74" s="988"/>
    </row>
    <row r="75" spans="1:221">
      <c r="A75" s="326" t="s">
        <v>1577</v>
      </c>
      <c r="B75" s="326" t="s">
        <v>1097</v>
      </c>
      <c r="C75" s="326" t="s">
        <v>3687</v>
      </c>
      <c r="D75" s="1036">
        <v>1211.68</v>
      </c>
      <c r="E75" s="387">
        <v>1392.74</v>
      </c>
      <c r="F75" s="387">
        <v>914.84</v>
      </c>
      <c r="G75" s="387">
        <v>1089.0800000000002</v>
      </c>
      <c r="H75" s="387">
        <v>1577.7800000000002</v>
      </c>
      <c r="I75" s="387">
        <v>1281.6100000000001</v>
      </c>
      <c r="J75" s="387">
        <v>1629.6100000000001</v>
      </c>
      <c r="K75" s="387">
        <v>1219.72</v>
      </c>
      <c r="L75" s="387">
        <v>822.08999999999992</v>
      </c>
      <c r="M75" s="387">
        <v>1783.4199999999998</v>
      </c>
      <c r="N75" s="387">
        <v>1476.51</v>
      </c>
      <c r="O75" s="988">
        <v>2020.4</v>
      </c>
      <c r="P75" s="387" t="s">
        <v>2154</v>
      </c>
      <c r="Q75" s="387" t="s">
        <v>2154</v>
      </c>
      <c r="R75" s="387" t="s">
        <v>2154</v>
      </c>
      <c r="S75" s="387" t="s">
        <v>2154</v>
      </c>
      <c r="T75" s="387" t="s">
        <v>2154</v>
      </c>
      <c r="U75" s="387" t="s">
        <v>2154</v>
      </c>
      <c r="V75" s="387" t="s">
        <v>2154</v>
      </c>
      <c r="W75" s="387" t="s">
        <v>2154</v>
      </c>
      <c r="X75" s="387" t="s">
        <v>2154</v>
      </c>
      <c r="Y75" s="387" t="s">
        <v>2154</v>
      </c>
      <c r="Z75" s="387" t="s">
        <v>2154</v>
      </c>
      <c r="AA75" s="988" t="s">
        <v>2154</v>
      </c>
      <c r="AB75" s="387"/>
      <c r="AC75" s="387"/>
      <c r="AD75" s="387"/>
      <c r="AE75" s="387"/>
      <c r="AF75" s="387"/>
      <c r="AG75" s="387"/>
      <c r="AH75" s="387"/>
      <c r="AI75" s="387"/>
      <c r="AJ75" s="387"/>
      <c r="AK75" s="387"/>
      <c r="AL75" s="387"/>
      <c r="AM75" s="988"/>
      <c r="AN75" s="387"/>
      <c r="AO75" s="387"/>
      <c r="AP75" s="387"/>
      <c r="AQ75" s="387"/>
      <c r="AR75" s="387"/>
      <c r="AS75" s="387"/>
      <c r="AT75" s="387"/>
      <c r="AU75" s="387"/>
      <c r="AV75" s="387"/>
      <c r="AW75" s="387"/>
      <c r="AX75" s="387"/>
      <c r="AY75" s="988"/>
      <c r="AZ75" s="387"/>
      <c r="BA75" s="387"/>
      <c r="BB75" s="387"/>
      <c r="BC75" s="387"/>
      <c r="BD75" s="387"/>
      <c r="BE75" s="387"/>
      <c r="BF75" s="387"/>
      <c r="BG75" s="387"/>
      <c r="BH75" s="387"/>
      <c r="BI75" s="387"/>
      <c r="BJ75" s="387"/>
      <c r="BK75" s="988"/>
      <c r="BL75" s="387"/>
      <c r="BM75" s="387"/>
      <c r="BN75" s="387"/>
      <c r="BO75" s="387"/>
      <c r="BP75" s="387"/>
      <c r="BQ75" s="387"/>
      <c r="BR75" s="387"/>
      <c r="BS75" s="387"/>
      <c r="BT75" s="387"/>
      <c r="BU75" s="387"/>
      <c r="BV75" s="387"/>
      <c r="BW75" s="988"/>
      <c r="BX75" s="387"/>
      <c r="BY75" s="387"/>
      <c r="BZ75" s="387"/>
      <c r="CA75" s="387"/>
      <c r="CB75" s="387"/>
      <c r="CC75" s="387"/>
      <c r="CD75" s="387"/>
      <c r="CE75" s="387"/>
      <c r="CF75" s="387"/>
      <c r="CG75" s="387"/>
      <c r="CH75" s="387"/>
      <c r="CI75" s="988"/>
      <c r="CJ75" s="387"/>
      <c r="CK75" s="387"/>
      <c r="CL75" s="387"/>
      <c r="CM75" s="387"/>
      <c r="CN75" s="387"/>
      <c r="CO75" s="387"/>
      <c r="CP75" s="387"/>
      <c r="CQ75" s="387"/>
      <c r="CR75" s="387"/>
      <c r="CS75" s="387"/>
      <c r="CT75" s="387"/>
      <c r="CU75" s="988"/>
      <c r="CV75" s="387"/>
      <c r="CW75" s="387"/>
      <c r="CX75" s="387"/>
      <c r="CY75" s="387"/>
      <c r="CZ75" s="387"/>
      <c r="DA75" s="387"/>
      <c r="DB75" s="387"/>
      <c r="DC75" s="387"/>
      <c r="DD75" s="387"/>
      <c r="DE75" s="387"/>
      <c r="DF75" s="387"/>
      <c r="DG75" s="988"/>
      <c r="DH75" s="387"/>
      <c r="DI75" s="387"/>
      <c r="DJ75" s="387"/>
      <c r="DK75" s="387"/>
      <c r="DL75" s="387"/>
      <c r="DM75" s="387"/>
      <c r="DN75" s="387"/>
      <c r="DO75" s="387"/>
      <c r="DP75" s="387"/>
      <c r="DQ75" s="387"/>
      <c r="DR75" s="387"/>
      <c r="DS75" s="988"/>
      <c r="DT75" s="387" t="s">
        <v>2154</v>
      </c>
      <c r="DU75" s="387" t="s">
        <v>2154</v>
      </c>
      <c r="DV75" s="387" t="s">
        <v>2154</v>
      </c>
      <c r="DW75" s="387" t="s">
        <v>2154</v>
      </c>
      <c r="DX75" s="387" t="s">
        <v>2154</v>
      </c>
      <c r="DY75" s="387" t="s">
        <v>2154</v>
      </c>
      <c r="DZ75" s="387" t="s">
        <v>2154</v>
      </c>
      <c r="EA75" s="387" t="s">
        <v>2154</v>
      </c>
      <c r="EB75" s="387" t="s">
        <v>2154</v>
      </c>
      <c r="EC75" s="387" t="s">
        <v>2154</v>
      </c>
      <c r="ED75" s="387" t="s">
        <v>2154</v>
      </c>
      <c r="EE75" s="988" t="s">
        <v>2154</v>
      </c>
      <c r="EF75" s="387"/>
      <c r="EG75" s="387"/>
      <c r="EH75" s="387"/>
      <c r="EI75" s="387"/>
      <c r="EJ75" s="387"/>
      <c r="EK75" s="387"/>
      <c r="EL75" s="387"/>
      <c r="EM75" s="387"/>
      <c r="EN75" s="387"/>
      <c r="EO75" s="387"/>
      <c r="EP75" s="387"/>
      <c r="EQ75" s="988"/>
      <c r="ER75" s="387"/>
      <c r="ES75" s="387"/>
      <c r="ET75" s="387"/>
      <c r="EU75" s="387"/>
      <c r="EV75" s="387"/>
      <c r="EW75" s="387"/>
      <c r="EX75" s="387"/>
      <c r="EY75" s="387"/>
      <c r="EZ75" s="387"/>
      <c r="FA75" s="387"/>
      <c r="FB75" s="387"/>
      <c r="FC75" s="988"/>
      <c r="FD75" s="387"/>
      <c r="FE75" s="387"/>
      <c r="FF75" s="387"/>
      <c r="FG75" s="387"/>
      <c r="FH75" s="387"/>
      <c r="FI75" s="387"/>
      <c r="FJ75" s="387"/>
      <c r="FK75" s="387"/>
      <c r="FL75" s="387"/>
      <c r="FM75" s="387"/>
      <c r="FN75" s="387"/>
      <c r="FO75" s="988"/>
      <c r="FP75" s="387"/>
      <c r="FQ75" s="387"/>
      <c r="FR75" s="387"/>
      <c r="FS75" s="387"/>
      <c r="FT75" s="387"/>
      <c r="FU75" s="387"/>
      <c r="FV75" s="387"/>
      <c r="FW75" s="387"/>
      <c r="FX75" s="387"/>
      <c r="FY75" s="387"/>
      <c r="FZ75" s="387"/>
      <c r="GA75" s="988"/>
      <c r="GB75" s="109"/>
      <c r="GC75" s="1036">
        <f t="shared" si="98"/>
        <v>1211.68</v>
      </c>
      <c r="GD75" s="387">
        <f t="shared" si="98"/>
        <v>1392.74</v>
      </c>
      <c r="GE75" s="387">
        <f t="shared" si="98"/>
        <v>914.84</v>
      </c>
      <c r="GF75" s="387">
        <f t="shared" si="98"/>
        <v>1089.0800000000002</v>
      </c>
      <c r="GG75" s="387">
        <f t="shared" si="98"/>
        <v>1577.7800000000002</v>
      </c>
      <c r="GH75" s="387">
        <f t="shared" si="98"/>
        <v>1281.6100000000001</v>
      </c>
      <c r="GI75" s="387">
        <f t="shared" si="98"/>
        <v>1629.6100000000001</v>
      </c>
      <c r="GJ75" s="387">
        <f t="shared" si="98"/>
        <v>1219.72</v>
      </c>
      <c r="GK75" s="387">
        <f t="shared" si="98"/>
        <v>822.08999999999992</v>
      </c>
      <c r="GL75" s="387">
        <f t="shared" si="98"/>
        <v>1783.4199999999998</v>
      </c>
      <c r="GM75" s="387">
        <f t="shared" si="98"/>
        <v>1476.51</v>
      </c>
      <c r="GN75" s="988">
        <f t="shared" si="98"/>
        <v>2020.4</v>
      </c>
      <c r="GO75" s="1036">
        <f t="shared" si="99"/>
        <v>0</v>
      </c>
      <c r="GP75" s="387">
        <f t="shared" si="99"/>
        <v>0</v>
      </c>
      <c r="GQ75" s="387">
        <f t="shared" si="99"/>
        <v>0</v>
      </c>
      <c r="GR75" s="387">
        <f t="shared" si="99"/>
        <v>0</v>
      </c>
      <c r="GS75" s="387">
        <f t="shared" si="99"/>
        <v>0</v>
      </c>
      <c r="GT75" s="387">
        <f t="shared" si="99"/>
        <v>0</v>
      </c>
      <c r="GU75" s="387">
        <f t="shared" si="99"/>
        <v>0</v>
      </c>
      <c r="GV75" s="387">
        <f t="shared" si="99"/>
        <v>0</v>
      </c>
      <c r="GW75" s="387">
        <f t="shared" si="99"/>
        <v>0</v>
      </c>
      <c r="GX75" s="387">
        <f t="shared" si="99"/>
        <v>0</v>
      </c>
      <c r="GY75" s="387">
        <f t="shared" si="99"/>
        <v>0</v>
      </c>
      <c r="GZ75" s="988">
        <f t="shared" si="99"/>
        <v>0</v>
      </c>
      <c r="HB75" s="387"/>
      <c r="HC75" s="387"/>
      <c r="HD75" s="387"/>
      <c r="HE75" s="387"/>
      <c r="HF75" s="387"/>
      <c r="HG75" s="387"/>
      <c r="HH75" s="387"/>
      <c r="HI75" s="387"/>
      <c r="HJ75" s="387"/>
      <c r="HK75" s="387"/>
      <c r="HL75" s="387"/>
      <c r="HM75" s="988"/>
    </row>
    <row r="76" spans="1:221">
      <c r="A76" s="326" t="s">
        <v>1577</v>
      </c>
      <c r="B76" s="326" t="s">
        <v>1097</v>
      </c>
      <c r="C76" s="326" t="s">
        <v>3899</v>
      </c>
      <c r="D76" s="1036">
        <v>57.419999999999995</v>
      </c>
      <c r="E76" s="387">
        <v>65.5</v>
      </c>
      <c r="F76" s="387">
        <v>41.89</v>
      </c>
      <c r="G76" s="387">
        <v>52.760000000000005</v>
      </c>
      <c r="H76" s="387">
        <v>69.27</v>
      </c>
      <c r="I76" s="387">
        <v>57.5</v>
      </c>
      <c r="J76" s="387">
        <v>68.34</v>
      </c>
      <c r="K76" s="387">
        <v>57.53</v>
      </c>
      <c r="L76" s="387">
        <v>40.269999999999996</v>
      </c>
      <c r="M76" s="387">
        <v>79.489999999999995</v>
      </c>
      <c r="N76" s="387">
        <v>69.490000000000009</v>
      </c>
      <c r="O76" s="988">
        <v>91.259999999999991</v>
      </c>
      <c r="P76" s="387" t="s">
        <v>2154</v>
      </c>
      <c r="Q76" s="387" t="s">
        <v>2154</v>
      </c>
      <c r="R76" s="387" t="s">
        <v>2154</v>
      </c>
      <c r="S76" s="387" t="s">
        <v>2154</v>
      </c>
      <c r="T76" s="387" t="s">
        <v>2154</v>
      </c>
      <c r="U76" s="387" t="s">
        <v>2154</v>
      </c>
      <c r="V76" s="387" t="s">
        <v>2154</v>
      </c>
      <c r="W76" s="387" t="s">
        <v>2154</v>
      </c>
      <c r="X76" s="387" t="s">
        <v>2154</v>
      </c>
      <c r="Y76" s="387" t="s">
        <v>2154</v>
      </c>
      <c r="Z76" s="387" t="s">
        <v>2154</v>
      </c>
      <c r="AA76" s="988" t="s">
        <v>2154</v>
      </c>
      <c r="AB76" s="387"/>
      <c r="AC76" s="387"/>
      <c r="AD76" s="387"/>
      <c r="AE76" s="387"/>
      <c r="AF76" s="387"/>
      <c r="AG76" s="387"/>
      <c r="AH76" s="387"/>
      <c r="AI76" s="387"/>
      <c r="AJ76" s="387"/>
      <c r="AK76" s="387"/>
      <c r="AL76" s="387"/>
      <c r="AM76" s="988"/>
      <c r="AN76" s="387"/>
      <c r="AO76" s="387"/>
      <c r="AP76" s="387"/>
      <c r="AQ76" s="387"/>
      <c r="AR76" s="387"/>
      <c r="AS76" s="387"/>
      <c r="AT76" s="387"/>
      <c r="AU76" s="387"/>
      <c r="AV76" s="387"/>
      <c r="AW76" s="387"/>
      <c r="AX76" s="387"/>
      <c r="AY76" s="988"/>
      <c r="AZ76" s="387"/>
      <c r="BA76" s="387"/>
      <c r="BB76" s="387"/>
      <c r="BC76" s="387"/>
      <c r="BD76" s="387"/>
      <c r="BE76" s="387"/>
      <c r="BF76" s="387"/>
      <c r="BG76" s="387"/>
      <c r="BH76" s="387"/>
      <c r="BI76" s="387"/>
      <c r="BJ76" s="387"/>
      <c r="BK76" s="988"/>
      <c r="BL76" s="387"/>
      <c r="BM76" s="387"/>
      <c r="BN76" s="387"/>
      <c r="BO76" s="387"/>
      <c r="BP76" s="387"/>
      <c r="BQ76" s="387"/>
      <c r="BR76" s="387"/>
      <c r="BS76" s="387"/>
      <c r="BT76" s="387"/>
      <c r="BU76" s="387"/>
      <c r="BV76" s="387"/>
      <c r="BW76" s="988"/>
      <c r="BX76" s="387"/>
      <c r="BY76" s="387"/>
      <c r="BZ76" s="387"/>
      <c r="CA76" s="387"/>
      <c r="CB76" s="387"/>
      <c r="CC76" s="387"/>
      <c r="CD76" s="387"/>
      <c r="CE76" s="387"/>
      <c r="CF76" s="387"/>
      <c r="CG76" s="387"/>
      <c r="CH76" s="387"/>
      <c r="CI76" s="988"/>
      <c r="CJ76" s="387"/>
      <c r="CK76" s="387"/>
      <c r="CL76" s="387"/>
      <c r="CM76" s="387"/>
      <c r="CN76" s="387"/>
      <c r="CO76" s="387"/>
      <c r="CP76" s="387"/>
      <c r="CQ76" s="387"/>
      <c r="CR76" s="387"/>
      <c r="CS76" s="387"/>
      <c r="CT76" s="387"/>
      <c r="CU76" s="988"/>
      <c r="CV76" s="387"/>
      <c r="CW76" s="387"/>
      <c r="CX76" s="387"/>
      <c r="CY76" s="387"/>
      <c r="CZ76" s="387"/>
      <c r="DA76" s="387"/>
      <c r="DB76" s="387"/>
      <c r="DC76" s="387"/>
      <c r="DD76" s="387"/>
      <c r="DE76" s="387"/>
      <c r="DF76" s="387"/>
      <c r="DG76" s="988"/>
      <c r="DH76" s="387"/>
      <c r="DI76" s="387"/>
      <c r="DJ76" s="387"/>
      <c r="DK76" s="387"/>
      <c r="DL76" s="387"/>
      <c r="DM76" s="387"/>
      <c r="DN76" s="387"/>
      <c r="DO76" s="387"/>
      <c r="DP76" s="387"/>
      <c r="DQ76" s="387"/>
      <c r="DR76" s="387"/>
      <c r="DS76" s="988"/>
      <c r="DT76" s="387" t="s">
        <v>2154</v>
      </c>
      <c r="DU76" s="387" t="s">
        <v>2154</v>
      </c>
      <c r="DV76" s="387" t="s">
        <v>2154</v>
      </c>
      <c r="DW76" s="387" t="s">
        <v>2154</v>
      </c>
      <c r="DX76" s="387" t="s">
        <v>2154</v>
      </c>
      <c r="DY76" s="387" t="s">
        <v>2154</v>
      </c>
      <c r="DZ76" s="387" t="s">
        <v>2154</v>
      </c>
      <c r="EA76" s="387" t="s">
        <v>2154</v>
      </c>
      <c r="EB76" s="387" t="s">
        <v>2154</v>
      </c>
      <c r="EC76" s="387" t="s">
        <v>2154</v>
      </c>
      <c r="ED76" s="387" t="s">
        <v>2154</v>
      </c>
      <c r="EE76" s="988" t="s">
        <v>2154</v>
      </c>
      <c r="EF76" s="387"/>
      <c r="EG76" s="387"/>
      <c r="EH76" s="387"/>
      <c r="EI76" s="387"/>
      <c r="EJ76" s="387"/>
      <c r="EK76" s="387"/>
      <c r="EL76" s="387"/>
      <c r="EM76" s="387"/>
      <c r="EN76" s="387"/>
      <c r="EO76" s="387"/>
      <c r="EP76" s="387"/>
      <c r="EQ76" s="988"/>
      <c r="ER76" s="387"/>
      <c r="ES76" s="387"/>
      <c r="ET76" s="387"/>
      <c r="EU76" s="387"/>
      <c r="EV76" s="387"/>
      <c r="EW76" s="387"/>
      <c r="EX76" s="387"/>
      <c r="EY76" s="387"/>
      <c r="EZ76" s="387"/>
      <c r="FA76" s="387"/>
      <c r="FB76" s="387"/>
      <c r="FC76" s="988"/>
      <c r="FD76" s="387"/>
      <c r="FE76" s="387"/>
      <c r="FF76" s="387"/>
      <c r="FG76" s="387"/>
      <c r="FH76" s="387"/>
      <c r="FI76" s="387"/>
      <c r="FJ76" s="387"/>
      <c r="FK76" s="387"/>
      <c r="FL76" s="387"/>
      <c r="FM76" s="387"/>
      <c r="FN76" s="387"/>
      <c r="FO76" s="988"/>
      <c r="FP76" s="387"/>
      <c r="FQ76" s="387"/>
      <c r="FR76" s="387"/>
      <c r="FS76" s="387"/>
      <c r="FT76" s="387"/>
      <c r="FU76" s="387"/>
      <c r="FV76" s="387"/>
      <c r="FW76" s="387"/>
      <c r="FX76" s="387"/>
      <c r="FY76" s="387"/>
      <c r="FZ76" s="387"/>
      <c r="GA76" s="988"/>
      <c r="GB76" s="109"/>
      <c r="GC76" s="1036">
        <f t="shared" si="98"/>
        <v>57.419999999999995</v>
      </c>
      <c r="GD76" s="387">
        <f t="shared" si="98"/>
        <v>65.5</v>
      </c>
      <c r="GE76" s="387">
        <f t="shared" si="98"/>
        <v>41.89</v>
      </c>
      <c r="GF76" s="387">
        <f t="shared" si="98"/>
        <v>52.760000000000005</v>
      </c>
      <c r="GG76" s="387">
        <f t="shared" si="98"/>
        <v>69.27</v>
      </c>
      <c r="GH76" s="387">
        <f t="shared" si="98"/>
        <v>57.5</v>
      </c>
      <c r="GI76" s="387">
        <f t="shared" si="98"/>
        <v>68.34</v>
      </c>
      <c r="GJ76" s="387">
        <f t="shared" si="98"/>
        <v>57.53</v>
      </c>
      <c r="GK76" s="387">
        <f t="shared" si="98"/>
        <v>40.269999999999996</v>
      </c>
      <c r="GL76" s="387">
        <f t="shared" si="98"/>
        <v>79.489999999999995</v>
      </c>
      <c r="GM76" s="387">
        <f t="shared" si="98"/>
        <v>69.490000000000009</v>
      </c>
      <c r="GN76" s="988">
        <f t="shared" si="98"/>
        <v>91.259999999999991</v>
      </c>
      <c r="GO76" s="1036">
        <f t="shared" si="99"/>
        <v>0</v>
      </c>
      <c r="GP76" s="387">
        <f t="shared" si="99"/>
        <v>0</v>
      </c>
      <c r="GQ76" s="387">
        <f t="shared" si="99"/>
        <v>0</v>
      </c>
      <c r="GR76" s="387">
        <f t="shared" si="99"/>
        <v>0</v>
      </c>
      <c r="GS76" s="387">
        <f t="shared" si="99"/>
        <v>0</v>
      </c>
      <c r="GT76" s="387">
        <f t="shared" si="99"/>
        <v>0</v>
      </c>
      <c r="GU76" s="387">
        <f t="shared" si="99"/>
        <v>0</v>
      </c>
      <c r="GV76" s="387">
        <f t="shared" si="99"/>
        <v>0</v>
      </c>
      <c r="GW76" s="387">
        <f t="shared" si="99"/>
        <v>0</v>
      </c>
      <c r="GX76" s="387">
        <f t="shared" si="99"/>
        <v>0</v>
      </c>
      <c r="GY76" s="387">
        <f t="shared" si="99"/>
        <v>0</v>
      </c>
      <c r="GZ76" s="988">
        <f t="shared" si="99"/>
        <v>0</v>
      </c>
      <c r="HB76" s="387"/>
      <c r="HC76" s="387"/>
      <c r="HD76" s="387"/>
      <c r="HE76" s="387"/>
      <c r="HF76" s="387"/>
      <c r="HG76" s="387"/>
      <c r="HH76" s="387"/>
      <c r="HI76" s="387"/>
      <c r="HJ76" s="387"/>
      <c r="HK76" s="387"/>
      <c r="HL76" s="387"/>
      <c r="HM76" s="988"/>
    </row>
    <row r="77" spans="1:221">
      <c r="A77" s="326" t="s">
        <v>1577</v>
      </c>
      <c r="B77" s="326" t="s">
        <v>901</v>
      </c>
      <c r="C77" s="326" t="s">
        <v>1585</v>
      </c>
      <c r="D77" s="1036">
        <v>6311.16</v>
      </c>
      <c r="E77" s="387">
        <v>5196.6299999999992</v>
      </c>
      <c r="F77" s="387">
        <v>569.88000000000011</v>
      </c>
      <c r="G77" s="387">
        <v>7617.0300000000007</v>
      </c>
      <c r="H77" s="387">
        <v>10018.24</v>
      </c>
      <c r="I77" s="387">
        <v>14146.109999999999</v>
      </c>
      <c r="J77" s="387">
        <v>10290.709999999999</v>
      </c>
      <c r="K77" s="387">
        <v>10231.5</v>
      </c>
      <c r="L77" s="387">
        <v>7326.15</v>
      </c>
      <c r="M77" s="387">
        <v>6074.46</v>
      </c>
      <c r="N77" s="387">
        <v>7855.74</v>
      </c>
      <c r="O77" s="988">
        <v>10143.119999999999</v>
      </c>
      <c r="P77" s="387" t="s">
        <v>2154</v>
      </c>
      <c r="Q77" s="387" t="s">
        <v>2154</v>
      </c>
      <c r="R77" s="387" t="s">
        <v>2154</v>
      </c>
      <c r="S77" s="387" t="s">
        <v>2154</v>
      </c>
      <c r="T77" s="387" t="s">
        <v>2154</v>
      </c>
      <c r="U77" s="387" t="s">
        <v>2154</v>
      </c>
      <c r="V77" s="387" t="s">
        <v>2154</v>
      </c>
      <c r="W77" s="387" t="s">
        <v>2154</v>
      </c>
      <c r="X77" s="387" t="s">
        <v>2154</v>
      </c>
      <c r="Y77" s="387" t="s">
        <v>2154</v>
      </c>
      <c r="Z77" s="387" t="s">
        <v>2154</v>
      </c>
      <c r="AA77" s="988" t="s">
        <v>2154</v>
      </c>
      <c r="AB77" s="387"/>
      <c r="AC77" s="387"/>
      <c r="AD77" s="387"/>
      <c r="AE77" s="387"/>
      <c r="AF77" s="387"/>
      <c r="AG77" s="387"/>
      <c r="AH77" s="387"/>
      <c r="AI77" s="387"/>
      <c r="AJ77" s="387"/>
      <c r="AK77" s="387"/>
      <c r="AL77" s="387"/>
      <c r="AM77" s="988"/>
      <c r="AN77" s="387"/>
      <c r="AO77" s="387"/>
      <c r="AP77" s="387"/>
      <c r="AQ77" s="387"/>
      <c r="AR77" s="387"/>
      <c r="AS77" s="387"/>
      <c r="AT77" s="387"/>
      <c r="AU77" s="387"/>
      <c r="AV77" s="387"/>
      <c r="AW77" s="387"/>
      <c r="AX77" s="387"/>
      <c r="AY77" s="988"/>
      <c r="AZ77" s="387"/>
      <c r="BA77" s="387"/>
      <c r="BB77" s="387"/>
      <c r="BC77" s="387"/>
      <c r="BD77" s="387"/>
      <c r="BE77" s="387"/>
      <c r="BF77" s="387"/>
      <c r="BG77" s="387"/>
      <c r="BH77" s="387"/>
      <c r="BI77" s="387"/>
      <c r="BJ77" s="387"/>
      <c r="BK77" s="988"/>
      <c r="BL77" s="387"/>
      <c r="BM77" s="387"/>
      <c r="BN77" s="387"/>
      <c r="BO77" s="387"/>
      <c r="BP77" s="387"/>
      <c r="BQ77" s="387"/>
      <c r="BR77" s="387"/>
      <c r="BS77" s="387"/>
      <c r="BT77" s="387"/>
      <c r="BU77" s="387"/>
      <c r="BV77" s="387"/>
      <c r="BW77" s="988"/>
      <c r="BX77" s="387"/>
      <c r="BY77" s="387"/>
      <c r="BZ77" s="387"/>
      <c r="CA77" s="387"/>
      <c r="CB77" s="387"/>
      <c r="CC77" s="387"/>
      <c r="CD77" s="387"/>
      <c r="CE77" s="387"/>
      <c r="CF77" s="387"/>
      <c r="CG77" s="387"/>
      <c r="CH77" s="387"/>
      <c r="CI77" s="988"/>
      <c r="CJ77" s="387"/>
      <c r="CK77" s="387"/>
      <c r="CL77" s="387"/>
      <c r="CM77" s="387"/>
      <c r="CN77" s="387"/>
      <c r="CO77" s="387"/>
      <c r="CP77" s="387"/>
      <c r="CQ77" s="387"/>
      <c r="CR77" s="387"/>
      <c r="CS77" s="387"/>
      <c r="CT77" s="387"/>
      <c r="CU77" s="988"/>
      <c r="CV77" s="387"/>
      <c r="CW77" s="387"/>
      <c r="CX77" s="387"/>
      <c r="CY77" s="387"/>
      <c r="CZ77" s="387"/>
      <c r="DA77" s="387"/>
      <c r="DB77" s="387"/>
      <c r="DC77" s="387"/>
      <c r="DD77" s="387"/>
      <c r="DE77" s="387"/>
      <c r="DF77" s="387"/>
      <c r="DG77" s="988"/>
      <c r="DH77" s="387"/>
      <c r="DI77" s="387"/>
      <c r="DJ77" s="387"/>
      <c r="DK77" s="387"/>
      <c r="DL77" s="387"/>
      <c r="DM77" s="387"/>
      <c r="DN77" s="387"/>
      <c r="DO77" s="387"/>
      <c r="DP77" s="387"/>
      <c r="DQ77" s="387"/>
      <c r="DR77" s="387"/>
      <c r="DS77" s="988"/>
      <c r="DT77" s="387" t="s">
        <v>2154</v>
      </c>
      <c r="DU77" s="387" t="s">
        <v>2154</v>
      </c>
      <c r="DV77" s="387" t="s">
        <v>2154</v>
      </c>
      <c r="DW77" s="387" t="s">
        <v>2154</v>
      </c>
      <c r="DX77" s="387" t="s">
        <v>2154</v>
      </c>
      <c r="DY77" s="387" t="s">
        <v>2154</v>
      </c>
      <c r="DZ77" s="387" t="s">
        <v>2154</v>
      </c>
      <c r="EA77" s="387" t="s">
        <v>2154</v>
      </c>
      <c r="EB77" s="387" t="s">
        <v>2154</v>
      </c>
      <c r="EC77" s="387" t="s">
        <v>2154</v>
      </c>
      <c r="ED77" s="387" t="s">
        <v>2154</v>
      </c>
      <c r="EE77" s="988" t="s">
        <v>2154</v>
      </c>
      <c r="EF77" s="387"/>
      <c r="EG77" s="387"/>
      <c r="EH77" s="387"/>
      <c r="EI77" s="387"/>
      <c r="EJ77" s="387"/>
      <c r="EK77" s="387"/>
      <c r="EL77" s="387"/>
      <c r="EM77" s="387"/>
      <c r="EN77" s="387"/>
      <c r="EO77" s="387"/>
      <c r="EP77" s="387"/>
      <c r="EQ77" s="988"/>
      <c r="ER77" s="387"/>
      <c r="ES77" s="387"/>
      <c r="ET77" s="387"/>
      <c r="EU77" s="387"/>
      <c r="EV77" s="387"/>
      <c r="EW77" s="387"/>
      <c r="EX77" s="387"/>
      <c r="EY77" s="387"/>
      <c r="EZ77" s="387"/>
      <c r="FA77" s="387"/>
      <c r="FB77" s="387"/>
      <c r="FC77" s="988"/>
      <c r="FD77" s="387"/>
      <c r="FE77" s="387"/>
      <c r="FF77" s="387"/>
      <c r="FG77" s="387"/>
      <c r="FH77" s="387"/>
      <c r="FI77" s="387"/>
      <c r="FJ77" s="387"/>
      <c r="FK77" s="387"/>
      <c r="FL77" s="387"/>
      <c r="FM77" s="387"/>
      <c r="FN77" s="387"/>
      <c r="FO77" s="988"/>
      <c r="FP77" s="387"/>
      <c r="FQ77" s="387"/>
      <c r="FR77" s="387"/>
      <c r="FS77" s="387"/>
      <c r="FT77" s="387"/>
      <c r="FU77" s="387"/>
      <c r="FV77" s="387"/>
      <c r="FW77" s="387"/>
      <c r="FX77" s="387"/>
      <c r="FY77" s="387"/>
      <c r="FZ77" s="387"/>
      <c r="GA77" s="988"/>
      <c r="GB77" s="109"/>
      <c r="GC77" s="1036">
        <f t="shared" si="98"/>
        <v>6311.16</v>
      </c>
      <c r="GD77" s="387">
        <f t="shared" si="98"/>
        <v>5196.6299999999992</v>
      </c>
      <c r="GE77" s="387">
        <f t="shared" si="98"/>
        <v>569.88000000000011</v>
      </c>
      <c r="GF77" s="387">
        <f t="shared" si="98"/>
        <v>7617.0300000000007</v>
      </c>
      <c r="GG77" s="387">
        <f t="shared" si="98"/>
        <v>10018.24</v>
      </c>
      <c r="GH77" s="387">
        <f t="shared" si="98"/>
        <v>14146.109999999999</v>
      </c>
      <c r="GI77" s="387">
        <f t="shared" si="98"/>
        <v>10290.709999999999</v>
      </c>
      <c r="GJ77" s="387">
        <f t="shared" si="98"/>
        <v>10231.5</v>
      </c>
      <c r="GK77" s="387">
        <f t="shared" si="98"/>
        <v>7326.15</v>
      </c>
      <c r="GL77" s="387">
        <f t="shared" si="98"/>
        <v>6074.46</v>
      </c>
      <c r="GM77" s="387">
        <f t="shared" si="98"/>
        <v>7855.74</v>
      </c>
      <c r="GN77" s="988">
        <f t="shared" si="98"/>
        <v>10143.119999999999</v>
      </c>
      <c r="GO77" s="1036">
        <f t="shared" si="99"/>
        <v>0</v>
      </c>
      <c r="GP77" s="387">
        <f t="shared" si="99"/>
        <v>0</v>
      </c>
      <c r="GQ77" s="387">
        <f t="shared" si="99"/>
        <v>0</v>
      </c>
      <c r="GR77" s="387">
        <f t="shared" si="99"/>
        <v>0</v>
      </c>
      <c r="GS77" s="387">
        <f t="shared" si="99"/>
        <v>0</v>
      </c>
      <c r="GT77" s="387">
        <f t="shared" si="99"/>
        <v>0</v>
      </c>
      <c r="GU77" s="387">
        <f t="shared" si="99"/>
        <v>0</v>
      </c>
      <c r="GV77" s="387">
        <f t="shared" si="99"/>
        <v>0</v>
      </c>
      <c r="GW77" s="387">
        <f t="shared" si="99"/>
        <v>0</v>
      </c>
      <c r="GX77" s="387">
        <f t="shared" si="99"/>
        <v>0</v>
      </c>
      <c r="GY77" s="387">
        <f t="shared" si="99"/>
        <v>0</v>
      </c>
      <c r="GZ77" s="988">
        <f t="shared" si="99"/>
        <v>0</v>
      </c>
      <c r="HB77" s="387"/>
      <c r="HC77" s="387"/>
      <c r="HD77" s="387"/>
      <c r="HE77" s="387"/>
      <c r="HF77" s="387"/>
      <c r="HG77" s="387"/>
      <c r="HH77" s="387"/>
      <c r="HI77" s="387"/>
      <c r="HJ77" s="387"/>
      <c r="HK77" s="387"/>
      <c r="HL77" s="387"/>
      <c r="HM77" s="988"/>
    </row>
    <row r="78" spans="1:221">
      <c r="A78" s="326" t="s">
        <v>1577</v>
      </c>
      <c r="B78" s="326" t="s">
        <v>901</v>
      </c>
      <c r="C78" s="326" t="s">
        <v>1586</v>
      </c>
      <c r="D78" s="1036" t="s">
        <v>2154</v>
      </c>
      <c r="E78" s="387" t="s">
        <v>2154</v>
      </c>
      <c r="F78" s="387" t="s">
        <v>2154</v>
      </c>
      <c r="G78" s="387" t="s">
        <v>2154</v>
      </c>
      <c r="H78" s="387" t="s">
        <v>2154</v>
      </c>
      <c r="I78" s="387" t="s">
        <v>2154</v>
      </c>
      <c r="J78" s="387" t="s">
        <v>2154</v>
      </c>
      <c r="K78" s="387" t="s">
        <v>2154</v>
      </c>
      <c r="L78" s="387" t="s">
        <v>2154</v>
      </c>
      <c r="M78" s="387" t="s">
        <v>2154</v>
      </c>
      <c r="N78" s="387" t="s">
        <v>2154</v>
      </c>
      <c r="O78" s="988" t="s">
        <v>2154</v>
      </c>
      <c r="P78" s="387" t="s">
        <v>2154</v>
      </c>
      <c r="Q78" s="387" t="s">
        <v>2154</v>
      </c>
      <c r="R78" s="387" t="s">
        <v>2154</v>
      </c>
      <c r="S78" s="387" t="s">
        <v>2154</v>
      </c>
      <c r="T78" s="387" t="s">
        <v>2154</v>
      </c>
      <c r="U78" s="387" t="s">
        <v>2154</v>
      </c>
      <c r="V78" s="387" t="s">
        <v>2154</v>
      </c>
      <c r="W78" s="387" t="s">
        <v>2154</v>
      </c>
      <c r="X78" s="387" t="s">
        <v>2154</v>
      </c>
      <c r="Y78" s="387" t="s">
        <v>2154</v>
      </c>
      <c r="Z78" s="387" t="s">
        <v>2154</v>
      </c>
      <c r="AA78" s="988" t="s">
        <v>2154</v>
      </c>
      <c r="AB78" s="387"/>
      <c r="AC78" s="387"/>
      <c r="AD78" s="387"/>
      <c r="AE78" s="387"/>
      <c r="AF78" s="387"/>
      <c r="AG78" s="387"/>
      <c r="AH78" s="387"/>
      <c r="AI78" s="387"/>
      <c r="AJ78" s="387"/>
      <c r="AK78" s="387"/>
      <c r="AL78" s="387"/>
      <c r="AM78" s="988"/>
      <c r="AN78" s="387"/>
      <c r="AO78" s="387"/>
      <c r="AP78" s="387"/>
      <c r="AQ78" s="387"/>
      <c r="AR78" s="387"/>
      <c r="AS78" s="387"/>
      <c r="AT78" s="387"/>
      <c r="AU78" s="387"/>
      <c r="AV78" s="387"/>
      <c r="AW78" s="387"/>
      <c r="AX78" s="387"/>
      <c r="AY78" s="988"/>
      <c r="AZ78" s="387"/>
      <c r="BA78" s="387"/>
      <c r="BB78" s="387"/>
      <c r="BC78" s="387"/>
      <c r="BD78" s="387"/>
      <c r="BE78" s="387"/>
      <c r="BF78" s="387"/>
      <c r="BG78" s="387"/>
      <c r="BH78" s="387"/>
      <c r="BI78" s="387"/>
      <c r="BJ78" s="387"/>
      <c r="BK78" s="988"/>
      <c r="BL78" s="387"/>
      <c r="BM78" s="387"/>
      <c r="BN78" s="387"/>
      <c r="BO78" s="387"/>
      <c r="BP78" s="387"/>
      <c r="BQ78" s="387"/>
      <c r="BR78" s="387"/>
      <c r="BS78" s="387"/>
      <c r="BT78" s="387"/>
      <c r="BU78" s="387"/>
      <c r="BV78" s="387"/>
      <c r="BW78" s="988"/>
      <c r="BX78" s="387"/>
      <c r="BY78" s="387"/>
      <c r="BZ78" s="387"/>
      <c r="CA78" s="387"/>
      <c r="CB78" s="387"/>
      <c r="CC78" s="387"/>
      <c r="CD78" s="387"/>
      <c r="CE78" s="387"/>
      <c r="CF78" s="387"/>
      <c r="CG78" s="387"/>
      <c r="CH78" s="387"/>
      <c r="CI78" s="988"/>
      <c r="CJ78" s="387"/>
      <c r="CK78" s="387"/>
      <c r="CL78" s="387"/>
      <c r="CM78" s="387"/>
      <c r="CN78" s="387"/>
      <c r="CO78" s="387"/>
      <c r="CP78" s="387"/>
      <c r="CQ78" s="387"/>
      <c r="CR78" s="387"/>
      <c r="CS78" s="387"/>
      <c r="CT78" s="387"/>
      <c r="CU78" s="988"/>
      <c r="CV78" s="387"/>
      <c r="CW78" s="387"/>
      <c r="CX78" s="387"/>
      <c r="CY78" s="387"/>
      <c r="CZ78" s="387"/>
      <c r="DA78" s="387"/>
      <c r="DB78" s="387"/>
      <c r="DC78" s="387"/>
      <c r="DD78" s="387"/>
      <c r="DE78" s="387"/>
      <c r="DF78" s="387"/>
      <c r="DG78" s="988"/>
      <c r="DH78" s="387"/>
      <c r="DI78" s="387"/>
      <c r="DJ78" s="387"/>
      <c r="DK78" s="387"/>
      <c r="DL78" s="387"/>
      <c r="DM78" s="387"/>
      <c r="DN78" s="387"/>
      <c r="DO78" s="387"/>
      <c r="DP78" s="387"/>
      <c r="DQ78" s="387"/>
      <c r="DR78" s="387"/>
      <c r="DS78" s="988"/>
      <c r="DT78" s="387" t="s">
        <v>2154</v>
      </c>
      <c r="DU78" s="387" t="s">
        <v>2154</v>
      </c>
      <c r="DV78" s="387" t="s">
        <v>2154</v>
      </c>
      <c r="DW78" s="387" t="s">
        <v>2154</v>
      </c>
      <c r="DX78" s="387" t="s">
        <v>2154</v>
      </c>
      <c r="DY78" s="387" t="s">
        <v>2154</v>
      </c>
      <c r="DZ78" s="387" t="s">
        <v>2154</v>
      </c>
      <c r="EA78" s="387" t="s">
        <v>2154</v>
      </c>
      <c r="EB78" s="387" t="s">
        <v>2154</v>
      </c>
      <c r="EC78" s="387" t="s">
        <v>2154</v>
      </c>
      <c r="ED78" s="387" t="s">
        <v>2154</v>
      </c>
      <c r="EE78" s="988" t="s">
        <v>2154</v>
      </c>
      <c r="EF78" s="387"/>
      <c r="EG78" s="387"/>
      <c r="EH78" s="387"/>
      <c r="EI78" s="387"/>
      <c r="EJ78" s="387"/>
      <c r="EK78" s="387"/>
      <c r="EL78" s="387"/>
      <c r="EM78" s="387"/>
      <c r="EN78" s="387"/>
      <c r="EO78" s="387"/>
      <c r="EP78" s="387"/>
      <c r="EQ78" s="988"/>
      <c r="ER78" s="387"/>
      <c r="ES78" s="387"/>
      <c r="ET78" s="387"/>
      <c r="EU78" s="387"/>
      <c r="EV78" s="387"/>
      <c r="EW78" s="387"/>
      <c r="EX78" s="387"/>
      <c r="EY78" s="387"/>
      <c r="EZ78" s="387"/>
      <c r="FA78" s="387"/>
      <c r="FB78" s="387"/>
      <c r="FC78" s="988"/>
      <c r="FD78" s="387"/>
      <c r="FE78" s="387"/>
      <c r="FF78" s="387"/>
      <c r="FG78" s="387"/>
      <c r="FH78" s="387"/>
      <c r="FI78" s="387"/>
      <c r="FJ78" s="387"/>
      <c r="FK78" s="387"/>
      <c r="FL78" s="387"/>
      <c r="FM78" s="387"/>
      <c r="FN78" s="387"/>
      <c r="FO78" s="988"/>
      <c r="FP78" s="387"/>
      <c r="FQ78" s="387"/>
      <c r="FR78" s="387"/>
      <c r="FS78" s="387"/>
      <c r="FT78" s="387"/>
      <c r="FU78" s="387"/>
      <c r="FV78" s="387"/>
      <c r="FW78" s="387"/>
      <c r="FX78" s="387"/>
      <c r="FY78" s="387"/>
      <c r="FZ78" s="387"/>
      <c r="GA78" s="988"/>
      <c r="GB78" s="109"/>
      <c r="GC78" s="1036">
        <f t="shared" si="98"/>
        <v>0</v>
      </c>
      <c r="GD78" s="387">
        <f t="shared" si="98"/>
        <v>0</v>
      </c>
      <c r="GE78" s="387">
        <f t="shared" si="98"/>
        <v>0</v>
      </c>
      <c r="GF78" s="387">
        <f t="shared" si="98"/>
        <v>0</v>
      </c>
      <c r="GG78" s="387">
        <f t="shared" si="98"/>
        <v>0</v>
      </c>
      <c r="GH78" s="387">
        <f t="shared" si="98"/>
        <v>0</v>
      </c>
      <c r="GI78" s="387">
        <f t="shared" si="98"/>
        <v>0</v>
      </c>
      <c r="GJ78" s="387">
        <f t="shared" si="98"/>
        <v>0</v>
      </c>
      <c r="GK78" s="387">
        <f t="shared" si="98"/>
        <v>0</v>
      </c>
      <c r="GL78" s="387">
        <f t="shared" si="98"/>
        <v>0</v>
      </c>
      <c r="GM78" s="387">
        <f t="shared" si="98"/>
        <v>0</v>
      </c>
      <c r="GN78" s="988">
        <f t="shared" si="98"/>
        <v>0</v>
      </c>
      <c r="GO78" s="1036">
        <f t="shared" si="99"/>
        <v>0</v>
      </c>
      <c r="GP78" s="387">
        <f t="shared" si="99"/>
        <v>0</v>
      </c>
      <c r="GQ78" s="387">
        <f t="shared" si="99"/>
        <v>0</v>
      </c>
      <c r="GR78" s="387">
        <f t="shared" si="99"/>
        <v>0</v>
      </c>
      <c r="GS78" s="387">
        <f t="shared" si="99"/>
        <v>0</v>
      </c>
      <c r="GT78" s="387">
        <f t="shared" si="99"/>
        <v>0</v>
      </c>
      <c r="GU78" s="387">
        <f t="shared" si="99"/>
        <v>0</v>
      </c>
      <c r="GV78" s="387">
        <f t="shared" si="99"/>
        <v>0</v>
      </c>
      <c r="GW78" s="387">
        <f t="shared" si="99"/>
        <v>0</v>
      </c>
      <c r="GX78" s="387">
        <f t="shared" si="99"/>
        <v>0</v>
      </c>
      <c r="GY78" s="387">
        <f t="shared" si="99"/>
        <v>0</v>
      </c>
      <c r="GZ78" s="988">
        <f t="shared" si="99"/>
        <v>0</v>
      </c>
      <c r="HB78" s="387"/>
      <c r="HC78" s="387"/>
      <c r="HD78" s="387"/>
      <c r="HE78" s="387"/>
      <c r="HF78" s="387"/>
      <c r="HG78" s="387"/>
      <c r="HH78" s="387"/>
      <c r="HI78" s="387"/>
      <c r="HJ78" s="387"/>
      <c r="HK78" s="387"/>
      <c r="HL78" s="387"/>
      <c r="HM78" s="988"/>
    </row>
    <row r="79" spans="1:221">
      <c r="A79" s="326" t="s">
        <v>1577</v>
      </c>
      <c r="B79" s="326" t="s">
        <v>901</v>
      </c>
      <c r="C79" s="326" t="s">
        <v>1587</v>
      </c>
      <c r="D79" s="1036">
        <v>6.0499999999999829</v>
      </c>
      <c r="E79" s="387">
        <v>695.36</v>
      </c>
      <c r="F79" s="387" t="s">
        <v>2154</v>
      </c>
      <c r="G79" s="387" t="s">
        <v>2154</v>
      </c>
      <c r="H79" s="387">
        <v>72.16</v>
      </c>
      <c r="I79" s="387">
        <v>45.92</v>
      </c>
      <c r="J79" s="387">
        <v>59.04</v>
      </c>
      <c r="K79" s="387">
        <v>78.72</v>
      </c>
      <c r="L79" s="387">
        <v>72.16</v>
      </c>
      <c r="M79" s="387">
        <v>65.599999999999994</v>
      </c>
      <c r="N79" s="387">
        <v>65.599999999999994</v>
      </c>
      <c r="O79" s="988">
        <v>72.16</v>
      </c>
      <c r="P79" s="387" t="s">
        <v>2154</v>
      </c>
      <c r="Q79" s="387" t="s">
        <v>2154</v>
      </c>
      <c r="R79" s="387" t="s">
        <v>2154</v>
      </c>
      <c r="S79" s="387" t="s">
        <v>2154</v>
      </c>
      <c r="T79" s="387" t="s">
        <v>2154</v>
      </c>
      <c r="U79" s="387" t="s">
        <v>2154</v>
      </c>
      <c r="V79" s="387" t="s">
        <v>2154</v>
      </c>
      <c r="W79" s="387" t="s">
        <v>2154</v>
      </c>
      <c r="X79" s="387" t="s">
        <v>2154</v>
      </c>
      <c r="Y79" s="387" t="s">
        <v>2154</v>
      </c>
      <c r="Z79" s="387" t="s">
        <v>2154</v>
      </c>
      <c r="AA79" s="988" t="s">
        <v>2154</v>
      </c>
      <c r="AB79" s="387"/>
      <c r="AC79" s="387"/>
      <c r="AD79" s="387"/>
      <c r="AE79" s="387"/>
      <c r="AF79" s="387"/>
      <c r="AG79" s="387"/>
      <c r="AH79" s="387"/>
      <c r="AI79" s="387"/>
      <c r="AJ79" s="387"/>
      <c r="AK79" s="387"/>
      <c r="AL79" s="387"/>
      <c r="AM79" s="988"/>
      <c r="AN79" s="387"/>
      <c r="AO79" s="387"/>
      <c r="AP79" s="387"/>
      <c r="AQ79" s="387"/>
      <c r="AR79" s="387"/>
      <c r="AS79" s="387"/>
      <c r="AT79" s="387"/>
      <c r="AU79" s="387"/>
      <c r="AV79" s="387"/>
      <c r="AW79" s="387"/>
      <c r="AX79" s="387"/>
      <c r="AY79" s="988"/>
      <c r="AZ79" s="387"/>
      <c r="BA79" s="387"/>
      <c r="BB79" s="387"/>
      <c r="BC79" s="387"/>
      <c r="BD79" s="387"/>
      <c r="BE79" s="387"/>
      <c r="BF79" s="387"/>
      <c r="BG79" s="387"/>
      <c r="BH79" s="387"/>
      <c r="BI79" s="387"/>
      <c r="BJ79" s="387"/>
      <c r="BK79" s="988"/>
      <c r="BL79" s="387"/>
      <c r="BM79" s="387"/>
      <c r="BN79" s="387"/>
      <c r="BO79" s="387"/>
      <c r="BP79" s="387"/>
      <c r="BQ79" s="387"/>
      <c r="BR79" s="387"/>
      <c r="BS79" s="387"/>
      <c r="BT79" s="387"/>
      <c r="BU79" s="387"/>
      <c r="BV79" s="387"/>
      <c r="BW79" s="988"/>
      <c r="BX79" s="387"/>
      <c r="BY79" s="387"/>
      <c r="BZ79" s="387"/>
      <c r="CA79" s="387"/>
      <c r="CB79" s="387"/>
      <c r="CC79" s="387"/>
      <c r="CD79" s="387"/>
      <c r="CE79" s="387"/>
      <c r="CF79" s="387"/>
      <c r="CG79" s="387"/>
      <c r="CH79" s="387"/>
      <c r="CI79" s="988"/>
      <c r="CJ79" s="387"/>
      <c r="CK79" s="387"/>
      <c r="CL79" s="387"/>
      <c r="CM79" s="387"/>
      <c r="CN79" s="387"/>
      <c r="CO79" s="387"/>
      <c r="CP79" s="387"/>
      <c r="CQ79" s="387"/>
      <c r="CR79" s="387"/>
      <c r="CS79" s="387"/>
      <c r="CT79" s="387"/>
      <c r="CU79" s="988"/>
      <c r="CV79" s="387"/>
      <c r="CW79" s="387"/>
      <c r="CX79" s="387"/>
      <c r="CY79" s="387"/>
      <c r="CZ79" s="387"/>
      <c r="DA79" s="387"/>
      <c r="DB79" s="387"/>
      <c r="DC79" s="387"/>
      <c r="DD79" s="387"/>
      <c r="DE79" s="387"/>
      <c r="DF79" s="387"/>
      <c r="DG79" s="988"/>
      <c r="DH79" s="387"/>
      <c r="DI79" s="387"/>
      <c r="DJ79" s="387"/>
      <c r="DK79" s="387"/>
      <c r="DL79" s="387"/>
      <c r="DM79" s="387"/>
      <c r="DN79" s="387"/>
      <c r="DO79" s="387"/>
      <c r="DP79" s="387"/>
      <c r="DQ79" s="387"/>
      <c r="DR79" s="387"/>
      <c r="DS79" s="988"/>
      <c r="DT79" s="387" t="s">
        <v>2154</v>
      </c>
      <c r="DU79" s="387" t="s">
        <v>2154</v>
      </c>
      <c r="DV79" s="387" t="s">
        <v>2154</v>
      </c>
      <c r="DW79" s="387" t="s">
        <v>2154</v>
      </c>
      <c r="DX79" s="387" t="s">
        <v>2154</v>
      </c>
      <c r="DY79" s="387" t="s">
        <v>2154</v>
      </c>
      <c r="DZ79" s="387" t="s">
        <v>2154</v>
      </c>
      <c r="EA79" s="387" t="s">
        <v>2154</v>
      </c>
      <c r="EB79" s="387" t="s">
        <v>2154</v>
      </c>
      <c r="EC79" s="387" t="s">
        <v>2154</v>
      </c>
      <c r="ED79" s="387" t="s">
        <v>2154</v>
      </c>
      <c r="EE79" s="988" t="s">
        <v>2154</v>
      </c>
      <c r="EF79" s="387"/>
      <c r="EG79" s="387"/>
      <c r="EH79" s="387"/>
      <c r="EI79" s="387"/>
      <c r="EJ79" s="387"/>
      <c r="EK79" s="387"/>
      <c r="EL79" s="387"/>
      <c r="EM79" s="387"/>
      <c r="EN79" s="387"/>
      <c r="EO79" s="387"/>
      <c r="EP79" s="387"/>
      <c r="EQ79" s="988"/>
      <c r="ER79" s="387"/>
      <c r="ES79" s="387"/>
      <c r="ET79" s="387"/>
      <c r="EU79" s="387"/>
      <c r="EV79" s="387"/>
      <c r="EW79" s="387"/>
      <c r="EX79" s="387"/>
      <c r="EY79" s="387"/>
      <c r="EZ79" s="387"/>
      <c r="FA79" s="387"/>
      <c r="FB79" s="387"/>
      <c r="FC79" s="988"/>
      <c r="FD79" s="387"/>
      <c r="FE79" s="387"/>
      <c r="FF79" s="387"/>
      <c r="FG79" s="387"/>
      <c r="FH79" s="387"/>
      <c r="FI79" s="387"/>
      <c r="FJ79" s="387"/>
      <c r="FK79" s="387"/>
      <c r="FL79" s="387"/>
      <c r="FM79" s="387"/>
      <c r="FN79" s="387"/>
      <c r="FO79" s="988"/>
      <c r="FP79" s="387"/>
      <c r="FQ79" s="387"/>
      <c r="FR79" s="387"/>
      <c r="FS79" s="387"/>
      <c r="FT79" s="387"/>
      <c r="FU79" s="387"/>
      <c r="FV79" s="387"/>
      <c r="FW79" s="387"/>
      <c r="FX79" s="387"/>
      <c r="FY79" s="387"/>
      <c r="FZ79" s="387"/>
      <c r="GA79" s="988"/>
      <c r="GB79" s="109"/>
      <c r="GC79" s="1036">
        <f t="shared" si="98"/>
        <v>6.0499999999999829</v>
      </c>
      <c r="GD79" s="387">
        <f t="shared" si="98"/>
        <v>695.36</v>
      </c>
      <c r="GE79" s="387">
        <f t="shared" si="98"/>
        <v>0</v>
      </c>
      <c r="GF79" s="387">
        <f t="shared" si="98"/>
        <v>0</v>
      </c>
      <c r="GG79" s="387">
        <f t="shared" si="98"/>
        <v>72.16</v>
      </c>
      <c r="GH79" s="387">
        <f t="shared" si="98"/>
        <v>45.92</v>
      </c>
      <c r="GI79" s="387">
        <f t="shared" si="98"/>
        <v>59.04</v>
      </c>
      <c r="GJ79" s="387">
        <f t="shared" si="98"/>
        <v>78.72</v>
      </c>
      <c r="GK79" s="387">
        <f t="shared" si="98"/>
        <v>72.16</v>
      </c>
      <c r="GL79" s="387">
        <f t="shared" si="98"/>
        <v>65.599999999999994</v>
      </c>
      <c r="GM79" s="387">
        <f t="shared" si="98"/>
        <v>65.599999999999994</v>
      </c>
      <c r="GN79" s="988">
        <f t="shared" si="98"/>
        <v>72.16</v>
      </c>
      <c r="GO79" s="1036">
        <f t="shared" si="99"/>
        <v>0</v>
      </c>
      <c r="GP79" s="387">
        <f t="shared" si="99"/>
        <v>0</v>
      </c>
      <c r="GQ79" s="387">
        <f t="shared" si="99"/>
        <v>0</v>
      </c>
      <c r="GR79" s="387">
        <f t="shared" si="99"/>
        <v>0</v>
      </c>
      <c r="GS79" s="387">
        <f t="shared" si="99"/>
        <v>0</v>
      </c>
      <c r="GT79" s="387">
        <f t="shared" si="99"/>
        <v>0</v>
      </c>
      <c r="GU79" s="387">
        <f t="shared" si="99"/>
        <v>0</v>
      </c>
      <c r="GV79" s="387">
        <f t="shared" si="99"/>
        <v>0</v>
      </c>
      <c r="GW79" s="387">
        <f t="shared" si="99"/>
        <v>0</v>
      </c>
      <c r="GX79" s="387">
        <f t="shared" si="99"/>
        <v>0</v>
      </c>
      <c r="GY79" s="387">
        <f t="shared" si="99"/>
        <v>0</v>
      </c>
      <c r="GZ79" s="988">
        <f t="shared" si="99"/>
        <v>0</v>
      </c>
      <c r="HB79" s="387"/>
      <c r="HC79" s="387"/>
      <c r="HD79" s="387"/>
      <c r="HE79" s="387"/>
      <c r="HF79" s="387"/>
      <c r="HG79" s="387"/>
      <c r="HH79" s="387"/>
      <c r="HI79" s="387"/>
      <c r="HJ79" s="387"/>
      <c r="HK79" s="387"/>
      <c r="HL79" s="387"/>
      <c r="HM79" s="988"/>
    </row>
    <row r="80" spans="1:221">
      <c r="A80" s="326" t="s">
        <v>1577</v>
      </c>
      <c r="B80" s="326" t="s">
        <v>901</v>
      </c>
      <c r="C80" s="326" t="s">
        <v>1588</v>
      </c>
      <c r="D80" s="1036" t="s">
        <v>2154</v>
      </c>
      <c r="E80" s="387" t="s">
        <v>2154</v>
      </c>
      <c r="F80" s="387" t="s">
        <v>2154</v>
      </c>
      <c r="G80" s="387" t="s">
        <v>2154</v>
      </c>
      <c r="H80" s="387" t="s">
        <v>2154</v>
      </c>
      <c r="I80" s="387" t="s">
        <v>2154</v>
      </c>
      <c r="J80" s="387" t="s">
        <v>2154</v>
      </c>
      <c r="K80" s="387" t="s">
        <v>2154</v>
      </c>
      <c r="L80" s="387" t="s">
        <v>2154</v>
      </c>
      <c r="M80" s="387" t="s">
        <v>2154</v>
      </c>
      <c r="N80" s="387" t="s">
        <v>2154</v>
      </c>
      <c r="O80" s="988" t="s">
        <v>2154</v>
      </c>
      <c r="P80" s="387" t="s">
        <v>2154</v>
      </c>
      <c r="Q80" s="387" t="s">
        <v>2154</v>
      </c>
      <c r="R80" s="387" t="s">
        <v>2154</v>
      </c>
      <c r="S80" s="387" t="s">
        <v>2154</v>
      </c>
      <c r="T80" s="387" t="s">
        <v>2154</v>
      </c>
      <c r="U80" s="387" t="s">
        <v>2154</v>
      </c>
      <c r="V80" s="387" t="s">
        <v>2154</v>
      </c>
      <c r="W80" s="387" t="s">
        <v>2154</v>
      </c>
      <c r="X80" s="387" t="s">
        <v>2154</v>
      </c>
      <c r="Y80" s="387" t="s">
        <v>2154</v>
      </c>
      <c r="Z80" s="387" t="s">
        <v>2154</v>
      </c>
      <c r="AA80" s="988" t="s">
        <v>2154</v>
      </c>
      <c r="AB80" s="387"/>
      <c r="AC80" s="387"/>
      <c r="AD80" s="387"/>
      <c r="AE80" s="387"/>
      <c r="AF80" s="387"/>
      <c r="AG80" s="387"/>
      <c r="AH80" s="387"/>
      <c r="AI80" s="387"/>
      <c r="AJ80" s="387"/>
      <c r="AK80" s="387"/>
      <c r="AL80" s="387"/>
      <c r="AM80" s="988"/>
      <c r="AN80" s="387"/>
      <c r="AO80" s="387"/>
      <c r="AP80" s="387"/>
      <c r="AQ80" s="387"/>
      <c r="AR80" s="387"/>
      <c r="AS80" s="387"/>
      <c r="AT80" s="387"/>
      <c r="AU80" s="387"/>
      <c r="AV80" s="387"/>
      <c r="AW80" s="387"/>
      <c r="AX80" s="387"/>
      <c r="AY80" s="988"/>
      <c r="AZ80" s="387"/>
      <c r="BA80" s="387"/>
      <c r="BB80" s="387"/>
      <c r="BC80" s="387"/>
      <c r="BD80" s="387"/>
      <c r="BE80" s="387"/>
      <c r="BF80" s="387"/>
      <c r="BG80" s="387"/>
      <c r="BH80" s="387"/>
      <c r="BI80" s="387"/>
      <c r="BJ80" s="387"/>
      <c r="BK80" s="988"/>
      <c r="BL80" s="387"/>
      <c r="BM80" s="387"/>
      <c r="BN80" s="387"/>
      <c r="BO80" s="387"/>
      <c r="BP80" s="387"/>
      <c r="BQ80" s="387"/>
      <c r="BR80" s="387"/>
      <c r="BS80" s="387"/>
      <c r="BT80" s="387"/>
      <c r="BU80" s="387"/>
      <c r="BV80" s="387"/>
      <c r="BW80" s="988"/>
      <c r="BX80" s="387"/>
      <c r="BY80" s="387"/>
      <c r="BZ80" s="387"/>
      <c r="CA80" s="387"/>
      <c r="CB80" s="387"/>
      <c r="CC80" s="387"/>
      <c r="CD80" s="387"/>
      <c r="CE80" s="387"/>
      <c r="CF80" s="387"/>
      <c r="CG80" s="387"/>
      <c r="CH80" s="387"/>
      <c r="CI80" s="988"/>
      <c r="CJ80" s="387"/>
      <c r="CK80" s="387"/>
      <c r="CL80" s="387"/>
      <c r="CM80" s="387"/>
      <c r="CN80" s="387"/>
      <c r="CO80" s="387"/>
      <c r="CP80" s="387"/>
      <c r="CQ80" s="387"/>
      <c r="CR80" s="387"/>
      <c r="CS80" s="387"/>
      <c r="CT80" s="387"/>
      <c r="CU80" s="988"/>
      <c r="CV80" s="387"/>
      <c r="CW80" s="387"/>
      <c r="CX80" s="387"/>
      <c r="CY80" s="387"/>
      <c r="CZ80" s="387"/>
      <c r="DA80" s="387"/>
      <c r="DB80" s="387"/>
      <c r="DC80" s="387"/>
      <c r="DD80" s="387"/>
      <c r="DE80" s="387"/>
      <c r="DF80" s="387"/>
      <c r="DG80" s="988"/>
      <c r="DH80" s="387"/>
      <c r="DI80" s="387"/>
      <c r="DJ80" s="387"/>
      <c r="DK80" s="387"/>
      <c r="DL80" s="387"/>
      <c r="DM80" s="387"/>
      <c r="DN80" s="387"/>
      <c r="DO80" s="387"/>
      <c r="DP80" s="387"/>
      <c r="DQ80" s="387"/>
      <c r="DR80" s="387"/>
      <c r="DS80" s="988"/>
      <c r="DT80" s="387" t="s">
        <v>2154</v>
      </c>
      <c r="DU80" s="387" t="s">
        <v>2154</v>
      </c>
      <c r="DV80" s="387" t="s">
        <v>2154</v>
      </c>
      <c r="DW80" s="387" t="s">
        <v>2154</v>
      </c>
      <c r="DX80" s="387" t="s">
        <v>2154</v>
      </c>
      <c r="DY80" s="387" t="s">
        <v>2154</v>
      </c>
      <c r="DZ80" s="387" t="s">
        <v>2154</v>
      </c>
      <c r="EA80" s="387" t="s">
        <v>2154</v>
      </c>
      <c r="EB80" s="387" t="s">
        <v>2154</v>
      </c>
      <c r="EC80" s="387" t="s">
        <v>2154</v>
      </c>
      <c r="ED80" s="387" t="s">
        <v>2154</v>
      </c>
      <c r="EE80" s="988" t="s">
        <v>2154</v>
      </c>
      <c r="EF80" s="387"/>
      <c r="EG80" s="387"/>
      <c r="EH80" s="387"/>
      <c r="EI80" s="387"/>
      <c r="EJ80" s="387"/>
      <c r="EK80" s="387"/>
      <c r="EL80" s="387"/>
      <c r="EM80" s="387"/>
      <c r="EN80" s="387"/>
      <c r="EO80" s="387"/>
      <c r="EP80" s="387"/>
      <c r="EQ80" s="988"/>
      <c r="ER80" s="387"/>
      <c r="ES80" s="387"/>
      <c r="ET80" s="387"/>
      <c r="EU80" s="387"/>
      <c r="EV80" s="387"/>
      <c r="EW80" s="387"/>
      <c r="EX80" s="387"/>
      <c r="EY80" s="387"/>
      <c r="EZ80" s="387"/>
      <c r="FA80" s="387"/>
      <c r="FB80" s="387"/>
      <c r="FC80" s="988"/>
      <c r="FD80" s="387"/>
      <c r="FE80" s="387"/>
      <c r="FF80" s="387"/>
      <c r="FG80" s="387"/>
      <c r="FH80" s="387"/>
      <c r="FI80" s="387"/>
      <c r="FJ80" s="387"/>
      <c r="FK80" s="387"/>
      <c r="FL80" s="387"/>
      <c r="FM80" s="387"/>
      <c r="FN80" s="387"/>
      <c r="FO80" s="988"/>
      <c r="FP80" s="387"/>
      <c r="FQ80" s="387"/>
      <c r="FR80" s="387"/>
      <c r="FS80" s="387"/>
      <c r="FT80" s="387"/>
      <c r="FU80" s="387"/>
      <c r="FV80" s="387"/>
      <c r="FW80" s="387"/>
      <c r="FX80" s="387"/>
      <c r="FY80" s="387"/>
      <c r="FZ80" s="387"/>
      <c r="GA80" s="988"/>
      <c r="GB80" s="109"/>
      <c r="GC80" s="1036">
        <f t="shared" si="98"/>
        <v>0</v>
      </c>
      <c r="GD80" s="387">
        <f t="shared" si="98"/>
        <v>0</v>
      </c>
      <c r="GE80" s="387">
        <f t="shared" si="98"/>
        <v>0</v>
      </c>
      <c r="GF80" s="387">
        <f t="shared" si="98"/>
        <v>0</v>
      </c>
      <c r="GG80" s="387">
        <f t="shared" si="98"/>
        <v>0</v>
      </c>
      <c r="GH80" s="387">
        <f t="shared" si="98"/>
        <v>0</v>
      </c>
      <c r="GI80" s="387">
        <f t="shared" si="98"/>
        <v>0</v>
      </c>
      <c r="GJ80" s="387">
        <f t="shared" si="98"/>
        <v>0</v>
      </c>
      <c r="GK80" s="387">
        <f t="shared" si="98"/>
        <v>0</v>
      </c>
      <c r="GL80" s="387">
        <f t="shared" si="98"/>
        <v>0</v>
      </c>
      <c r="GM80" s="387">
        <f t="shared" si="98"/>
        <v>0</v>
      </c>
      <c r="GN80" s="988">
        <f t="shared" si="98"/>
        <v>0</v>
      </c>
      <c r="GO80" s="1036">
        <f t="shared" si="99"/>
        <v>0</v>
      </c>
      <c r="GP80" s="387">
        <f t="shared" si="99"/>
        <v>0</v>
      </c>
      <c r="GQ80" s="387">
        <f t="shared" si="99"/>
        <v>0</v>
      </c>
      <c r="GR80" s="387">
        <f t="shared" si="99"/>
        <v>0</v>
      </c>
      <c r="GS80" s="387">
        <f t="shared" si="99"/>
        <v>0</v>
      </c>
      <c r="GT80" s="387">
        <f t="shared" si="99"/>
        <v>0</v>
      </c>
      <c r="GU80" s="387">
        <f t="shared" si="99"/>
        <v>0</v>
      </c>
      <c r="GV80" s="387">
        <f t="shared" si="99"/>
        <v>0</v>
      </c>
      <c r="GW80" s="387">
        <f t="shared" si="99"/>
        <v>0</v>
      </c>
      <c r="GX80" s="387">
        <f t="shared" si="99"/>
        <v>0</v>
      </c>
      <c r="GY80" s="387">
        <f t="shared" si="99"/>
        <v>0</v>
      </c>
      <c r="GZ80" s="988">
        <f t="shared" si="99"/>
        <v>0</v>
      </c>
      <c r="HB80" s="387"/>
      <c r="HC80" s="387"/>
      <c r="HD80" s="387"/>
      <c r="HE80" s="387"/>
      <c r="HF80" s="387"/>
      <c r="HG80" s="387"/>
      <c r="HH80" s="387"/>
      <c r="HI80" s="387"/>
      <c r="HJ80" s="387"/>
      <c r="HK80" s="387"/>
      <c r="HL80" s="387"/>
      <c r="HM80" s="988"/>
    </row>
    <row r="81" spans="1:221">
      <c r="A81" s="326" t="s">
        <v>1577</v>
      </c>
      <c r="B81" s="326" t="s">
        <v>901</v>
      </c>
      <c r="C81" s="326" t="s">
        <v>1589</v>
      </c>
      <c r="D81" s="1036" t="s">
        <v>2154</v>
      </c>
      <c r="E81" s="387" t="s">
        <v>2154</v>
      </c>
      <c r="F81" s="387" t="s">
        <v>2154</v>
      </c>
      <c r="G81" s="387" t="s">
        <v>2154</v>
      </c>
      <c r="H81" s="387" t="s">
        <v>2154</v>
      </c>
      <c r="I81" s="387" t="s">
        <v>2154</v>
      </c>
      <c r="J81" s="387" t="s">
        <v>2154</v>
      </c>
      <c r="K81" s="387" t="s">
        <v>2154</v>
      </c>
      <c r="L81" s="387" t="s">
        <v>2154</v>
      </c>
      <c r="M81" s="387" t="s">
        <v>2154</v>
      </c>
      <c r="N81" s="387" t="s">
        <v>2154</v>
      </c>
      <c r="O81" s="988" t="s">
        <v>2154</v>
      </c>
      <c r="P81" s="387" t="s">
        <v>2154</v>
      </c>
      <c r="Q81" s="387" t="s">
        <v>2154</v>
      </c>
      <c r="R81" s="387" t="s">
        <v>2154</v>
      </c>
      <c r="S81" s="387" t="s">
        <v>2154</v>
      </c>
      <c r="T81" s="387" t="s">
        <v>2154</v>
      </c>
      <c r="U81" s="387" t="s">
        <v>2154</v>
      </c>
      <c r="V81" s="387" t="s">
        <v>2154</v>
      </c>
      <c r="W81" s="387" t="s">
        <v>2154</v>
      </c>
      <c r="X81" s="387" t="s">
        <v>2154</v>
      </c>
      <c r="Y81" s="387" t="s">
        <v>2154</v>
      </c>
      <c r="Z81" s="387" t="s">
        <v>2154</v>
      </c>
      <c r="AA81" s="988" t="s">
        <v>2154</v>
      </c>
      <c r="AB81" s="387"/>
      <c r="AC81" s="387"/>
      <c r="AD81" s="387"/>
      <c r="AE81" s="387"/>
      <c r="AF81" s="387"/>
      <c r="AG81" s="387"/>
      <c r="AH81" s="387"/>
      <c r="AI81" s="387"/>
      <c r="AJ81" s="387"/>
      <c r="AK81" s="387"/>
      <c r="AL81" s="387"/>
      <c r="AM81" s="988"/>
      <c r="AN81" s="387"/>
      <c r="AO81" s="387"/>
      <c r="AP81" s="387"/>
      <c r="AQ81" s="387"/>
      <c r="AR81" s="387"/>
      <c r="AS81" s="387"/>
      <c r="AT81" s="387"/>
      <c r="AU81" s="387"/>
      <c r="AV81" s="387"/>
      <c r="AW81" s="387"/>
      <c r="AX81" s="387"/>
      <c r="AY81" s="988"/>
      <c r="AZ81" s="387"/>
      <c r="BA81" s="387"/>
      <c r="BB81" s="387"/>
      <c r="BC81" s="387"/>
      <c r="BD81" s="387"/>
      <c r="BE81" s="387"/>
      <c r="BF81" s="387"/>
      <c r="BG81" s="387"/>
      <c r="BH81" s="387"/>
      <c r="BI81" s="387"/>
      <c r="BJ81" s="387"/>
      <c r="BK81" s="988"/>
      <c r="BL81" s="387"/>
      <c r="BM81" s="387"/>
      <c r="BN81" s="387"/>
      <c r="BO81" s="387"/>
      <c r="BP81" s="387"/>
      <c r="BQ81" s="387"/>
      <c r="BR81" s="387"/>
      <c r="BS81" s="387"/>
      <c r="BT81" s="387"/>
      <c r="BU81" s="387"/>
      <c r="BV81" s="387"/>
      <c r="BW81" s="988"/>
      <c r="BX81" s="387"/>
      <c r="BY81" s="387"/>
      <c r="BZ81" s="387"/>
      <c r="CA81" s="387"/>
      <c r="CB81" s="387"/>
      <c r="CC81" s="387"/>
      <c r="CD81" s="387"/>
      <c r="CE81" s="387"/>
      <c r="CF81" s="387"/>
      <c r="CG81" s="387"/>
      <c r="CH81" s="387"/>
      <c r="CI81" s="988"/>
      <c r="CJ81" s="387"/>
      <c r="CK81" s="387"/>
      <c r="CL81" s="387"/>
      <c r="CM81" s="387"/>
      <c r="CN81" s="387"/>
      <c r="CO81" s="387"/>
      <c r="CP81" s="387"/>
      <c r="CQ81" s="387"/>
      <c r="CR81" s="387"/>
      <c r="CS81" s="387"/>
      <c r="CT81" s="387"/>
      <c r="CU81" s="988"/>
      <c r="CV81" s="387"/>
      <c r="CW81" s="387"/>
      <c r="CX81" s="387"/>
      <c r="CY81" s="387"/>
      <c r="CZ81" s="387"/>
      <c r="DA81" s="387"/>
      <c r="DB81" s="387"/>
      <c r="DC81" s="387"/>
      <c r="DD81" s="387"/>
      <c r="DE81" s="387"/>
      <c r="DF81" s="387"/>
      <c r="DG81" s="988"/>
      <c r="DH81" s="387"/>
      <c r="DI81" s="387"/>
      <c r="DJ81" s="387"/>
      <c r="DK81" s="387"/>
      <c r="DL81" s="387"/>
      <c r="DM81" s="387"/>
      <c r="DN81" s="387"/>
      <c r="DO81" s="387"/>
      <c r="DP81" s="387"/>
      <c r="DQ81" s="387"/>
      <c r="DR81" s="387"/>
      <c r="DS81" s="988"/>
      <c r="DT81" s="387" t="s">
        <v>2154</v>
      </c>
      <c r="DU81" s="387" t="s">
        <v>2154</v>
      </c>
      <c r="DV81" s="387" t="s">
        <v>2154</v>
      </c>
      <c r="DW81" s="387" t="s">
        <v>2154</v>
      </c>
      <c r="DX81" s="387" t="s">
        <v>2154</v>
      </c>
      <c r="DY81" s="387" t="s">
        <v>2154</v>
      </c>
      <c r="DZ81" s="387" t="s">
        <v>2154</v>
      </c>
      <c r="EA81" s="387" t="s">
        <v>2154</v>
      </c>
      <c r="EB81" s="387" t="s">
        <v>2154</v>
      </c>
      <c r="EC81" s="387" t="s">
        <v>2154</v>
      </c>
      <c r="ED81" s="387" t="s">
        <v>2154</v>
      </c>
      <c r="EE81" s="988" t="s">
        <v>2154</v>
      </c>
      <c r="EF81" s="387"/>
      <c r="EG81" s="387"/>
      <c r="EH81" s="387"/>
      <c r="EI81" s="387"/>
      <c r="EJ81" s="387"/>
      <c r="EK81" s="387"/>
      <c r="EL81" s="387"/>
      <c r="EM81" s="387"/>
      <c r="EN81" s="387"/>
      <c r="EO81" s="387"/>
      <c r="EP81" s="387"/>
      <c r="EQ81" s="988"/>
      <c r="ER81" s="387"/>
      <c r="ES81" s="387"/>
      <c r="ET81" s="387"/>
      <c r="EU81" s="387"/>
      <c r="EV81" s="387"/>
      <c r="EW81" s="387"/>
      <c r="EX81" s="387"/>
      <c r="EY81" s="387"/>
      <c r="EZ81" s="387"/>
      <c r="FA81" s="387"/>
      <c r="FB81" s="387"/>
      <c r="FC81" s="988"/>
      <c r="FD81" s="387"/>
      <c r="FE81" s="387"/>
      <c r="FF81" s="387"/>
      <c r="FG81" s="387"/>
      <c r="FH81" s="387"/>
      <c r="FI81" s="387"/>
      <c r="FJ81" s="387"/>
      <c r="FK81" s="387"/>
      <c r="FL81" s="387"/>
      <c r="FM81" s="387"/>
      <c r="FN81" s="387"/>
      <c r="FO81" s="988"/>
      <c r="FP81" s="387"/>
      <c r="FQ81" s="387"/>
      <c r="FR81" s="387"/>
      <c r="FS81" s="387"/>
      <c r="FT81" s="387"/>
      <c r="FU81" s="387"/>
      <c r="FV81" s="387"/>
      <c r="FW81" s="387"/>
      <c r="FX81" s="387"/>
      <c r="FY81" s="387"/>
      <c r="FZ81" s="387"/>
      <c r="GA81" s="988"/>
      <c r="GB81" s="109"/>
      <c r="GC81" s="1036">
        <f t="shared" si="98"/>
        <v>0</v>
      </c>
      <c r="GD81" s="387">
        <f t="shared" si="98"/>
        <v>0</v>
      </c>
      <c r="GE81" s="387">
        <f t="shared" si="98"/>
        <v>0</v>
      </c>
      <c r="GF81" s="387">
        <f t="shared" si="98"/>
        <v>0</v>
      </c>
      <c r="GG81" s="387">
        <f t="shared" si="98"/>
        <v>0</v>
      </c>
      <c r="GH81" s="387">
        <f t="shared" si="98"/>
        <v>0</v>
      </c>
      <c r="GI81" s="387">
        <f t="shared" si="98"/>
        <v>0</v>
      </c>
      <c r="GJ81" s="387">
        <f t="shared" si="98"/>
        <v>0</v>
      </c>
      <c r="GK81" s="387">
        <f t="shared" si="98"/>
        <v>0</v>
      </c>
      <c r="GL81" s="387">
        <f t="shared" si="98"/>
        <v>0</v>
      </c>
      <c r="GM81" s="387">
        <f t="shared" si="98"/>
        <v>0</v>
      </c>
      <c r="GN81" s="988">
        <f t="shared" si="98"/>
        <v>0</v>
      </c>
      <c r="GO81" s="1036">
        <f t="shared" si="99"/>
        <v>0</v>
      </c>
      <c r="GP81" s="387">
        <f t="shared" si="99"/>
        <v>0</v>
      </c>
      <c r="GQ81" s="387">
        <f t="shared" si="99"/>
        <v>0</v>
      </c>
      <c r="GR81" s="387">
        <f t="shared" si="99"/>
        <v>0</v>
      </c>
      <c r="GS81" s="387">
        <f t="shared" si="99"/>
        <v>0</v>
      </c>
      <c r="GT81" s="387">
        <f t="shared" si="99"/>
        <v>0</v>
      </c>
      <c r="GU81" s="387">
        <f t="shared" si="99"/>
        <v>0</v>
      </c>
      <c r="GV81" s="387">
        <f t="shared" si="99"/>
        <v>0</v>
      </c>
      <c r="GW81" s="387">
        <f t="shared" si="99"/>
        <v>0</v>
      </c>
      <c r="GX81" s="387">
        <f t="shared" si="99"/>
        <v>0</v>
      </c>
      <c r="GY81" s="387">
        <f t="shared" si="99"/>
        <v>0</v>
      </c>
      <c r="GZ81" s="988">
        <f t="shared" si="99"/>
        <v>0</v>
      </c>
      <c r="HB81" s="387"/>
      <c r="HC81" s="387"/>
      <c r="HD81" s="387"/>
      <c r="HE81" s="387"/>
      <c r="HF81" s="387"/>
      <c r="HG81" s="387"/>
      <c r="HH81" s="387"/>
      <c r="HI81" s="387"/>
      <c r="HJ81" s="387"/>
      <c r="HK81" s="387"/>
      <c r="HL81" s="387"/>
      <c r="HM81" s="988"/>
    </row>
    <row r="82" spans="1:221">
      <c r="A82" s="326" t="s">
        <v>1577</v>
      </c>
      <c r="B82" s="326" t="s">
        <v>901</v>
      </c>
      <c r="C82" s="326" t="s">
        <v>1590</v>
      </c>
      <c r="D82" s="1036" t="s">
        <v>2154</v>
      </c>
      <c r="E82" s="387" t="s">
        <v>2154</v>
      </c>
      <c r="F82" s="387" t="s">
        <v>2154</v>
      </c>
      <c r="G82" s="387" t="s">
        <v>2154</v>
      </c>
      <c r="H82" s="387" t="s">
        <v>2154</v>
      </c>
      <c r="I82" s="387" t="s">
        <v>2154</v>
      </c>
      <c r="J82" s="387" t="s">
        <v>2154</v>
      </c>
      <c r="K82" s="387" t="s">
        <v>2154</v>
      </c>
      <c r="L82" s="387" t="s">
        <v>2154</v>
      </c>
      <c r="M82" s="387" t="s">
        <v>2154</v>
      </c>
      <c r="N82" s="387" t="s">
        <v>2154</v>
      </c>
      <c r="O82" s="988" t="s">
        <v>2154</v>
      </c>
      <c r="P82" s="387" t="s">
        <v>2154</v>
      </c>
      <c r="Q82" s="387" t="s">
        <v>2154</v>
      </c>
      <c r="R82" s="387" t="s">
        <v>2154</v>
      </c>
      <c r="S82" s="387" t="s">
        <v>2154</v>
      </c>
      <c r="T82" s="387" t="s">
        <v>2154</v>
      </c>
      <c r="U82" s="387" t="s">
        <v>2154</v>
      </c>
      <c r="V82" s="387" t="s">
        <v>2154</v>
      </c>
      <c r="W82" s="387" t="s">
        <v>2154</v>
      </c>
      <c r="X82" s="387" t="s">
        <v>2154</v>
      </c>
      <c r="Y82" s="387" t="s">
        <v>2154</v>
      </c>
      <c r="Z82" s="387" t="s">
        <v>2154</v>
      </c>
      <c r="AA82" s="988" t="s">
        <v>2154</v>
      </c>
      <c r="AB82" s="387"/>
      <c r="AC82" s="387"/>
      <c r="AD82" s="387"/>
      <c r="AE82" s="387"/>
      <c r="AF82" s="387"/>
      <c r="AG82" s="387"/>
      <c r="AH82" s="387"/>
      <c r="AI82" s="387"/>
      <c r="AJ82" s="387"/>
      <c r="AK82" s="387"/>
      <c r="AL82" s="387"/>
      <c r="AM82" s="988"/>
      <c r="AN82" s="387"/>
      <c r="AO82" s="387"/>
      <c r="AP82" s="387"/>
      <c r="AQ82" s="387"/>
      <c r="AR82" s="387"/>
      <c r="AS82" s="387"/>
      <c r="AT82" s="387"/>
      <c r="AU82" s="387"/>
      <c r="AV82" s="387"/>
      <c r="AW82" s="387"/>
      <c r="AX82" s="387"/>
      <c r="AY82" s="988"/>
      <c r="AZ82" s="387"/>
      <c r="BA82" s="387"/>
      <c r="BB82" s="387"/>
      <c r="BC82" s="387"/>
      <c r="BD82" s="387"/>
      <c r="BE82" s="387"/>
      <c r="BF82" s="387"/>
      <c r="BG82" s="387"/>
      <c r="BH82" s="387"/>
      <c r="BI82" s="387"/>
      <c r="BJ82" s="387"/>
      <c r="BK82" s="988"/>
      <c r="BL82" s="387"/>
      <c r="BM82" s="387"/>
      <c r="BN82" s="387"/>
      <c r="BO82" s="387"/>
      <c r="BP82" s="387"/>
      <c r="BQ82" s="387"/>
      <c r="BR82" s="387"/>
      <c r="BS82" s="387"/>
      <c r="BT82" s="387"/>
      <c r="BU82" s="387"/>
      <c r="BV82" s="387"/>
      <c r="BW82" s="988"/>
      <c r="BX82" s="387"/>
      <c r="BY82" s="387"/>
      <c r="BZ82" s="387"/>
      <c r="CA82" s="387"/>
      <c r="CB82" s="387"/>
      <c r="CC82" s="387"/>
      <c r="CD82" s="387"/>
      <c r="CE82" s="387"/>
      <c r="CF82" s="387"/>
      <c r="CG82" s="387"/>
      <c r="CH82" s="387"/>
      <c r="CI82" s="988"/>
      <c r="CJ82" s="387"/>
      <c r="CK82" s="387"/>
      <c r="CL82" s="387"/>
      <c r="CM82" s="387"/>
      <c r="CN82" s="387"/>
      <c r="CO82" s="387"/>
      <c r="CP82" s="387"/>
      <c r="CQ82" s="387"/>
      <c r="CR82" s="387"/>
      <c r="CS82" s="387"/>
      <c r="CT82" s="387"/>
      <c r="CU82" s="988"/>
      <c r="CV82" s="387"/>
      <c r="CW82" s="387"/>
      <c r="CX82" s="387"/>
      <c r="CY82" s="387"/>
      <c r="CZ82" s="387"/>
      <c r="DA82" s="387"/>
      <c r="DB82" s="387"/>
      <c r="DC82" s="387"/>
      <c r="DD82" s="387"/>
      <c r="DE82" s="387"/>
      <c r="DF82" s="387"/>
      <c r="DG82" s="988"/>
      <c r="DH82" s="387"/>
      <c r="DI82" s="387"/>
      <c r="DJ82" s="387"/>
      <c r="DK82" s="387"/>
      <c r="DL82" s="387"/>
      <c r="DM82" s="387"/>
      <c r="DN82" s="387"/>
      <c r="DO82" s="387"/>
      <c r="DP82" s="387"/>
      <c r="DQ82" s="387"/>
      <c r="DR82" s="387"/>
      <c r="DS82" s="988"/>
      <c r="DT82" s="387" t="s">
        <v>2154</v>
      </c>
      <c r="DU82" s="387" t="s">
        <v>2154</v>
      </c>
      <c r="DV82" s="387" t="s">
        <v>2154</v>
      </c>
      <c r="DW82" s="387" t="s">
        <v>2154</v>
      </c>
      <c r="DX82" s="387" t="s">
        <v>2154</v>
      </c>
      <c r="DY82" s="387" t="s">
        <v>2154</v>
      </c>
      <c r="DZ82" s="387" t="s">
        <v>2154</v>
      </c>
      <c r="EA82" s="387" t="s">
        <v>2154</v>
      </c>
      <c r="EB82" s="387" t="s">
        <v>2154</v>
      </c>
      <c r="EC82" s="387" t="s">
        <v>2154</v>
      </c>
      <c r="ED82" s="387" t="s">
        <v>2154</v>
      </c>
      <c r="EE82" s="988" t="s">
        <v>2154</v>
      </c>
      <c r="EF82" s="387"/>
      <c r="EG82" s="387"/>
      <c r="EH82" s="387"/>
      <c r="EI82" s="387"/>
      <c r="EJ82" s="387"/>
      <c r="EK82" s="387"/>
      <c r="EL82" s="387"/>
      <c r="EM82" s="387"/>
      <c r="EN82" s="387"/>
      <c r="EO82" s="387"/>
      <c r="EP82" s="387"/>
      <c r="EQ82" s="988"/>
      <c r="ER82" s="387"/>
      <c r="ES82" s="387"/>
      <c r="ET82" s="387"/>
      <c r="EU82" s="387"/>
      <c r="EV82" s="387"/>
      <c r="EW82" s="387"/>
      <c r="EX82" s="387"/>
      <c r="EY82" s="387"/>
      <c r="EZ82" s="387"/>
      <c r="FA82" s="387"/>
      <c r="FB82" s="387"/>
      <c r="FC82" s="988"/>
      <c r="FD82" s="387"/>
      <c r="FE82" s="387"/>
      <c r="FF82" s="387"/>
      <c r="FG82" s="387"/>
      <c r="FH82" s="387"/>
      <c r="FI82" s="387"/>
      <c r="FJ82" s="387"/>
      <c r="FK82" s="387"/>
      <c r="FL82" s="387"/>
      <c r="FM82" s="387"/>
      <c r="FN82" s="387"/>
      <c r="FO82" s="988"/>
      <c r="FP82" s="387"/>
      <c r="FQ82" s="387"/>
      <c r="FR82" s="387"/>
      <c r="FS82" s="387"/>
      <c r="FT82" s="387"/>
      <c r="FU82" s="387"/>
      <c r="FV82" s="387"/>
      <c r="FW82" s="387"/>
      <c r="FX82" s="387"/>
      <c r="FY82" s="387"/>
      <c r="FZ82" s="387"/>
      <c r="GA82" s="988"/>
      <c r="GB82" s="109"/>
      <c r="GC82" s="1036">
        <f t="shared" ref="GC82:GN92" si="100">SUMPRODUCT(--($D$6:$GA$6=GC$6),$D82:$GA82,$D$278:$GA$278)</f>
        <v>0</v>
      </c>
      <c r="GD82" s="387">
        <f t="shared" si="100"/>
        <v>0</v>
      </c>
      <c r="GE82" s="387">
        <f t="shared" si="100"/>
        <v>0</v>
      </c>
      <c r="GF82" s="387">
        <f t="shared" si="100"/>
        <v>0</v>
      </c>
      <c r="GG82" s="387">
        <f t="shared" si="100"/>
        <v>0</v>
      </c>
      <c r="GH82" s="387">
        <f t="shared" si="100"/>
        <v>0</v>
      </c>
      <c r="GI82" s="387">
        <f t="shared" si="100"/>
        <v>0</v>
      </c>
      <c r="GJ82" s="387">
        <f t="shared" si="100"/>
        <v>0</v>
      </c>
      <c r="GK82" s="387">
        <f t="shared" si="100"/>
        <v>0</v>
      </c>
      <c r="GL82" s="387">
        <f t="shared" si="100"/>
        <v>0</v>
      </c>
      <c r="GM82" s="387">
        <f t="shared" si="100"/>
        <v>0</v>
      </c>
      <c r="GN82" s="988">
        <f t="shared" si="100"/>
        <v>0</v>
      </c>
      <c r="GO82" s="1036">
        <f t="shared" ref="GO82:GZ92" si="101">SUMPRODUCT(--($DT$6:$GA$6=GO$6),$DT82:$GA82,$DT$278:$GA$278)</f>
        <v>0</v>
      </c>
      <c r="GP82" s="387">
        <f t="shared" si="101"/>
        <v>0</v>
      </c>
      <c r="GQ82" s="387">
        <f t="shared" si="101"/>
        <v>0</v>
      </c>
      <c r="GR82" s="387">
        <f t="shared" si="101"/>
        <v>0</v>
      </c>
      <c r="GS82" s="387">
        <f t="shared" si="101"/>
        <v>0</v>
      </c>
      <c r="GT82" s="387">
        <f t="shared" si="101"/>
        <v>0</v>
      </c>
      <c r="GU82" s="387">
        <f t="shared" si="101"/>
        <v>0</v>
      </c>
      <c r="GV82" s="387">
        <f t="shared" si="101"/>
        <v>0</v>
      </c>
      <c r="GW82" s="387">
        <f t="shared" si="101"/>
        <v>0</v>
      </c>
      <c r="GX82" s="387">
        <f t="shared" si="101"/>
        <v>0</v>
      </c>
      <c r="GY82" s="387">
        <f t="shared" si="101"/>
        <v>0</v>
      </c>
      <c r="GZ82" s="988">
        <f t="shared" si="101"/>
        <v>0</v>
      </c>
      <c r="HB82" s="387"/>
      <c r="HC82" s="387"/>
      <c r="HD82" s="387"/>
      <c r="HE82" s="387"/>
      <c r="HF82" s="387"/>
      <c r="HG82" s="387"/>
      <c r="HH82" s="387"/>
      <c r="HI82" s="387"/>
      <c r="HJ82" s="387"/>
      <c r="HK82" s="387"/>
      <c r="HL82" s="387"/>
      <c r="HM82" s="988"/>
    </row>
    <row r="83" spans="1:221">
      <c r="A83" s="326" t="s">
        <v>1577</v>
      </c>
      <c r="B83" s="326" t="s">
        <v>901</v>
      </c>
      <c r="C83" s="326" t="s">
        <v>1591</v>
      </c>
      <c r="D83" s="1036">
        <v>326.10000000000002</v>
      </c>
      <c r="E83" s="387">
        <v>643.5</v>
      </c>
      <c r="F83" s="387">
        <v>170</v>
      </c>
      <c r="G83" s="387">
        <v>341</v>
      </c>
      <c r="H83" s="387">
        <v>719.5</v>
      </c>
      <c r="I83" s="387">
        <v>2649</v>
      </c>
      <c r="J83" s="387">
        <v>1060</v>
      </c>
      <c r="K83" s="387">
        <v>1703.5</v>
      </c>
      <c r="L83" s="387">
        <v>1060</v>
      </c>
      <c r="M83" s="387">
        <v>1211.5</v>
      </c>
      <c r="N83" s="387">
        <v>1249.5</v>
      </c>
      <c r="O83" s="988">
        <v>1136</v>
      </c>
      <c r="P83" s="387" t="s">
        <v>2154</v>
      </c>
      <c r="Q83" s="387" t="s">
        <v>2154</v>
      </c>
      <c r="R83" s="387" t="s">
        <v>2154</v>
      </c>
      <c r="S83" s="387" t="s">
        <v>2154</v>
      </c>
      <c r="T83" s="387" t="s">
        <v>2154</v>
      </c>
      <c r="U83" s="387" t="s">
        <v>2154</v>
      </c>
      <c r="V83" s="387" t="s">
        <v>2154</v>
      </c>
      <c r="W83" s="387" t="s">
        <v>2154</v>
      </c>
      <c r="X83" s="387" t="s">
        <v>2154</v>
      </c>
      <c r="Y83" s="387" t="s">
        <v>2154</v>
      </c>
      <c r="Z83" s="387" t="s">
        <v>2154</v>
      </c>
      <c r="AA83" s="988" t="s">
        <v>2154</v>
      </c>
      <c r="AB83" s="387"/>
      <c r="AC83" s="387"/>
      <c r="AD83" s="387"/>
      <c r="AE83" s="387"/>
      <c r="AF83" s="387"/>
      <c r="AG83" s="387"/>
      <c r="AH83" s="387"/>
      <c r="AI83" s="387"/>
      <c r="AJ83" s="387"/>
      <c r="AK83" s="387"/>
      <c r="AL83" s="387"/>
      <c r="AM83" s="988"/>
      <c r="AN83" s="387"/>
      <c r="AO83" s="387"/>
      <c r="AP83" s="387"/>
      <c r="AQ83" s="387"/>
      <c r="AR83" s="387"/>
      <c r="AS83" s="387"/>
      <c r="AT83" s="387"/>
      <c r="AU83" s="387"/>
      <c r="AV83" s="387"/>
      <c r="AW83" s="387"/>
      <c r="AX83" s="387"/>
      <c r="AY83" s="988"/>
      <c r="AZ83" s="387"/>
      <c r="BA83" s="387"/>
      <c r="BB83" s="387"/>
      <c r="BC83" s="387"/>
      <c r="BD83" s="387"/>
      <c r="BE83" s="387"/>
      <c r="BF83" s="387"/>
      <c r="BG83" s="387"/>
      <c r="BH83" s="387"/>
      <c r="BI83" s="387"/>
      <c r="BJ83" s="387"/>
      <c r="BK83" s="988"/>
      <c r="BL83" s="387"/>
      <c r="BM83" s="387"/>
      <c r="BN83" s="387"/>
      <c r="BO83" s="387"/>
      <c r="BP83" s="387"/>
      <c r="BQ83" s="387"/>
      <c r="BR83" s="387"/>
      <c r="BS83" s="387"/>
      <c r="BT83" s="387"/>
      <c r="BU83" s="387"/>
      <c r="BV83" s="387"/>
      <c r="BW83" s="988"/>
      <c r="BX83" s="387"/>
      <c r="BY83" s="387"/>
      <c r="BZ83" s="387"/>
      <c r="CA83" s="387"/>
      <c r="CB83" s="387"/>
      <c r="CC83" s="387"/>
      <c r="CD83" s="387"/>
      <c r="CE83" s="387"/>
      <c r="CF83" s="387"/>
      <c r="CG83" s="387"/>
      <c r="CH83" s="387"/>
      <c r="CI83" s="988"/>
      <c r="CJ83" s="387"/>
      <c r="CK83" s="387"/>
      <c r="CL83" s="387"/>
      <c r="CM83" s="387"/>
      <c r="CN83" s="387"/>
      <c r="CO83" s="387"/>
      <c r="CP83" s="387"/>
      <c r="CQ83" s="387"/>
      <c r="CR83" s="387"/>
      <c r="CS83" s="387"/>
      <c r="CT83" s="387"/>
      <c r="CU83" s="988"/>
      <c r="CV83" s="387"/>
      <c r="CW83" s="387"/>
      <c r="CX83" s="387"/>
      <c r="CY83" s="387"/>
      <c r="CZ83" s="387"/>
      <c r="DA83" s="387"/>
      <c r="DB83" s="387"/>
      <c r="DC83" s="387"/>
      <c r="DD83" s="387"/>
      <c r="DE83" s="387"/>
      <c r="DF83" s="387"/>
      <c r="DG83" s="988"/>
      <c r="DH83" s="387"/>
      <c r="DI83" s="387"/>
      <c r="DJ83" s="387"/>
      <c r="DK83" s="387"/>
      <c r="DL83" s="387"/>
      <c r="DM83" s="387"/>
      <c r="DN83" s="387"/>
      <c r="DO83" s="387"/>
      <c r="DP83" s="387"/>
      <c r="DQ83" s="387"/>
      <c r="DR83" s="387"/>
      <c r="DS83" s="988"/>
      <c r="DT83" s="387" t="s">
        <v>2154</v>
      </c>
      <c r="DU83" s="387" t="s">
        <v>2154</v>
      </c>
      <c r="DV83" s="387" t="s">
        <v>2154</v>
      </c>
      <c r="DW83" s="387" t="s">
        <v>2154</v>
      </c>
      <c r="DX83" s="387" t="s">
        <v>2154</v>
      </c>
      <c r="DY83" s="387" t="s">
        <v>2154</v>
      </c>
      <c r="DZ83" s="387" t="s">
        <v>2154</v>
      </c>
      <c r="EA83" s="387" t="s">
        <v>2154</v>
      </c>
      <c r="EB83" s="387" t="s">
        <v>2154</v>
      </c>
      <c r="EC83" s="387" t="s">
        <v>2154</v>
      </c>
      <c r="ED83" s="387" t="s">
        <v>2154</v>
      </c>
      <c r="EE83" s="988" t="s">
        <v>2154</v>
      </c>
      <c r="EF83" s="387"/>
      <c r="EG83" s="387"/>
      <c r="EH83" s="387"/>
      <c r="EI83" s="387"/>
      <c r="EJ83" s="387"/>
      <c r="EK83" s="387"/>
      <c r="EL83" s="387"/>
      <c r="EM83" s="387"/>
      <c r="EN83" s="387"/>
      <c r="EO83" s="387"/>
      <c r="EP83" s="387"/>
      <c r="EQ83" s="988"/>
      <c r="ER83" s="387"/>
      <c r="ES83" s="387"/>
      <c r="ET83" s="387"/>
      <c r="EU83" s="387"/>
      <c r="EV83" s="387"/>
      <c r="EW83" s="387"/>
      <c r="EX83" s="387"/>
      <c r="EY83" s="387"/>
      <c r="EZ83" s="387"/>
      <c r="FA83" s="387"/>
      <c r="FB83" s="387"/>
      <c r="FC83" s="988"/>
      <c r="FD83" s="387"/>
      <c r="FE83" s="387"/>
      <c r="FF83" s="387"/>
      <c r="FG83" s="387"/>
      <c r="FH83" s="387"/>
      <c r="FI83" s="387"/>
      <c r="FJ83" s="387"/>
      <c r="FK83" s="387"/>
      <c r="FL83" s="387"/>
      <c r="FM83" s="387"/>
      <c r="FN83" s="387"/>
      <c r="FO83" s="988"/>
      <c r="FP83" s="387"/>
      <c r="FQ83" s="387"/>
      <c r="FR83" s="387"/>
      <c r="FS83" s="387"/>
      <c r="FT83" s="387"/>
      <c r="FU83" s="387"/>
      <c r="FV83" s="387"/>
      <c r="FW83" s="387"/>
      <c r="FX83" s="387"/>
      <c r="FY83" s="387"/>
      <c r="FZ83" s="387"/>
      <c r="GA83" s="988"/>
      <c r="GB83" s="109"/>
      <c r="GC83" s="1036">
        <f t="shared" si="100"/>
        <v>326.10000000000002</v>
      </c>
      <c r="GD83" s="387">
        <f t="shared" si="100"/>
        <v>643.5</v>
      </c>
      <c r="GE83" s="387">
        <f t="shared" si="100"/>
        <v>170</v>
      </c>
      <c r="GF83" s="387">
        <f t="shared" si="100"/>
        <v>341</v>
      </c>
      <c r="GG83" s="387">
        <f t="shared" si="100"/>
        <v>719.5</v>
      </c>
      <c r="GH83" s="387">
        <f t="shared" si="100"/>
        <v>2649</v>
      </c>
      <c r="GI83" s="387">
        <f t="shared" si="100"/>
        <v>1060</v>
      </c>
      <c r="GJ83" s="387">
        <f t="shared" si="100"/>
        <v>1703.5</v>
      </c>
      <c r="GK83" s="387">
        <f t="shared" si="100"/>
        <v>1060</v>
      </c>
      <c r="GL83" s="387">
        <f t="shared" si="100"/>
        <v>1211.5</v>
      </c>
      <c r="GM83" s="387">
        <f t="shared" si="100"/>
        <v>1249.5</v>
      </c>
      <c r="GN83" s="988">
        <f t="shared" si="100"/>
        <v>1136</v>
      </c>
      <c r="GO83" s="1036">
        <f t="shared" si="101"/>
        <v>0</v>
      </c>
      <c r="GP83" s="387">
        <f t="shared" si="101"/>
        <v>0</v>
      </c>
      <c r="GQ83" s="387">
        <f t="shared" si="101"/>
        <v>0</v>
      </c>
      <c r="GR83" s="387">
        <f t="shared" si="101"/>
        <v>0</v>
      </c>
      <c r="GS83" s="387">
        <f t="shared" si="101"/>
        <v>0</v>
      </c>
      <c r="GT83" s="387">
        <f t="shared" si="101"/>
        <v>0</v>
      </c>
      <c r="GU83" s="387">
        <f t="shared" si="101"/>
        <v>0</v>
      </c>
      <c r="GV83" s="387">
        <f t="shared" si="101"/>
        <v>0</v>
      </c>
      <c r="GW83" s="387">
        <f t="shared" si="101"/>
        <v>0</v>
      </c>
      <c r="GX83" s="387">
        <f t="shared" si="101"/>
        <v>0</v>
      </c>
      <c r="GY83" s="387">
        <f t="shared" si="101"/>
        <v>0</v>
      </c>
      <c r="GZ83" s="988">
        <f t="shared" si="101"/>
        <v>0</v>
      </c>
      <c r="HB83" s="387"/>
      <c r="HC83" s="387"/>
      <c r="HD83" s="387"/>
      <c r="HE83" s="387"/>
      <c r="HF83" s="387"/>
      <c r="HG83" s="387"/>
      <c r="HH83" s="387"/>
      <c r="HI83" s="387"/>
      <c r="HJ83" s="387"/>
      <c r="HK83" s="387"/>
      <c r="HL83" s="387"/>
      <c r="HM83" s="988"/>
    </row>
    <row r="84" spans="1:221">
      <c r="A84" s="326" t="s">
        <v>1577</v>
      </c>
      <c r="B84" s="326" t="s">
        <v>901</v>
      </c>
      <c r="C84" s="326" t="s">
        <v>1592</v>
      </c>
      <c r="D84" s="1036" t="s">
        <v>2154</v>
      </c>
      <c r="E84" s="387" t="s">
        <v>2154</v>
      </c>
      <c r="F84" s="387" t="s">
        <v>2154</v>
      </c>
      <c r="G84" s="387" t="s">
        <v>2154</v>
      </c>
      <c r="H84" s="387" t="s">
        <v>2154</v>
      </c>
      <c r="I84" s="387" t="s">
        <v>2154</v>
      </c>
      <c r="J84" s="387" t="s">
        <v>2154</v>
      </c>
      <c r="K84" s="387" t="s">
        <v>2154</v>
      </c>
      <c r="L84" s="387" t="s">
        <v>2154</v>
      </c>
      <c r="M84" s="387" t="s">
        <v>2154</v>
      </c>
      <c r="N84" s="387" t="s">
        <v>2154</v>
      </c>
      <c r="O84" s="988" t="s">
        <v>2154</v>
      </c>
      <c r="P84" s="387" t="s">
        <v>2154</v>
      </c>
      <c r="Q84" s="387" t="s">
        <v>2154</v>
      </c>
      <c r="R84" s="387" t="s">
        <v>2154</v>
      </c>
      <c r="S84" s="387" t="s">
        <v>2154</v>
      </c>
      <c r="T84" s="387" t="s">
        <v>2154</v>
      </c>
      <c r="U84" s="387" t="s">
        <v>2154</v>
      </c>
      <c r="V84" s="387" t="s">
        <v>2154</v>
      </c>
      <c r="W84" s="387" t="s">
        <v>2154</v>
      </c>
      <c r="X84" s="387" t="s">
        <v>2154</v>
      </c>
      <c r="Y84" s="387" t="s">
        <v>2154</v>
      </c>
      <c r="Z84" s="387" t="s">
        <v>2154</v>
      </c>
      <c r="AA84" s="988" t="s">
        <v>2154</v>
      </c>
      <c r="AB84" s="387"/>
      <c r="AC84" s="387"/>
      <c r="AD84" s="387"/>
      <c r="AE84" s="387"/>
      <c r="AF84" s="387"/>
      <c r="AG84" s="387"/>
      <c r="AH84" s="387"/>
      <c r="AI84" s="387"/>
      <c r="AJ84" s="387"/>
      <c r="AK84" s="387"/>
      <c r="AL84" s="387"/>
      <c r="AM84" s="988"/>
      <c r="AN84" s="387"/>
      <c r="AO84" s="387"/>
      <c r="AP84" s="387"/>
      <c r="AQ84" s="387"/>
      <c r="AR84" s="387"/>
      <c r="AS84" s="387"/>
      <c r="AT84" s="387"/>
      <c r="AU84" s="387"/>
      <c r="AV84" s="387"/>
      <c r="AW84" s="387"/>
      <c r="AX84" s="387"/>
      <c r="AY84" s="988"/>
      <c r="AZ84" s="387"/>
      <c r="BA84" s="387"/>
      <c r="BB84" s="387"/>
      <c r="BC84" s="387"/>
      <c r="BD84" s="387"/>
      <c r="BE84" s="387"/>
      <c r="BF84" s="387"/>
      <c r="BG84" s="387"/>
      <c r="BH84" s="387"/>
      <c r="BI84" s="387"/>
      <c r="BJ84" s="387"/>
      <c r="BK84" s="988"/>
      <c r="BL84" s="387"/>
      <c r="BM84" s="387"/>
      <c r="BN84" s="387"/>
      <c r="BO84" s="387"/>
      <c r="BP84" s="387"/>
      <c r="BQ84" s="387"/>
      <c r="BR84" s="387"/>
      <c r="BS84" s="387"/>
      <c r="BT84" s="387"/>
      <c r="BU84" s="387"/>
      <c r="BV84" s="387"/>
      <c r="BW84" s="988"/>
      <c r="BX84" s="387"/>
      <c r="BY84" s="387"/>
      <c r="BZ84" s="387"/>
      <c r="CA84" s="387"/>
      <c r="CB84" s="387"/>
      <c r="CC84" s="387"/>
      <c r="CD84" s="387"/>
      <c r="CE84" s="387"/>
      <c r="CF84" s="387"/>
      <c r="CG84" s="387"/>
      <c r="CH84" s="387"/>
      <c r="CI84" s="988"/>
      <c r="CJ84" s="387"/>
      <c r="CK84" s="387"/>
      <c r="CL84" s="387"/>
      <c r="CM84" s="387"/>
      <c r="CN84" s="387"/>
      <c r="CO84" s="387"/>
      <c r="CP84" s="387"/>
      <c r="CQ84" s="387"/>
      <c r="CR84" s="387"/>
      <c r="CS84" s="387"/>
      <c r="CT84" s="387"/>
      <c r="CU84" s="988"/>
      <c r="CV84" s="387"/>
      <c r="CW84" s="387"/>
      <c r="CX84" s="387"/>
      <c r="CY84" s="387"/>
      <c r="CZ84" s="387"/>
      <c r="DA84" s="387"/>
      <c r="DB84" s="387"/>
      <c r="DC84" s="387"/>
      <c r="DD84" s="387"/>
      <c r="DE84" s="387"/>
      <c r="DF84" s="387"/>
      <c r="DG84" s="988"/>
      <c r="DH84" s="387"/>
      <c r="DI84" s="387"/>
      <c r="DJ84" s="387"/>
      <c r="DK84" s="387"/>
      <c r="DL84" s="387"/>
      <c r="DM84" s="387"/>
      <c r="DN84" s="387"/>
      <c r="DO84" s="387"/>
      <c r="DP84" s="387"/>
      <c r="DQ84" s="387"/>
      <c r="DR84" s="387"/>
      <c r="DS84" s="988"/>
      <c r="DT84" s="387" t="s">
        <v>2154</v>
      </c>
      <c r="DU84" s="387" t="s">
        <v>2154</v>
      </c>
      <c r="DV84" s="387" t="s">
        <v>2154</v>
      </c>
      <c r="DW84" s="387" t="s">
        <v>2154</v>
      </c>
      <c r="DX84" s="387" t="s">
        <v>2154</v>
      </c>
      <c r="DY84" s="387" t="s">
        <v>2154</v>
      </c>
      <c r="DZ84" s="387" t="s">
        <v>2154</v>
      </c>
      <c r="EA84" s="387" t="s">
        <v>2154</v>
      </c>
      <c r="EB84" s="387" t="s">
        <v>2154</v>
      </c>
      <c r="EC84" s="387" t="s">
        <v>2154</v>
      </c>
      <c r="ED84" s="387" t="s">
        <v>2154</v>
      </c>
      <c r="EE84" s="988" t="s">
        <v>2154</v>
      </c>
      <c r="EF84" s="387"/>
      <c r="EG84" s="387"/>
      <c r="EH84" s="387"/>
      <c r="EI84" s="387"/>
      <c r="EJ84" s="387"/>
      <c r="EK84" s="387"/>
      <c r="EL84" s="387"/>
      <c r="EM84" s="387"/>
      <c r="EN84" s="387"/>
      <c r="EO84" s="387"/>
      <c r="EP84" s="387"/>
      <c r="EQ84" s="988"/>
      <c r="ER84" s="387"/>
      <c r="ES84" s="387"/>
      <c r="ET84" s="387"/>
      <c r="EU84" s="387"/>
      <c r="EV84" s="387"/>
      <c r="EW84" s="387"/>
      <c r="EX84" s="387"/>
      <c r="EY84" s="387"/>
      <c r="EZ84" s="387"/>
      <c r="FA84" s="387"/>
      <c r="FB84" s="387"/>
      <c r="FC84" s="988"/>
      <c r="FD84" s="387"/>
      <c r="FE84" s="387"/>
      <c r="FF84" s="387"/>
      <c r="FG84" s="387"/>
      <c r="FH84" s="387"/>
      <c r="FI84" s="387"/>
      <c r="FJ84" s="387"/>
      <c r="FK84" s="387"/>
      <c r="FL84" s="387"/>
      <c r="FM84" s="387"/>
      <c r="FN84" s="387"/>
      <c r="FO84" s="988"/>
      <c r="FP84" s="387"/>
      <c r="FQ84" s="387"/>
      <c r="FR84" s="387"/>
      <c r="FS84" s="387"/>
      <c r="FT84" s="387"/>
      <c r="FU84" s="387"/>
      <c r="FV84" s="387"/>
      <c r="FW84" s="387"/>
      <c r="FX84" s="387"/>
      <c r="FY84" s="387"/>
      <c r="FZ84" s="387"/>
      <c r="GA84" s="988"/>
      <c r="GB84" s="109"/>
      <c r="GC84" s="1036">
        <f t="shared" si="100"/>
        <v>0</v>
      </c>
      <c r="GD84" s="387">
        <f t="shared" si="100"/>
        <v>0</v>
      </c>
      <c r="GE84" s="387">
        <f t="shared" si="100"/>
        <v>0</v>
      </c>
      <c r="GF84" s="387">
        <f t="shared" si="100"/>
        <v>0</v>
      </c>
      <c r="GG84" s="387">
        <f t="shared" si="100"/>
        <v>0</v>
      </c>
      <c r="GH84" s="387">
        <f t="shared" si="100"/>
        <v>0</v>
      </c>
      <c r="GI84" s="387">
        <f t="shared" si="100"/>
        <v>0</v>
      </c>
      <c r="GJ84" s="387">
        <f t="shared" si="100"/>
        <v>0</v>
      </c>
      <c r="GK84" s="387">
        <f t="shared" si="100"/>
        <v>0</v>
      </c>
      <c r="GL84" s="387">
        <f t="shared" si="100"/>
        <v>0</v>
      </c>
      <c r="GM84" s="387">
        <f t="shared" si="100"/>
        <v>0</v>
      </c>
      <c r="GN84" s="988">
        <f t="shared" si="100"/>
        <v>0</v>
      </c>
      <c r="GO84" s="1036">
        <f t="shared" si="101"/>
        <v>0</v>
      </c>
      <c r="GP84" s="387">
        <f t="shared" si="101"/>
        <v>0</v>
      </c>
      <c r="GQ84" s="387">
        <f t="shared" si="101"/>
        <v>0</v>
      </c>
      <c r="GR84" s="387">
        <f t="shared" si="101"/>
        <v>0</v>
      </c>
      <c r="GS84" s="387">
        <f t="shared" si="101"/>
        <v>0</v>
      </c>
      <c r="GT84" s="387">
        <f t="shared" si="101"/>
        <v>0</v>
      </c>
      <c r="GU84" s="387">
        <f t="shared" si="101"/>
        <v>0</v>
      </c>
      <c r="GV84" s="387">
        <f t="shared" si="101"/>
        <v>0</v>
      </c>
      <c r="GW84" s="387">
        <f t="shared" si="101"/>
        <v>0</v>
      </c>
      <c r="GX84" s="387">
        <f t="shared" si="101"/>
        <v>0</v>
      </c>
      <c r="GY84" s="387">
        <f t="shared" si="101"/>
        <v>0</v>
      </c>
      <c r="GZ84" s="988">
        <f t="shared" si="101"/>
        <v>0</v>
      </c>
      <c r="HB84" s="387"/>
      <c r="HC84" s="387"/>
      <c r="HD84" s="387"/>
      <c r="HE84" s="387"/>
      <c r="HF84" s="387"/>
      <c r="HG84" s="387"/>
      <c r="HH84" s="387"/>
      <c r="HI84" s="387"/>
      <c r="HJ84" s="387"/>
      <c r="HK84" s="387"/>
      <c r="HL84" s="387"/>
      <c r="HM84" s="988"/>
    </row>
    <row r="85" spans="1:221">
      <c r="A85" s="326" t="s">
        <v>1577</v>
      </c>
      <c r="B85" s="326" t="s">
        <v>901</v>
      </c>
      <c r="C85" s="326" t="s">
        <v>1593</v>
      </c>
      <c r="D85" s="1036">
        <v>468.1</v>
      </c>
      <c r="E85" s="387">
        <v>1034.1000000000001</v>
      </c>
      <c r="F85" s="387">
        <v>935.04000000000008</v>
      </c>
      <c r="G85" s="387">
        <v>819.65000000000009</v>
      </c>
      <c r="H85" s="387">
        <v>119.42</v>
      </c>
      <c r="I85" s="387">
        <v>204.19</v>
      </c>
      <c r="J85" s="387">
        <v>349.44</v>
      </c>
      <c r="K85" s="387">
        <v>347.51</v>
      </c>
      <c r="L85" s="387">
        <v>464.67</v>
      </c>
      <c r="M85" s="387">
        <v>674.03000000000009</v>
      </c>
      <c r="N85" s="387">
        <v>435.38</v>
      </c>
      <c r="O85" s="988">
        <v>334.98</v>
      </c>
      <c r="P85" s="387" t="s">
        <v>2154</v>
      </c>
      <c r="Q85" s="387" t="s">
        <v>2154</v>
      </c>
      <c r="R85" s="387" t="s">
        <v>2154</v>
      </c>
      <c r="S85" s="387" t="s">
        <v>2154</v>
      </c>
      <c r="T85" s="387" t="s">
        <v>2154</v>
      </c>
      <c r="U85" s="387" t="s">
        <v>2154</v>
      </c>
      <c r="V85" s="387" t="s">
        <v>2154</v>
      </c>
      <c r="W85" s="387" t="s">
        <v>2154</v>
      </c>
      <c r="X85" s="387" t="s">
        <v>2154</v>
      </c>
      <c r="Y85" s="387" t="s">
        <v>2154</v>
      </c>
      <c r="Z85" s="387" t="s">
        <v>2154</v>
      </c>
      <c r="AA85" s="988" t="s">
        <v>2154</v>
      </c>
      <c r="AB85" s="387"/>
      <c r="AC85" s="387"/>
      <c r="AD85" s="387"/>
      <c r="AE85" s="387"/>
      <c r="AF85" s="387"/>
      <c r="AG85" s="387"/>
      <c r="AH85" s="387"/>
      <c r="AI85" s="387"/>
      <c r="AJ85" s="387"/>
      <c r="AK85" s="387"/>
      <c r="AL85" s="387"/>
      <c r="AM85" s="988"/>
      <c r="AN85" s="387"/>
      <c r="AO85" s="387"/>
      <c r="AP85" s="387"/>
      <c r="AQ85" s="387"/>
      <c r="AR85" s="387"/>
      <c r="AS85" s="387"/>
      <c r="AT85" s="387"/>
      <c r="AU85" s="387"/>
      <c r="AV85" s="387"/>
      <c r="AW85" s="387"/>
      <c r="AX85" s="387"/>
      <c r="AY85" s="988"/>
      <c r="AZ85" s="387"/>
      <c r="BA85" s="387"/>
      <c r="BB85" s="387"/>
      <c r="BC85" s="387"/>
      <c r="BD85" s="387"/>
      <c r="BE85" s="387"/>
      <c r="BF85" s="387"/>
      <c r="BG85" s="387"/>
      <c r="BH85" s="387"/>
      <c r="BI85" s="387"/>
      <c r="BJ85" s="387"/>
      <c r="BK85" s="988"/>
      <c r="BL85" s="387"/>
      <c r="BM85" s="387"/>
      <c r="BN85" s="387"/>
      <c r="BO85" s="387"/>
      <c r="BP85" s="387"/>
      <c r="BQ85" s="387"/>
      <c r="BR85" s="387"/>
      <c r="BS85" s="387"/>
      <c r="BT85" s="387"/>
      <c r="BU85" s="387"/>
      <c r="BV85" s="387"/>
      <c r="BW85" s="988"/>
      <c r="BX85" s="387"/>
      <c r="BY85" s="387"/>
      <c r="BZ85" s="387"/>
      <c r="CA85" s="387"/>
      <c r="CB85" s="387"/>
      <c r="CC85" s="387"/>
      <c r="CD85" s="387"/>
      <c r="CE85" s="387"/>
      <c r="CF85" s="387"/>
      <c r="CG85" s="387"/>
      <c r="CH85" s="387"/>
      <c r="CI85" s="988"/>
      <c r="CJ85" s="387"/>
      <c r="CK85" s="387"/>
      <c r="CL85" s="387"/>
      <c r="CM85" s="387"/>
      <c r="CN85" s="387"/>
      <c r="CO85" s="387"/>
      <c r="CP85" s="387"/>
      <c r="CQ85" s="387"/>
      <c r="CR85" s="387"/>
      <c r="CS85" s="387"/>
      <c r="CT85" s="387"/>
      <c r="CU85" s="988"/>
      <c r="CV85" s="387"/>
      <c r="CW85" s="387"/>
      <c r="CX85" s="387"/>
      <c r="CY85" s="387"/>
      <c r="CZ85" s="387"/>
      <c r="DA85" s="387"/>
      <c r="DB85" s="387"/>
      <c r="DC85" s="387"/>
      <c r="DD85" s="387"/>
      <c r="DE85" s="387"/>
      <c r="DF85" s="387"/>
      <c r="DG85" s="988"/>
      <c r="DH85" s="387"/>
      <c r="DI85" s="387"/>
      <c r="DJ85" s="387"/>
      <c r="DK85" s="387"/>
      <c r="DL85" s="387"/>
      <c r="DM85" s="387"/>
      <c r="DN85" s="387"/>
      <c r="DO85" s="387"/>
      <c r="DP85" s="387"/>
      <c r="DQ85" s="387"/>
      <c r="DR85" s="387"/>
      <c r="DS85" s="988"/>
      <c r="DT85" s="387" t="s">
        <v>2154</v>
      </c>
      <c r="DU85" s="387" t="s">
        <v>2154</v>
      </c>
      <c r="DV85" s="387" t="s">
        <v>2154</v>
      </c>
      <c r="DW85" s="387" t="s">
        <v>2154</v>
      </c>
      <c r="DX85" s="387" t="s">
        <v>2154</v>
      </c>
      <c r="DY85" s="387" t="s">
        <v>2154</v>
      </c>
      <c r="DZ85" s="387" t="s">
        <v>2154</v>
      </c>
      <c r="EA85" s="387" t="s">
        <v>2154</v>
      </c>
      <c r="EB85" s="387" t="s">
        <v>2154</v>
      </c>
      <c r="EC85" s="387" t="s">
        <v>2154</v>
      </c>
      <c r="ED85" s="387" t="s">
        <v>2154</v>
      </c>
      <c r="EE85" s="988" t="s">
        <v>2154</v>
      </c>
      <c r="EF85" s="387"/>
      <c r="EG85" s="387"/>
      <c r="EH85" s="387"/>
      <c r="EI85" s="387"/>
      <c r="EJ85" s="387"/>
      <c r="EK85" s="387"/>
      <c r="EL85" s="387"/>
      <c r="EM85" s="387"/>
      <c r="EN85" s="387"/>
      <c r="EO85" s="387"/>
      <c r="EP85" s="387"/>
      <c r="EQ85" s="988"/>
      <c r="ER85" s="387"/>
      <c r="ES85" s="387"/>
      <c r="ET85" s="387"/>
      <c r="EU85" s="387"/>
      <c r="EV85" s="387"/>
      <c r="EW85" s="387"/>
      <c r="EX85" s="387"/>
      <c r="EY85" s="387"/>
      <c r="EZ85" s="387"/>
      <c r="FA85" s="387"/>
      <c r="FB85" s="387"/>
      <c r="FC85" s="988"/>
      <c r="FD85" s="387"/>
      <c r="FE85" s="387"/>
      <c r="FF85" s="387"/>
      <c r="FG85" s="387"/>
      <c r="FH85" s="387"/>
      <c r="FI85" s="387"/>
      <c r="FJ85" s="387"/>
      <c r="FK85" s="387"/>
      <c r="FL85" s="387"/>
      <c r="FM85" s="387"/>
      <c r="FN85" s="387"/>
      <c r="FO85" s="988"/>
      <c r="FP85" s="387"/>
      <c r="FQ85" s="387"/>
      <c r="FR85" s="387"/>
      <c r="FS85" s="387"/>
      <c r="FT85" s="387"/>
      <c r="FU85" s="387"/>
      <c r="FV85" s="387"/>
      <c r="FW85" s="387"/>
      <c r="FX85" s="387"/>
      <c r="FY85" s="387"/>
      <c r="FZ85" s="387"/>
      <c r="GA85" s="988"/>
      <c r="GB85" s="109"/>
      <c r="GC85" s="1036">
        <f t="shared" si="100"/>
        <v>468.1</v>
      </c>
      <c r="GD85" s="387">
        <f t="shared" si="100"/>
        <v>1034.1000000000001</v>
      </c>
      <c r="GE85" s="387">
        <f t="shared" si="100"/>
        <v>935.04000000000008</v>
      </c>
      <c r="GF85" s="387">
        <f t="shared" si="100"/>
        <v>819.65000000000009</v>
      </c>
      <c r="GG85" s="387">
        <f t="shared" si="100"/>
        <v>119.42</v>
      </c>
      <c r="GH85" s="387">
        <f t="shared" si="100"/>
        <v>204.19</v>
      </c>
      <c r="GI85" s="387">
        <f t="shared" si="100"/>
        <v>349.44</v>
      </c>
      <c r="GJ85" s="387">
        <f t="shared" si="100"/>
        <v>347.51</v>
      </c>
      <c r="GK85" s="387">
        <f t="shared" si="100"/>
        <v>464.67</v>
      </c>
      <c r="GL85" s="387">
        <f t="shared" si="100"/>
        <v>674.03000000000009</v>
      </c>
      <c r="GM85" s="387">
        <f t="shared" si="100"/>
        <v>435.38</v>
      </c>
      <c r="GN85" s="988">
        <f t="shared" si="100"/>
        <v>334.98</v>
      </c>
      <c r="GO85" s="1036">
        <f t="shared" si="101"/>
        <v>0</v>
      </c>
      <c r="GP85" s="387">
        <f t="shared" si="101"/>
        <v>0</v>
      </c>
      <c r="GQ85" s="387">
        <f t="shared" si="101"/>
        <v>0</v>
      </c>
      <c r="GR85" s="387">
        <f t="shared" si="101"/>
        <v>0</v>
      </c>
      <c r="GS85" s="387">
        <f t="shared" si="101"/>
        <v>0</v>
      </c>
      <c r="GT85" s="387">
        <f t="shared" si="101"/>
        <v>0</v>
      </c>
      <c r="GU85" s="387">
        <f t="shared" si="101"/>
        <v>0</v>
      </c>
      <c r="GV85" s="387">
        <f t="shared" si="101"/>
        <v>0</v>
      </c>
      <c r="GW85" s="387">
        <f t="shared" si="101"/>
        <v>0</v>
      </c>
      <c r="GX85" s="387">
        <f t="shared" si="101"/>
        <v>0</v>
      </c>
      <c r="GY85" s="387">
        <f t="shared" si="101"/>
        <v>0</v>
      </c>
      <c r="GZ85" s="988">
        <f t="shared" si="101"/>
        <v>0</v>
      </c>
      <c r="HB85" s="387"/>
      <c r="HC85" s="387"/>
      <c r="HD85" s="387"/>
      <c r="HE85" s="387"/>
      <c r="HF85" s="387"/>
      <c r="HG85" s="387"/>
      <c r="HH85" s="387"/>
      <c r="HI85" s="387"/>
      <c r="HJ85" s="387"/>
      <c r="HK85" s="387"/>
      <c r="HL85" s="387"/>
      <c r="HM85" s="988"/>
    </row>
    <row r="86" spans="1:221">
      <c r="A86" s="326" t="s">
        <v>1594</v>
      </c>
      <c r="B86" s="326" t="s">
        <v>901</v>
      </c>
      <c r="C86" s="326" t="s">
        <v>2151</v>
      </c>
      <c r="D86" s="1036" t="s">
        <v>2154</v>
      </c>
      <c r="E86" s="387" t="s">
        <v>2154</v>
      </c>
      <c r="F86" s="387" t="s">
        <v>2154</v>
      </c>
      <c r="G86" s="387" t="s">
        <v>2154</v>
      </c>
      <c r="H86" s="387" t="s">
        <v>2154</v>
      </c>
      <c r="I86" s="387" t="s">
        <v>2154</v>
      </c>
      <c r="J86" s="387" t="s">
        <v>2154</v>
      </c>
      <c r="K86" s="387" t="s">
        <v>2154</v>
      </c>
      <c r="L86" s="387" t="s">
        <v>2154</v>
      </c>
      <c r="M86" s="387" t="s">
        <v>2154</v>
      </c>
      <c r="N86" s="387" t="s">
        <v>2154</v>
      </c>
      <c r="O86" s="988" t="s">
        <v>2154</v>
      </c>
      <c r="P86" s="387">
        <v>220.28571428571428</v>
      </c>
      <c r="Q86" s="387">
        <v>193.85714285714286</v>
      </c>
      <c r="R86" s="387">
        <v>174.14285714285714</v>
      </c>
      <c r="S86" s="387">
        <v>206.42857142857139</v>
      </c>
      <c r="T86" s="387">
        <v>222.42857142857144</v>
      </c>
      <c r="U86" s="387">
        <v>223.28571428571431</v>
      </c>
      <c r="V86" s="387">
        <v>221.57142857142856</v>
      </c>
      <c r="W86" s="387">
        <v>229.42857142857139</v>
      </c>
      <c r="X86" s="387">
        <v>253.14285714285717</v>
      </c>
      <c r="Y86" s="387">
        <v>230.57142857142856</v>
      </c>
      <c r="Z86" s="387">
        <v>245.57142857142856</v>
      </c>
      <c r="AA86" s="988">
        <v>242.42857142857144</v>
      </c>
      <c r="AB86" s="387"/>
      <c r="AC86" s="387"/>
      <c r="AD86" s="387"/>
      <c r="AE86" s="387"/>
      <c r="AF86" s="387"/>
      <c r="AG86" s="387"/>
      <c r="AH86" s="387"/>
      <c r="AI86" s="387"/>
      <c r="AJ86" s="387"/>
      <c r="AK86" s="387"/>
      <c r="AL86" s="387"/>
      <c r="AM86" s="988"/>
      <c r="AN86" s="387"/>
      <c r="AO86" s="387"/>
      <c r="AP86" s="387"/>
      <c r="AQ86" s="387"/>
      <c r="AR86" s="387"/>
      <c r="AS86" s="387"/>
      <c r="AT86" s="387"/>
      <c r="AU86" s="387"/>
      <c r="AV86" s="387"/>
      <c r="AW86" s="387"/>
      <c r="AX86" s="387"/>
      <c r="AY86" s="988"/>
      <c r="AZ86" s="387"/>
      <c r="BA86" s="387"/>
      <c r="BB86" s="387"/>
      <c r="BC86" s="387"/>
      <c r="BD86" s="387"/>
      <c r="BE86" s="387"/>
      <c r="BF86" s="387"/>
      <c r="BG86" s="387"/>
      <c r="BH86" s="387"/>
      <c r="BI86" s="387"/>
      <c r="BJ86" s="387"/>
      <c r="BK86" s="988"/>
      <c r="BL86" s="387"/>
      <c r="BM86" s="387"/>
      <c r="BN86" s="387"/>
      <c r="BO86" s="387"/>
      <c r="BP86" s="387"/>
      <c r="BQ86" s="387"/>
      <c r="BR86" s="387"/>
      <c r="BS86" s="387"/>
      <c r="BT86" s="387"/>
      <c r="BU86" s="387"/>
      <c r="BV86" s="387"/>
      <c r="BW86" s="988"/>
      <c r="BX86" s="387"/>
      <c r="BY86" s="387"/>
      <c r="BZ86" s="387"/>
      <c r="CA86" s="387"/>
      <c r="CB86" s="387"/>
      <c r="CC86" s="387"/>
      <c r="CD86" s="387"/>
      <c r="CE86" s="387"/>
      <c r="CF86" s="387"/>
      <c r="CG86" s="387"/>
      <c r="CH86" s="387"/>
      <c r="CI86" s="988"/>
      <c r="CJ86" s="387"/>
      <c r="CK86" s="387"/>
      <c r="CL86" s="387"/>
      <c r="CM86" s="387"/>
      <c r="CN86" s="387"/>
      <c r="CO86" s="387"/>
      <c r="CP86" s="387"/>
      <c r="CQ86" s="387"/>
      <c r="CR86" s="387"/>
      <c r="CS86" s="387"/>
      <c r="CT86" s="387"/>
      <c r="CU86" s="988"/>
      <c r="CV86" s="387"/>
      <c r="CW86" s="387"/>
      <c r="CX86" s="387"/>
      <c r="CY86" s="387"/>
      <c r="CZ86" s="387"/>
      <c r="DA86" s="387"/>
      <c r="DB86" s="387"/>
      <c r="DC86" s="387"/>
      <c r="DD86" s="387"/>
      <c r="DE86" s="387"/>
      <c r="DF86" s="387"/>
      <c r="DG86" s="988"/>
      <c r="DH86" s="387"/>
      <c r="DI86" s="387"/>
      <c r="DJ86" s="387"/>
      <c r="DK86" s="387"/>
      <c r="DL86" s="387"/>
      <c r="DM86" s="387"/>
      <c r="DN86" s="387"/>
      <c r="DO86" s="387"/>
      <c r="DP86" s="387"/>
      <c r="DQ86" s="387"/>
      <c r="DR86" s="387"/>
      <c r="DS86" s="988"/>
      <c r="DT86" s="387" t="s">
        <v>2154</v>
      </c>
      <c r="DU86" s="387" t="s">
        <v>2154</v>
      </c>
      <c r="DV86" s="387" t="s">
        <v>2154</v>
      </c>
      <c r="DW86" s="387" t="s">
        <v>2154</v>
      </c>
      <c r="DX86" s="387" t="s">
        <v>2154</v>
      </c>
      <c r="DY86" s="387" t="s">
        <v>2154</v>
      </c>
      <c r="DZ86" s="387" t="s">
        <v>2154</v>
      </c>
      <c r="EA86" s="387" t="s">
        <v>2154</v>
      </c>
      <c r="EB86" s="387" t="s">
        <v>2154</v>
      </c>
      <c r="EC86" s="387" t="s">
        <v>2154</v>
      </c>
      <c r="ED86" s="387" t="s">
        <v>2154</v>
      </c>
      <c r="EE86" s="988" t="s">
        <v>2154</v>
      </c>
      <c r="EF86" s="387"/>
      <c r="EG86" s="387"/>
      <c r="EH86" s="387"/>
      <c r="EI86" s="387"/>
      <c r="EJ86" s="387"/>
      <c r="EK86" s="387"/>
      <c r="EL86" s="387"/>
      <c r="EM86" s="387"/>
      <c r="EN86" s="387"/>
      <c r="EO86" s="387"/>
      <c r="EP86" s="387"/>
      <c r="EQ86" s="988"/>
      <c r="ER86" s="387"/>
      <c r="ES86" s="387"/>
      <c r="ET86" s="387"/>
      <c r="EU86" s="387"/>
      <c r="EV86" s="387"/>
      <c r="EW86" s="387"/>
      <c r="EX86" s="387"/>
      <c r="EY86" s="387"/>
      <c r="EZ86" s="387"/>
      <c r="FA86" s="387"/>
      <c r="FB86" s="387"/>
      <c r="FC86" s="988"/>
      <c r="FD86" s="387"/>
      <c r="FE86" s="387"/>
      <c r="FF86" s="387"/>
      <c r="FG86" s="387"/>
      <c r="FH86" s="387"/>
      <c r="FI86" s="387"/>
      <c r="FJ86" s="387"/>
      <c r="FK86" s="387"/>
      <c r="FL86" s="387"/>
      <c r="FM86" s="387"/>
      <c r="FN86" s="387"/>
      <c r="FO86" s="988"/>
      <c r="FP86" s="387"/>
      <c r="FQ86" s="387"/>
      <c r="FR86" s="387"/>
      <c r="FS86" s="387"/>
      <c r="FT86" s="387"/>
      <c r="FU86" s="387"/>
      <c r="FV86" s="387"/>
      <c r="FW86" s="387"/>
      <c r="FX86" s="387"/>
      <c r="FY86" s="387"/>
      <c r="FZ86" s="387"/>
      <c r="GA86" s="988"/>
      <c r="GB86" s="109"/>
      <c r="GC86" s="2214">
        <f t="shared" si="100"/>
        <v>220.28571428571428</v>
      </c>
      <c r="GD86" s="387">
        <f t="shared" si="100"/>
        <v>193.85714285714286</v>
      </c>
      <c r="GE86" s="387">
        <f t="shared" si="100"/>
        <v>174.14285714285714</v>
      </c>
      <c r="GF86" s="387">
        <f t="shared" si="100"/>
        <v>206.42857142857139</v>
      </c>
      <c r="GG86" s="387">
        <f t="shared" si="100"/>
        <v>222.42857142857144</v>
      </c>
      <c r="GH86" s="387">
        <f t="shared" si="100"/>
        <v>223.28571428571431</v>
      </c>
      <c r="GI86" s="387">
        <f t="shared" si="100"/>
        <v>221.57142857142856</v>
      </c>
      <c r="GJ86" s="387">
        <f t="shared" si="100"/>
        <v>229.42857142857139</v>
      </c>
      <c r="GK86" s="387">
        <f t="shared" si="100"/>
        <v>253.14285714285717</v>
      </c>
      <c r="GL86" s="387">
        <f t="shared" si="100"/>
        <v>230.57142857142856</v>
      </c>
      <c r="GM86" s="387">
        <f t="shared" si="100"/>
        <v>245.57142857142856</v>
      </c>
      <c r="GN86" s="988">
        <f t="shared" si="100"/>
        <v>242.42857142857144</v>
      </c>
      <c r="GO86" s="1036">
        <f t="shared" si="101"/>
        <v>0</v>
      </c>
      <c r="GP86" s="387">
        <f t="shared" si="101"/>
        <v>0</v>
      </c>
      <c r="GQ86" s="387">
        <f t="shared" si="101"/>
        <v>0</v>
      </c>
      <c r="GR86" s="387">
        <f t="shared" si="101"/>
        <v>0</v>
      </c>
      <c r="GS86" s="387">
        <f t="shared" si="101"/>
        <v>0</v>
      </c>
      <c r="GT86" s="387">
        <f t="shared" si="101"/>
        <v>0</v>
      </c>
      <c r="GU86" s="387">
        <f t="shared" si="101"/>
        <v>0</v>
      </c>
      <c r="GV86" s="387">
        <f t="shared" si="101"/>
        <v>0</v>
      </c>
      <c r="GW86" s="387">
        <f t="shared" si="101"/>
        <v>0</v>
      </c>
      <c r="GX86" s="387">
        <f t="shared" si="101"/>
        <v>0</v>
      </c>
      <c r="GY86" s="387">
        <f t="shared" si="101"/>
        <v>0</v>
      </c>
      <c r="GZ86" s="988">
        <f t="shared" si="101"/>
        <v>0</v>
      </c>
      <c r="HB86" s="387"/>
      <c r="HC86" s="387"/>
      <c r="HD86" s="387"/>
      <c r="HE86" s="387"/>
      <c r="HF86" s="387"/>
      <c r="HG86" s="387"/>
      <c r="HH86" s="387"/>
      <c r="HI86" s="387"/>
      <c r="HJ86" s="387"/>
      <c r="HK86" s="387"/>
      <c r="HL86" s="387"/>
      <c r="HM86" s="988"/>
    </row>
    <row r="87" spans="1:221">
      <c r="A87" s="326" t="s">
        <v>1594</v>
      </c>
      <c r="B87" s="326" t="s">
        <v>1578</v>
      </c>
      <c r="C87" s="326" t="s">
        <v>2151</v>
      </c>
      <c r="D87" s="1036" t="s">
        <v>2154</v>
      </c>
      <c r="E87" s="387" t="s">
        <v>2154</v>
      </c>
      <c r="F87" s="387" t="s">
        <v>2154</v>
      </c>
      <c r="G87" s="387" t="s">
        <v>2154</v>
      </c>
      <c r="H87" s="387" t="s">
        <v>2154</v>
      </c>
      <c r="I87" s="387" t="s">
        <v>2154</v>
      </c>
      <c r="J87" s="387" t="s">
        <v>2154</v>
      </c>
      <c r="K87" s="387" t="s">
        <v>2154</v>
      </c>
      <c r="L87" s="387" t="s">
        <v>2154</v>
      </c>
      <c r="M87" s="387" t="s">
        <v>2154</v>
      </c>
      <c r="N87" s="387" t="s">
        <v>2154</v>
      </c>
      <c r="O87" s="988" t="s">
        <v>2154</v>
      </c>
      <c r="P87" s="387">
        <v>189.42857142857139</v>
      </c>
      <c r="Q87" s="387">
        <v>167.28571428571428</v>
      </c>
      <c r="R87" s="387">
        <v>143.57142857142856</v>
      </c>
      <c r="S87" s="387">
        <v>166.57142857142856</v>
      </c>
      <c r="T87" s="387">
        <v>183.85714285714289</v>
      </c>
      <c r="U87" s="387">
        <v>183.42857142857144</v>
      </c>
      <c r="V87" s="387">
        <v>141.14285714285714</v>
      </c>
      <c r="W87" s="387">
        <v>156.8571428571428</v>
      </c>
      <c r="X87" s="387">
        <v>172.71428571428572</v>
      </c>
      <c r="Y87" s="387">
        <v>153.42857142857144</v>
      </c>
      <c r="Z87" s="387">
        <v>173.14285714285711</v>
      </c>
      <c r="AA87" s="988">
        <v>165.28571428571433</v>
      </c>
      <c r="AB87" s="387"/>
      <c r="AC87" s="387"/>
      <c r="AD87" s="387"/>
      <c r="AE87" s="387"/>
      <c r="AF87" s="387"/>
      <c r="AG87" s="387"/>
      <c r="AH87" s="387"/>
      <c r="AI87" s="387"/>
      <c r="AJ87" s="387"/>
      <c r="AK87" s="387"/>
      <c r="AL87" s="387"/>
      <c r="AM87" s="988"/>
      <c r="AN87" s="387"/>
      <c r="AO87" s="387"/>
      <c r="AP87" s="387"/>
      <c r="AQ87" s="387"/>
      <c r="AR87" s="387"/>
      <c r="AS87" s="387"/>
      <c r="AT87" s="387"/>
      <c r="AU87" s="387"/>
      <c r="AV87" s="387"/>
      <c r="AW87" s="387"/>
      <c r="AX87" s="387"/>
      <c r="AY87" s="988"/>
      <c r="AZ87" s="387"/>
      <c r="BA87" s="387"/>
      <c r="BB87" s="387"/>
      <c r="BC87" s="387"/>
      <c r="BD87" s="387"/>
      <c r="BE87" s="387"/>
      <c r="BF87" s="387"/>
      <c r="BG87" s="387"/>
      <c r="BH87" s="387"/>
      <c r="BI87" s="387"/>
      <c r="BJ87" s="387"/>
      <c r="BK87" s="988"/>
      <c r="BL87" s="387"/>
      <c r="BM87" s="387"/>
      <c r="BN87" s="387"/>
      <c r="BO87" s="387"/>
      <c r="BP87" s="387"/>
      <c r="BQ87" s="387"/>
      <c r="BR87" s="387"/>
      <c r="BS87" s="387"/>
      <c r="BT87" s="387"/>
      <c r="BU87" s="387"/>
      <c r="BV87" s="387"/>
      <c r="BW87" s="988"/>
      <c r="BX87" s="387"/>
      <c r="BY87" s="387"/>
      <c r="BZ87" s="387"/>
      <c r="CA87" s="387"/>
      <c r="CB87" s="387"/>
      <c r="CC87" s="387"/>
      <c r="CD87" s="387"/>
      <c r="CE87" s="387"/>
      <c r="CF87" s="387"/>
      <c r="CG87" s="387"/>
      <c r="CH87" s="387"/>
      <c r="CI87" s="988"/>
      <c r="CJ87" s="387"/>
      <c r="CK87" s="387"/>
      <c r="CL87" s="387"/>
      <c r="CM87" s="387"/>
      <c r="CN87" s="387"/>
      <c r="CO87" s="387"/>
      <c r="CP87" s="387"/>
      <c r="CQ87" s="387"/>
      <c r="CR87" s="387"/>
      <c r="CS87" s="387"/>
      <c r="CT87" s="387"/>
      <c r="CU87" s="988"/>
      <c r="CV87" s="387"/>
      <c r="CW87" s="387"/>
      <c r="CX87" s="387"/>
      <c r="CY87" s="387"/>
      <c r="CZ87" s="387"/>
      <c r="DA87" s="387"/>
      <c r="DB87" s="387"/>
      <c r="DC87" s="387"/>
      <c r="DD87" s="387"/>
      <c r="DE87" s="387"/>
      <c r="DF87" s="387"/>
      <c r="DG87" s="988"/>
      <c r="DH87" s="387"/>
      <c r="DI87" s="387"/>
      <c r="DJ87" s="387"/>
      <c r="DK87" s="387"/>
      <c r="DL87" s="387"/>
      <c r="DM87" s="387"/>
      <c r="DN87" s="387"/>
      <c r="DO87" s="387"/>
      <c r="DP87" s="387"/>
      <c r="DQ87" s="387"/>
      <c r="DR87" s="387"/>
      <c r="DS87" s="988"/>
      <c r="DT87" s="387" t="s">
        <v>2154</v>
      </c>
      <c r="DU87" s="387" t="s">
        <v>2154</v>
      </c>
      <c r="DV87" s="387" t="s">
        <v>2154</v>
      </c>
      <c r="DW87" s="387" t="s">
        <v>2154</v>
      </c>
      <c r="DX87" s="387" t="s">
        <v>2154</v>
      </c>
      <c r="DY87" s="387" t="s">
        <v>2154</v>
      </c>
      <c r="DZ87" s="387" t="s">
        <v>2154</v>
      </c>
      <c r="EA87" s="387" t="s">
        <v>2154</v>
      </c>
      <c r="EB87" s="387" t="s">
        <v>2154</v>
      </c>
      <c r="EC87" s="387" t="s">
        <v>2154</v>
      </c>
      <c r="ED87" s="387" t="s">
        <v>2154</v>
      </c>
      <c r="EE87" s="988" t="s">
        <v>2154</v>
      </c>
      <c r="EF87" s="387"/>
      <c r="EG87" s="387"/>
      <c r="EH87" s="387"/>
      <c r="EI87" s="387"/>
      <c r="EJ87" s="387"/>
      <c r="EK87" s="387"/>
      <c r="EL87" s="387"/>
      <c r="EM87" s="387"/>
      <c r="EN87" s="387"/>
      <c r="EO87" s="387"/>
      <c r="EP87" s="387"/>
      <c r="EQ87" s="988"/>
      <c r="ER87" s="387"/>
      <c r="ES87" s="387"/>
      <c r="ET87" s="387"/>
      <c r="EU87" s="387"/>
      <c r="EV87" s="387"/>
      <c r="EW87" s="387"/>
      <c r="EX87" s="387"/>
      <c r="EY87" s="387"/>
      <c r="EZ87" s="387"/>
      <c r="FA87" s="387"/>
      <c r="FB87" s="387"/>
      <c r="FC87" s="988"/>
      <c r="FD87" s="387"/>
      <c r="FE87" s="387"/>
      <c r="FF87" s="387"/>
      <c r="FG87" s="387"/>
      <c r="FH87" s="387"/>
      <c r="FI87" s="387"/>
      <c r="FJ87" s="387"/>
      <c r="FK87" s="387"/>
      <c r="FL87" s="387"/>
      <c r="FM87" s="387"/>
      <c r="FN87" s="387"/>
      <c r="FO87" s="988"/>
      <c r="FP87" s="387"/>
      <c r="FQ87" s="387"/>
      <c r="FR87" s="387"/>
      <c r="FS87" s="387"/>
      <c r="FT87" s="387"/>
      <c r="FU87" s="387"/>
      <c r="FV87" s="387"/>
      <c r="FW87" s="387"/>
      <c r="FX87" s="387"/>
      <c r="FY87" s="387"/>
      <c r="FZ87" s="387"/>
      <c r="GA87" s="988"/>
      <c r="GB87" s="109"/>
      <c r="GC87" s="2217">
        <f t="shared" si="100"/>
        <v>189.42857142857139</v>
      </c>
      <c r="GD87" s="387">
        <f t="shared" si="100"/>
        <v>167.28571428571428</v>
      </c>
      <c r="GE87" s="387">
        <f t="shared" si="100"/>
        <v>143.57142857142856</v>
      </c>
      <c r="GF87" s="387">
        <f t="shared" si="100"/>
        <v>166.57142857142856</v>
      </c>
      <c r="GG87" s="387">
        <f t="shared" si="100"/>
        <v>183.85714285714289</v>
      </c>
      <c r="GH87" s="387">
        <f t="shared" si="100"/>
        <v>183.42857142857144</v>
      </c>
      <c r="GI87" s="387">
        <f t="shared" si="100"/>
        <v>141.14285714285714</v>
      </c>
      <c r="GJ87" s="387">
        <f t="shared" si="100"/>
        <v>156.8571428571428</v>
      </c>
      <c r="GK87" s="387">
        <f t="shared" si="100"/>
        <v>172.71428571428572</v>
      </c>
      <c r="GL87" s="387">
        <f t="shared" si="100"/>
        <v>153.42857142857144</v>
      </c>
      <c r="GM87" s="387">
        <f t="shared" si="100"/>
        <v>173.14285714285711</v>
      </c>
      <c r="GN87" s="988">
        <f t="shared" si="100"/>
        <v>165.28571428571433</v>
      </c>
      <c r="GO87" s="1036">
        <f t="shared" si="101"/>
        <v>0</v>
      </c>
      <c r="GP87" s="387">
        <f t="shared" si="101"/>
        <v>0</v>
      </c>
      <c r="GQ87" s="387">
        <f t="shared" si="101"/>
        <v>0</v>
      </c>
      <c r="GR87" s="387">
        <f t="shared" si="101"/>
        <v>0</v>
      </c>
      <c r="GS87" s="387">
        <f t="shared" si="101"/>
        <v>0</v>
      </c>
      <c r="GT87" s="387">
        <f t="shared" si="101"/>
        <v>0</v>
      </c>
      <c r="GU87" s="387">
        <f t="shared" si="101"/>
        <v>0</v>
      </c>
      <c r="GV87" s="387">
        <f t="shared" si="101"/>
        <v>0</v>
      </c>
      <c r="GW87" s="387">
        <f t="shared" si="101"/>
        <v>0</v>
      </c>
      <c r="GX87" s="387">
        <f t="shared" si="101"/>
        <v>0</v>
      </c>
      <c r="GY87" s="387">
        <f t="shared" si="101"/>
        <v>0</v>
      </c>
      <c r="GZ87" s="988">
        <f t="shared" si="101"/>
        <v>0</v>
      </c>
      <c r="HB87" s="387"/>
      <c r="HC87" s="387"/>
      <c r="HD87" s="387"/>
      <c r="HE87" s="387"/>
      <c r="HF87" s="387"/>
      <c r="HG87" s="387"/>
      <c r="HH87" s="387"/>
      <c r="HI87" s="387"/>
      <c r="HJ87" s="387"/>
      <c r="HK87" s="387"/>
      <c r="HL87" s="387"/>
      <c r="HM87" s="988"/>
    </row>
    <row r="88" spans="1:221">
      <c r="A88" s="326" t="s">
        <v>1594</v>
      </c>
      <c r="B88" s="326" t="s">
        <v>1579</v>
      </c>
      <c r="C88" s="326" t="s">
        <v>2151</v>
      </c>
      <c r="D88" s="1036" t="s">
        <v>2154</v>
      </c>
      <c r="E88" s="387" t="s">
        <v>2154</v>
      </c>
      <c r="F88" s="387" t="s">
        <v>2154</v>
      </c>
      <c r="G88" s="387" t="s">
        <v>2154</v>
      </c>
      <c r="H88" s="387" t="s">
        <v>2154</v>
      </c>
      <c r="I88" s="387" t="s">
        <v>2154</v>
      </c>
      <c r="J88" s="387" t="s">
        <v>2154</v>
      </c>
      <c r="K88" s="387" t="s">
        <v>2154</v>
      </c>
      <c r="L88" s="387" t="s">
        <v>2154</v>
      </c>
      <c r="M88" s="387" t="s">
        <v>2154</v>
      </c>
      <c r="N88" s="387" t="s">
        <v>2154</v>
      </c>
      <c r="O88" s="988" t="s">
        <v>2154</v>
      </c>
      <c r="P88" s="387">
        <v>30.857142857142861</v>
      </c>
      <c r="Q88" s="387">
        <v>26.57142857142858</v>
      </c>
      <c r="R88" s="387">
        <v>30.571428571428569</v>
      </c>
      <c r="S88" s="387">
        <v>39.857142857142861</v>
      </c>
      <c r="T88" s="387">
        <v>38.571428571428569</v>
      </c>
      <c r="U88" s="387">
        <v>39.857142857142861</v>
      </c>
      <c r="V88" s="387">
        <v>80.428571428571431</v>
      </c>
      <c r="W88" s="387">
        <v>72.571428571428584</v>
      </c>
      <c r="X88" s="387">
        <v>80.428571428571445</v>
      </c>
      <c r="Y88" s="387">
        <v>77.142857142857139</v>
      </c>
      <c r="Z88" s="387">
        <v>72.428571428571431</v>
      </c>
      <c r="AA88" s="988">
        <v>77.142857142857139</v>
      </c>
      <c r="AB88" s="387"/>
      <c r="AC88" s="387"/>
      <c r="AD88" s="387"/>
      <c r="AE88" s="387"/>
      <c r="AF88" s="387"/>
      <c r="AG88" s="387"/>
      <c r="AH88" s="387"/>
      <c r="AI88" s="387"/>
      <c r="AJ88" s="387"/>
      <c r="AK88" s="387"/>
      <c r="AL88" s="387"/>
      <c r="AM88" s="988"/>
      <c r="AN88" s="387"/>
      <c r="AO88" s="387"/>
      <c r="AP88" s="387"/>
      <c r="AQ88" s="387"/>
      <c r="AR88" s="387"/>
      <c r="AS88" s="387"/>
      <c r="AT88" s="387"/>
      <c r="AU88" s="387"/>
      <c r="AV88" s="387"/>
      <c r="AW88" s="387"/>
      <c r="AX88" s="387"/>
      <c r="AY88" s="988"/>
      <c r="AZ88" s="387"/>
      <c r="BA88" s="387"/>
      <c r="BB88" s="387"/>
      <c r="BC88" s="387"/>
      <c r="BD88" s="387"/>
      <c r="BE88" s="387"/>
      <c r="BF88" s="387"/>
      <c r="BG88" s="387"/>
      <c r="BH88" s="387"/>
      <c r="BI88" s="387"/>
      <c r="BJ88" s="387"/>
      <c r="BK88" s="988"/>
      <c r="BL88" s="387"/>
      <c r="BM88" s="387"/>
      <c r="BN88" s="387"/>
      <c r="BO88" s="387"/>
      <c r="BP88" s="387"/>
      <c r="BQ88" s="387"/>
      <c r="BR88" s="387"/>
      <c r="BS88" s="387"/>
      <c r="BT88" s="387"/>
      <c r="BU88" s="387"/>
      <c r="BV88" s="387"/>
      <c r="BW88" s="988"/>
      <c r="BX88" s="387"/>
      <c r="BY88" s="387"/>
      <c r="BZ88" s="387"/>
      <c r="CA88" s="387"/>
      <c r="CB88" s="387"/>
      <c r="CC88" s="387"/>
      <c r="CD88" s="387"/>
      <c r="CE88" s="387"/>
      <c r="CF88" s="387"/>
      <c r="CG88" s="387"/>
      <c r="CH88" s="387"/>
      <c r="CI88" s="988"/>
      <c r="CJ88" s="387"/>
      <c r="CK88" s="387"/>
      <c r="CL88" s="387"/>
      <c r="CM88" s="387"/>
      <c r="CN88" s="387"/>
      <c r="CO88" s="387"/>
      <c r="CP88" s="387"/>
      <c r="CQ88" s="387"/>
      <c r="CR88" s="387"/>
      <c r="CS88" s="387"/>
      <c r="CT88" s="387"/>
      <c r="CU88" s="988"/>
      <c r="CV88" s="387"/>
      <c r="CW88" s="387"/>
      <c r="CX88" s="387"/>
      <c r="CY88" s="387"/>
      <c r="CZ88" s="387"/>
      <c r="DA88" s="387"/>
      <c r="DB88" s="387"/>
      <c r="DC88" s="387"/>
      <c r="DD88" s="387"/>
      <c r="DE88" s="387"/>
      <c r="DF88" s="387"/>
      <c r="DG88" s="988"/>
      <c r="DH88" s="387"/>
      <c r="DI88" s="387"/>
      <c r="DJ88" s="387"/>
      <c r="DK88" s="387"/>
      <c r="DL88" s="387"/>
      <c r="DM88" s="387"/>
      <c r="DN88" s="387"/>
      <c r="DO88" s="387"/>
      <c r="DP88" s="387"/>
      <c r="DQ88" s="387"/>
      <c r="DR88" s="387"/>
      <c r="DS88" s="988"/>
      <c r="DT88" s="387" t="s">
        <v>2154</v>
      </c>
      <c r="DU88" s="387" t="s">
        <v>2154</v>
      </c>
      <c r="DV88" s="387" t="s">
        <v>2154</v>
      </c>
      <c r="DW88" s="387" t="s">
        <v>2154</v>
      </c>
      <c r="DX88" s="387" t="s">
        <v>2154</v>
      </c>
      <c r="DY88" s="387" t="s">
        <v>2154</v>
      </c>
      <c r="DZ88" s="387" t="s">
        <v>2154</v>
      </c>
      <c r="EA88" s="387" t="s">
        <v>2154</v>
      </c>
      <c r="EB88" s="387" t="s">
        <v>2154</v>
      </c>
      <c r="EC88" s="387" t="s">
        <v>2154</v>
      </c>
      <c r="ED88" s="387" t="s">
        <v>2154</v>
      </c>
      <c r="EE88" s="988" t="s">
        <v>2154</v>
      </c>
      <c r="EF88" s="387"/>
      <c r="EG88" s="387"/>
      <c r="EH88" s="387"/>
      <c r="EI88" s="387"/>
      <c r="EJ88" s="387"/>
      <c r="EK88" s="387"/>
      <c r="EL88" s="387"/>
      <c r="EM88" s="387"/>
      <c r="EN88" s="387"/>
      <c r="EO88" s="387"/>
      <c r="EP88" s="387"/>
      <c r="EQ88" s="988"/>
      <c r="ER88" s="387"/>
      <c r="ES88" s="387"/>
      <c r="ET88" s="387"/>
      <c r="EU88" s="387"/>
      <c r="EV88" s="387"/>
      <c r="EW88" s="387"/>
      <c r="EX88" s="387"/>
      <c r="EY88" s="387"/>
      <c r="EZ88" s="387"/>
      <c r="FA88" s="387"/>
      <c r="FB88" s="387"/>
      <c r="FC88" s="988"/>
      <c r="FD88" s="387"/>
      <c r="FE88" s="387"/>
      <c r="FF88" s="387"/>
      <c r="FG88" s="387"/>
      <c r="FH88" s="387"/>
      <c r="FI88" s="387"/>
      <c r="FJ88" s="387"/>
      <c r="FK88" s="387"/>
      <c r="FL88" s="387"/>
      <c r="FM88" s="387"/>
      <c r="FN88" s="387"/>
      <c r="FO88" s="988"/>
      <c r="FP88" s="387"/>
      <c r="FQ88" s="387"/>
      <c r="FR88" s="387"/>
      <c r="FS88" s="387"/>
      <c r="FT88" s="387"/>
      <c r="FU88" s="387"/>
      <c r="FV88" s="387"/>
      <c r="FW88" s="387"/>
      <c r="FX88" s="387"/>
      <c r="FY88" s="387"/>
      <c r="FZ88" s="387"/>
      <c r="GA88" s="988"/>
      <c r="GB88" s="109"/>
      <c r="GC88" s="2217">
        <f t="shared" si="100"/>
        <v>30.857142857142861</v>
      </c>
      <c r="GD88" s="387">
        <f t="shared" si="100"/>
        <v>26.57142857142858</v>
      </c>
      <c r="GE88" s="387">
        <f t="shared" si="100"/>
        <v>30.571428571428569</v>
      </c>
      <c r="GF88" s="387">
        <f t="shared" si="100"/>
        <v>39.857142857142861</v>
      </c>
      <c r="GG88" s="387">
        <f t="shared" si="100"/>
        <v>38.571428571428569</v>
      </c>
      <c r="GH88" s="387">
        <f t="shared" si="100"/>
        <v>39.857142857142861</v>
      </c>
      <c r="GI88" s="387">
        <f t="shared" si="100"/>
        <v>80.428571428571431</v>
      </c>
      <c r="GJ88" s="387">
        <f t="shared" si="100"/>
        <v>72.571428571428584</v>
      </c>
      <c r="GK88" s="387">
        <f t="shared" si="100"/>
        <v>80.428571428571445</v>
      </c>
      <c r="GL88" s="387">
        <f t="shared" si="100"/>
        <v>77.142857142857139</v>
      </c>
      <c r="GM88" s="387">
        <f t="shared" si="100"/>
        <v>72.428571428571431</v>
      </c>
      <c r="GN88" s="988">
        <f t="shared" si="100"/>
        <v>77.142857142857139</v>
      </c>
      <c r="GO88" s="1036">
        <f t="shared" si="101"/>
        <v>0</v>
      </c>
      <c r="GP88" s="387">
        <f t="shared" si="101"/>
        <v>0</v>
      </c>
      <c r="GQ88" s="387">
        <f t="shared" si="101"/>
        <v>0</v>
      </c>
      <c r="GR88" s="387">
        <f t="shared" si="101"/>
        <v>0</v>
      </c>
      <c r="GS88" s="387">
        <f t="shared" si="101"/>
        <v>0</v>
      </c>
      <c r="GT88" s="387">
        <f t="shared" si="101"/>
        <v>0</v>
      </c>
      <c r="GU88" s="387">
        <f t="shared" si="101"/>
        <v>0</v>
      </c>
      <c r="GV88" s="387">
        <f t="shared" si="101"/>
        <v>0</v>
      </c>
      <c r="GW88" s="387">
        <f t="shared" si="101"/>
        <v>0</v>
      </c>
      <c r="GX88" s="387">
        <f t="shared" si="101"/>
        <v>0</v>
      </c>
      <c r="GY88" s="387">
        <f t="shared" si="101"/>
        <v>0</v>
      </c>
      <c r="GZ88" s="988">
        <f t="shared" si="101"/>
        <v>0</v>
      </c>
      <c r="HB88" s="387"/>
      <c r="HC88" s="387"/>
      <c r="HD88" s="387"/>
      <c r="HE88" s="387"/>
      <c r="HF88" s="387"/>
      <c r="HG88" s="387"/>
      <c r="HH88" s="387"/>
      <c r="HI88" s="387"/>
      <c r="HJ88" s="387"/>
      <c r="HK88" s="387"/>
      <c r="HL88" s="387"/>
      <c r="HM88" s="988"/>
    </row>
    <row r="89" spans="1:221">
      <c r="A89" s="326" t="s">
        <v>1594</v>
      </c>
      <c r="B89" s="326" t="s">
        <v>1657</v>
      </c>
      <c r="C89" s="326" t="s">
        <v>2151</v>
      </c>
      <c r="D89" s="1036" t="s">
        <v>2154</v>
      </c>
      <c r="E89" s="387" t="s">
        <v>2154</v>
      </c>
      <c r="F89" s="387" t="s">
        <v>2154</v>
      </c>
      <c r="G89" s="387" t="s">
        <v>2154</v>
      </c>
      <c r="H89" s="387" t="s">
        <v>2154</v>
      </c>
      <c r="I89" s="387" t="s">
        <v>2154</v>
      </c>
      <c r="J89" s="387" t="s">
        <v>2154</v>
      </c>
      <c r="K89" s="387" t="s">
        <v>2154</v>
      </c>
      <c r="L89" s="387" t="s">
        <v>2154</v>
      </c>
      <c r="M89" s="387" t="s">
        <v>2154</v>
      </c>
      <c r="N89" s="387" t="s">
        <v>2154</v>
      </c>
      <c r="O89" s="988" t="s">
        <v>2154</v>
      </c>
      <c r="P89" s="387">
        <v>162.85714285714283</v>
      </c>
      <c r="Q89" s="387">
        <v>141.57142857142856</v>
      </c>
      <c r="R89" s="387">
        <v>123</v>
      </c>
      <c r="S89" s="387">
        <v>143.85714285714283</v>
      </c>
      <c r="T89" s="387">
        <v>159.14285714285717</v>
      </c>
      <c r="U89" s="387">
        <v>147.42857142857144</v>
      </c>
      <c r="V89" s="387">
        <v>135.85714285714283</v>
      </c>
      <c r="W89" s="387">
        <v>140.99999999999994</v>
      </c>
      <c r="X89" s="387">
        <v>153.85714285714283</v>
      </c>
      <c r="Y89" s="387">
        <v>127.71428571428571</v>
      </c>
      <c r="Z89" s="387">
        <v>146.57142857142856</v>
      </c>
      <c r="AA89" s="988">
        <v>184.14285714285717</v>
      </c>
      <c r="AB89" s="387"/>
      <c r="AC89" s="387"/>
      <c r="AD89" s="387"/>
      <c r="AE89" s="387"/>
      <c r="AF89" s="387"/>
      <c r="AG89" s="387"/>
      <c r="AH89" s="387"/>
      <c r="AI89" s="387"/>
      <c r="AJ89" s="387"/>
      <c r="AK89" s="387"/>
      <c r="AL89" s="387"/>
      <c r="AM89" s="988"/>
      <c r="AN89" s="387"/>
      <c r="AO89" s="387"/>
      <c r="AP89" s="387"/>
      <c r="AQ89" s="387"/>
      <c r="AR89" s="387"/>
      <c r="AS89" s="387"/>
      <c r="AT89" s="387"/>
      <c r="AU89" s="387"/>
      <c r="AV89" s="387"/>
      <c r="AW89" s="387"/>
      <c r="AX89" s="387"/>
      <c r="AY89" s="988"/>
      <c r="AZ89" s="387"/>
      <c r="BA89" s="387"/>
      <c r="BB89" s="387"/>
      <c r="BC89" s="387"/>
      <c r="BD89" s="387"/>
      <c r="BE89" s="387"/>
      <c r="BF89" s="387"/>
      <c r="BG89" s="387"/>
      <c r="BH89" s="387"/>
      <c r="BI89" s="387"/>
      <c r="BJ89" s="387"/>
      <c r="BK89" s="988"/>
      <c r="BL89" s="387"/>
      <c r="BM89" s="387"/>
      <c r="BN89" s="387"/>
      <c r="BO89" s="387"/>
      <c r="BP89" s="387"/>
      <c r="BQ89" s="387"/>
      <c r="BR89" s="387"/>
      <c r="BS89" s="387"/>
      <c r="BT89" s="387"/>
      <c r="BU89" s="387"/>
      <c r="BV89" s="387"/>
      <c r="BW89" s="988"/>
      <c r="BX89" s="387"/>
      <c r="BY89" s="387"/>
      <c r="BZ89" s="387"/>
      <c r="CA89" s="387"/>
      <c r="CB89" s="387"/>
      <c r="CC89" s="387"/>
      <c r="CD89" s="387"/>
      <c r="CE89" s="387"/>
      <c r="CF89" s="387"/>
      <c r="CG89" s="387"/>
      <c r="CH89" s="387"/>
      <c r="CI89" s="988"/>
      <c r="CJ89" s="387"/>
      <c r="CK89" s="387"/>
      <c r="CL89" s="387"/>
      <c r="CM89" s="387"/>
      <c r="CN89" s="387"/>
      <c r="CO89" s="387"/>
      <c r="CP89" s="387"/>
      <c r="CQ89" s="387"/>
      <c r="CR89" s="387"/>
      <c r="CS89" s="387"/>
      <c r="CT89" s="387"/>
      <c r="CU89" s="988"/>
      <c r="CV89" s="387"/>
      <c r="CW89" s="387"/>
      <c r="CX89" s="387"/>
      <c r="CY89" s="387"/>
      <c r="CZ89" s="387"/>
      <c r="DA89" s="387"/>
      <c r="DB89" s="387"/>
      <c r="DC89" s="387"/>
      <c r="DD89" s="387"/>
      <c r="DE89" s="387"/>
      <c r="DF89" s="387"/>
      <c r="DG89" s="988"/>
      <c r="DH89" s="387"/>
      <c r="DI89" s="387"/>
      <c r="DJ89" s="387"/>
      <c r="DK89" s="387"/>
      <c r="DL89" s="387"/>
      <c r="DM89" s="387"/>
      <c r="DN89" s="387"/>
      <c r="DO89" s="387"/>
      <c r="DP89" s="387"/>
      <c r="DQ89" s="387"/>
      <c r="DR89" s="387"/>
      <c r="DS89" s="988"/>
      <c r="DT89" s="387" t="s">
        <v>2154</v>
      </c>
      <c r="DU89" s="387" t="s">
        <v>2154</v>
      </c>
      <c r="DV89" s="387" t="s">
        <v>2154</v>
      </c>
      <c r="DW89" s="387" t="s">
        <v>2154</v>
      </c>
      <c r="DX89" s="387" t="s">
        <v>2154</v>
      </c>
      <c r="DY89" s="387" t="s">
        <v>2154</v>
      </c>
      <c r="DZ89" s="387" t="s">
        <v>2154</v>
      </c>
      <c r="EA89" s="387" t="s">
        <v>2154</v>
      </c>
      <c r="EB89" s="387" t="s">
        <v>2154</v>
      </c>
      <c r="EC89" s="387" t="s">
        <v>2154</v>
      </c>
      <c r="ED89" s="387" t="s">
        <v>2154</v>
      </c>
      <c r="EE89" s="988" t="s">
        <v>2154</v>
      </c>
      <c r="EF89" s="387"/>
      <c r="EG89" s="387"/>
      <c r="EH89" s="387"/>
      <c r="EI89" s="387"/>
      <c r="EJ89" s="387"/>
      <c r="EK89" s="387"/>
      <c r="EL89" s="387"/>
      <c r="EM89" s="387"/>
      <c r="EN89" s="387"/>
      <c r="EO89" s="387"/>
      <c r="EP89" s="387"/>
      <c r="EQ89" s="988"/>
      <c r="ER89" s="387"/>
      <c r="ES89" s="387"/>
      <c r="ET89" s="387"/>
      <c r="EU89" s="387"/>
      <c r="EV89" s="387"/>
      <c r="EW89" s="387"/>
      <c r="EX89" s="387"/>
      <c r="EY89" s="387"/>
      <c r="EZ89" s="387"/>
      <c r="FA89" s="387"/>
      <c r="FB89" s="387"/>
      <c r="FC89" s="988"/>
      <c r="FD89" s="387"/>
      <c r="FE89" s="387"/>
      <c r="FF89" s="387"/>
      <c r="FG89" s="387"/>
      <c r="FH89" s="387"/>
      <c r="FI89" s="387"/>
      <c r="FJ89" s="387"/>
      <c r="FK89" s="387"/>
      <c r="FL89" s="387"/>
      <c r="FM89" s="387"/>
      <c r="FN89" s="387"/>
      <c r="FO89" s="988"/>
      <c r="FP89" s="387"/>
      <c r="FQ89" s="387"/>
      <c r="FR89" s="387"/>
      <c r="FS89" s="387"/>
      <c r="FT89" s="387"/>
      <c r="FU89" s="387"/>
      <c r="FV89" s="387"/>
      <c r="FW89" s="387"/>
      <c r="FX89" s="387"/>
      <c r="FY89" s="387"/>
      <c r="FZ89" s="387"/>
      <c r="GA89" s="988"/>
      <c r="GB89" s="109"/>
      <c r="GC89" s="2217">
        <f t="shared" si="100"/>
        <v>162.85714285714283</v>
      </c>
      <c r="GD89" s="387">
        <f t="shared" si="100"/>
        <v>141.57142857142856</v>
      </c>
      <c r="GE89" s="387">
        <f t="shared" si="100"/>
        <v>123</v>
      </c>
      <c r="GF89" s="387">
        <f t="shared" si="100"/>
        <v>143.85714285714283</v>
      </c>
      <c r="GG89" s="387">
        <f t="shared" si="100"/>
        <v>159.14285714285717</v>
      </c>
      <c r="GH89" s="387">
        <f t="shared" si="100"/>
        <v>147.42857142857144</v>
      </c>
      <c r="GI89" s="387">
        <f t="shared" si="100"/>
        <v>135.85714285714283</v>
      </c>
      <c r="GJ89" s="387">
        <f t="shared" si="100"/>
        <v>140.99999999999994</v>
      </c>
      <c r="GK89" s="387">
        <f t="shared" si="100"/>
        <v>153.85714285714283</v>
      </c>
      <c r="GL89" s="387">
        <f t="shared" si="100"/>
        <v>127.71428571428571</v>
      </c>
      <c r="GM89" s="387">
        <f t="shared" si="100"/>
        <v>146.57142857142856</v>
      </c>
      <c r="GN89" s="988">
        <f t="shared" si="100"/>
        <v>184.14285714285717</v>
      </c>
      <c r="GO89" s="1036">
        <f t="shared" si="101"/>
        <v>0</v>
      </c>
      <c r="GP89" s="387">
        <f t="shared" si="101"/>
        <v>0</v>
      </c>
      <c r="GQ89" s="387">
        <f t="shared" si="101"/>
        <v>0</v>
      </c>
      <c r="GR89" s="387">
        <f t="shared" si="101"/>
        <v>0</v>
      </c>
      <c r="GS89" s="387">
        <f t="shared" si="101"/>
        <v>0</v>
      </c>
      <c r="GT89" s="387">
        <f t="shared" si="101"/>
        <v>0</v>
      </c>
      <c r="GU89" s="387">
        <f t="shared" si="101"/>
        <v>0</v>
      </c>
      <c r="GV89" s="387">
        <f t="shared" si="101"/>
        <v>0</v>
      </c>
      <c r="GW89" s="387">
        <f t="shared" si="101"/>
        <v>0</v>
      </c>
      <c r="GX89" s="387">
        <f t="shared" si="101"/>
        <v>0</v>
      </c>
      <c r="GY89" s="387">
        <f t="shared" si="101"/>
        <v>0</v>
      </c>
      <c r="GZ89" s="988">
        <f t="shared" si="101"/>
        <v>0</v>
      </c>
      <c r="HB89" s="387"/>
      <c r="HC89" s="387"/>
      <c r="HD89" s="387"/>
      <c r="HE89" s="387"/>
      <c r="HF89" s="387"/>
      <c r="HG89" s="387"/>
      <c r="HH89" s="387"/>
      <c r="HI89" s="387"/>
      <c r="HJ89" s="387"/>
      <c r="HK89" s="387"/>
      <c r="HL89" s="387"/>
      <c r="HM89" s="988"/>
    </row>
    <row r="90" spans="1:221">
      <c r="A90" s="326" t="s">
        <v>1594</v>
      </c>
      <c r="B90" s="326" t="s">
        <v>1657</v>
      </c>
      <c r="C90" s="326" t="s">
        <v>1580</v>
      </c>
      <c r="D90" s="1036" t="s">
        <v>2154</v>
      </c>
      <c r="E90" s="387" t="s">
        <v>2154</v>
      </c>
      <c r="F90" s="387" t="s">
        <v>2154</v>
      </c>
      <c r="G90" s="387" t="s">
        <v>2154</v>
      </c>
      <c r="H90" s="387" t="s">
        <v>2154</v>
      </c>
      <c r="I90" s="387" t="s">
        <v>2154</v>
      </c>
      <c r="J90" s="387" t="s">
        <v>2154</v>
      </c>
      <c r="K90" s="387" t="s">
        <v>2154</v>
      </c>
      <c r="L90" s="387" t="s">
        <v>2154</v>
      </c>
      <c r="M90" s="387" t="s">
        <v>2154</v>
      </c>
      <c r="N90" s="387" t="s">
        <v>2154</v>
      </c>
      <c r="O90" s="988" t="s">
        <v>2154</v>
      </c>
      <c r="P90" s="387">
        <v>27679.239999999991</v>
      </c>
      <c r="Q90" s="387">
        <v>27909.590000000004</v>
      </c>
      <c r="R90" s="387">
        <v>26092.280000000002</v>
      </c>
      <c r="S90" s="387">
        <v>30999.979999999996</v>
      </c>
      <c r="T90" s="387">
        <v>36397.07</v>
      </c>
      <c r="U90" s="387">
        <v>25174.75</v>
      </c>
      <c r="V90" s="387">
        <v>31438.210000000003</v>
      </c>
      <c r="W90" s="387">
        <v>21829.85</v>
      </c>
      <c r="X90" s="387">
        <v>30928.86</v>
      </c>
      <c r="Y90" s="387">
        <v>24500.730000000003</v>
      </c>
      <c r="Z90" s="387">
        <v>30344.620000000003</v>
      </c>
      <c r="AA90" s="988">
        <v>42328.750000000007</v>
      </c>
      <c r="AB90" s="387"/>
      <c r="AC90" s="387"/>
      <c r="AD90" s="387"/>
      <c r="AE90" s="387"/>
      <c r="AF90" s="387"/>
      <c r="AG90" s="387"/>
      <c r="AH90" s="387"/>
      <c r="AI90" s="387"/>
      <c r="AJ90" s="387"/>
      <c r="AK90" s="387"/>
      <c r="AL90" s="387"/>
      <c r="AM90" s="988"/>
      <c r="AN90" s="387"/>
      <c r="AO90" s="387"/>
      <c r="AP90" s="387"/>
      <c r="AQ90" s="387"/>
      <c r="AR90" s="387"/>
      <c r="AS90" s="387"/>
      <c r="AT90" s="387"/>
      <c r="AU90" s="387"/>
      <c r="AV90" s="387"/>
      <c r="AW90" s="387"/>
      <c r="AX90" s="387"/>
      <c r="AY90" s="988"/>
      <c r="AZ90" s="387"/>
      <c r="BA90" s="387"/>
      <c r="BB90" s="387"/>
      <c r="BC90" s="387"/>
      <c r="BD90" s="387"/>
      <c r="BE90" s="387"/>
      <c r="BF90" s="387"/>
      <c r="BG90" s="387"/>
      <c r="BH90" s="387"/>
      <c r="BI90" s="387"/>
      <c r="BJ90" s="387"/>
      <c r="BK90" s="988"/>
      <c r="BL90" s="387"/>
      <c r="BM90" s="387"/>
      <c r="BN90" s="387"/>
      <c r="BO90" s="387"/>
      <c r="BP90" s="387"/>
      <c r="BQ90" s="387"/>
      <c r="BR90" s="387"/>
      <c r="BS90" s="387"/>
      <c r="BT90" s="387"/>
      <c r="BU90" s="387"/>
      <c r="BV90" s="387"/>
      <c r="BW90" s="988"/>
      <c r="BX90" s="387"/>
      <c r="BY90" s="387"/>
      <c r="BZ90" s="387"/>
      <c r="CA90" s="387"/>
      <c r="CB90" s="387"/>
      <c r="CC90" s="387"/>
      <c r="CD90" s="387"/>
      <c r="CE90" s="387"/>
      <c r="CF90" s="387"/>
      <c r="CG90" s="387"/>
      <c r="CH90" s="387"/>
      <c r="CI90" s="988"/>
      <c r="CJ90" s="387"/>
      <c r="CK90" s="387"/>
      <c r="CL90" s="387"/>
      <c r="CM90" s="387"/>
      <c r="CN90" s="387"/>
      <c r="CO90" s="387"/>
      <c r="CP90" s="387"/>
      <c r="CQ90" s="387"/>
      <c r="CR90" s="387"/>
      <c r="CS90" s="387"/>
      <c r="CT90" s="387"/>
      <c r="CU90" s="988"/>
      <c r="CV90" s="387"/>
      <c r="CW90" s="387"/>
      <c r="CX90" s="387"/>
      <c r="CY90" s="387"/>
      <c r="CZ90" s="387"/>
      <c r="DA90" s="387"/>
      <c r="DB90" s="387"/>
      <c r="DC90" s="387"/>
      <c r="DD90" s="387"/>
      <c r="DE90" s="387"/>
      <c r="DF90" s="387"/>
      <c r="DG90" s="988"/>
      <c r="DH90" s="387"/>
      <c r="DI90" s="387"/>
      <c r="DJ90" s="387"/>
      <c r="DK90" s="387"/>
      <c r="DL90" s="387"/>
      <c r="DM90" s="387"/>
      <c r="DN90" s="387"/>
      <c r="DO90" s="387"/>
      <c r="DP90" s="387"/>
      <c r="DQ90" s="387"/>
      <c r="DR90" s="387"/>
      <c r="DS90" s="988"/>
      <c r="DT90" s="387" t="s">
        <v>2154</v>
      </c>
      <c r="DU90" s="387" t="s">
        <v>2154</v>
      </c>
      <c r="DV90" s="387" t="s">
        <v>2154</v>
      </c>
      <c r="DW90" s="387" t="s">
        <v>2154</v>
      </c>
      <c r="DX90" s="387" t="s">
        <v>2154</v>
      </c>
      <c r="DY90" s="387" t="s">
        <v>2154</v>
      </c>
      <c r="DZ90" s="387" t="s">
        <v>2154</v>
      </c>
      <c r="EA90" s="387" t="s">
        <v>2154</v>
      </c>
      <c r="EB90" s="387" t="s">
        <v>2154</v>
      </c>
      <c r="EC90" s="387" t="s">
        <v>2154</v>
      </c>
      <c r="ED90" s="387" t="s">
        <v>2154</v>
      </c>
      <c r="EE90" s="988" t="s">
        <v>2154</v>
      </c>
      <c r="EF90" s="387"/>
      <c r="EG90" s="387"/>
      <c r="EH90" s="387"/>
      <c r="EI90" s="387"/>
      <c r="EJ90" s="387"/>
      <c r="EK90" s="387"/>
      <c r="EL90" s="387"/>
      <c r="EM90" s="387"/>
      <c r="EN90" s="387"/>
      <c r="EO90" s="387"/>
      <c r="EP90" s="387"/>
      <c r="EQ90" s="988"/>
      <c r="ER90" s="387"/>
      <c r="ES90" s="387"/>
      <c r="ET90" s="387"/>
      <c r="EU90" s="387"/>
      <c r="EV90" s="387"/>
      <c r="EW90" s="387"/>
      <c r="EX90" s="387"/>
      <c r="EY90" s="387"/>
      <c r="EZ90" s="387"/>
      <c r="FA90" s="387"/>
      <c r="FB90" s="387"/>
      <c r="FC90" s="988"/>
      <c r="FD90" s="387"/>
      <c r="FE90" s="387"/>
      <c r="FF90" s="387"/>
      <c r="FG90" s="387"/>
      <c r="FH90" s="387"/>
      <c r="FI90" s="387"/>
      <c r="FJ90" s="387"/>
      <c r="FK90" s="387"/>
      <c r="FL90" s="387"/>
      <c r="FM90" s="387"/>
      <c r="FN90" s="387"/>
      <c r="FO90" s="988"/>
      <c r="FP90" s="387"/>
      <c r="FQ90" s="387"/>
      <c r="FR90" s="387"/>
      <c r="FS90" s="387"/>
      <c r="FT90" s="387"/>
      <c r="FU90" s="387"/>
      <c r="FV90" s="387"/>
      <c r="FW90" s="387"/>
      <c r="FX90" s="387"/>
      <c r="FY90" s="387"/>
      <c r="FZ90" s="387"/>
      <c r="GA90" s="988"/>
      <c r="GB90" s="109"/>
      <c r="GC90" s="2217">
        <f t="shared" si="100"/>
        <v>27679.239999999991</v>
      </c>
      <c r="GD90" s="387">
        <f t="shared" si="100"/>
        <v>27909.590000000004</v>
      </c>
      <c r="GE90" s="387">
        <f t="shared" si="100"/>
        <v>26092.280000000002</v>
      </c>
      <c r="GF90" s="387">
        <f t="shared" si="100"/>
        <v>30999.979999999996</v>
      </c>
      <c r="GG90" s="387">
        <f t="shared" si="100"/>
        <v>36397.07</v>
      </c>
      <c r="GH90" s="387">
        <f t="shared" si="100"/>
        <v>25174.75</v>
      </c>
      <c r="GI90" s="387">
        <f t="shared" si="100"/>
        <v>31438.210000000003</v>
      </c>
      <c r="GJ90" s="387">
        <f t="shared" si="100"/>
        <v>21829.85</v>
      </c>
      <c r="GK90" s="387">
        <f t="shared" si="100"/>
        <v>30928.86</v>
      </c>
      <c r="GL90" s="387">
        <f t="shared" si="100"/>
        <v>24500.730000000003</v>
      </c>
      <c r="GM90" s="387">
        <f t="shared" si="100"/>
        <v>30344.620000000003</v>
      </c>
      <c r="GN90" s="988">
        <f t="shared" si="100"/>
        <v>42328.750000000007</v>
      </c>
      <c r="GO90" s="1036">
        <f t="shared" si="101"/>
        <v>0</v>
      </c>
      <c r="GP90" s="387">
        <f t="shared" si="101"/>
        <v>0</v>
      </c>
      <c r="GQ90" s="387">
        <f t="shared" si="101"/>
        <v>0</v>
      </c>
      <c r="GR90" s="387">
        <f t="shared" si="101"/>
        <v>0</v>
      </c>
      <c r="GS90" s="387">
        <f t="shared" si="101"/>
        <v>0</v>
      </c>
      <c r="GT90" s="387">
        <f t="shared" si="101"/>
        <v>0</v>
      </c>
      <c r="GU90" s="387">
        <f t="shared" si="101"/>
        <v>0</v>
      </c>
      <c r="GV90" s="387">
        <f t="shared" si="101"/>
        <v>0</v>
      </c>
      <c r="GW90" s="387">
        <f t="shared" si="101"/>
        <v>0</v>
      </c>
      <c r="GX90" s="387">
        <f t="shared" si="101"/>
        <v>0</v>
      </c>
      <c r="GY90" s="387">
        <f t="shared" si="101"/>
        <v>0</v>
      </c>
      <c r="GZ90" s="988">
        <f t="shared" si="101"/>
        <v>0</v>
      </c>
      <c r="HB90" s="387"/>
      <c r="HC90" s="387"/>
      <c r="HD90" s="387"/>
      <c r="HE90" s="387"/>
      <c r="HF90" s="387"/>
      <c r="HG90" s="387"/>
      <c r="HH90" s="387"/>
      <c r="HI90" s="387"/>
      <c r="HJ90" s="387"/>
      <c r="HK90" s="387"/>
      <c r="HL90" s="387"/>
      <c r="HM90" s="988"/>
    </row>
    <row r="91" spans="1:221">
      <c r="A91" s="326" t="s">
        <v>1594</v>
      </c>
      <c r="B91" s="326" t="s">
        <v>1578</v>
      </c>
      <c r="C91" s="326" t="s">
        <v>1580</v>
      </c>
      <c r="D91" s="1036" t="s">
        <v>2154</v>
      </c>
      <c r="E91" s="387" t="s">
        <v>2154</v>
      </c>
      <c r="F91" s="387" t="s">
        <v>2154</v>
      </c>
      <c r="G91" s="387" t="s">
        <v>2154</v>
      </c>
      <c r="H91" s="387" t="s">
        <v>2154</v>
      </c>
      <c r="I91" s="387" t="s">
        <v>2154</v>
      </c>
      <c r="J91" s="387" t="s">
        <v>2154</v>
      </c>
      <c r="K91" s="387" t="s">
        <v>2154</v>
      </c>
      <c r="L91" s="387" t="s">
        <v>2154</v>
      </c>
      <c r="M91" s="387" t="s">
        <v>2154</v>
      </c>
      <c r="N91" s="387" t="s">
        <v>2154</v>
      </c>
      <c r="O91" s="988" t="s">
        <v>2154</v>
      </c>
      <c r="P91" s="387">
        <v>39455.829999999994</v>
      </c>
      <c r="Q91" s="387">
        <v>38455.57</v>
      </c>
      <c r="R91" s="387">
        <v>33103.21</v>
      </c>
      <c r="S91" s="387">
        <v>37916.249999999993</v>
      </c>
      <c r="T91" s="387">
        <v>42976.36</v>
      </c>
      <c r="U91" s="387">
        <v>39694.589999999997</v>
      </c>
      <c r="V91" s="387">
        <v>33952.18</v>
      </c>
      <c r="W91" s="387">
        <v>32948.61</v>
      </c>
      <c r="X91" s="387">
        <v>42837.79</v>
      </c>
      <c r="Y91" s="387">
        <v>33370.32</v>
      </c>
      <c r="Z91" s="387">
        <v>40745.24</v>
      </c>
      <c r="AA91" s="988">
        <v>46025.120000000003</v>
      </c>
      <c r="AB91" s="387"/>
      <c r="AC91" s="387"/>
      <c r="AD91" s="387"/>
      <c r="AE91" s="387"/>
      <c r="AF91" s="387"/>
      <c r="AG91" s="387"/>
      <c r="AH91" s="387"/>
      <c r="AI91" s="387"/>
      <c r="AJ91" s="387"/>
      <c r="AK91" s="387"/>
      <c r="AL91" s="387"/>
      <c r="AM91" s="988"/>
      <c r="AN91" s="387"/>
      <c r="AO91" s="387"/>
      <c r="AP91" s="387"/>
      <c r="AQ91" s="387"/>
      <c r="AR91" s="387"/>
      <c r="AS91" s="387"/>
      <c r="AT91" s="387"/>
      <c r="AU91" s="387"/>
      <c r="AV91" s="387"/>
      <c r="AW91" s="387"/>
      <c r="AX91" s="387"/>
      <c r="AY91" s="988"/>
      <c r="AZ91" s="387"/>
      <c r="BA91" s="387"/>
      <c r="BB91" s="387"/>
      <c r="BC91" s="387"/>
      <c r="BD91" s="387"/>
      <c r="BE91" s="387"/>
      <c r="BF91" s="387"/>
      <c r="BG91" s="387"/>
      <c r="BH91" s="387"/>
      <c r="BI91" s="387"/>
      <c r="BJ91" s="387"/>
      <c r="BK91" s="988"/>
      <c r="BL91" s="387"/>
      <c r="BM91" s="387"/>
      <c r="BN91" s="387"/>
      <c r="BO91" s="387"/>
      <c r="BP91" s="387"/>
      <c r="BQ91" s="387"/>
      <c r="BR91" s="387"/>
      <c r="BS91" s="387"/>
      <c r="BT91" s="387"/>
      <c r="BU91" s="387"/>
      <c r="BV91" s="387"/>
      <c r="BW91" s="988"/>
      <c r="BX91" s="387"/>
      <c r="BY91" s="387"/>
      <c r="BZ91" s="387"/>
      <c r="CA91" s="387"/>
      <c r="CB91" s="387"/>
      <c r="CC91" s="387"/>
      <c r="CD91" s="387"/>
      <c r="CE91" s="387"/>
      <c r="CF91" s="387"/>
      <c r="CG91" s="387"/>
      <c r="CH91" s="387"/>
      <c r="CI91" s="988"/>
      <c r="CJ91" s="387"/>
      <c r="CK91" s="387"/>
      <c r="CL91" s="387"/>
      <c r="CM91" s="387"/>
      <c r="CN91" s="387"/>
      <c r="CO91" s="387"/>
      <c r="CP91" s="387"/>
      <c r="CQ91" s="387"/>
      <c r="CR91" s="387"/>
      <c r="CS91" s="387"/>
      <c r="CT91" s="387"/>
      <c r="CU91" s="988"/>
      <c r="CV91" s="387"/>
      <c r="CW91" s="387"/>
      <c r="CX91" s="387"/>
      <c r="CY91" s="387"/>
      <c r="CZ91" s="387"/>
      <c r="DA91" s="387"/>
      <c r="DB91" s="387"/>
      <c r="DC91" s="387"/>
      <c r="DD91" s="387"/>
      <c r="DE91" s="387"/>
      <c r="DF91" s="387"/>
      <c r="DG91" s="988"/>
      <c r="DH91" s="387"/>
      <c r="DI91" s="387"/>
      <c r="DJ91" s="387"/>
      <c r="DK91" s="387"/>
      <c r="DL91" s="387"/>
      <c r="DM91" s="387"/>
      <c r="DN91" s="387"/>
      <c r="DO91" s="387"/>
      <c r="DP91" s="387"/>
      <c r="DQ91" s="387"/>
      <c r="DR91" s="387"/>
      <c r="DS91" s="988"/>
      <c r="DT91" s="387" t="s">
        <v>2154</v>
      </c>
      <c r="DU91" s="387" t="s">
        <v>2154</v>
      </c>
      <c r="DV91" s="387" t="s">
        <v>2154</v>
      </c>
      <c r="DW91" s="387" t="s">
        <v>2154</v>
      </c>
      <c r="DX91" s="387" t="s">
        <v>2154</v>
      </c>
      <c r="DY91" s="387" t="s">
        <v>2154</v>
      </c>
      <c r="DZ91" s="387" t="s">
        <v>2154</v>
      </c>
      <c r="EA91" s="387" t="s">
        <v>2154</v>
      </c>
      <c r="EB91" s="387" t="s">
        <v>2154</v>
      </c>
      <c r="EC91" s="387" t="s">
        <v>2154</v>
      </c>
      <c r="ED91" s="387" t="s">
        <v>2154</v>
      </c>
      <c r="EE91" s="988" t="s">
        <v>2154</v>
      </c>
      <c r="EF91" s="387"/>
      <c r="EG91" s="387"/>
      <c r="EH91" s="387"/>
      <c r="EI91" s="387"/>
      <c r="EJ91" s="387"/>
      <c r="EK91" s="387"/>
      <c r="EL91" s="387"/>
      <c r="EM91" s="387"/>
      <c r="EN91" s="387"/>
      <c r="EO91" s="387"/>
      <c r="EP91" s="387"/>
      <c r="EQ91" s="988"/>
      <c r="ER91" s="387"/>
      <c r="ES91" s="387"/>
      <c r="ET91" s="387"/>
      <c r="EU91" s="387"/>
      <c r="EV91" s="387"/>
      <c r="EW91" s="387"/>
      <c r="EX91" s="387"/>
      <c r="EY91" s="387"/>
      <c r="EZ91" s="387"/>
      <c r="FA91" s="387"/>
      <c r="FB91" s="387"/>
      <c r="FC91" s="988"/>
      <c r="FD91" s="387"/>
      <c r="FE91" s="387"/>
      <c r="FF91" s="387"/>
      <c r="FG91" s="387"/>
      <c r="FH91" s="387"/>
      <c r="FI91" s="387"/>
      <c r="FJ91" s="387"/>
      <c r="FK91" s="387"/>
      <c r="FL91" s="387"/>
      <c r="FM91" s="387"/>
      <c r="FN91" s="387"/>
      <c r="FO91" s="988"/>
      <c r="FP91" s="387"/>
      <c r="FQ91" s="387"/>
      <c r="FR91" s="387"/>
      <c r="FS91" s="387"/>
      <c r="FT91" s="387"/>
      <c r="FU91" s="387"/>
      <c r="FV91" s="387"/>
      <c r="FW91" s="387"/>
      <c r="FX91" s="387"/>
      <c r="FY91" s="387"/>
      <c r="FZ91" s="387"/>
      <c r="GA91" s="988"/>
      <c r="GB91" s="109"/>
      <c r="GC91" s="1435">
        <f t="shared" si="100"/>
        <v>39455.829999999994</v>
      </c>
      <c r="GD91" s="387">
        <f t="shared" si="100"/>
        <v>38455.57</v>
      </c>
      <c r="GE91" s="387">
        <f t="shared" si="100"/>
        <v>33103.21</v>
      </c>
      <c r="GF91" s="387">
        <f t="shared" si="100"/>
        <v>37916.249999999993</v>
      </c>
      <c r="GG91" s="387">
        <f t="shared" si="100"/>
        <v>42976.36</v>
      </c>
      <c r="GH91" s="387">
        <f t="shared" si="100"/>
        <v>39694.589999999997</v>
      </c>
      <c r="GI91" s="387">
        <f t="shared" si="100"/>
        <v>33952.18</v>
      </c>
      <c r="GJ91" s="387">
        <f t="shared" si="100"/>
        <v>32948.61</v>
      </c>
      <c r="GK91" s="387">
        <f t="shared" si="100"/>
        <v>42837.79</v>
      </c>
      <c r="GL91" s="387">
        <f t="shared" si="100"/>
        <v>33370.32</v>
      </c>
      <c r="GM91" s="387">
        <f t="shared" si="100"/>
        <v>40745.24</v>
      </c>
      <c r="GN91" s="988">
        <f t="shared" si="100"/>
        <v>46025.120000000003</v>
      </c>
      <c r="GO91" s="1036">
        <f t="shared" si="101"/>
        <v>0</v>
      </c>
      <c r="GP91" s="387">
        <f t="shared" si="101"/>
        <v>0</v>
      </c>
      <c r="GQ91" s="387">
        <f t="shared" si="101"/>
        <v>0</v>
      </c>
      <c r="GR91" s="387">
        <f t="shared" si="101"/>
        <v>0</v>
      </c>
      <c r="GS91" s="387">
        <f t="shared" si="101"/>
        <v>0</v>
      </c>
      <c r="GT91" s="387">
        <f t="shared" si="101"/>
        <v>0</v>
      </c>
      <c r="GU91" s="387">
        <f t="shared" si="101"/>
        <v>0</v>
      </c>
      <c r="GV91" s="387">
        <f t="shared" si="101"/>
        <v>0</v>
      </c>
      <c r="GW91" s="387">
        <f t="shared" si="101"/>
        <v>0</v>
      </c>
      <c r="GX91" s="387">
        <f t="shared" si="101"/>
        <v>0</v>
      </c>
      <c r="GY91" s="387">
        <f t="shared" si="101"/>
        <v>0</v>
      </c>
      <c r="GZ91" s="988">
        <f t="shared" si="101"/>
        <v>0</v>
      </c>
      <c r="HB91" s="387"/>
      <c r="HC91" s="387"/>
      <c r="HD91" s="387"/>
      <c r="HE91" s="387"/>
      <c r="HF91" s="387"/>
      <c r="HG91" s="387"/>
      <c r="HH91" s="387"/>
      <c r="HI91" s="387"/>
      <c r="HJ91" s="387"/>
      <c r="HK91" s="387"/>
      <c r="HL91" s="387"/>
      <c r="HM91" s="988"/>
    </row>
    <row r="92" spans="1:221">
      <c r="A92" s="326" t="s">
        <v>1595</v>
      </c>
      <c r="B92" s="326" t="s">
        <v>1578</v>
      </c>
      <c r="C92" s="326" t="s">
        <v>1580</v>
      </c>
      <c r="D92" s="1036" t="s">
        <v>2154</v>
      </c>
      <c r="E92" s="387" t="s">
        <v>2154</v>
      </c>
      <c r="F92" s="387" t="s">
        <v>2154</v>
      </c>
      <c r="G92" s="387" t="s">
        <v>2154</v>
      </c>
      <c r="H92" s="387" t="s">
        <v>2154</v>
      </c>
      <c r="I92" s="387" t="s">
        <v>2154</v>
      </c>
      <c r="J92" s="387" t="s">
        <v>2154</v>
      </c>
      <c r="K92" s="387" t="s">
        <v>2154</v>
      </c>
      <c r="L92" s="387" t="s">
        <v>2154</v>
      </c>
      <c r="M92" s="387" t="s">
        <v>2154</v>
      </c>
      <c r="N92" s="387" t="s">
        <v>2154</v>
      </c>
      <c r="O92" s="988" t="s">
        <v>2154</v>
      </c>
      <c r="P92" s="387" t="s">
        <v>2154</v>
      </c>
      <c r="Q92" s="387" t="s">
        <v>2154</v>
      </c>
      <c r="R92" s="387" t="s">
        <v>2154</v>
      </c>
      <c r="S92" s="387" t="s">
        <v>2154</v>
      </c>
      <c r="T92" s="387" t="s">
        <v>2154</v>
      </c>
      <c r="U92" s="387" t="s">
        <v>2154</v>
      </c>
      <c r="V92" s="387" t="s">
        <v>2154</v>
      </c>
      <c r="W92" s="387" t="s">
        <v>2154</v>
      </c>
      <c r="X92" s="387" t="s">
        <v>2154</v>
      </c>
      <c r="Y92" s="387" t="s">
        <v>2154</v>
      </c>
      <c r="Z92" s="387" t="s">
        <v>2154</v>
      </c>
      <c r="AA92" s="988" t="s">
        <v>2154</v>
      </c>
      <c r="AB92" s="387"/>
      <c r="AC92" s="387"/>
      <c r="AD92" s="387"/>
      <c r="AE92" s="387"/>
      <c r="AF92" s="387"/>
      <c r="AG92" s="387"/>
      <c r="AH92" s="387"/>
      <c r="AI92" s="387"/>
      <c r="AJ92" s="387"/>
      <c r="AK92" s="387"/>
      <c r="AL92" s="387"/>
      <c r="AM92" s="988"/>
      <c r="AN92" s="387"/>
      <c r="AO92" s="387"/>
      <c r="AP92" s="387"/>
      <c r="AQ92" s="387"/>
      <c r="AR92" s="387"/>
      <c r="AS92" s="387"/>
      <c r="AT92" s="387"/>
      <c r="AU92" s="387"/>
      <c r="AV92" s="387"/>
      <c r="AW92" s="387"/>
      <c r="AX92" s="387"/>
      <c r="AY92" s="988"/>
      <c r="AZ92" s="387"/>
      <c r="BA92" s="387"/>
      <c r="BB92" s="387"/>
      <c r="BC92" s="387"/>
      <c r="BD92" s="387"/>
      <c r="BE92" s="387"/>
      <c r="BF92" s="387"/>
      <c r="BG92" s="387"/>
      <c r="BH92" s="387"/>
      <c r="BI92" s="387"/>
      <c r="BJ92" s="387"/>
      <c r="BK92" s="988"/>
      <c r="BL92" s="387"/>
      <c r="BM92" s="387"/>
      <c r="BN92" s="387"/>
      <c r="BO92" s="387"/>
      <c r="BP92" s="387"/>
      <c r="BQ92" s="387"/>
      <c r="BR92" s="387"/>
      <c r="BS92" s="387"/>
      <c r="BT92" s="387"/>
      <c r="BU92" s="387"/>
      <c r="BV92" s="387"/>
      <c r="BW92" s="988"/>
      <c r="BX92" s="387"/>
      <c r="BY92" s="387"/>
      <c r="BZ92" s="387"/>
      <c r="CA92" s="387"/>
      <c r="CB92" s="387"/>
      <c r="CC92" s="387"/>
      <c r="CD92" s="387"/>
      <c r="CE92" s="387"/>
      <c r="CF92" s="387"/>
      <c r="CG92" s="387"/>
      <c r="CH92" s="387"/>
      <c r="CI92" s="988"/>
      <c r="CJ92" s="387"/>
      <c r="CK92" s="387"/>
      <c r="CL92" s="387"/>
      <c r="CM92" s="387"/>
      <c r="CN92" s="387"/>
      <c r="CO92" s="387"/>
      <c r="CP92" s="387"/>
      <c r="CQ92" s="387"/>
      <c r="CR92" s="387"/>
      <c r="CS92" s="387"/>
      <c r="CT92" s="387"/>
      <c r="CU92" s="988"/>
      <c r="CV92" s="387"/>
      <c r="CW92" s="387"/>
      <c r="CX92" s="387"/>
      <c r="CY92" s="387"/>
      <c r="CZ92" s="387"/>
      <c r="DA92" s="387"/>
      <c r="DB92" s="387"/>
      <c r="DC92" s="387"/>
      <c r="DD92" s="387"/>
      <c r="DE92" s="387"/>
      <c r="DF92" s="387"/>
      <c r="DG92" s="988"/>
      <c r="DH92" s="387"/>
      <c r="DI92" s="387"/>
      <c r="DJ92" s="387"/>
      <c r="DK92" s="387"/>
      <c r="DL92" s="387"/>
      <c r="DM92" s="387"/>
      <c r="DN92" s="387"/>
      <c r="DO92" s="387"/>
      <c r="DP92" s="387"/>
      <c r="DQ92" s="387"/>
      <c r="DR92" s="387"/>
      <c r="DS92" s="988"/>
      <c r="DT92" s="387" t="s">
        <v>2154</v>
      </c>
      <c r="DU92" s="387" t="s">
        <v>2154</v>
      </c>
      <c r="DV92" s="387" t="s">
        <v>2154</v>
      </c>
      <c r="DW92" s="387" t="s">
        <v>2154</v>
      </c>
      <c r="DX92" s="387" t="s">
        <v>2154</v>
      </c>
      <c r="DY92" s="387" t="s">
        <v>2154</v>
      </c>
      <c r="DZ92" s="387" t="s">
        <v>2154</v>
      </c>
      <c r="EA92" s="387" t="s">
        <v>2154</v>
      </c>
      <c r="EB92" s="387" t="s">
        <v>2154</v>
      </c>
      <c r="EC92" s="387" t="s">
        <v>2154</v>
      </c>
      <c r="ED92" s="387" t="s">
        <v>2154</v>
      </c>
      <c r="EE92" s="988" t="s">
        <v>2154</v>
      </c>
      <c r="EF92" s="387"/>
      <c r="EG92" s="387"/>
      <c r="EH92" s="387"/>
      <c r="EI92" s="387"/>
      <c r="EJ92" s="387"/>
      <c r="EK92" s="387"/>
      <c r="EL92" s="387"/>
      <c r="EM92" s="387"/>
      <c r="EN92" s="387"/>
      <c r="EO92" s="387"/>
      <c r="EP92" s="387"/>
      <c r="EQ92" s="988"/>
      <c r="ER92" s="387"/>
      <c r="ES92" s="387"/>
      <c r="ET92" s="387"/>
      <c r="EU92" s="387"/>
      <c r="EV92" s="387"/>
      <c r="EW92" s="387"/>
      <c r="EX92" s="387"/>
      <c r="EY92" s="387"/>
      <c r="EZ92" s="387"/>
      <c r="FA92" s="387"/>
      <c r="FB92" s="387"/>
      <c r="FC92" s="988"/>
      <c r="FD92" s="387"/>
      <c r="FE92" s="387"/>
      <c r="FF92" s="387"/>
      <c r="FG92" s="387"/>
      <c r="FH92" s="387"/>
      <c r="FI92" s="387"/>
      <c r="FJ92" s="387"/>
      <c r="FK92" s="387"/>
      <c r="FL92" s="387"/>
      <c r="FM92" s="387"/>
      <c r="FN92" s="387"/>
      <c r="FO92" s="988"/>
      <c r="FP92" s="387"/>
      <c r="FQ92" s="387"/>
      <c r="FR92" s="387"/>
      <c r="FS92" s="387"/>
      <c r="FT92" s="387"/>
      <c r="FU92" s="387"/>
      <c r="FV92" s="387"/>
      <c r="FW92" s="387"/>
      <c r="FX92" s="387"/>
      <c r="FY92" s="387"/>
      <c r="FZ92" s="387"/>
      <c r="GA92" s="988"/>
      <c r="GB92" s="109"/>
      <c r="GC92" s="1435">
        <f t="shared" si="100"/>
        <v>0</v>
      </c>
      <c r="GD92" s="387">
        <f t="shared" si="100"/>
        <v>0</v>
      </c>
      <c r="GE92" s="387">
        <f t="shared" si="100"/>
        <v>0</v>
      </c>
      <c r="GF92" s="387">
        <f t="shared" si="100"/>
        <v>0</v>
      </c>
      <c r="GG92" s="387">
        <f t="shared" si="100"/>
        <v>0</v>
      </c>
      <c r="GH92" s="387">
        <f t="shared" si="100"/>
        <v>0</v>
      </c>
      <c r="GI92" s="387">
        <f t="shared" si="100"/>
        <v>0</v>
      </c>
      <c r="GJ92" s="387">
        <f t="shared" si="100"/>
        <v>0</v>
      </c>
      <c r="GK92" s="387">
        <f t="shared" si="100"/>
        <v>0</v>
      </c>
      <c r="GL92" s="387">
        <f t="shared" si="100"/>
        <v>0</v>
      </c>
      <c r="GM92" s="387">
        <f t="shared" si="100"/>
        <v>0</v>
      </c>
      <c r="GN92" s="988">
        <f t="shared" si="100"/>
        <v>0</v>
      </c>
      <c r="GO92" s="1036">
        <f t="shared" si="101"/>
        <v>0</v>
      </c>
      <c r="GP92" s="387">
        <f t="shared" si="101"/>
        <v>0</v>
      </c>
      <c r="GQ92" s="387">
        <f t="shared" si="101"/>
        <v>0</v>
      </c>
      <c r="GR92" s="387">
        <f t="shared" si="101"/>
        <v>0</v>
      </c>
      <c r="GS92" s="387">
        <f t="shared" si="101"/>
        <v>0</v>
      </c>
      <c r="GT92" s="387">
        <f t="shared" si="101"/>
        <v>0</v>
      </c>
      <c r="GU92" s="387">
        <f t="shared" si="101"/>
        <v>0</v>
      </c>
      <c r="GV92" s="387">
        <f t="shared" si="101"/>
        <v>0</v>
      </c>
      <c r="GW92" s="387">
        <f t="shared" si="101"/>
        <v>0</v>
      </c>
      <c r="GX92" s="387">
        <f t="shared" si="101"/>
        <v>0</v>
      </c>
      <c r="GY92" s="387">
        <f t="shared" si="101"/>
        <v>0</v>
      </c>
      <c r="GZ92" s="988">
        <f t="shared" si="101"/>
        <v>0</v>
      </c>
      <c r="HB92" s="387"/>
      <c r="HC92" s="387"/>
      <c r="HD92" s="387"/>
      <c r="HE92" s="387"/>
      <c r="HF92" s="387"/>
      <c r="HG92" s="387"/>
      <c r="HH92" s="387"/>
      <c r="HI92" s="387"/>
      <c r="HJ92" s="387"/>
      <c r="HK92" s="387"/>
      <c r="HL92" s="387"/>
      <c r="HM92" s="988"/>
    </row>
    <row r="93" spans="1:221">
      <c r="A93" s="326"/>
      <c r="B93" s="326"/>
      <c r="C93" s="326"/>
      <c r="D93" s="1036" t="e">
        <f t="shared" ref="D93:AI93" si="102">IF(D87=0,0,(SUM(D91:D92)-D90)/(D87-D89))</f>
        <v>#DIV/0!</v>
      </c>
      <c r="E93" s="387" t="e">
        <f t="shared" si="102"/>
        <v>#DIV/0!</v>
      </c>
      <c r="F93" s="387" t="e">
        <f t="shared" si="102"/>
        <v>#DIV/0!</v>
      </c>
      <c r="G93" s="387" t="e">
        <f t="shared" si="102"/>
        <v>#DIV/0!</v>
      </c>
      <c r="H93" s="387" t="e">
        <f t="shared" si="102"/>
        <v>#DIV/0!</v>
      </c>
      <c r="I93" s="387" t="e">
        <f t="shared" si="102"/>
        <v>#DIV/0!</v>
      </c>
      <c r="J93" s="387" t="e">
        <f t="shared" si="102"/>
        <v>#DIV/0!</v>
      </c>
      <c r="K93" s="387" t="e">
        <f t="shared" si="102"/>
        <v>#DIV/0!</v>
      </c>
      <c r="L93" s="387" t="e">
        <f t="shared" si="102"/>
        <v>#DIV/0!</v>
      </c>
      <c r="M93" s="387" t="e">
        <f t="shared" si="102"/>
        <v>#DIV/0!</v>
      </c>
      <c r="N93" s="387" t="e">
        <f t="shared" si="102"/>
        <v>#DIV/0!</v>
      </c>
      <c r="O93" s="988" t="e">
        <f t="shared" si="102"/>
        <v>#DIV/0!</v>
      </c>
      <c r="P93" s="386">
        <f t="shared" si="102"/>
        <v>443.20500000000044</v>
      </c>
      <c r="Q93" s="386">
        <f t="shared" si="102"/>
        <v>410.12144444444414</v>
      </c>
      <c r="R93" s="386">
        <f t="shared" si="102"/>
        <v>340.80909722222231</v>
      </c>
      <c r="S93" s="386">
        <f t="shared" si="102"/>
        <v>304.48987421383623</v>
      </c>
      <c r="T93" s="386">
        <f t="shared" si="102"/>
        <v>266.21404624277449</v>
      </c>
      <c r="U93" s="386">
        <f t="shared" si="102"/>
        <v>403.3288888888888</v>
      </c>
      <c r="V93" s="386">
        <f t="shared" si="102"/>
        <v>475.61594594594368</v>
      </c>
      <c r="W93" s="386">
        <f t="shared" si="102"/>
        <v>701.18306306306306</v>
      </c>
      <c r="X93" s="386">
        <f t="shared" si="102"/>
        <v>631.53416666666556</v>
      </c>
      <c r="Y93" s="386">
        <f t="shared" si="102"/>
        <v>344.92849999999959</v>
      </c>
      <c r="Z93" s="386">
        <f t="shared" si="102"/>
        <v>391.421182795699</v>
      </c>
      <c r="AA93" s="987">
        <f t="shared" si="102"/>
        <v>-196.01962121212122</v>
      </c>
      <c r="AB93" s="386">
        <f t="shared" si="102"/>
        <v>0</v>
      </c>
      <c r="AC93" s="386">
        <f t="shared" si="102"/>
        <v>0</v>
      </c>
      <c r="AD93" s="386">
        <f t="shared" si="102"/>
        <v>0</v>
      </c>
      <c r="AE93" s="386">
        <f t="shared" si="102"/>
        <v>0</v>
      </c>
      <c r="AF93" s="386">
        <f t="shared" si="102"/>
        <v>0</v>
      </c>
      <c r="AG93" s="386">
        <f t="shared" si="102"/>
        <v>0</v>
      </c>
      <c r="AH93" s="386">
        <f t="shared" si="102"/>
        <v>0</v>
      </c>
      <c r="AI93" s="386">
        <f t="shared" si="102"/>
        <v>0</v>
      </c>
      <c r="AJ93" s="386">
        <f t="shared" ref="AJ93:BO93" si="103">IF(AJ87=0,0,(SUM(AJ91:AJ92)-AJ90)/(AJ87-AJ89))</f>
        <v>0</v>
      </c>
      <c r="AK93" s="386">
        <f t="shared" si="103"/>
        <v>0</v>
      </c>
      <c r="AL93" s="386">
        <f t="shared" si="103"/>
        <v>0</v>
      </c>
      <c r="AM93" s="987">
        <f t="shared" si="103"/>
        <v>0</v>
      </c>
      <c r="AN93" s="386">
        <f t="shared" si="103"/>
        <v>0</v>
      </c>
      <c r="AO93" s="386">
        <f t="shared" si="103"/>
        <v>0</v>
      </c>
      <c r="AP93" s="386">
        <f t="shared" si="103"/>
        <v>0</v>
      </c>
      <c r="AQ93" s="386">
        <f t="shared" si="103"/>
        <v>0</v>
      </c>
      <c r="AR93" s="386">
        <f t="shared" si="103"/>
        <v>0</v>
      </c>
      <c r="AS93" s="386">
        <f t="shared" si="103"/>
        <v>0</v>
      </c>
      <c r="AT93" s="386">
        <f t="shared" si="103"/>
        <v>0</v>
      </c>
      <c r="AU93" s="386">
        <f t="shared" si="103"/>
        <v>0</v>
      </c>
      <c r="AV93" s="386">
        <f t="shared" si="103"/>
        <v>0</v>
      </c>
      <c r="AW93" s="386">
        <f t="shared" si="103"/>
        <v>0</v>
      </c>
      <c r="AX93" s="386">
        <f t="shared" si="103"/>
        <v>0</v>
      </c>
      <c r="AY93" s="987">
        <f t="shared" si="103"/>
        <v>0</v>
      </c>
      <c r="AZ93" s="386">
        <f t="shared" si="103"/>
        <v>0</v>
      </c>
      <c r="BA93" s="386">
        <f t="shared" si="103"/>
        <v>0</v>
      </c>
      <c r="BB93" s="386">
        <f t="shared" si="103"/>
        <v>0</v>
      </c>
      <c r="BC93" s="386">
        <f t="shared" si="103"/>
        <v>0</v>
      </c>
      <c r="BD93" s="386">
        <f t="shared" si="103"/>
        <v>0</v>
      </c>
      <c r="BE93" s="386">
        <f t="shared" si="103"/>
        <v>0</v>
      </c>
      <c r="BF93" s="386">
        <f t="shared" si="103"/>
        <v>0</v>
      </c>
      <c r="BG93" s="386">
        <f t="shared" si="103"/>
        <v>0</v>
      </c>
      <c r="BH93" s="386">
        <f t="shared" si="103"/>
        <v>0</v>
      </c>
      <c r="BI93" s="386">
        <f t="shared" si="103"/>
        <v>0</v>
      </c>
      <c r="BJ93" s="386">
        <f t="shared" si="103"/>
        <v>0</v>
      </c>
      <c r="BK93" s="987">
        <f t="shared" si="103"/>
        <v>0</v>
      </c>
      <c r="BL93" s="386">
        <f t="shared" si="103"/>
        <v>0</v>
      </c>
      <c r="BM93" s="386">
        <f t="shared" si="103"/>
        <v>0</v>
      </c>
      <c r="BN93" s="386">
        <f t="shared" si="103"/>
        <v>0</v>
      </c>
      <c r="BO93" s="386">
        <f t="shared" si="103"/>
        <v>0</v>
      </c>
      <c r="BP93" s="386">
        <f t="shared" ref="BP93:CU93" si="104">IF(BP87=0,0,(SUM(BP91:BP92)-BP90)/(BP87-BP89))</f>
        <v>0</v>
      </c>
      <c r="BQ93" s="386">
        <f t="shared" si="104"/>
        <v>0</v>
      </c>
      <c r="BR93" s="386">
        <f t="shared" si="104"/>
        <v>0</v>
      </c>
      <c r="BS93" s="386">
        <f t="shared" si="104"/>
        <v>0</v>
      </c>
      <c r="BT93" s="386">
        <f t="shared" si="104"/>
        <v>0</v>
      </c>
      <c r="BU93" s="386">
        <f t="shared" si="104"/>
        <v>0</v>
      </c>
      <c r="BV93" s="386">
        <f t="shared" si="104"/>
        <v>0</v>
      </c>
      <c r="BW93" s="987">
        <f t="shared" si="104"/>
        <v>0</v>
      </c>
      <c r="BX93" s="386">
        <f t="shared" si="104"/>
        <v>0</v>
      </c>
      <c r="BY93" s="386">
        <f t="shared" si="104"/>
        <v>0</v>
      </c>
      <c r="BZ93" s="386">
        <f t="shared" si="104"/>
        <v>0</v>
      </c>
      <c r="CA93" s="386">
        <f t="shared" si="104"/>
        <v>0</v>
      </c>
      <c r="CB93" s="386">
        <f t="shared" si="104"/>
        <v>0</v>
      </c>
      <c r="CC93" s="386">
        <f t="shared" si="104"/>
        <v>0</v>
      </c>
      <c r="CD93" s="386">
        <f t="shared" si="104"/>
        <v>0</v>
      </c>
      <c r="CE93" s="386">
        <f t="shared" si="104"/>
        <v>0</v>
      </c>
      <c r="CF93" s="386">
        <f t="shared" si="104"/>
        <v>0</v>
      </c>
      <c r="CG93" s="386">
        <f t="shared" si="104"/>
        <v>0</v>
      </c>
      <c r="CH93" s="386">
        <f t="shared" si="104"/>
        <v>0</v>
      </c>
      <c r="CI93" s="987">
        <f t="shared" si="104"/>
        <v>0</v>
      </c>
      <c r="CJ93" s="386">
        <f t="shared" si="104"/>
        <v>0</v>
      </c>
      <c r="CK93" s="386">
        <f t="shared" si="104"/>
        <v>0</v>
      </c>
      <c r="CL93" s="386">
        <f t="shared" si="104"/>
        <v>0</v>
      </c>
      <c r="CM93" s="386">
        <f t="shared" si="104"/>
        <v>0</v>
      </c>
      <c r="CN93" s="386">
        <f t="shared" si="104"/>
        <v>0</v>
      </c>
      <c r="CO93" s="386">
        <f t="shared" si="104"/>
        <v>0</v>
      </c>
      <c r="CP93" s="386">
        <f t="shared" si="104"/>
        <v>0</v>
      </c>
      <c r="CQ93" s="386">
        <f t="shared" si="104"/>
        <v>0</v>
      </c>
      <c r="CR93" s="386">
        <f t="shared" si="104"/>
        <v>0</v>
      </c>
      <c r="CS93" s="386">
        <f t="shared" si="104"/>
        <v>0</v>
      </c>
      <c r="CT93" s="386">
        <f t="shared" si="104"/>
        <v>0</v>
      </c>
      <c r="CU93" s="987">
        <f t="shared" si="104"/>
        <v>0</v>
      </c>
      <c r="CV93" s="386">
        <f t="shared" ref="CV93:EA93" si="105">IF(CV87=0,0,(SUM(CV91:CV92)-CV90)/(CV87-CV89))</f>
        <v>0</v>
      </c>
      <c r="CW93" s="386">
        <f t="shared" si="105"/>
        <v>0</v>
      </c>
      <c r="CX93" s="386">
        <f t="shared" si="105"/>
        <v>0</v>
      </c>
      <c r="CY93" s="386">
        <f t="shared" si="105"/>
        <v>0</v>
      </c>
      <c r="CZ93" s="386">
        <f t="shared" si="105"/>
        <v>0</v>
      </c>
      <c r="DA93" s="386">
        <f t="shared" si="105"/>
        <v>0</v>
      </c>
      <c r="DB93" s="386">
        <f t="shared" si="105"/>
        <v>0</v>
      </c>
      <c r="DC93" s="386">
        <f t="shared" si="105"/>
        <v>0</v>
      </c>
      <c r="DD93" s="386">
        <f t="shared" si="105"/>
        <v>0</v>
      </c>
      <c r="DE93" s="386">
        <f t="shared" si="105"/>
        <v>0</v>
      </c>
      <c r="DF93" s="386">
        <f t="shared" si="105"/>
        <v>0</v>
      </c>
      <c r="DG93" s="987">
        <f t="shared" si="105"/>
        <v>0</v>
      </c>
      <c r="DH93" s="386">
        <f t="shared" si="105"/>
        <v>0</v>
      </c>
      <c r="DI93" s="386">
        <f t="shared" si="105"/>
        <v>0</v>
      </c>
      <c r="DJ93" s="386">
        <f t="shared" si="105"/>
        <v>0</v>
      </c>
      <c r="DK93" s="386">
        <f t="shared" si="105"/>
        <v>0</v>
      </c>
      <c r="DL93" s="386">
        <f t="shared" si="105"/>
        <v>0</v>
      </c>
      <c r="DM93" s="386">
        <f t="shared" si="105"/>
        <v>0</v>
      </c>
      <c r="DN93" s="386">
        <f t="shared" si="105"/>
        <v>0</v>
      </c>
      <c r="DO93" s="386">
        <f t="shared" si="105"/>
        <v>0</v>
      </c>
      <c r="DP93" s="386">
        <f t="shared" si="105"/>
        <v>0</v>
      </c>
      <c r="DQ93" s="386">
        <f t="shared" si="105"/>
        <v>0</v>
      </c>
      <c r="DR93" s="386">
        <f t="shared" si="105"/>
        <v>0</v>
      </c>
      <c r="DS93" s="987">
        <f t="shared" si="105"/>
        <v>0</v>
      </c>
      <c r="DT93" s="386" t="e">
        <f t="shared" si="105"/>
        <v>#DIV/0!</v>
      </c>
      <c r="DU93" s="386" t="e">
        <f t="shared" si="105"/>
        <v>#DIV/0!</v>
      </c>
      <c r="DV93" s="386" t="e">
        <f t="shared" si="105"/>
        <v>#DIV/0!</v>
      </c>
      <c r="DW93" s="386" t="e">
        <f t="shared" si="105"/>
        <v>#DIV/0!</v>
      </c>
      <c r="DX93" s="386" t="e">
        <f t="shared" si="105"/>
        <v>#DIV/0!</v>
      </c>
      <c r="DY93" s="386" t="e">
        <f t="shared" si="105"/>
        <v>#DIV/0!</v>
      </c>
      <c r="DZ93" s="386" t="e">
        <f t="shared" si="105"/>
        <v>#DIV/0!</v>
      </c>
      <c r="EA93" s="386" t="e">
        <f t="shared" si="105"/>
        <v>#DIV/0!</v>
      </c>
      <c r="EB93" s="386" t="e">
        <f t="shared" ref="EB93:FG93" si="106">IF(EB87=0,0,(SUM(EB91:EB92)-EB90)/(EB87-EB89))</f>
        <v>#DIV/0!</v>
      </c>
      <c r="EC93" s="386" t="e">
        <f t="shared" si="106"/>
        <v>#DIV/0!</v>
      </c>
      <c r="ED93" s="386" t="e">
        <f t="shared" si="106"/>
        <v>#DIV/0!</v>
      </c>
      <c r="EE93" s="987" t="e">
        <f t="shared" si="106"/>
        <v>#DIV/0!</v>
      </c>
      <c r="EF93" s="386">
        <f t="shared" si="106"/>
        <v>0</v>
      </c>
      <c r="EG93" s="386">
        <f t="shared" si="106"/>
        <v>0</v>
      </c>
      <c r="EH93" s="386">
        <f t="shared" si="106"/>
        <v>0</v>
      </c>
      <c r="EI93" s="386">
        <f t="shared" si="106"/>
        <v>0</v>
      </c>
      <c r="EJ93" s="386">
        <f t="shared" si="106"/>
        <v>0</v>
      </c>
      <c r="EK93" s="386">
        <f t="shared" si="106"/>
        <v>0</v>
      </c>
      <c r="EL93" s="386">
        <f t="shared" si="106"/>
        <v>0</v>
      </c>
      <c r="EM93" s="386">
        <f t="shared" si="106"/>
        <v>0</v>
      </c>
      <c r="EN93" s="386">
        <f t="shared" si="106"/>
        <v>0</v>
      </c>
      <c r="EO93" s="386">
        <f t="shared" si="106"/>
        <v>0</v>
      </c>
      <c r="EP93" s="386">
        <f t="shared" si="106"/>
        <v>0</v>
      </c>
      <c r="EQ93" s="987">
        <f t="shared" si="106"/>
        <v>0</v>
      </c>
      <c r="ER93" s="386">
        <f t="shared" si="106"/>
        <v>0</v>
      </c>
      <c r="ES93" s="386">
        <f t="shared" si="106"/>
        <v>0</v>
      </c>
      <c r="ET93" s="386">
        <f t="shared" si="106"/>
        <v>0</v>
      </c>
      <c r="EU93" s="386">
        <f t="shared" si="106"/>
        <v>0</v>
      </c>
      <c r="EV93" s="386">
        <f t="shared" si="106"/>
        <v>0</v>
      </c>
      <c r="EW93" s="386">
        <f t="shared" si="106"/>
        <v>0</v>
      </c>
      <c r="EX93" s="386">
        <f t="shared" si="106"/>
        <v>0</v>
      </c>
      <c r="EY93" s="386">
        <f t="shared" si="106"/>
        <v>0</v>
      </c>
      <c r="EZ93" s="386">
        <f t="shared" si="106"/>
        <v>0</v>
      </c>
      <c r="FA93" s="386">
        <f t="shared" si="106"/>
        <v>0</v>
      </c>
      <c r="FB93" s="386">
        <f t="shared" si="106"/>
        <v>0</v>
      </c>
      <c r="FC93" s="987">
        <f t="shared" si="106"/>
        <v>0</v>
      </c>
      <c r="FD93" s="386">
        <f t="shared" si="106"/>
        <v>0</v>
      </c>
      <c r="FE93" s="386">
        <f t="shared" si="106"/>
        <v>0</v>
      </c>
      <c r="FF93" s="386">
        <f t="shared" si="106"/>
        <v>0</v>
      </c>
      <c r="FG93" s="386">
        <f t="shared" si="106"/>
        <v>0</v>
      </c>
      <c r="FH93" s="386">
        <f t="shared" ref="FH93:GA93" si="107">IF(FH87=0,0,(SUM(FH91:FH92)-FH90)/(FH87-FH89))</f>
        <v>0</v>
      </c>
      <c r="FI93" s="386">
        <f t="shared" si="107"/>
        <v>0</v>
      </c>
      <c r="FJ93" s="386">
        <f t="shared" si="107"/>
        <v>0</v>
      </c>
      <c r="FK93" s="386">
        <f t="shared" si="107"/>
        <v>0</v>
      </c>
      <c r="FL93" s="386">
        <f t="shared" si="107"/>
        <v>0</v>
      </c>
      <c r="FM93" s="386">
        <f t="shared" si="107"/>
        <v>0</v>
      </c>
      <c r="FN93" s="386">
        <f t="shared" si="107"/>
        <v>0</v>
      </c>
      <c r="FO93" s="987">
        <f t="shared" si="107"/>
        <v>0</v>
      </c>
      <c r="FP93" s="386">
        <f t="shared" si="107"/>
        <v>0</v>
      </c>
      <c r="FQ93" s="386">
        <f t="shared" si="107"/>
        <v>0</v>
      </c>
      <c r="FR93" s="386">
        <f t="shared" si="107"/>
        <v>0</v>
      </c>
      <c r="FS93" s="386">
        <f t="shared" si="107"/>
        <v>0</v>
      </c>
      <c r="FT93" s="386">
        <f t="shared" si="107"/>
        <v>0</v>
      </c>
      <c r="FU93" s="386">
        <f t="shared" si="107"/>
        <v>0</v>
      </c>
      <c r="FV93" s="386">
        <f t="shared" si="107"/>
        <v>0</v>
      </c>
      <c r="FW93" s="386">
        <f t="shared" si="107"/>
        <v>0</v>
      </c>
      <c r="FX93" s="386">
        <f t="shared" si="107"/>
        <v>0</v>
      </c>
      <c r="FY93" s="386">
        <f t="shared" si="107"/>
        <v>0</v>
      </c>
      <c r="FZ93" s="386">
        <f t="shared" si="107"/>
        <v>0</v>
      </c>
      <c r="GA93" s="987">
        <f t="shared" si="107"/>
        <v>0</v>
      </c>
      <c r="GB93" s="2453"/>
      <c r="GC93" s="2454">
        <f t="shared" ref="GC93:GZ93" si="108">IF((GC87-GC89)=0,0,(SUM(GC91:GC92)-GC90)/(GC87-GC89))</f>
        <v>443.20500000000044</v>
      </c>
      <c r="GD93" s="2455">
        <f t="shared" si="108"/>
        <v>410.12144444444414</v>
      </c>
      <c r="GE93" s="2455">
        <f t="shared" si="108"/>
        <v>340.80909722222231</v>
      </c>
      <c r="GF93" s="2455">
        <f t="shared" si="108"/>
        <v>304.48987421383623</v>
      </c>
      <c r="GG93" s="2455">
        <f t="shared" si="108"/>
        <v>266.21404624277449</v>
      </c>
      <c r="GH93" s="2455">
        <f t="shared" si="108"/>
        <v>403.3288888888888</v>
      </c>
      <c r="GI93" s="2455">
        <f t="shared" si="108"/>
        <v>475.61594594594368</v>
      </c>
      <c r="GJ93" s="2455">
        <f t="shared" si="108"/>
        <v>701.18306306306306</v>
      </c>
      <c r="GK93" s="2455">
        <f t="shared" si="108"/>
        <v>631.53416666666556</v>
      </c>
      <c r="GL93" s="2455">
        <f t="shared" si="108"/>
        <v>344.92849999999959</v>
      </c>
      <c r="GM93" s="2455">
        <f t="shared" si="108"/>
        <v>391.421182795699</v>
      </c>
      <c r="GN93" s="2456">
        <f t="shared" si="108"/>
        <v>-196.01962121212122</v>
      </c>
      <c r="GO93" s="2454">
        <f t="shared" si="108"/>
        <v>0</v>
      </c>
      <c r="GP93" s="2455">
        <f t="shared" si="108"/>
        <v>0</v>
      </c>
      <c r="GQ93" s="2455">
        <f t="shared" si="108"/>
        <v>0</v>
      </c>
      <c r="GR93" s="2455">
        <f t="shared" si="108"/>
        <v>0</v>
      </c>
      <c r="GS93" s="2455">
        <f t="shared" si="108"/>
        <v>0</v>
      </c>
      <c r="GT93" s="2455">
        <f t="shared" si="108"/>
        <v>0</v>
      </c>
      <c r="GU93" s="2455">
        <f t="shared" si="108"/>
        <v>0</v>
      </c>
      <c r="GV93" s="2455">
        <f t="shared" si="108"/>
        <v>0</v>
      </c>
      <c r="GW93" s="2455">
        <f t="shared" si="108"/>
        <v>0</v>
      </c>
      <c r="GX93" s="2455">
        <f t="shared" si="108"/>
        <v>0</v>
      </c>
      <c r="GY93" s="2455">
        <f t="shared" si="108"/>
        <v>0</v>
      </c>
      <c r="GZ93" s="2456">
        <f t="shared" si="108"/>
        <v>0</v>
      </c>
      <c r="HB93" s="386">
        <f t="shared" ref="HB93:HM93" si="109">IF(HB87=0,0,SUM(HB91:HB92)/HB87)</f>
        <v>0</v>
      </c>
      <c r="HC93" s="386">
        <f t="shared" si="109"/>
        <v>0</v>
      </c>
      <c r="HD93" s="386">
        <f t="shared" si="109"/>
        <v>0</v>
      </c>
      <c r="HE93" s="386">
        <f t="shared" si="109"/>
        <v>0</v>
      </c>
      <c r="HF93" s="386">
        <f t="shared" si="109"/>
        <v>0</v>
      </c>
      <c r="HG93" s="386">
        <f t="shared" si="109"/>
        <v>0</v>
      </c>
      <c r="HH93" s="386">
        <f t="shared" si="109"/>
        <v>0</v>
      </c>
      <c r="HI93" s="386">
        <f t="shared" si="109"/>
        <v>0</v>
      </c>
      <c r="HJ93" s="386">
        <f t="shared" si="109"/>
        <v>0</v>
      </c>
      <c r="HK93" s="386">
        <f t="shared" si="109"/>
        <v>0</v>
      </c>
      <c r="HL93" s="386">
        <f t="shared" si="109"/>
        <v>0</v>
      </c>
      <c r="HM93" s="987">
        <f t="shared" si="109"/>
        <v>0</v>
      </c>
    </row>
    <row r="94" spans="1:221">
      <c r="A94" s="326" t="s">
        <v>1594</v>
      </c>
      <c r="B94" s="326" t="s">
        <v>1579</v>
      </c>
      <c r="C94" s="326" t="s">
        <v>1580</v>
      </c>
      <c r="D94" s="1036" t="s">
        <v>2154</v>
      </c>
      <c r="E94" s="387" t="s">
        <v>2154</v>
      </c>
      <c r="F94" s="387" t="s">
        <v>2154</v>
      </c>
      <c r="G94" s="387" t="s">
        <v>2154</v>
      </c>
      <c r="H94" s="387" t="s">
        <v>2154</v>
      </c>
      <c r="I94" s="387" t="s">
        <v>2154</v>
      </c>
      <c r="J94" s="387" t="s">
        <v>2154</v>
      </c>
      <c r="K94" s="387" t="s">
        <v>2154</v>
      </c>
      <c r="L94" s="387" t="s">
        <v>2154</v>
      </c>
      <c r="M94" s="387" t="s">
        <v>2154</v>
      </c>
      <c r="N94" s="387" t="s">
        <v>2154</v>
      </c>
      <c r="O94" s="988" t="s">
        <v>2154</v>
      </c>
      <c r="P94" s="387">
        <v>25775.64</v>
      </c>
      <c r="Q94" s="387">
        <v>19002.62</v>
      </c>
      <c r="R94" s="387">
        <v>38433.03</v>
      </c>
      <c r="S94" s="387">
        <v>31646.6</v>
      </c>
      <c r="T94" s="387">
        <v>35173.15</v>
      </c>
      <c r="U94" s="387">
        <v>39682.83</v>
      </c>
      <c r="V94" s="387">
        <v>75945.12000000001</v>
      </c>
      <c r="W94" s="387">
        <v>84530.559999999998</v>
      </c>
      <c r="X94" s="387">
        <v>117611.62000000002</v>
      </c>
      <c r="Y94" s="387">
        <v>152502.78999999998</v>
      </c>
      <c r="Z94" s="387">
        <v>114492.06000000001</v>
      </c>
      <c r="AA94" s="988">
        <v>111030.83</v>
      </c>
      <c r="AB94" s="387"/>
      <c r="AC94" s="387"/>
      <c r="AD94" s="387"/>
      <c r="AE94" s="387"/>
      <c r="AF94" s="387"/>
      <c r="AG94" s="387"/>
      <c r="AH94" s="387"/>
      <c r="AI94" s="387"/>
      <c r="AJ94" s="387"/>
      <c r="AK94" s="387"/>
      <c r="AL94" s="387"/>
      <c r="AM94" s="988"/>
      <c r="AN94" s="387"/>
      <c r="AO94" s="387"/>
      <c r="AP94" s="387"/>
      <c r="AQ94" s="387"/>
      <c r="AR94" s="387"/>
      <c r="AS94" s="387"/>
      <c r="AT94" s="387"/>
      <c r="AU94" s="387"/>
      <c r="AV94" s="387"/>
      <c r="AW94" s="387"/>
      <c r="AX94" s="387"/>
      <c r="AY94" s="988"/>
      <c r="AZ94" s="387"/>
      <c r="BA94" s="387"/>
      <c r="BB94" s="387"/>
      <c r="BC94" s="387"/>
      <c r="BD94" s="387"/>
      <c r="BE94" s="387"/>
      <c r="BF94" s="387"/>
      <c r="BG94" s="387"/>
      <c r="BH94" s="387"/>
      <c r="BI94" s="387"/>
      <c r="BJ94" s="387"/>
      <c r="BK94" s="988"/>
      <c r="BL94" s="387"/>
      <c r="BM94" s="387"/>
      <c r="BN94" s="387"/>
      <c r="BO94" s="387"/>
      <c r="BP94" s="387"/>
      <c r="BQ94" s="387"/>
      <c r="BR94" s="387"/>
      <c r="BS94" s="387"/>
      <c r="BT94" s="387"/>
      <c r="BU94" s="387"/>
      <c r="BV94" s="387"/>
      <c r="BW94" s="988"/>
      <c r="BX94" s="387"/>
      <c r="BY94" s="387"/>
      <c r="BZ94" s="387"/>
      <c r="CA94" s="387"/>
      <c r="CB94" s="387"/>
      <c r="CC94" s="387"/>
      <c r="CD94" s="387"/>
      <c r="CE94" s="387"/>
      <c r="CF94" s="387"/>
      <c r="CG94" s="387"/>
      <c r="CH94" s="387"/>
      <c r="CI94" s="988"/>
      <c r="CJ94" s="387"/>
      <c r="CK94" s="387"/>
      <c r="CL94" s="387"/>
      <c r="CM94" s="387"/>
      <c r="CN94" s="387"/>
      <c r="CO94" s="387"/>
      <c r="CP94" s="387"/>
      <c r="CQ94" s="387"/>
      <c r="CR94" s="387"/>
      <c r="CS94" s="387"/>
      <c r="CT94" s="387"/>
      <c r="CU94" s="988"/>
      <c r="CV94" s="387"/>
      <c r="CW94" s="387"/>
      <c r="CX94" s="387"/>
      <c r="CY94" s="387"/>
      <c r="CZ94" s="387"/>
      <c r="DA94" s="387"/>
      <c r="DB94" s="387"/>
      <c r="DC94" s="387"/>
      <c r="DD94" s="387"/>
      <c r="DE94" s="387"/>
      <c r="DF94" s="387"/>
      <c r="DG94" s="988"/>
      <c r="DH94" s="387"/>
      <c r="DI94" s="387"/>
      <c r="DJ94" s="387"/>
      <c r="DK94" s="387"/>
      <c r="DL94" s="387"/>
      <c r="DM94" s="387"/>
      <c r="DN94" s="387"/>
      <c r="DO94" s="387"/>
      <c r="DP94" s="387"/>
      <c r="DQ94" s="387"/>
      <c r="DR94" s="387"/>
      <c r="DS94" s="988"/>
      <c r="DT94" s="387" t="s">
        <v>2154</v>
      </c>
      <c r="DU94" s="387" t="s">
        <v>2154</v>
      </c>
      <c r="DV94" s="387" t="s">
        <v>2154</v>
      </c>
      <c r="DW94" s="387" t="s">
        <v>2154</v>
      </c>
      <c r="DX94" s="387" t="s">
        <v>2154</v>
      </c>
      <c r="DY94" s="387" t="s">
        <v>2154</v>
      </c>
      <c r="DZ94" s="387" t="s">
        <v>2154</v>
      </c>
      <c r="EA94" s="387" t="s">
        <v>2154</v>
      </c>
      <c r="EB94" s="387" t="s">
        <v>2154</v>
      </c>
      <c r="EC94" s="387" t="s">
        <v>2154</v>
      </c>
      <c r="ED94" s="387" t="s">
        <v>2154</v>
      </c>
      <c r="EE94" s="988" t="s">
        <v>2154</v>
      </c>
      <c r="EF94" s="387"/>
      <c r="EG94" s="387"/>
      <c r="EH94" s="387"/>
      <c r="EI94" s="387"/>
      <c r="EJ94" s="387"/>
      <c r="EK94" s="387"/>
      <c r="EL94" s="387"/>
      <c r="EM94" s="387"/>
      <c r="EN94" s="387"/>
      <c r="EO94" s="387"/>
      <c r="EP94" s="387"/>
      <c r="EQ94" s="988"/>
      <c r="ER94" s="387"/>
      <c r="ES94" s="387"/>
      <c r="ET94" s="387"/>
      <c r="EU94" s="387"/>
      <c r="EV94" s="387"/>
      <c r="EW94" s="387"/>
      <c r="EX94" s="387"/>
      <c r="EY94" s="387"/>
      <c r="EZ94" s="387"/>
      <c r="FA94" s="387"/>
      <c r="FB94" s="387"/>
      <c r="FC94" s="988"/>
      <c r="FD94" s="387"/>
      <c r="FE94" s="387"/>
      <c r="FF94" s="387"/>
      <c r="FG94" s="387"/>
      <c r="FH94" s="387"/>
      <c r="FI94" s="387"/>
      <c r="FJ94" s="387"/>
      <c r="FK94" s="387"/>
      <c r="FL94" s="387"/>
      <c r="FM94" s="387"/>
      <c r="FN94" s="387"/>
      <c r="FO94" s="988"/>
      <c r="FP94" s="387"/>
      <c r="FQ94" s="387"/>
      <c r="FR94" s="387"/>
      <c r="FS94" s="387"/>
      <c r="FT94" s="387"/>
      <c r="FU94" s="387"/>
      <c r="FV94" s="387"/>
      <c r="FW94" s="387"/>
      <c r="FX94" s="387"/>
      <c r="FY94" s="387"/>
      <c r="FZ94" s="387"/>
      <c r="GA94" s="988"/>
      <c r="GB94" s="2453"/>
      <c r="GC94" s="1036">
        <f t="shared" ref="GC94:GN103" si="110">SUMPRODUCT(--($D$6:$GA$6=GC$6),$D94:$GA94,$D$278:$GA$278)</f>
        <v>25775.64</v>
      </c>
      <c r="GD94" s="387">
        <f t="shared" si="110"/>
        <v>19002.62</v>
      </c>
      <c r="GE94" s="387">
        <f t="shared" si="110"/>
        <v>38433.03</v>
      </c>
      <c r="GF94" s="387">
        <f t="shared" si="110"/>
        <v>31646.6</v>
      </c>
      <c r="GG94" s="387">
        <f t="shared" si="110"/>
        <v>35173.15</v>
      </c>
      <c r="GH94" s="387">
        <f t="shared" si="110"/>
        <v>39682.83</v>
      </c>
      <c r="GI94" s="387">
        <f t="shared" si="110"/>
        <v>75945.12000000001</v>
      </c>
      <c r="GJ94" s="387">
        <f t="shared" si="110"/>
        <v>84530.559999999998</v>
      </c>
      <c r="GK94" s="387">
        <f t="shared" si="110"/>
        <v>117611.62000000002</v>
      </c>
      <c r="GL94" s="387">
        <f t="shared" si="110"/>
        <v>152502.78999999998</v>
      </c>
      <c r="GM94" s="387">
        <f t="shared" si="110"/>
        <v>114492.06000000001</v>
      </c>
      <c r="GN94" s="988">
        <f t="shared" si="110"/>
        <v>111030.83</v>
      </c>
      <c r="GO94" s="1036">
        <f t="shared" ref="GO94:GZ103" si="111">SUMPRODUCT(--($DT$6:$GA$6=GO$6),$DT94:$GA94,$DT$278:$GA$278)</f>
        <v>0</v>
      </c>
      <c r="GP94" s="387">
        <f t="shared" si="111"/>
        <v>0</v>
      </c>
      <c r="GQ94" s="387">
        <f t="shared" si="111"/>
        <v>0</v>
      </c>
      <c r="GR94" s="387">
        <f t="shared" si="111"/>
        <v>0</v>
      </c>
      <c r="GS94" s="387">
        <f t="shared" si="111"/>
        <v>0</v>
      </c>
      <c r="GT94" s="387">
        <f t="shared" si="111"/>
        <v>0</v>
      </c>
      <c r="GU94" s="387">
        <f t="shared" si="111"/>
        <v>0</v>
      </c>
      <c r="GV94" s="387">
        <f t="shared" si="111"/>
        <v>0</v>
      </c>
      <c r="GW94" s="387">
        <f t="shared" si="111"/>
        <v>0</v>
      </c>
      <c r="GX94" s="387">
        <f t="shared" si="111"/>
        <v>0</v>
      </c>
      <c r="GY94" s="387">
        <f t="shared" si="111"/>
        <v>0</v>
      </c>
      <c r="GZ94" s="988">
        <f t="shared" si="111"/>
        <v>0</v>
      </c>
      <c r="HB94" s="387"/>
      <c r="HC94" s="387"/>
      <c r="HD94" s="387"/>
      <c r="HE94" s="387"/>
      <c r="HF94" s="387"/>
      <c r="HG94" s="387"/>
      <c r="HH94" s="387"/>
      <c r="HI94" s="387"/>
      <c r="HJ94" s="387"/>
      <c r="HK94" s="387"/>
      <c r="HL94" s="387"/>
      <c r="HM94" s="988"/>
    </row>
    <row r="95" spans="1:221">
      <c r="A95" s="326" t="s">
        <v>1595</v>
      </c>
      <c r="B95" s="326" t="s">
        <v>1579</v>
      </c>
      <c r="C95" s="326" t="s">
        <v>1580</v>
      </c>
      <c r="D95" s="1036" t="s">
        <v>2154</v>
      </c>
      <c r="E95" s="387" t="s">
        <v>2154</v>
      </c>
      <c r="F95" s="387" t="s">
        <v>2154</v>
      </c>
      <c r="G95" s="387" t="s">
        <v>2154</v>
      </c>
      <c r="H95" s="387" t="s">
        <v>2154</v>
      </c>
      <c r="I95" s="387" t="s">
        <v>2154</v>
      </c>
      <c r="J95" s="387" t="s">
        <v>2154</v>
      </c>
      <c r="K95" s="387" t="s">
        <v>2154</v>
      </c>
      <c r="L95" s="387" t="s">
        <v>2154</v>
      </c>
      <c r="M95" s="387" t="s">
        <v>2154</v>
      </c>
      <c r="N95" s="387" t="s">
        <v>2154</v>
      </c>
      <c r="O95" s="988" t="s">
        <v>2154</v>
      </c>
      <c r="P95" s="387">
        <v>498</v>
      </c>
      <c r="Q95" s="387">
        <v>498</v>
      </c>
      <c r="R95" s="387">
        <v>249</v>
      </c>
      <c r="S95" s="387">
        <v>498</v>
      </c>
      <c r="T95" s="387">
        <v>498</v>
      </c>
      <c r="U95" s="387">
        <v>498</v>
      </c>
      <c r="V95" s="387">
        <v>1210.3800000000001</v>
      </c>
      <c r="W95" s="387">
        <v>1459.3799999999997</v>
      </c>
      <c r="X95" s="387">
        <v>2155.1899999999996</v>
      </c>
      <c r="Y95" s="387">
        <v>3404.25</v>
      </c>
      <c r="Z95" s="387">
        <v>3423.83</v>
      </c>
      <c r="AA95" s="988">
        <v>2138.6299999999997</v>
      </c>
      <c r="AB95" s="387"/>
      <c r="AC95" s="387"/>
      <c r="AD95" s="387"/>
      <c r="AE95" s="387"/>
      <c r="AF95" s="387"/>
      <c r="AG95" s="387"/>
      <c r="AH95" s="387"/>
      <c r="AI95" s="387"/>
      <c r="AJ95" s="387"/>
      <c r="AK95" s="387"/>
      <c r="AL95" s="387"/>
      <c r="AM95" s="988"/>
      <c r="AN95" s="387"/>
      <c r="AO95" s="387"/>
      <c r="AP95" s="387"/>
      <c r="AQ95" s="387"/>
      <c r="AR95" s="387"/>
      <c r="AS95" s="387"/>
      <c r="AT95" s="387"/>
      <c r="AU95" s="387"/>
      <c r="AV95" s="387"/>
      <c r="AW95" s="387"/>
      <c r="AX95" s="387"/>
      <c r="AY95" s="988"/>
      <c r="AZ95" s="387"/>
      <c r="BA95" s="387"/>
      <c r="BB95" s="387"/>
      <c r="BC95" s="387"/>
      <c r="BD95" s="387"/>
      <c r="BE95" s="387"/>
      <c r="BF95" s="387"/>
      <c r="BG95" s="387"/>
      <c r="BH95" s="387"/>
      <c r="BI95" s="387"/>
      <c r="BJ95" s="387"/>
      <c r="BK95" s="988"/>
      <c r="BL95" s="387"/>
      <c r="BM95" s="387"/>
      <c r="BN95" s="387"/>
      <c r="BO95" s="387"/>
      <c r="BP95" s="387"/>
      <c r="BQ95" s="387"/>
      <c r="BR95" s="387"/>
      <c r="BS95" s="387"/>
      <c r="BT95" s="387"/>
      <c r="BU95" s="387"/>
      <c r="BV95" s="387"/>
      <c r="BW95" s="988"/>
      <c r="BX95" s="387"/>
      <c r="BY95" s="387"/>
      <c r="BZ95" s="387"/>
      <c r="CA95" s="387"/>
      <c r="CB95" s="387"/>
      <c r="CC95" s="387"/>
      <c r="CD95" s="387"/>
      <c r="CE95" s="387"/>
      <c r="CF95" s="387"/>
      <c r="CG95" s="387"/>
      <c r="CH95" s="387"/>
      <c r="CI95" s="988"/>
      <c r="CJ95" s="387"/>
      <c r="CK95" s="387"/>
      <c r="CL95" s="387"/>
      <c r="CM95" s="387"/>
      <c r="CN95" s="387"/>
      <c r="CO95" s="387"/>
      <c r="CP95" s="387"/>
      <c r="CQ95" s="387"/>
      <c r="CR95" s="387"/>
      <c r="CS95" s="387"/>
      <c r="CT95" s="387"/>
      <c r="CU95" s="988"/>
      <c r="CV95" s="387"/>
      <c r="CW95" s="387"/>
      <c r="CX95" s="387"/>
      <c r="CY95" s="387"/>
      <c r="CZ95" s="387"/>
      <c r="DA95" s="387"/>
      <c r="DB95" s="387"/>
      <c r="DC95" s="387"/>
      <c r="DD95" s="387"/>
      <c r="DE95" s="387"/>
      <c r="DF95" s="387"/>
      <c r="DG95" s="988"/>
      <c r="DH95" s="387"/>
      <c r="DI95" s="387"/>
      <c r="DJ95" s="387"/>
      <c r="DK95" s="387"/>
      <c r="DL95" s="387"/>
      <c r="DM95" s="387"/>
      <c r="DN95" s="387"/>
      <c r="DO95" s="387"/>
      <c r="DP95" s="387"/>
      <c r="DQ95" s="387"/>
      <c r="DR95" s="387"/>
      <c r="DS95" s="988"/>
      <c r="DT95" s="387" t="s">
        <v>2154</v>
      </c>
      <c r="DU95" s="387" t="s">
        <v>2154</v>
      </c>
      <c r="DV95" s="387" t="s">
        <v>2154</v>
      </c>
      <c r="DW95" s="387" t="s">
        <v>2154</v>
      </c>
      <c r="DX95" s="387" t="s">
        <v>2154</v>
      </c>
      <c r="DY95" s="387" t="s">
        <v>2154</v>
      </c>
      <c r="DZ95" s="387" t="s">
        <v>2154</v>
      </c>
      <c r="EA95" s="387" t="s">
        <v>2154</v>
      </c>
      <c r="EB95" s="387" t="s">
        <v>2154</v>
      </c>
      <c r="EC95" s="387" t="s">
        <v>2154</v>
      </c>
      <c r="ED95" s="387" t="s">
        <v>2154</v>
      </c>
      <c r="EE95" s="988" t="s">
        <v>2154</v>
      </c>
      <c r="EF95" s="387"/>
      <c r="EG95" s="387"/>
      <c r="EH95" s="387"/>
      <c r="EI95" s="387"/>
      <c r="EJ95" s="387"/>
      <c r="EK95" s="387"/>
      <c r="EL95" s="387"/>
      <c r="EM95" s="387"/>
      <c r="EN95" s="387"/>
      <c r="EO95" s="387"/>
      <c r="EP95" s="387"/>
      <c r="EQ95" s="988"/>
      <c r="ER95" s="387"/>
      <c r="ES95" s="387"/>
      <c r="ET95" s="387"/>
      <c r="EU95" s="387"/>
      <c r="EV95" s="387"/>
      <c r="EW95" s="387"/>
      <c r="EX95" s="387"/>
      <c r="EY95" s="387"/>
      <c r="EZ95" s="387"/>
      <c r="FA95" s="387"/>
      <c r="FB95" s="387"/>
      <c r="FC95" s="988"/>
      <c r="FD95" s="387"/>
      <c r="FE95" s="387"/>
      <c r="FF95" s="387"/>
      <c r="FG95" s="387"/>
      <c r="FH95" s="387"/>
      <c r="FI95" s="387"/>
      <c r="FJ95" s="387"/>
      <c r="FK95" s="387"/>
      <c r="FL95" s="387"/>
      <c r="FM95" s="387"/>
      <c r="FN95" s="387"/>
      <c r="FO95" s="988"/>
      <c r="FP95" s="387"/>
      <c r="FQ95" s="387"/>
      <c r="FR95" s="387"/>
      <c r="FS95" s="387"/>
      <c r="FT95" s="387"/>
      <c r="FU95" s="387"/>
      <c r="FV95" s="387"/>
      <c r="FW95" s="387"/>
      <c r="FX95" s="387"/>
      <c r="FY95" s="387"/>
      <c r="FZ95" s="387"/>
      <c r="GA95" s="988"/>
      <c r="GB95" s="109"/>
      <c r="GC95" s="1036">
        <f t="shared" si="110"/>
        <v>498</v>
      </c>
      <c r="GD95" s="387">
        <f t="shared" si="110"/>
        <v>498</v>
      </c>
      <c r="GE95" s="387">
        <f t="shared" si="110"/>
        <v>249</v>
      </c>
      <c r="GF95" s="387">
        <f t="shared" si="110"/>
        <v>498</v>
      </c>
      <c r="GG95" s="387">
        <f t="shared" si="110"/>
        <v>498</v>
      </c>
      <c r="GH95" s="387">
        <f t="shared" si="110"/>
        <v>498</v>
      </c>
      <c r="GI95" s="387">
        <f t="shared" si="110"/>
        <v>1210.3800000000001</v>
      </c>
      <c r="GJ95" s="387">
        <f t="shared" si="110"/>
        <v>1459.3799999999997</v>
      </c>
      <c r="GK95" s="387">
        <f t="shared" si="110"/>
        <v>2155.1899999999996</v>
      </c>
      <c r="GL95" s="387">
        <f t="shared" si="110"/>
        <v>3404.25</v>
      </c>
      <c r="GM95" s="387">
        <f t="shared" si="110"/>
        <v>3423.83</v>
      </c>
      <c r="GN95" s="988">
        <f t="shared" si="110"/>
        <v>2138.6299999999997</v>
      </c>
      <c r="GO95" s="1036">
        <f t="shared" si="111"/>
        <v>0</v>
      </c>
      <c r="GP95" s="387">
        <f t="shared" si="111"/>
        <v>0</v>
      </c>
      <c r="GQ95" s="387">
        <f t="shared" si="111"/>
        <v>0</v>
      </c>
      <c r="GR95" s="387">
        <f t="shared" si="111"/>
        <v>0</v>
      </c>
      <c r="GS95" s="387">
        <f t="shared" si="111"/>
        <v>0</v>
      </c>
      <c r="GT95" s="387">
        <f t="shared" si="111"/>
        <v>0</v>
      </c>
      <c r="GU95" s="387">
        <f t="shared" si="111"/>
        <v>0</v>
      </c>
      <c r="GV95" s="387">
        <f t="shared" si="111"/>
        <v>0</v>
      </c>
      <c r="GW95" s="387">
        <f t="shared" si="111"/>
        <v>0</v>
      </c>
      <c r="GX95" s="387">
        <f t="shared" si="111"/>
        <v>0</v>
      </c>
      <c r="GY95" s="387">
        <f t="shared" si="111"/>
        <v>0</v>
      </c>
      <c r="GZ95" s="988">
        <f t="shared" si="111"/>
        <v>0</v>
      </c>
      <c r="HB95" s="387"/>
      <c r="HC95" s="387"/>
      <c r="HD95" s="387"/>
      <c r="HE95" s="387"/>
      <c r="HF95" s="387"/>
      <c r="HG95" s="387"/>
      <c r="HH95" s="387"/>
      <c r="HI95" s="387"/>
      <c r="HJ95" s="387"/>
      <c r="HK95" s="387"/>
      <c r="HL95" s="387"/>
      <c r="HM95" s="988"/>
    </row>
    <row r="96" spans="1:221">
      <c r="A96" s="326" t="s">
        <v>1594</v>
      </c>
      <c r="B96" s="326" t="s">
        <v>1990</v>
      </c>
      <c r="C96" s="326" t="s">
        <v>3687</v>
      </c>
      <c r="D96" s="1036" t="s">
        <v>2154</v>
      </c>
      <c r="E96" s="387" t="s">
        <v>2154</v>
      </c>
      <c r="F96" s="387" t="s">
        <v>2154</v>
      </c>
      <c r="G96" s="387" t="s">
        <v>2154</v>
      </c>
      <c r="H96" s="387" t="s">
        <v>2154</v>
      </c>
      <c r="I96" s="387" t="s">
        <v>2154</v>
      </c>
      <c r="J96" s="387" t="s">
        <v>2154</v>
      </c>
      <c r="K96" s="387" t="s">
        <v>2154</v>
      </c>
      <c r="L96" s="387" t="s">
        <v>2154</v>
      </c>
      <c r="M96" s="387" t="s">
        <v>2154</v>
      </c>
      <c r="N96" s="387" t="s">
        <v>2154</v>
      </c>
      <c r="O96" s="988" t="s">
        <v>2154</v>
      </c>
      <c r="P96" s="387">
        <v>3904.93</v>
      </c>
      <c r="Q96" s="387">
        <v>4930.2999999999993</v>
      </c>
      <c r="R96" s="387">
        <v>3096.6700000000005</v>
      </c>
      <c r="S96" s="387">
        <v>4684.4400000000005</v>
      </c>
      <c r="T96" s="387">
        <v>4393.22</v>
      </c>
      <c r="U96" s="387">
        <v>4724.4400000000005</v>
      </c>
      <c r="V96" s="387">
        <v>4659.66</v>
      </c>
      <c r="W96" s="387">
        <v>5217.0399999999991</v>
      </c>
      <c r="X96" s="387">
        <v>4866.97</v>
      </c>
      <c r="Y96" s="387">
        <v>5125.88</v>
      </c>
      <c r="Z96" s="387">
        <v>5120.59</v>
      </c>
      <c r="AA96" s="988">
        <v>5848.9</v>
      </c>
      <c r="AB96" s="387"/>
      <c r="AC96" s="387"/>
      <c r="AD96" s="387"/>
      <c r="AE96" s="387"/>
      <c r="AF96" s="387"/>
      <c r="AG96" s="387"/>
      <c r="AH96" s="387"/>
      <c r="AI96" s="387"/>
      <c r="AJ96" s="387"/>
      <c r="AK96" s="387"/>
      <c r="AL96" s="387"/>
      <c r="AM96" s="988"/>
      <c r="AN96" s="387"/>
      <c r="AO96" s="387"/>
      <c r="AP96" s="387"/>
      <c r="AQ96" s="387"/>
      <c r="AR96" s="387"/>
      <c r="AS96" s="387"/>
      <c r="AT96" s="387"/>
      <c r="AU96" s="387"/>
      <c r="AV96" s="387"/>
      <c r="AW96" s="387"/>
      <c r="AX96" s="387"/>
      <c r="AY96" s="988"/>
      <c r="AZ96" s="387"/>
      <c r="BA96" s="387"/>
      <c r="BB96" s="387"/>
      <c r="BC96" s="387"/>
      <c r="BD96" s="387"/>
      <c r="BE96" s="387"/>
      <c r="BF96" s="387"/>
      <c r="BG96" s="387"/>
      <c r="BH96" s="387"/>
      <c r="BI96" s="387"/>
      <c r="BJ96" s="387"/>
      <c r="BK96" s="988"/>
      <c r="BL96" s="387"/>
      <c r="BM96" s="387"/>
      <c r="BN96" s="387"/>
      <c r="BO96" s="387"/>
      <c r="BP96" s="387"/>
      <c r="BQ96" s="387"/>
      <c r="BR96" s="387"/>
      <c r="BS96" s="387"/>
      <c r="BT96" s="387"/>
      <c r="BU96" s="387"/>
      <c r="BV96" s="387"/>
      <c r="BW96" s="988"/>
      <c r="BX96" s="387"/>
      <c r="BY96" s="387"/>
      <c r="BZ96" s="387"/>
      <c r="CA96" s="387"/>
      <c r="CB96" s="387"/>
      <c r="CC96" s="387"/>
      <c r="CD96" s="387"/>
      <c r="CE96" s="387"/>
      <c r="CF96" s="387"/>
      <c r="CG96" s="387"/>
      <c r="CH96" s="387"/>
      <c r="CI96" s="988"/>
      <c r="CJ96" s="387"/>
      <c r="CK96" s="387"/>
      <c r="CL96" s="387"/>
      <c r="CM96" s="387"/>
      <c r="CN96" s="387"/>
      <c r="CO96" s="387"/>
      <c r="CP96" s="387"/>
      <c r="CQ96" s="387"/>
      <c r="CR96" s="387"/>
      <c r="CS96" s="387"/>
      <c r="CT96" s="387"/>
      <c r="CU96" s="988"/>
      <c r="CV96" s="387"/>
      <c r="CW96" s="387"/>
      <c r="CX96" s="387"/>
      <c r="CY96" s="387"/>
      <c r="CZ96" s="387"/>
      <c r="DA96" s="387"/>
      <c r="DB96" s="387"/>
      <c r="DC96" s="387"/>
      <c r="DD96" s="387"/>
      <c r="DE96" s="387"/>
      <c r="DF96" s="387"/>
      <c r="DG96" s="988"/>
      <c r="DH96" s="387"/>
      <c r="DI96" s="387"/>
      <c r="DJ96" s="387"/>
      <c r="DK96" s="387"/>
      <c r="DL96" s="387"/>
      <c r="DM96" s="387"/>
      <c r="DN96" s="387"/>
      <c r="DO96" s="387"/>
      <c r="DP96" s="387"/>
      <c r="DQ96" s="387"/>
      <c r="DR96" s="387"/>
      <c r="DS96" s="988"/>
      <c r="DT96" s="387" t="s">
        <v>2154</v>
      </c>
      <c r="DU96" s="387" t="s">
        <v>2154</v>
      </c>
      <c r="DV96" s="387" t="s">
        <v>2154</v>
      </c>
      <c r="DW96" s="387" t="s">
        <v>2154</v>
      </c>
      <c r="DX96" s="387" t="s">
        <v>2154</v>
      </c>
      <c r="DY96" s="387" t="s">
        <v>2154</v>
      </c>
      <c r="DZ96" s="387" t="s">
        <v>2154</v>
      </c>
      <c r="EA96" s="387" t="s">
        <v>2154</v>
      </c>
      <c r="EB96" s="387" t="s">
        <v>2154</v>
      </c>
      <c r="EC96" s="387" t="s">
        <v>2154</v>
      </c>
      <c r="ED96" s="387" t="s">
        <v>2154</v>
      </c>
      <c r="EE96" s="988" t="s">
        <v>2154</v>
      </c>
      <c r="EF96" s="387"/>
      <c r="EG96" s="387"/>
      <c r="EH96" s="387"/>
      <c r="EI96" s="387"/>
      <c r="EJ96" s="387"/>
      <c r="EK96" s="387"/>
      <c r="EL96" s="387"/>
      <c r="EM96" s="387"/>
      <c r="EN96" s="387"/>
      <c r="EO96" s="387"/>
      <c r="EP96" s="387"/>
      <c r="EQ96" s="988"/>
      <c r="ER96" s="387"/>
      <c r="ES96" s="387"/>
      <c r="ET96" s="387"/>
      <c r="EU96" s="387"/>
      <c r="EV96" s="387"/>
      <c r="EW96" s="387"/>
      <c r="EX96" s="387"/>
      <c r="EY96" s="387"/>
      <c r="EZ96" s="387"/>
      <c r="FA96" s="387"/>
      <c r="FB96" s="387"/>
      <c r="FC96" s="988"/>
      <c r="FD96" s="387"/>
      <c r="FE96" s="387"/>
      <c r="FF96" s="387"/>
      <c r="FG96" s="387"/>
      <c r="FH96" s="387"/>
      <c r="FI96" s="387"/>
      <c r="FJ96" s="387"/>
      <c r="FK96" s="387"/>
      <c r="FL96" s="387"/>
      <c r="FM96" s="387"/>
      <c r="FN96" s="387"/>
      <c r="FO96" s="988"/>
      <c r="FP96" s="387"/>
      <c r="FQ96" s="387"/>
      <c r="FR96" s="387"/>
      <c r="FS96" s="387"/>
      <c r="FT96" s="387"/>
      <c r="FU96" s="387"/>
      <c r="FV96" s="387"/>
      <c r="FW96" s="387"/>
      <c r="FX96" s="387"/>
      <c r="FY96" s="387"/>
      <c r="FZ96" s="387"/>
      <c r="GA96" s="988"/>
      <c r="GB96" s="109"/>
      <c r="GC96" s="1036">
        <f t="shared" si="110"/>
        <v>3904.93</v>
      </c>
      <c r="GD96" s="387">
        <f t="shared" si="110"/>
        <v>4930.2999999999993</v>
      </c>
      <c r="GE96" s="387">
        <f t="shared" si="110"/>
        <v>3096.6700000000005</v>
      </c>
      <c r="GF96" s="387">
        <f t="shared" si="110"/>
        <v>4684.4400000000005</v>
      </c>
      <c r="GG96" s="387">
        <f t="shared" si="110"/>
        <v>4393.22</v>
      </c>
      <c r="GH96" s="387">
        <f t="shared" si="110"/>
        <v>4724.4400000000005</v>
      </c>
      <c r="GI96" s="387">
        <f t="shared" si="110"/>
        <v>4659.66</v>
      </c>
      <c r="GJ96" s="387">
        <f t="shared" si="110"/>
        <v>5217.0399999999991</v>
      </c>
      <c r="GK96" s="387">
        <f t="shared" si="110"/>
        <v>4866.97</v>
      </c>
      <c r="GL96" s="387">
        <f t="shared" si="110"/>
        <v>5125.88</v>
      </c>
      <c r="GM96" s="387">
        <f t="shared" si="110"/>
        <v>5120.59</v>
      </c>
      <c r="GN96" s="988">
        <f t="shared" si="110"/>
        <v>5848.9</v>
      </c>
      <c r="GO96" s="1036">
        <f t="shared" si="111"/>
        <v>0</v>
      </c>
      <c r="GP96" s="387">
        <f t="shared" si="111"/>
        <v>0</v>
      </c>
      <c r="GQ96" s="387">
        <f t="shared" si="111"/>
        <v>0</v>
      </c>
      <c r="GR96" s="387">
        <f t="shared" si="111"/>
        <v>0</v>
      </c>
      <c r="GS96" s="387">
        <f t="shared" si="111"/>
        <v>0</v>
      </c>
      <c r="GT96" s="387">
        <f t="shared" si="111"/>
        <v>0</v>
      </c>
      <c r="GU96" s="387">
        <f t="shared" si="111"/>
        <v>0</v>
      </c>
      <c r="GV96" s="387">
        <f t="shared" si="111"/>
        <v>0</v>
      </c>
      <c r="GW96" s="387">
        <f t="shared" si="111"/>
        <v>0</v>
      </c>
      <c r="GX96" s="387">
        <f t="shared" si="111"/>
        <v>0</v>
      </c>
      <c r="GY96" s="387">
        <f t="shared" si="111"/>
        <v>0</v>
      </c>
      <c r="GZ96" s="988">
        <f t="shared" si="111"/>
        <v>0</v>
      </c>
      <c r="HB96" s="387"/>
      <c r="HC96" s="387"/>
      <c r="HD96" s="387"/>
      <c r="HE96" s="387"/>
      <c r="HF96" s="387"/>
      <c r="HG96" s="387"/>
      <c r="HH96" s="387"/>
      <c r="HI96" s="387"/>
      <c r="HJ96" s="387"/>
      <c r="HK96" s="387"/>
      <c r="HL96" s="387"/>
      <c r="HM96" s="988"/>
    </row>
    <row r="97" spans="1:221">
      <c r="A97" s="326" t="s">
        <v>1594</v>
      </c>
      <c r="B97" s="326" t="s">
        <v>1990</v>
      </c>
      <c r="C97" s="326" t="s">
        <v>3899</v>
      </c>
      <c r="D97" s="1036" t="s">
        <v>2154</v>
      </c>
      <c r="E97" s="387" t="s">
        <v>2154</v>
      </c>
      <c r="F97" s="387" t="s">
        <v>2154</v>
      </c>
      <c r="G97" s="387" t="s">
        <v>2154</v>
      </c>
      <c r="H97" s="387" t="s">
        <v>2154</v>
      </c>
      <c r="I97" s="387" t="s">
        <v>2154</v>
      </c>
      <c r="J97" s="387" t="s">
        <v>2154</v>
      </c>
      <c r="K97" s="387" t="s">
        <v>2154</v>
      </c>
      <c r="L97" s="387" t="s">
        <v>2154</v>
      </c>
      <c r="M97" s="387" t="s">
        <v>2154</v>
      </c>
      <c r="N97" s="387" t="s">
        <v>2154</v>
      </c>
      <c r="O97" s="988" t="s">
        <v>2154</v>
      </c>
      <c r="P97" s="387">
        <v>113.21000000000001</v>
      </c>
      <c r="Q97" s="387">
        <v>143.97</v>
      </c>
      <c r="R97" s="387">
        <v>89.49</v>
      </c>
      <c r="S97" s="387">
        <v>136.71</v>
      </c>
      <c r="T97" s="387">
        <v>128.63999999999999</v>
      </c>
      <c r="U97" s="387">
        <v>137.68</v>
      </c>
      <c r="V97" s="387">
        <v>135.72999999999999</v>
      </c>
      <c r="W97" s="387">
        <v>150.94999999999999</v>
      </c>
      <c r="X97" s="387">
        <v>140.62</v>
      </c>
      <c r="Y97" s="387">
        <v>150.74</v>
      </c>
      <c r="Z97" s="387">
        <v>137.63</v>
      </c>
      <c r="AA97" s="988">
        <v>190.13</v>
      </c>
      <c r="AB97" s="387"/>
      <c r="AC97" s="387"/>
      <c r="AD97" s="387"/>
      <c r="AE97" s="387"/>
      <c r="AF97" s="387"/>
      <c r="AG97" s="387"/>
      <c r="AH97" s="387"/>
      <c r="AI97" s="387"/>
      <c r="AJ97" s="387"/>
      <c r="AK97" s="387"/>
      <c r="AL97" s="387"/>
      <c r="AM97" s="988"/>
      <c r="AN97" s="387"/>
      <c r="AO97" s="387"/>
      <c r="AP97" s="387"/>
      <c r="AQ97" s="387"/>
      <c r="AR97" s="387"/>
      <c r="AS97" s="387"/>
      <c r="AT97" s="387"/>
      <c r="AU97" s="387"/>
      <c r="AV97" s="387"/>
      <c r="AW97" s="387"/>
      <c r="AX97" s="387"/>
      <c r="AY97" s="988"/>
      <c r="AZ97" s="387"/>
      <c r="BA97" s="387"/>
      <c r="BB97" s="387"/>
      <c r="BC97" s="387"/>
      <c r="BD97" s="387"/>
      <c r="BE97" s="387"/>
      <c r="BF97" s="387"/>
      <c r="BG97" s="387"/>
      <c r="BH97" s="387"/>
      <c r="BI97" s="387"/>
      <c r="BJ97" s="387"/>
      <c r="BK97" s="988"/>
      <c r="BL97" s="387"/>
      <c r="BM97" s="387"/>
      <c r="BN97" s="387"/>
      <c r="BO97" s="387"/>
      <c r="BP97" s="387"/>
      <c r="BQ97" s="387"/>
      <c r="BR97" s="387"/>
      <c r="BS97" s="387"/>
      <c r="BT97" s="387"/>
      <c r="BU97" s="387"/>
      <c r="BV97" s="387"/>
      <c r="BW97" s="988"/>
      <c r="BX97" s="387"/>
      <c r="BY97" s="387"/>
      <c r="BZ97" s="387"/>
      <c r="CA97" s="387"/>
      <c r="CB97" s="387"/>
      <c r="CC97" s="387"/>
      <c r="CD97" s="387"/>
      <c r="CE97" s="387"/>
      <c r="CF97" s="387"/>
      <c r="CG97" s="387"/>
      <c r="CH97" s="387"/>
      <c r="CI97" s="988"/>
      <c r="CJ97" s="387"/>
      <c r="CK97" s="387"/>
      <c r="CL97" s="387"/>
      <c r="CM97" s="387"/>
      <c r="CN97" s="387"/>
      <c r="CO97" s="387"/>
      <c r="CP97" s="387"/>
      <c r="CQ97" s="387"/>
      <c r="CR97" s="387"/>
      <c r="CS97" s="387"/>
      <c r="CT97" s="387"/>
      <c r="CU97" s="988"/>
      <c r="CV97" s="387"/>
      <c r="CW97" s="387"/>
      <c r="CX97" s="387"/>
      <c r="CY97" s="387"/>
      <c r="CZ97" s="387"/>
      <c r="DA97" s="387"/>
      <c r="DB97" s="387"/>
      <c r="DC97" s="387"/>
      <c r="DD97" s="387"/>
      <c r="DE97" s="387"/>
      <c r="DF97" s="387"/>
      <c r="DG97" s="988"/>
      <c r="DH97" s="387"/>
      <c r="DI97" s="387"/>
      <c r="DJ97" s="387"/>
      <c r="DK97" s="387"/>
      <c r="DL97" s="387"/>
      <c r="DM97" s="387"/>
      <c r="DN97" s="387"/>
      <c r="DO97" s="387"/>
      <c r="DP97" s="387"/>
      <c r="DQ97" s="387"/>
      <c r="DR97" s="387"/>
      <c r="DS97" s="988"/>
      <c r="DT97" s="387" t="s">
        <v>2154</v>
      </c>
      <c r="DU97" s="387" t="s">
        <v>2154</v>
      </c>
      <c r="DV97" s="387" t="s">
        <v>2154</v>
      </c>
      <c r="DW97" s="387" t="s">
        <v>2154</v>
      </c>
      <c r="DX97" s="387" t="s">
        <v>2154</v>
      </c>
      <c r="DY97" s="387" t="s">
        <v>2154</v>
      </c>
      <c r="DZ97" s="387" t="s">
        <v>2154</v>
      </c>
      <c r="EA97" s="387" t="s">
        <v>2154</v>
      </c>
      <c r="EB97" s="387" t="s">
        <v>2154</v>
      </c>
      <c r="EC97" s="387" t="s">
        <v>2154</v>
      </c>
      <c r="ED97" s="387" t="s">
        <v>2154</v>
      </c>
      <c r="EE97" s="988" t="s">
        <v>2154</v>
      </c>
      <c r="EF97" s="387"/>
      <c r="EG97" s="387"/>
      <c r="EH97" s="387"/>
      <c r="EI97" s="387"/>
      <c r="EJ97" s="387"/>
      <c r="EK97" s="387"/>
      <c r="EL97" s="387"/>
      <c r="EM97" s="387"/>
      <c r="EN97" s="387"/>
      <c r="EO97" s="387"/>
      <c r="EP97" s="387"/>
      <c r="EQ97" s="988"/>
      <c r="ER97" s="387"/>
      <c r="ES97" s="387"/>
      <c r="ET97" s="387"/>
      <c r="EU97" s="387"/>
      <c r="EV97" s="387"/>
      <c r="EW97" s="387"/>
      <c r="EX97" s="387"/>
      <c r="EY97" s="387"/>
      <c r="EZ97" s="387"/>
      <c r="FA97" s="387"/>
      <c r="FB97" s="387"/>
      <c r="FC97" s="988"/>
      <c r="FD97" s="387"/>
      <c r="FE97" s="387"/>
      <c r="FF97" s="387"/>
      <c r="FG97" s="387"/>
      <c r="FH97" s="387"/>
      <c r="FI97" s="387"/>
      <c r="FJ97" s="387"/>
      <c r="FK97" s="387"/>
      <c r="FL97" s="387"/>
      <c r="FM97" s="387"/>
      <c r="FN97" s="387"/>
      <c r="FO97" s="988"/>
      <c r="FP97" s="387"/>
      <c r="FQ97" s="387"/>
      <c r="FR97" s="387"/>
      <c r="FS97" s="387"/>
      <c r="FT97" s="387"/>
      <c r="FU97" s="387"/>
      <c r="FV97" s="387"/>
      <c r="FW97" s="387"/>
      <c r="FX97" s="387"/>
      <c r="FY97" s="387"/>
      <c r="FZ97" s="387"/>
      <c r="GA97" s="988"/>
      <c r="GB97" s="109"/>
      <c r="GC97" s="1036">
        <f t="shared" si="110"/>
        <v>113.21000000000001</v>
      </c>
      <c r="GD97" s="387">
        <f t="shared" si="110"/>
        <v>143.97</v>
      </c>
      <c r="GE97" s="387">
        <f t="shared" si="110"/>
        <v>89.49</v>
      </c>
      <c r="GF97" s="387">
        <f t="shared" si="110"/>
        <v>136.71</v>
      </c>
      <c r="GG97" s="387">
        <f t="shared" si="110"/>
        <v>128.63999999999999</v>
      </c>
      <c r="GH97" s="387">
        <f t="shared" si="110"/>
        <v>137.68</v>
      </c>
      <c r="GI97" s="387">
        <f t="shared" si="110"/>
        <v>135.72999999999999</v>
      </c>
      <c r="GJ97" s="387">
        <f t="shared" si="110"/>
        <v>150.94999999999999</v>
      </c>
      <c r="GK97" s="387">
        <f t="shared" si="110"/>
        <v>140.62</v>
      </c>
      <c r="GL97" s="387">
        <f t="shared" si="110"/>
        <v>150.74</v>
      </c>
      <c r="GM97" s="387">
        <f t="shared" si="110"/>
        <v>137.63</v>
      </c>
      <c r="GN97" s="988">
        <f t="shared" si="110"/>
        <v>190.13</v>
      </c>
      <c r="GO97" s="1036">
        <f t="shared" si="111"/>
        <v>0</v>
      </c>
      <c r="GP97" s="387">
        <f t="shared" si="111"/>
        <v>0</v>
      </c>
      <c r="GQ97" s="387">
        <f t="shared" si="111"/>
        <v>0</v>
      </c>
      <c r="GR97" s="387">
        <f t="shared" si="111"/>
        <v>0</v>
      </c>
      <c r="GS97" s="387">
        <f t="shared" si="111"/>
        <v>0</v>
      </c>
      <c r="GT97" s="387">
        <f t="shared" si="111"/>
        <v>0</v>
      </c>
      <c r="GU97" s="387">
        <f t="shared" si="111"/>
        <v>0</v>
      </c>
      <c r="GV97" s="387">
        <f t="shared" si="111"/>
        <v>0</v>
      </c>
      <c r="GW97" s="387">
        <f t="shared" si="111"/>
        <v>0</v>
      </c>
      <c r="GX97" s="387">
        <f t="shared" si="111"/>
        <v>0</v>
      </c>
      <c r="GY97" s="387">
        <f t="shared" si="111"/>
        <v>0</v>
      </c>
      <c r="GZ97" s="988">
        <f t="shared" si="111"/>
        <v>0</v>
      </c>
      <c r="HB97" s="387"/>
      <c r="HC97" s="387"/>
      <c r="HD97" s="387"/>
      <c r="HE97" s="387"/>
      <c r="HF97" s="387"/>
      <c r="HG97" s="387"/>
      <c r="HH97" s="387"/>
      <c r="HI97" s="387"/>
      <c r="HJ97" s="387"/>
      <c r="HK97" s="387"/>
      <c r="HL97" s="387"/>
      <c r="HM97" s="988"/>
    </row>
    <row r="98" spans="1:221">
      <c r="A98" s="326" t="s">
        <v>1594</v>
      </c>
      <c r="B98" s="326" t="s">
        <v>1992</v>
      </c>
      <c r="C98" s="326" t="s">
        <v>3687</v>
      </c>
      <c r="D98" s="1036" t="s">
        <v>2154</v>
      </c>
      <c r="E98" s="387" t="s">
        <v>2154</v>
      </c>
      <c r="F98" s="387" t="s">
        <v>2154</v>
      </c>
      <c r="G98" s="387" t="s">
        <v>2154</v>
      </c>
      <c r="H98" s="387" t="s">
        <v>2154</v>
      </c>
      <c r="I98" s="387" t="s">
        <v>2154</v>
      </c>
      <c r="J98" s="387" t="s">
        <v>2154</v>
      </c>
      <c r="K98" s="387" t="s">
        <v>2154</v>
      </c>
      <c r="L98" s="387" t="s">
        <v>2154</v>
      </c>
      <c r="M98" s="387" t="s">
        <v>2154</v>
      </c>
      <c r="N98" s="387" t="s">
        <v>2154</v>
      </c>
      <c r="O98" s="988" t="s">
        <v>2154</v>
      </c>
      <c r="P98" s="387" t="s">
        <v>2154</v>
      </c>
      <c r="Q98" s="387" t="s">
        <v>2154</v>
      </c>
      <c r="R98" s="387" t="s">
        <v>2154</v>
      </c>
      <c r="S98" s="387" t="s">
        <v>2154</v>
      </c>
      <c r="T98" s="387" t="s">
        <v>2154</v>
      </c>
      <c r="U98" s="387" t="s">
        <v>2154</v>
      </c>
      <c r="V98" s="387" t="s">
        <v>2154</v>
      </c>
      <c r="W98" s="387" t="s">
        <v>2154</v>
      </c>
      <c r="X98" s="387" t="s">
        <v>2154</v>
      </c>
      <c r="Y98" s="387" t="s">
        <v>2154</v>
      </c>
      <c r="Z98" s="387" t="s">
        <v>2154</v>
      </c>
      <c r="AA98" s="988" t="s">
        <v>2154</v>
      </c>
      <c r="AB98" s="387"/>
      <c r="AC98" s="387"/>
      <c r="AD98" s="387"/>
      <c r="AE98" s="387"/>
      <c r="AF98" s="387"/>
      <c r="AG98" s="387"/>
      <c r="AH98" s="387"/>
      <c r="AI98" s="387"/>
      <c r="AJ98" s="387"/>
      <c r="AK98" s="387"/>
      <c r="AL98" s="387"/>
      <c r="AM98" s="988"/>
      <c r="AN98" s="387"/>
      <c r="AO98" s="387"/>
      <c r="AP98" s="387"/>
      <c r="AQ98" s="387"/>
      <c r="AR98" s="387"/>
      <c r="AS98" s="387"/>
      <c r="AT98" s="387"/>
      <c r="AU98" s="387"/>
      <c r="AV98" s="387"/>
      <c r="AW98" s="387"/>
      <c r="AX98" s="387"/>
      <c r="AY98" s="988"/>
      <c r="AZ98" s="387"/>
      <c r="BA98" s="387"/>
      <c r="BB98" s="387"/>
      <c r="BC98" s="387"/>
      <c r="BD98" s="387"/>
      <c r="BE98" s="387"/>
      <c r="BF98" s="387"/>
      <c r="BG98" s="387"/>
      <c r="BH98" s="387"/>
      <c r="BI98" s="387"/>
      <c r="BJ98" s="387"/>
      <c r="BK98" s="988"/>
      <c r="BL98" s="387"/>
      <c r="BM98" s="387"/>
      <c r="BN98" s="387"/>
      <c r="BO98" s="387"/>
      <c r="BP98" s="387"/>
      <c r="BQ98" s="387"/>
      <c r="BR98" s="387"/>
      <c r="BS98" s="387"/>
      <c r="BT98" s="387"/>
      <c r="BU98" s="387"/>
      <c r="BV98" s="387"/>
      <c r="BW98" s="988"/>
      <c r="BX98" s="387"/>
      <c r="BY98" s="387"/>
      <c r="BZ98" s="387"/>
      <c r="CA98" s="387"/>
      <c r="CB98" s="387"/>
      <c r="CC98" s="387"/>
      <c r="CD98" s="387"/>
      <c r="CE98" s="387"/>
      <c r="CF98" s="387"/>
      <c r="CG98" s="387"/>
      <c r="CH98" s="387"/>
      <c r="CI98" s="988"/>
      <c r="CJ98" s="387"/>
      <c r="CK98" s="387"/>
      <c r="CL98" s="387"/>
      <c r="CM98" s="387"/>
      <c r="CN98" s="387"/>
      <c r="CO98" s="387"/>
      <c r="CP98" s="387"/>
      <c r="CQ98" s="387"/>
      <c r="CR98" s="387"/>
      <c r="CS98" s="387"/>
      <c r="CT98" s="387"/>
      <c r="CU98" s="988"/>
      <c r="CV98" s="387"/>
      <c r="CW98" s="387"/>
      <c r="CX98" s="387"/>
      <c r="CY98" s="387"/>
      <c r="CZ98" s="387"/>
      <c r="DA98" s="387"/>
      <c r="DB98" s="387"/>
      <c r="DC98" s="387"/>
      <c r="DD98" s="387"/>
      <c r="DE98" s="387"/>
      <c r="DF98" s="387"/>
      <c r="DG98" s="988"/>
      <c r="DH98" s="387"/>
      <c r="DI98" s="387"/>
      <c r="DJ98" s="387"/>
      <c r="DK98" s="387"/>
      <c r="DL98" s="387"/>
      <c r="DM98" s="387"/>
      <c r="DN98" s="387"/>
      <c r="DO98" s="387"/>
      <c r="DP98" s="387"/>
      <c r="DQ98" s="387"/>
      <c r="DR98" s="387"/>
      <c r="DS98" s="988"/>
      <c r="DT98" s="387" t="s">
        <v>2154</v>
      </c>
      <c r="DU98" s="387" t="s">
        <v>2154</v>
      </c>
      <c r="DV98" s="387" t="s">
        <v>2154</v>
      </c>
      <c r="DW98" s="387" t="s">
        <v>2154</v>
      </c>
      <c r="DX98" s="387" t="s">
        <v>2154</v>
      </c>
      <c r="DY98" s="387" t="s">
        <v>2154</v>
      </c>
      <c r="DZ98" s="387" t="s">
        <v>2154</v>
      </c>
      <c r="EA98" s="387" t="s">
        <v>2154</v>
      </c>
      <c r="EB98" s="387" t="s">
        <v>2154</v>
      </c>
      <c r="EC98" s="387" t="s">
        <v>2154</v>
      </c>
      <c r="ED98" s="387" t="s">
        <v>2154</v>
      </c>
      <c r="EE98" s="988" t="s">
        <v>2154</v>
      </c>
      <c r="EF98" s="387"/>
      <c r="EG98" s="387"/>
      <c r="EH98" s="387"/>
      <c r="EI98" s="387"/>
      <c r="EJ98" s="387"/>
      <c r="EK98" s="387"/>
      <c r="EL98" s="387"/>
      <c r="EM98" s="387"/>
      <c r="EN98" s="387"/>
      <c r="EO98" s="387"/>
      <c r="EP98" s="387"/>
      <c r="EQ98" s="988"/>
      <c r="ER98" s="387"/>
      <c r="ES98" s="387"/>
      <c r="ET98" s="387"/>
      <c r="EU98" s="387"/>
      <c r="EV98" s="387"/>
      <c r="EW98" s="387"/>
      <c r="EX98" s="387"/>
      <c r="EY98" s="387"/>
      <c r="EZ98" s="387"/>
      <c r="FA98" s="387"/>
      <c r="FB98" s="387"/>
      <c r="FC98" s="988"/>
      <c r="FD98" s="387"/>
      <c r="FE98" s="387"/>
      <c r="FF98" s="387"/>
      <c r="FG98" s="387"/>
      <c r="FH98" s="387"/>
      <c r="FI98" s="387"/>
      <c r="FJ98" s="387"/>
      <c r="FK98" s="387"/>
      <c r="FL98" s="387"/>
      <c r="FM98" s="387"/>
      <c r="FN98" s="387"/>
      <c r="FO98" s="988"/>
      <c r="FP98" s="387"/>
      <c r="FQ98" s="387"/>
      <c r="FR98" s="387"/>
      <c r="FS98" s="387"/>
      <c r="FT98" s="387"/>
      <c r="FU98" s="387"/>
      <c r="FV98" s="387"/>
      <c r="FW98" s="387"/>
      <c r="FX98" s="387"/>
      <c r="FY98" s="387"/>
      <c r="FZ98" s="387"/>
      <c r="GA98" s="988"/>
      <c r="GB98" s="109"/>
      <c r="GC98" s="1036">
        <f t="shared" si="110"/>
        <v>0</v>
      </c>
      <c r="GD98" s="387">
        <f t="shared" si="110"/>
        <v>0</v>
      </c>
      <c r="GE98" s="387">
        <f t="shared" si="110"/>
        <v>0</v>
      </c>
      <c r="GF98" s="387">
        <f t="shared" si="110"/>
        <v>0</v>
      </c>
      <c r="GG98" s="387">
        <f t="shared" si="110"/>
        <v>0</v>
      </c>
      <c r="GH98" s="387">
        <f t="shared" si="110"/>
        <v>0</v>
      </c>
      <c r="GI98" s="387">
        <f t="shared" si="110"/>
        <v>0</v>
      </c>
      <c r="GJ98" s="387">
        <f t="shared" si="110"/>
        <v>0</v>
      </c>
      <c r="GK98" s="387">
        <f t="shared" si="110"/>
        <v>0</v>
      </c>
      <c r="GL98" s="387">
        <f t="shared" si="110"/>
        <v>0</v>
      </c>
      <c r="GM98" s="387">
        <f t="shared" si="110"/>
        <v>0</v>
      </c>
      <c r="GN98" s="988">
        <f t="shared" si="110"/>
        <v>0</v>
      </c>
      <c r="GO98" s="1036">
        <f t="shared" si="111"/>
        <v>0</v>
      </c>
      <c r="GP98" s="387">
        <f t="shared" si="111"/>
        <v>0</v>
      </c>
      <c r="GQ98" s="387">
        <f t="shared" si="111"/>
        <v>0</v>
      </c>
      <c r="GR98" s="387">
        <f t="shared" si="111"/>
        <v>0</v>
      </c>
      <c r="GS98" s="387">
        <f t="shared" si="111"/>
        <v>0</v>
      </c>
      <c r="GT98" s="387">
        <f t="shared" si="111"/>
        <v>0</v>
      </c>
      <c r="GU98" s="387">
        <f t="shared" si="111"/>
        <v>0</v>
      </c>
      <c r="GV98" s="387">
        <f t="shared" si="111"/>
        <v>0</v>
      </c>
      <c r="GW98" s="387">
        <f t="shared" si="111"/>
        <v>0</v>
      </c>
      <c r="GX98" s="387">
        <f t="shared" si="111"/>
        <v>0</v>
      </c>
      <c r="GY98" s="387">
        <f t="shared" si="111"/>
        <v>0</v>
      </c>
      <c r="GZ98" s="988">
        <f t="shared" si="111"/>
        <v>0</v>
      </c>
      <c r="HB98" s="387"/>
      <c r="HC98" s="387"/>
      <c r="HD98" s="387"/>
      <c r="HE98" s="387"/>
      <c r="HF98" s="387"/>
      <c r="HG98" s="387"/>
      <c r="HH98" s="387"/>
      <c r="HI98" s="387"/>
      <c r="HJ98" s="387"/>
      <c r="HK98" s="387"/>
      <c r="HL98" s="387"/>
      <c r="HM98" s="988"/>
    </row>
    <row r="99" spans="1:221">
      <c r="A99" s="326" t="s">
        <v>1594</v>
      </c>
      <c r="B99" s="326" t="s">
        <v>1992</v>
      </c>
      <c r="C99" s="326" t="s">
        <v>3899</v>
      </c>
      <c r="D99" s="1036" t="s">
        <v>2154</v>
      </c>
      <c r="E99" s="387" t="s">
        <v>2154</v>
      </c>
      <c r="F99" s="387" t="s">
        <v>2154</v>
      </c>
      <c r="G99" s="387" t="s">
        <v>2154</v>
      </c>
      <c r="H99" s="387" t="s">
        <v>2154</v>
      </c>
      <c r="I99" s="387" t="s">
        <v>2154</v>
      </c>
      <c r="J99" s="387" t="s">
        <v>2154</v>
      </c>
      <c r="K99" s="387" t="s">
        <v>2154</v>
      </c>
      <c r="L99" s="387" t="s">
        <v>2154</v>
      </c>
      <c r="M99" s="387" t="s">
        <v>2154</v>
      </c>
      <c r="N99" s="387" t="s">
        <v>2154</v>
      </c>
      <c r="O99" s="988" t="s">
        <v>2154</v>
      </c>
      <c r="P99" s="387" t="s">
        <v>2154</v>
      </c>
      <c r="Q99" s="387" t="s">
        <v>2154</v>
      </c>
      <c r="R99" s="387" t="s">
        <v>2154</v>
      </c>
      <c r="S99" s="387" t="s">
        <v>2154</v>
      </c>
      <c r="T99" s="387" t="s">
        <v>2154</v>
      </c>
      <c r="U99" s="387" t="s">
        <v>2154</v>
      </c>
      <c r="V99" s="387" t="s">
        <v>2154</v>
      </c>
      <c r="W99" s="387" t="s">
        <v>2154</v>
      </c>
      <c r="X99" s="387" t="s">
        <v>2154</v>
      </c>
      <c r="Y99" s="387" t="s">
        <v>2154</v>
      </c>
      <c r="Z99" s="387" t="s">
        <v>2154</v>
      </c>
      <c r="AA99" s="988" t="s">
        <v>2154</v>
      </c>
      <c r="AB99" s="387"/>
      <c r="AC99" s="387"/>
      <c r="AD99" s="387"/>
      <c r="AE99" s="387"/>
      <c r="AF99" s="387"/>
      <c r="AG99" s="387"/>
      <c r="AH99" s="387"/>
      <c r="AI99" s="387"/>
      <c r="AJ99" s="387"/>
      <c r="AK99" s="387"/>
      <c r="AL99" s="387"/>
      <c r="AM99" s="988"/>
      <c r="AN99" s="387"/>
      <c r="AO99" s="387"/>
      <c r="AP99" s="387"/>
      <c r="AQ99" s="387"/>
      <c r="AR99" s="387"/>
      <c r="AS99" s="387"/>
      <c r="AT99" s="387"/>
      <c r="AU99" s="387"/>
      <c r="AV99" s="387"/>
      <c r="AW99" s="387"/>
      <c r="AX99" s="387"/>
      <c r="AY99" s="988"/>
      <c r="AZ99" s="387"/>
      <c r="BA99" s="387"/>
      <c r="BB99" s="387"/>
      <c r="BC99" s="387"/>
      <c r="BD99" s="387"/>
      <c r="BE99" s="387"/>
      <c r="BF99" s="387"/>
      <c r="BG99" s="387"/>
      <c r="BH99" s="387"/>
      <c r="BI99" s="387"/>
      <c r="BJ99" s="387"/>
      <c r="BK99" s="988"/>
      <c r="BL99" s="387"/>
      <c r="BM99" s="387"/>
      <c r="BN99" s="387"/>
      <c r="BO99" s="387"/>
      <c r="BP99" s="387"/>
      <c r="BQ99" s="387"/>
      <c r="BR99" s="387"/>
      <c r="BS99" s="387"/>
      <c r="BT99" s="387"/>
      <c r="BU99" s="387"/>
      <c r="BV99" s="387"/>
      <c r="BW99" s="988"/>
      <c r="BX99" s="387"/>
      <c r="BY99" s="387"/>
      <c r="BZ99" s="387"/>
      <c r="CA99" s="387"/>
      <c r="CB99" s="387"/>
      <c r="CC99" s="387"/>
      <c r="CD99" s="387"/>
      <c r="CE99" s="387"/>
      <c r="CF99" s="387"/>
      <c r="CG99" s="387"/>
      <c r="CH99" s="387"/>
      <c r="CI99" s="988"/>
      <c r="CJ99" s="387"/>
      <c r="CK99" s="387"/>
      <c r="CL99" s="387"/>
      <c r="CM99" s="387"/>
      <c r="CN99" s="387"/>
      <c r="CO99" s="387"/>
      <c r="CP99" s="387"/>
      <c r="CQ99" s="387"/>
      <c r="CR99" s="387"/>
      <c r="CS99" s="387"/>
      <c r="CT99" s="387"/>
      <c r="CU99" s="988"/>
      <c r="CV99" s="387"/>
      <c r="CW99" s="387"/>
      <c r="CX99" s="387"/>
      <c r="CY99" s="387"/>
      <c r="CZ99" s="387"/>
      <c r="DA99" s="387"/>
      <c r="DB99" s="387"/>
      <c r="DC99" s="387"/>
      <c r="DD99" s="387"/>
      <c r="DE99" s="387"/>
      <c r="DF99" s="387"/>
      <c r="DG99" s="988"/>
      <c r="DH99" s="387"/>
      <c r="DI99" s="387"/>
      <c r="DJ99" s="387"/>
      <c r="DK99" s="387"/>
      <c r="DL99" s="387"/>
      <c r="DM99" s="387"/>
      <c r="DN99" s="387"/>
      <c r="DO99" s="387"/>
      <c r="DP99" s="387"/>
      <c r="DQ99" s="387"/>
      <c r="DR99" s="387"/>
      <c r="DS99" s="988"/>
      <c r="DT99" s="387" t="s">
        <v>2154</v>
      </c>
      <c r="DU99" s="387" t="s">
        <v>2154</v>
      </c>
      <c r="DV99" s="387" t="s">
        <v>2154</v>
      </c>
      <c r="DW99" s="387" t="s">
        <v>2154</v>
      </c>
      <c r="DX99" s="387" t="s">
        <v>2154</v>
      </c>
      <c r="DY99" s="387" t="s">
        <v>2154</v>
      </c>
      <c r="DZ99" s="387" t="s">
        <v>2154</v>
      </c>
      <c r="EA99" s="387" t="s">
        <v>2154</v>
      </c>
      <c r="EB99" s="387" t="s">
        <v>2154</v>
      </c>
      <c r="EC99" s="387" t="s">
        <v>2154</v>
      </c>
      <c r="ED99" s="387" t="s">
        <v>2154</v>
      </c>
      <c r="EE99" s="988" t="s">
        <v>2154</v>
      </c>
      <c r="EF99" s="387"/>
      <c r="EG99" s="387"/>
      <c r="EH99" s="387"/>
      <c r="EI99" s="387"/>
      <c r="EJ99" s="387"/>
      <c r="EK99" s="387"/>
      <c r="EL99" s="387"/>
      <c r="EM99" s="387"/>
      <c r="EN99" s="387"/>
      <c r="EO99" s="387"/>
      <c r="EP99" s="387"/>
      <c r="EQ99" s="988"/>
      <c r="ER99" s="387"/>
      <c r="ES99" s="387"/>
      <c r="ET99" s="387"/>
      <c r="EU99" s="387"/>
      <c r="EV99" s="387"/>
      <c r="EW99" s="387"/>
      <c r="EX99" s="387"/>
      <c r="EY99" s="387"/>
      <c r="EZ99" s="387"/>
      <c r="FA99" s="387"/>
      <c r="FB99" s="387"/>
      <c r="FC99" s="988"/>
      <c r="FD99" s="387"/>
      <c r="FE99" s="387"/>
      <c r="FF99" s="387"/>
      <c r="FG99" s="387"/>
      <c r="FH99" s="387"/>
      <c r="FI99" s="387"/>
      <c r="FJ99" s="387"/>
      <c r="FK99" s="387"/>
      <c r="FL99" s="387"/>
      <c r="FM99" s="387"/>
      <c r="FN99" s="387"/>
      <c r="FO99" s="988"/>
      <c r="FP99" s="387"/>
      <c r="FQ99" s="387"/>
      <c r="FR99" s="387"/>
      <c r="FS99" s="387"/>
      <c r="FT99" s="387"/>
      <c r="FU99" s="387"/>
      <c r="FV99" s="387"/>
      <c r="FW99" s="387"/>
      <c r="FX99" s="387"/>
      <c r="FY99" s="387"/>
      <c r="FZ99" s="387"/>
      <c r="GA99" s="988"/>
      <c r="GB99" s="109"/>
      <c r="GC99" s="1036">
        <f t="shared" si="110"/>
        <v>0</v>
      </c>
      <c r="GD99" s="387">
        <f t="shared" si="110"/>
        <v>0</v>
      </c>
      <c r="GE99" s="387">
        <f t="shared" si="110"/>
        <v>0</v>
      </c>
      <c r="GF99" s="387">
        <f t="shared" si="110"/>
        <v>0</v>
      </c>
      <c r="GG99" s="387">
        <f t="shared" si="110"/>
        <v>0</v>
      </c>
      <c r="GH99" s="387">
        <f t="shared" si="110"/>
        <v>0</v>
      </c>
      <c r="GI99" s="387">
        <f t="shared" si="110"/>
        <v>0</v>
      </c>
      <c r="GJ99" s="387">
        <f t="shared" si="110"/>
        <v>0</v>
      </c>
      <c r="GK99" s="387">
        <f t="shared" si="110"/>
        <v>0</v>
      </c>
      <c r="GL99" s="387">
        <f t="shared" si="110"/>
        <v>0</v>
      </c>
      <c r="GM99" s="387">
        <f t="shared" si="110"/>
        <v>0</v>
      </c>
      <c r="GN99" s="988">
        <f t="shared" si="110"/>
        <v>0</v>
      </c>
      <c r="GO99" s="1036">
        <f t="shared" si="111"/>
        <v>0</v>
      </c>
      <c r="GP99" s="387">
        <f t="shared" si="111"/>
        <v>0</v>
      </c>
      <c r="GQ99" s="387">
        <f t="shared" si="111"/>
        <v>0</v>
      </c>
      <c r="GR99" s="387">
        <f t="shared" si="111"/>
        <v>0</v>
      </c>
      <c r="GS99" s="387">
        <f t="shared" si="111"/>
        <v>0</v>
      </c>
      <c r="GT99" s="387">
        <f t="shared" si="111"/>
        <v>0</v>
      </c>
      <c r="GU99" s="387">
        <f t="shared" si="111"/>
        <v>0</v>
      </c>
      <c r="GV99" s="387">
        <f t="shared" si="111"/>
        <v>0</v>
      </c>
      <c r="GW99" s="387">
        <f t="shared" si="111"/>
        <v>0</v>
      </c>
      <c r="GX99" s="387">
        <f t="shared" si="111"/>
        <v>0</v>
      </c>
      <c r="GY99" s="387">
        <f t="shared" si="111"/>
        <v>0</v>
      </c>
      <c r="GZ99" s="988">
        <f t="shared" si="111"/>
        <v>0</v>
      </c>
      <c r="HB99" s="387"/>
      <c r="HC99" s="387"/>
      <c r="HD99" s="387"/>
      <c r="HE99" s="387"/>
      <c r="HF99" s="387"/>
      <c r="HG99" s="387"/>
      <c r="HH99" s="387"/>
      <c r="HI99" s="387"/>
      <c r="HJ99" s="387"/>
      <c r="HK99" s="387"/>
      <c r="HL99" s="387"/>
      <c r="HM99" s="988"/>
    </row>
    <row r="100" spans="1:221">
      <c r="A100" s="326" t="s">
        <v>1594</v>
      </c>
      <c r="B100" s="326" t="s">
        <v>1581</v>
      </c>
      <c r="C100" s="326" t="s">
        <v>3687</v>
      </c>
      <c r="D100" s="1036" t="s">
        <v>2154</v>
      </c>
      <c r="E100" s="387" t="s">
        <v>2154</v>
      </c>
      <c r="F100" s="387" t="s">
        <v>2154</v>
      </c>
      <c r="G100" s="387" t="s">
        <v>2154</v>
      </c>
      <c r="H100" s="387" t="s">
        <v>2154</v>
      </c>
      <c r="I100" s="387" t="s">
        <v>2154</v>
      </c>
      <c r="J100" s="387" t="s">
        <v>2154</v>
      </c>
      <c r="K100" s="387" t="s">
        <v>2154</v>
      </c>
      <c r="L100" s="387" t="s">
        <v>2154</v>
      </c>
      <c r="M100" s="387" t="s">
        <v>2154</v>
      </c>
      <c r="N100" s="387" t="s">
        <v>2154</v>
      </c>
      <c r="O100" s="988" t="s">
        <v>2154</v>
      </c>
      <c r="P100" s="387" t="s">
        <v>2154</v>
      </c>
      <c r="Q100" s="387" t="s">
        <v>2154</v>
      </c>
      <c r="R100" s="387" t="s">
        <v>2154</v>
      </c>
      <c r="S100" s="387" t="s">
        <v>2154</v>
      </c>
      <c r="T100" s="387" t="s">
        <v>2154</v>
      </c>
      <c r="U100" s="387" t="s">
        <v>2154</v>
      </c>
      <c r="V100" s="387" t="s">
        <v>2154</v>
      </c>
      <c r="W100" s="387" t="s">
        <v>2154</v>
      </c>
      <c r="X100" s="387" t="s">
        <v>2154</v>
      </c>
      <c r="Y100" s="387" t="s">
        <v>2154</v>
      </c>
      <c r="Z100" s="387" t="s">
        <v>2154</v>
      </c>
      <c r="AA100" s="988" t="s">
        <v>2154</v>
      </c>
      <c r="AB100" s="387"/>
      <c r="AC100" s="387"/>
      <c r="AD100" s="387"/>
      <c r="AE100" s="387"/>
      <c r="AF100" s="387"/>
      <c r="AG100" s="387"/>
      <c r="AH100" s="387"/>
      <c r="AI100" s="387"/>
      <c r="AJ100" s="387"/>
      <c r="AK100" s="387"/>
      <c r="AL100" s="387"/>
      <c r="AM100" s="988"/>
      <c r="AN100" s="387"/>
      <c r="AO100" s="387"/>
      <c r="AP100" s="387"/>
      <c r="AQ100" s="387"/>
      <c r="AR100" s="387"/>
      <c r="AS100" s="387"/>
      <c r="AT100" s="387"/>
      <c r="AU100" s="387"/>
      <c r="AV100" s="387"/>
      <c r="AW100" s="387"/>
      <c r="AX100" s="387"/>
      <c r="AY100" s="988"/>
      <c r="AZ100" s="387"/>
      <c r="BA100" s="387"/>
      <c r="BB100" s="387"/>
      <c r="BC100" s="387"/>
      <c r="BD100" s="387"/>
      <c r="BE100" s="387"/>
      <c r="BF100" s="387"/>
      <c r="BG100" s="387"/>
      <c r="BH100" s="387"/>
      <c r="BI100" s="387"/>
      <c r="BJ100" s="387"/>
      <c r="BK100" s="988"/>
      <c r="BL100" s="387"/>
      <c r="BM100" s="387"/>
      <c r="BN100" s="387"/>
      <c r="BO100" s="387"/>
      <c r="BP100" s="387"/>
      <c r="BQ100" s="387"/>
      <c r="BR100" s="387"/>
      <c r="BS100" s="387"/>
      <c r="BT100" s="387"/>
      <c r="BU100" s="387"/>
      <c r="BV100" s="387"/>
      <c r="BW100" s="988"/>
      <c r="BX100" s="387"/>
      <c r="BY100" s="387"/>
      <c r="BZ100" s="387"/>
      <c r="CA100" s="387"/>
      <c r="CB100" s="387"/>
      <c r="CC100" s="387"/>
      <c r="CD100" s="387"/>
      <c r="CE100" s="387"/>
      <c r="CF100" s="387"/>
      <c r="CG100" s="387"/>
      <c r="CH100" s="387"/>
      <c r="CI100" s="988"/>
      <c r="CJ100" s="387"/>
      <c r="CK100" s="387"/>
      <c r="CL100" s="387"/>
      <c r="CM100" s="387"/>
      <c r="CN100" s="387"/>
      <c r="CO100" s="387"/>
      <c r="CP100" s="387"/>
      <c r="CQ100" s="387"/>
      <c r="CR100" s="387"/>
      <c r="CS100" s="387"/>
      <c r="CT100" s="387"/>
      <c r="CU100" s="988"/>
      <c r="CV100" s="387"/>
      <c r="CW100" s="387"/>
      <c r="CX100" s="387"/>
      <c r="CY100" s="387"/>
      <c r="CZ100" s="387"/>
      <c r="DA100" s="387"/>
      <c r="DB100" s="387"/>
      <c r="DC100" s="387"/>
      <c r="DD100" s="387"/>
      <c r="DE100" s="387"/>
      <c r="DF100" s="387"/>
      <c r="DG100" s="988"/>
      <c r="DH100" s="387"/>
      <c r="DI100" s="387"/>
      <c r="DJ100" s="387"/>
      <c r="DK100" s="387"/>
      <c r="DL100" s="387"/>
      <c r="DM100" s="387"/>
      <c r="DN100" s="387"/>
      <c r="DO100" s="387"/>
      <c r="DP100" s="387"/>
      <c r="DQ100" s="387"/>
      <c r="DR100" s="387"/>
      <c r="DS100" s="988"/>
      <c r="DT100" s="387" t="s">
        <v>2154</v>
      </c>
      <c r="DU100" s="387" t="s">
        <v>2154</v>
      </c>
      <c r="DV100" s="387" t="s">
        <v>2154</v>
      </c>
      <c r="DW100" s="387" t="s">
        <v>2154</v>
      </c>
      <c r="DX100" s="387" t="s">
        <v>2154</v>
      </c>
      <c r="DY100" s="387" t="s">
        <v>2154</v>
      </c>
      <c r="DZ100" s="387" t="s">
        <v>2154</v>
      </c>
      <c r="EA100" s="387" t="s">
        <v>2154</v>
      </c>
      <c r="EB100" s="387" t="s">
        <v>2154</v>
      </c>
      <c r="EC100" s="387" t="s">
        <v>2154</v>
      </c>
      <c r="ED100" s="387" t="s">
        <v>2154</v>
      </c>
      <c r="EE100" s="988" t="s">
        <v>2154</v>
      </c>
      <c r="EF100" s="387"/>
      <c r="EG100" s="387"/>
      <c r="EH100" s="387"/>
      <c r="EI100" s="387"/>
      <c r="EJ100" s="387"/>
      <c r="EK100" s="387"/>
      <c r="EL100" s="387"/>
      <c r="EM100" s="387"/>
      <c r="EN100" s="387"/>
      <c r="EO100" s="387"/>
      <c r="EP100" s="387"/>
      <c r="EQ100" s="988"/>
      <c r="ER100" s="387"/>
      <c r="ES100" s="387"/>
      <c r="ET100" s="387"/>
      <c r="EU100" s="387"/>
      <c r="EV100" s="387"/>
      <c r="EW100" s="387"/>
      <c r="EX100" s="387"/>
      <c r="EY100" s="387"/>
      <c r="EZ100" s="387"/>
      <c r="FA100" s="387"/>
      <c r="FB100" s="387"/>
      <c r="FC100" s="988"/>
      <c r="FD100" s="387"/>
      <c r="FE100" s="387"/>
      <c r="FF100" s="387"/>
      <c r="FG100" s="387"/>
      <c r="FH100" s="387"/>
      <c r="FI100" s="387"/>
      <c r="FJ100" s="387"/>
      <c r="FK100" s="387"/>
      <c r="FL100" s="387"/>
      <c r="FM100" s="387"/>
      <c r="FN100" s="387"/>
      <c r="FO100" s="988"/>
      <c r="FP100" s="387"/>
      <c r="FQ100" s="387"/>
      <c r="FR100" s="387"/>
      <c r="FS100" s="387"/>
      <c r="FT100" s="387"/>
      <c r="FU100" s="387"/>
      <c r="FV100" s="387"/>
      <c r="FW100" s="387"/>
      <c r="FX100" s="387"/>
      <c r="FY100" s="387"/>
      <c r="FZ100" s="387"/>
      <c r="GA100" s="988"/>
      <c r="GB100" s="109"/>
      <c r="GC100" s="1036">
        <f t="shared" si="110"/>
        <v>0</v>
      </c>
      <c r="GD100" s="387">
        <f t="shared" si="110"/>
        <v>0</v>
      </c>
      <c r="GE100" s="387">
        <f t="shared" si="110"/>
        <v>0</v>
      </c>
      <c r="GF100" s="387">
        <f t="shared" si="110"/>
        <v>0</v>
      </c>
      <c r="GG100" s="387">
        <f t="shared" si="110"/>
        <v>0</v>
      </c>
      <c r="GH100" s="387">
        <f t="shared" si="110"/>
        <v>0</v>
      </c>
      <c r="GI100" s="387">
        <f t="shared" si="110"/>
        <v>0</v>
      </c>
      <c r="GJ100" s="387">
        <f t="shared" si="110"/>
        <v>0</v>
      </c>
      <c r="GK100" s="387">
        <f t="shared" si="110"/>
        <v>0</v>
      </c>
      <c r="GL100" s="387">
        <f t="shared" si="110"/>
        <v>0</v>
      </c>
      <c r="GM100" s="387">
        <f t="shared" si="110"/>
        <v>0</v>
      </c>
      <c r="GN100" s="988">
        <f t="shared" si="110"/>
        <v>0</v>
      </c>
      <c r="GO100" s="1036">
        <f t="shared" si="111"/>
        <v>0</v>
      </c>
      <c r="GP100" s="387">
        <f t="shared" si="111"/>
        <v>0</v>
      </c>
      <c r="GQ100" s="387">
        <f t="shared" si="111"/>
        <v>0</v>
      </c>
      <c r="GR100" s="387">
        <f t="shared" si="111"/>
        <v>0</v>
      </c>
      <c r="GS100" s="387">
        <f t="shared" si="111"/>
        <v>0</v>
      </c>
      <c r="GT100" s="387">
        <f t="shared" si="111"/>
        <v>0</v>
      </c>
      <c r="GU100" s="387">
        <f t="shared" si="111"/>
        <v>0</v>
      </c>
      <c r="GV100" s="387">
        <f t="shared" si="111"/>
        <v>0</v>
      </c>
      <c r="GW100" s="387">
        <f t="shared" si="111"/>
        <v>0</v>
      </c>
      <c r="GX100" s="387">
        <f t="shared" si="111"/>
        <v>0</v>
      </c>
      <c r="GY100" s="387">
        <f t="shared" si="111"/>
        <v>0</v>
      </c>
      <c r="GZ100" s="988">
        <f t="shared" si="111"/>
        <v>0</v>
      </c>
      <c r="HB100" s="387"/>
      <c r="HC100" s="387"/>
      <c r="HD100" s="387"/>
      <c r="HE100" s="387"/>
      <c r="HF100" s="387"/>
      <c r="HG100" s="387"/>
      <c r="HH100" s="387"/>
      <c r="HI100" s="387"/>
      <c r="HJ100" s="387"/>
      <c r="HK100" s="387"/>
      <c r="HL100" s="387"/>
      <c r="HM100" s="988"/>
    </row>
    <row r="101" spans="1:221">
      <c r="A101" s="326" t="s">
        <v>1594</v>
      </c>
      <c r="B101" s="326" t="s">
        <v>1581</v>
      </c>
      <c r="C101" s="326" t="s">
        <v>3899</v>
      </c>
      <c r="D101" s="1036" t="s">
        <v>2154</v>
      </c>
      <c r="E101" s="387" t="s">
        <v>2154</v>
      </c>
      <c r="F101" s="387" t="s">
        <v>2154</v>
      </c>
      <c r="G101" s="387" t="s">
        <v>2154</v>
      </c>
      <c r="H101" s="387" t="s">
        <v>2154</v>
      </c>
      <c r="I101" s="387" t="s">
        <v>2154</v>
      </c>
      <c r="J101" s="387" t="s">
        <v>2154</v>
      </c>
      <c r="K101" s="387" t="s">
        <v>2154</v>
      </c>
      <c r="L101" s="387" t="s">
        <v>2154</v>
      </c>
      <c r="M101" s="387" t="s">
        <v>2154</v>
      </c>
      <c r="N101" s="387" t="s">
        <v>2154</v>
      </c>
      <c r="O101" s="988" t="s">
        <v>2154</v>
      </c>
      <c r="P101" s="387" t="s">
        <v>2154</v>
      </c>
      <c r="Q101" s="387" t="s">
        <v>2154</v>
      </c>
      <c r="R101" s="387" t="s">
        <v>2154</v>
      </c>
      <c r="S101" s="387" t="s">
        <v>2154</v>
      </c>
      <c r="T101" s="387" t="s">
        <v>2154</v>
      </c>
      <c r="U101" s="387" t="s">
        <v>2154</v>
      </c>
      <c r="V101" s="387" t="s">
        <v>2154</v>
      </c>
      <c r="W101" s="387" t="s">
        <v>2154</v>
      </c>
      <c r="X101" s="387" t="s">
        <v>2154</v>
      </c>
      <c r="Y101" s="387" t="s">
        <v>2154</v>
      </c>
      <c r="Z101" s="387" t="s">
        <v>2154</v>
      </c>
      <c r="AA101" s="988" t="s">
        <v>2154</v>
      </c>
      <c r="AB101" s="387"/>
      <c r="AC101" s="387"/>
      <c r="AD101" s="387"/>
      <c r="AE101" s="387"/>
      <c r="AF101" s="387"/>
      <c r="AG101" s="387"/>
      <c r="AH101" s="387"/>
      <c r="AI101" s="387"/>
      <c r="AJ101" s="387"/>
      <c r="AK101" s="387"/>
      <c r="AL101" s="387"/>
      <c r="AM101" s="988"/>
      <c r="AN101" s="387"/>
      <c r="AO101" s="387"/>
      <c r="AP101" s="387"/>
      <c r="AQ101" s="387"/>
      <c r="AR101" s="387"/>
      <c r="AS101" s="387"/>
      <c r="AT101" s="387"/>
      <c r="AU101" s="387"/>
      <c r="AV101" s="387"/>
      <c r="AW101" s="387"/>
      <c r="AX101" s="387"/>
      <c r="AY101" s="988"/>
      <c r="AZ101" s="387"/>
      <c r="BA101" s="387"/>
      <c r="BB101" s="387"/>
      <c r="BC101" s="387"/>
      <c r="BD101" s="387"/>
      <c r="BE101" s="387"/>
      <c r="BF101" s="387"/>
      <c r="BG101" s="387"/>
      <c r="BH101" s="387"/>
      <c r="BI101" s="387"/>
      <c r="BJ101" s="387"/>
      <c r="BK101" s="988"/>
      <c r="BL101" s="387"/>
      <c r="BM101" s="387"/>
      <c r="BN101" s="387"/>
      <c r="BO101" s="387"/>
      <c r="BP101" s="387"/>
      <c r="BQ101" s="387"/>
      <c r="BR101" s="387"/>
      <c r="BS101" s="387"/>
      <c r="BT101" s="387"/>
      <c r="BU101" s="387"/>
      <c r="BV101" s="387"/>
      <c r="BW101" s="988"/>
      <c r="BX101" s="387"/>
      <c r="BY101" s="387"/>
      <c r="BZ101" s="387"/>
      <c r="CA101" s="387"/>
      <c r="CB101" s="387"/>
      <c r="CC101" s="387"/>
      <c r="CD101" s="387"/>
      <c r="CE101" s="387"/>
      <c r="CF101" s="387"/>
      <c r="CG101" s="387"/>
      <c r="CH101" s="387"/>
      <c r="CI101" s="988"/>
      <c r="CJ101" s="387"/>
      <c r="CK101" s="387"/>
      <c r="CL101" s="387"/>
      <c r="CM101" s="387"/>
      <c r="CN101" s="387"/>
      <c r="CO101" s="387"/>
      <c r="CP101" s="387"/>
      <c r="CQ101" s="387"/>
      <c r="CR101" s="387"/>
      <c r="CS101" s="387"/>
      <c r="CT101" s="387"/>
      <c r="CU101" s="988"/>
      <c r="CV101" s="387"/>
      <c r="CW101" s="387"/>
      <c r="CX101" s="387"/>
      <c r="CY101" s="387"/>
      <c r="CZ101" s="387"/>
      <c r="DA101" s="387"/>
      <c r="DB101" s="387"/>
      <c r="DC101" s="387"/>
      <c r="DD101" s="387"/>
      <c r="DE101" s="387"/>
      <c r="DF101" s="387"/>
      <c r="DG101" s="988"/>
      <c r="DH101" s="387"/>
      <c r="DI101" s="387"/>
      <c r="DJ101" s="387"/>
      <c r="DK101" s="387"/>
      <c r="DL101" s="387"/>
      <c r="DM101" s="387"/>
      <c r="DN101" s="387"/>
      <c r="DO101" s="387"/>
      <c r="DP101" s="387"/>
      <c r="DQ101" s="387"/>
      <c r="DR101" s="387"/>
      <c r="DS101" s="988"/>
      <c r="DT101" s="387" t="s">
        <v>2154</v>
      </c>
      <c r="DU101" s="387" t="s">
        <v>2154</v>
      </c>
      <c r="DV101" s="387" t="s">
        <v>2154</v>
      </c>
      <c r="DW101" s="387" t="s">
        <v>2154</v>
      </c>
      <c r="DX101" s="387" t="s">
        <v>2154</v>
      </c>
      <c r="DY101" s="387" t="s">
        <v>2154</v>
      </c>
      <c r="DZ101" s="387" t="s">
        <v>2154</v>
      </c>
      <c r="EA101" s="387" t="s">
        <v>2154</v>
      </c>
      <c r="EB101" s="387" t="s">
        <v>2154</v>
      </c>
      <c r="EC101" s="387" t="s">
        <v>2154</v>
      </c>
      <c r="ED101" s="387" t="s">
        <v>2154</v>
      </c>
      <c r="EE101" s="988" t="s">
        <v>2154</v>
      </c>
      <c r="EF101" s="387"/>
      <c r="EG101" s="387"/>
      <c r="EH101" s="387"/>
      <c r="EI101" s="387"/>
      <c r="EJ101" s="387"/>
      <c r="EK101" s="387"/>
      <c r="EL101" s="387"/>
      <c r="EM101" s="387"/>
      <c r="EN101" s="387"/>
      <c r="EO101" s="387"/>
      <c r="EP101" s="387"/>
      <c r="EQ101" s="988"/>
      <c r="ER101" s="387"/>
      <c r="ES101" s="387"/>
      <c r="ET101" s="387"/>
      <c r="EU101" s="387"/>
      <c r="EV101" s="387"/>
      <c r="EW101" s="387"/>
      <c r="EX101" s="387"/>
      <c r="EY101" s="387"/>
      <c r="EZ101" s="387"/>
      <c r="FA101" s="387"/>
      <c r="FB101" s="387"/>
      <c r="FC101" s="988"/>
      <c r="FD101" s="387"/>
      <c r="FE101" s="387"/>
      <c r="FF101" s="387"/>
      <c r="FG101" s="387"/>
      <c r="FH101" s="387"/>
      <c r="FI101" s="387"/>
      <c r="FJ101" s="387"/>
      <c r="FK101" s="387"/>
      <c r="FL101" s="387"/>
      <c r="FM101" s="387"/>
      <c r="FN101" s="387"/>
      <c r="FO101" s="988"/>
      <c r="FP101" s="387"/>
      <c r="FQ101" s="387"/>
      <c r="FR101" s="387"/>
      <c r="FS101" s="387"/>
      <c r="FT101" s="387"/>
      <c r="FU101" s="387"/>
      <c r="FV101" s="387"/>
      <c r="FW101" s="387"/>
      <c r="FX101" s="387"/>
      <c r="FY101" s="387"/>
      <c r="FZ101" s="387"/>
      <c r="GA101" s="988"/>
      <c r="GB101" s="109"/>
      <c r="GC101" s="1036">
        <f t="shared" si="110"/>
        <v>0</v>
      </c>
      <c r="GD101" s="387">
        <f t="shared" si="110"/>
        <v>0</v>
      </c>
      <c r="GE101" s="387">
        <f t="shared" si="110"/>
        <v>0</v>
      </c>
      <c r="GF101" s="387">
        <f t="shared" si="110"/>
        <v>0</v>
      </c>
      <c r="GG101" s="387">
        <f t="shared" si="110"/>
        <v>0</v>
      </c>
      <c r="GH101" s="387">
        <f t="shared" si="110"/>
        <v>0</v>
      </c>
      <c r="GI101" s="387">
        <f t="shared" si="110"/>
        <v>0</v>
      </c>
      <c r="GJ101" s="387">
        <f t="shared" si="110"/>
        <v>0</v>
      </c>
      <c r="GK101" s="387">
        <f t="shared" si="110"/>
        <v>0</v>
      </c>
      <c r="GL101" s="387">
        <f t="shared" si="110"/>
        <v>0</v>
      </c>
      <c r="GM101" s="387">
        <f t="shared" si="110"/>
        <v>0</v>
      </c>
      <c r="GN101" s="988">
        <f t="shared" si="110"/>
        <v>0</v>
      </c>
      <c r="GO101" s="1036">
        <f t="shared" si="111"/>
        <v>0</v>
      </c>
      <c r="GP101" s="387">
        <f t="shared" si="111"/>
        <v>0</v>
      </c>
      <c r="GQ101" s="387">
        <f t="shared" si="111"/>
        <v>0</v>
      </c>
      <c r="GR101" s="387">
        <f t="shared" si="111"/>
        <v>0</v>
      </c>
      <c r="GS101" s="387">
        <f t="shared" si="111"/>
        <v>0</v>
      </c>
      <c r="GT101" s="387">
        <f t="shared" si="111"/>
        <v>0</v>
      </c>
      <c r="GU101" s="387">
        <f t="shared" si="111"/>
        <v>0</v>
      </c>
      <c r="GV101" s="387">
        <f t="shared" si="111"/>
        <v>0</v>
      </c>
      <c r="GW101" s="387">
        <f t="shared" si="111"/>
        <v>0</v>
      </c>
      <c r="GX101" s="387">
        <f t="shared" si="111"/>
        <v>0</v>
      </c>
      <c r="GY101" s="387">
        <f t="shared" si="111"/>
        <v>0</v>
      </c>
      <c r="GZ101" s="988">
        <f t="shared" si="111"/>
        <v>0</v>
      </c>
      <c r="HB101" s="387"/>
      <c r="HC101" s="387"/>
      <c r="HD101" s="387"/>
      <c r="HE101" s="387"/>
      <c r="HF101" s="387"/>
      <c r="HG101" s="387"/>
      <c r="HH101" s="387"/>
      <c r="HI101" s="387"/>
      <c r="HJ101" s="387"/>
      <c r="HK101" s="387"/>
      <c r="HL101" s="387"/>
      <c r="HM101" s="988"/>
    </row>
    <row r="102" spans="1:221">
      <c r="A102" s="326" t="s">
        <v>1594</v>
      </c>
      <c r="B102" s="326" t="s">
        <v>1582</v>
      </c>
      <c r="C102" s="326" t="s">
        <v>3687</v>
      </c>
      <c r="D102" s="1036" t="s">
        <v>2154</v>
      </c>
      <c r="E102" s="387" t="s">
        <v>2154</v>
      </c>
      <c r="F102" s="387" t="s">
        <v>2154</v>
      </c>
      <c r="G102" s="387" t="s">
        <v>2154</v>
      </c>
      <c r="H102" s="387" t="s">
        <v>2154</v>
      </c>
      <c r="I102" s="387" t="s">
        <v>2154</v>
      </c>
      <c r="J102" s="387" t="s">
        <v>2154</v>
      </c>
      <c r="K102" s="387" t="s">
        <v>2154</v>
      </c>
      <c r="L102" s="387" t="s">
        <v>2154</v>
      </c>
      <c r="M102" s="387" t="s">
        <v>2154</v>
      </c>
      <c r="N102" s="387" t="s">
        <v>2154</v>
      </c>
      <c r="O102" s="988" t="s">
        <v>2154</v>
      </c>
      <c r="P102" s="387" t="s">
        <v>2154</v>
      </c>
      <c r="Q102" s="387" t="s">
        <v>2154</v>
      </c>
      <c r="R102" s="387" t="s">
        <v>2154</v>
      </c>
      <c r="S102" s="387" t="s">
        <v>2154</v>
      </c>
      <c r="T102" s="387" t="s">
        <v>2154</v>
      </c>
      <c r="U102" s="387" t="s">
        <v>2154</v>
      </c>
      <c r="V102" s="387" t="s">
        <v>2154</v>
      </c>
      <c r="W102" s="387" t="s">
        <v>2154</v>
      </c>
      <c r="X102" s="387" t="s">
        <v>2154</v>
      </c>
      <c r="Y102" s="387" t="s">
        <v>2154</v>
      </c>
      <c r="Z102" s="387" t="s">
        <v>2154</v>
      </c>
      <c r="AA102" s="988" t="s">
        <v>2154</v>
      </c>
      <c r="AB102" s="387"/>
      <c r="AC102" s="387"/>
      <c r="AD102" s="387"/>
      <c r="AE102" s="387"/>
      <c r="AF102" s="387"/>
      <c r="AG102" s="387"/>
      <c r="AH102" s="387"/>
      <c r="AI102" s="387"/>
      <c r="AJ102" s="387"/>
      <c r="AK102" s="387"/>
      <c r="AL102" s="387"/>
      <c r="AM102" s="988"/>
      <c r="AN102" s="387"/>
      <c r="AO102" s="387"/>
      <c r="AP102" s="387"/>
      <c r="AQ102" s="387"/>
      <c r="AR102" s="387"/>
      <c r="AS102" s="387"/>
      <c r="AT102" s="387"/>
      <c r="AU102" s="387"/>
      <c r="AV102" s="387"/>
      <c r="AW102" s="387"/>
      <c r="AX102" s="387"/>
      <c r="AY102" s="988"/>
      <c r="AZ102" s="387"/>
      <c r="BA102" s="387"/>
      <c r="BB102" s="387"/>
      <c r="BC102" s="387"/>
      <c r="BD102" s="387"/>
      <c r="BE102" s="387"/>
      <c r="BF102" s="387"/>
      <c r="BG102" s="387"/>
      <c r="BH102" s="387"/>
      <c r="BI102" s="387"/>
      <c r="BJ102" s="387"/>
      <c r="BK102" s="988"/>
      <c r="BL102" s="387"/>
      <c r="BM102" s="387"/>
      <c r="BN102" s="387"/>
      <c r="BO102" s="387"/>
      <c r="BP102" s="387"/>
      <c r="BQ102" s="387"/>
      <c r="BR102" s="387"/>
      <c r="BS102" s="387"/>
      <c r="BT102" s="387"/>
      <c r="BU102" s="387"/>
      <c r="BV102" s="387"/>
      <c r="BW102" s="988"/>
      <c r="BX102" s="387"/>
      <c r="BY102" s="387"/>
      <c r="BZ102" s="387"/>
      <c r="CA102" s="387"/>
      <c r="CB102" s="387"/>
      <c r="CC102" s="387"/>
      <c r="CD102" s="387"/>
      <c r="CE102" s="387"/>
      <c r="CF102" s="387"/>
      <c r="CG102" s="387"/>
      <c r="CH102" s="387"/>
      <c r="CI102" s="988"/>
      <c r="CJ102" s="387"/>
      <c r="CK102" s="387"/>
      <c r="CL102" s="387"/>
      <c r="CM102" s="387"/>
      <c r="CN102" s="387"/>
      <c r="CO102" s="387"/>
      <c r="CP102" s="387"/>
      <c r="CQ102" s="387"/>
      <c r="CR102" s="387"/>
      <c r="CS102" s="387"/>
      <c r="CT102" s="387"/>
      <c r="CU102" s="988"/>
      <c r="CV102" s="387"/>
      <c r="CW102" s="387"/>
      <c r="CX102" s="387"/>
      <c r="CY102" s="387"/>
      <c r="CZ102" s="387"/>
      <c r="DA102" s="387"/>
      <c r="DB102" s="387"/>
      <c r="DC102" s="387"/>
      <c r="DD102" s="387"/>
      <c r="DE102" s="387"/>
      <c r="DF102" s="387"/>
      <c r="DG102" s="988"/>
      <c r="DH102" s="387"/>
      <c r="DI102" s="387"/>
      <c r="DJ102" s="387"/>
      <c r="DK102" s="387"/>
      <c r="DL102" s="387"/>
      <c r="DM102" s="387"/>
      <c r="DN102" s="387"/>
      <c r="DO102" s="387"/>
      <c r="DP102" s="387"/>
      <c r="DQ102" s="387"/>
      <c r="DR102" s="387"/>
      <c r="DS102" s="988"/>
      <c r="DT102" s="387" t="s">
        <v>2154</v>
      </c>
      <c r="DU102" s="387" t="s">
        <v>2154</v>
      </c>
      <c r="DV102" s="387" t="s">
        <v>2154</v>
      </c>
      <c r="DW102" s="387" t="s">
        <v>2154</v>
      </c>
      <c r="DX102" s="387" t="s">
        <v>2154</v>
      </c>
      <c r="DY102" s="387" t="s">
        <v>2154</v>
      </c>
      <c r="DZ102" s="387" t="s">
        <v>2154</v>
      </c>
      <c r="EA102" s="387" t="s">
        <v>2154</v>
      </c>
      <c r="EB102" s="387" t="s">
        <v>2154</v>
      </c>
      <c r="EC102" s="387" t="s">
        <v>2154</v>
      </c>
      <c r="ED102" s="387" t="s">
        <v>2154</v>
      </c>
      <c r="EE102" s="988" t="s">
        <v>2154</v>
      </c>
      <c r="EF102" s="387"/>
      <c r="EG102" s="387"/>
      <c r="EH102" s="387"/>
      <c r="EI102" s="387"/>
      <c r="EJ102" s="387"/>
      <c r="EK102" s="387"/>
      <c r="EL102" s="387"/>
      <c r="EM102" s="387"/>
      <c r="EN102" s="387"/>
      <c r="EO102" s="387"/>
      <c r="EP102" s="387"/>
      <c r="EQ102" s="988"/>
      <c r="ER102" s="387"/>
      <c r="ES102" s="387"/>
      <c r="ET102" s="387"/>
      <c r="EU102" s="387"/>
      <c r="EV102" s="387"/>
      <c r="EW102" s="387"/>
      <c r="EX102" s="387"/>
      <c r="EY102" s="387"/>
      <c r="EZ102" s="387"/>
      <c r="FA102" s="387"/>
      <c r="FB102" s="387"/>
      <c r="FC102" s="988"/>
      <c r="FD102" s="387"/>
      <c r="FE102" s="387"/>
      <c r="FF102" s="387"/>
      <c r="FG102" s="387"/>
      <c r="FH102" s="387"/>
      <c r="FI102" s="387"/>
      <c r="FJ102" s="387"/>
      <c r="FK102" s="387"/>
      <c r="FL102" s="387"/>
      <c r="FM102" s="387"/>
      <c r="FN102" s="387"/>
      <c r="FO102" s="988"/>
      <c r="FP102" s="387"/>
      <c r="FQ102" s="387"/>
      <c r="FR102" s="387"/>
      <c r="FS102" s="387"/>
      <c r="FT102" s="387"/>
      <c r="FU102" s="387"/>
      <c r="FV102" s="387"/>
      <c r="FW102" s="387"/>
      <c r="FX102" s="387"/>
      <c r="FY102" s="387"/>
      <c r="FZ102" s="387"/>
      <c r="GA102" s="988"/>
      <c r="GB102" s="109"/>
      <c r="GC102" s="1036">
        <f t="shared" si="110"/>
        <v>0</v>
      </c>
      <c r="GD102" s="387">
        <f t="shared" si="110"/>
        <v>0</v>
      </c>
      <c r="GE102" s="387">
        <f t="shared" si="110"/>
        <v>0</v>
      </c>
      <c r="GF102" s="387">
        <f t="shared" si="110"/>
        <v>0</v>
      </c>
      <c r="GG102" s="387">
        <f t="shared" si="110"/>
        <v>0</v>
      </c>
      <c r="GH102" s="387">
        <f t="shared" si="110"/>
        <v>0</v>
      </c>
      <c r="GI102" s="387">
        <f t="shared" si="110"/>
        <v>0</v>
      </c>
      <c r="GJ102" s="387">
        <f t="shared" si="110"/>
        <v>0</v>
      </c>
      <c r="GK102" s="387">
        <f t="shared" si="110"/>
        <v>0</v>
      </c>
      <c r="GL102" s="387">
        <f t="shared" si="110"/>
        <v>0</v>
      </c>
      <c r="GM102" s="387">
        <f t="shared" si="110"/>
        <v>0</v>
      </c>
      <c r="GN102" s="988">
        <f t="shared" si="110"/>
        <v>0</v>
      </c>
      <c r="GO102" s="1036">
        <f t="shared" si="111"/>
        <v>0</v>
      </c>
      <c r="GP102" s="387">
        <f t="shared" si="111"/>
        <v>0</v>
      </c>
      <c r="GQ102" s="387">
        <f t="shared" si="111"/>
        <v>0</v>
      </c>
      <c r="GR102" s="387">
        <f t="shared" si="111"/>
        <v>0</v>
      </c>
      <c r="GS102" s="387">
        <f t="shared" si="111"/>
        <v>0</v>
      </c>
      <c r="GT102" s="387">
        <f t="shared" si="111"/>
        <v>0</v>
      </c>
      <c r="GU102" s="387">
        <f t="shared" si="111"/>
        <v>0</v>
      </c>
      <c r="GV102" s="387">
        <f t="shared" si="111"/>
        <v>0</v>
      </c>
      <c r="GW102" s="387">
        <f t="shared" si="111"/>
        <v>0</v>
      </c>
      <c r="GX102" s="387">
        <f t="shared" si="111"/>
        <v>0</v>
      </c>
      <c r="GY102" s="387">
        <f t="shared" si="111"/>
        <v>0</v>
      </c>
      <c r="GZ102" s="988">
        <f t="shared" si="111"/>
        <v>0</v>
      </c>
      <c r="HB102" s="387"/>
      <c r="HC102" s="387"/>
      <c r="HD102" s="387"/>
      <c r="HE102" s="387"/>
      <c r="HF102" s="387"/>
      <c r="HG102" s="387"/>
      <c r="HH102" s="387"/>
      <c r="HI102" s="387"/>
      <c r="HJ102" s="387"/>
      <c r="HK102" s="387"/>
      <c r="HL102" s="387"/>
      <c r="HM102" s="988"/>
    </row>
    <row r="103" spans="1:221">
      <c r="A103" s="326" t="s">
        <v>1594</v>
      </c>
      <c r="B103" s="326" t="s">
        <v>1582</v>
      </c>
      <c r="C103" s="326" t="s">
        <v>3899</v>
      </c>
      <c r="D103" s="1036" t="s">
        <v>2154</v>
      </c>
      <c r="E103" s="387" t="s">
        <v>2154</v>
      </c>
      <c r="F103" s="387" t="s">
        <v>2154</v>
      </c>
      <c r="G103" s="387" t="s">
        <v>2154</v>
      </c>
      <c r="H103" s="387" t="s">
        <v>2154</v>
      </c>
      <c r="I103" s="387" t="s">
        <v>2154</v>
      </c>
      <c r="J103" s="387" t="s">
        <v>2154</v>
      </c>
      <c r="K103" s="387" t="s">
        <v>2154</v>
      </c>
      <c r="L103" s="387" t="s">
        <v>2154</v>
      </c>
      <c r="M103" s="387" t="s">
        <v>2154</v>
      </c>
      <c r="N103" s="387" t="s">
        <v>2154</v>
      </c>
      <c r="O103" s="988" t="s">
        <v>2154</v>
      </c>
      <c r="P103" s="387" t="s">
        <v>2154</v>
      </c>
      <c r="Q103" s="387" t="s">
        <v>2154</v>
      </c>
      <c r="R103" s="387" t="s">
        <v>2154</v>
      </c>
      <c r="S103" s="387" t="s">
        <v>2154</v>
      </c>
      <c r="T103" s="387" t="s">
        <v>2154</v>
      </c>
      <c r="U103" s="387" t="s">
        <v>2154</v>
      </c>
      <c r="V103" s="387" t="s">
        <v>2154</v>
      </c>
      <c r="W103" s="387" t="s">
        <v>2154</v>
      </c>
      <c r="X103" s="387" t="s">
        <v>2154</v>
      </c>
      <c r="Y103" s="387" t="s">
        <v>2154</v>
      </c>
      <c r="Z103" s="387" t="s">
        <v>2154</v>
      </c>
      <c r="AA103" s="988" t="s">
        <v>2154</v>
      </c>
      <c r="AB103" s="387"/>
      <c r="AC103" s="387"/>
      <c r="AD103" s="387"/>
      <c r="AE103" s="387"/>
      <c r="AF103" s="387"/>
      <c r="AG103" s="387"/>
      <c r="AH103" s="387"/>
      <c r="AI103" s="387"/>
      <c r="AJ103" s="387"/>
      <c r="AK103" s="387"/>
      <c r="AL103" s="387"/>
      <c r="AM103" s="988"/>
      <c r="AN103" s="387"/>
      <c r="AO103" s="387"/>
      <c r="AP103" s="387"/>
      <c r="AQ103" s="387"/>
      <c r="AR103" s="387"/>
      <c r="AS103" s="387"/>
      <c r="AT103" s="387"/>
      <c r="AU103" s="387"/>
      <c r="AV103" s="387"/>
      <c r="AW103" s="387"/>
      <c r="AX103" s="387"/>
      <c r="AY103" s="988"/>
      <c r="AZ103" s="387"/>
      <c r="BA103" s="387"/>
      <c r="BB103" s="387"/>
      <c r="BC103" s="387"/>
      <c r="BD103" s="387"/>
      <c r="BE103" s="387"/>
      <c r="BF103" s="387"/>
      <c r="BG103" s="387"/>
      <c r="BH103" s="387"/>
      <c r="BI103" s="387"/>
      <c r="BJ103" s="387"/>
      <c r="BK103" s="988"/>
      <c r="BL103" s="387"/>
      <c r="BM103" s="387"/>
      <c r="BN103" s="387"/>
      <c r="BO103" s="387"/>
      <c r="BP103" s="387"/>
      <c r="BQ103" s="387"/>
      <c r="BR103" s="387"/>
      <c r="BS103" s="387"/>
      <c r="BT103" s="387"/>
      <c r="BU103" s="387"/>
      <c r="BV103" s="387"/>
      <c r="BW103" s="988"/>
      <c r="BX103" s="387"/>
      <c r="BY103" s="387"/>
      <c r="BZ103" s="387"/>
      <c r="CA103" s="387"/>
      <c r="CB103" s="387"/>
      <c r="CC103" s="387"/>
      <c r="CD103" s="387"/>
      <c r="CE103" s="387"/>
      <c r="CF103" s="387"/>
      <c r="CG103" s="387"/>
      <c r="CH103" s="387"/>
      <c r="CI103" s="988"/>
      <c r="CJ103" s="387"/>
      <c r="CK103" s="387"/>
      <c r="CL103" s="387"/>
      <c r="CM103" s="387"/>
      <c r="CN103" s="387"/>
      <c r="CO103" s="387"/>
      <c r="CP103" s="387"/>
      <c r="CQ103" s="387"/>
      <c r="CR103" s="387"/>
      <c r="CS103" s="387"/>
      <c r="CT103" s="387"/>
      <c r="CU103" s="988"/>
      <c r="CV103" s="387"/>
      <c r="CW103" s="387"/>
      <c r="CX103" s="387"/>
      <c r="CY103" s="387"/>
      <c r="CZ103" s="387"/>
      <c r="DA103" s="387"/>
      <c r="DB103" s="387"/>
      <c r="DC103" s="387"/>
      <c r="DD103" s="387"/>
      <c r="DE103" s="387"/>
      <c r="DF103" s="387"/>
      <c r="DG103" s="988"/>
      <c r="DH103" s="387"/>
      <c r="DI103" s="387"/>
      <c r="DJ103" s="387"/>
      <c r="DK103" s="387"/>
      <c r="DL103" s="387"/>
      <c r="DM103" s="387"/>
      <c r="DN103" s="387"/>
      <c r="DO103" s="387"/>
      <c r="DP103" s="387"/>
      <c r="DQ103" s="387"/>
      <c r="DR103" s="387"/>
      <c r="DS103" s="988"/>
      <c r="DT103" s="387" t="s">
        <v>2154</v>
      </c>
      <c r="DU103" s="387" t="s">
        <v>2154</v>
      </c>
      <c r="DV103" s="387" t="s">
        <v>2154</v>
      </c>
      <c r="DW103" s="387" t="s">
        <v>2154</v>
      </c>
      <c r="DX103" s="387" t="s">
        <v>2154</v>
      </c>
      <c r="DY103" s="387" t="s">
        <v>2154</v>
      </c>
      <c r="DZ103" s="387" t="s">
        <v>2154</v>
      </c>
      <c r="EA103" s="387" t="s">
        <v>2154</v>
      </c>
      <c r="EB103" s="387" t="s">
        <v>2154</v>
      </c>
      <c r="EC103" s="387" t="s">
        <v>2154</v>
      </c>
      <c r="ED103" s="387" t="s">
        <v>2154</v>
      </c>
      <c r="EE103" s="988" t="s">
        <v>2154</v>
      </c>
      <c r="EF103" s="387"/>
      <c r="EG103" s="387"/>
      <c r="EH103" s="387"/>
      <c r="EI103" s="387"/>
      <c r="EJ103" s="387"/>
      <c r="EK103" s="387"/>
      <c r="EL103" s="387"/>
      <c r="EM103" s="387"/>
      <c r="EN103" s="387"/>
      <c r="EO103" s="387"/>
      <c r="EP103" s="387"/>
      <c r="EQ103" s="988"/>
      <c r="ER103" s="387"/>
      <c r="ES103" s="387"/>
      <c r="ET103" s="387"/>
      <c r="EU103" s="387"/>
      <c r="EV103" s="387"/>
      <c r="EW103" s="387"/>
      <c r="EX103" s="387"/>
      <c r="EY103" s="387"/>
      <c r="EZ103" s="387"/>
      <c r="FA103" s="387"/>
      <c r="FB103" s="387"/>
      <c r="FC103" s="988"/>
      <c r="FD103" s="387"/>
      <c r="FE103" s="387"/>
      <c r="FF103" s="387"/>
      <c r="FG103" s="387"/>
      <c r="FH103" s="387"/>
      <c r="FI103" s="387"/>
      <c r="FJ103" s="387"/>
      <c r="FK103" s="387"/>
      <c r="FL103" s="387"/>
      <c r="FM103" s="387"/>
      <c r="FN103" s="387"/>
      <c r="FO103" s="988"/>
      <c r="FP103" s="387"/>
      <c r="FQ103" s="387"/>
      <c r="FR103" s="387"/>
      <c r="FS103" s="387"/>
      <c r="FT103" s="387"/>
      <c r="FU103" s="387"/>
      <c r="FV103" s="387"/>
      <c r="FW103" s="387"/>
      <c r="FX103" s="387"/>
      <c r="FY103" s="387"/>
      <c r="FZ103" s="387"/>
      <c r="GA103" s="988"/>
      <c r="GB103" s="109"/>
      <c r="GC103" s="1036">
        <f t="shared" si="110"/>
        <v>0</v>
      </c>
      <c r="GD103" s="387">
        <f t="shared" si="110"/>
        <v>0</v>
      </c>
      <c r="GE103" s="387">
        <f t="shared" si="110"/>
        <v>0</v>
      </c>
      <c r="GF103" s="387">
        <f t="shared" si="110"/>
        <v>0</v>
      </c>
      <c r="GG103" s="387">
        <f t="shared" si="110"/>
        <v>0</v>
      </c>
      <c r="GH103" s="387">
        <f t="shared" si="110"/>
        <v>0</v>
      </c>
      <c r="GI103" s="387">
        <f t="shared" si="110"/>
        <v>0</v>
      </c>
      <c r="GJ103" s="387">
        <f t="shared" si="110"/>
        <v>0</v>
      </c>
      <c r="GK103" s="387">
        <f t="shared" si="110"/>
        <v>0</v>
      </c>
      <c r="GL103" s="387">
        <f t="shared" si="110"/>
        <v>0</v>
      </c>
      <c r="GM103" s="387">
        <f t="shared" si="110"/>
        <v>0</v>
      </c>
      <c r="GN103" s="988">
        <f t="shared" si="110"/>
        <v>0</v>
      </c>
      <c r="GO103" s="1036">
        <f t="shared" si="111"/>
        <v>0</v>
      </c>
      <c r="GP103" s="387">
        <f t="shared" si="111"/>
        <v>0</v>
      </c>
      <c r="GQ103" s="387">
        <f t="shared" si="111"/>
        <v>0</v>
      </c>
      <c r="GR103" s="387">
        <f t="shared" si="111"/>
        <v>0</v>
      </c>
      <c r="GS103" s="387">
        <f t="shared" si="111"/>
        <v>0</v>
      </c>
      <c r="GT103" s="387">
        <f t="shared" si="111"/>
        <v>0</v>
      </c>
      <c r="GU103" s="387">
        <f t="shared" si="111"/>
        <v>0</v>
      </c>
      <c r="GV103" s="387">
        <f t="shared" si="111"/>
        <v>0</v>
      </c>
      <c r="GW103" s="387">
        <f t="shared" si="111"/>
        <v>0</v>
      </c>
      <c r="GX103" s="387">
        <f t="shared" si="111"/>
        <v>0</v>
      </c>
      <c r="GY103" s="387">
        <f t="shared" si="111"/>
        <v>0</v>
      </c>
      <c r="GZ103" s="988">
        <f t="shared" si="111"/>
        <v>0</v>
      </c>
      <c r="HB103" s="387"/>
      <c r="HC103" s="387"/>
      <c r="HD103" s="387"/>
      <c r="HE103" s="387"/>
      <c r="HF103" s="387"/>
      <c r="HG103" s="387"/>
      <c r="HH103" s="387"/>
      <c r="HI103" s="387"/>
      <c r="HJ103" s="387"/>
      <c r="HK103" s="387"/>
      <c r="HL103" s="387"/>
      <c r="HM103" s="988"/>
    </row>
    <row r="104" spans="1:221">
      <c r="A104" s="326" t="s">
        <v>1594</v>
      </c>
      <c r="B104" s="326" t="s">
        <v>1583</v>
      </c>
      <c r="C104" s="326" t="s">
        <v>3687</v>
      </c>
      <c r="D104" s="1036" t="s">
        <v>2154</v>
      </c>
      <c r="E104" s="387" t="s">
        <v>2154</v>
      </c>
      <c r="F104" s="387" t="s">
        <v>2154</v>
      </c>
      <c r="G104" s="387" t="s">
        <v>2154</v>
      </c>
      <c r="H104" s="387" t="s">
        <v>2154</v>
      </c>
      <c r="I104" s="387" t="s">
        <v>2154</v>
      </c>
      <c r="J104" s="387" t="s">
        <v>2154</v>
      </c>
      <c r="K104" s="387" t="s">
        <v>2154</v>
      </c>
      <c r="L104" s="387" t="s">
        <v>2154</v>
      </c>
      <c r="M104" s="387" t="s">
        <v>2154</v>
      </c>
      <c r="N104" s="387" t="s">
        <v>2154</v>
      </c>
      <c r="O104" s="988" t="s">
        <v>2154</v>
      </c>
      <c r="P104" s="387" t="s">
        <v>2154</v>
      </c>
      <c r="Q104" s="387" t="s">
        <v>2154</v>
      </c>
      <c r="R104" s="387" t="s">
        <v>2154</v>
      </c>
      <c r="S104" s="387" t="s">
        <v>2154</v>
      </c>
      <c r="T104" s="387" t="s">
        <v>2154</v>
      </c>
      <c r="U104" s="387" t="s">
        <v>2154</v>
      </c>
      <c r="V104" s="387" t="s">
        <v>2154</v>
      </c>
      <c r="W104" s="387" t="s">
        <v>2154</v>
      </c>
      <c r="X104" s="387" t="s">
        <v>2154</v>
      </c>
      <c r="Y104" s="387" t="s">
        <v>2154</v>
      </c>
      <c r="Z104" s="387" t="s">
        <v>2154</v>
      </c>
      <c r="AA104" s="988" t="s">
        <v>2154</v>
      </c>
      <c r="AB104" s="387"/>
      <c r="AC104" s="387"/>
      <c r="AD104" s="387"/>
      <c r="AE104" s="387"/>
      <c r="AF104" s="387"/>
      <c r="AG104" s="387"/>
      <c r="AH104" s="387"/>
      <c r="AI104" s="387"/>
      <c r="AJ104" s="387"/>
      <c r="AK104" s="387"/>
      <c r="AL104" s="387"/>
      <c r="AM104" s="988"/>
      <c r="AN104" s="387"/>
      <c r="AO104" s="387"/>
      <c r="AP104" s="387"/>
      <c r="AQ104" s="387"/>
      <c r="AR104" s="387"/>
      <c r="AS104" s="387"/>
      <c r="AT104" s="387"/>
      <c r="AU104" s="387"/>
      <c r="AV104" s="387"/>
      <c r="AW104" s="387"/>
      <c r="AX104" s="387"/>
      <c r="AY104" s="988"/>
      <c r="AZ104" s="387"/>
      <c r="BA104" s="387"/>
      <c r="BB104" s="387"/>
      <c r="BC104" s="387"/>
      <c r="BD104" s="387"/>
      <c r="BE104" s="387"/>
      <c r="BF104" s="387"/>
      <c r="BG104" s="387"/>
      <c r="BH104" s="387"/>
      <c r="BI104" s="387"/>
      <c r="BJ104" s="387"/>
      <c r="BK104" s="988"/>
      <c r="BL104" s="387"/>
      <c r="BM104" s="387"/>
      <c r="BN104" s="387"/>
      <c r="BO104" s="387"/>
      <c r="BP104" s="387"/>
      <c r="BQ104" s="387"/>
      <c r="BR104" s="387"/>
      <c r="BS104" s="387"/>
      <c r="BT104" s="387"/>
      <c r="BU104" s="387"/>
      <c r="BV104" s="387"/>
      <c r="BW104" s="988"/>
      <c r="BX104" s="387"/>
      <c r="BY104" s="387"/>
      <c r="BZ104" s="387"/>
      <c r="CA104" s="387"/>
      <c r="CB104" s="387"/>
      <c r="CC104" s="387"/>
      <c r="CD104" s="387"/>
      <c r="CE104" s="387"/>
      <c r="CF104" s="387"/>
      <c r="CG104" s="387"/>
      <c r="CH104" s="387"/>
      <c r="CI104" s="988"/>
      <c r="CJ104" s="387"/>
      <c r="CK104" s="387"/>
      <c r="CL104" s="387"/>
      <c r="CM104" s="387"/>
      <c r="CN104" s="387"/>
      <c r="CO104" s="387"/>
      <c r="CP104" s="387"/>
      <c r="CQ104" s="387"/>
      <c r="CR104" s="387"/>
      <c r="CS104" s="387"/>
      <c r="CT104" s="387"/>
      <c r="CU104" s="988"/>
      <c r="CV104" s="387"/>
      <c r="CW104" s="387"/>
      <c r="CX104" s="387"/>
      <c r="CY104" s="387"/>
      <c r="CZ104" s="387"/>
      <c r="DA104" s="387"/>
      <c r="DB104" s="387"/>
      <c r="DC104" s="387"/>
      <c r="DD104" s="387"/>
      <c r="DE104" s="387"/>
      <c r="DF104" s="387"/>
      <c r="DG104" s="988"/>
      <c r="DH104" s="387"/>
      <c r="DI104" s="387"/>
      <c r="DJ104" s="387"/>
      <c r="DK104" s="387"/>
      <c r="DL104" s="387"/>
      <c r="DM104" s="387"/>
      <c r="DN104" s="387"/>
      <c r="DO104" s="387"/>
      <c r="DP104" s="387"/>
      <c r="DQ104" s="387"/>
      <c r="DR104" s="387"/>
      <c r="DS104" s="988"/>
      <c r="DT104" s="387" t="s">
        <v>2154</v>
      </c>
      <c r="DU104" s="387" t="s">
        <v>2154</v>
      </c>
      <c r="DV104" s="387" t="s">
        <v>2154</v>
      </c>
      <c r="DW104" s="387" t="s">
        <v>2154</v>
      </c>
      <c r="DX104" s="387" t="s">
        <v>2154</v>
      </c>
      <c r="DY104" s="387" t="s">
        <v>2154</v>
      </c>
      <c r="DZ104" s="387" t="s">
        <v>2154</v>
      </c>
      <c r="EA104" s="387" t="s">
        <v>2154</v>
      </c>
      <c r="EB104" s="387" t="s">
        <v>2154</v>
      </c>
      <c r="EC104" s="387" t="s">
        <v>2154</v>
      </c>
      <c r="ED104" s="387" t="s">
        <v>2154</v>
      </c>
      <c r="EE104" s="988" t="s">
        <v>2154</v>
      </c>
      <c r="EF104" s="387"/>
      <c r="EG104" s="387"/>
      <c r="EH104" s="387"/>
      <c r="EI104" s="387"/>
      <c r="EJ104" s="387"/>
      <c r="EK104" s="387"/>
      <c r="EL104" s="387"/>
      <c r="EM104" s="387"/>
      <c r="EN104" s="387"/>
      <c r="EO104" s="387"/>
      <c r="EP104" s="387"/>
      <c r="EQ104" s="988"/>
      <c r="ER104" s="387"/>
      <c r="ES104" s="387"/>
      <c r="ET104" s="387"/>
      <c r="EU104" s="387"/>
      <c r="EV104" s="387"/>
      <c r="EW104" s="387"/>
      <c r="EX104" s="387"/>
      <c r="EY104" s="387"/>
      <c r="EZ104" s="387"/>
      <c r="FA104" s="387"/>
      <c r="FB104" s="387"/>
      <c r="FC104" s="988"/>
      <c r="FD104" s="387"/>
      <c r="FE104" s="387"/>
      <c r="FF104" s="387"/>
      <c r="FG104" s="387"/>
      <c r="FH104" s="387"/>
      <c r="FI104" s="387"/>
      <c r="FJ104" s="387"/>
      <c r="FK104" s="387"/>
      <c r="FL104" s="387"/>
      <c r="FM104" s="387"/>
      <c r="FN104" s="387"/>
      <c r="FO104" s="988"/>
      <c r="FP104" s="387"/>
      <c r="FQ104" s="387"/>
      <c r="FR104" s="387"/>
      <c r="FS104" s="387"/>
      <c r="FT104" s="387"/>
      <c r="FU104" s="387"/>
      <c r="FV104" s="387"/>
      <c r="FW104" s="387"/>
      <c r="FX104" s="387"/>
      <c r="FY104" s="387"/>
      <c r="FZ104" s="387"/>
      <c r="GA104" s="988"/>
      <c r="GB104" s="109"/>
      <c r="GC104" s="1036">
        <f t="shared" ref="GC104:GN113" si="112">SUMPRODUCT(--($D$6:$GA$6=GC$6),$D104:$GA104,$D$278:$GA$278)</f>
        <v>0</v>
      </c>
      <c r="GD104" s="387">
        <f t="shared" si="112"/>
        <v>0</v>
      </c>
      <c r="GE104" s="387">
        <f t="shared" si="112"/>
        <v>0</v>
      </c>
      <c r="GF104" s="387">
        <f t="shared" si="112"/>
        <v>0</v>
      </c>
      <c r="GG104" s="387">
        <f t="shared" si="112"/>
        <v>0</v>
      </c>
      <c r="GH104" s="387">
        <f t="shared" si="112"/>
        <v>0</v>
      </c>
      <c r="GI104" s="387">
        <f t="shared" si="112"/>
        <v>0</v>
      </c>
      <c r="GJ104" s="387">
        <f t="shared" si="112"/>
        <v>0</v>
      </c>
      <c r="GK104" s="387">
        <f t="shared" si="112"/>
        <v>0</v>
      </c>
      <c r="GL104" s="387">
        <f t="shared" si="112"/>
        <v>0</v>
      </c>
      <c r="GM104" s="387">
        <f t="shared" si="112"/>
        <v>0</v>
      </c>
      <c r="GN104" s="988">
        <f t="shared" si="112"/>
        <v>0</v>
      </c>
      <c r="GO104" s="1036">
        <f t="shared" ref="GO104:GZ113" si="113">SUMPRODUCT(--($DT$6:$GA$6=GO$6),$DT104:$GA104,$DT$278:$GA$278)</f>
        <v>0</v>
      </c>
      <c r="GP104" s="387">
        <f t="shared" si="113"/>
        <v>0</v>
      </c>
      <c r="GQ104" s="387">
        <f t="shared" si="113"/>
        <v>0</v>
      </c>
      <c r="GR104" s="387">
        <f t="shared" si="113"/>
        <v>0</v>
      </c>
      <c r="GS104" s="387">
        <f t="shared" si="113"/>
        <v>0</v>
      </c>
      <c r="GT104" s="387">
        <f t="shared" si="113"/>
        <v>0</v>
      </c>
      <c r="GU104" s="387">
        <f t="shared" si="113"/>
        <v>0</v>
      </c>
      <c r="GV104" s="387">
        <f t="shared" si="113"/>
        <v>0</v>
      </c>
      <c r="GW104" s="387">
        <f t="shared" si="113"/>
        <v>0</v>
      </c>
      <c r="GX104" s="387">
        <f t="shared" si="113"/>
        <v>0</v>
      </c>
      <c r="GY104" s="387">
        <f t="shared" si="113"/>
        <v>0</v>
      </c>
      <c r="GZ104" s="988">
        <f t="shared" si="113"/>
        <v>0</v>
      </c>
      <c r="HB104" s="387"/>
      <c r="HC104" s="387"/>
      <c r="HD104" s="387"/>
      <c r="HE104" s="387"/>
      <c r="HF104" s="387"/>
      <c r="HG104" s="387"/>
      <c r="HH104" s="387"/>
      <c r="HI104" s="387"/>
      <c r="HJ104" s="387"/>
      <c r="HK104" s="387"/>
      <c r="HL104" s="387"/>
      <c r="HM104" s="988"/>
    </row>
    <row r="105" spans="1:221">
      <c r="A105" s="326" t="s">
        <v>1594</v>
      </c>
      <c r="B105" s="326" t="s">
        <v>1583</v>
      </c>
      <c r="C105" s="326" t="s">
        <v>3899</v>
      </c>
      <c r="D105" s="1036" t="s">
        <v>2154</v>
      </c>
      <c r="E105" s="387" t="s">
        <v>2154</v>
      </c>
      <c r="F105" s="387" t="s">
        <v>2154</v>
      </c>
      <c r="G105" s="387" t="s">
        <v>2154</v>
      </c>
      <c r="H105" s="387" t="s">
        <v>2154</v>
      </c>
      <c r="I105" s="387" t="s">
        <v>2154</v>
      </c>
      <c r="J105" s="387" t="s">
        <v>2154</v>
      </c>
      <c r="K105" s="387" t="s">
        <v>2154</v>
      </c>
      <c r="L105" s="387" t="s">
        <v>2154</v>
      </c>
      <c r="M105" s="387" t="s">
        <v>2154</v>
      </c>
      <c r="N105" s="387" t="s">
        <v>2154</v>
      </c>
      <c r="O105" s="988" t="s">
        <v>2154</v>
      </c>
      <c r="P105" s="387" t="s">
        <v>2154</v>
      </c>
      <c r="Q105" s="387" t="s">
        <v>2154</v>
      </c>
      <c r="R105" s="387" t="s">
        <v>2154</v>
      </c>
      <c r="S105" s="387" t="s">
        <v>2154</v>
      </c>
      <c r="T105" s="387" t="s">
        <v>2154</v>
      </c>
      <c r="U105" s="387" t="s">
        <v>2154</v>
      </c>
      <c r="V105" s="387" t="s">
        <v>2154</v>
      </c>
      <c r="W105" s="387" t="s">
        <v>2154</v>
      </c>
      <c r="X105" s="387" t="s">
        <v>2154</v>
      </c>
      <c r="Y105" s="387" t="s">
        <v>2154</v>
      </c>
      <c r="Z105" s="387" t="s">
        <v>2154</v>
      </c>
      <c r="AA105" s="988" t="s">
        <v>2154</v>
      </c>
      <c r="AB105" s="387"/>
      <c r="AC105" s="387"/>
      <c r="AD105" s="387"/>
      <c r="AE105" s="387"/>
      <c r="AF105" s="387"/>
      <c r="AG105" s="387"/>
      <c r="AH105" s="387"/>
      <c r="AI105" s="387"/>
      <c r="AJ105" s="387"/>
      <c r="AK105" s="387"/>
      <c r="AL105" s="387"/>
      <c r="AM105" s="988"/>
      <c r="AN105" s="387"/>
      <c r="AO105" s="387"/>
      <c r="AP105" s="387"/>
      <c r="AQ105" s="387"/>
      <c r="AR105" s="387"/>
      <c r="AS105" s="387"/>
      <c r="AT105" s="387"/>
      <c r="AU105" s="387"/>
      <c r="AV105" s="387"/>
      <c r="AW105" s="387"/>
      <c r="AX105" s="387"/>
      <c r="AY105" s="988"/>
      <c r="AZ105" s="387"/>
      <c r="BA105" s="387"/>
      <c r="BB105" s="387"/>
      <c r="BC105" s="387"/>
      <c r="BD105" s="387"/>
      <c r="BE105" s="387"/>
      <c r="BF105" s="387"/>
      <c r="BG105" s="387"/>
      <c r="BH105" s="387"/>
      <c r="BI105" s="387"/>
      <c r="BJ105" s="387"/>
      <c r="BK105" s="988"/>
      <c r="BL105" s="387"/>
      <c r="BM105" s="387"/>
      <c r="BN105" s="387"/>
      <c r="BO105" s="387"/>
      <c r="BP105" s="387"/>
      <c r="BQ105" s="387"/>
      <c r="BR105" s="387"/>
      <c r="BS105" s="387"/>
      <c r="BT105" s="387"/>
      <c r="BU105" s="387"/>
      <c r="BV105" s="387"/>
      <c r="BW105" s="988"/>
      <c r="BX105" s="387"/>
      <c r="BY105" s="387"/>
      <c r="BZ105" s="387"/>
      <c r="CA105" s="387"/>
      <c r="CB105" s="387"/>
      <c r="CC105" s="387"/>
      <c r="CD105" s="387"/>
      <c r="CE105" s="387"/>
      <c r="CF105" s="387"/>
      <c r="CG105" s="387"/>
      <c r="CH105" s="387"/>
      <c r="CI105" s="988"/>
      <c r="CJ105" s="387"/>
      <c r="CK105" s="387"/>
      <c r="CL105" s="387"/>
      <c r="CM105" s="387"/>
      <c r="CN105" s="387"/>
      <c r="CO105" s="387"/>
      <c r="CP105" s="387"/>
      <c r="CQ105" s="387"/>
      <c r="CR105" s="387"/>
      <c r="CS105" s="387"/>
      <c r="CT105" s="387"/>
      <c r="CU105" s="988"/>
      <c r="CV105" s="387"/>
      <c r="CW105" s="387"/>
      <c r="CX105" s="387"/>
      <c r="CY105" s="387"/>
      <c r="CZ105" s="387"/>
      <c r="DA105" s="387"/>
      <c r="DB105" s="387"/>
      <c r="DC105" s="387"/>
      <c r="DD105" s="387"/>
      <c r="DE105" s="387"/>
      <c r="DF105" s="387"/>
      <c r="DG105" s="988"/>
      <c r="DH105" s="387"/>
      <c r="DI105" s="387"/>
      <c r="DJ105" s="387"/>
      <c r="DK105" s="387"/>
      <c r="DL105" s="387"/>
      <c r="DM105" s="387"/>
      <c r="DN105" s="387"/>
      <c r="DO105" s="387"/>
      <c r="DP105" s="387"/>
      <c r="DQ105" s="387"/>
      <c r="DR105" s="387"/>
      <c r="DS105" s="988"/>
      <c r="DT105" s="387" t="s">
        <v>2154</v>
      </c>
      <c r="DU105" s="387" t="s">
        <v>2154</v>
      </c>
      <c r="DV105" s="387" t="s">
        <v>2154</v>
      </c>
      <c r="DW105" s="387" t="s">
        <v>2154</v>
      </c>
      <c r="DX105" s="387" t="s">
        <v>2154</v>
      </c>
      <c r="DY105" s="387" t="s">
        <v>2154</v>
      </c>
      <c r="DZ105" s="387" t="s">
        <v>2154</v>
      </c>
      <c r="EA105" s="387" t="s">
        <v>2154</v>
      </c>
      <c r="EB105" s="387" t="s">
        <v>2154</v>
      </c>
      <c r="EC105" s="387" t="s">
        <v>2154</v>
      </c>
      <c r="ED105" s="387" t="s">
        <v>2154</v>
      </c>
      <c r="EE105" s="988" t="s">
        <v>2154</v>
      </c>
      <c r="EF105" s="387"/>
      <c r="EG105" s="387"/>
      <c r="EH105" s="387"/>
      <c r="EI105" s="387"/>
      <c r="EJ105" s="387"/>
      <c r="EK105" s="387"/>
      <c r="EL105" s="387"/>
      <c r="EM105" s="387"/>
      <c r="EN105" s="387"/>
      <c r="EO105" s="387"/>
      <c r="EP105" s="387"/>
      <c r="EQ105" s="988"/>
      <c r="ER105" s="387"/>
      <c r="ES105" s="387"/>
      <c r="ET105" s="387"/>
      <c r="EU105" s="387"/>
      <c r="EV105" s="387"/>
      <c r="EW105" s="387"/>
      <c r="EX105" s="387"/>
      <c r="EY105" s="387"/>
      <c r="EZ105" s="387"/>
      <c r="FA105" s="387"/>
      <c r="FB105" s="387"/>
      <c r="FC105" s="988"/>
      <c r="FD105" s="387"/>
      <c r="FE105" s="387"/>
      <c r="FF105" s="387"/>
      <c r="FG105" s="387"/>
      <c r="FH105" s="387"/>
      <c r="FI105" s="387"/>
      <c r="FJ105" s="387"/>
      <c r="FK105" s="387"/>
      <c r="FL105" s="387"/>
      <c r="FM105" s="387"/>
      <c r="FN105" s="387"/>
      <c r="FO105" s="988"/>
      <c r="FP105" s="387"/>
      <c r="FQ105" s="387"/>
      <c r="FR105" s="387"/>
      <c r="FS105" s="387"/>
      <c r="FT105" s="387"/>
      <c r="FU105" s="387"/>
      <c r="FV105" s="387"/>
      <c r="FW105" s="387"/>
      <c r="FX105" s="387"/>
      <c r="FY105" s="387"/>
      <c r="FZ105" s="387"/>
      <c r="GA105" s="988"/>
      <c r="GB105" s="109"/>
      <c r="GC105" s="1036">
        <f t="shared" si="112"/>
        <v>0</v>
      </c>
      <c r="GD105" s="387">
        <f t="shared" si="112"/>
        <v>0</v>
      </c>
      <c r="GE105" s="387">
        <f t="shared" si="112"/>
        <v>0</v>
      </c>
      <c r="GF105" s="387">
        <f t="shared" si="112"/>
        <v>0</v>
      </c>
      <c r="GG105" s="387">
        <f t="shared" si="112"/>
        <v>0</v>
      </c>
      <c r="GH105" s="387">
        <f t="shared" si="112"/>
        <v>0</v>
      </c>
      <c r="GI105" s="387">
        <f t="shared" si="112"/>
        <v>0</v>
      </c>
      <c r="GJ105" s="387">
        <f t="shared" si="112"/>
        <v>0</v>
      </c>
      <c r="GK105" s="387">
        <f t="shared" si="112"/>
        <v>0</v>
      </c>
      <c r="GL105" s="387">
        <f t="shared" si="112"/>
        <v>0</v>
      </c>
      <c r="GM105" s="387">
        <f t="shared" si="112"/>
        <v>0</v>
      </c>
      <c r="GN105" s="988">
        <f t="shared" si="112"/>
        <v>0</v>
      </c>
      <c r="GO105" s="1036">
        <f t="shared" si="113"/>
        <v>0</v>
      </c>
      <c r="GP105" s="387">
        <f t="shared" si="113"/>
        <v>0</v>
      </c>
      <c r="GQ105" s="387">
        <f t="shared" si="113"/>
        <v>0</v>
      </c>
      <c r="GR105" s="387">
        <f t="shared" si="113"/>
        <v>0</v>
      </c>
      <c r="GS105" s="387">
        <f t="shared" si="113"/>
        <v>0</v>
      </c>
      <c r="GT105" s="387">
        <f t="shared" si="113"/>
        <v>0</v>
      </c>
      <c r="GU105" s="387">
        <f t="shared" si="113"/>
        <v>0</v>
      </c>
      <c r="GV105" s="387">
        <f t="shared" si="113"/>
        <v>0</v>
      </c>
      <c r="GW105" s="387">
        <f t="shared" si="113"/>
        <v>0</v>
      </c>
      <c r="GX105" s="387">
        <f t="shared" si="113"/>
        <v>0</v>
      </c>
      <c r="GY105" s="387">
        <f t="shared" si="113"/>
        <v>0</v>
      </c>
      <c r="GZ105" s="988">
        <f t="shared" si="113"/>
        <v>0</v>
      </c>
      <c r="HB105" s="387"/>
      <c r="HC105" s="387"/>
      <c r="HD105" s="387"/>
      <c r="HE105" s="387"/>
      <c r="HF105" s="387"/>
      <c r="HG105" s="387"/>
      <c r="HH105" s="387"/>
      <c r="HI105" s="387"/>
      <c r="HJ105" s="387"/>
      <c r="HK105" s="387"/>
      <c r="HL105" s="387"/>
      <c r="HM105" s="988"/>
    </row>
    <row r="106" spans="1:221">
      <c r="A106" s="326" t="s">
        <v>1594</v>
      </c>
      <c r="B106" s="326" t="s">
        <v>1584</v>
      </c>
      <c r="C106" s="326" t="s">
        <v>3687</v>
      </c>
      <c r="D106" s="1036" t="s">
        <v>2154</v>
      </c>
      <c r="E106" s="387" t="s">
        <v>2154</v>
      </c>
      <c r="F106" s="387" t="s">
        <v>2154</v>
      </c>
      <c r="G106" s="387" t="s">
        <v>2154</v>
      </c>
      <c r="H106" s="387" t="s">
        <v>2154</v>
      </c>
      <c r="I106" s="387" t="s">
        <v>2154</v>
      </c>
      <c r="J106" s="387" t="s">
        <v>2154</v>
      </c>
      <c r="K106" s="387" t="s">
        <v>2154</v>
      </c>
      <c r="L106" s="387" t="s">
        <v>2154</v>
      </c>
      <c r="M106" s="387" t="s">
        <v>2154</v>
      </c>
      <c r="N106" s="387" t="s">
        <v>2154</v>
      </c>
      <c r="O106" s="988" t="s">
        <v>2154</v>
      </c>
      <c r="P106" s="387">
        <v>232.58</v>
      </c>
      <c r="Q106" s="387" t="s">
        <v>2154</v>
      </c>
      <c r="R106" s="387" t="s">
        <v>2154</v>
      </c>
      <c r="S106" s="387">
        <v>265.8</v>
      </c>
      <c r="T106" s="387" t="s">
        <v>2154</v>
      </c>
      <c r="U106" s="387" t="s">
        <v>2154</v>
      </c>
      <c r="V106" s="387" t="s">
        <v>2154</v>
      </c>
      <c r="W106" s="387" t="s">
        <v>2154</v>
      </c>
      <c r="X106" s="387">
        <v>3813.46</v>
      </c>
      <c r="Y106" s="387">
        <v>3636.9900000000002</v>
      </c>
      <c r="Z106" s="387">
        <v>4307.84</v>
      </c>
      <c r="AA106" s="988">
        <v>1015.04</v>
      </c>
      <c r="AB106" s="387"/>
      <c r="AC106" s="387"/>
      <c r="AD106" s="387"/>
      <c r="AE106" s="387"/>
      <c r="AF106" s="387"/>
      <c r="AG106" s="387"/>
      <c r="AH106" s="387"/>
      <c r="AI106" s="387"/>
      <c r="AJ106" s="387"/>
      <c r="AK106" s="387"/>
      <c r="AL106" s="387"/>
      <c r="AM106" s="988"/>
      <c r="AN106" s="387"/>
      <c r="AO106" s="387"/>
      <c r="AP106" s="387"/>
      <c r="AQ106" s="387"/>
      <c r="AR106" s="387"/>
      <c r="AS106" s="387"/>
      <c r="AT106" s="387"/>
      <c r="AU106" s="387"/>
      <c r="AV106" s="387"/>
      <c r="AW106" s="387"/>
      <c r="AX106" s="387"/>
      <c r="AY106" s="988"/>
      <c r="AZ106" s="387"/>
      <c r="BA106" s="387"/>
      <c r="BB106" s="387"/>
      <c r="BC106" s="387"/>
      <c r="BD106" s="387"/>
      <c r="BE106" s="387"/>
      <c r="BF106" s="387"/>
      <c r="BG106" s="387"/>
      <c r="BH106" s="387"/>
      <c r="BI106" s="387"/>
      <c r="BJ106" s="387"/>
      <c r="BK106" s="988"/>
      <c r="BL106" s="387"/>
      <c r="BM106" s="387"/>
      <c r="BN106" s="387"/>
      <c r="BO106" s="387"/>
      <c r="BP106" s="387"/>
      <c r="BQ106" s="387"/>
      <c r="BR106" s="387"/>
      <c r="BS106" s="387"/>
      <c r="BT106" s="387"/>
      <c r="BU106" s="387"/>
      <c r="BV106" s="387"/>
      <c r="BW106" s="988"/>
      <c r="BX106" s="387"/>
      <c r="BY106" s="387"/>
      <c r="BZ106" s="387"/>
      <c r="CA106" s="387"/>
      <c r="CB106" s="387"/>
      <c r="CC106" s="387"/>
      <c r="CD106" s="387"/>
      <c r="CE106" s="387"/>
      <c r="CF106" s="387"/>
      <c r="CG106" s="387"/>
      <c r="CH106" s="387"/>
      <c r="CI106" s="988"/>
      <c r="CJ106" s="387"/>
      <c r="CK106" s="387"/>
      <c r="CL106" s="387"/>
      <c r="CM106" s="387"/>
      <c r="CN106" s="387"/>
      <c r="CO106" s="387"/>
      <c r="CP106" s="387"/>
      <c r="CQ106" s="387"/>
      <c r="CR106" s="387"/>
      <c r="CS106" s="387"/>
      <c r="CT106" s="387"/>
      <c r="CU106" s="988"/>
      <c r="CV106" s="387"/>
      <c r="CW106" s="387"/>
      <c r="CX106" s="387"/>
      <c r="CY106" s="387"/>
      <c r="CZ106" s="387"/>
      <c r="DA106" s="387"/>
      <c r="DB106" s="387"/>
      <c r="DC106" s="387"/>
      <c r="DD106" s="387"/>
      <c r="DE106" s="387"/>
      <c r="DF106" s="387"/>
      <c r="DG106" s="988"/>
      <c r="DH106" s="387"/>
      <c r="DI106" s="387"/>
      <c r="DJ106" s="387"/>
      <c r="DK106" s="387"/>
      <c r="DL106" s="387"/>
      <c r="DM106" s="387"/>
      <c r="DN106" s="387"/>
      <c r="DO106" s="387"/>
      <c r="DP106" s="387"/>
      <c r="DQ106" s="387"/>
      <c r="DR106" s="387"/>
      <c r="DS106" s="988"/>
      <c r="DT106" s="387" t="s">
        <v>2154</v>
      </c>
      <c r="DU106" s="387" t="s">
        <v>2154</v>
      </c>
      <c r="DV106" s="387" t="s">
        <v>2154</v>
      </c>
      <c r="DW106" s="387" t="s">
        <v>2154</v>
      </c>
      <c r="DX106" s="387" t="s">
        <v>2154</v>
      </c>
      <c r="DY106" s="387" t="s">
        <v>2154</v>
      </c>
      <c r="DZ106" s="387" t="s">
        <v>2154</v>
      </c>
      <c r="EA106" s="387" t="s">
        <v>2154</v>
      </c>
      <c r="EB106" s="387" t="s">
        <v>2154</v>
      </c>
      <c r="EC106" s="387" t="s">
        <v>2154</v>
      </c>
      <c r="ED106" s="387" t="s">
        <v>2154</v>
      </c>
      <c r="EE106" s="988" t="s">
        <v>2154</v>
      </c>
      <c r="EF106" s="387"/>
      <c r="EG106" s="387"/>
      <c r="EH106" s="387"/>
      <c r="EI106" s="387"/>
      <c r="EJ106" s="387"/>
      <c r="EK106" s="387"/>
      <c r="EL106" s="387"/>
      <c r="EM106" s="387"/>
      <c r="EN106" s="387"/>
      <c r="EO106" s="387"/>
      <c r="EP106" s="387"/>
      <c r="EQ106" s="988"/>
      <c r="ER106" s="387"/>
      <c r="ES106" s="387"/>
      <c r="ET106" s="387"/>
      <c r="EU106" s="387"/>
      <c r="EV106" s="387"/>
      <c r="EW106" s="387"/>
      <c r="EX106" s="387"/>
      <c r="EY106" s="387"/>
      <c r="EZ106" s="387"/>
      <c r="FA106" s="387"/>
      <c r="FB106" s="387"/>
      <c r="FC106" s="988"/>
      <c r="FD106" s="387"/>
      <c r="FE106" s="387"/>
      <c r="FF106" s="387"/>
      <c r="FG106" s="387"/>
      <c r="FH106" s="387"/>
      <c r="FI106" s="387"/>
      <c r="FJ106" s="387"/>
      <c r="FK106" s="387"/>
      <c r="FL106" s="387"/>
      <c r="FM106" s="387"/>
      <c r="FN106" s="387"/>
      <c r="FO106" s="988"/>
      <c r="FP106" s="387"/>
      <c r="FQ106" s="387"/>
      <c r="FR106" s="387"/>
      <c r="FS106" s="387"/>
      <c r="FT106" s="387"/>
      <c r="FU106" s="387"/>
      <c r="FV106" s="387"/>
      <c r="FW106" s="387"/>
      <c r="FX106" s="387"/>
      <c r="FY106" s="387"/>
      <c r="FZ106" s="387"/>
      <c r="GA106" s="988"/>
      <c r="GB106" s="109"/>
      <c r="GC106" s="1036">
        <f t="shared" si="112"/>
        <v>232.58</v>
      </c>
      <c r="GD106" s="387">
        <f t="shared" si="112"/>
        <v>0</v>
      </c>
      <c r="GE106" s="387">
        <f t="shared" si="112"/>
        <v>0</v>
      </c>
      <c r="GF106" s="387">
        <f t="shared" si="112"/>
        <v>265.8</v>
      </c>
      <c r="GG106" s="387">
        <f t="shared" si="112"/>
        <v>0</v>
      </c>
      <c r="GH106" s="387">
        <f t="shared" si="112"/>
        <v>0</v>
      </c>
      <c r="GI106" s="387">
        <f t="shared" si="112"/>
        <v>0</v>
      </c>
      <c r="GJ106" s="387">
        <f t="shared" si="112"/>
        <v>0</v>
      </c>
      <c r="GK106" s="387">
        <f t="shared" si="112"/>
        <v>3813.46</v>
      </c>
      <c r="GL106" s="387">
        <f t="shared" si="112"/>
        <v>3636.9900000000002</v>
      </c>
      <c r="GM106" s="387">
        <f t="shared" si="112"/>
        <v>4307.84</v>
      </c>
      <c r="GN106" s="988">
        <f t="shared" si="112"/>
        <v>1015.04</v>
      </c>
      <c r="GO106" s="1036">
        <f t="shared" si="113"/>
        <v>0</v>
      </c>
      <c r="GP106" s="387">
        <f t="shared" si="113"/>
        <v>0</v>
      </c>
      <c r="GQ106" s="387">
        <f t="shared" si="113"/>
        <v>0</v>
      </c>
      <c r="GR106" s="387">
        <f t="shared" si="113"/>
        <v>0</v>
      </c>
      <c r="GS106" s="387">
        <f t="shared" si="113"/>
        <v>0</v>
      </c>
      <c r="GT106" s="387">
        <f t="shared" si="113"/>
        <v>0</v>
      </c>
      <c r="GU106" s="387">
        <f t="shared" si="113"/>
        <v>0</v>
      </c>
      <c r="GV106" s="387">
        <f t="shared" si="113"/>
        <v>0</v>
      </c>
      <c r="GW106" s="387">
        <f t="shared" si="113"/>
        <v>0</v>
      </c>
      <c r="GX106" s="387">
        <f t="shared" si="113"/>
        <v>0</v>
      </c>
      <c r="GY106" s="387">
        <f t="shared" si="113"/>
        <v>0</v>
      </c>
      <c r="GZ106" s="988">
        <f t="shared" si="113"/>
        <v>0</v>
      </c>
      <c r="HB106" s="387"/>
      <c r="HC106" s="387"/>
      <c r="HD106" s="387"/>
      <c r="HE106" s="387"/>
      <c r="HF106" s="387"/>
      <c r="HG106" s="387"/>
      <c r="HH106" s="387"/>
      <c r="HI106" s="387"/>
      <c r="HJ106" s="387"/>
      <c r="HK106" s="387"/>
      <c r="HL106" s="387"/>
      <c r="HM106" s="988"/>
    </row>
    <row r="107" spans="1:221">
      <c r="A107" s="326" t="s">
        <v>1594</v>
      </c>
      <c r="B107" s="326" t="s">
        <v>1584</v>
      </c>
      <c r="C107" s="326" t="s">
        <v>3899</v>
      </c>
      <c r="D107" s="1036" t="s">
        <v>2154</v>
      </c>
      <c r="E107" s="387" t="s">
        <v>2154</v>
      </c>
      <c r="F107" s="387" t="s">
        <v>2154</v>
      </c>
      <c r="G107" s="387" t="s">
        <v>2154</v>
      </c>
      <c r="H107" s="387" t="s">
        <v>2154</v>
      </c>
      <c r="I107" s="387" t="s">
        <v>2154</v>
      </c>
      <c r="J107" s="387" t="s">
        <v>2154</v>
      </c>
      <c r="K107" s="387" t="s">
        <v>2154</v>
      </c>
      <c r="L107" s="387" t="s">
        <v>2154</v>
      </c>
      <c r="M107" s="387" t="s">
        <v>2154</v>
      </c>
      <c r="N107" s="387" t="s">
        <v>2154</v>
      </c>
      <c r="O107" s="988" t="s">
        <v>2154</v>
      </c>
      <c r="P107" s="387">
        <v>7</v>
      </c>
      <c r="Q107" s="387" t="s">
        <v>2154</v>
      </c>
      <c r="R107" s="387" t="s">
        <v>2154</v>
      </c>
      <c r="S107" s="387">
        <v>8</v>
      </c>
      <c r="T107" s="387" t="s">
        <v>2154</v>
      </c>
      <c r="U107" s="387" t="s">
        <v>2154</v>
      </c>
      <c r="V107" s="387" t="s">
        <v>2154</v>
      </c>
      <c r="W107" s="387" t="s">
        <v>2154</v>
      </c>
      <c r="X107" s="387">
        <v>145.71</v>
      </c>
      <c r="Y107" s="387">
        <v>138.13</v>
      </c>
      <c r="Z107" s="387">
        <v>160.79000000000002</v>
      </c>
      <c r="AA107" s="988">
        <v>39.04</v>
      </c>
      <c r="AB107" s="387"/>
      <c r="AC107" s="387"/>
      <c r="AD107" s="387"/>
      <c r="AE107" s="387"/>
      <c r="AF107" s="387"/>
      <c r="AG107" s="387"/>
      <c r="AH107" s="387"/>
      <c r="AI107" s="387"/>
      <c r="AJ107" s="387"/>
      <c r="AK107" s="387"/>
      <c r="AL107" s="387"/>
      <c r="AM107" s="988"/>
      <c r="AN107" s="387"/>
      <c r="AO107" s="387"/>
      <c r="AP107" s="387"/>
      <c r="AQ107" s="387"/>
      <c r="AR107" s="387"/>
      <c r="AS107" s="387"/>
      <c r="AT107" s="387"/>
      <c r="AU107" s="387"/>
      <c r="AV107" s="387"/>
      <c r="AW107" s="387"/>
      <c r="AX107" s="387"/>
      <c r="AY107" s="988"/>
      <c r="AZ107" s="387"/>
      <c r="BA107" s="387"/>
      <c r="BB107" s="387"/>
      <c r="BC107" s="387"/>
      <c r="BD107" s="387"/>
      <c r="BE107" s="387"/>
      <c r="BF107" s="387"/>
      <c r="BG107" s="387"/>
      <c r="BH107" s="387"/>
      <c r="BI107" s="387"/>
      <c r="BJ107" s="387"/>
      <c r="BK107" s="988"/>
      <c r="BL107" s="387"/>
      <c r="BM107" s="387"/>
      <c r="BN107" s="387"/>
      <c r="BO107" s="387"/>
      <c r="BP107" s="387"/>
      <c r="BQ107" s="387"/>
      <c r="BR107" s="387"/>
      <c r="BS107" s="387"/>
      <c r="BT107" s="387"/>
      <c r="BU107" s="387"/>
      <c r="BV107" s="387"/>
      <c r="BW107" s="988"/>
      <c r="BX107" s="387"/>
      <c r="BY107" s="387"/>
      <c r="BZ107" s="387"/>
      <c r="CA107" s="387"/>
      <c r="CB107" s="387"/>
      <c r="CC107" s="387"/>
      <c r="CD107" s="387"/>
      <c r="CE107" s="387"/>
      <c r="CF107" s="387"/>
      <c r="CG107" s="387"/>
      <c r="CH107" s="387"/>
      <c r="CI107" s="988"/>
      <c r="CJ107" s="387"/>
      <c r="CK107" s="387"/>
      <c r="CL107" s="387"/>
      <c r="CM107" s="387"/>
      <c r="CN107" s="387"/>
      <c r="CO107" s="387"/>
      <c r="CP107" s="387"/>
      <c r="CQ107" s="387"/>
      <c r="CR107" s="387"/>
      <c r="CS107" s="387"/>
      <c r="CT107" s="387"/>
      <c r="CU107" s="988"/>
      <c r="CV107" s="387"/>
      <c r="CW107" s="387"/>
      <c r="CX107" s="387"/>
      <c r="CY107" s="387"/>
      <c r="CZ107" s="387"/>
      <c r="DA107" s="387"/>
      <c r="DB107" s="387"/>
      <c r="DC107" s="387"/>
      <c r="DD107" s="387"/>
      <c r="DE107" s="387"/>
      <c r="DF107" s="387"/>
      <c r="DG107" s="988"/>
      <c r="DH107" s="387"/>
      <c r="DI107" s="387"/>
      <c r="DJ107" s="387"/>
      <c r="DK107" s="387"/>
      <c r="DL107" s="387"/>
      <c r="DM107" s="387"/>
      <c r="DN107" s="387"/>
      <c r="DO107" s="387"/>
      <c r="DP107" s="387"/>
      <c r="DQ107" s="387"/>
      <c r="DR107" s="387"/>
      <c r="DS107" s="988"/>
      <c r="DT107" s="387" t="s">
        <v>2154</v>
      </c>
      <c r="DU107" s="387" t="s">
        <v>2154</v>
      </c>
      <c r="DV107" s="387" t="s">
        <v>2154</v>
      </c>
      <c r="DW107" s="387" t="s">
        <v>2154</v>
      </c>
      <c r="DX107" s="387" t="s">
        <v>2154</v>
      </c>
      <c r="DY107" s="387" t="s">
        <v>2154</v>
      </c>
      <c r="DZ107" s="387" t="s">
        <v>2154</v>
      </c>
      <c r="EA107" s="387" t="s">
        <v>2154</v>
      </c>
      <c r="EB107" s="387" t="s">
        <v>2154</v>
      </c>
      <c r="EC107" s="387" t="s">
        <v>2154</v>
      </c>
      <c r="ED107" s="387" t="s">
        <v>2154</v>
      </c>
      <c r="EE107" s="988" t="s">
        <v>2154</v>
      </c>
      <c r="EF107" s="387"/>
      <c r="EG107" s="387"/>
      <c r="EH107" s="387"/>
      <c r="EI107" s="387"/>
      <c r="EJ107" s="387"/>
      <c r="EK107" s="387"/>
      <c r="EL107" s="387"/>
      <c r="EM107" s="387"/>
      <c r="EN107" s="387"/>
      <c r="EO107" s="387"/>
      <c r="EP107" s="387"/>
      <c r="EQ107" s="988"/>
      <c r="ER107" s="387"/>
      <c r="ES107" s="387"/>
      <c r="ET107" s="387"/>
      <c r="EU107" s="387"/>
      <c r="EV107" s="387"/>
      <c r="EW107" s="387"/>
      <c r="EX107" s="387"/>
      <c r="EY107" s="387"/>
      <c r="EZ107" s="387"/>
      <c r="FA107" s="387"/>
      <c r="FB107" s="387"/>
      <c r="FC107" s="988"/>
      <c r="FD107" s="387"/>
      <c r="FE107" s="387"/>
      <c r="FF107" s="387"/>
      <c r="FG107" s="387"/>
      <c r="FH107" s="387"/>
      <c r="FI107" s="387"/>
      <c r="FJ107" s="387"/>
      <c r="FK107" s="387"/>
      <c r="FL107" s="387"/>
      <c r="FM107" s="387"/>
      <c r="FN107" s="387"/>
      <c r="FO107" s="988"/>
      <c r="FP107" s="387"/>
      <c r="FQ107" s="387"/>
      <c r="FR107" s="387"/>
      <c r="FS107" s="387"/>
      <c r="FT107" s="387"/>
      <c r="FU107" s="387"/>
      <c r="FV107" s="387"/>
      <c r="FW107" s="387"/>
      <c r="FX107" s="387"/>
      <c r="FY107" s="387"/>
      <c r="FZ107" s="387"/>
      <c r="GA107" s="988"/>
      <c r="GB107" s="109"/>
      <c r="GC107" s="1036">
        <f t="shared" si="112"/>
        <v>7</v>
      </c>
      <c r="GD107" s="387">
        <f t="shared" si="112"/>
        <v>0</v>
      </c>
      <c r="GE107" s="387">
        <f t="shared" si="112"/>
        <v>0</v>
      </c>
      <c r="GF107" s="387">
        <f t="shared" si="112"/>
        <v>8</v>
      </c>
      <c r="GG107" s="387">
        <f t="shared" si="112"/>
        <v>0</v>
      </c>
      <c r="GH107" s="387">
        <f t="shared" si="112"/>
        <v>0</v>
      </c>
      <c r="GI107" s="387">
        <f t="shared" si="112"/>
        <v>0</v>
      </c>
      <c r="GJ107" s="387">
        <f t="shared" si="112"/>
        <v>0</v>
      </c>
      <c r="GK107" s="387">
        <f t="shared" si="112"/>
        <v>145.71</v>
      </c>
      <c r="GL107" s="387">
        <f t="shared" si="112"/>
        <v>138.13</v>
      </c>
      <c r="GM107" s="387">
        <f t="shared" si="112"/>
        <v>160.79000000000002</v>
      </c>
      <c r="GN107" s="988">
        <f t="shared" si="112"/>
        <v>39.04</v>
      </c>
      <c r="GO107" s="1036">
        <f t="shared" si="113"/>
        <v>0</v>
      </c>
      <c r="GP107" s="387">
        <f t="shared" si="113"/>
        <v>0</v>
      </c>
      <c r="GQ107" s="387">
        <f t="shared" si="113"/>
        <v>0</v>
      </c>
      <c r="GR107" s="387">
        <f t="shared" si="113"/>
        <v>0</v>
      </c>
      <c r="GS107" s="387">
        <f t="shared" si="113"/>
        <v>0</v>
      </c>
      <c r="GT107" s="387">
        <f t="shared" si="113"/>
        <v>0</v>
      </c>
      <c r="GU107" s="387">
        <f t="shared" si="113"/>
        <v>0</v>
      </c>
      <c r="GV107" s="387">
        <f t="shared" si="113"/>
        <v>0</v>
      </c>
      <c r="GW107" s="387">
        <f t="shared" si="113"/>
        <v>0</v>
      </c>
      <c r="GX107" s="387">
        <f t="shared" si="113"/>
        <v>0</v>
      </c>
      <c r="GY107" s="387">
        <f t="shared" si="113"/>
        <v>0</v>
      </c>
      <c r="GZ107" s="988">
        <f t="shared" si="113"/>
        <v>0</v>
      </c>
      <c r="HB107" s="387"/>
      <c r="HC107" s="387"/>
      <c r="HD107" s="387"/>
      <c r="HE107" s="387"/>
      <c r="HF107" s="387"/>
      <c r="HG107" s="387"/>
      <c r="HH107" s="387"/>
      <c r="HI107" s="387"/>
      <c r="HJ107" s="387"/>
      <c r="HK107" s="387"/>
      <c r="HL107" s="387"/>
      <c r="HM107" s="988"/>
    </row>
    <row r="108" spans="1:221">
      <c r="A108" s="326" t="s">
        <v>1594</v>
      </c>
      <c r="B108" s="326" t="s">
        <v>1097</v>
      </c>
      <c r="C108" s="326" t="s">
        <v>3687</v>
      </c>
      <c r="D108" s="1036" t="s">
        <v>2154</v>
      </c>
      <c r="E108" s="387" t="s">
        <v>2154</v>
      </c>
      <c r="F108" s="387" t="s">
        <v>2154</v>
      </c>
      <c r="G108" s="387" t="s">
        <v>2154</v>
      </c>
      <c r="H108" s="387" t="s">
        <v>2154</v>
      </c>
      <c r="I108" s="387" t="s">
        <v>2154</v>
      </c>
      <c r="J108" s="387" t="s">
        <v>2154</v>
      </c>
      <c r="K108" s="387" t="s">
        <v>2154</v>
      </c>
      <c r="L108" s="387" t="s">
        <v>2154</v>
      </c>
      <c r="M108" s="387" t="s">
        <v>2154</v>
      </c>
      <c r="N108" s="387" t="s">
        <v>2154</v>
      </c>
      <c r="O108" s="988" t="s">
        <v>2154</v>
      </c>
      <c r="P108" s="387" t="s">
        <v>2154</v>
      </c>
      <c r="Q108" s="387" t="s">
        <v>2154</v>
      </c>
      <c r="R108" s="387" t="s">
        <v>2154</v>
      </c>
      <c r="S108" s="387" t="s">
        <v>2154</v>
      </c>
      <c r="T108" s="387">
        <v>24.07</v>
      </c>
      <c r="U108" s="387" t="s">
        <v>2154</v>
      </c>
      <c r="V108" s="387" t="s">
        <v>2154</v>
      </c>
      <c r="W108" s="387" t="s">
        <v>2154</v>
      </c>
      <c r="X108" s="387" t="s">
        <v>2154</v>
      </c>
      <c r="Y108" s="387" t="s">
        <v>2154</v>
      </c>
      <c r="Z108" s="387" t="s">
        <v>2154</v>
      </c>
      <c r="AA108" s="988" t="s">
        <v>2154</v>
      </c>
      <c r="AB108" s="387"/>
      <c r="AC108" s="387"/>
      <c r="AD108" s="387"/>
      <c r="AE108" s="387"/>
      <c r="AF108" s="387"/>
      <c r="AG108" s="387"/>
      <c r="AH108" s="387"/>
      <c r="AI108" s="387"/>
      <c r="AJ108" s="387"/>
      <c r="AK108" s="387"/>
      <c r="AL108" s="387"/>
      <c r="AM108" s="988"/>
      <c r="AN108" s="387"/>
      <c r="AO108" s="387"/>
      <c r="AP108" s="387"/>
      <c r="AQ108" s="387"/>
      <c r="AR108" s="387"/>
      <c r="AS108" s="387"/>
      <c r="AT108" s="387"/>
      <c r="AU108" s="387"/>
      <c r="AV108" s="387"/>
      <c r="AW108" s="387"/>
      <c r="AX108" s="387"/>
      <c r="AY108" s="988"/>
      <c r="AZ108" s="387"/>
      <c r="BA108" s="387"/>
      <c r="BB108" s="387"/>
      <c r="BC108" s="387"/>
      <c r="BD108" s="387"/>
      <c r="BE108" s="387"/>
      <c r="BF108" s="387"/>
      <c r="BG108" s="387"/>
      <c r="BH108" s="387"/>
      <c r="BI108" s="387"/>
      <c r="BJ108" s="387"/>
      <c r="BK108" s="988"/>
      <c r="BL108" s="387"/>
      <c r="BM108" s="387"/>
      <c r="BN108" s="387"/>
      <c r="BO108" s="387"/>
      <c r="BP108" s="387"/>
      <c r="BQ108" s="387"/>
      <c r="BR108" s="387"/>
      <c r="BS108" s="387"/>
      <c r="BT108" s="387"/>
      <c r="BU108" s="387"/>
      <c r="BV108" s="387"/>
      <c r="BW108" s="988"/>
      <c r="BX108" s="387"/>
      <c r="BY108" s="387"/>
      <c r="BZ108" s="387"/>
      <c r="CA108" s="387"/>
      <c r="CB108" s="387"/>
      <c r="CC108" s="387"/>
      <c r="CD108" s="387"/>
      <c r="CE108" s="387"/>
      <c r="CF108" s="387"/>
      <c r="CG108" s="387"/>
      <c r="CH108" s="387"/>
      <c r="CI108" s="988"/>
      <c r="CJ108" s="387"/>
      <c r="CK108" s="387"/>
      <c r="CL108" s="387"/>
      <c r="CM108" s="387"/>
      <c r="CN108" s="387"/>
      <c r="CO108" s="387"/>
      <c r="CP108" s="387"/>
      <c r="CQ108" s="387"/>
      <c r="CR108" s="387"/>
      <c r="CS108" s="387"/>
      <c r="CT108" s="387"/>
      <c r="CU108" s="988"/>
      <c r="CV108" s="387"/>
      <c r="CW108" s="387"/>
      <c r="CX108" s="387"/>
      <c r="CY108" s="387"/>
      <c r="CZ108" s="387"/>
      <c r="DA108" s="387"/>
      <c r="DB108" s="387"/>
      <c r="DC108" s="387"/>
      <c r="DD108" s="387"/>
      <c r="DE108" s="387"/>
      <c r="DF108" s="387"/>
      <c r="DG108" s="988"/>
      <c r="DH108" s="387"/>
      <c r="DI108" s="387"/>
      <c r="DJ108" s="387"/>
      <c r="DK108" s="387"/>
      <c r="DL108" s="387"/>
      <c r="DM108" s="387"/>
      <c r="DN108" s="387"/>
      <c r="DO108" s="387"/>
      <c r="DP108" s="387"/>
      <c r="DQ108" s="387"/>
      <c r="DR108" s="387"/>
      <c r="DS108" s="988"/>
      <c r="DT108" s="387" t="s">
        <v>2154</v>
      </c>
      <c r="DU108" s="387" t="s">
        <v>2154</v>
      </c>
      <c r="DV108" s="387" t="s">
        <v>2154</v>
      </c>
      <c r="DW108" s="387" t="s">
        <v>2154</v>
      </c>
      <c r="DX108" s="387" t="s">
        <v>2154</v>
      </c>
      <c r="DY108" s="387" t="s">
        <v>2154</v>
      </c>
      <c r="DZ108" s="387" t="s">
        <v>2154</v>
      </c>
      <c r="EA108" s="387" t="s">
        <v>2154</v>
      </c>
      <c r="EB108" s="387" t="s">
        <v>2154</v>
      </c>
      <c r="EC108" s="387" t="s">
        <v>2154</v>
      </c>
      <c r="ED108" s="387" t="s">
        <v>2154</v>
      </c>
      <c r="EE108" s="988" t="s">
        <v>2154</v>
      </c>
      <c r="EF108" s="387"/>
      <c r="EG108" s="387"/>
      <c r="EH108" s="387"/>
      <c r="EI108" s="387"/>
      <c r="EJ108" s="387"/>
      <c r="EK108" s="387"/>
      <c r="EL108" s="387"/>
      <c r="EM108" s="387"/>
      <c r="EN108" s="387"/>
      <c r="EO108" s="387"/>
      <c r="EP108" s="387"/>
      <c r="EQ108" s="988"/>
      <c r="ER108" s="387"/>
      <c r="ES108" s="387"/>
      <c r="ET108" s="387"/>
      <c r="EU108" s="387"/>
      <c r="EV108" s="387"/>
      <c r="EW108" s="387"/>
      <c r="EX108" s="387"/>
      <c r="EY108" s="387"/>
      <c r="EZ108" s="387"/>
      <c r="FA108" s="387"/>
      <c r="FB108" s="387"/>
      <c r="FC108" s="988"/>
      <c r="FD108" s="387"/>
      <c r="FE108" s="387"/>
      <c r="FF108" s="387"/>
      <c r="FG108" s="387"/>
      <c r="FH108" s="387"/>
      <c r="FI108" s="387"/>
      <c r="FJ108" s="387"/>
      <c r="FK108" s="387"/>
      <c r="FL108" s="387"/>
      <c r="FM108" s="387"/>
      <c r="FN108" s="387"/>
      <c r="FO108" s="988"/>
      <c r="FP108" s="387"/>
      <c r="FQ108" s="387"/>
      <c r="FR108" s="387"/>
      <c r="FS108" s="387"/>
      <c r="FT108" s="387"/>
      <c r="FU108" s="387"/>
      <c r="FV108" s="387"/>
      <c r="FW108" s="387"/>
      <c r="FX108" s="387"/>
      <c r="FY108" s="387"/>
      <c r="FZ108" s="387"/>
      <c r="GA108" s="988"/>
      <c r="GB108" s="109"/>
      <c r="GC108" s="1036">
        <f t="shared" si="112"/>
        <v>0</v>
      </c>
      <c r="GD108" s="387">
        <f t="shared" si="112"/>
        <v>0</v>
      </c>
      <c r="GE108" s="387">
        <f t="shared" si="112"/>
        <v>0</v>
      </c>
      <c r="GF108" s="387">
        <f t="shared" si="112"/>
        <v>0</v>
      </c>
      <c r="GG108" s="387">
        <f t="shared" si="112"/>
        <v>24.07</v>
      </c>
      <c r="GH108" s="387">
        <f t="shared" si="112"/>
        <v>0</v>
      </c>
      <c r="GI108" s="387">
        <f t="shared" si="112"/>
        <v>0</v>
      </c>
      <c r="GJ108" s="387">
        <f t="shared" si="112"/>
        <v>0</v>
      </c>
      <c r="GK108" s="387">
        <f t="shared" si="112"/>
        <v>0</v>
      </c>
      <c r="GL108" s="387">
        <f t="shared" si="112"/>
        <v>0</v>
      </c>
      <c r="GM108" s="387">
        <f t="shared" si="112"/>
        <v>0</v>
      </c>
      <c r="GN108" s="988">
        <f t="shared" si="112"/>
        <v>0</v>
      </c>
      <c r="GO108" s="1036">
        <f t="shared" si="113"/>
        <v>0</v>
      </c>
      <c r="GP108" s="387">
        <f t="shared" si="113"/>
        <v>0</v>
      </c>
      <c r="GQ108" s="387">
        <f t="shared" si="113"/>
        <v>0</v>
      </c>
      <c r="GR108" s="387">
        <f t="shared" si="113"/>
        <v>0</v>
      </c>
      <c r="GS108" s="387">
        <f t="shared" si="113"/>
        <v>0</v>
      </c>
      <c r="GT108" s="387">
        <f t="shared" si="113"/>
        <v>0</v>
      </c>
      <c r="GU108" s="387">
        <f t="shared" si="113"/>
        <v>0</v>
      </c>
      <c r="GV108" s="387">
        <f t="shared" si="113"/>
        <v>0</v>
      </c>
      <c r="GW108" s="387">
        <f t="shared" si="113"/>
        <v>0</v>
      </c>
      <c r="GX108" s="387">
        <f t="shared" si="113"/>
        <v>0</v>
      </c>
      <c r="GY108" s="387">
        <f t="shared" si="113"/>
        <v>0</v>
      </c>
      <c r="GZ108" s="988">
        <f t="shared" si="113"/>
        <v>0</v>
      </c>
      <c r="HB108" s="387"/>
      <c r="HC108" s="387"/>
      <c r="HD108" s="387"/>
      <c r="HE108" s="387"/>
      <c r="HF108" s="387"/>
      <c r="HG108" s="387"/>
      <c r="HH108" s="387"/>
      <c r="HI108" s="387"/>
      <c r="HJ108" s="387"/>
      <c r="HK108" s="387"/>
      <c r="HL108" s="387"/>
      <c r="HM108" s="988"/>
    </row>
    <row r="109" spans="1:221">
      <c r="A109" s="326" t="s">
        <v>1594</v>
      </c>
      <c r="B109" s="326" t="s">
        <v>1097</v>
      </c>
      <c r="C109" s="326" t="s">
        <v>3899</v>
      </c>
      <c r="D109" s="1036" t="s">
        <v>2154</v>
      </c>
      <c r="E109" s="387" t="s">
        <v>2154</v>
      </c>
      <c r="F109" s="387" t="s">
        <v>2154</v>
      </c>
      <c r="G109" s="387" t="s">
        <v>2154</v>
      </c>
      <c r="H109" s="387" t="s">
        <v>2154</v>
      </c>
      <c r="I109" s="387" t="s">
        <v>2154</v>
      </c>
      <c r="J109" s="387" t="s">
        <v>2154</v>
      </c>
      <c r="K109" s="387" t="s">
        <v>2154</v>
      </c>
      <c r="L109" s="387" t="s">
        <v>2154</v>
      </c>
      <c r="M109" s="387" t="s">
        <v>2154</v>
      </c>
      <c r="N109" s="387" t="s">
        <v>2154</v>
      </c>
      <c r="O109" s="988" t="s">
        <v>2154</v>
      </c>
      <c r="P109" s="387" t="s">
        <v>2154</v>
      </c>
      <c r="Q109" s="387" t="s">
        <v>2154</v>
      </c>
      <c r="R109" s="387" t="s">
        <v>2154</v>
      </c>
      <c r="S109" s="387" t="s">
        <v>2154</v>
      </c>
      <c r="T109" s="387">
        <v>0.98</v>
      </c>
      <c r="U109" s="387" t="s">
        <v>2154</v>
      </c>
      <c r="V109" s="387" t="s">
        <v>2154</v>
      </c>
      <c r="W109" s="387" t="s">
        <v>2154</v>
      </c>
      <c r="X109" s="387" t="s">
        <v>2154</v>
      </c>
      <c r="Y109" s="387" t="s">
        <v>2154</v>
      </c>
      <c r="Z109" s="387" t="s">
        <v>2154</v>
      </c>
      <c r="AA109" s="988" t="s">
        <v>2154</v>
      </c>
      <c r="AB109" s="387"/>
      <c r="AC109" s="387"/>
      <c r="AD109" s="387"/>
      <c r="AE109" s="387"/>
      <c r="AF109" s="387"/>
      <c r="AG109" s="387"/>
      <c r="AH109" s="387"/>
      <c r="AI109" s="387"/>
      <c r="AJ109" s="387"/>
      <c r="AK109" s="387"/>
      <c r="AL109" s="387"/>
      <c r="AM109" s="988"/>
      <c r="AN109" s="387"/>
      <c r="AO109" s="387"/>
      <c r="AP109" s="387"/>
      <c r="AQ109" s="387"/>
      <c r="AR109" s="387"/>
      <c r="AS109" s="387"/>
      <c r="AT109" s="387"/>
      <c r="AU109" s="387"/>
      <c r="AV109" s="387"/>
      <c r="AW109" s="387"/>
      <c r="AX109" s="387"/>
      <c r="AY109" s="988"/>
      <c r="AZ109" s="387"/>
      <c r="BA109" s="387"/>
      <c r="BB109" s="387"/>
      <c r="BC109" s="387"/>
      <c r="BD109" s="387"/>
      <c r="BE109" s="387"/>
      <c r="BF109" s="387"/>
      <c r="BG109" s="387"/>
      <c r="BH109" s="387"/>
      <c r="BI109" s="387"/>
      <c r="BJ109" s="387"/>
      <c r="BK109" s="988"/>
      <c r="BL109" s="387"/>
      <c r="BM109" s="387"/>
      <c r="BN109" s="387"/>
      <c r="BO109" s="387"/>
      <c r="BP109" s="387"/>
      <c r="BQ109" s="387"/>
      <c r="BR109" s="387"/>
      <c r="BS109" s="387"/>
      <c r="BT109" s="387"/>
      <c r="BU109" s="387"/>
      <c r="BV109" s="387"/>
      <c r="BW109" s="988"/>
      <c r="BX109" s="387"/>
      <c r="BY109" s="387"/>
      <c r="BZ109" s="387"/>
      <c r="CA109" s="387"/>
      <c r="CB109" s="387"/>
      <c r="CC109" s="387"/>
      <c r="CD109" s="387"/>
      <c r="CE109" s="387"/>
      <c r="CF109" s="387"/>
      <c r="CG109" s="387"/>
      <c r="CH109" s="387"/>
      <c r="CI109" s="988"/>
      <c r="CJ109" s="387"/>
      <c r="CK109" s="387"/>
      <c r="CL109" s="387"/>
      <c r="CM109" s="387"/>
      <c r="CN109" s="387"/>
      <c r="CO109" s="387"/>
      <c r="CP109" s="387"/>
      <c r="CQ109" s="387"/>
      <c r="CR109" s="387"/>
      <c r="CS109" s="387"/>
      <c r="CT109" s="387"/>
      <c r="CU109" s="988"/>
      <c r="CV109" s="387"/>
      <c r="CW109" s="387"/>
      <c r="CX109" s="387"/>
      <c r="CY109" s="387"/>
      <c r="CZ109" s="387"/>
      <c r="DA109" s="387"/>
      <c r="DB109" s="387"/>
      <c r="DC109" s="387"/>
      <c r="DD109" s="387"/>
      <c r="DE109" s="387"/>
      <c r="DF109" s="387"/>
      <c r="DG109" s="988"/>
      <c r="DH109" s="387"/>
      <c r="DI109" s="387"/>
      <c r="DJ109" s="387"/>
      <c r="DK109" s="387"/>
      <c r="DL109" s="387"/>
      <c r="DM109" s="387"/>
      <c r="DN109" s="387"/>
      <c r="DO109" s="387"/>
      <c r="DP109" s="387"/>
      <c r="DQ109" s="387"/>
      <c r="DR109" s="387"/>
      <c r="DS109" s="988"/>
      <c r="DT109" s="387" t="s">
        <v>2154</v>
      </c>
      <c r="DU109" s="387" t="s">
        <v>2154</v>
      </c>
      <c r="DV109" s="387" t="s">
        <v>2154</v>
      </c>
      <c r="DW109" s="387" t="s">
        <v>2154</v>
      </c>
      <c r="DX109" s="387" t="s">
        <v>2154</v>
      </c>
      <c r="DY109" s="387" t="s">
        <v>2154</v>
      </c>
      <c r="DZ109" s="387" t="s">
        <v>2154</v>
      </c>
      <c r="EA109" s="387" t="s">
        <v>2154</v>
      </c>
      <c r="EB109" s="387" t="s">
        <v>2154</v>
      </c>
      <c r="EC109" s="387" t="s">
        <v>2154</v>
      </c>
      <c r="ED109" s="387" t="s">
        <v>2154</v>
      </c>
      <c r="EE109" s="988" t="s">
        <v>2154</v>
      </c>
      <c r="EF109" s="387"/>
      <c r="EG109" s="387"/>
      <c r="EH109" s="387"/>
      <c r="EI109" s="387"/>
      <c r="EJ109" s="387"/>
      <c r="EK109" s="387"/>
      <c r="EL109" s="387"/>
      <c r="EM109" s="387"/>
      <c r="EN109" s="387"/>
      <c r="EO109" s="387"/>
      <c r="EP109" s="387"/>
      <c r="EQ109" s="988"/>
      <c r="ER109" s="387"/>
      <c r="ES109" s="387"/>
      <c r="ET109" s="387"/>
      <c r="EU109" s="387"/>
      <c r="EV109" s="387"/>
      <c r="EW109" s="387"/>
      <c r="EX109" s="387"/>
      <c r="EY109" s="387"/>
      <c r="EZ109" s="387"/>
      <c r="FA109" s="387"/>
      <c r="FB109" s="387"/>
      <c r="FC109" s="988"/>
      <c r="FD109" s="387"/>
      <c r="FE109" s="387"/>
      <c r="FF109" s="387"/>
      <c r="FG109" s="387"/>
      <c r="FH109" s="387"/>
      <c r="FI109" s="387"/>
      <c r="FJ109" s="387"/>
      <c r="FK109" s="387"/>
      <c r="FL109" s="387"/>
      <c r="FM109" s="387"/>
      <c r="FN109" s="387"/>
      <c r="FO109" s="988"/>
      <c r="FP109" s="387"/>
      <c r="FQ109" s="387"/>
      <c r="FR109" s="387"/>
      <c r="FS109" s="387"/>
      <c r="FT109" s="387"/>
      <c r="FU109" s="387"/>
      <c r="FV109" s="387"/>
      <c r="FW109" s="387"/>
      <c r="FX109" s="387"/>
      <c r="FY109" s="387"/>
      <c r="FZ109" s="387"/>
      <c r="GA109" s="988"/>
      <c r="GB109" s="109"/>
      <c r="GC109" s="1036">
        <f t="shared" si="112"/>
        <v>0</v>
      </c>
      <c r="GD109" s="387">
        <f t="shared" si="112"/>
        <v>0</v>
      </c>
      <c r="GE109" s="387">
        <f t="shared" si="112"/>
        <v>0</v>
      </c>
      <c r="GF109" s="387">
        <f t="shared" si="112"/>
        <v>0</v>
      </c>
      <c r="GG109" s="387">
        <f t="shared" si="112"/>
        <v>0.98</v>
      </c>
      <c r="GH109" s="387">
        <f t="shared" si="112"/>
        <v>0</v>
      </c>
      <c r="GI109" s="387">
        <f t="shared" si="112"/>
        <v>0</v>
      </c>
      <c r="GJ109" s="387">
        <f t="shared" si="112"/>
        <v>0</v>
      </c>
      <c r="GK109" s="387">
        <f t="shared" si="112"/>
        <v>0</v>
      </c>
      <c r="GL109" s="387">
        <f t="shared" si="112"/>
        <v>0</v>
      </c>
      <c r="GM109" s="387">
        <f t="shared" si="112"/>
        <v>0</v>
      </c>
      <c r="GN109" s="988">
        <f t="shared" si="112"/>
        <v>0</v>
      </c>
      <c r="GO109" s="1036">
        <f t="shared" si="113"/>
        <v>0</v>
      </c>
      <c r="GP109" s="387">
        <f t="shared" si="113"/>
        <v>0</v>
      </c>
      <c r="GQ109" s="387">
        <f t="shared" si="113"/>
        <v>0</v>
      </c>
      <c r="GR109" s="387">
        <f t="shared" si="113"/>
        <v>0</v>
      </c>
      <c r="GS109" s="387">
        <f t="shared" si="113"/>
        <v>0</v>
      </c>
      <c r="GT109" s="387">
        <f t="shared" si="113"/>
        <v>0</v>
      </c>
      <c r="GU109" s="387">
        <f t="shared" si="113"/>
        <v>0</v>
      </c>
      <c r="GV109" s="387">
        <f t="shared" si="113"/>
        <v>0</v>
      </c>
      <c r="GW109" s="387">
        <f t="shared" si="113"/>
        <v>0</v>
      </c>
      <c r="GX109" s="387">
        <f t="shared" si="113"/>
        <v>0</v>
      </c>
      <c r="GY109" s="387">
        <f t="shared" si="113"/>
        <v>0</v>
      </c>
      <c r="GZ109" s="988">
        <f t="shared" si="113"/>
        <v>0</v>
      </c>
      <c r="HB109" s="387"/>
      <c r="HC109" s="387"/>
      <c r="HD109" s="387"/>
      <c r="HE109" s="387"/>
      <c r="HF109" s="387"/>
      <c r="HG109" s="387"/>
      <c r="HH109" s="387"/>
      <c r="HI109" s="387"/>
      <c r="HJ109" s="387"/>
      <c r="HK109" s="387"/>
      <c r="HL109" s="387"/>
      <c r="HM109" s="988"/>
    </row>
    <row r="110" spans="1:221">
      <c r="A110" s="326" t="s">
        <v>1594</v>
      </c>
      <c r="B110" s="326" t="s">
        <v>901</v>
      </c>
      <c r="C110" s="326" t="s">
        <v>1585</v>
      </c>
      <c r="D110" s="1036" t="s">
        <v>2154</v>
      </c>
      <c r="E110" s="387" t="s">
        <v>2154</v>
      </c>
      <c r="F110" s="387" t="s">
        <v>2154</v>
      </c>
      <c r="G110" s="387" t="s">
        <v>2154</v>
      </c>
      <c r="H110" s="387" t="s">
        <v>2154</v>
      </c>
      <c r="I110" s="387" t="s">
        <v>2154</v>
      </c>
      <c r="J110" s="387" t="s">
        <v>2154</v>
      </c>
      <c r="K110" s="387" t="s">
        <v>2154</v>
      </c>
      <c r="L110" s="387" t="s">
        <v>2154</v>
      </c>
      <c r="M110" s="387" t="s">
        <v>2154</v>
      </c>
      <c r="N110" s="387" t="s">
        <v>2154</v>
      </c>
      <c r="O110" s="988" t="s">
        <v>2154</v>
      </c>
      <c r="P110" s="387">
        <v>579.6</v>
      </c>
      <c r="Q110" s="387">
        <v>552</v>
      </c>
      <c r="R110" s="387">
        <v>276</v>
      </c>
      <c r="S110" s="387">
        <v>276</v>
      </c>
      <c r="T110" s="387">
        <v>414</v>
      </c>
      <c r="U110" s="387">
        <v>1712.3999999999999</v>
      </c>
      <c r="V110" s="387">
        <v>-14.399999999999991</v>
      </c>
      <c r="W110" s="387">
        <v>2853.1</v>
      </c>
      <c r="X110" s="387">
        <v>5145.1000000000004</v>
      </c>
      <c r="Y110" s="387">
        <v>10187</v>
      </c>
      <c r="Z110" s="387">
        <v>8230.68</v>
      </c>
      <c r="AA110" s="988">
        <v>12190.92</v>
      </c>
      <c r="AB110" s="387"/>
      <c r="AC110" s="387"/>
      <c r="AD110" s="387"/>
      <c r="AE110" s="387"/>
      <c r="AF110" s="387"/>
      <c r="AG110" s="387"/>
      <c r="AH110" s="387"/>
      <c r="AI110" s="387"/>
      <c r="AJ110" s="387"/>
      <c r="AK110" s="387"/>
      <c r="AL110" s="387"/>
      <c r="AM110" s="988"/>
      <c r="AN110" s="387"/>
      <c r="AO110" s="387"/>
      <c r="AP110" s="387"/>
      <c r="AQ110" s="387"/>
      <c r="AR110" s="387"/>
      <c r="AS110" s="387"/>
      <c r="AT110" s="387"/>
      <c r="AU110" s="387"/>
      <c r="AV110" s="387"/>
      <c r="AW110" s="387"/>
      <c r="AX110" s="387"/>
      <c r="AY110" s="988"/>
      <c r="AZ110" s="387"/>
      <c r="BA110" s="387"/>
      <c r="BB110" s="387"/>
      <c r="BC110" s="387"/>
      <c r="BD110" s="387"/>
      <c r="BE110" s="387"/>
      <c r="BF110" s="387"/>
      <c r="BG110" s="387"/>
      <c r="BH110" s="387"/>
      <c r="BI110" s="387"/>
      <c r="BJ110" s="387"/>
      <c r="BK110" s="988"/>
      <c r="BL110" s="387"/>
      <c r="BM110" s="387"/>
      <c r="BN110" s="387"/>
      <c r="BO110" s="387"/>
      <c r="BP110" s="387"/>
      <c r="BQ110" s="387"/>
      <c r="BR110" s="387"/>
      <c r="BS110" s="387"/>
      <c r="BT110" s="387"/>
      <c r="BU110" s="387"/>
      <c r="BV110" s="387"/>
      <c r="BW110" s="988"/>
      <c r="BX110" s="387"/>
      <c r="BY110" s="387"/>
      <c r="BZ110" s="387"/>
      <c r="CA110" s="387"/>
      <c r="CB110" s="387"/>
      <c r="CC110" s="387"/>
      <c r="CD110" s="387"/>
      <c r="CE110" s="387"/>
      <c r="CF110" s="387"/>
      <c r="CG110" s="387"/>
      <c r="CH110" s="387"/>
      <c r="CI110" s="988"/>
      <c r="CJ110" s="387"/>
      <c r="CK110" s="387"/>
      <c r="CL110" s="387"/>
      <c r="CM110" s="387"/>
      <c r="CN110" s="387"/>
      <c r="CO110" s="387"/>
      <c r="CP110" s="387"/>
      <c r="CQ110" s="387"/>
      <c r="CR110" s="387"/>
      <c r="CS110" s="387"/>
      <c r="CT110" s="387"/>
      <c r="CU110" s="988"/>
      <c r="CV110" s="387"/>
      <c r="CW110" s="387"/>
      <c r="CX110" s="387"/>
      <c r="CY110" s="387"/>
      <c r="CZ110" s="387"/>
      <c r="DA110" s="387"/>
      <c r="DB110" s="387"/>
      <c r="DC110" s="387"/>
      <c r="DD110" s="387"/>
      <c r="DE110" s="387"/>
      <c r="DF110" s="387"/>
      <c r="DG110" s="988"/>
      <c r="DH110" s="387"/>
      <c r="DI110" s="387"/>
      <c r="DJ110" s="387"/>
      <c r="DK110" s="387"/>
      <c r="DL110" s="387"/>
      <c r="DM110" s="387"/>
      <c r="DN110" s="387"/>
      <c r="DO110" s="387"/>
      <c r="DP110" s="387"/>
      <c r="DQ110" s="387"/>
      <c r="DR110" s="387"/>
      <c r="DS110" s="988"/>
      <c r="DT110" s="387" t="s">
        <v>2154</v>
      </c>
      <c r="DU110" s="387" t="s">
        <v>2154</v>
      </c>
      <c r="DV110" s="387" t="s">
        <v>2154</v>
      </c>
      <c r="DW110" s="387" t="s">
        <v>2154</v>
      </c>
      <c r="DX110" s="387" t="s">
        <v>2154</v>
      </c>
      <c r="DY110" s="387" t="s">
        <v>2154</v>
      </c>
      <c r="DZ110" s="387" t="s">
        <v>2154</v>
      </c>
      <c r="EA110" s="387" t="s">
        <v>2154</v>
      </c>
      <c r="EB110" s="387" t="s">
        <v>2154</v>
      </c>
      <c r="EC110" s="387" t="s">
        <v>2154</v>
      </c>
      <c r="ED110" s="387" t="s">
        <v>2154</v>
      </c>
      <c r="EE110" s="988" t="s">
        <v>2154</v>
      </c>
      <c r="EF110" s="387"/>
      <c r="EG110" s="387"/>
      <c r="EH110" s="387"/>
      <c r="EI110" s="387"/>
      <c r="EJ110" s="387"/>
      <c r="EK110" s="387"/>
      <c r="EL110" s="387"/>
      <c r="EM110" s="387"/>
      <c r="EN110" s="387"/>
      <c r="EO110" s="387"/>
      <c r="EP110" s="387"/>
      <c r="EQ110" s="988"/>
      <c r="ER110" s="387"/>
      <c r="ES110" s="387"/>
      <c r="ET110" s="387"/>
      <c r="EU110" s="387"/>
      <c r="EV110" s="387"/>
      <c r="EW110" s="387"/>
      <c r="EX110" s="387"/>
      <c r="EY110" s="387"/>
      <c r="EZ110" s="387"/>
      <c r="FA110" s="387"/>
      <c r="FB110" s="387"/>
      <c r="FC110" s="988"/>
      <c r="FD110" s="387"/>
      <c r="FE110" s="387"/>
      <c r="FF110" s="387"/>
      <c r="FG110" s="387"/>
      <c r="FH110" s="387"/>
      <c r="FI110" s="387"/>
      <c r="FJ110" s="387"/>
      <c r="FK110" s="387"/>
      <c r="FL110" s="387"/>
      <c r="FM110" s="387"/>
      <c r="FN110" s="387"/>
      <c r="FO110" s="988"/>
      <c r="FP110" s="387"/>
      <c r="FQ110" s="387"/>
      <c r="FR110" s="387"/>
      <c r="FS110" s="387"/>
      <c r="FT110" s="387"/>
      <c r="FU110" s="387"/>
      <c r="FV110" s="387"/>
      <c r="FW110" s="387"/>
      <c r="FX110" s="387"/>
      <c r="FY110" s="387"/>
      <c r="FZ110" s="387"/>
      <c r="GA110" s="988"/>
      <c r="GB110" s="109"/>
      <c r="GC110" s="1036">
        <f t="shared" si="112"/>
        <v>579.6</v>
      </c>
      <c r="GD110" s="387">
        <f t="shared" si="112"/>
        <v>552</v>
      </c>
      <c r="GE110" s="387">
        <f t="shared" si="112"/>
        <v>276</v>
      </c>
      <c r="GF110" s="387">
        <f t="shared" si="112"/>
        <v>276</v>
      </c>
      <c r="GG110" s="387">
        <f t="shared" si="112"/>
        <v>414</v>
      </c>
      <c r="GH110" s="387">
        <f t="shared" si="112"/>
        <v>1712.3999999999999</v>
      </c>
      <c r="GI110" s="387">
        <f t="shared" si="112"/>
        <v>-14.399999999999991</v>
      </c>
      <c r="GJ110" s="387">
        <f t="shared" si="112"/>
        <v>2853.1</v>
      </c>
      <c r="GK110" s="387">
        <f t="shared" si="112"/>
        <v>5145.1000000000004</v>
      </c>
      <c r="GL110" s="387">
        <f t="shared" si="112"/>
        <v>10187</v>
      </c>
      <c r="GM110" s="387">
        <f t="shared" si="112"/>
        <v>8230.68</v>
      </c>
      <c r="GN110" s="988">
        <f t="shared" si="112"/>
        <v>12190.92</v>
      </c>
      <c r="GO110" s="1036">
        <f t="shared" si="113"/>
        <v>0</v>
      </c>
      <c r="GP110" s="387">
        <f t="shared" si="113"/>
        <v>0</v>
      </c>
      <c r="GQ110" s="387">
        <f t="shared" si="113"/>
        <v>0</v>
      </c>
      <c r="GR110" s="387">
        <f t="shared" si="113"/>
        <v>0</v>
      </c>
      <c r="GS110" s="387">
        <f t="shared" si="113"/>
        <v>0</v>
      </c>
      <c r="GT110" s="387">
        <f t="shared" si="113"/>
        <v>0</v>
      </c>
      <c r="GU110" s="387">
        <f t="shared" si="113"/>
        <v>0</v>
      </c>
      <c r="GV110" s="387">
        <f t="shared" si="113"/>
        <v>0</v>
      </c>
      <c r="GW110" s="387">
        <f t="shared" si="113"/>
        <v>0</v>
      </c>
      <c r="GX110" s="387">
        <f t="shared" si="113"/>
        <v>0</v>
      </c>
      <c r="GY110" s="387">
        <f t="shared" si="113"/>
        <v>0</v>
      </c>
      <c r="GZ110" s="988">
        <f t="shared" si="113"/>
        <v>0</v>
      </c>
      <c r="HB110" s="387"/>
      <c r="HC110" s="387"/>
      <c r="HD110" s="387"/>
      <c r="HE110" s="387"/>
      <c r="HF110" s="387"/>
      <c r="HG110" s="387"/>
      <c r="HH110" s="387"/>
      <c r="HI110" s="387"/>
      <c r="HJ110" s="387"/>
      <c r="HK110" s="387"/>
      <c r="HL110" s="387"/>
      <c r="HM110" s="988"/>
    </row>
    <row r="111" spans="1:221">
      <c r="A111" s="326" t="s">
        <v>1594</v>
      </c>
      <c r="B111" s="326" t="s">
        <v>901</v>
      </c>
      <c r="C111" s="326" t="s">
        <v>1586</v>
      </c>
      <c r="D111" s="1036" t="s">
        <v>2154</v>
      </c>
      <c r="E111" s="387" t="s">
        <v>2154</v>
      </c>
      <c r="F111" s="387" t="s">
        <v>2154</v>
      </c>
      <c r="G111" s="387" t="s">
        <v>2154</v>
      </c>
      <c r="H111" s="387" t="s">
        <v>2154</v>
      </c>
      <c r="I111" s="387" t="s">
        <v>2154</v>
      </c>
      <c r="J111" s="387" t="s">
        <v>2154</v>
      </c>
      <c r="K111" s="387" t="s">
        <v>2154</v>
      </c>
      <c r="L111" s="387" t="s">
        <v>2154</v>
      </c>
      <c r="M111" s="387" t="s">
        <v>2154</v>
      </c>
      <c r="N111" s="387" t="s">
        <v>2154</v>
      </c>
      <c r="O111" s="988" t="s">
        <v>2154</v>
      </c>
      <c r="P111" s="387" t="s">
        <v>2154</v>
      </c>
      <c r="Q111" s="387" t="s">
        <v>2154</v>
      </c>
      <c r="R111" s="387" t="s">
        <v>2154</v>
      </c>
      <c r="S111" s="387" t="s">
        <v>2154</v>
      </c>
      <c r="T111" s="387" t="s">
        <v>2154</v>
      </c>
      <c r="U111" s="387" t="s">
        <v>2154</v>
      </c>
      <c r="V111" s="387" t="s">
        <v>2154</v>
      </c>
      <c r="W111" s="387" t="s">
        <v>2154</v>
      </c>
      <c r="X111" s="387" t="s">
        <v>2154</v>
      </c>
      <c r="Y111" s="387" t="s">
        <v>2154</v>
      </c>
      <c r="Z111" s="387" t="s">
        <v>2154</v>
      </c>
      <c r="AA111" s="988" t="s">
        <v>2154</v>
      </c>
      <c r="AB111" s="387"/>
      <c r="AC111" s="387"/>
      <c r="AD111" s="387"/>
      <c r="AE111" s="387"/>
      <c r="AF111" s="387"/>
      <c r="AG111" s="387"/>
      <c r="AH111" s="387"/>
      <c r="AI111" s="387"/>
      <c r="AJ111" s="387"/>
      <c r="AK111" s="387"/>
      <c r="AL111" s="387"/>
      <c r="AM111" s="988"/>
      <c r="AN111" s="387"/>
      <c r="AO111" s="387"/>
      <c r="AP111" s="387"/>
      <c r="AQ111" s="387"/>
      <c r="AR111" s="387"/>
      <c r="AS111" s="387"/>
      <c r="AT111" s="387"/>
      <c r="AU111" s="387"/>
      <c r="AV111" s="387"/>
      <c r="AW111" s="387"/>
      <c r="AX111" s="387"/>
      <c r="AY111" s="988"/>
      <c r="AZ111" s="387"/>
      <c r="BA111" s="387"/>
      <c r="BB111" s="387"/>
      <c r="BC111" s="387"/>
      <c r="BD111" s="387"/>
      <c r="BE111" s="387"/>
      <c r="BF111" s="387"/>
      <c r="BG111" s="387"/>
      <c r="BH111" s="387"/>
      <c r="BI111" s="387"/>
      <c r="BJ111" s="387"/>
      <c r="BK111" s="988"/>
      <c r="BL111" s="387"/>
      <c r="BM111" s="387"/>
      <c r="BN111" s="387"/>
      <c r="BO111" s="387"/>
      <c r="BP111" s="387"/>
      <c r="BQ111" s="387"/>
      <c r="BR111" s="387"/>
      <c r="BS111" s="387"/>
      <c r="BT111" s="387"/>
      <c r="BU111" s="387"/>
      <c r="BV111" s="387"/>
      <c r="BW111" s="988"/>
      <c r="BX111" s="387"/>
      <c r="BY111" s="387"/>
      <c r="BZ111" s="387"/>
      <c r="CA111" s="387"/>
      <c r="CB111" s="387"/>
      <c r="CC111" s="387"/>
      <c r="CD111" s="387"/>
      <c r="CE111" s="387"/>
      <c r="CF111" s="387"/>
      <c r="CG111" s="387"/>
      <c r="CH111" s="387"/>
      <c r="CI111" s="988"/>
      <c r="CJ111" s="387"/>
      <c r="CK111" s="387"/>
      <c r="CL111" s="387"/>
      <c r="CM111" s="387"/>
      <c r="CN111" s="387"/>
      <c r="CO111" s="387"/>
      <c r="CP111" s="387"/>
      <c r="CQ111" s="387"/>
      <c r="CR111" s="387"/>
      <c r="CS111" s="387"/>
      <c r="CT111" s="387"/>
      <c r="CU111" s="988"/>
      <c r="CV111" s="387"/>
      <c r="CW111" s="387"/>
      <c r="CX111" s="387"/>
      <c r="CY111" s="387"/>
      <c r="CZ111" s="387"/>
      <c r="DA111" s="387"/>
      <c r="DB111" s="387"/>
      <c r="DC111" s="387"/>
      <c r="DD111" s="387"/>
      <c r="DE111" s="387"/>
      <c r="DF111" s="387"/>
      <c r="DG111" s="988"/>
      <c r="DH111" s="387"/>
      <c r="DI111" s="387"/>
      <c r="DJ111" s="387"/>
      <c r="DK111" s="387"/>
      <c r="DL111" s="387"/>
      <c r="DM111" s="387"/>
      <c r="DN111" s="387"/>
      <c r="DO111" s="387"/>
      <c r="DP111" s="387"/>
      <c r="DQ111" s="387"/>
      <c r="DR111" s="387"/>
      <c r="DS111" s="988"/>
      <c r="DT111" s="387" t="s">
        <v>2154</v>
      </c>
      <c r="DU111" s="387" t="s">
        <v>2154</v>
      </c>
      <c r="DV111" s="387" t="s">
        <v>2154</v>
      </c>
      <c r="DW111" s="387" t="s">
        <v>2154</v>
      </c>
      <c r="DX111" s="387" t="s">
        <v>2154</v>
      </c>
      <c r="DY111" s="387" t="s">
        <v>2154</v>
      </c>
      <c r="DZ111" s="387" t="s">
        <v>2154</v>
      </c>
      <c r="EA111" s="387" t="s">
        <v>2154</v>
      </c>
      <c r="EB111" s="387" t="s">
        <v>2154</v>
      </c>
      <c r="EC111" s="387" t="s">
        <v>2154</v>
      </c>
      <c r="ED111" s="387" t="s">
        <v>2154</v>
      </c>
      <c r="EE111" s="988" t="s">
        <v>2154</v>
      </c>
      <c r="EF111" s="387"/>
      <c r="EG111" s="387"/>
      <c r="EH111" s="387"/>
      <c r="EI111" s="387"/>
      <c r="EJ111" s="387"/>
      <c r="EK111" s="387"/>
      <c r="EL111" s="387"/>
      <c r="EM111" s="387"/>
      <c r="EN111" s="387"/>
      <c r="EO111" s="387"/>
      <c r="EP111" s="387"/>
      <c r="EQ111" s="988"/>
      <c r="ER111" s="387"/>
      <c r="ES111" s="387"/>
      <c r="ET111" s="387"/>
      <c r="EU111" s="387"/>
      <c r="EV111" s="387"/>
      <c r="EW111" s="387"/>
      <c r="EX111" s="387"/>
      <c r="EY111" s="387"/>
      <c r="EZ111" s="387"/>
      <c r="FA111" s="387"/>
      <c r="FB111" s="387"/>
      <c r="FC111" s="988"/>
      <c r="FD111" s="387"/>
      <c r="FE111" s="387"/>
      <c r="FF111" s="387"/>
      <c r="FG111" s="387"/>
      <c r="FH111" s="387"/>
      <c r="FI111" s="387"/>
      <c r="FJ111" s="387"/>
      <c r="FK111" s="387"/>
      <c r="FL111" s="387"/>
      <c r="FM111" s="387"/>
      <c r="FN111" s="387"/>
      <c r="FO111" s="988"/>
      <c r="FP111" s="387"/>
      <c r="FQ111" s="387"/>
      <c r="FR111" s="387"/>
      <c r="FS111" s="387"/>
      <c r="FT111" s="387"/>
      <c r="FU111" s="387"/>
      <c r="FV111" s="387"/>
      <c r="FW111" s="387"/>
      <c r="FX111" s="387"/>
      <c r="FY111" s="387"/>
      <c r="FZ111" s="387"/>
      <c r="GA111" s="988"/>
      <c r="GB111" s="109"/>
      <c r="GC111" s="1036">
        <f t="shared" si="112"/>
        <v>0</v>
      </c>
      <c r="GD111" s="387">
        <f t="shared" si="112"/>
        <v>0</v>
      </c>
      <c r="GE111" s="387">
        <f t="shared" si="112"/>
        <v>0</v>
      </c>
      <c r="GF111" s="387">
        <f t="shared" si="112"/>
        <v>0</v>
      </c>
      <c r="GG111" s="387">
        <f t="shared" si="112"/>
        <v>0</v>
      </c>
      <c r="GH111" s="387">
        <f t="shared" si="112"/>
        <v>0</v>
      </c>
      <c r="GI111" s="387">
        <f t="shared" si="112"/>
        <v>0</v>
      </c>
      <c r="GJ111" s="387">
        <f t="shared" si="112"/>
        <v>0</v>
      </c>
      <c r="GK111" s="387">
        <f t="shared" si="112"/>
        <v>0</v>
      </c>
      <c r="GL111" s="387">
        <f t="shared" si="112"/>
        <v>0</v>
      </c>
      <c r="GM111" s="387">
        <f t="shared" si="112"/>
        <v>0</v>
      </c>
      <c r="GN111" s="988">
        <f t="shared" si="112"/>
        <v>0</v>
      </c>
      <c r="GO111" s="1036">
        <f t="shared" si="113"/>
        <v>0</v>
      </c>
      <c r="GP111" s="387">
        <f t="shared" si="113"/>
        <v>0</v>
      </c>
      <c r="GQ111" s="387">
        <f t="shared" si="113"/>
        <v>0</v>
      </c>
      <c r="GR111" s="387">
        <f t="shared" si="113"/>
        <v>0</v>
      </c>
      <c r="GS111" s="387">
        <f t="shared" si="113"/>
        <v>0</v>
      </c>
      <c r="GT111" s="387">
        <f t="shared" si="113"/>
        <v>0</v>
      </c>
      <c r="GU111" s="387">
        <f t="shared" si="113"/>
        <v>0</v>
      </c>
      <c r="GV111" s="387">
        <f t="shared" si="113"/>
        <v>0</v>
      </c>
      <c r="GW111" s="387">
        <f t="shared" si="113"/>
        <v>0</v>
      </c>
      <c r="GX111" s="387">
        <f t="shared" si="113"/>
        <v>0</v>
      </c>
      <c r="GY111" s="387">
        <f t="shared" si="113"/>
        <v>0</v>
      </c>
      <c r="GZ111" s="988">
        <f t="shared" si="113"/>
        <v>0</v>
      </c>
      <c r="HB111" s="387"/>
      <c r="HC111" s="387"/>
      <c r="HD111" s="387"/>
      <c r="HE111" s="387"/>
      <c r="HF111" s="387"/>
      <c r="HG111" s="387"/>
      <c r="HH111" s="387"/>
      <c r="HI111" s="387"/>
      <c r="HJ111" s="387"/>
      <c r="HK111" s="387"/>
      <c r="HL111" s="387"/>
      <c r="HM111" s="988"/>
    </row>
    <row r="112" spans="1:221">
      <c r="A112" s="326" t="s">
        <v>1594</v>
      </c>
      <c r="B112" s="326" t="s">
        <v>901</v>
      </c>
      <c r="C112" s="326" t="s">
        <v>1587</v>
      </c>
      <c r="D112" s="1036" t="s">
        <v>2154</v>
      </c>
      <c r="E112" s="387" t="s">
        <v>2154</v>
      </c>
      <c r="F112" s="387" t="s">
        <v>2154</v>
      </c>
      <c r="G112" s="387" t="s">
        <v>2154</v>
      </c>
      <c r="H112" s="387" t="s">
        <v>2154</v>
      </c>
      <c r="I112" s="387" t="s">
        <v>2154</v>
      </c>
      <c r="J112" s="387" t="s">
        <v>2154</v>
      </c>
      <c r="K112" s="387" t="s">
        <v>2154</v>
      </c>
      <c r="L112" s="387" t="s">
        <v>2154</v>
      </c>
      <c r="M112" s="387" t="s">
        <v>2154</v>
      </c>
      <c r="N112" s="387" t="s">
        <v>2154</v>
      </c>
      <c r="O112" s="988" t="s">
        <v>2154</v>
      </c>
      <c r="P112" s="387" t="s">
        <v>2154</v>
      </c>
      <c r="Q112" s="387" t="s">
        <v>2154</v>
      </c>
      <c r="R112" s="387" t="s">
        <v>2154</v>
      </c>
      <c r="S112" s="387" t="s">
        <v>2154</v>
      </c>
      <c r="T112" s="387" t="s">
        <v>2154</v>
      </c>
      <c r="U112" s="387" t="s">
        <v>2154</v>
      </c>
      <c r="V112" s="387" t="s">
        <v>2154</v>
      </c>
      <c r="W112" s="387" t="s">
        <v>2154</v>
      </c>
      <c r="X112" s="387" t="s">
        <v>2154</v>
      </c>
      <c r="Y112" s="387" t="s">
        <v>2154</v>
      </c>
      <c r="Z112" s="387" t="s">
        <v>2154</v>
      </c>
      <c r="AA112" s="988" t="s">
        <v>2154</v>
      </c>
      <c r="AB112" s="387"/>
      <c r="AC112" s="387"/>
      <c r="AD112" s="387"/>
      <c r="AE112" s="387"/>
      <c r="AF112" s="387"/>
      <c r="AG112" s="387"/>
      <c r="AH112" s="387"/>
      <c r="AI112" s="387"/>
      <c r="AJ112" s="387"/>
      <c r="AK112" s="387"/>
      <c r="AL112" s="387"/>
      <c r="AM112" s="988"/>
      <c r="AN112" s="387"/>
      <c r="AO112" s="387"/>
      <c r="AP112" s="387"/>
      <c r="AQ112" s="387"/>
      <c r="AR112" s="387"/>
      <c r="AS112" s="387"/>
      <c r="AT112" s="387"/>
      <c r="AU112" s="387"/>
      <c r="AV112" s="387"/>
      <c r="AW112" s="387"/>
      <c r="AX112" s="387"/>
      <c r="AY112" s="988"/>
      <c r="AZ112" s="387"/>
      <c r="BA112" s="387"/>
      <c r="BB112" s="387"/>
      <c r="BC112" s="387"/>
      <c r="BD112" s="387"/>
      <c r="BE112" s="387"/>
      <c r="BF112" s="387"/>
      <c r="BG112" s="387"/>
      <c r="BH112" s="387"/>
      <c r="BI112" s="387"/>
      <c r="BJ112" s="387"/>
      <c r="BK112" s="988"/>
      <c r="BL112" s="387"/>
      <c r="BM112" s="387"/>
      <c r="BN112" s="387"/>
      <c r="BO112" s="387"/>
      <c r="BP112" s="387"/>
      <c r="BQ112" s="387"/>
      <c r="BR112" s="387"/>
      <c r="BS112" s="387"/>
      <c r="BT112" s="387"/>
      <c r="BU112" s="387"/>
      <c r="BV112" s="387"/>
      <c r="BW112" s="988"/>
      <c r="BX112" s="387"/>
      <c r="BY112" s="387"/>
      <c r="BZ112" s="387"/>
      <c r="CA112" s="387"/>
      <c r="CB112" s="387"/>
      <c r="CC112" s="387"/>
      <c r="CD112" s="387"/>
      <c r="CE112" s="387"/>
      <c r="CF112" s="387"/>
      <c r="CG112" s="387"/>
      <c r="CH112" s="387"/>
      <c r="CI112" s="988"/>
      <c r="CJ112" s="387"/>
      <c r="CK112" s="387"/>
      <c r="CL112" s="387"/>
      <c r="CM112" s="387"/>
      <c r="CN112" s="387"/>
      <c r="CO112" s="387"/>
      <c r="CP112" s="387"/>
      <c r="CQ112" s="387"/>
      <c r="CR112" s="387"/>
      <c r="CS112" s="387"/>
      <c r="CT112" s="387"/>
      <c r="CU112" s="988"/>
      <c r="CV112" s="387"/>
      <c r="CW112" s="387"/>
      <c r="CX112" s="387"/>
      <c r="CY112" s="387"/>
      <c r="CZ112" s="387"/>
      <c r="DA112" s="387"/>
      <c r="DB112" s="387"/>
      <c r="DC112" s="387"/>
      <c r="DD112" s="387"/>
      <c r="DE112" s="387"/>
      <c r="DF112" s="387"/>
      <c r="DG112" s="988"/>
      <c r="DH112" s="387"/>
      <c r="DI112" s="387"/>
      <c r="DJ112" s="387"/>
      <c r="DK112" s="387"/>
      <c r="DL112" s="387"/>
      <c r="DM112" s="387"/>
      <c r="DN112" s="387"/>
      <c r="DO112" s="387"/>
      <c r="DP112" s="387"/>
      <c r="DQ112" s="387"/>
      <c r="DR112" s="387"/>
      <c r="DS112" s="988"/>
      <c r="DT112" s="387" t="s">
        <v>2154</v>
      </c>
      <c r="DU112" s="387" t="s">
        <v>2154</v>
      </c>
      <c r="DV112" s="387" t="s">
        <v>2154</v>
      </c>
      <c r="DW112" s="387" t="s">
        <v>2154</v>
      </c>
      <c r="DX112" s="387" t="s">
        <v>2154</v>
      </c>
      <c r="DY112" s="387" t="s">
        <v>2154</v>
      </c>
      <c r="DZ112" s="387" t="s">
        <v>2154</v>
      </c>
      <c r="EA112" s="387" t="s">
        <v>2154</v>
      </c>
      <c r="EB112" s="387" t="s">
        <v>2154</v>
      </c>
      <c r="EC112" s="387" t="s">
        <v>2154</v>
      </c>
      <c r="ED112" s="387" t="s">
        <v>2154</v>
      </c>
      <c r="EE112" s="988" t="s">
        <v>2154</v>
      </c>
      <c r="EF112" s="387"/>
      <c r="EG112" s="387"/>
      <c r="EH112" s="387"/>
      <c r="EI112" s="387"/>
      <c r="EJ112" s="387"/>
      <c r="EK112" s="387"/>
      <c r="EL112" s="387"/>
      <c r="EM112" s="387"/>
      <c r="EN112" s="387"/>
      <c r="EO112" s="387"/>
      <c r="EP112" s="387"/>
      <c r="EQ112" s="988"/>
      <c r="ER112" s="387"/>
      <c r="ES112" s="387"/>
      <c r="ET112" s="387"/>
      <c r="EU112" s="387"/>
      <c r="EV112" s="387"/>
      <c r="EW112" s="387"/>
      <c r="EX112" s="387"/>
      <c r="EY112" s="387"/>
      <c r="EZ112" s="387"/>
      <c r="FA112" s="387"/>
      <c r="FB112" s="387"/>
      <c r="FC112" s="988"/>
      <c r="FD112" s="387"/>
      <c r="FE112" s="387"/>
      <c r="FF112" s="387"/>
      <c r="FG112" s="387"/>
      <c r="FH112" s="387"/>
      <c r="FI112" s="387"/>
      <c r="FJ112" s="387"/>
      <c r="FK112" s="387"/>
      <c r="FL112" s="387"/>
      <c r="FM112" s="387"/>
      <c r="FN112" s="387"/>
      <c r="FO112" s="988"/>
      <c r="FP112" s="387"/>
      <c r="FQ112" s="387"/>
      <c r="FR112" s="387"/>
      <c r="FS112" s="387"/>
      <c r="FT112" s="387"/>
      <c r="FU112" s="387"/>
      <c r="FV112" s="387"/>
      <c r="FW112" s="387"/>
      <c r="FX112" s="387"/>
      <c r="FY112" s="387"/>
      <c r="FZ112" s="387"/>
      <c r="GA112" s="988"/>
      <c r="GB112" s="109"/>
      <c r="GC112" s="1036">
        <f t="shared" si="112"/>
        <v>0</v>
      </c>
      <c r="GD112" s="387">
        <f t="shared" si="112"/>
        <v>0</v>
      </c>
      <c r="GE112" s="387">
        <f t="shared" si="112"/>
        <v>0</v>
      </c>
      <c r="GF112" s="387">
        <f t="shared" si="112"/>
        <v>0</v>
      </c>
      <c r="GG112" s="387">
        <f t="shared" si="112"/>
        <v>0</v>
      </c>
      <c r="GH112" s="387">
        <f t="shared" si="112"/>
        <v>0</v>
      </c>
      <c r="GI112" s="387">
        <f t="shared" si="112"/>
        <v>0</v>
      </c>
      <c r="GJ112" s="387">
        <f t="shared" si="112"/>
        <v>0</v>
      </c>
      <c r="GK112" s="387">
        <f t="shared" si="112"/>
        <v>0</v>
      </c>
      <c r="GL112" s="387">
        <f t="shared" si="112"/>
        <v>0</v>
      </c>
      <c r="GM112" s="387">
        <f t="shared" si="112"/>
        <v>0</v>
      </c>
      <c r="GN112" s="988">
        <f t="shared" si="112"/>
        <v>0</v>
      </c>
      <c r="GO112" s="1036">
        <f t="shared" si="113"/>
        <v>0</v>
      </c>
      <c r="GP112" s="387">
        <f t="shared" si="113"/>
        <v>0</v>
      </c>
      <c r="GQ112" s="387">
        <f t="shared" si="113"/>
        <v>0</v>
      </c>
      <c r="GR112" s="387">
        <f t="shared" si="113"/>
        <v>0</v>
      </c>
      <c r="GS112" s="387">
        <f t="shared" si="113"/>
        <v>0</v>
      </c>
      <c r="GT112" s="387">
        <f t="shared" si="113"/>
        <v>0</v>
      </c>
      <c r="GU112" s="387">
        <f t="shared" si="113"/>
        <v>0</v>
      </c>
      <c r="GV112" s="387">
        <f t="shared" si="113"/>
        <v>0</v>
      </c>
      <c r="GW112" s="387">
        <f t="shared" si="113"/>
        <v>0</v>
      </c>
      <c r="GX112" s="387">
        <f t="shared" si="113"/>
        <v>0</v>
      </c>
      <c r="GY112" s="387">
        <f t="shared" si="113"/>
        <v>0</v>
      </c>
      <c r="GZ112" s="988">
        <f t="shared" si="113"/>
        <v>0</v>
      </c>
      <c r="HB112" s="387"/>
      <c r="HC112" s="387"/>
      <c r="HD112" s="387"/>
      <c r="HE112" s="387"/>
      <c r="HF112" s="387"/>
      <c r="HG112" s="387"/>
      <c r="HH112" s="387"/>
      <c r="HI112" s="387"/>
      <c r="HJ112" s="387"/>
      <c r="HK112" s="387"/>
      <c r="HL112" s="387"/>
      <c r="HM112" s="988"/>
    </row>
    <row r="113" spans="1:221">
      <c r="A113" s="326" t="s">
        <v>1594</v>
      </c>
      <c r="B113" s="326" t="s">
        <v>901</v>
      </c>
      <c r="C113" s="326" t="s">
        <v>1588</v>
      </c>
      <c r="D113" s="1036" t="s">
        <v>2154</v>
      </c>
      <c r="E113" s="387" t="s">
        <v>2154</v>
      </c>
      <c r="F113" s="387" t="s">
        <v>2154</v>
      </c>
      <c r="G113" s="387" t="s">
        <v>2154</v>
      </c>
      <c r="H113" s="387" t="s">
        <v>2154</v>
      </c>
      <c r="I113" s="387" t="s">
        <v>2154</v>
      </c>
      <c r="J113" s="387" t="s">
        <v>2154</v>
      </c>
      <c r="K113" s="387" t="s">
        <v>2154</v>
      </c>
      <c r="L113" s="387" t="s">
        <v>2154</v>
      </c>
      <c r="M113" s="387" t="s">
        <v>2154</v>
      </c>
      <c r="N113" s="387" t="s">
        <v>2154</v>
      </c>
      <c r="O113" s="988" t="s">
        <v>2154</v>
      </c>
      <c r="P113" s="387" t="s">
        <v>2154</v>
      </c>
      <c r="Q113" s="387" t="s">
        <v>2154</v>
      </c>
      <c r="R113" s="387" t="s">
        <v>2154</v>
      </c>
      <c r="S113" s="387" t="s">
        <v>2154</v>
      </c>
      <c r="T113" s="387" t="s">
        <v>2154</v>
      </c>
      <c r="U113" s="387" t="s">
        <v>2154</v>
      </c>
      <c r="V113" s="387" t="s">
        <v>2154</v>
      </c>
      <c r="W113" s="387" t="s">
        <v>2154</v>
      </c>
      <c r="X113" s="387" t="s">
        <v>2154</v>
      </c>
      <c r="Y113" s="387" t="s">
        <v>2154</v>
      </c>
      <c r="Z113" s="387" t="s">
        <v>2154</v>
      </c>
      <c r="AA113" s="988" t="s">
        <v>2154</v>
      </c>
      <c r="AB113" s="387"/>
      <c r="AC113" s="387"/>
      <c r="AD113" s="387"/>
      <c r="AE113" s="387"/>
      <c r="AF113" s="387"/>
      <c r="AG113" s="387"/>
      <c r="AH113" s="387"/>
      <c r="AI113" s="387"/>
      <c r="AJ113" s="387"/>
      <c r="AK113" s="387"/>
      <c r="AL113" s="387"/>
      <c r="AM113" s="988"/>
      <c r="AN113" s="387"/>
      <c r="AO113" s="387"/>
      <c r="AP113" s="387"/>
      <c r="AQ113" s="387"/>
      <c r="AR113" s="387"/>
      <c r="AS113" s="387"/>
      <c r="AT113" s="387"/>
      <c r="AU113" s="387"/>
      <c r="AV113" s="387"/>
      <c r="AW113" s="387"/>
      <c r="AX113" s="387"/>
      <c r="AY113" s="988"/>
      <c r="AZ113" s="387"/>
      <c r="BA113" s="387"/>
      <c r="BB113" s="387"/>
      <c r="BC113" s="387"/>
      <c r="BD113" s="387"/>
      <c r="BE113" s="387"/>
      <c r="BF113" s="387"/>
      <c r="BG113" s="387"/>
      <c r="BH113" s="387"/>
      <c r="BI113" s="387"/>
      <c r="BJ113" s="387"/>
      <c r="BK113" s="988"/>
      <c r="BL113" s="387"/>
      <c r="BM113" s="387"/>
      <c r="BN113" s="387"/>
      <c r="BO113" s="387"/>
      <c r="BP113" s="387"/>
      <c r="BQ113" s="387"/>
      <c r="BR113" s="387"/>
      <c r="BS113" s="387"/>
      <c r="BT113" s="387"/>
      <c r="BU113" s="387"/>
      <c r="BV113" s="387"/>
      <c r="BW113" s="988"/>
      <c r="BX113" s="387"/>
      <c r="BY113" s="387"/>
      <c r="BZ113" s="387"/>
      <c r="CA113" s="387"/>
      <c r="CB113" s="387"/>
      <c r="CC113" s="387"/>
      <c r="CD113" s="387"/>
      <c r="CE113" s="387"/>
      <c r="CF113" s="387"/>
      <c r="CG113" s="387"/>
      <c r="CH113" s="387"/>
      <c r="CI113" s="988"/>
      <c r="CJ113" s="387"/>
      <c r="CK113" s="387"/>
      <c r="CL113" s="387"/>
      <c r="CM113" s="387"/>
      <c r="CN113" s="387"/>
      <c r="CO113" s="387"/>
      <c r="CP113" s="387"/>
      <c r="CQ113" s="387"/>
      <c r="CR113" s="387"/>
      <c r="CS113" s="387"/>
      <c r="CT113" s="387"/>
      <c r="CU113" s="988"/>
      <c r="CV113" s="387"/>
      <c r="CW113" s="387"/>
      <c r="CX113" s="387"/>
      <c r="CY113" s="387"/>
      <c r="CZ113" s="387"/>
      <c r="DA113" s="387"/>
      <c r="DB113" s="387"/>
      <c r="DC113" s="387"/>
      <c r="DD113" s="387"/>
      <c r="DE113" s="387"/>
      <c r="DF113" s="387"/>
      <c r="DG113" s="988"/>
      <c r="DH113" s="387"/>
      <c r="DI113" s="387"/>
      <c r="DJ113" s="387"/>
      <c r="DK113" s="387"/>
      <c r="DL113" s="387"/>
      <c r="DM113" s="387"/>
      <c r="DN113" s="387"/>
      <c r="DO113" s="387"/>
      <c r="DP113" s="387"/>
      <c r="DQ113" s="387"/>
      <c r="DR113" s="387"/>
      <c r="DS113" s="988"/>
      <c r="DT113" s="387" t="s">
        <v>2154</v>
      </c>
      <c r="DU113" s="387" t="s">
        <v>2154</v>
      </c>
      <c r="DV113" s="387" t="s">
        <v>2154</v>
      </c>
      <c r="DW113" s="387" t="s">
        <v>2154</v>
      </c>
      <c r="DX113" s="387" t="s">
        <v>2154</v>
      </c>
      <c r="DY113" s="387" t="s">
        <v>2154</v>
      </c>
      <c r="DZ113" s="387" t="s">
        <v>2154</v>
      </c>
      <c r="EA113" s="387" t="s">
        <v>2154</v>
      </c>
      <c r="EB113" s="387" t="s">
        <v>2154</v>
      </c>
      <c r="EC113" s="387" t="s">
        <v>2154</v>
      </c>
      <c r="ED113" s="387" t="s">
        <v>2154</v>
      </c>
      <c r="EE113" s="988" t="s">
        <v>2154</v>
      </c>
      <c r="EF113" s="387"/>
      <c r="EG113" s="387"/>
      <c r="EH113" s="387"/>
      <c r="EI113" s="387"/>
      <c r="EJ113" s="387"/>
      <c r="EK113" s="387"/>
      <c r="EL113" s="387"/>
      <c r="EM113" s="387"/>
      <c r="EN113" s="387"/>
      <c r="EO113" s="387"/>
      <c r="EP113" s="387"/>
      <c r="EQ113" s="988"/>
      <c r="ER113" s="387"/>
      <c r="ES113" s="387"/>
      <c r="ET113" s="387"/>
      <c r="EU113" s="387"/>
      <c r="EV113" s="387"/>
      <c r="EW113" s="387"/>
      <c r="EX113" s="387"/>
      <c r="EY113" s="387"/>
      <c r="EZ113" s="387"/>
      <c r="FA113" s="387"/>
      <c r="FB113" s="387"/>
      <c r="FC113" s="988"/>
      <c r="FD113" s="387"/>
      <c r="FE113" s="387"/>
      <c r="FF113" s="387"/>
      <c r="FG113" s="387"/>
      <c r="FH113" s="387"/>
      <c r="FI113" s="387"/>
      <c r="FJ113" s="387"/>
      <c r="FK113" s="387"/>
      <c r="FL113" s="387"/>
      <c r="FM113" s="387"/>
      <c r="FN113" s="387"/>
      <c r="FO113" s="988"/>
      <c r="FP113" s="387"/>
      <c r="FQ113" s="387"/>
      <c r="FR113" s="387"/>
      <c r="FS113" s="387"/>
      <c r="FT113" s="387"/>
      <c r="FU113" s="387"/>
      <c r="FV113" s="387"/>
      <c r="FW113" s="387"/>
      <c r="FX113" s="387"/>
      <c r="FY113" s="387"/>
      <c r="FZ113" s="387"/>
      <c r="GA113" s="988"/>
      <c r="GB113" s="109"/>
      <c r="GC113" s="1036">
        <f t="shared" si="112"/>
        <v>0</v>
      </c>
      <c r="GD113" s="387">
        <f t="shared" si="112"/>
        <v>0</v>
      </c>
      <c r="GE113" s="387">
        <f t="shared" si="112"/>
        <v>0</v>
      </c>
      <c r="GF113" s="387">
        <f t="shared" si="112"/>
        <v>0</v>
      </c>
      <c r="GG113" s="387">
        <f t="shared" si="112"/>
        <v>0</v>
      </c>
      <c r="GH113" s="387">
        <f t="shared" si="112"/>
        <v>0</v>
      </c>
      <c r="GI113" s="387">
        <f t="shared" si="112"/>
        <v>0</v>
      </c>
      <c r="GJ113" s="387">
        <f t="shared" si="112"/>
        <v>0</v>
      </c>
      <c r="GK113" s="387">
        <f t="shared" si="112"/>
        <v>0</v>
      </c>
      <c r="GL113" s="387">
        <f t="shared" si="112"/>
        <v>0</v>
      </c>
      <c r="GM113" s="387">
        <f t="shared" si="112"/>
        <v>0</v>
      </c>
      <c r="GN113" s="988">
        <f t="shared" si="112"/>
        <v>0</v>
      </c>
      <c r="GO113" s="1036">
        <f t="shared" si="113"/>
        <v>0</v>
      </c>
      <c r="GP113" s="387">
        <f t="shared" si="113"/>
        <v>0</v>
      </c>
      <c r="GQ113" s="387">
        <f t="shared" si="113"/>
        <v>0</v>
      </c>
      <c r="GR113" s="387">
        <f t="shared" si="113"/>
        <v>0</v>
      </c>
      <c r="GS113" s="387">
        <f t="shared" si="113"/>
        <v>0</v>
      </c>
      <c r="GT113" s="387">
        <f t="shared" si="113"/>
        <v>0</v>
      </c>
      <c r="GU113" s="387">
        <f t="shared" si="113"/>
        <v>0</v>
      </c>
      <c r="GV113" s="387">
        <f t="shared" si="113"/>
        <v>0</v>
      </c>
      <c r="GW113" s="387">
        <f t="shared" si="113"/>
        <v>0</v>
      </c>
      <c r="GX113" s="387">
        <f t="shared" si="113"/>
        <v>0</v>
      </c>
      <c r="GY113" s="387">
        <f t="shared" si="113"/>
        <v>0</v>
      </c>
      <c r="GZ113" s="988">
        <f t="shared" si="113"/>
        <v>0</v>
      </c>
      <c r="HB113" s="387"/>
      <c r="HC113" s="387"/>
      <c r="HD113" s="387"/>
      <c r="HE113" s="387"/>
      <c r="HF113" s="387"/>
      <c r="HG113" s="387"/>
      <c r="HH113" s="387"/>
      <c r="HI113" s="387"/>
      <c r="HJ113" s="387"/>
      <c r="HK113" s="387"/>
      <c r="HL113" s="387"/>
      <c r="HM113" s="988"/>
    </row>
    <row r="114" spans="1:221">
      <c r="A114" s="326" t="s">
        <v>1594</v>
      </c>
      <c r="B114" s="326" t="s">
        <v>901</v>
      </c>
      <c r="C114" s="326" t="s">
        <v>1589</v>
      </c>
      <c r="D114" s="1036" t="s">
        <v>2154</v>
      </c>
      <c r="E114" s="387" t="s">
        <v>2154</v>
      </c>
      <c r="F114" s="387" t="s">
        <v>2154</v>
      </c>
      <c r="G114" s="387" t="s">
        <v>2154</v>
      </c>
      <c r="H114" s="387" t="s">
        <v>2154</v>
      </c>
      <c r="I114" s="387" t="s">
        <v>2154</v>
      </c>
      <c r="J114" s="387" t="s">
        <v>2154</v>
      </c>
      <c r="K114" s="387" t="s">
        <v>2154</v>
      </c>
      <c r="L114" s="387" t="s">
        <v>2154</v>
      </c>
      <c r="M114" s="387" t="s">
        <v>2154</v>
      </c>
      <c r="N114" s="387" t="s">
        <v>2154</v>
      </c>
      <c r="O114" s="988" t="s">
        <v>2154</v>
      </c>
      <c r="P114" s="387" t="s">
        <v>2154</v>
      </c>
      <c r="Q114" s="387" t="s">
        <v>2154</v>
      </c>
      <c r="R114" s="387" t="s">
        <v>2154</v>
      </c>
      <c r="S114" s="387" t="s">
        <v>2154</v>
      </c>
      <c r="T114" s="387" t="s">
        <v>2154</v>
      </c>
      <c r="U114" s="387" t="s">
        <v>2154</v>
      </c>
      <c r="V114" s="387" t="s">
        <v>2154</v>
      </c>
      <c r="W114" s="387" t="s">
        <v>2154</v>
      </c>
      <c r="X114" s="387" t="s">
        <v>2154</v>
      </c>
      <c r="Y114" s="387" t="s">
        <v>2154</v>
      </c>
      <c r="Z114" s="387" t="s">
        <v>2154</v>
      </c>
      <c r="AA114" s="988" t="s">
        <v>2154</v>
      </c>
      <c r="AB114" s="387"/>
      <c r="AC114" s="387"/>
      <c r="AD114" s="387"/>
      <c r="AE114" s="387"/>
      <c r="AF114" s="387"/>
      <c r="AG114" s="387"/>
      <c r="AH114" s="387"/>
      <c r="AI114" s="387"/>
      <c r="AJ114" s="387"/>
      <c r="AK114" s="387"/>
      <c r="AL114" s="387"/>
      <c r="AM114" s="988"/>
      <c r="AN114" s="387"/>
      <c r="AO114" s="387"/>
      <c r="AP114" s="387"/>
      <c r="AQ114" s="387"/>
      <c r="AR114" s="387"/>
      <c r="AS114" s="387"/>
      <c r="AT114" s="387"/>
      <c r="AU114" s="387"/>
      <c r="AV114" s="387"/>
      <c r="AW114" s="387"/>
      <c r="AX114" s="387"/>
      <c r="AY114" s="988"/>
      <c r="AZ114" s="387"/>
      <c r="BA114" s="387"/>
      <c r="BB114" s="387"/>
      <c r="BC114" s="387"/>
      <c r="BD114" s="387"/>
      <c r="BE114" s="387"/>
      <c r="BF114" s="387"/>
      <c r="BG114" s="387"/>
      <c r="BH114" s="387"/>
      <c r="BI114" s="387"/>
      <c r="BJ114" s="387"/>
      <c r="BK114" s="988"/>
      <c r="BL114" s="387"/>
      <c r="BM114" s="387"/>
      <c r="BN114" s="387"/>
      <c r="BO114" s="387"/>
      <c r="BP114" s="387"/>
      <c r="BQ114" s="387"/>
      <c r="BR114" s="387"/>
      <c r="BS114" s="387"/>
      <c r="BT114" s="387"/>
      <c r="BU114" s="387"/>
      <c r="BV114" s="387"/>
      <c r="BW114" s="988"/>
      <c r="BX114" s="387"/>
      <c r="BY114" s="387"/>
      <c r="BZ114" s="387"/>
      <c r="CA114" s="387"/>
      <c r="CB114" s="387"/>
      <c r="CC114" s="387"/>
      <c r="CD114" s="387"/>
      <c r="CE114" s="387"/>
      <c r="CF114" s="387"/>
      <c r="CG114" s="387"/>
      <c r="CH114" s="387"/>
      <c r="CI114" s="988"/>
      <c r="CJ114" s="387"/>
      <c r="CK114" s="387"/>
      <c r="CL114" s="387"/>
      <c r="CM114" s="387"/>
      <c r="CN114" s="387"/>
      <c r="CO114" s="387"/>
      <c r="CP114" s="387"/>
      <c r="CQ114" s="387"/>
      <c r="CR114" s="387"/>
      <c r="CS114" s="387"/>
      <c r="CT114" s="387"/>
      <c r="CU114" s="988"/>
      <c r="CV114" s="387"/>
      <c r="CW114" s="387"/>
      <c r="CX114" s="387"/>
      <c r="CY114" s="387"/>
      <c r="CZ114" s="387"/>
      <c r="DA114" s="387"/>
      <c r="DB114" s="387"/>
      <c r="DC114" s="387"/>
      <c r="DD114" s="387"/>
      <c r="DE114" s="387"/>
      <c r="DF114" s="387"/>
      <c r="DG114" s="988"/>
      <c r="DH114" s="387"/>
      <c r="DI114" s="387"/>
      <c r="DJ114" s="387"/>
      <c r="DK114" s="387"/>
      <c r="DL114" s="387"/>
      <c r="DM114" s="387"/>
      <c r="DN114" s="387"/>
      <c r="DO114" s="387"/>
      <c r="DP114" s="387"/>
      <c r="DQ114" s="387"/>
      <c r="DR114" s="387"/>
      <c r="DS114" s="988"/>
      <c r="DT114" s="387" t="s">
        <v>2154</v>
      </c>
      <c r="DU114" s="387" t="s">
        <v>2154</v>
      </c>
      <c r="DV114" s="387" t="s">
        <v>2154</v>
      </c>
      <c r="DW114" s="387" t="s">
        <v>2154</v>
      </c>
      <c r="DX114" s="387" t="s">
        <v>2154</v>
      </c>
      <c r="DY114" s="387" t="s">
        <v>2154</v>
      </c>
      <c r="DZ114" s="387" t="s">
        <v>2154</v>
      </c>
      <c r="EA114" s="387" t="s">
        <v>2154</v>
      </c>
      <c r="EB114" s="387" t="s">
        <v>2154</v>
      </c>
      <c r="EC114" s="387" t="s">
        <v>2154</v>
      </c>
      <c r="ED114" s="387" t="s">
        <v>2154</v>
      </c>
      <c r="EE114" s="988" t="s">
        <v>2154</v>
      </c>
      <c r="EF114" s="387"/>
      <c r="EG114" s="387"/>
      <c r="EH114" s="387"/>
      <c r="EI114" s="387"/>
      <c r="EJ114" s="387"/>
      <c r="EK114" s="387"/>
      <c r="EL114" s="387"/>
      <c r="EM114" s="387"/>
      <c r="EN114" s="387"/>
      <c r="EO114" s="387"/>
      <c r="EP114" s="387"/>
      <c r="EQ114" s="988"/>
      <c r="ER114" s="387"/>
      <c r="ES114" s="387"/>
      <c r="ET114" s="387"/>
      <c r="EU114" s="387"/>
      <c r="EV114" s="387"/>
      <c r="EW114" s="387"/>
      <c r="EX114" s="387"/>
      <c r="EY114" s="387"/>
      <c r="EZ114" s="387"/>
      <c r="FA114" s="387"/>
      <c r="FB114" s="387"/>
      <c r="FC114" s="988"/>
      <c r="FD114" s="387"/>
      <c r="FE114" s="387"/>
      <c r="FF114" s="387"/>
      <c r="FG114" s="387"/>
      <c r="FH114" s="387"/>
      <c r="FI114" s="387"/>
      <c r="FJ114" s="387"/>
      <c r="FK114" s="387"/>
      <c r="FL114" s="387"/>
      <c r="FM114" s="387"/>
      <c r="FN114" s="387"/>
      <c r="FO114" s="988"/>
      <c r="FP114" s="387"/>
      <c r="FQ114" s="387"/>
      <c r="FR114" s="387"/>
      <c r="FS114" s="387"/>
      <c r="FT114" s="387"/>
      <c r="FU114" s="387"/>
      <c r="FV114" s="387"/>
      <c r="FW114" s="387"/>
      <c r="FX114" s="387"/>
      <c r="FY114" s="387"/>
      <c r="FZ114" s="387"/>
      <c r="GA114" s="988"/>
      <c r="GB114" s="109"/>
      <c r="GC114" s="1036">
        <f t="shared" ref="GC114:GN123" si="114">SUMPRODUCT(--($D$6:$GA$6=GC$6),$D114:$GA114,$D$278:$GA$278)</f>
        <v>0</v>
      </c>
      <c r="GD114" s="387">
        <f t="shared" si="114"/>
        <v>0</v>
      </c>
      <c r="GE114" s="387">
        <f t="shared" si="114"/>
        <v>0</v>
      </c>
      <c r="GF114" s="387">
        <f t="shared" si="114"/>
        <v>0</v>
      </c>
      <c r="GG114" s="387">
        <f t="shared" si="114"/>
        <v>0</v>
      </c>
      <c r="GH114" s="387">
        <f t="shared" si="114"/>
        <v>0</v>
      </c>
      <c r="GI114" s="387">
        <f t="shared" si="114"/>
        <v>0</v>
      </c>
      <c r="GJ114" s="387">
        <f t="shared" si="114"/>
        <v>0</v>
      </c>
      <c r="GK114" s="387">
        <f t="shared" si="114"/>
        <v>0</v>
      </c>
      <c r="GL114" s="387">
        <f t="shared" si="114"/>
        <v>0</v>
      </c>
      <c r="GM114" s="387">
        <f t="shared" si="114"/>
        <v>0</v>
      </c>
      <c r="GN114" s="988">
        <f t="shared" si="114"/>
        <v>0</v>
      </c>
      <c r="GO114" s="1036">
        <f t="shared" ref="GO114:GZ123" si="115">SUMPRODUCT(--($DT$6:$GA$6=GO$6),$DT114:$GA114,$DT$278:$GA$278)</f>
        <v>0</v>
      </c>
      <c r="GP114" s="387">
        <f t="shared" si="115"/>
        <v>0</v>
      </c>
      <c r="GQ114" s="387">
        <f t="shared" si="115"/>
        <v>0</v>
      </c>
      <c r="GR114" s="387">
        <f t="shared" si="115"/>
        <v>0</v>
      </c>
      <c r="GS114" s="387">
        <f t="shared" si="115"/>
        <v>0</v>
      </c>
      <c r="GT114" s="387">
        <f t="shared" si="115"/>
        <v>0</v>
      </c>
      <c r="GU114" s="387">
        <f t="shared" si="115"/>
        <v>0</v>
      </c>
      <c r="GV114" s="387">
        <f t="shared" si="115"/>
        <v>0</v>
      </c>
      <c r="GW114" s="387">
        <f t="shared" si="115"/>
        <v>0</v>
      </c>
      <c r="GX114" s="387">
        <f t="shared" si="115"/>
        <v>0</v>
      </c>
      <c r="GY114" s="387">
        <f t="shared" si="115"/>
        <v>0</v>
      </c>
      <c r="GZ114" s="988">
        <f t="shared" si="115"/>
        <v>0</v>
      </c>
      <c r="HB114" s="387"/>
      <c r="HC114" s="387"/>
      <c r="HD114" s="387"/>
      <c r="HE114" s="387"/>
      <c r="HF114" s="387"/>
      <c r="HG114" s="387"/>
      <c r="HH114" s="387"/>
      <c r="HI114" s="387"/>
      <c r="HJ114" s="387"/>
      <c r="HK114" s="387"/>
      <c r="HL114" s="387"/>
      <c r="HM114" s="988"/>
    </row>
    <row r="115" spans="1:221">
      <c r="A115" s="326" t="s">
        <v>1594</v>
      </c>
      <c r="B115" s="326" t="s">
        <v>901</v>
      </c>
      <c r="C115" s="326" t="s">
        <v>1590</v>
      </c>
      <c r="D115" s="1036" t="s">
        <v>2154</v>
      </c>
      <c r="E115" s="387" t="s">
        <v>2154</v>
      </c>
      <c r="F115" s="387" t="s">
        <v>2154</v>
      </c>
      <c r="G115" s="387" t="s">
        <v>2154</v>
      </c>
      <c r="H115" s="387" t="s">
        <v>2154</v>
      </c>
      <c r="I115" s="387" t="s">
        <v>2154</v>
      </c>
      <c r="J115" s="387" t="s">
        <v>2154</v>
      </c>
      <c r="K115" s="387" t="s">
        <v>2154</v>
      </c>
      <c r="L115" s="387" t="s">
        <v>2154</v>
      </c>
      <c r="M115" s="387" t="s">
        <v>2154</v>
      </c>
      <c r="N115" s="387" t="s">
        <v>2154</v>
      </c>
      <c r="O115" s="988" t="s">
        <v>2154</v>
      </c>
      <c r="P115" s="387" t="s">
        <v>2154</v>
      </c>
      <c r="Q115" s="387" t="s">
        <v>2154</v>
      </c>
      <c r="R115" s="387" t="s">
        <v>2154</v>
      </c>
      <c r="S115" s="387" t="s">
        <v>2154</v>
      </c>
      <c r="T115" s="387" t="s">
        <v>2154</v>
      </c>
      <c r="U115" s="387" t="s">
        <v>2154</v>
      </c>
      <c r="V115" s="387" t="s">
        <v>2154</v>
      </c>
      <c r="W115" s="387" t="s">
        <v>2154</v>
      </c>
      <c r="X115" s="387" t="s">
        <v>2154</v>
      </c>
      <c r="Y115" s="387" t="s">
        <v>2154</v>
      </c>
      <c r="Z115" s="387" t="s">
        <v>2154</v>
      </c>
      <c r="AA115" s="988" t="s">
        <v>2154</v>
      </c>
      <c r="AB115" s="387"/>
      <c r="AC115" s="387"/>
      <c r="AD115" s="387"/>
      <c r="AE115" s="387"/>
      <c r="AF115" s="387"/>
      <c r="AG115" s="387"/>
      <c r="AH115" s="387"/>
      <c r="AI115" s="387"/>
      <c r="AJ115" s="387"/>
      <c r="AK115" s="387"/>
      <c r="AL115" s="387"/>
      <c r="AM115" s="988"/>
      <c r="AN115" s="387"/>
      <c r="AO115" s="387"/>
      <c r="AP115" s="387"/>
      <c r="AQ115" s="387"/>
      <c r="AR115" s="387"/>
      <c r="AS115" s="387"/>
      <c r="AT115" s="387"/>
      <c r="AU115" s="387"/>
      <c r="AV115" s="387"/>
      <c r="AW115" s="387"/>
      <c r="AX115" s="387"/>
      <c r="AY115" s="988"/>
      <c r="AZ115" s="387"/>
      <c r="BA115" s="387"/>
      <c r="BB115" s="387"/>
      <c r="BC115" s="387"/>
      <c r="BD115" s="387"/>
      <c r="BE115" s="387"/>
      <c r="BF115" s="387"/>
      <c r="BG115" s="387"/>
      <c r="BH115" s="387"/>
      <c r="BI115" s="387"/>
      <c r="BJ115" s="387"/>
      <c r="BK115" s="988"/>
      <c r="BL115" s="387"/>
      <c r="BM115" s="387"/>
      <c r="BN115" s="387"/>
      <c r="BO115" s="387"/>
      <c r="BP115" s="387"/>
      <c r="BQ115" s="387"/>
      <c r="BR115" s="387"/>
      <c r="BS115" s="387"/>
      <c r="BT115" s="387"/>
      <c r="BU115" s="387"/>
      <c r="BV115" s="387"/>
      <c r="BW115" s="988"/>
      <c r="BX115" s="387"/>
      <c r="BY115" s="387"/>
      <c r="BZ115" s="387"/>
      <c r="CA115" s="387"/>
      <c r="CB115" s="387"/>
      <c r="CC115" s="387"/>
      <c r="CD115" s="387"/>
      <c r="CE115" s="387"/>
      <c r="CF115" s="387"/>
      <c r="CG115" s="387"/>
      <c r="CH115" s="387"/>
      <c r="CI115" s="988"/>
      <c r="CJ115" s="387"/>
      <c r="CK115" s="387"/>
      <c r="CL115" s="387"/>
      <c r="CM115" s="387"/>
      <c r="CN115" s="387"/>
      <c r="CO115" s="387"/>
      <c r="CP115" s="387"/>
      <c r="CQ115" s="387"/>
      <c r="CR115" s="387"/>
      <c r="CS115" s="387"/>
      <c r="CT115" s="387"/>
      <c r="CU115" s="988"/>
      <c r="CV115" s="387"/>
      <c r="CW115" s="387"/>
      <c r="CX115" s="387"/>
      <c r="CY115" s="387"/>
      <c r="CZ115" s="387"/>
      <c r="DA115" s="387"/>
      <c r="DB115" s="387"/>
      <c r="DC115" s="387"/>
      <c r="DD115" s="387"/>
      <c r="DE115" s="387"/>
      <c r="DF115" s="387"/>
      <c r="DG115" s="988"/>
      <c r="DH115" s="387"/>
      <c r="DI115" s="387"/>
      <c r="DJ115" s="387"/>
      <c r="DK115" s="387"/>
      <c r="DL115" s="387"/>
      <c r="DM115" s="387"/>
      <c r="DN115" s="387"/>
      <c r="DO115" s="387"/>
      <c r="DP115" s="387"/>
      <c r="DQ115" s="387"/>
      <c r="DR115" s="387"/>
      <c r="DS115" s="988"/>
      <c r="DT115" s="387" t="s">
        <v>2154</v>
      </c>
      <c r="DU115" s="387" t="s">
        <v>2154</v>
      </c>
      <c r="DV115" s="387" t="s">
        <v>2154</v>
      </c>
      <c r="DW115" s="387" t="s">
        <v>2154</v>
      </c>
      <c r="DX115" s="387" t="s">
        <v>2154</v>
      </c>
      <c r="DY115" s="387" t="s">
        <v>2154</v>
      </c>
      <c r="DZ115" s="387" t="s">
        <v>2154</v>
      </c>
      <c r="EA115" s="387" t="s">
        <v>2154</v>
      </c>
      <c r="EB115" s="387" t="s">
        <v>2154</v>
      </c>
      <c r="EC115" s="387" t="s">
        <v>2154</v>
      </c>
      <c r="ED115" s="387" t="s">
        <v>2154</v>
      </c>
      <c r="EE115" s="988" t="s">
        <v>2154</v>
      </c>
      <c r="EF115" s="387"/>
      <c r="EG115" s="387"/>
      <c r="EH115" s="387"/>
      <c r="EI115" s="387"/>
      <c r="EJ115" s="387"/>
      <c r="EK115" s="387"/>
      <c r="EL115" s="387"/>
      <c r="EM115" s="387"/>
      <c r="EN115" s="387"/>
      <c r="EO115" s="387"/>
      <c r="EP115" s="387"/>
      <c r="EQ115" s="988"/>
      <c r="ER115" s="387"/>
      <c r="ES115" s="387"/>
      <c r="ET115" s="387"/>
      <c r="EU115" s="387"/>
      <c r="EV115" s="387"/>
      <c r="EW115" s="387"/>
      <c r="EX115" s="387"/>
      <c r="EY115" s="387"/>
      <c r="EZ115" s="387"/>
      <c r="FA115" s="387"/>
      <c r="FB115" s="387"/>
      <c r="FC115" s="988"/>
      <c r="FD115" s="387"/>
      <c r="FE115" s="387"/>
      <c r="FF115" s="387"/>
      <c r="FG115" s="387"/>
      <c r="FH115" s="387"/>
      <c r="FI115" s="387"/>
      <c r="FJ115" s="387"/>
      <c r="FK115" s="387"/>
      <c r="FL115" s="387"/>
      <c r="FM115" s="387"/>
      <c r="FN115" s="387"/>
      <c r="FO115" s="988"/>
      <c r="FP115" s="387"/>
      <c r="FQ115" s="387"/>
      <c r="FR115" s="387"/>
      <c r="FS115" s="387"/>
      <c r="FT115" s="387"/>
      <c r="FU115" s="387"/>
      <c r="FV115" s="387"/>
      <c r="FW115" s="387"/>
      <c r="FX115" s="387"/>
      <c r="FY115" s="387"/>
      <c r="FZ115" s="387"/>
      <c r="GA115" s="988"/>
      <c r="GB115" s="109"/>
      <c r="GC115" s="1036">
        <f t="shared" si="114"/>
        <v>0</v>
      </c>
      <c r="GD115" s="387">
        <f t="shared" si="114"/>
        <v>0</v>
      </c>
      <c r="GE115" s="387">
        <f t="shared" si="114"/>
        <v>0</v>
      </c>
      <c r="GF115" s="387">
        <f t="shared" si="114"/>
        <v>0</v>
      </c>
      <c r="GG115" s="387">
        <f t="shared" si="114"/>
        <v>0</v>
      </c>
      <c r="GH115" s="387">
        <f t="shared" si="114"/>
        <v>0</v>
      </c>
      <c r="GI115" s="387">
        <f t="shared" si="114"/>
        <v>0</v>
      </c>
      <c r="GJ115" s="387">
        <f t="shared" si="114"/>
        <v>0</v>
      </c>
      <c r="GK115" s="387">
        <f t="shared" si="114"/>
        <v>0</v>
      </c>
      <c r="GL115" s="387">
        <f t="shared" si="114"/>
        <v>0</v>
      </c>
      <c r="GM115" s="387">
        <f t="shared" si="114"/>
        <v>0</v>
      </c>
      <c r="GN115" s="988">
        <f t="shared" si="114"/>
        <v>0</v>
      </c>
      <c r="GO115" s="1036">
        <f t="shared" si="115"/>
        <v>0</v>
      </c>
      <c r="GP115" s="387">
        <f t="shared" si="115"/>
        <v>0</v>
      </c>
      <c r="GQ115" s="387">
        <f t="shared" si="115"/>
        <v>0</v>
      </c>
      <c r="GR115" s="387">
        <f t="shared" si="115"/>
        <v>0</v>
      </c>
      <c r="GS115" s="387">
        <f t="shared" si="115"/>
        <v>0</v>
      </c>
      <c r="GT115" s="387">
        <f t="shared" si="115"/>
        <v>0</v>
      </c>
      <c r="GU115" s="387">
        <f t="shared" si="115"/>
        <v>0</v>
      </c>
      <c r="GV115" s="387">
        <f t="shared" si="115"/>
        <v>0</v>
      </c>
      <c r="GW115" s="387">
        <f t="shared" si="115"/>
        <v>0</v>
      </c>
      <c r="GX115" s="387">
        <f t="shared" si="115"/>
        <v>0</v>
      </c>
      <c r="GY115" s="387">
        <f t="shared" si="115"/>
        <v>0</v>
      </c>
      <c r="GZ115" s="988">
        <f t="shared" si="115"/>
        <v>0</v>
      </c>
      <c r="HB115" s="387"/>
      <c r="HC115" s="387"/>
      <c r="HD115" s="387"/>
      <c r="HE115" s="387"/>
      <c r="HF115" s="387"/>
      <c r="HG115" s="387"/>
      <c r="HH115" s="387"/>
      <c r="HI115" s="387"/>
      <c r="HJ115" s="387"/>
      <c r="HK115" s="387"/>
      <c r="HL115" s="387"/>
      <c r="HM115" s="988"/>
    </row>
    <row r="116" spans="1:221">
      <c r="A116" s="326" t="s">
        <v>1594</v>
      </c>
      <c r="B116" s="326" t="s">
        <v>901</v>
      </c>
      <c r="C116" s="326" t="s">
        <v>1591</v>
      </c>
      <c r="D116" s="1036" t="s">
        <v>2154</v>
      </c>
      <c r="E116" s="387" t="s">
        <v>2154</v>
      </c>
      <c r="F116" s="387" t="s">
        <v>2154</v>
      </c>
      <c r="G116" s="387" t="s">
        <v>2154</v>
      </c>
      <c r="H116" s="387" t="s">
        <v>2154</v>
      </c>
      <c r="I116" s="387" t="s">
        <v>2154</v>
      </c>
      <c r="J116" s="387" t="s">
        <v>2154</v>
      </c>
      <c r="K116" s="387" t="s">
        <v>2154</v>
      </c>
      <c r="L116" s="387" t="s">
        <v>2154</v>
      </c>
      <c r="M116" s="387" t="s">
        <v>2154</v>
      </c>
      <c r="N116" s="387" t="s">
        <v>2154</v>
      </c>
      <c r="O116" s="988" t="s">
        <v>2154</v>
      </c>
      <c r="P116" s="387">
        <v>908</v>
      </c>
      <c r="Q116" s="387">
        <v>454</v>
      </c>
      <c r="R116" s="387">
        <v>-454</v>
      </c>
      <c r="S116" s="387">
        <v>454</v>
      </c>
      <c r="T116" s="387" t="s">
        <v>2154</v>
      </c>
      <c r="U116" s="387" t="s">
        <v>2154</v>
      </c>
      <c r="V116" s="387">
        <v>454</v>
      </c>
      <c r="W116" s="387">
        <v>454</v>
      </c>
      <c r="X116" s="387" t="s">
        <v>2154</v>
      </c>
      <c r="Y116" s="387">
        <v>908</v>
      </c>
      <c r="Z116" s="387">
        <v>794.5</v>
      </c>
      <c r="AA116" s="988">
        <v>908</v>
      </c>
      <c r="AB116" s="387"/>
      <c r="AC116" s="387"/>
      <c r="AD116" s="387"/>
      <c r="AE116" s="387"/>
      <c r="AF116" s="387"/>
      <c r="AG116" s="387"/>
      <c r="AH116" s="387"/>
      <c r="AI116" s="387"/>
      <c r="AJ116" s="387"/>
      <c r="AK116" s="387"/>
      <c r="AL116" s="387"/>
      <c r="AM116" s="988"/>
      <c r="AN116" s="387"/>
      <c r="AO116" s="387"/>
      <c r="AP116" s="387"/>
      <c r="AQ116" s="387"/>
      <c r="AR116" s="387"/>
      <c r="AS116" s="387"/>
      <c r="AT116" s="387"/>
      <c r="AU116" s="387"/>
      <c r="AV116" s="387"/>
      <c r="AW116" s="387"/>
      <c r="AX116" s="387"/>
      <c r="AY116" s="988"/>
      <c r="AZ116" s="387"/>
      <c r="BA116" s="387"/>
      <c r="BB116" s="387"/>
      <c r="BC116" s="387"/>
      <c r="BD116" s="387"/>
      <c r="BE116" s="387"/>
      <c r="BF116" s="387"/>
      <c r="BG116" s="387"/>
      <c r="BH116" s="387"/>
      <c r="BI116" s="387"/>
      <c r="BJ116" s="387"/>
      <c r="BK116" s="988"/>
      <c r="BL116" s="387"/>
      <c r="BM116" s="387"/>
      <c r="BN116" s="387"/>
      <c r="BO116" s="387"/>
      <c r="BP116" s="387"/>
      <c r="BQ116" s="387"/>
      <c r="BR116" s="387"/>
      <c r="BS116" s="387"/>
      <c r="BT116" s="387"/>
      <c r="BU116" s="387"/>
      <c r="BV116" s="387"/>
      <c r="BW116" s="988"/>
      <c r="BX116" s="387"/>
      <c r="BY116" s="387"/>
      <c r="BZ116" s="387"/>
      <c r="CA116" s="387"/>
      <c r="CB116" s="387"/>
      <c r="CC116" s="387"/>
      <c r="CD116" s="387"/>
      <c r="CE116" s="387"/>
      <c r="CF116" s="387"/>
      <c r="CG116" s="387"/>
      <c r="CH116" s="387"/>
      <c r="CI116" s="988"/>
      <c r="CJ116" s="387"/>
      <c r="CK116" s="387"/>
      <c r="CL116" s="387"/>
      <c r="CM116" s="387"/>
      <c r="CN116" s="387"/>
      <c r="CO116" s="387"/>
      <c r="CP116" s="387"/>
      <c r="CQ116" s="387"/>
      <c r="CR116" s="387"/>
      <c r="CS116" s="387"/>
      <c r="CT116" s="387"/>
      <c r="CU116" s="988"/>
      <c r="CV116" s="387"/>
      <c r="CW116" s="387"/>
      <c r="CX116" s="387"/>
      <c r="CY116" s="387"/>
      <c r="CZ116" s="387"/>
      <c r="DA116" s="387"/>
      <c r="DB116" s="387"/>
      <c r="DC116" s="387"/>
      <c r="DD116" s="387"/>
      <c r="DE116" s="387"/>
      <c r="DF116" s="387"/>
      <c r="DG116" s="988"/>
      <c r="DH116" s="387"/>
      <c r="DI116" s="387"/>
      <c r="DJ116" s="387"/>
      <c r="DK116" s="387"/>
      <c r="DL116" s="387"/>
      <c r="DM116" s="387"/>
      <c r="DN116" s="387"/>
      <c r="DO116" s="387"/>
      <c r="DP116" s="387"/>
      <c r="DQ116" s="387"/>
      <c r="DR116" s="387"/>
      <c r="DS116" s="988"/>
      <c r="DT116" s="387" t="s">
        <v>2154</v>
      </c>
      <c r="DU116" s="387" t="s">
        <v>2154</v>
      </c>
      <c r="DV116" s="387" t="s">
        <v>2154</v>
      </c>
      <c r="DW116" s="387" t="s">
        <v>2154</v>
      </c>
      <c r="DX116" s="387" t="s">
        <v>2154</v>
      </c>
      <c r="DY116" s="387" t="s">
        <v>2154</v>
      </c>
      <c r="DZ116" s="387" t="s">
        <v>2154</v>
      </c>
      <c r="EA116" s="387" t="s">
        <v>2154</v>
      </c>
      <c r="EB116" s="387" t="s">
        <v>2154</v>
      </c>
      <c r="EC116" s="387" t="s">
        <v>2154</v>
      </c>
      <c r="ED116" s="387" t="s">
        <v>2154</v>
      </c>
      <c r="EE116" s="988" t="s">
        <v>2154</v>
      </c>
      <c r="EF116" s="387"/>
      <c r="EG116" s="387"/>
      <c r="EH116" s="387"/>
      <c r="EI116" s="387"/>
      <c r="EJ116" s="387"/>
      <c r="EK116" s="387"/>
      <c r="EL116" s="387"/>
      <c r="EM116" s="387"/>
      <c r="EN116" s="387"/>
      <c r="EO116" s="387"/>
      <c r="EP116" s="387"/>
      <c r="EQ116" s="988"/>
      <c r="ER116" s="387"/>
      <c r="ES116" s="387"/>
      <c r="ET116" s="387"/>
      <c r="EU116" s="387"/>
      <c r="EV116" s="387"/>
      <c r="EW116" s="387"/>
      <c r="EX116" s="387"/>
      <c r="EY116" s="387"/>
      <c r="EZ116" s="387"/>
      <c r="FA116" s="387"/>
      <c r="FB116" s="387"/>
      <c r="FC116" s="988"/>
      <c r="FD116" s="387"/>
      <c r="FE116" s="387"/>
      <c r="FF116" s="387"/>
      <c r="FG116" s="387"/>
      <c r="FH116" s="387"/>
      <c r="FI116" s="387"/>
      <c r="FJ116" s="387"/>
      <c r="FK116" s="387"/>
      <c r="FL116" s="387"/>
      <c r="FM116" s="387"/>
      <c r="FN116" s="387"/>
      <c r="FO116" s="988"/>
      <c r="FP116" s="387"/>
      <c r="FQ116" s="387"/>
      <c r="FR116" s="387"/>
      <c r="FS116" s="387"/>
      <c r="FT116" s="387"/>
      <c r="FU116" s="387"/>
      <c r="FV116" s="387"/>
      <c r="FW116" s="387"/>
      <c r="FX116" s="387"/>
      <c r="FY116" s="387"/>
      <c r="FZ116" s="387"/>
      <c r="GA116" s="988"/>
      <c r="GB116" s="109"/>
      <c r="GC116" s="1036">
        <f t="shared" si="114"/>
        <v>908</v>
      </c>
      <c r="GD116" s="387">
        <f t="shared" si="114"/>
        <v>454</v>
      </c>
      <c r="GE116" s="387">
        <f t="shared" si="114"/>
        <v>-454</v>
      </c>
      <c r="GF116" s="387">
        <f t="shared" si="114"/>
        <v>454</v>
      </c>
      <c r="GG116" s="387">
        <f t="shared" si="114"/>
        <v>0</v>
      </c>
      <c r="GH116" s="387">
        <f t="shared" si="114"/>
        <v>0</v>
      </c>
      <c r="GI116" s="387">
        <f t="shared" si="114"/>
        <v>454</v>
      </c>
      <c r="GJ116" s="387">
        <f t="shared" si="114"/>
        <v>454</v>
      </c>
      <c r="GK116" s="387">
        <f t="shared" si="114"/>
        <v>0</v>
      </c>
      <c r="GL116" s="387">
        <f t="shared" si="114"/>
        <v>908</v>
      </c>
      <c r="GM116" s="387">
        <f t="shared" si="114"/>
        <v>794.5</v>
      </c>
      <c r="GN116" s="988">
        <f t="shared" si="114"/>
        <v>908</v>
      </c>
      <c r="GO116" s="1036">
        <f t="shared" si="115"/>
        <v>0</v>
      </c>
      <c r="GP116" s="387">
        <f t="shared" si="115"/>
        <v>0</v>
      </c>
      <c r="GQ116" s="387">
        <f t="shared" si="115"/>
        <v>0</v>
      </c>
      <c r="GR116" s="387">
        <f t="shared" si="115"/>
        <v>0</v>
      </c>
      <c r="GS116" s="387">
        <f t="shared" si="115"/>
        <v>0</v>
      </c>
      <c r="GT116" s="387">
        <f t="shared" si="115"/>
        <v>0</v>
      </c>
      <c r="GU116" s="387">
        <f t="shared" si="115"/>
        <v>0</v>
      </c>
      <c r="GV116" s="387">
        <f t="shared" si="115"/>
        <v>0</v>
      </c>
      <c r="GW116" s="387">
        <f t="shared" si="115"/>
        <v>0</v>
      </c>
      <c r="GX116" s="387">
        <f t="shared" si="115"/>
        <v>0</v>
      </c>
      <c r="GY116" s="387">
        <f t="shared" si="115"/>
        <v>0</v>
      </c>
      <c r="GZ116" s="988">
        <f t="shared" si="115"/>
        <v>0</v>
      </c>
      <c r="HB116" s="387"/>
      <c r="HC116" s="387"/>
      <c r="HD116" s="387"/>
      <c r="HE116" s="387"/>
      <c r="HF116" s="387"/>
      <c r="HG116" s="387"/>
      <c r="HH116" s="387"/>
      <c r="HI116" s="387"/>
      <c r="HJ116" s="387"/>
      <c r="HK116" s="387"/>
      <c r="HL116" s="387"/>
      <c r="HM116" s="988"/>
    </row>
    <row r="117" spans="1:221">
      <c r="A117" s="326" t="s">
        <v>1594</v>
      </c>
      <c r="B117" s="326" t="s">
        <v>901</v>
      </c>
      <c r="C117" s="326" t="s">
        <v>1592</v>
      </c>
      <c r="D117" s="1036" t="s">
        <v>2154</v>
      </c>
      <c r="E117" s="387" t="s">
        <v>2154</v>
      </c>
      <c r="F117" s="387" t="s">
        <v>2154</v>
      </c>
      <c r="G117" s="387" t="s">
        <v>2154</v>
      </c>
      <c r="H117" s="387" t="s">
        <v>2154</v>
      </c>
      <c r="I117" s="387" t="s">
        <v>2154</v>
      </c>
      <c r="J117" s="387" t="s">
        <v>2154</v>
      </c>
      <c r="K117" s="387" t="s">
        <v>2154</v>
      </c>
      <c r="L117" s="387" t="s">
        <v>2154</v>
      </c>
      <c r="M117" s="387" t="s">
        <v>2154</v>
      </c>
      <c r="N117" s="387" t="s">
        <v>2154</v>
      </c>
      <c r="O117" s="988" t="s">
        <v>2154</v>
      </c>
      <c r="P117" s="387" t="s">
        <v>2154</v>
      </c>
      <c r="Q117" s="387" t="s">
        <v>2154</v>
      </c>
      <c r="R117" s="387" t="s">
        <v>2154</v>
      </c>
      <c r="S117" s="387" t="s">
        <v>2154</v>
      </c>
      <c r="T117" s="387" t="s">
        <v>2154</v>
      </c>
      <c r="U117" s="387" t="s">
        <v>2154</v>
      </c>
      <c r="V117" s="387" t="s">
        <v>2154</v>
      </c>
      <c r="W117" s="387" t="s">
        <v>2154</v>
      </c>
      <c r="X117" s="387" t="s">
        <v>2154</v>
      </c>
      <c r="Y117" s="387" t="s">
        <v>2154</v>
      </c>
      <c r="Z117" s="387" t="s">
        <v>2154</v>
      </c>
      <c r="AA117" s="988" t="s">
        <v>2154</v>
      </c>
      <c r="AB117" s="387"/>
      <c r="AC117" s="387"/>
      <c r="AD117" s="387"/>
      <c r="AE117" s="387"/>
      <c r="AF117" s="387"/>
      <c r="AG117" s="387"/>
      <c r="AH117" s="387"/>
      <c r="AI117" s="387"/>
      <c r="AJ117" s="387"/>
      <c r="AK117" s="387"/>
      <c r="AL117" s="387"/>
      <c r="AM117" s="988"/>
      <c r="AN117" s="387"/>
      <c r="AO117" s="387"/>
      <c r="AP117" s="387"/>
      <c r="AQ117" s="387"/>
      <c r="AR117" s="387"/>
      <c r="AS117" s="387"/>
      <c r="AT117" s="387"/>
      <c r="AU117" s="387"/>
      <c r="AV117" s="387"/>
      <c r="AW117" s="387"/>
      <c r="AX117" s="387"/>
      <c r="AY117" s="988"/>
      <c r="AZ117" s="387"/>
      <c r="BA117" s="387"/>
      <c r="BB117" s="387"/>
      <c r="BC117" s="387"/>
      <c r="BD117" s="387"/>
      <c r="BE117" s="387"/>
      <c r="BF117" s="387"/>
      <c r="BG117" s="387"/>
      <c r="BH117" s="387"/>
      <c r="BI117" s="387"/>
      <c r="BJ117" s="387"/>
      <c r="BK117" s="988"/>
      <c r="BL117" s="387"/>
      <c r="BM117" s="387"/>
      <c r="BN117" s="387"/>
      <c r="BO117" s="387"/>
      <c r="BP117" s="387"/>
      <c r="BQ117" s="387"/>
      <c r="BR117" s="387"/>
      <c r="BS117" s="387"/>
      <c r="BT117" s="387"/>
      <c r="BU117" s="387"/>
      <c r="BV117" s="387"/>
      <c r="BW117" s="988"/>
      <c r="BX117" s="387"/>
      <c r="BY117" s="387"/>
      <c r="BZ117" s="387"/>
      <c r="CA117" s="387"/>
      <c r="CB117" s="387"/>
      <c r="CC117" s="387"/>
      <c r="CD117" s="387"/>
      <c r="CE117" s="387"/>
      <c r="CF117" s="387"/>
      <c r="CG117" s="387"/>
      <c r="CH117" s="387"/>
      <c r="CI117" s="988"/>
      <c r="CJ117" s="387"/>
      <c r="CK117" s="387"/>
      <c r="CL117" s="387"/>
      <c r="CM117" s="387"/>
      <c r="CN117" s="387"/>
      <c r="CO117" s="387"/>
      <c r="CP117" s="387"/>
      <c r="CQ117" s="387"/>
      <c r="CR117" s="387"/>
      <c r="CS117" s="387"/>
      <c r="CT117" s="387"/>
      <c r="CU117" s="988"/>
      <c r="CV117" s="387"/>
      <c r="CW117" s="387"/>
      <c r="CX117" s="387"/>
      <c r="CY117" s="387"/>
      <c r="CZ117" s="387"/>
      <c r="DA117" s="387"/>
      <c r="DB117" s="387"/>
      <c r="DC117" s="387"/>
      <c r="DD117" s="387"/>
      <c r="DE117" s="387"/>
      <c r="DF117" s="387"/>
      <c r="DG117" s="988"/>
      <c r="DH117" s="387"/>
      <c r="DI117" s="387"/>
      <c r="DJ117" s="387"/>
      <c r="DK117" s="387"/>
      <c r="DL117" s="387"/>
      <c r="DM117" s="387"/>
      <c r="DN117" s="387"/>
      <c r="DO117" s="387"/>
      <c r="DP117" s="387"/>
      <c r="DQ117" s="387"/>
      <c r="DR117" s="387"/>
      <c r="DS117" s="988"/>
      <c r="DT117" s="387" t="s">
        <v>2154</v>
      </c>
      <c r="DU117" s="387" t="s">
        <v>2154</v>
      </c>
      <c r="DV117" s="387" t="s">
        <v>2154</v>
      </c>
      <c r="DW117" s="387" t="s">
        <v>2154</v>
      </c>
      <c r="DX117" s="387" t="s">
        <v>2154</v>
      </c>
      <c r="DY117" s="387" t="s">
        <v>2154</v>
      </c>
      <c r="DZ117" s="387" t="s">
        <v>2154</v>
      </c>
      <c r="EA117" s="387" t="s">
        <v>2154</v>
      </c>
      <c r="EB117" s="387" t="s">
        <v>2154</v>
      </c>
      <c r="EC117" s="387" t="s">
        <v>2154</v>
      </c>
      <c r="ED117" s="387" t="s">
        <v>2154</v>
      </c>
      <c r="EE117" s="988" t="s">
        <v>2154</v>
      </c>
      <c r="EF117" s="387"/>
      <c r="EG117" s="387"/>
      <c r="EH117" s="387"/>
      <c r="EI117" s="387"/>
      <c r="EJ117" s="387"/>
      <c r="EK117" s="387"/>
      <c r="EL117" s="387"/>
      <c r="EM117" s="387"/>
      <c r="EN117" s="387"/>
      <c r="EO117" s="387"/>
      <c r="EP117" s="387"/>
      <c r="EQ117" s="988"/>
      <c r="ER117" s="387"/>
      <c r="ES117" s="387"/>
      <c r="ET117" s="387"/>
      <c r="EU117" s="387"/>
      <c r="EV117" s="387"/>
      <c r="EW117" s="387"/>
      <c r="EX117" s="387"/>
      <c r="EY117" s="387"/>
      <c r="EZ117" s="387"/>
      <c r="FA117" s="387"/>
      <c r="FB117" s="387"/>
      <c r="FC117" s="988"/>
      <c r="FD117" s="387"/>
      <c r="FE117" s="387"/>
      <c r="FF117" s="387"/>
      <c r="FG117" s="387"/>
      <c r="FH117" s="387"/>
      <c r="FI117" s="387"/>
      <c r="FJ117" s="387"/>
      <c r="FK117" s="387"/>
      <c r="FL117" s="387"/>
      <c r="FM117" s="387"/>
      <c r="FN117" s="387"/>
      <c r="FO117" s="988"/>
      <c r="FP117" s="387"/>
      <c r="FQ117" s="387"/>
      <c r="FR117" s="387"/>
      <c r="FS117" s="387"/>
      <c r="FT117" s="387"/>
      <c r="FU117" s="387"/>
      <c r="FV117" s="387"/>
      <c r="FW117" s="387"/>
      <c r="FX117" s="387"/>
      <c r="FY117" s="387"/>
      <c r="FZ117" s="387"/>
      <c r="GA117" s="988"/>
      <c r="GB117" s="109"/>
      <c r="GC117" s="1036">
        <f t="shared" si="114"/>
        <v>0</v>
      </c>
      <c r="GD117" s="387">
        <f t="shared" si="114"/>
        <v>0</v>
      </c>
      <c r="GE117" s="387">
        <f t="shared" si="114"/>
        <v>0</v>
      </c>
      <c r="GF117" s="387">
        <f t="shared" si="114"/>
        <v>0</v>
      </c>
      <c r="GG117" s="387">
        <f t="shared" si="114"/>
        <v>0</v>
      </c>
      <c r="GH117" s="387">
        <f t="shared" si="114"/>
        <v>0</v>
      </c>
      <c r="GI117" s="387">
        <f t="shared" si="114"/>
        <v>0</v>
      </c>
      <c r="GJ117" s="387">
        <f t="shared" si="114"/>
        <v>0</v>
      </c>
      <c r="GK117" s="387">
        <f t="shared" si="114"/>
        <v>0</v>
      </c>
      <c r="GL117" s="387">
        <f t="shared" si="114"/>
        <v>0</v>
      </c>
      <c r="GM117" s="387">
        <f t="shared" si="114"/>
        <v>0</v>
      </c>
      <c r="GN117" s="988">
        <f t="shared" si="114"/>
        <v>0</v>
      </c>
      <c r="GO117" s="1036">
        <f t="shared" si="115"/>
        <v>0</v>
      </c>
      <c r="GP117" s="387">
        <f t="shared" si="115"/>
        <v>0</v>
      </c>
      <c r="GQ117" s="387">
        <f t="shared" si="115"/>
        <v>0</v>
      </c>
      <c r="GR117" s="387">
        <f t="shared" si="115"/>
        <v>0</v>
      </c>
      <c r="GS117" s="387">
        <f t="shared" si="115"/>
        <v>0</v>
      </c>
      <c r="GT117" s="387">
        <f t="shared" si="115"/>
        <v>0</v>
      </c>
      <c r="GU117" s="387">
        <f t="shared" si="115"/>
        <v>0</v>
      </c>
      <c r="GV117" s="387">
        <f t="shared" si="115"/>
        <v>0</v>
      </c>
      <c r="GW117" s="387">
        <f t="shared" si="115"/>
        <v>0</v>
      </c>
      <c r="GX117" s="387">
        <f t="shared" si="115"/>
        <v>0</v>
      </c>
      <c r="GY117" s="387">
        <f t="shared" si="115"/>
        <v>0</v>
      </c>
      <c r="GZ117" s="988">
        <f t="shared" si="115"/>
        <v>0</v>
      </c>
      <c r="HB117" s="387"/>
      <c r="HC117" s="387"/>
      <c r="HD117" s="387"/>
      <c r="HE117" s="387"/>
      <c r="HF117" s="387"/>
      <c r="HG117" s="387"/>
      <c r="HH117" s="387"/>
      <c r="HI117" s="387"/>
      <c r="HJ117" s="387"/>
      <c r="HK117" s="387"/>
      <c r="HL117" s="387"/>
      <c r="HM117" s="988"/>
    </row>
    <row r="118" spans="1:221">
      <c r="A118" s="326" t="s">
        <v>1594</v>
      </c>
      <c r="B118" s="326" t="s">
        <v>901</v>
      </c>
      <c r="C118" s="326" t="s">
        <v>1593</v>
      </c>
      <c r="D118" s="1036" t="s">
        <v>2154</v>
      </c>
      <c r="E118" s="387" t="s">
        <v>2154</v>
      </c>
      <c r="F118" s="387" t="s">
        <v>2154</v>
      </c>
      <c r="G118" s="387" t="s">
        <v>2154</v>
      </c>
      <c r="H118" s="387" t="s">
        <v>2154</v>
      </c>
      <c r="I118" s="387" t="s">
        <v>2154</v>
      </c>
      <c r="J118" s="387" t="s">
        <v>2154</v>
      </c>
      <c r="K118" s="387" t="s">
        <v>2154</v>
      </c>
      <c r="L118" s="387" t="s">
        <v>2154</v>
      </c>
      <c r="M118" s="387" t="s">
        <v>2154</v>
      </c>
      <c r="N118" s="387" t="s">
        <v>2154</v>
      </c>
      <c r="O118" s="988" t="s">
        <v>2154</v>
      </c>
      <c r="P118" s="387">
        <v>228.10000000000002</v>
      </c>
      <c r="Q118" s="387">
        <v>108.68</v>
      </c>
      <c r="R118" s="387" t="s">
        <v>2154</v>
      </c>
      <c r="S118" s="387">
        <v>119.42</v>
      </c>
      <c r="T118" s="387">
        <v>119.82000000000001</v>
      </c>
      <c r="U118" s="387">
        <v>347.52000000000004</v>
      </c>
      <c r="V118" s="387">
        <v>-119.42</v>
      </c>
      <c r="W118" s="387">
        <v>145.9</v>
      </c>
      <c r="X118" s="387" t="s">
        <v>2154</v>
      </c>
      <c r="Y118" s="387">
        <v>275.15000000000003</v>
      </c>
      <c r="Z118" s="387">
        <v>139</v>
      </c>
      <c r="AA118" s="988">
        <v>16.019999999999996</v>
      </c>
      <c r="AB118" s="387"/>
      <c r="AC118" s="387"/>
      <c r="AD118" s="387"/>
      <c r="AE118" s="387"/>
      <c r="AF118" s="387"/>
      <c r="AG118" s="387"/>
      <c r="AH118" s="387"/>
      <c r="AI118" s="387"/>
      <c r="AJ118" s="387"/>
      <c r="AK118" s="387"/>
      <c r="AL118" s="387"/>
      <c r="AM118" s="988"/>
      <c r="AN118" s="387"/>
      <c r="AO118" s="387"/>
      <c r="AP118" s="387"/>
      <c r="AQ118" s="387"/>
      <c r="AR118" s="387"/>
      <c r="AS118" s="387"/>
      <c r="AT118" s="387"/>
      <c r="AU118" s="387"/>
      <c r="AV118" s="387"/>
      <c r="AW118" s="387"/>
      <c r="AX118" s="387"/>
      <c r="AY118" s="988"/>
      <c r="AZ118" s="387"/>
      <c r="BA118" s="387"/>
      <c r="BB118" s="387"/>
      <c r="BC118" s="387"/>
      <c r="BD118" s="387"/>
      <c r="BE118" s="387"/>
      <c r="BF118" s="387"/>
      <c r="BG118" s="387"/>
      <c r="BH118" s="387"/>
      <c r="BI118" s="387"/>
      <c r="BJ118" s="387"/>
      <c r="BK118" s="988"/>
      <c r="BL118" s="387"/>
      <c r="BM118" s="387"/>
      <c r="BN118" s="387"/>
      <c r="BO118" s="387"/>
      <c r="BP118" s="387"/>
      <c r="BQ118" s="387"/>
      <c r="BR118" s="387"/>
      <c r="BS118" s="387"/>
      <c r="BT118" s="387"/>
      <c r="BU118" s="387"/>
      <c r="BV118" s="387"/>
      <c r="BW118" s="988"/>
      <c r="BX118" s="387"/>
      <c r="BY118" s="387"/>
      <c r="BZ118" s="387"/>
      <c r="CA118" s="387"/>
      <c r="CB118" s="387"/>
      <c r="CC118" s="387"/>
      <c r="CD118" s="387"/>
      <c r="CE118" s="387"/>
      <c r="CF118" s="387"/>
      <c r="CG118" s="387"/>
      <c r="CH118" s="387"/>
      <c r="CI118" s="988"/>
      <c r="CJ118" s="387"/>
      <c r="CK118" s="387"/>
      <c r="CL118" s="387"/>
      <c r="CM118" s="387"/>
      <c r="CN118" s="387"/>
      <c r="CO118" s="387"/>
      <c r="CP118" s="387"/>
      <c r="CQ118" s="387"/>
      <c r="CR118" s="387"/>
      <c r="CS118" s="387"/>
      <c r="CT118" s="387"/>
      <c r="CU118" s="988"/>
      <c r="CV118" s="387"/>
      <c r="CW118" s="387"/>
      <c r="CX118" s="387"/>
      <c r="CY118" s="387"/>
      <c r="CZ118" s="387"/>
      <c r="DA118" s="387"/>
      <c r="DB118" s="387"/>
      <c r="DC118" s="387"/>
      <c r="DD118" s="387"/>
      <c r="DE118" s="387"/>
      <c r="DF118" s="387"/>
      <c r="DG118" s="988"/>
      <c r="DH118" s="387"/>
      <c r="DI118" s="387"/>
      <c r="DJ118" s="387"/>
      <c r="DK118" s="387"/>
      <c r="DL118" s="387"/>
      <c r="DM118" s="387"/>
      <c r="DN118" s="387"/>
      <c r="DO118" s="387"/>
      <c r="DP118" s="387"/>
      <c r="DQ118" s="387"/>
      <c r="DR118" s="387"/>
      <c r="DS118" s="988"/>
      <c r="DT118" s="387" t="s">
        <v>2154</v>
      </c>
      <c r="DU118" s="387" t="s">
        <v>2154</v>
      </c>
      <c r="DV118" s="387" t="s">
        <v>2154</v>
      </c>
      <c r="DW118" s="387" t="s">
        <v>2154</v>
      </c>
      <c r="DX118" s="387" t="s">
        <v>2154</v>
      </c>
      <c r="DY118" s="387" t="s">
        <v>2154</v>
      </c>
      <c r="DZ118" s="387" t="s">
        <v>2154</v>
      </c>
      <c r="EA118" s="387" t="s">
        <v>2154</v>
      </c>
      <c r="EB118" s="387" t="s">
        <v>2154</v>
      </c>
      <c r="EC118" s="387" t="s">
        <v>2154</v>
      </c>
      <c r="ED118" s="387" t="s">
        <v>2154</v>
      </c>
      <c r="EE118" s="988" t="s">
        <v>2154</v>
      </c>
      <c r="EF118" s="387"/>
      <c r="EG118" s="387"/>
      <c r="EH118" s="387"/>
      <c r="EI118" s="387"/>
      <c r="EJ118" s="387"/>
      <c r="EK118" s="387"/>
      <c r="EL118" s="387"/>
      <c r="EM118" s="387"/>
      <c r="EN118" s="387"/>
      <c r="EO118" s="387"/>
      <c r="EP118" s="387"/>
      <c r="EQ118" s="988"/>
      <c r="ER118" s="387"/>
      <c r="ES118" s="387"/>
      <c r="ET118" s="387"/>
      <c r="EU118" s="387"/>
      <c r="EV118" s="387"/>
      <c r="EW118" s="387"/>
      <c r="EX118" s="387"/>
      <c r="EY118" s="387"/>
      <c r="EZ118" s="387"/>
      <c r="FA118" s="387"/>
      <c r="FB118" s="387"/>
      <c r="FC118" s="988"/>
      <c r="FD118" s="387"/>
      <c r="FE118" s="387"/>
      <c r="FF118" s="387"/>
      <c r="FG118" s="387"/>
      <c r="FH118" s="387"/>
      <c r="FI118" s="387"/>
      <c r="FJ118" s="387"/>
      <c r="FK118" s="387"/>
      <c r="FL118" s="387"/>
      <c r="FM118" s="387"/>
      <c r="FN118" s="387"/>
      <c r="FO118" s="988"/>
      <c r="FP118" s="387"/>
      <c r="FQ118" s="387"/>
      <c r="FR118" s="387"/>
      <c r="FS118" s="387"/>
      <c r="FT118" s="387"/>
      <c r="FU118" s="387"/>
      <c r="FV118" s="387"/>
      <c r="FW118" s="387"/>
      <c r="FX118" s="387"/>
      <c r="FY118" s="387"/>
      <c r="FZ118" s="387"/>
      <c r="GA118" s="988"/>
      <c r="GB118" s="109"/>
      <c r="GC118" s="1036">
        <f t="shared" si="114"/>
        <v>228.10000000000002</v>
      </c>
      <c r="GD118" s="387">
        <f t="shared" si="114"/>
        <v>108.68</v>
      </c>
      <c r="GE118" s="387">
        <f t="shared" si="114"/>
        <v>0</v>
      </c>
      <c r="GF118" s="387">
        <f t="shared" si="114"/>
        <v>119.42</v>
      </c>
      <c r="GG118" s="387">
        <f t="shared" si="114"/>
        <v>119.82000000000001</v>
      </c>
      <c r="GH118" s="387">
        <f t="shared" si="114"/>
        <v>347.52000000000004</v>
      </c>
      <c r="GI118" s="387">
        <f t="shared" si="114"/>
        <v>-119.42</v>
      </c>
      <c r="GJ118" s="387">
        <f t="shared" si="114"/>
        <v>145.9</v>
      </c>
      <c r="GK118" s="387">
        <f t="shared" si="114"/>
        <v>0</v>
      </c>
      <c r="GL118" s="387">
        <f t="shared" si="114"/>
        <v>275.15000000000003</v>
      </c>
      <c r="GM118" s="387">
        <f t="shared" si="114"/>
        <v>139</v>
      </c>
      <c r="GN118" s="988">
        <f t="shared" si="114"/>
        <v>16.019999999999996</v>
      </c>
      <c r="GO118" s="1036">
        <f t="shared" si="115"/>
        <v>0</v>
      </c>
      <c r="GP118" s="387">
        <f t="shared" si="115"/>
        <v>0</v>
      </c>
      <c r="GQ118" s="387">
        <f t="shared" si="115"/>
        <v>0</v>
      </c>
      <c r="GR118" s="387">
        <f t="shared" si="115"/>
        <v>0</v>
      </c>
      <c r="GS118" s="387">
        <f t="shared" si="115"/>
        <v>0</v>
      </c>
      <c r="GT118" s="387">
        <f t="shared" si="115"/>
        <v>0</v>
      </c>
      <c r="GU118" s="387">
        <f t="shared" si="115"/>
        <v>0</v>
      </c>
      <c r="GV118" s="387">
        <f t="shared" si="115"/>
        <v>0</v>
      </c>
      <c r="GW118" s="387">
        <f t="shared" si="115"/>
        <v>0</v>
      </c>
      <c r="GX118" s="387">
        <f t="shared" si="115"/>
        <v>0</v>
      </c>
      <c r="GY118" s="387">
        <f t="shared" si="115"/>
        <v>0</v>
      </c>
      <c r="GZ118" s="988">
        <f t="shared" si="115"/>
        <v>0</v>
      </c>
      <c r="HB118" s="387"/>
      <c r="HC118" s="387"/>
      <c r="HD118" s="387"/>
      <c r="HE118" s="387"/>
      <c r="HF118" s="387"/>
      <c r="HG118" s="387"/>
      <c r="HH118" s="387"/>
      <c r="HI118" s="387"/>
      <c r="HJ118" s="387"/>
      <c r="HK118" s="387"/>
      <c r="HL118" s="387"/>
      <c r="HM118" s="988"/>
    </row>
    <row r="119" spans="1:221">
      <c r="A119" s="326" t="s">
        <v>1599</v>
      </c>
      <c r="B119" s="326" t="s">
        <v>901</v>
      </c>
      <c r="C119" s="326" t="s">
        <v>2151</v>
      </c>
      <c r="D119" s="1036" t="s">
        <v>2154</v>
      </c>
      <c r="E119" s="387" t="s">
        <v>2154</v>
      </c>
      <c r="F119" s="387" t="s">
        <v>2154</v>
      </c>
      <c r="G119" s="387" t="s">
        <v>2154</v>
      </c>
      <c r="H119" s="387" t="s">
        <v>2154</v>
      </c>
      <c r="I119" s="387" t="s">
        <v>2154</v>
      </c>
      <c r="J119" s="387" t="s">
        <v>2154</v>
      </c>
      <c r="K119" s="387" t="s">
        <v>2154</v>
      </c>
      <c r="L119" s="387" t="s">
        <v>2154</v>
      </c>
      <c r="M119" s="387" t="s">
        <v>2154</v>
      </c>
      <c r="N119" s="387" t="s">
        <v>2154</v>
      </c>
      <c r="O119" s="988" t="s">
        <v>2154</v>
      </c>
      <c r="P119" s="387" t="s">
        <v>2154</v>
      </c>
      <c r="Q119" s="387" t="s">
        <v>2154</v>
      </c>
      <c r="R119" s="387" t="s">
        <v>2154</v>
      </c>
      <c r="S119" s="387" t="s">
        <v>2154</v>
      </c>
      <c r="T119" s="387" t="s">
        <v>2154</v>
      </c>
      <c r="U119" s="387" t="s">
        <v>2154</v>
      </c>
      <c r="V119" s="387" t="s">
        <v>2154</v>
      </c>
      <c r="W119" s="387" t="s">
        <v>2154</v>
      </c>
      <c r="X119" s="387" t="s">
        <v>2154</v>
      </c>
      <c r="Y119" s="387" t="s">
        <v>2154</v>
      </c>
      <c r="Z119" s="387" t="s">
        <v>2154</v>
      </c>
      <c r="AA119" s="988" t="s">
        <v>2154</v>
      </c>
      <c r="AB119" s="387"/>
      <c r="AC119" s="387"/>
      <c r="AD119" s="387"/>
      <c r="AE119" s="387"/>
      <c r="AF119" s="387"/>
      <c r="AG119" s="387"/>
      <c r="AH119" s="387"/>
      <c r="AI119" s="387"/>
      <c r="AJ119" s="387"/>
      <c r="AK119" s="387"/>
      <c r="AL119" s="387"/>
      <c r="AM119" s="988"/>
      <c r="AN119" s="387"/>
      <c r="AO119" s="387"/>
      <c r="AP119" s="387"/>
      <c r="AQ119" s="387"/>
      <c r="AR119" s="387"/>
      <c r="AS119" s="387"/>
      <c r="AT119" s="387"/>
      <c r="AU119" s="387"/>
      <c r="AV119" s="387"/>
      <c r="AW119" s="387"/>
      <c r="AX119" s="387"/>
      <c r="AY119" s="988"/>
      <c r="AZ119" s="387"/>
      <c r="BA119" s="387"/>
      <c r="BB119" s="387"/>
      <c r="BC119" s="387"/>
      <c r="BD119" s="387"/>
      <c r="BE119" s="387"/>
      <c r="BF119" s="387"/>
      <c r="BG119" s="387"/>
      <c r="BH119" s="387"/>
      <c r="BI119" s="387"/>
      <c r="BJ119" s="387"/>
      <c r="BK119" s="988"/>
      <c r="BL119" s="387"/>
      <c r="BM119" s="387"/>
      <c r="BN119" s="387"/>
      <c r="BO119" s="387"/>
      <c r="BP119" s="387"/>
      <c r="BQ119" s="387"/>
      <c r="BR119" s="387"/>
      <c r="BS119" s="387"/>
      <c r="BT119" s="387"/>
      <c r="BU119" s="387"/>
      <c r="BV119" s="387"/>
      <c r="BW119" s="988"/>
      <c r="BX119" s="387"/>
      <c r="BY119" s="387"/>
      <c r="BZ119" s="387"/>
      <c r="CA119" s="387"/>
      <c r="CB119" s="387"/>
      <c r="CC119" s="387"/>
      <c r="CD119" s="387"/>
      <c r="CE119" s="387"/>
      <c r="CF119" s="387"/>
      <c r="CG119" s="387"/>
      <c r="CH119" s="387"/>
      <c r="CI119" s="988"/>
      <c r="CJ119" s="387"/>
      <c r="CK119" s="387"/>
      <c r="CL119" s="387"/>
      <c r="CM119" s="387"/>
      <c r="CN119" s="387"/>
      <c r="CO119" s="387"/>
      <c r="CP119" s="387"/>
      <c r="CQ119" s="387"/>
      <c r="CR119" s="387"/>
      <c r="CS119" s="387"/>
      <c r="CT119" s="387"/>
      <c r="CU119" s="988"/>
      <c r="CV119" s="387"/>
      <c r="CW119" s="387"/>
      <c r="CX119" s="387"/>
      <c r="CY119" s="387"/>
      <c r="CZ119" s="387"/>
      <c r="DA119" s="387"/>
      <c r="DB119" s="387"/>
      <c r="DC119" s="387"/>
      <c r="DD119" s="387"/>
      <c r="DE119" s="387"/>
      <c r="DF119" s="387"/>
      <c r="DG119" s="988"/>
      <c r="DH119" s="387"/>
      <c r="DI119" s="387"/>
      <c r="DJ119" s="387"/>
      <c r="DK119" s="387"/>
      <c r="DL119" s="387"/>
      <c r="DM119" s="387"/>
      <c r="DN119" s="387"/>
      <c r="DO119" s="387"/>
      <c r="DP119" s="387"/>
      <c r="DQ119" s="387"/>
      <c r="DR119" s="387"/>
      <c r="DS119" s="988"/>
      <c r="DT119" s="387">
        <v>127</v>
      </c>
      <c r="DU119" s="387">
        <v>121</v>
      </c>
      <c r="DV119" s="387">
        <v>108</v>
      </c>
      <c r="DW119" s="387">
        <v>98</v>
      </c>
      <c r="DX119" s="387">
        <v>84</v>
      </c>
      <c r="DY119" s="387">
        <v>92</v>
      </c>
      <c r="DZ119" s="387">
        <v>73</v>
      </c>
      <c r="EA119" s="387">
        <v>93</v>
      </c>
      <c r="EB119" s="387">
        <v>84</v>
      </c>
      <c r="EC119" s="387">
        <v>85</v>
      </c>
      <c r="ED119" s="387">
        <v>88</v>
      </c>
      <c r="EE119" s="988">
        <v>80</v>
      </c>
      <c r="EF119" s="387"/>
      <c r="EG119" s="387"/>
      <c r="EH119" s="387"/>
      <c r="EI119" s="387"/>
      <c r="EJ119" s="387"/>
      <c r="EK119" s="387"/>
      <c r="EL119" s="387"/>
      <c r="EM119" s="387"/>
      <c r="EN119" s="387"/>
      <c r="EO119" s="387"/>
      <c r="EP119" s="387"/>
      <c r="EQ119" s="988"/>
      <c r="ER119" s="387"/>
      <c r="ES119" s="387"/>
      <c r="ET119" s="387"/>
      <c r="EU119" s="387"/>
      <c r="EV119" s="387"/>
      <c r="EW119" s="387"/>
      <c r="EX119" s="387"/>
      <c r="EY119" s="387"/>
      <c r="EZ119" s="387"/>
      <c r="FA119" s="387"/>
      <c r="FB119" s="387"/>
      <c r="FC119" s="988"/>
      <c r="FD119" s="387"/>
      <c r="FE119" s="387"/>
      <c r="FF119" s="387"/>
      <c r="FG119" s="387"/>
      <c r="FH119" s="387"/>
      <c r="FI119" s="387"/>
      <c r="FJ119" s="387"/>
      <c r="FK119" s="387"/>
      <c r="FL119" s="387"/>
      <c r="FM119" s="387"/>
      <c r="FN119" s="387"/>
      <c r="FO119" s="988"/>
      <c r="FP119" s="387"/>
      <c r="FQ119" s="387"/>
      <c r="FR119" s="387"/>
      <c r="FS119" s="387"/>
      <c r="FT119" s="387"/>
      <c r="FU119" s="387"/>
      <c r="FV119" s="387"/>
      <c r="FW119" s="387"/>
      <c r="FX119" s="387"/>
      <c r="FY119" s="387"/>
      <c r="FZ119" s="387"/>
      <c r="GA119" s="988"/>
      <c r="GB119" s="109"/>
      <c r="GC119" s="1435">
        <f t="shared" si="114"/>
        <v>127</v>
      </c>
      <c r="GD119" s="387">
        <f t="shared" si="114"/>
        <v>121</v>
      </c>
      <c r="GE119" s="387">
        <f t="shared" si="114"/>
        <v>108</v>
      </c>
      <c r="GF119" s="387">
        <f t="shared" si="114"/>
        <v>98</v>
      </c>
      <c r="GG119" s="387">
        <f t="shared" si="114"/>
        <v>84</v>
      </c>
      <c r="GH119" s="387">
        <f t="shared" si="114"/>
        <v>92</v>
      </c>
      <c r="GI119" s="387">
        <f t="shared" si="114"/>
        <v>73</v>
      </c>
      <c r="GJ119" s="387">
        <f t="shared" si="114"/>
        <v>93</v>
      </c>
      <c r="GK119" s="387">
        <f t="shared" si="114"/>
        <v>84</v>
      </c>
      <c r="GL119" s="387">
        <f t="shared" si="114"/>
        <v>85</v>
      </c>
      <c r="GM119" s="387">
        <f t="shared" si="114"/>
        <v>88</v>
      </c>
      <c r="GN119" s="988">
        <f t="shared" si="114"/>
        <v>80</v>
      </c>
      <c r="GO119" s="1036">
        <f t="shared" si="115"/>
        <v>127</v>
      </c>
      <c r="GP119" s="387">
        <f t="shared" si="115"/>
        <v>121</v>
      </c>
      <c r="GQ119" s="387">
        <f t="shared" si="115"/>
        <v>108</v>
      </c>
      <c r="GR119" s="387">
        <f t="shared" si="115"/>
        <v>98</v>
      </c>
      <c r="GS119" s="387">
        <f t="shared" si="115"/>
        <v>84</v>
      </c>
      <c r="GT119" s="387">
        <f t="shared" si="115"/>
        <v>92</v>
      </c>
      <c r="GU119" s="387">
        <f t="shared" si="115"/>
        <v>73</v>
      </c>
      <c r="GV119" s="387">
        <f t="shared" si="115"/>
        <v>93</v>
      </c>
      <c r="GW119" s="387">
        <f t="shared" si="115"/>
        <v>84</v>
      </c>
      <c r="GX119" s="387">
        <f t="shared" si="115"/>
        <v>85</v>
      </c>
      <c r="GY119" s="387">
        <f t="shared" si="115"/>
        <v>88</v>
      </c>
      <c r="GZ119" s="988">
        <f t="shared" si="115"/>
        <v>80</v>
      </c>
      <c r="HB119" s="387"/>
      <c r="HC119" s="387"/>
      <c r="HD119" s="387"/>
      <c r="HE119" s="387"/>
      <c r="HF119" s="387"/>
      <c r="HG119" s="387"/>
      <c r="HH119" s="387"/>
      <c r="HI119" s="387"/>
      <c r="HJ119" s="387"/>
      <c r="HK119" s="387"/>
      <c r="HL119" s="387"/>
      <c r="HM119" s="988"/>
    </row>
    <row r="120" spans="1:221">
      <c r="A120" s="326" t="s">
        <v>1599</v>
      </c>
      <c r="B120" s="326" t="s">
        <v>901</v>
      </c>
      <c r="C120" s="326" t="s">
        <v>157</v>
      </c>
      <c r="D120" s="1036" t="s">
        <v>2154</v>
      </c>
      <c r="E120" s="387" t="s">
        <v>2154</v>
      </c>
      <c r="F120" s="387" t="s">
        <v>2154</v>
      </c>
      <c r="G120" s="387" t="s">
        <v>2154</v>
      </c>
      <c r="H120" s="387" t="s">
        <v>2154</v>
      </c>
      <c r="I120" s="387" t="s">
        <v>2154</v>
      </c>
      <c r="J120" s="387" t="s">
        <v>2154</v>
      </c>
      <c r="K120" s="387" t="s">
        <v>2154</v>
      </c>
      <c r="L120" s="387" t="s">
        <v>2154</v>
      </c>
      <c r="M120" s="387" t="s">
        <v>2154</v>
      </c>
      <c r="N120" s="387" t="s">
        <v>2154</v>
      </c>
      <c r="O120" s="988" t="s">
        <v>2154</v>
      </c>
      <c r="P120" s="387" t="s">
        <v>2154</v>
      </c>
      <c r="Q120" s="387" t="s">
        <v>2154</v>
      </c>
      <c r="R120" s="387" t="s">
        <v>2154</v>
      </c>
      <c r="S120" s="387" t="s">
        <v>2154</v>
      </c>
      <c r="T120" s="387" t="s">
        <v>2154</v>
      </c>
      <c r="U120" s="387" t="s">
        <v>2154</v>
      </c>
      <c r="V120" s="387" t="s">
        <v>2154</v>
      </c>
      <c r="W120" s="387" t="s">
        <v>2154</v>
      </c>
      <c r="X120" s="387" t="s">
        <v>2154</v>
      </c>
      <c r="Y120" s="387" t="s">
        <v>2154</v>
      </c>
      <c r="Z120" s="387" t="s">
        <v>2154</v>
      </c>
      <c r="AA120" s="988" t="s">
        <v>2154</v>
      </c>
      <c r="AB120" s="387"/>
      <c r="AC120" s="387"/>
      <c r="AD120" s="387"/>
      <c r="AE120" s="387"/>
      <c r="AF120" s="387"/>
      <c r="AG120" s="387"/>
      <c r="AH120" s="387"/>
      <c r="AI120" s="387"/>
      <c r="AJ120" s="387"/>
      <c r="AK120" s="387"/>
      <c r="AL120" s="387"/>
      <c r="AM120" s="988"/>
      <c r="AN120" s="387"/>
      <c r="AO120" s="387"/>
      <c r="AP120" s="387"/>
      <c r="AQ120" s="387"/>
      <c r="AR120" s="387"/>
      <c r="AS120" s="387"/>
      <c r="AT120" s="387"/>
      <c r="AU120" s="387"/>
      <c r="AV120" s="387"/>
      <c r="AW120" s="387"/>
      <c r="AX120" s="387"/>
      <c r="AY120" s="988"/>
      <c r="AZ120" s="387"/>
      <c r="BA120" s="387"/>
      <c r="BB120" s="387"/>
      <c r="BC120" s="387"/>
      <c r="BD120" s="387"/>
      <c r="BE120" s="387"/>
      <c r="BF120" s="387"/>
      <c r="BG120" s="387"/>
      <c r="BH120" s="387"/>
      <c r="BI120" s="387"/>
      <c r="BJ120" s="387"/>
      <c r="BK120" s="988"/>
      <c r="BL120" s="387"/>
      <c r="BM120" s="387"/>
      <c r="BN120" s="387"/>
      <c r="BO120" s="387"/>
      <c r="BP120" s="387"/>
      <c r="BQ120" s="387"/>
      <c r="BR120" s="387"/>
      <c r="BS120" s="387"/>
      <c r="BT120" s="387"/>
      <c r="BU120" s="387"/>
      <c r="BV120" s="387"/>
      <c r="BW120" s="988"/>
      <c r="BX120" s="387"/>
      <c r="BY120" s="387"/>
      <c r="BZ120" s="387"/>
      <c r="CA120" s="387"/>
      <c r="CB120" s="387"/>
      <c r="CC120" s="387"/>
      <c r="CD120" s="387"/>
      <c r="CE120" s="387"/>
      <c r="CF120" s="387"/>
      <c r="CG120" s="387"/>
      <c r="CH120" s="387"/>
      <c r="CI120" s="988"/>
      <c r="CJ120" s="387"/>
      <c r="CK120" s="387"/>
      <c r="CL120" s="387"/>
      <c r="CM120" s="387"/>
      <c r="CN120" s="387"/>
      <c r="CO120" s="387"/>
      <c r="CP120" s="387"/>
      <c r="CQ120" s="387"/>
      <c r="CR120" s="387"/>
      <c r="CS120" s="387"/>
      <c r="CT120" s="387"/>
      <c r="CU120" s="988"/>
      <c r="CV120" s="387"/>
      <c r="CW120" s="387"/>
      <c r="CX120" s="387"/>
      <c r="CY120" s="387"/>
      <c r="CZ120" s="387"/>
      <c r="DA120" s="387"/>
      <c r="DB120" s="387"/>
      <c r="DC120" s="387"/>
      <c r="DD120" s="387"/>
      <c r="DE120" s="387"/>
      <c r="DF120" s="387"/>
      <c r="DG120" s="988"/>
      <c r="DH120" s="387"/>
      <c r="DI120" s="387"/>
      <c r="DJ120" s="387"/>
      <c r="DK120" s="387"/>
      <c r="DL120" s="387"/>
      <c r="DM120" s="387"/>
      <c r="DN120" s="387"/>
      <c r="DO120" s="387"/>
      <c r="DP120" s="387"/>
      <c r="DQ120" s="387"/>
      <c r="DR120" s="387"/>
      <c r="DS120" s="988"/>
      <c r="DT120" s="387">
        <v>2083.33</v>
      </c>
      <c r="DU120" s="387">
        <v>2083.33</v>
      </c>
      <c r="DV120" s="387">
        <v>2083.33</v>
      </c>
      <c r="DW120" s="387">
        <v>2083.33</v>
      </c>
      <c r="DX120" s="387">
        <v>2083.33</v>
      </c>
      <c r="DY120" s="387">
        <v>2083.33</v>
      </c>
      <c r="DZ120" s="387">
        <v>2083.33</v>
      </c>
      <c r="EA120" s="387">
        <v>2083.33</v>
      </c>
      <c r="EB120" s="387">
        <v>2083.33</v>
      </c>
      <c r="EC120" s="387">
        <v>2083.33</v>
      </c>
      <c r="ED120" s="387">
        <v>2083.33</v>
      </c>
      <c r="EE120" s="988">
        <v>2083.33</v>
      </c>
      <c r="EF120" s="387"/>
      <c r="EG120" s="387"/>
      <c r="EH120" s="387"/>
      <c r="EI120" s="387"/>
      <c r="EJ120" s="387"/>
      <c r="EK120" s="387"/>
      <c r="EL120" s="387"/>
      <c r="EM120" s="387"/>
      <c r="EN120" s="387"/>
      <c r="EO120" s="387"/>
      <c r="EP120" s="387"/>
      <c r="EQ120" s="988"/>
      <c r="ER120" s="387"/>
      <c r="ES120" s="387"/>
      <c r="ET120" s="387"/>
      <c r="EU120" s="387"/>
      <c r="EV120" s="387"/>
      <c r="EW120" s="387"/>
      <c r="EX120" s="387"/>
      <c r="EY120" s="387"/>
      <c r="EZ120" s="387"/>
      <c r="FA120" s="387"/>
      <c r="FB120" s="387"/>
      <c r="FC120" s="988"/>
      <c r="FD120" s="387"/>
      <c r="FE120" s="387"/>
      <c r="FF120" s="387"/>
      <c r="FG120" s="387"/>
      <c r="FH120" s="387"/>
      <c r="FI120" s="387"/>
      <c r="FJ120" s="387"/>
      <c r="FK120" s="387"/>
      <c r="FL120" s="387"/>
      <c r="FM120" s="387"/>
      <c r="FN120" s="387"/>
      <c r="FO120" s="988"/>
      <c r="FP120" s="387"/>
      <c r="FQ120" s="387"/>
      <c r="FR120" s="387"/>
      <c r="FS120" s="387"/>
      <c r="FT120" s="387"/>
      <c r="FU120" s="387"/>
      <c r="FV120" s="387"/>
      <c r="FW120" s="387"/>
      <c r="FX120" s="387"/>
      <c r="FY120" s="387"/>
      <c r="FZ120" s="387"/>
      <c r="GA120" s="988"/>
      <c r="GB120" s="109"/>
      <c r="GC120" s="1435">
        <f t="shared" si="114"/>
        <v>2083.33</v>
      </c>
      <c r="GD120" s="387">
        <f t="shared" si="114"/>
        <v>2083.33</v>
      </c>
      <c r="GE120" s="387">
        <f t="shared" si="114"/>
        <v>2083.33</v>
      </c>
      <c r="GF120" s="387">
        <f t="shared" si="114"/>
        <v>2083.33</v>
      </c>
      <c r="GG120" s="387">
        <f t="shared" si="114"/>
        <v>2083.33</v>
      </c>
      <c r="GH120" s="387">
        <f t="shared" si="114"/>
        <v>2083.33</v>
      </c>
      <c r="GI120" s="387">
        <f t="shared" si="114"/>
        <v>2083.33</v>
      </c>
      <c r="GJ120" s="387">
        <f t="shared" si="114"/>
        <v>2083.33</v>
      </c>
      <c r="GK120" s="387">
        <f t="shared" si="114"/>
        <v>2083.33</v>
      </c>
      <c r="GL120" s="387">
        <f t="shared" si="114"/>
        <v>2083.33</v>
      </c>
      <c r="GM120" s="387">
        <f t="shared" si="114"/>
        <v>2083.33</v>
      </c>
      <c r="GN120" s="988">
        <f t="shared" si="114"/>
        <v>2083.33</v>
      </c>
      <c r="GO120" s="1036">
        <f t="shared" si="115"/>
        <v>2083.33</v>
      </c>
      <c r="GP120" s="387">
        <f t="shared" si="115"/>
        <v>2083.33</v>
      </c>
      <c r="GQ120" s="387">
        <f t="shared" si="115"/>
        <v>2083.33</v>
      </c>
      <c r="GR120" s="387">
        <f t="shared" si="115"/>
        <v>2083.33</v>
      </c>
      <c r="GS120" s="387">
        <f t="shared" si="115"/>
        <v>2083.33</v>
      </c>
      <c r="GT120" s="387">
        <f t="shared" si="115"/>
        <v>2083.33</v>
      </c>
      <c r="GU120" s="387">
        <f t="shared" si="115"/>
        <v>2083.33</v>
      </c>
      <c r="GV120" s="387">
        <f t="shared" si="115"/>
        <v>2083.33</v>
      </c>
      <c r="GW120" s="387">
        <f t="shared" si="115"/>
        <v>2083.33</v>
      </c>
      <c r="GX120" s="387">
        <f t="shared" si="115"/>
        <v>2083.33</v>
      </c>
      <c r="GY120" s="387">
        <f t="shared" si="115"/>
        <v>2083.33</v>
      </c>
      <c r="GZ120" s="988">
        <f t="shared" si="115"/>
        <v>2083.33</v>
      </c>
      <c r="HB120" s="387"/>
      <c r="HC120" s="387"/>
      <c r="HD120" s="387"/>
      <c r="HE120" s="387"/>
      <c r="HF120" s="387"/>
      <c r="HG120" s="387"/>
      <c r="HH120" s="387"/>
      <c r="HI120" s="387"/>
      <c r="HJ120" s="387"/>
      <c r="HK120" s="387"/>
      <c r="HL120" s="387"/>
      <c r="HM120" s="988"/>
    </row>
    <row r="121" spans="1:221">
      <c r="A121" s="326" t="s">
        <v>1599</v>
      </c>
      <c r="B121" s="326" t="s">
        <v>1578</v>
      </c>
      <c r="C121" s="326" t="s">
        <v>2151</v>
      </c>
      <c r="D121" s="1036" t="s">
        <v>2154</v>
      </c>
      <c r="E121" s="387" t="s">
        <v>2154</v>
      </c>
      <c r="F121" s="387" t="s">
        <v>2154</v>
      </c>
      <c r="G121" s="387" t="s">
        <v>2154</v>
      </c>
      <c r="H121" s="387" t="s">
        <v>2154</v>
      </c>
      <c r="I121" s="387" t="s">
        <v>2154</v>
      </c>
      <c r="J121" s="387" t="s">
        <v>2154</v>
      </c>
      <c r="K121" s="387" t="s">
        <v>2154</v>
      </c>
      <c r="L121" s="387" t="s">
        <v>2154</v>
      </c>
      <c r="M121" s="387" t="s">
        <v>2154</v>
      </c>
      <c r="N121" s="387" t="s">
        <v>2154</v>
      </c>
      <c r="O121" s="988" t="s">
        <v>2154</v>
      </c>
      <c r="P121" s="387" t="s">
        <v>2154</v>
      </c>
      <c r="Q121" s="387" t="s">
        <v>2154</v>
      </c>
      <c r="R121" s="387" t="s">
        <v>2154</v>
      </c>
      <c r="S121" s="387" t="s">
        <v>2154</v>
      </c>
      <c r="T121" s="387" t="s">
        <v>2154</v>
      </c>
      <c r="U121" s="387" t="s">
        <v>2154</v>
      </c>
      <c r="V121" s="387" t="s">
        <v>2154</v>
      </c>
      <c r="W121" s="387" t="s">
        <v>2154</v>
      </c>
      <c r="X121" s="387" t="s">
        <v>2154</v>
      </c>
      <c r="Y121" s="387" t="s">
        <v>2154</v>
      </c>
      <c r="Z121" s="387" t="s">
        <v>2154</v>
      </c>
      <c r="AA121" s="988" t="s">
        <v>2154</v>
      </c>
      <c r="AB121" s="387"/>
      <c r="AC121" s="387"/>
      <c r="AD121" s="387"/>
      <c r="AE121" s="387"/>
      <c r="AF121" s="387"/>
      <c r="AG121" s="387"/>
      <c r="AH121" s="387"/>
      <c r="AI121" s="387"/>
      <c r="AJ121" s="387"/>
      <c r="AK121" s="387"/>
      <c r="AL121" s="387"/>
      <c r="AM121" s="988"/>
      <c r="AN121" s="387"/>
      <c r="AO121" s="387"/>
      <c r="AP121" s="387"/>
      <c r="AQ121" s="387"/>
      <c r="AR121" s="387"/>
      <c r="AS121" s="387"/>
      <c r="AT121" s="387"/>
      <c r="AU121" s="387"/>
      <c r="AV121" s="387"/>
      <c r="AW121" s="387"/>
      <c r="AX121" s="387"/>
      <c r="AY121" s="988"/>
      <c r="AZ121" s="387"/>
      <c r="BA121" s="387"/>
      <c r="BB121" s="387"/>
      <c r="BC121" s="387"/>
      <c r="BD121" s="387"/>
      <c r="BE121" s="387"/>
      <c r="BF121" s="387"/>
      <c r="BG121" s="387"/>
      <c r="BH121" s="387"/>
      <c r="BI121" s="387"/>
      <c r="BJ121" s="387"/>
      <c r="BK121" s="988"/>
      <c r="BL121" s="387"/>
      <c r="BM121" s="387"/>
      <c r="BN121" s="387"/>
      <c r="BO121" s="387"/>
      <c r="BP121" s="387"/>
      <c r="BQ121" s="387"/>
      <c r="BR121" s="387"/>
      <c r="BS121" s="387"/>
      <c r="BT121" s="387"/>
      <c r="BU121" s="387"/>
      <c r="BV121" s="387"/>
      <c r="BW121" s="988"/>
      <c r="BX121" s="387"/>
      <c r="BY121" s="387"/>
      <c r="BZ121" s="387"/>
      <c r="CA121" s="387"/>
      <c r="CB121" s="387"/>
      <c r="CC121" s="387"/>
      <c r="CD121" s="387"/>
      <c r="CE121" s="387"/>
      <c r="CF121" s="387"/>
      <c r="CG121" s="387"/>
      <c r="CH121" s="387"/>
      <c r="CI121" s="988"/>
      <c r="CJ121" s="387"/>
      <c r="CK121" s="387"/>
      <c r="CL121" s="387"/>
      <c r="CM121" s="387"/>
      <c r="CN121" s="387"/>
      <c r="CO121" s="387"/>
      <c r="CP121" s="387"/>
      <c r="CQ121" s="387"/>
      <c r="CR121" s="387"/>
      <c r="CS121" s="387"/>
      <c r="CT121" s="387"/>
      <c r="CU121" s="988"/>
      <c r="CV121" s="387"/>
      <c r="CW121" s="387"/>
      <c r="CX121" s="387"/>
      <c r="CY121" s="387"/>
      <c r="CZ121" s="387"/>
      <c r="DA121" s="387"/>
      <c r="DB121" s="387"/>
      <c r="DC121" s="387"/>
      <c r="DD121" s="387"/>
      <c r="DE121" s="387"/>
      <c r="DF121" s="387"/>
      <c r="DG121" s="988"/>
      <c r="DH121" s="387"/>
      <c r="DI121" s="387"/>
      <c r="DJ121" s="387"/>
      <c r="DK121" s="387"/>
      <c r="DL121" s="387"/>
      <c r="DM121" s="387"/>
      <c r="DN121" s="387"/>
      <c r="DO121" s="387"/>
      <c r="DP121" s="387"/>
      <c r="DQ121" s="387"/>
      <c r="DR121" s="387"/>
      <c r="DS121" s="988"/>
      <c r="DT121" s="387">
        <v>99</v>
      </c>
      <c r="DU121" s="387">
        <v>94</v>
      </c>
      <c r="DV121" s="387">
        <v>84</v>
      </c>
      <c r="DW121" s="387">
        <v>73</v>
      </c>
      <c r="DX121" s="387">
        <v>58</v>
      </c>
      <c r="DY121" s="387">
        <v>65</v>
      </c>
      <c r="DZ121" s="387">
        <v>50</v>
      </c>
      <c r="EA121" s="387">
        <v>66</v>
      </c>
      <c r="EB121" s="387">
        <v>58</v>
      </c>
      <c r="EC121" s="387">
        <v>61</v>
      </c>
      <c r="ED121" s="387">
        <v>61</v>
      </c>
      <c r="EE121" s="988">
        <v>131</v>
      </c>
      <c r="EF121" s="387"/>
      <c r="EG121" s="387"/>
      <c r="EH121" s="387"/>
      <c r="EI121" s="387"/>
      <c r="EJ121" s="387"/>
      <c r="EK121" s="387"/>
      <c r="EL121" s="387"/>
      <c r="EM121" s="387"/>
      <c r="EN121" s="387"/>
      <c r="EO121" s="387"/>
      <c r="EP121" s="387"/>
      <c r="EQ121" s="988"/>
      <c r="ER121" s="387"/>
      <c r="ES121" s="387"/>
      <c r="ET121" s="387"/>
      <c r="EU121" s="387"/>
      <c r="EV121" s="387"/>
      <c r="EW121" s="387"/>
      <c r="EX121" s="387"/>
      <c r="EY121" s="387"/>
      <c r="EZ121" s="387"/>
      <c r="FA121" s="387"/>
      <c r="FB121" s="387"/>
      <c r="FC121" s="988"/>
      <c r="FD121" s="387"/>
      <c r="FE121" s="387"/>
      <c r="FF121" s="387"/>
      <c r="FG121" s="387"/>
      <c r="FH121" s="387"/>
      <c r="FI121" s="387"/>
      <c r="FJ121" s="387"/>
      <c r="FK121" s="387"/>
      <c r="FL121" s="387"/>
      <c r="FM121" s="387"/>
      <c r="FN121" s="387"/>
      <c r="FO121" s="988"/>
      <c r="FP121" s="387"/>
      <c r="FQ121" s="387"/>
      <c r="FR121" s="387"/>
      <c r="FS121" s="387"/>
      <c r="FT121" s="387"/>
      <c r="FU121" s="387"/>
      <c r="FV121" s="387"/>
      <c r="FW121" s="387"/>
      <c r="FX121" s="387"/>
      <c r="FY121" s="387"/>
      <c r="FZ121" s="387"/>
      <c r="GA121" s="988"/>
      <c r="GB121" s="109"/>
      <c r="GC121" s="1435">
        <f t="shared" si="114"/>
        <v>99</v>
      </c>
      <c r="GD121" s="387">
        <f t="shared" si="114"/>
        <v>94</v>
      </c>
      <c r="GE121" s="387">
        <f t="shared" si="114"/>
        <v>84</v>
      </c>
      <c r="GF121" s="387">
        <f t="shared" si="114"/>
        <v>73</v>
      </c>
      <c r="GG121" s="387">
        <f t="shared" si="114"/>
        <v>58</v>
      </c>
      <c r="GH121" s="387">
        <f t="shared" si="114"/>
        <v>65</v>
      </c>
      <c r="GI121" s="387">
        <f t="shared" si="114"/>
        <v>50</v>
      </c>
      <c r="GJ121" s="387">
        <f t="shared" si="114"/>
        <v>66</v>
      </c>
      <c r="GK121" s="387">
        <f t="shared" si="114"/>
        <v>58</v>
      </c>
      <c r="GL121" s="387">
        <f t="shared" si="114"/>
        <v>61</v>
      </c>
      <c r="GM121" s="387">
        <f t="shared" si="114"/>
        <v>61</v>
      </c>
      <c r="GN121" s="988">
        <f t="shared" si="114"/>
        <v>131</v>
      </c>
      <c r="GO121" s="1036">
        <f t="shared" si="115"/>
        <v>99</v>
      </c>
      <c r="GP121" s="387">
        <f t="shared" si="115"/>
        <v>94</v>
      </c>
      <c r="GQ121" s="387">
        <f t="shared" si="115"/>
        <v>84</v>
      </c>
      <c r="GR121" s="387">
        <f t="shared" si="115"/>
        <v>73</v>
      </c>
      <c r="GS121" s="387">
        <f t="shared" si="115"/>
        <v>58</v>
      </c>
      <c r="GT121" s="387">
        <f t="shared" si="115"/>
        <v>65</v>
      </c>
      <c r="GU121" s="387">
        <f t="shared" si="115"/>
        <v>50</v>
      </c>
      <c r="GV121" s="387">
        <f t="shared" si="115"/>
        <v>66</v>
      </c>
      <c r="GW121" s="387">
        <f t="shared" si="115"/>
        <v>58</v>
      </c>
      <c r="GX121" s="387">
        <f t="shared" si="115"/>
        <v>61</v>
      </c>
      <c r="GY121" s="387">
        <f t="shared" si="115"/>
        <v>61</v>
      </c>
      <c r="GZ121" s="988">
        <f t="shared" si="115"/>
        <v>131</v>
      </c>
      <c r="HB121" s="387"/>
      <c r="HC121" s="387"/>
      <c r="HD121" s="387"/>
      <c r="HE121" s="387"/>
      <c r="HF121" s="387"/>
      <c r="HG121" s="387"/>
      <c r="HH121" s="387"/>
      <c r="HI121" s="387"/>
      <c r="HJ121" s="387"/>
      <c r="HK121" s="387"/>
      <c r="HL121" s="387"/>
      <c r="HM121" s="988"/>
    </row>
    <row r="122" spans="1:221">
      <c r="A122" s="326" t="s">
        <v>1599</v>
      </c>
      <c r="B122" s="326" t="s">
        <v>1579</v>
      </c>
      <c r="C122" s="326" t="s">
        <v>2151</v>
      </c>
      <c r="D122" s="1036" t="s">
        <v>2154</v>
      </c>
      <c r="E122" s="387" t="s">
        <v>2154</v>
      </c>
      <c r="F122" s="387" t="s">
        <v>2154</v>
      </c>
      <c r="G122" s="387" t="s">
        <v>2154</v>
      </c>
      <c r="H122" s="387" t="s">
        <v>2154</v>
      </c>
      <c r="I122" s="387" t="s">
        <v>2154</v>
      </c>
      <c r="J122" s="387" t="s">
        <v>2154</v>
      </c>
      <c r="K122" s="387" t="s">
        <v>2154</v>
      </c>
      <c r="L122" s="387" t="s">
        <v>2154</v>
      </c>
      <c r="M122" s="387" t="s">
        <v>2154</v>
      </c>
      <c r="N122" s="387" t="s">
        <v>2154</v>
      </c>
      <c r="O122" s="988" t="s">
        <v>2154</v>
      </c>
      <c r="P122" s="387" t="s">
        <v>2154</v>
      </c>
      <c r="Q122" s="387" t="s">
        <v>2154</v>
      </c>
      <c r="R122" s="387" t="s">
        <v>2154</v>
      </c>
      <c r="S122" s="387" t="s">
        <v>2154</v>
      </c>
      <c r="T122" s="387" t="s">
        <v>2154</v>
      </c>
      <c r="U122" s="387" t="s">
        <v>2154</v>
      </c>
      <c r="V122" s="387" t="s">
        <v>2154</v>
      </c>
      <c r="W122" s="387" t="s">
        <v>2154</v>
      </c>
      <c r="X122" s="387" t="s">
        <v>2154</v>
      </c>
      <c r="Y122" s="387" t="s">
        <v>2154</v>
      </c>
      <c r="Z122" s="387" t="s">
        <v>2154</v>
      </c>
      <c r="AA122" s="988" t="s">
        <v>2154</v>
      </c>
      <c r="AB122" s="387"/>
      <c r="AC122" s="387"/>
      <c r="AD122" s="387"/>
      <c r="AE122" s="387"/>
      <c r="AF122" s="387"/>
      <c r="AG122" s="387"/>
      <c r="AH122" s="387"/>
      <c r="AI122" s="387"/>
      <c r="AJ122" s="387"/>
      <c r="AK122" s="387"/>
      <c r="AL122" s="387"/>
      <c r="AM122" s="988"/>
      <c r="AN122" s="387"/>
      <c r="AO122" s="387"/>
      <c r="AP122" s="387"/>
      <c r="AQ122" s="387"/>
      <c r="AR122" s="387"/>
      <c r="AS122" s="387"/>
      <c r="AT122" s="387"/>
      <c r="AU122" s="387"/>
      <c r="AV122" s="387"/>
      <c r="AW122" s="387"/>
      <c r="AX122" s="387"/>
      <c r="AY122" s="988"/>
      <c r="AZ122" s="387"/>
      <c r="BA122" s="387"/>
      <c r="BB122" s="387"/>
      <c r="BC122" s="387"/>
      <c r="BD122" s="387"/>
      <c r="BE122" s="387"/>
      <c r="BF122" s="387"/>
      <c r="BG122" s="387"/>
      <c r="BH122" s="387"/>
      <c r="BI122" s="387"/>
      <c r="BJ122" s="387"/>
      <c r="BK122" s="988"/>
      <c r="BL122" s="387"/>
      <c r="BM122" s="387"/>
      <c r="BN122" s="387"/>
      <c r="BO122" s="387"/>
      <c r="BP122" s="387"/>
      <c r="BQ122" s="387"/>
      <c r="BR122" s="387"/>
      <c r="BS122" s="387"/>
      <c r="BT122" s="387"/>
      <c r="BU122" s="387"/>
      <c r="BV122" s="387"/>
      <c r="BW122" s="988"/>
      <c r="BX122" s="387"/>
      <c r="BY122" s="387"/>
      <c r="BZ122" s="387"/>
      <c r="CA122" s="387"/>
      <c r="CB122" s="387"/>
      <c r="CC122" s="387"/>
      <c r="CD122" s="387"/>
      <c r="CE122" s="387"/>
      <c r="CF122" s="387"/>
      <c r="CG122" s="387"/>
      <c r="CH122" s="387"/>
      <c r="CI122" s="988"/>
      <c r="CJ122" s="387"/>
      <c r="CK122" s="387"/>
      <c r="CL122" s="387"/>
      <c r="CM122" s="387"/>
      <c r="CN122" s="387"/>
      <c r="CO122" s="387"/>
      <c r="CP122" s="387"/>
      <c r="CQ122" s="387"/>
      <c r="CR122" s="387"/>
      <c r="CS122" s="387"/>
      <c r="CT122" s="387"/>
      <c r="CU122" s="988"/>
      <c r="CV122" s="387"/>
      <c r="CW122" s="387"/>
      <c r="CX122" s="387"/>
      <c r="CY122" s="387"/>
      <c r="CZ122" s="387"/>
      <c r="DA122" s="387"/>
      <c r="DB122" s="387"/>
      <c r="DC122" s="387"/>
      <c r="DD122" s="387"/>
      <c r="DE122" s="387"/>
      <c r="DF122" s="387"/>
      <c r="DG122" s="988"/>
      <c r="DH122" s="387"/>
      <c r="DI122" s="387"/>
      <c r="DJ122" s="387"/>
      <c r="DK122" s="387"/>
      <c r="DL122" s="387"/>
      <c r="DM122" s="387"/>
      <c r="DN122" s="387"/>
      <c r="DO122" s="387"/>
      <c r="DP122" s="387"/>
      <c r="DQ122" s="387"/>
      <c r="DR122" s="387"/>
      <c r="DS122" s="988"/>
      <c r="DT122" s="387">
        <v>28</v>
      </c>
      <c r="DU122" s="387">
        <v>27</v>
      </c>
      <c r="DV122" s="387">
        <v>24</v>
      </c>
      <c r="DW122" s="387">
        <v>25</v>
      </c>
      <c r="DX122" s="387">
        <v>26</v>
      </c>
      <c r="DY122" s="387">
        <v>27</v>
      </c>
      <c r="DZ122" s="387">
        <v>23</v>
      </c>
      <c r="EA122" s="387">
        <v>27</v>
      </c>
      <c r="EB122" s="387">
        <v>26</v>
      </c>
      <c r="EC122" s="387">
        <v>24</v>
      </c>
      <c r="ED122" s="387">
        <v>27</v>
      </c>
      <c r="EE122" s="988">
        <v>-51</v>
      </c>
      <c r="EF122" s="387"/>
      <c r="EG122" s="387"/>
      <c r="EH122" s="387"/>
      <c r="EI122" s="387"/>
      <c r="EJ122" s="387"/>
      <c r="EK122" s="387"/>
      <c r="EL122" s="387"/>
      <c r="EM122" s="387"/>
      <c r="EN122" s="387"/>
      <c r="EO122" s="387"/>
      <c r="EP122" s="387"/>
      <c r="EQ122" s="988"/>
      <c r="ER122" s="387"/>
      <c r="ES122" s="387"/>
      <c r="ET122" s="387"/>
      <c r="EU122" s="387"/>
      <c r="EV122" s="387"/>
      <c r="EW122" s="387"/>
      <c r="EX122" s="387"/>
      <c r="EY122" s="387"/>
      <c r="EZ122" s="387"/>
      <c r="FA122" s="387"/>
      <c r="FB122" s="387"/>
      <c r="FC122" s="988"/>
      <c r="FD122" s="387"/>
      <c r="FE122" s="387"/>
      <c r="FF122" s="387"/>
      <c r="FG122" s="387"/>
      <c r="FH122" s="387"/>
      <c r="FI122" s="387"/>
      <c r="FJ122" s="387"/>
      <c r="FK122" s="387"/>
      <c r="FL122" s="387"/>
      <c r="FM122" s="387"/>
      <c r="FN122" s="387"/>
      <c r="FO122" s="988"/>
      <c r="FP122" s="387"/>
      <c r="FQ122" s="387"/>
      <c r="FR122" s="387"/>
      <c r="FS122" s="387"/>
      <c r="FT122" s="387"/>
      <c r="FU122" s="387"/>
      <c r="FV122" s="387"/>
      <c r="FW122" s="387"/>
      <c r="FX122" s="387"/>
      <c r="FY122" s="387"/>
      <c r="FZ122" s="387"/>
      <c r="GA122" s="988"/>
      <c r="GB122" s="109"/>
      <c r="GC122" s="1435">
        <f t="shared" si="114"/>
        <v>28</v>
      </c>
      <c r="GD122" s="387">
        <f t="shared" si="114"/>
        <v>27</v>
      </c>
      <c r="GE122" s="387">
        <f t="shared" si="114"/>
        <v>24</v>
      </c>
      <c r="GF122" s="387">
        <f t="shared" si="114"/>
        <v>25</v>
      </c>
      <c r="GG122" s="387">
        <f t="shared" si="114"/>
        <v>26</v>
      </c>
      <c r="GH122" s="387">
        <f t="shared" si="114"/>
        <v>27</v>
      </c>
      <c r="GI122" s="387">
        <f t="shared" si="114"/>
        <v>23</v>
      </c>
      <c r="GJ122" s="387">
        <f t="shared" si="114"/>
        <v>27</v>
      </c>
      <c r="GK122" s="387">
        <f t="shared" si="114"/>
        <v>26</v>
      </c>
      <c r="GL122" s="387">
        <f t="shared" si="114"/>
        <v>24</v>
      </c>
      <c r="GM122" s="387">
        <f t="shared" si="114"/>
        <v>27</v>
      </c>
      <c r="GN122" s="988">
        <f t="shared" si="114"/>
        <v>-51</v>
      </c>
      <c r="GO122" s="1036">
        <f t="shared" si="115"/>
        <v>28</v>
      </c>
      <c r="GP122" s="387">
        <f t="shared" si="115"/>
        <v>27</v>
      </c>
      <c r="GQ122" s="387">
        <f t="shared" si="115"/>
        <v>24</v>
      </c>
      <c r="GR122" s="387">
        <f t="shared" si="115"/>
        <v>25</v>
      </c>
      <c r="GS122" s="387">
        <f t="shared" si="115"/>
        <v>26</v>
      </c>
      <c r="GT122" s="387">
        <f t="shared" si="115"/>
        <v>27</v>
      </c>
      <c r="GU122" s="387">
        <f t="shared" si="115"/>
        <v>23</v>
      </c>
      <c r="GV122" s="387">
        <f t="shared" si="115"/>
        <v>27</v>
      </c>
      <c r="GW122" s="387">
        <f t="shared" si="115"/>
        <v>26</v>
      </c>
      <c r="GX122" s="387">
        <f t="shared" si="115"/>
        <v>24</v>
      </c>
      <c r="GY122" s="387">
        <f t="shared" si="115"/>
        <v>27</v>
      </c>
      <c r="GZ122" s="988">
        <f t="shared" si="115"/>
        <v>-51</v>
      </c>
      <c r="HB122" s="387"/>
      <c r="HC122" s="387"/>
      <c r="HD122" s="387"/>
      <c r="HE122" s="387"/>
      <c r="HF122" s="387"/>
      <c r="HG122" s="387"/>
      <c r="HH122" s="387"/>
      <c r="HI122" s="387"/>
      <c r="HJ122" s="387"/>
      <c r="HK122" s="387"/>
      <c r="HL122" s="387"/>
      <c r="HM122" s="988"/>
    </row>
    <row r="123" spans="1:221">
      <c r="A123" s="326" t="s">
        <v>1599</v>
      </c>
      <c r="B123" s="326" t="s">
        <v>1578</v>
      </c>
      <c r="C123" s="326" t="s">
        <v>1580</v>
      </c>
      <c r="D123" s="1036" t="s">
        <v>2154</v>
      </c>
      <c r="E123" s="387" t="s">
        <v>2154</v>
      </c>
      <c r="F123" s="387" t="s">
        <v>2154</v>
      </c>
      <c r="G123" s="387" t="s">
        <v>2154</v>
      </c>
      <c r="H123" s="387" t="s">
        <v>2154</v>
      </c>
      <c r="I123" s="387" t="s">
        <v>2154</v>
      </c>
      <c r="J123" s="387" t="s">
        <v>2154</v>
      </c>
      <c r="K123" s="387" t="s">
        <v>2154</v>
      </c>
      <c r="L123" s="387" t="s">
        <v>2154</v>
      </c>
      <c r="M123" s="387" t="s">
        <v>2154</v>
      </c>
      <c r="N123" s="387" t="s">
        <v>2154</v>
      </c>
      <c r="O123" s="988" t="s">
        <v>2154</v>
      </c>
      <c r="P123" s="387" t="s">
        <v>2154</v>
      </c>
      <c r="Q123" s="387" t="s">
        <v>2154</v>
      </c>
      <c r="R123" s="387" t="s">
        <v>2154</v>
      </c>
      <c r="S123" s="387" t="s">
        <v>2154</v>
      </c>
      <c r="T123" s="387" t="s">
        <v>2154</v>
      </c>
      <c r="U123" s="387" t="s">
        <v>2154</v>
      </c>
      <c r="V123" s="387" t="s">
        <v>2154</v>
      </c>
      <c r="W123" s="387" t="s">
        <v>2154</v>
      </c>
      <c r="X123" s="387" t="s">
        <v>2154</v>
      </c>
      <c r="Y123" s="387" t="s">
        <v>2154</v>
      </c>
      <c r="Z123" s="387" t="s">
        <v>2154</v>
      </c>
      <c r="AA123" s="988" t="s">
        <v>2154</v>
      </c>
      <c r="AB123" s="387"/>
      <c r="AC123" s="387"/>
      <c r="AD123" s="387"/>
      <c r="AE123" s="387"/>
      <c r="AF123" s="387"/>
      <c r="AG123" s="387"/>
      <c r="AH123" s="387"/>
      <c r="AI123" s="387"/>
      <c r="AJ123" s="387"/>
      <c r="AK123" s="387"/>
      <c r="AL123" s="387"/>
      <c r="AM123" s="988"/>
      <c r="AN123" s="387"/>
      <c r="AO123" s="387"/>
      <c r="AP123" s="387"/>
      <c r="AQ123" s="387"/>
      <c r="AR123" s="387"/>
      <c r="AS123" s="387"/>
      <c r="AT123" s="387"/>
      <c r="AU123" s="387"/>
      <c r="AV123" s="387"/>
      <c r="AW123" s="387"/>
      <c r="AX123" s="387"/>
      <c r="AY123" s="988"/>
      <c r="AZ123" s="387"/>
      <c r="BA123" s="387"/>
      <c r="BB123" s="387"/>
      <c r="BC123" s="387"/>
      <c r="BD123" s="387"/>
      <c r="BE123" s="387"/>
      <c r="BF123" s="387"/>
      <c r="BG123" s="387"/>
      <c r="BH123" s="387"/>
      <c r="BI123" s="387"/>
      <c r="BJ123" s="387"/>
      <c r="BK123" s="988"/>
      <c r="BL123" s="387"/>
      <c r="BM123" s="387"/>
      <c r="BN123" s="387"/>
      <c r="BO123" s="387"/>
      <c r="BP123" s="387"/>
      <c r="BQ123" s="387"/>
      <c r="BR123" s="387"/>
      <c r="BS123" s="387"/>
      <c r="BT123" s="387"/>
      <c r="BU123" s="387"/>
      <c r="BV123" s="387"/>
      <c r="BW123" s="988"/>
      <c r="BX123" s="387"/>
      <c r="BY123" s="387"/>
      <c r="BZ123" s="387"/>
      <c r="CA123" s="387"/>
      <c r="CB123" s="387"/>
      <c r="CC123" s="387"/>
      <c r="CD123" s="387"/>
      <c r="CE123" s="387"/>
      <c r="CF123" s="387"/>
      <c r="CG123" s="387"/>
      <c r="CH123" s="387"/>
      <c r="CI123" s="988"/>
      <c r="CJ123" s="387"/>
      <c r="CK123" s="387"/>
      <c r="CL123" s="387"/>
      <c r="CM123" s="387"/>
      <c r="CN123" s="387"/>
      <c r="CO123" s="387"/>
      <c r="CP123" s="387"/>
      <c r="CQ123" s="387"/>
      <c r="CR123" s="387"/>
      <c r="CS123" s="387"/>
      <c r="CT123" s="387"/>
      <c r="CU123" s="988"/>
      <c r="CV123" s="387"/>
      <c r="CW123" s="387"/>
      <c r="CX123" s="387"/>
      <c r="CY123" s="387"/>
      <c r="CZ123" s="387"/>
      <c r="DA123" s="387"/>
      <c r="DB123" s="387"/>
      <c r="DC123" s="387"/>
      <c r="DD123" s="387"/>
      <c r="DE123" s="387"/>
      <c r="DF123" s="387"/>
      <c r="DG123" s="988"/>
      <c r="DH123" s="387"/>
      <c r="DI123" s="387"/>
      <c r="DJ123" s="387"/>
      <c r="DK123" s="387"/>
      <c r="DL123" s="387"/>
      <c r="DM123" s="387"/>
      <c r="DN123" s="387"/>
      <c r="DO123" s="387"/>
      <c r="DP123" s="387"/>
      <c r="DQ123" s="387"/>
      <c r="DR123" s="387"/>
      <c r="DS123" s="988"/>
      <c r="DT123" s="387">
        <v>17824.73</v>
      </c>
      <c r="DU123" s="387">
        <v>22252.300000000003</v>
      </c>
      <c r="DV123" s="387">
        <v>22484.799999999999</v>
      </c>
      <c r="DW123" s="387">
        <v>20032.150000000001</v>
      </c>
      <c r="DX123" s="387">
        <v>16298.92</v>
      </c>
      <c r="DY123" s="387">
        <v>18135.57</v>
      </c>
      <c r="DZ123" s="387">
        <v>13892.320000000002</v>
      </c>
      <c r="EA123" s="387">
        <v>18662.62</v>
      </c>
      <c r="EB123" s="387">
        <v>18265.53</v>
      </c>
      <c r="EC123" s="387">
        <v>15017.36</v>
      </c>
      <c r="ED123" s="387">
        <v>17105.809999999998</v>
      </c>
      <c r="EE123" s="988">
        <v>33762.199999999997</v>
      </c>
      <c r="EF123" s="387"/>
      <c r="EG123" s="387"/>
      <c r="EH123" s="387"/>
      <c r="EI123" s="387"/>
      <c r="EJ123" s="387"/>
      <c r="EK123" s="387"/>
      <c r="EL123" s="387"/>
      <c r="EM123" s="387"/>
      <c r="EN123" s="387"/>
      <c r="EO123" s="387"/>
      <c r="EP123" s="387"/>
      <c r="EQ123" s="988"/>
      <c r="ER123" s="387"/>
      <c r="ES123" s="387"/>
      <c r="ET123" s="387"/>
      <c r="EU123" s="387"/>
      <c r="EV123" s="387"/>
      <c r="EW123" s="387"/>
      <c r="EX123" s="387"/>
      <c r="EY123" s="387"/>
      <c r="EZ123" s="387"/>
      <c r="FA123" s="387"/>
      <c r="FB123" s="387"/>
      <c r="FC123" s="988"/>
      <c r="FD123" s="387"/>
      <c r="FE123" s="387"/>
      <c r="FF123" s="387"/>
      <c r="FG123" s="387"/>
      <c r="FH123" s="387"/>
      <c r="FI123" s="387"/>
      <c r="FJ123" s="387"/>
      <c r="FK123" s="387"/>
      <c r="FL123" s="387"/>
      <c r="FM123" s="387"/>
      <c r="FN123" s="387"/>
      <c r="FO123" s="988"/>
      <c r="FP123" s="387"/>
      <c r="FQ123" s="387"/>
      <c r="FR123" s="387"/>
      <c r="FS123" s="387"/>
      <c r="FT123" s="387"/>
      <c r="FU123" s="387"/>
      <c r="FV123" s="387"/>
      <c r="FW123" s="387"/>
      <c r="FX123" s="387"/>
      <c r="FY123" s="387"/>
      <c r="FZ123" s="387"/>
      <c r="GA123" s="988"/>
      <c r="GB123" s="109"/>
      <c r="GC123" s="1435">
        <f t="shared" si="114"/>
        <v>17824.73</v>
      </c>
      <c r="GD123" s="387">
        <f t="shared" si="114"/>
        <v>22252.300000000003</v>
      </c>
      <c r="GE123" s="387">
        <f t="shared" si="114"/>
        <v>22484.799999999999</v>
      </c>
      <c r="GF123" s="387">
        <f t="shared" si="114"/>
        <v>20032.150000000001</v>
      </c>
      <c r="GG123" s="387">
        <f t="shared" si="114"/>
        <v>16298.92</v>
      </c>
      <c r="GH123" s="387">
        <f t="shared" si="114"/>
        <v>18135.57</v>
      </c>
      <c r="GI123" s="387">
        <f t="shared" si="114"/>
        <v>13892.320000000002</v>
      </c>
      <c r="GJ123" s="387">
        <f t="shared" si="114"/>
        <v>18662.62</v>
      </c>
      <c r="GK123" s="387">
        <f t="shared" si="114"/>
        <v>18265.53</v>
      </c>
      <c r="GL123" s="387">
        <f t="shared" si="114"/>
        <v>15017.36</v>
      </c>
      <c r="GM123" s="387">
        <f t="shared" si="114"/>
        <v>17105.809999999998</v>
      </c>
      <c r="GN123" s="988">
        <f t="shared" si="114"/>
        <v>33762.199999999997</v>
      </c>
      <c r="GO123" s="1036">
        <f t="shared" si="115"/>
        <v>17824.73</v>
      </c>
      <c r="GP123" s="387">
        <f t="shared" si="115"/>
        <v>22252.300000000003</v>
      </c>
      <c r="GQ123" s="387">
        <f t="shared" si="115"/>
        <v>22484.799999999999</v>
      </c>
      <c r="GR123" s="387">
        <f t="shared" si="115"/>
        <v>20032.150000000001</v>
      </c>
      <c r="GS123" s="387">
        <f t="shared" si="115"/>
        <v>16298.92</v>
      </c>
      <c r="GT123" s="387">
        <f t="shared" si="115"/>
        <v>18135.57</v>
      </c>
      <c r="GU123" s="387">
        <f t="shared" si="115"/>
        <v>13892.320000000002</v>
      </c>
      <c r="GV123" s="387">
        <f t="shared" si="115"/>
        <v>18662.62</v>
      </c>
      <c r="GW123" s="387">
        <f t="shared" si="115"/>
        <v>18265.53</v>
      </c>
      <c r="GX123" s="387">
        <f t="shared" si="115"/>
        <v>15017.36</v>
      </c>
      <c r="GY123" s="387">
        <f t="shared" si="115"/>
        <v>17105.809999999998</v>
      </c>
      <c r="GZ123" s="988">
        <f t="shared" si="115"/>
        <v>33762.199999999997</v>
      </c>
      <c r="HB123" s="387"/>
      <c r="HC123" s="387"/>
      <c r="HD123" s="387"/>
      <c r="HE123" s="387"/>
      <c r="HF123" s="387"/>
      <c r="HG123" s="387"/>
      <c r="HH123" s="387"/>
      <c r="HI123" s="387"/>
      <c r="HJ123" s="387"/>
      <c r="HK123" s="387"/>
      <c r="HL123" s="387"/>
      <c r="HM123" s="988"/>
    </row>
    <row r="124" spans="1:221">
      <c r="A124" s="326"/>
      <c r="B124" s="326"/>
      <c r="C124" s="326"/>
      <c r="D124" s="1036" t="e">
        <f t="shared" ref="D124:AI124" si="116">IF(D121=0,0,D123/D121)</f>
        <v>#DIV/0!</v>
      </c>
      <c r="E124" s="387" t="e">
        <f t="shared" si="116"/>
        <v>#DIV/0!</v>
      </c>
      <c r="F124" s="387" t="e">
        <f t="shared" si="116"/>
        <v>#DIV/0!</v>
      </c>
      <c r="G124" s="387" t="e">
        <f t="shared" si="116"/>
        <v>#DIV/0!</v>
      </c>
      <c r="H124" s="387" t="e">
        <f t="shared" si="116"/>
        <v>#DIV/0!</v>
      </c>
      <c r="I124" s="387" t="e">
        <f t="shared" si="116"/>
        <v>#DIV/0!</v>
      </c>
      <c r="J124" s="387" t="e">
        <f t="shared" si="116"/>
        <v>#DIV/0!</v>
      </c>
      <c r="K124" s="387" t="e">
        <f t="shared" si="116"/>
        <v>#DIV/0!</v>
      </c>
      <c r="L124" s="387" t="e">
        <f t="shared" si="116"/>
        <v>#DIV/0!</v>
      </c>
      <c r="M124" s="387" t="e">
        <f t="shared" si="116"/>
        <v>#DIV/0!</v>
      </c>
      <c r="N124" s="387" t="e">
        <f t="shared" si="116"/>
        <v>#DIV/0!</v>
      </c>
      <c r="O124" s="988" t="e">
        <f t="shared" si="116"/>
        <v>#DIV/0!</v>
      </c>
      <c r="P124" s="386" t="e">
        <f t="shared" si="116"/>
        <v>#DIV/0!</v>
      </c>
      <c r="Q124" s="386" t="e">
        <f t="shared" si="116"/>
        <v>#DIV/0!</v>
      </c>
      <c r="R124" s="386" t="e">
        <f t="shared" si="116"/>
        <v>#DIV/0!</v>
      </c>
      <c r="S124" s="386" t="e">
        <f t="shared" si="116"/>
        <v>#DIV/0!</v>
      </c>
      <c r="T124" s="386" t="e">
        <f t="shared" si="116"/>
        <v>#DIV/0!</v>
      </c>
      <c r="U124" s="386" t="e">
        <f t="shared" si="116"/>
        <v>#DIV/0!</v>
      </c>
      <c r="V124" s="386" t="e">
        <f t="shared" si="116"/>
        <v>#DIV/0!</v>
      </c>
      <c r="W124" s="386" t="e">
        <f t="shared" si="116"/>
        <v>#DIV/0!</v>
      </c>
      <c r="X124" s="386" t="e">
        <f t="shared" si="116"/>
        <v>#DIV/0!</v>
      </c>
      <c r="Y124" s="386" t="e">
        <f t="shared" si="116"/>
        <v>#DIV/0!</v>
      </c>
      <c r="Z124" s="386" t="e">
        <f t="shared" si="116"/>
        <v>#DIV/0!</v>
      </c>
      <c r="AA124" s="987" t="e">
        <f t="shared" si="116"/>
        <v>#DIV/0!</v>
      </c>
      <c r="AB124" s="386">
        <f t="shared" si="116"/>
        <v>0</v>
      </c>
      <c r="AC124" s="386">
        <f t="shared" si="116"/>
        <v>0</v>
      </c>
      <c r="AD124" s="386">
        <f t="shared" si="116"/>
        <v>0</v>
      </c>
      <c r="AE124" s="386">
        <f t="shared" si="116"/>
        <v>0</v>
      </c>
      <c r="AF124" s="386">
        <f t="shared" si="116"/>
        <v>0</v>
      </c>
      <c r="AG124" s="386">
        <f t="shared" si="116"/>
        <v>0</v>
      </c>
      <c r="AH124" s="386">
        <f t="shared" si="116"/>
        <v>0</v>
      </c>
      <c r="AI124" s="386">
        <f t="shared" si="116"/>
        <v>0</v>
      </c>
      <c r="AJ124" s="386">
        <f t="shared" ref="AJ124:BO124" si="117">IF(AJ121=0,0,AJ123/AJ121)</f>
        <v>0</v>
      </c>
      <c r="AK124" s="386">
        <f t="shared" si="117"/>
        <v>0</v>
      </c>
      <c r="AL124" s="386">
        <f t="shared" si="117"/>
        <v>0</v>
      </c>
      <c r="AM124" s="987">
        <f t="shared" si="117"/>
        <v>0</v>
      </c>
      <c r="AN124" s="386">
        <f t="shared" si="117"/>
        <v>0</v>
      </c>
      <c r="AO124" s="386">
        <f t="shared" si="117"/>
        <v>0</v>
      </c>
      <c r="AP124" s="386">
        <f t="shared" si="117"/>
        <v>0</v>
      </c>
      <c r="AQ124" s="386">
        <f t="shared" si="117"/>
        <v>0</v>
      </c>
      <c r="AR124" s="386">
        <f t="shared" si="117"/>
        <v>0</v>
      </c>
      <c r="AS124" s="386">
        <f t="shared" si="117"/>
        <v>0</v>
      </c>
      <c r="AT124" s="386">
        <f t="shared" si="117"/>
        <v>0</v>
      </c>
      <c r="AU124" s="386">
        <f t="shared" si="117"/>
        <v>0</v>
      </c>
      <c r="AV124" s="386">
        <f t="shared" si="117"/>
        <v>0</v>
      </c>
      <c r="AW124" s="386">
        <f t="shared" si="117"/>
        <v>0</v>
      </c>
      <c r="AX124" s="386">
        <f t="shared" si="117"/>
        <v>0</v>
      </c>
      <c r="AY124" s="987">
        <f t="shared" si="117"/>
        <v>0</v>
      </c>
      <c r="AZ124" s="386">
        <f t="shared" si="117"/>
        <v>0</v>
      </c>
      <c r="BA124" s="386">
        <f t="shared" si="117"/>
        <v>0</v>
      </c>
      <c r="BB124" s="386">
        <f t="shared" si="117"/>
        <v>0</v>
      </c>
      <c r="BC124" s="386">
        <f t="shared" si="117"/>
        <v>0</v>
      </c>
      <c r="BD124" s="386">
        <f t="shared" si="117"/>
        <v>0</v>
      </c>
      <c r="BE124" s="386">
        <f t="shared" si="117"/>
        <v>0</v>
      </c>
      <c r="BF124" s="386">
        <f t="shared" si="117"/>
        <v>0</v>
      </c>
      <c r="BG124" s="386">
        <f t="shared" si="117"/>
        <v>0</v>
      </c>
      <c r="BH124" s="386">
        <f t="shared" si="117"/>
        <v>0</v>
      </c>
      <c r="BI124" s="386">
        <f t="shared" si="117"/>
        <v>0</v>
      </c>
      <c r="BJ124" s="386">
        <f t="shared" si="117"/>
        <v>0</v>
      </c>
      <c r="BK124" s="987">
        <f t="shared" si="117"/>
        <v>0</v>
      </c>
      <c r="BL124" s="386">
        <f t="shared" si="117"/>
        <v>0</v>
      </c>
      <c r="BM124" s="386">
        <f t="shared" si="117"/>
        <v>0</v>
      </c>
      <c r="BN124" s="386">
        <f t="shared" si="117"/>
        <v>0</v>
      </c>
      <c r="BO124" s="386">
        <f t="shared" si="117"/>
        <v>0</v>
      </c>
      <c r="BP124" s="386">
        <f t="shared" ref="BP124:CU124" si="118">IF(BP121=0,0,BP123/BP121)</f>
        <v>0</v>
      </c>
      <c r="BQ124" s="386">
        <f t="shared" si="118"/>
        <v>0</v>
      </c>
      <c r="BR124" s="386">
        <f t="shared" si="118"/>
        <v>0</v>
      </c>
      <c r="BS124" s="386">
        <f t="shared" si="118"/>
        <v>0</v>
      </c>
      <c r="BT124" s="386">
        <f t="shared" si="118"/>
        <v>0</v>
      </c>
      <c r="BU124" s="386">
        <f t="shared" si="118"/>
        <v>0</v>
      </c>
      <c r="BV124" s="386">
        <f t="shared" si="118"/>
        <v>0</v>
      </c>
      <c r="BW124" s="987">
        <f t="shared" si="118"/>
        <v>0</v>
      </c>
      <c r="BX124" s="386">
        <f t="shared" si="118"/>
        <v>0</v>
      </c>
      <c r="BY124" s="386">
        <f t="shared" si="118"/>
        <v>0</v>
      </c>
      <c r="BZ124" s="386">
        <f t="shared" si="118"/>
        <v>0</v>
      </c>
      <c r="CA124" s="386">
        <f t="shared" si="118"/>
        <v>0</v>
      </c>
      <c r="CB124" s="386">
        <f t="shared" si="118"/>
        <v>0</v>
      </c>
      <c r="CC124" s="386">
        <f t="shared" si="118"/>
        <v>0</v>
      </c>
      <c r="CD124" s="386">
        <f t="shared" si="118"/>
        <v>0</v>
      </c>
      <c r="CE124" s="386">
        <f t="shared" si="118"/>
        <v>0</v>
      </c>
      <c r="CF124" s="386">
        <f t="shared" si="118"/>
        <v>0</v>
      </c>
      <c r="CG124" s="386">
        <f t="shared" si="118"/>
        <v>0</v>
      </c>
      <c r="CH124" s="386">
        <f t="shared" si="118"/>
        <v>0</v>
      </c>
      <c r="CI124" s="987">
        <f t="shared" si="118"/>
        <v>0</v>
      </c>
      <c r="CJ124" s="386">
        <f t="shared" si="118"/>
        <v>0</v>
      </c>
      <c r="CK124" s="386">
        <f t="shared" si="118"/>
        <v>0</v>
      </c>
      <c r="CL124" s="386">
        <f t="shared" si="118"/>
        <v>0</v>
      </c>
      <c r="CM124" s="386">
        <f t="shared" si="118"/>
        <v>0</v>
      </c>
      <c r="CN124" s="386">
        <f t="shared" si="118"/>
        <v>0</v>
      </c>
      <c r="CO124" s="386">
        <f t="shared" si="118"/>
        <v>0</v>
      </c>
      <c r="CP124" s="386">
        <f t="shared" si="118"/>
        <v>0</v>
      </c>
      <c r="CQ124" s="386">
        <f t="shared" si="118"/>
        <v>0</v>
      </c>
      <c r="CR124" s="386">
        <f t="shared" si="118"/>
        <v>0</v>
      </c>
      <c r="CS124" s="386">
        <f t="shared" si="118"/>
        <v>0</v>
      </c>
      <c r="CT124" s="386">
        <f t="shared" si="118"/>
        <v>0</v>
      </c>
      <c r="CU124" s="987">
        <f t="shared" si="118"/>
        <v>0</v>
      </c>
      <c r="CV124" s="386">
        <f t="shared" ref="CV124:EA124" si="119">IF(CV121=0,0,CV123/CV121)</f>
        <v>0</v>
      </c>
      <c r="CW124" s="386">
        <f t="shared" si="119"/>
        <v>0</v>
      </c>
      <c r="CX124" s="386">
        <f t="shared" si="119"/>
        <v>0</v>
      </c>
      <c r="CY124" s="386">
        <f t="shared" si="119"/>
        <v>0</v>
      </c>
      <c r="CZ124" s="386">
        <f t="shared" si="119"/>
        <v>0</v>
      </c>
      <c r="DA124" s="386">
        <f t="shared" si="119"/>
        <v>0</v>
      </c>
      <c r="DB124" s="386">
        <f t="shared" si="119"/>
        <v>0</v>
      </c>
      <c r="DC124" s="386">
        <f t="shared" si="119"/>
        <v>0</v>
      </c>
      <c r="DD124" s="386">
        <f t="shared" si="119"/>
        <v>0</v>
      </c>
      <c r="DE124" s="386">
        <f t="shared" si="119"/>
        <v>0</v>
      </c>
      <c r="DF124" s="386">
        <f t="shared" si="119"/>
        <v>0</v>
      </c>
      <c r="DG124" s="987">
        <f t="shared" si="119"/>
        <v>0</v>
      </c>
      <c r="DH124" s="386">
        <f t="shared" si="119"/>
        <v>0</v>
      </c>
      <c r="DI124" s="386">
        <f t="shared" si="119"/>
        <v>0</v>
      </c>
      <c r="DJ124" s="386">
        <f t="shared" si="119"/>
        <v>0</v>
      </c>
      <c r="DK124" s="386">
        <f t="shared" si="119"/>
        <v>0</v>
      </c>
      <c r="DL124" s="386">
        <f t="shared" si="119"/>
        <v>0</v>
      </c>
      <c r="DM124" s="386">
        <f t="shared" si="119"/>
        <v>0</v>
      </c>
      <c r="DN124" s="386">
        <f t="shared" si="119"/>
        <v>0</v>
      </c>
      <c r="DO124" s="386">
        <f t="shared" si="119"/>
        <v>0</v>
      </c>
      <c r="DP124" s="386">
        <f t="shared" si="119"/>
        <v>0</v>
      </c>
      <c r="DQ124" s="386">
        <f t="shared" si="119"/>
        <v>0</v>
      </c>
      <c r="DR124" s="386">
        <f t="shared" si="119"/>
        <v>0</v>
      </c>
      <c r="DS124" s="987">
        <f t="shared" si="119"/>
        <v>0</v>
      </c>
      <c r="DT124" s="386">
        <f t="shared" si="119"/>
        <v>180.04777777777778</v>
      </c>
      <c r="DU124" s="386">
        <f t="shared" si="119"/>
        <v>236.72659574468088</v>
      </c>
      <c r="DV124" s="386">
        <f t="shared" si="119"/>
        <v>267.67619047619047</v>
      </c>
      <c r="DW124" s="386">
        <f t="shared" si="119"/>
        <v>274.41301369863015</v>
      </c>
      <c r="DX124" s="386">
        <f t="shared" si="119"/>
        <v>281.01586206896553</v>
      </c>
      <c r="DY124" s="386">
        <f t="shared" si="119"/>
        <v>279.00876923076925</v>
      </c>
      <c r="DZ124" s="386">
        <f t="shared" si="119"/>
        <v>277.84640000000002</v>
      </c>
      <c r="EA124" s="386">
        <f t="shared" si="119"/>
        <v>282.76696969696968</v>
      </c>
      <c r="EB124" s="386">
        <f t="shared" ref="EB124:FG124" si="120">IF(EB121=0,0,EB123/EB121)</f>
        <v>314.92293103448276</v>
      </c>
      <c r="EC124" s="386">
        <f t="shared" si="120"/>
        <v>246.18622950819673</v>
      </c>
      <c r="ED124" s="386">
        <f t="shared" si="120"/>
        <v>280.42311475409832</v>
      </c>
      <c r="EE124" s="987">
        <f t="shared" si="120"/>
        <v>257.7267175572519</v>
      </c>
      <c r="EF124" s="386">
        <f t="shared" si="120"/>
        <v>0</v>
      </c>
      <c r="EG124" s="386">
        <f t="shared" si="120"/>
        <v>0</v>
      </c>
      <c r="EH124" s="386">
        <f t="shared" si="120"/>
        <v>0</v>
      </c>
      <c r="EI124" s="386">
        <f t="shared" si="120"/>
        <v>0</v>
      </c>
      <c r="EJ124" s="386">
        <f t="shared" si="120"/>
        <v>0</v>
      </c>
      <c r="EK124" s="386">
        <f t="shared" si="120"/>
        <v>0</v>
      </c>
      <c r="EL124" s="386">
        <f t="shared" si="120"/>
        <v>0</v>
      </c>
      <c r="EM124" s="386">
        <f t="shared" si="120"/>
        <v>0</v>
      </c>
      <c r="EN124" s="386">
        <f t="shared" si="120"/>
        <v>0</v>
      </c>
      <c r="EO124" s="386">
        <f t="shared" si="120"/>
        <v>0</v>
      </c>
      <c r="EP124" s="386">
        <f t="shared" si="120"/>
        <v>0</v>
      </c>
      <c r="EQ124" s="987">
        <f t="shared" si="120"/>
        <v>0</v>
      </c>
      <c r="ER124" s="386">
        <f t="shared" si="120"/>
        <v>0</v>
      </c>
      <c r="ES124" s="386">
        <f t="shared" si="120"/>
        <v>0</v>
      </c>
      <c r="ET124" s="386">
        <f t="shared" si="120"/>
        <v>0</v>
      </c>
      <c r="EU124" s="386">
        <f t="shared" si="120"/>
        <v>0</v>
      </c>
      <c r="EV124" s="386">
        <f t="shared" si="120"/>
        <v>0</v>
      </c>
      <c r="EW124" s="386">
        <f t="shared" si="120"/>
        <v>0</v>
      </c>
      <c r="EX124" s="386">
        <f t="shared" si="120"/>
        <v>0</v>
      </c>
      <c r="EY124" s="386">
        <f t="shared" si="120"/>
        <v>0</v>
      </c>
      <c r="EZ124" s="386">
        <f t="shared" si="120"/>
        <v>0</v>
      </c>
      <c r="FA124" s="386">
        <f t="shared" si="120"/>
        <v>0</v>
      </c>
      <c r="FB124" s="386">
        <f t="shared" si="120"/>
        <v>0</v>
      </c>
      <c r="FC124" s="987">
        <f t="shared" si="120"/>
        <v>0</v>
      </c>
      <c r="FD124" s="386">
        <f t="shared" si="120"/>
        <v>0</v>
      </c>
      <c r="FE124" s="386">
        <f t="shared" si="120"/>
        <v>0</v>
      </c>
      <c r="FF124" s="386">
        <f t="shared" si="120"/>
        <v>0</v>
      </c>
      <c r="FG124" s="386">
        <f t="shared" si="120"/>
        <v>0</v>
      </c>
      <c r="FH124" s="386">
        <f t="shared" ref="FH124:GA124" si="121">IF(FH121=0,0,FH123/FH121)</f>
        <v>0</v>
      </c>
      <c r="FI124" s="386">
        <f t="shared" si="121"/>
        <v>0</v>
      </c>
      <c r="FJ124" s="386">
        <f t="shared" si="121"/>
        <v>0</v>
      </c>
      <c r="FK124" s="386">
        <f t="shared" si="121"/>
        <v>0</v>
      </c>
      <c r="FL124" s="386">
        <f t="shared" si="121"/>
        <v>0</v>
      </c>
      <c r="FM124" s="386">
        <f t="shared" si="121"/>
        <v>0</v>
      </c>
      <c r="FN124" s="386">
        <f t="shared" si="121"/>
        <v>0</v>
      </c>
      <c r="FO124" s="987">
        <f t="shared" si="121"/>
        <v>0</v>
      </c>
      <c r="FP124" s="386">
        <f t="shared" si="121"/>
        <v>0</v>
      </c>
      <c r="FQ124" s="386">
        <f t="shared" si="121"/>
        <v>0</v>
      </c>
      <c r="FR124" s="386">
        <f t="shared" si="121"/>
        <v>0</v>
      </c>
      <c r="FS124" s="386">
        <f t="shared" si="121"/>
        <v>0</v>
      </c>
      <c r="FT124" s="386">
        <f t="shared" si="121"/>
        <v>0</v>
      </c>
      <c r="FU124" s="386">
        <f t="shared" si="121"/>
        <v>0</v>
      </c>
      <c r="FV124" s="386">
        <f t="shared" si="121"/>
        <v>0</v>
      </c>
      <c r="FW124" s="386">
        <f t="shared" si="121"/>
        <v>0</v>
      </c>
      <c r="FX124" s="386">
        <f t="shared" si="121"/>
        <v>0</v>
      </c>
      <c r="FY124" s="386">
        <f t="shared" si="121"/>
        <v>0</v>
      </c>
      <c r="FZ124" s="386">
        <f t="shared" si="121"/>
        <v>0</v>
      </c>
      <c r="GA124" s="987">
        <f t="shared" si="121"/>
        <v>0</v>
      </c>
      <c r="GB124" s="109"/>
      <c r="GC124" s="1435">
        <f t="shared" ref="GC124:GZ124" si="122">IF(GC121=0,0,GC123/GC121)</f>
        <v>180.04777777777778</v>
      </c>
      <c r="GD124" s="387">
        <f t="shared" si="122"/>
        <v>236.72659574468088</v>
      </c>
      <c r="GE124" s="387">
        <f t="shared" si="122"/>
        <v>267.67619047619047</v>
      </c>
      <c r="GF124" s="387">
        <f t="shared" si="122"/>
        <v>274.41301369863015</v>
      </c>
      <c r="GG124" s="387">
        <f t="shared" si="122"/>
        <v>281.01586206896553</v>
      </c>
      <c r="GH124" s="387">
        <f t="shared" si="122"/>
        <v>279.00876923076925</v>
      </c>
      <c r="GI124" s="387">
        <f t="shared" si="122"/>
        <v>277.84640000000002</v>
      </c>
      <c r="GJ124" s="387">
        <f t="shared" si="122"/>
        <v>282.76696969696968</v>
      </c>
      <c r="GK124" s="387">
        <f t="shared" si="122"/>
        <v>314.92293103448276</v>
      </c>
      <c r="GL124" s="387">
        <f t="shared" si="122"/>
        <v>246.18622950819673</v>
      </c>
      <c r="GM124" s="387">
        <f t="shared" si="122"/>
        <v>280.42311475409832</v>
      </c>
      <c r="GN124" s="988">
        <f t="shared" si="122"/>
        <v>257.7267175572519</v>
      </c>
      <c r="GO124" s="1036">
        <f t="shared" si="122"/>
        <v>180.04777777777778</v>
      </c>
      <c r="GP124" s="387">
        <f t="shared" si="122"/>
        <v>236.72659574468088</v>
      </c>
      <c r="GQ124" s="387">
        <f t="shared" si="122"/>
        <v>267.67619047619047</v>
      </c>
      <c r="GR124" s="387">
        <f t="shared" si="122"/>
        <v>274.41301369863015</v>
      </c>
      <c r="GS124" s="387">
        <f t="shared" si="122"/>
        <v>281.01586206896553</v>
      </c>
      <c r="GT124" s="387">
        <f t="shared" si="122"/>
        <v>279.00876923076925</v>
      </c>
      <c r="GU124" s="387">
        <f t="shared" si="122"/>
        <v>277.84640000000002</v>
      </c>
      <c r="GV124" s="387">
        <f t="shared" si="122"/>
        <v>282.76696969696968</v>
      </c>
      <c r="GW124" s="387">
        <f t="shared" si="122"/>
        <v>314.92293103448276</v>
      </c>
      <c r="GX124" s="387">
        <f t="shared" si="122"/>
        <v>246.18622950819673</v>
      </c>
      <c r="GY124" s="387">
        <f t="shared" si="122"/>
        <v>280.42311475409832</v>
      </c>
      <c r="GZ124" s="988">
        <f t="shared" si="122"/>
        <v>257.7267175572519</v>
      </c>
      <c r="HB124" s="386">
        <f t="shared" ref="HB124:HM124" si="123">IF(HB121=0,0,HB123/HB121)</f>
        <v>0</v>
      </c>
      <c r="HC124" s="386">
        <f t="shared" si="123"/>
        <v>0</v>
      </c>
      <c r="HD124" s="386">
        <f t="shared" si="123"/>
        <v>0</v>
      </c>
      <c r="HE124" s="386">
        <f t="shared" si="123"/>
        <v>0</v>
      </c>
      <c r="HF124" s="386">
        <f t="shared" si="123"/>
        <v>0</v>
      </c>
      <c r="HG124" s="386">
        <f t="shared" si="123"/>
        <v>0</v>
      </c>
      <c r="HH124" s="386">
        <f t="shared" si="123"/>
        <v>0</v>
      </c>
      <c r="HI124" s="386">
        <f t="shared" si="123"/>
        <v>0</v>
      </c>
      <c r="HJ124" s="386">
        <f t="shared" si="123"/>
        <v>0</v>
      </c>
      <c r="HK124" s="386">
        <f t="shared" si="123"/>
        <v>0</v>
      </c>
      <c r="HL124" s="386">
        <f t="shared" si="123"/>
        <v>0</v>
      </c>
      <c r="HM124" s="987">
        <f t="shared" si="123"/>
        <v>0</v>
      </c>
    </row>
    <row r="125" spans="1:221">
      <c r="A125" s="326" t="s">
        <v>1599</v>
      </c>
      <c r="B125" s="326" t="s">
        <v>1579</v>
      </c>
      <c r="C125" s="326" t="s">
        <v>1580</v>
      </c>
      <c r="D125" s="1036" t="s">
        <v>2154</v>
      </c>
      <c r="E125" s="387" t="s">
        <v>2154</v>
      </c>
      <c r="F125" s="387" t="s">
        <v>2154</v>
      </c>
      <c r="G125" s="387" t="s">
        <v>2154</v>
      </c>
      <c r="H125" s="387" t="s">
        <v>2154</v>
      </c>
      <c r="I125" s="387" t="s">
        <v>2154</v>
      </c>
      <c r="J125" s="387" t="s">
        <v>2154</v>
      </c>
      <c r="K125" s="387" t="s">
        <v>2154</v>
      </c>
      <c r="L125" s="387" t="s">
        <v>2154</v>
      </c>
      <c r="M125" s="387" t="s">
        <v>2154</v>
      </c>
      <c r="N125" s="387" t="s">
        <v>2154</v>
      </c>
      <c r="O125" s="988" t="s">
        <v>2154</v>
      </c>
      <c r="P125" s="387" t="s">
        <v>2154</v>
      </c>
      <c r="Q125" s="387" t="s">
        <v>2154</v>
      </c>
      <c r="R125" s="387" t="s">
        <v>2154</v>
      </c>
      <c r="S125" s="387" t="s">
        <v>2154</v>
      </c>
      <c r="T125" s="387" t="s">
        <v>2154</v>
      </c>
      <c r="U125" s="387" t="s">
        <v>2154</v>
      </c>
      <c r="V125" s="387" t="s">
        <v>2154</v>
      </c>
      <c r="W125" s="387" t="s">
        <v>2154</v>
      </c>
      <c r="X125" s="387" t="s">
        <v>2154</v>
      </c>
      <c r="Y125" s="387" t="s">
        <v>2154</v>
      </c>
      <c r="Z125" s="387" t="s">
        <v>2154</v>
      </c>
      <c r="AA125" s="988" t="s">
        <v>2154</v>
      </c>
      <c r="AB125" s="387"/>
      <c r="AC125" s="387"/>
      <c r="AD125" s="387"/>
      <c r="AE125" s="387"/>
      <c r="AF125" s="387"/>
      <c r="AG125" s="387"/>
      <c r="AH125" s="387"/>
      <c r="AI125" s="387"/>
      <c r="AJ125" s="387"/>
      <c r="AK125" s="387"/>
      <c r="AL125" s="387"/>
      <c r="AM125" s="988"/>
      <c r="AN125" s="387"/>
      <c r="AO125" s="387"/>
      <c r="AP125" s="387"/>
      <c r="AQ125" s="387"/>
      <c r="AR125" s="387"/>
      <c r="AS125" s="387"/>
      <c r="AT125" s="387"/>
      <c r="AU125" s="387"/>
      <c r="AV125" s="387"/>
      <c r="AW125" s="387"/>
      <c r="AX125" s="387"/>
      <c r="AY125" s="988"/>
      <c r="AZ125" s="387"/>
      <c r="BA125" s="387"/>
      <c r="BB125" s="387"/>
      <c r="BC125" s="387"/>
      <c r="BD125" s="387"/>
      <c r="BE125" s="387"/>
      <c r="BF125" s="387"/>
      <c r="BG125" s="387"/>
      <c r="BH125" s="387"/>
      <c r="BI125" s="387"/>
      <c r="BJ125" s="387"/>
      <c r="BK125" s="988"/>
      <c r="BL125" s="387"/>
      <c r="BM125" s="387"/>
      <c r="BN125" s="387"/>
      <c r="BO125" s="387"/>
      <c r="BP125" s="387"/>
      <c r="BQ125" s="387"/>
      <c r="BR125" s="387"/>
      <c r="BS125" s="387"/>
      <c r="BT125" s="387"/>
      <c r="BU125" s="387"/>
      <c r="BV125" s="387"/>
      <c r="BW125" s="988"/>
      <c r="BX125" s="387"/>
      <c r="BY125" s="387"/>
      <c r="BZ125" s="387"/>
      <c r="CA125" s="387"/>
      <c r="CB125" s="387"/>
      <c r="CC125" s="387"/>
      <c r="CD125" s="387"/>
      <c r="CE125" s="387"/>
      <c r="CF125" s="387"/>
      <c r="CG125" s="387"/>
      <c r="CH125" s="387"/>
      <c r="CI125" s="988"/>
      <c r="CJ125" s="387"/>
      <c r="CK125" s="387"/>
      <c r="CL125" s="387"/>
      <c r="CM125" s="387"/>
      <c r="CN125" s="387"/>
      <c r="CO125" s="387"/>
      <c r="CP125" s="387"/>
      <c r="CQ125" s="387"/>
      <c r="CR125" s="387"/>
      <c r="CS125" s="387"/>
      <c r="CT125" s="387"/>
      <c r="CU125" s="988"/>
      <c r="CV125" s="387"/>
      <c r="CW125" s="387"/>
      <c r="CX125" s="387"/>
      <c r="CY125" s="387"/>
      <c r="CZ125" s="387"/>
      <c r="DA125" s="387"/>
      <c r="DB125" s="387"/>
      <c r="DC125" s="387"/>
      <c r="DD125" s="387"/>
      <c r="DE125" s="387"/>
      <c r="DF125" s="387"/>
      <c r="DG125" s="988"/>
      <c r="DH125" s="387"/>
      <c r="DI125" s="387"/>
      <c r="DJ125" s="386"/>
      <c r="DK125" s="386"/>
      <c r="DL125" s="386"/>
      <c r="DM125" s="386"/>
      <c r="DN125" s="386"/>
      <c r="DO125" s="386"/>
      <c r="DP125" s="386"/>
      <c r="DQ125" s="386"/>
      <c r="DR125" s="386"/>
      <c r="DS125" s="987"/>
      <c r="DT125" s="387">
        <v>24200.059999999998</v>
      </c>
      <c r="DU125" s="387">
        <v>21261.559999999998</v>
      </c>
      <c r="DV125" s="387">
        <v>16407.080000000002</v>
      </c>
      <c r="DW125" s="387">
        <v>18802.82</v>
      </c>
      <c r="DX125" s="387">
        <v>21661.19</v>
      </c>
      <c r="DY125" s="387">
        <v>24092.230000000003</v>
      </c>
      <c r="DZ125" s="387">
        <v>18041.27</v>
      </c>
      <c r="EA125" s="387">
        <v>19061.88</v>
      </c>
      <c r="EB125" s="387">
        <v>20983.06</v>
      </c>
      <c r="EC125" s="387">
        <v>24434.29</v>
      </c>
      <c r="ED125" s="387">
        <v>18650.68</v>
      </c>
      <c r="EE125" s="988">
        <v>-35554.76</v>
      </c>
      <c r="EF125" s="387"/>
      <c r="EG125" s="387"/>
      <c r="EH125" s="386"/>
      <c r="EI125" s="386"/>
      <c r="EJ125" s="386"/>
      <c r="EK125" s="386"/>
      <c r="EL125" s="386"/>
      <c r="EM125" s="386"/>
      <c r="EN125" s="386"/>
      <c r="EO125" s="386"/>
      <c r="EP125" s="386"/>
      <c r="EQ125" s="987"/>
      <c r="ER125" s="387"/>
      <c r="ES125" s="387"/>
      <c r="ET125" s="386"/>
      <c r="EU125" s="386"/>
      <c r="EV125" s="386"/>
      <c r="EW125" s="386"/>
      <c r="EX125" s="386"/>
      <c r="EY125" s="386"/>
      <c r="EZ125" s="386"/>
      <c r="FA125" s="386"/>
      <c r="FB125" s="386"/>
      <c r="FC125" s="987"/>
      <c r="FD125" s="387"/>
      <c r="FE125" s="387"/>
      <c r="FF125" s="386"/>
      <c r="FG125" s="386"/>
      <c r="FH125" s="386"/>
      <c r="FI125" s="386"/>
      <c r="FJ125" s="386"/>
      <c r="FK125" s="386"/>
      <c r="FL125" s="386"/>
      <c r="FM125" s="386"/>
      <c r="FN125" s="386"/>
      <c r="FO125" s="987"/>
      <c r="FP125" s="387"/>
      <c r="FQ125" s="387"/>
      <c r="FR125" s="386"/>
      <c r="FS125" s="386"/>
      <c r="FT125" s="386"/>
      <c r="FU125" s="386"/>
      <c r="FV125" s="386"/>
      <c r="FW125" s="386"/>
      <c r="FX125" s="386"/>
      <c r="FY125" s="386"/>
      <c r="FZ125" s="386"/>
      <c r="GA125" s="987"/>
      <c r="GB125" s="109"/>
      <c r="GC125" s="1435">
        <f t="shared" ref="GC125:GN138" si="124">SUMPRODUCT(--($D$6:$GA$6=GC$6),$D125:$GA125,$D$278:$GA$278)</f>
        <v>24200.059999999998</v>
      </c>
      <c r="GD125" s="387">
        <f t="shared" si="124"/>
        <v>21261.559999999998</v>
      </c>
      <c r="GE125" s="387">
        <f t="shared" si="124"/>
        <v>16407.080000000002</v>
      </c>
      <c r="GF125" s="387">
        <f t="shared" si="124"/>
        <v>18802.82</v>
      </c>
      <c r="GG125" s="387">
        <f t="shared" si="124"/>
        <v>21661.19</v>
      </c>
      <c r="GH125" s="387">
        <f t="shared" si="124"/>
        <v>24092.230000000003</v>
      </c>
      <c r="GI125" s="387">
        <f t="shared" si="124"/>
        <v>18041.27</v>
      </c>
      <c r="GJ125" s="387">
        <f t="shared" si="124"/>
        <v>19061.88</v>
      </c>
      <c r="GK125" s="387">
        <f t="shared" si="124"/>
        <v>20983.06</v>
      </c>
      <c r="GL125" s="387">
        <f t="shared" si="124"/>
        <v>24434.29</v>
      </c>
      <c r="GM125" s="387">
        <f t="shared" si="124"/>
        <v>18650.68</v>
      </c>
      <c r="GN125" s="988">
        <f t="shared" si="124"/>
        <v>-35554.76</v>
      </c>
      <c r="GO125" s="1036">
        <f t="shared" ref="GO125:GZ138" si="125">SUMPRODUCT(--($DT$6:$GA$6=GO$6),$DT125:$GA125,$DT$278:$GA$278)</f>
        <v>24200.059999999998</v>
      </c>
      <c r="GP125" s="387">
        <f t="shared" si="125"/>
        <v>21261.559999999998</v>
      </c>
      <c r="GQ125" s="387">
        <f t="shared" si="125"/>
        <v>16407.080000000002</v>
      </c>
      <c r="GR125" s="387">
        <f t="shared" si="125"/>
        <v>18802.82</v>
      </c>
      <c r="GS125" s="387">
        <f t="shared" si="125"/>
        <v>21661.19</v>
      </c>
      <c r="GT125" s="387">
        <f t="shared" si="125"/>
        <v>24092.230000000003</v>
      </c>
      <c r="GU125" s="387">
        <f t="shared" si="125"/>
        <v>18041.27</v>
      </c>
      <c r="GV125" s="387">
        <f t="shared" si="125"/>
        <v>19061.88</v>
      </c>
      <c r="GW125" s="387">
        <f t="shared" si="125"/>
        <v>20983.06</v>
      </c>
      <c r="GX125" s="387">
        <f t="shared" si="125"/>
        <v>24434.29</v>
      </c>
      <c r="GY125" s="387">
        <f t="shared" si="125"/>
        <v>18650.68</v>
      </c>
      <c r="GZ125" s="988">
        <f t="shared" si="125"/>
        <v>-35554.76</v>
      </c>
      <c r="HB125" s="386"/>
      <c r="HC125" s="386"/>
      <c r="HD125" s="386"/>
      <c r="HE125" s="386"/>
      <c r="HF125" s="386"/>
      <c r="HG125" s="386"/>
      <c r="HH125" s="386"/>
      <c r="HI125" s="386"/>
      <c r="HJ125" s="386"/>
      <c r="HK125" s="386"/>
      <c r="HL125" s="386"/>
      <c r="HM125" s="987"/>
    </row>
    <row r="126" spans="1:221">
      <c r="A126" s="326" t="s">
        <v>1599</v>
      </c>
      <c r="B126" s="326" t="s">
        <v>901</v>
      </c>
      <c r="C126" s="326" t="s">
        <v>1585</v>
      </c>
      <c r="D126" s="1036" t="s">
        <v>2154</v>
      </c>
      <c r="E126" s="387" t="s">
        <v>2154</v>
      </c>
      <c r="F126" s="387" t="s">
        <v>2154</v>
      </c>
      <c r="G126" s="387" t="s">
        <v>2154</v>
      </c>
      <c r="H126" s="387" t="s">
        <v>2154</v>
      </c>
      <c r="I126" s="387" t="s">
        <v>2154</v>
      </c>
      <c r="J126" s="387" t="s">
        <v>2154</v>
      </c>
      <c r="K126" s="387" t="s">
        <v>2154</v>
      </c>
      <c r="L126" s="387" t="s">
        <v>2154</v>
      </c>
      <c r="M126" s="387" t="s">
        <v>2154</v>
      </c>
      <c r="N126" s="387" t="s">
        <v>2154</v>
      </c>
      <c r="O126" s="988" t="s">
        <v>2154</v>
      </c>
      <c r="P126" s="387" t="s">
        <v>2154</v>
      </c>
      <c r="Q126" s="387" t="s">
        <v>2154</v>
      </c>
      <c r="R126" s="387" t="s">
        <v>2154</v>
      </c>
      <c r="S126" s="387" t="s">
        <v>2154</v>
      </c>
      <c r="T126" s="387" t="s">
        <v>2154</v>
      </c>
      <c r="U126" s="387" t="s">
        <v>2154</v>
      </c>
      <c r="V126" s="387" t="s">
        <v>2154</v>
      </c>
      <c r="W126" s="387" t="s">
        <v>2154</v>
      </c>
      <c r="X126" s="387" t="s">
        <v>2154</v>
      </c>
      <c r="Y126" s="387" t="s">
        <v>2154</v>
      </c>
      <c r="Z126" s="387" t="s">
        <v>2154</v>
      </c>
      <c r="AA126" s="988" t="s">
        <v>2154</v>
      </c>
      <c r="AB126" s="387"/>
      <c r="AC126" s="387"/>
      <c r="AD126" s="387"/>
      <c r="AE126" s="387"/>
      <c r="AF126" s="387"/>
      <c r="AG126" s="387"/>
      <c r="AH126" s="387"/>
      <c r="AI126" s="387"/>
      <c r="AJ126" s="387"/>
      <c r="AK126" s="387"/>
      <c r="AL126" s="387"/>
      <c r="AM126" s="988"/>
      <c r="AN126" s="387"/>
      <c r="AO126" s="387"/>
      <c r="AP126" s="387"/>
      <c r="AQ126" s="387"/>
      <c r="AR126" s="387"/>
      <c r="AS126" s="387"/>
      <c r="AT126" s="387"/>
      <c r="AU126" s="387"/>
      <c r="AV126" s="387"/>
      <c r="AW126" s="387"/>
      <c r="AX126" s="387"/>
      <c r="AY126" s="988"/>
      <c r="AZ126" s="387"/>
      <c r="BA126" s="387"/>
      <c r="BB126" s="387"/>
      <c r="BC126" s="387"/>
      <c r="BD126" s="387"/>
      <c r="BE126" s="387"/>
      <c r="BF126" s="387"/>
      <c r="BG126" s="387"/>
      <c r="BH126" s="387"/>
      <c r="BI126" s="387"/>
      <c r="BJ126" s="387"/>
      <c r="BK126" s="988"/>
      <c r="BL126" s="387"/>
      <c r="BM126" s="387"/>
      <c r="BN126" s="387"/>
      <c r="BO126" s="387"/>
      <c r="BP126" s="387"/>
      <c r="BQ126" s="387"/>
      <c r="BR126" s="387"/>
      <c r="BS126" s="387"/>
      <c r="BT126" s="387"/>
      <c r="BU126" s="387"/>
      <c r="BV126" s="387"/>
      <c r="BW126" s="988"/>
      <c r="BX126" s="387"/>
      <c r="BY126" s="387"/>
      <c r="BZ126" s="387"/>
      <c r="CA126" s="387"/>
      <c r="CB126" s="387"/>
      <c r="CC126" s="387"/>
      <c r="CD126" s="387"/>
      <c r="CE126" s="387"/>
      <c r="CF126" s="387"/>
      <c r="CG126" s="387"/>
      <c r="CH126" s="387"/>
      <c r="CI126" s="988"/>
      <c r="CJ126" s="387"/>
      <c r="CK126" s="387"/>
      <c r="CL126" s="387"/>
      <c r="CM126" s="387"/>
      <c r="CN126" s="387"/>
      <c r="CO126" s="387"/>
      <c r="CP126" s="387"/>
      <c r="CQ126" s="387"/>
      <c r="CR126" s="387"/>
      <c r="CS126" s="387"/>
      <c r="CT126" s="387"/>
      <c r="CU126" s="988"/>
      <c r="CV126" s="387"/>
      <c r="CW126" s="387"/>
      <c r="CX126" s="387"/>
      <c r="CY126" s="387"/>
      <c r="CZ126" s="387"/>
      <c r="DA126" s="387"/>
      <c r="DB126" s="387"/>
      <c r="DC126" s="387"/>
      <c r="DD126" s="387"/>
      <c r="DE126" s="387"/>
      <c r="DF126" s="387"/>
      <c r="DG126" s="988"/>
      <c r="DH126" s="387"/>
      <c r="DI126" s="387"/>
      <c r="DJ126" s="387"/>
      <c r="DK126" s="387"/>
      <c r="DL126" s="387"/>
      <c r="DM126" s="387"/>
      <c r="DN126" s="387"/>
      <c r="DO126" s="387"/>
      <c r="DP126" s="387"/>
      <c r="DQ126" s="387"/>
      <c r="DR126" s="387"/>
      <c r="DS126" s="988"/>
      <c r="DT126" s="387">
        <v>1603.7900000000002</v>
      </c>
      <c r="DU126" s="387">
        <v>1429.2000000000003</v>
      </c>
      <c r="DV126" s="387">
        <v>2024.7</v>
      </c>
      <c r="DW126" s="387">
        <v>3287.1600000000003</v>
      </c>
      <c r="DX126" s="387">
        <v>4589.32</v>
      </c>
      <c r="DY126" s="387">
        <v>4859.2800000000007</v>
      </c>
      <c r="DZ126" s="387">
        <v>571.67999999999995</v>
      </c>
      <c r="EA126" s="387">
        <v>3696.0699999999997</v>
      </c>
      <c r="EB126" s="387">
        <v>6002.6399999999994</v>
      </c>
      <c r="EC126" s="387">
        <v>5002.2</v>
      </c>
      <c r="ED126" s="387">
        <v>1286.2800000000002</v>
      </c>
      <c r="EE126" s="988">
        <v>-10084.799999999999</v>
      </c>
      <c r="EF126" s="387"/>
      <c r="EG126" s="387"/>
      <c r="EH126" s="387"/>
      <c r="EI126" s="387"/>
      <c r="EJ126" s="387"/>
      <c r="EK126" s="387"/>
      <c r="EL126" s="387"/>
      <c r="EM126" s="387"/>
      <c r="EN126" s="387"/>
      <c r="EO126" s="387"/>
      <c r="EP126" s="387"/>
      <c r="EQ126" s="988"/>
      <c r="ER126" s="387"/>
      <c r="ES126" s="387"/>
      <c r="ET126" s="387"/>
      <c r="EU126" s="387"/>
      <c r="EV126" s="387"/>
      <c r="EW126" s="387"/>
      <c r="EX126" s="387"/>
      <c r="EY126" s="387"/>
      <c r="EZ126" s="387"/>
      <c r="FA126" s="387"/>
      <c r="FB126" s="387"/>
      <c r="FC126" s="988"/>
      <c r="FD126" s="387"/>
      <c r="FE126" s="387"/>
      <c r="FF126" s="387"/>
      <c r="FG126" s="387"/>
      <c r="FH126" s="387"/>
      <c r="FI126" s="387"/>
      <c r="FJ126" s="387"/>
      <c r="FK126" s="387"/>
      <c r="FL126" s="387"/>
      <c r="FM126" s="387"/>
      <c r="FN126" s="387"/>
      <c r="FO126" s="988"/>
      <c r="FP126" s="387"/>
      <c r="FQ126" s="387"/>
      <c r="FR126" s="387"/>
      <c r="FS126" s="387"/>
      <c r="FT126" s="387"/>
      <c r="FU126" s="387"/>
      <c r="FV126" s="387"/>
      <c r="FW126" s="387"/>
      <c r="FX126" s="387"/>
      <c r="FY126" s="387"/>
      <c r="FZ126" s="387"/>
      <c r="GA126" s="988"/>
      <c r="GB126" s="109"/>
      <c r="GC126" s="1435">
        <f t="shared" si="124"/>
        <v>1603.7900000000002</v>
      </c>
      <c r="GD126" s="387">
        <f t="shared" si="124"/>
        <v>1429.2000000000003</v>
      </c>
      <c r="GE126" s="387">
        <f t="shared" si="124"/>
        <v>2024.7</v>
      </c>
      <c r="GF126" s="387">
        <f t="shared" si="124"/>
        <v>3287.1600000000003</v>
      </c>
      <c r="GG126" s="387">
        <f t="shared" si="124"/>
        <v>4589.32</v>
      </c>
      <c r="GH126" s="387">
        <f t="shared" si="124"/>
        <v>4859.2800000000007</v>
      </c>
      <c r="GI126" s="387">
        <f t="shared" si="124"/>
        <v>571.67999999999995</v>
      </c>
      <c r="GJ126" s="387">
        <f t="shared" si="124"/>
        <v>3696.0699999999997</v>
      </c>
      <c r="GK126" s="387">
        <f t="shared" si="124"/>
        <v>6002.6399999999994</v>
      </c>
      <c r="GL126" s="387">
        <f t="shared" si="124"/>
        <v>5002.2</v>
      </c>
      <c r="GM126" s="387">
        <f t="shared" si="124"/>
        <v>1286.2800000000002</v>
      </c>
      <c r="GN126" s="988">
        <f t="shared" si="124"/>
        <v>-10084.799999999999</v>
      </c>
      <c r="GO126" s="1036">
        <f t="shared" si="125"/>
        <v>1603.7900000000002</v>
      </c>
      <c r="GP126" s="387">
        <f t="shared" si="125"/>
        <v>1429.2000000000003</v>
      </c>
      <c r="GQ126" s="387">
        <f t="shared" si="125"/>
        <v>2024.7</v>
      </c>
      <c r="GR126" s="387">
        <f t="shared" si="125"/>
        <v>3287.1600000000003</v>
      </c>
      <c r="GS126" s="387">
        <f t="shared" si="125"/>
        <v>4589.32</v>
      </c>
      <c r="GT126" s="387">
        <f t="shared" si="125"/>
        <v>4859.2800000000007</v>
      </c>
      <c r="GU126" s="387">
        <f t="shared" si="125"/>
        <v>571.67999999999995</v>
      </c>
      <c r="GV126" s="387">
        <f t="shared" si="125"/>
        <v>3696.0699999999997</v>
      </c>
      <c r="GW126" s="387">
        <f t="shared" si="125"/>
        <v>6002.6399999999994</v>
      </c>
      <c r="GX126" s="387">
        <f t="shared" si="125"/>
        <v>5002.2</v>
      </c>
      <c r="GY126" s="387">
        <f t="shared" si="125"/>
        <v>1286.2800000000002</v>
      </c>
      <c r="GZ126" s="988">
        <f t="shared" si="125"/>
        <v>-10084.799999999999</v>
      </c>
      <c r="HB126" s="387"/>
      <c r="HC126" s="387"/>
      <c r="HD126" s="387"/>
      <c r="HE126" s="387"/>
      <c r="HF126" s="387"/>
      <c r="HG126" s="387"/>
      <c r="HH126" s="387"/>
      <c r="HI126" s="387"/>
      <c r="HJ126" s="387"/>
      <c r="HK126" s="387"/>
      <c r="HL126" s="387"/>
      <c r="HM126" s="988"/>
    </row>
    <row r="127" spans="1:221">
      <c r="A127" s="326" t="s">
        <v>1599</v>
      </c>
      <c r="B127" s="326" t="s">
        <v>901</v>
      </c>
      <c r="C127" s="326" t="s">
        <v>1586</v>
      </c>
      <c r="D127" s="1036" t="s">
        <v>2154</v>
      </c>
      <c r="E127" s="387" t="s">
        <v>2154</v>
      </c>
      <c r="F127" s="387" t="s">
        <v>2154</v>
      </c>
      <c r="G127" s="387" t="s">
        <v>2154</v>
      </c>
      <c r="H127" s="387" t="s">
        <v>2154</v>
      </c>
      <c r="I127" s="387" t="s">
        <v>2154</v>
      </c>
      <c r="J127" s="387" t="s">
        <v>2154</v>
      </c>
      <c r="K127" s="387" t="s">
        <v>2154</v>
      </c>
      <c r="L127" s="387" t="s">
        <v>2154</v>
      </c>
      <c r="M127" s="387" t="s">
        <v>2154</v>
      </c>
      <c r="N127" s="387" t="s">
        <v>2154</v>
      </c>
      <c r="O127" s="988" t="s">
        <v>2154</v>
      </c>
      <c r="P127" s="387" t="s">
        <v>2154</v>
      </c>
      <c r="Q127" s="387" t="s">
        <v>2154</v>
      </c>
      <c r="R127" s="387" t="s">
        <v>2154</v>
      </c>
      <c r="S127" s="387" t="s">
        <v>2154</v>
      </c>
      <c r="T127" s="387" t="s">
        <v>2154</v>
      </c>
      <c r="U127" s="387" t="s">
        <v>2154</v>
      </c>
      <c r="V127" s="387" t="s">
        <v>2154</v>
      </c>
      <c r="W127" s="387" t="s">
        <v>2154</v>
      </c>
      <c r="X127" s="387" t="s">
        <v>2154</v>
      </c>
      <c r="Y127" s="387" t="s">
        <v>2154</v>
      </c>
      <c r="Z127" s="387" t="s">
        <v>2154</v>
      </c>
      <c r="AA127" s="988" t="s">
        <v>2154</v>
      </c>
      <c r="AB127" s="387"/>
      <c r="AC127" s="387"/>
      <c r="AD127" s="387"/>
      <c r="AE127" s="387"/>
      <c r="AF127" s="387"/>
      <c r="AG127" s="387"/>
      <c r="AH127" s="387"/>
      <c r="AI127" s="387"/>
      <c r="AJ127" s="387"/>
      <c r="AK127" s="387"/>
      <c r="AL127" s="387"/>
      <c r="AM127" s="988"/>
      <c r="AN127" s="387"/>
      <c r="AO127" s="387"/>
      <c r="AP127" s="387"/>
      <c r="AQ127" s="387"/>
      <c r="AR127" s="387"/>
      <c r="AS127" s="387"/>
      <c r="AT127" s="387"/>
      <c r="AU127" s="387"/>
      <c r="AV127" s="387"/>
      <c r="AW127" s="387"/>
      <c r="AX127" s="387"/>
      <c r="AY127" s="988"/>
      <c r="AZ127" s="387"/>
      <c r="BA127" s="387"/>
      <c r="BB127" s="387"/>
      <c r="BC127" s="387"/>
      <c r="BD127" s="387"/>
      <c r="BE127" s="387"/>
      <c r="BF127" s="387"/>
      <c r="BG127" s="387"/>
      <c r="BH127" s="387"/>
      <c r="BI127" s="387"/>
      <c r="BJ127" s="387"/>
      <c r="BK127" s="988"/>
      <c r="BL127" s="387"/>
      <c r="BM127" s="387"/>
      <c r="BN127" s="387"/>
      <c r="BO127" s="387"/>
      <c r="BP127" s="387"/>
      <c r="BQ127" s="387"/>
      <c r="BR127" s="387"/>
      <c r="BS127" s="387"/>
      <c r="BT127" s="387"/>
      <c r="BU127" s="387"/>
      <c r="BV127" s="387"/>
      <c r="BW127" s="988"/>
      <c r="BX127" s="387"/>
      <c r="BY127" s="387"/>
      <c r="BZ127" s="387"/>
      <c r="CA127" s="387"/>
      <c r="CB127" s="387"/>
      <c r="CC127" s="387"/>
      <c r="CD127" s="387"/>
      <c r="CE127" s="387"/>
      <c r="CF127" s="387"/>
      <c r="CG127" s="387"/>
      <c r="CH127" s="387"/>
      <c r="CI127" s="988"/>
      <c r="CJ127" s="387"/>
      <c r="CK127" s="387"/>
      <c r="CL127" s="387"/>
      <c r="CM127" s="387"/>
      <c r="CN127" s="387"/>
      <c r="CO127" s="387"/>
      <c r="CP127" s="387"/>
      <c r="CQ127" s="387"/>
      <c r="CR127" s="387"/>
      <c r="CS127" s="387"/>
      <c r="CT127" s="387"/>
      <c r="CU127" s="988"/>
      <c r="CV127" s="387"/>
      <c r="CW127" s="387"/>
      <c r="CX127" s="387"/>
      <c r="CY127" s="387"/>
      <c r="CZ127" s="387"/>
      <c r="DA127" s="387"/>
      <c r="DB127" s="387"/>
      <c r="DC127" s="387"/>
      <c r="DD127" s="387"/>
      <c r="DE127" s="387"/>
      <c r="DF127" s="387"/>
      <c r="DG127" s="988"/>
      <c r="DH127" s="387"/>
      <c r="DI127" s="387"/>
      <c r="DJ127" s="387"/>
      <c r="DK127" s="387"/>
      <c r="DL127" s="387"/>
      <c r="DM127" s="387"/>
      <c r="DN127" s="387"/>
      <c r="DO127" s="387"/>
      <c r="DP127" s="387"/>
      <c r="DQ127" s="387"/>
      <c r="DR127" s="387"/>
      <c r="DS127" s="988"/>
      <c r="DT127" s="387" t="s">
        <v>2154</v>
      </c>
      <c r="DU127" s="387" t="s">
        <v>2154</v>
      </c>
      <c r="DV127" s="387" t="s">
        <v>2154</v>
      </c>
      <c r="DW127" s="387" t="s">
        <v>2154</v>
      </c>
      <c r="DX127" s="387" t="s">
        <v>2154</v>
      </c>
      <c r="DY127" s="387" t="s">
        <v>2154</v>
      </c>
      <c r="DZ127" s="387" t="s">
        <v>2154</v>
      </c>
      <c r="EA127" s="387" t="s">
        <v>2154</v>
      </c>
      <c r="EB127" s="387" t="s">
        <v>2154</v>
      </c>
      <c r="EC127" s="387" t="s">
        <v>2154</v>
      </c>
      <c r="ED127" s="387" t="s">
        <v>2154</v>
      </c>
      <c r="EE127" s="988" t="s">
        <v>2154</v>
      </c>
      <c r="EF127" s="387"/>
      <c r="EG127" s="387"/>
      <c r="EH127" s="387"/>
      <c r="EI127" s="387"/>
      <c r="EJ127" s="387"/>
      <c r="EK127" s="387"/>
      <c r="EL127" s="387"/>
      <c r="EM127" s="387"/>
      <c r="EN127" s="387"/>
      <c r="EO127" s="387"/>
      <c r="EP127" s="387"/>
      <c r="EQ127" s="988"/>
      <c r="ER127" s="387"/>
      <c r="ES127" s="387"/>
      <c r="ET127" s="387"/>
      <c r="EU127" s="387"/>
      <c r="EV127" s="387"/>
      <c r="EW127" s="387"/>
      <c r="EX127" s="387"/>
      <c r="EY127" s="387"/>
      <c r="EZ127" s="387"/>
      <c r="FA127" s="387"/>
      <c r="FB127" s="387"/>
      <c r="FC127" s="988"/>
      <c r="FD127" s="387"/>
      <c r="FE127" s="387"/>
      <c r="FF127" s="387"/>
      <c r="FG127" s="387"/>
      <c r="FH127" s="387"/>
      <c r="FI127" s="387"/>
      <c r="FJ127" s="387"/>
      <c r="FK127" s="387"/>
      <c r="FL127" s="387"/>
      <c r="FM127" s="387"/>
      <c r="FN127" s="387"/>
      <c r="FO127" s="988"/>
      <c r="FP127" s="387"/>
      <c r="FQ127" s="387"/>
      <c r="FR127" s="387"/>
      <c r="FS127" s="387"/>
      <c r="FT127" s="387"/>
      <c r="FU127" s="387"/>
      <c r="FV127" s="387"/>
      <c r="FW127" s="387"/>
      <c r="FX127" s="387"/>
      <c r="FY127" s="387"/>
      <c r="FZ127" s="387"/>
      <c r="GA127" s="988"/>
      <c r="GB127" s="109"/>
      <c r="GC127" s="1435">
        <f t="shared" si="124"/>
        <v>0</v>
      </c>
      <c r="GD127" s="387">
        <f t="shared" si="124"/>
        <v>0</v>
      </c>
      <c r="GE127" s="387">
        <f t="shared" si="124"/>
        <v>0</v>
      </c>
      <c r="GF127" s="387">
        <f t="shared" si="124"/>
        <v>0</v>
      </c>
      <c r="GG127" s="387">
        <f t="shared" si="124"/>
        <v>0</v>
      </c>
      <c r="GH127" s="387">
        <f t="shared" si="124"/>
        <v>0</v>
      </c>
      <c r="GI127" s="387">
        <f t="shared" si="124"/>
        <v>0</v>
      </c>
      <c r="GJ127" s="387">
        <f t="shared" si="124"/>
        <v>0</v>
      </c>
      <c r="GK127" s="387">
        <f t="shared" si="124"/>
        <v>0</v>
      </c>
      <c r="GL127" s="387">
        <f t="shared" si="124"/>
        <v>0</v>
      </c>
      <c r="GM127" s="387">
        <f t="shared" si="124"/>
        <v>0</v>
      </c>
      <c r="GN127" s="988">
        <f t="shared" si="124"/>
        <v>0</v>
      </c>
      <c r="GO127" s="1036">
        <f t="shared" si="125"/>
        <v>0</v>
      </c>
      <c r="GP127" s="387">
        <f t="shared" si="125"/>
        <v>0</v>
      </c>
      <c r="GQ127" s="387">
        <f t="shared" si="125"/>
        <v>0</v>
      </c>
      <c r="GR127" s="387">
        <f t="shared" si="125"/>
        <v>0</v>
      </c>
      <c r="GS127" s="387">
        <f t="shared" si="125"/>
        <v>0</v>
      </c>
      <c r="GT127" s="387">
        <f t="shared" si="125"/>
        <v>0</v>
      </c>
      <c r="GU127" s="387">
        <f t="shared" si="125"/>
        <v>0</v>
      </c>
      <c r="GV127" s="387">
        <f t="shared" si="125"/>
        <v>0</v>
      </c>
      <c r="GW127" s="387">
        <f t="shared" si="125"/>
        <v>0</v>
      </c>
      <c r="GX127" s="387">
        <f t="shared" si="125"/>
        <v>0</v>
      </c>
      <c r="GY127" s="387">
        <f t="shared" si="125"/>
        <v>0</v>
      </c>
      <c r="GZ127" s="988">
        <f t="shared" si="125"/>
        <v>0</v>
      </c>
      <c r="HB127" s="387"/>
      <c r="HC127" s="387"/>
      <c r="HD127" s="387"/>
      <c r="HE127" s="387"/>
      <c r="HF127" s="387"/>
      <c r="HG127" s="387"/>
      <c r="HH127" s="387"/>
      <c r="HI127" s="387"/>
      <c r="HJ127" s="387"/>
      <c r="HK127" s="387"/>
      <c r="HL127" s="387"/>
      <c r="HM127" s="988"/>
    </row>
    <row r="128" spans="1:221">
      <c r="A128" s="326" t="s">
        <v>1599</v>
      </c>
      <c r="B128" s="326" t="s">
        <v>901</v>
      </c>
      <c r="C128" s="326" t="s">
        <v>1587</v>
      </c>
      <c r="D128" s="1036" t="s">
        <v>2154</v>
      </c>
      <c r="E128" s="387" t="s">
        <v>2154</v>
      </c>
      <c r="F128" s="387" t="s">
        <v>2154</v>
      </c>
      <c r="G128" s="387" t="s">
        <v>2154</v>
      </c>
      <c r="H128" s="387" t="s">
        <v>2154</v>
      </c>
      <c r="I128" s="387" t="s">
        <v>2154</v>
      </c>
      <c r="J128" s="387" t="s">
        <v>2154</v>
      </c>
      <c r="K128" s="387" t="s">
        <v>2154</v>
      </c>
      <c r="L128" s="387" t="s">
        <v>2154</v>
      </c>
      <c r="M128" s="387" t="s">
        <v>2154</v>
      </c>
      <c r="N128" s="387" t="s">
        <v>2154</v>
      </c>
      <c r="O128" s="988" t="s">
        <v>2154</v>
      </c>
      <c r="P128" s="387" t="s">
        <v>2154</v>
      </c>
      <c r="Q128" s="387" t="s">
        <v>2154</v>
      </c>
      <c r="R128" s="387" t="s">
        <v>2154</v>
      </c>
      <c r="S128" s="387" t="s">
        <v>2154</v>
      </c>
      <c r="T128" s="387" t="s">
        <v>2154</v>
      </c>
      <c r="U128" s="387" t="s">
        <v>2154</v>
      </c>
      <c r="V128" s="387" t="s">
        <v>2154</v>
      </c>
      <c r="W128" s="387" t="s">
        <v>2154</v>
      </c>
      <c r="X128" s="387" t="s">
        <v>2154</v>
      </c>
      <c r="Y128" s="387" t="s">
        <v>2154</v>
      </c>
      <c r="Z128" s="387" t="s">
        <v>2154</v>
      </c>
      <c r="AA128" s="988" t="s">
        <v>2154</v>
      </c>
      <c r="AB128" s="387"/>
      <c r="AC128" s="387"/>
      <c r="AD128" s="387"/>
      <c r="AE128" s="387"/>
      <c r="AF128" s="387"/>
      <c r="AG128" s="387"/>
      <c r="AH128" s="387"/>
      <c r="AI128" s="387"/>
      <c r="AJ128" s="387"/>
      <c r="AK128" s="387"/>
      <c r="AL128" s="387"/>
      <c r="AM128" s="988"/>
      <c r="AN128" s="387"/>
      <c r="AO128" s="387"/>
      <c r="AP128" s="387"/>
      <c r="AQ128" s="387"/>
      <c r="AR128" s="387"/>
      <c r="AS128" s="387"/>
      <c r="AT128" s="387"/>
      <c r="AU128" s="387"/>
      <c r="AV128" s="387"/>
      <c r="AW128" s="387"/>
      <c r="AX128" s="387"/>
      <c r="AY128" s="988"/>
      <c r="AZ128" s="387"/>
      <c r="BA128" s="387"/>
      <c r="BB128" s="387"/>
      <c r="BC128" s="387"/>
      <c r="BD128" s="387"/>
      <c r="BE128" s="387"/>
      <c r="BF128" s="387"/>
      <c r="BG128" s="387"/>
      <c r="BH128" s="387"/>
      <c r="BI128" s="387"/>
      <c r="BJ128" s="387"/>
      <c r="BK128" s="988"/>
      <c r="BL128" s="387"/>
      <c r="BM128" s="387"/>
      <c r="BN128" s="387"/>
      <c r="BO128" s="387"/>
      <c r="BP128" s="387"/>
      <c r="BQ128" s="387"/>
      <c r="BR128" s="387"/>
      <c r="BS128" s="387"/>
      <c r="BT128" s="387"/>
      <c r="BU128" s="387"/>
      <c r="BV128" s="387"/>
      <c r="BW128" s="988"/>
      <c r="BX128" s="387"/>
      <c r="BY128" s="387"/>
      <c r="BZ128" s="387"/>
      <c r="CA128" s="387"/>
      <c r="CB128" s="387"/>
      <c r="CC128" s="387"/>
      <c r="CD128" s="387"/>
      <c r="CE128" s="387"/>
      <c r="CF128" s="387"/>
      <c r="CG128" s="387"/>
      <c r="CH128" s="387"/>
      <c r="CI128" s="988"/>
      <c r="CJ128" s="387"/>
      <c r="CK128" s="387"/>
      <c r="CL128" s="387"/>
      <c r="CM128" s="387"/>
      <c r="CN128" s="387"/>
      <c r="CO128" s="387"/>
      <c r="CP128" s="387"/>
      <c r="CQ128" s="387"/>
      <c r="CR128" s="387"/>
      <c r="CS128" s="387"/>
      <c r="CT128" s="387"/>
      <c r="CU128" s="988"/>
      <c r="CV128" s="387"/>
      <c r="CW128" s="387"/>
      <c r="CX128" s="387"/>
      <c r="CY128" s="387"/>
      <c r="CZ128" s="387"/>
      <c r="DA128" s="387"/>
      <c r="DB128" s="387"/>
      <c r="DC128" s="387"/>
      <c r="DD128" s="387"/>
      <c r="DE128" s="387"/>
      <c r="DF128" s="387"/>
      <c r="DG128" s="988"/>
      <c r="DH128" s="387"/>
      <c r="DI128" s="387"/>
      <c r="DJ128" s="387"/>
      <c r="DK128" s="387"/>
      <c r="DL128" s="387"/>
      <c r="DM128" s="387"/>
      <c r="DN128" s="387"/>
      <c r="DO128" s="387"/>
      <c r="DP128" s="387"/>
      <c r="DQ128" s="387"/>
      <c r="DR128" s="387"/>
      <c r="DS128" s="988"/>
      <c r="DT128" s="387" t="s">
        <v>2154</v>
      </c>
      <c r="DU128" s="387" t="s">
        <v>2154</v>
      </c>
      <c r="DV128" s="387" t="s">
        <v>2154</v>
      </c>
      <c r="DW128" s="387" t="s">
        <v>2154</v>
      </c>
      <c r="DX128" s="387" t="s">
        <v>2154</v>
      </c>
      <c r="DY128" s="387" t="s">
        <v>2154</v>
      </c>
      <c r="DZ128" s="387" t="s">
        <v>2154</v>
      </c>
      <c r="EA128" s="387" t="s">
        <v>2154</v>
      </c>
      <c r="EB128" s="387" t="s">
        <v>2154</v>
      </c>
      <c r="EC128" s="387" t="s">
        <v>2154</v>
      </c>
      <c r="ED128" s="387" t="s">
        <v>2154</v>
      </c>
      <c r="EE128" s="988" t="s">
        <v>2154</v>
      </c>
      <c r="EF128" s="387"/>
      <c r="EG128" s="387"/>
      <c r="EH128" s="387"/>
      <c r="EI128" s="387"/>
      <c r="EJ128" s="387"/>
      <c r="EK128" s="387"/>
      <c r="EL128" s="387"/>
      <c r="EM128" s="387"/>
      <c r="EN128" s="387"/>
      <c r="EO128" s="387"/>
      <c r="EP128" s="387"/>
      <c r="EQ128" s="988"/>
      <c r="ER128" s="387"/>
      <c r="ES128" s="387"/>
      <c r="ET128" s="387"/>
      <c r="EU128" s="387"/>
      <c r="EV128" s="387"/>
      <c r="EW128" s="387"/>
      <c r="EX128" s="387"/>
      <c r="EY128" s="387"/>
      <c r="EZ128" s="387"/>
      <c r="FA128" s="387"/>
      <c r="FB128" s="387"/>
      <c r="FC128" s="988"/>
      <c r="FD128" s="387"/>
      <c r="FE128" s="387"/>
      <c r="FF128" s="387"/>
      <c r="FG128" s="387"/>
      <c r="FH128" s="387"/>
      <c r="FI128" s="387"/>
      <c r="FJ128" s="387"/>
      <c r="FK128" s="387"/>
      <c r="FL128" s="387"/>
      <c r="FM128" s="387"/>
      <c r="FN128" s="387"/>
      <c r="FO128" s="988"/>
      <c r="FP128" s="387"/>
      <c r="FQ128" s="387"/>
      <c r="FR128" s="387"/>
      <c r="FS128" s="387"/>
      <c r="FT128" s="387"/>
      <c r="FU128" s="387"/>
      <c r="FV128" s="387"/>
      <c r="FW128" s="387"/>
      <c r="FX128" s="387"/>
      <c r="FY128" s="387"/>
      <c r="FZ128" s="387"/>
      <c r="GA128" s="988"/>
      <c r="GB128" s="109"/>
      <c r="GC128" s="1435">
        <f t="shared" si="124"/>
        <v>0</v>
      </c>
      <c r="GD128" s="387">
        <f t="shared" si="124"/>
        <v>0</v>
      </c>
      <c r="GE128" s="387">
        <f t="shared" si="124"/>
        <v>0</v>
      </c>
      <c r="GF128" s="387">
        <f t="shared" si="124"/>
        <v>0</v>
      </c>
      <c r="GG128" s="387">
        <f t="shared" si="124"/>
        <v>0</v>
      </c>
      <c r="GH128" s="387">
        <f t="shared" si="124"/>
        <v>0</v>
      </c>
      <c r="GI128" s="387">
        <f t="shared" si="124"/>
        <v>0</v>
      </c>
      <c r="GJ128" s="387">
        <f t="shared" si="124"/>
        <v>0</v>
      </c>
      <c r="GK128" s="387">
        <f t="shared" si="124"/>
        <v>0</v>
      </c>
      <c r="GL128" s="387">
        <f t="shared" si="124"/>
        <v>0</v>
      </c>
      <c r="GM128" s="387">
        <f t="shared" si="124"/>
        <v>0</v>
      </c>
      <c r="GN128" s="988">
        <f t="shared" si="124"/>
        <v>0</v>
      </c>
      <c r="GO128" s="1036">
        <f t="shared" si="125"/>
        <v>0</v>
      </c>
      <c r="GP128" s="387">
        <f t="shared" si="125"/>
        <v>0</v>
      </c>
      <c r="GQ128" s="387">
        <f t="shared" si="125"/>
        <v>0</v>
      </c>
      <c r="GR128" s="387">
        <f t="shared" si="125"/>
        <v>0</v>
      </c>
      <c r="GS128" s="387">
        <f t="shared" si="125"/>
        <v>0</v>
      </c>
      <c r="GT128" s="387">
        <f t="shared" si="125"/>
        <v>0</v>
      </c>
      <c r="GU128" s="387">
        <f t="shared" si="125"/>
        <v>0</v>
      </c>
      <c r="GV128" s="387">
        <f t="shared" si="125"/>
        <v>0</v>
      </c>
      <c r="GW128" s="387">
        <f t="shared" si="125"/>
        <v>0</v>
      </c>
      <c r="GX128" s="387">
        <f t="shared" si="125"/>
        <v>0</v>
      </c>
      <c r="GY128" s="387">
        <f t="shared" si="125"/>
        <v>0</v>
      </c>
      <c r="GZ128" s="988">
        <f t="shared" si="125"/>
        <v>0</v>
      </c>
      <c r="HB128" s="387"/>
      <c r="HC128" s="387"/>
      <c r="HD128" s="387"/>
      <c r="HE128" s="387"/>
      <c r="HF128" s="387"/>
      <c r="HG128" s="387"/>
      <c r="HH128" s="387"/>
      <c r="HI128" s="387"/>
      <c r="HJ128" s="387"/>
      <c r="HK128" s="387"/>
      <c r="HL128" s="387"/>
      <c r="HM128" s="988"/>
    </row>
    <row r="129" spans="1:221">
      <c r="A129" s="326" t="s">
        <v>1599</v>
      </c>
      <c r="B129" s="326" t="s">
        <v>901</v>
      </c>
      <c r="C129" s="326" t="s">
        <v>1588</v>
      </c>
      <c r="D129" s="1036" t="s">
        <v>2154</v>
      </c>
      <c r="E129" s="387" t="s">
        <v>2154</v>
      </c>
      <c r="F129" s="387" t="s">
        <v>2154</v>
      </c>
      <c r="G129" s="387" t="s">
        <v>2154</v>
      </c>
      <c r="H129" s="387" t="s">
        <v>2154</v>
      </c>
      <c r="I129" s="387" t="s">
        <v>2154</v>
      </c>
      <c r="J129" s="387" t="s">
        <v>2154</v>
      </c>
      <c r="K129" s="387" t="s">
        <v>2154</v>
      </c>
      <c r="L129" s="387" t="s">
        <v>2154</v>
      </c>
      <c r="M129" s="387" t="s">
        <v>2154</v>
      </c>
      <c r="N129" s="387" t="s">
        <v>2154</v>
      </c>
      <c r="O129" s="988" t="s">
        <v>2154</v>
      </c>
      <c r="P129" s="387" t="s">
        <v>2154</v>
      </c>
      <c r="Q129" s="387" t="s">
        <v>2154</v>
      </c>
      <c r="R129" s="387" t="s">
        <v>2154</v>
      </c>
      <c r="S129" s="387" t="s">
        <v>2154</v>
      </c>
      <c r="T129" s="387" t="s">
        <v>2154</v>
      </c>
      <c r="U129" s="387" t="s">
        <v>2154</v>
      </c>
      <c r="V129" s="387" t="s">
        <v>2154</v>
      </c>
      <c r="W129" s="387" t="s">
        <v>2154</v>
      </c>
      <c r="X129" s="387" t="s">
        <v>2154</v>
      </c>
      <c r="Y129" s="387" t="s">
        <v>2154</v>
      </c>
      <c r="Z129" s="387" t="s">
        <v>2154</v>
      </c>
      <c r="AA129" s="988" t="s">
        <v>2154</v>
      </c>
      <c r="AB129" s="387"/>
      <c r="AC129" s="387"/>
      <c r="AD129" s="387"/>
      <c r="AE129" s="387"/>
      <c r="AF129" s="387"/>
      <c r="AG129" s="387"/>
      <c r="AH129" s="387"/>
      <c r="AI129" s="387"/>
      <c r="AJ129" s="387"/>
      <c r="AK129" s="387"/>
      <c r="AL129" s="387"/>
      <c r="AM129" s="988"/>
      <c r="AN129" s="387"/>
      <c r="AO129" s="387"/>
      <c r="AP129" s="387"/>
      <c r="AQ129" s="387"/>
      <c r="AR129" s="387"/>
      <c r="AS129" s="387"/>
      <c r="AT129" s="387"/>
      <c r="AU129" s="387"/>
      <c r="AV129" s="387"/>
      <c r="AW129" s="387"/>
      <c r="AX129" s="387"/>
      <c r="AY129" s="988"/>
      <c r="AZ129" s="387"/>
      <c r="BA129" s="387"/>
      <c r="BB129" s="387"/>
      <c r="BC129" s="387"/>
      <c r="BD129" s="387"/>
      <c r="BE129" s="387"/>
      <c r="BF129" s="387"/>
      <c r="BG129" s="387"/>
      <c r="BH129" s="387"/>
      <c r="BI129" s="387"/>
      <c r="BJ129" s="387"/>
      <c r="BK129" s="988"/>
      <c r="BL129" s="387"/>
      <c r="BM129" s="387"/>
      <c r="BN129" s="387"/>
      <c r="BO129" s="387"/>
      <c r="BP129" s="387"/>
      <c r="BQ129" s="387"/>
      <c r="BR129" s="387"/>
      <c r="BS129" s="387"/>
      <c r="BT129" s="387"/>
      <c r="BU129" s="387"/>
      <c r="BV129" s="387"/>
      <c r="BW129" s="988"/>
      <c r="BX129" s="387"/>
      <c r="BY129" s="387"/>
      <c r="BZ129" s="387"/>
      <c r="CA129" s="387"/>
      <c r="CB129" s="387"/>
      <c r="CC129" s="387"/>
      <c r="CD129" s="387"/>
      <c r="CE129" s="387"/>
      <c r="CF129" s="387"/>
      <c r="CG129" s="387"/>
      <c r="CH129" s="387"/>
      <c r="CI129" s="988"/>
      <c r="CJ129" s="387"/>
      <c r="CK129" s="387"/>
      <c r="CL129" s="387"/>
      <c r="CM129" s="387"/>
      <c r="CN129" s="387"/>
      <c r="CO129" s="387"/>
      <c r="CP129" s="387"/>
      <c r="CQ129" s="387"/>
      <c r="CR129" s="387"/>
      <c r="CS129" s="387"/>
      <c r="CT129" s="387"/>
      <c r="CU129" s="988"/>
      <c r="CV129" s="387"/>
      <c r="CW129" s="387"/>
      <c r="CX129" s="387"/>
      <c r="CY129" s="387"/>
      <c r="CZ129" s="387"/>
      <c r="DA129" s="387"/>
      <c r="DB129" s="387"/>
      <c r="DC129" s="387"/>
      <c r="DD129" s="387"/>
      <c r="DE129" s="387"/>
      <c r="DF129" s="387"/>
      <c r="DG129" s="988"/>
      <c r="DH129" s="387"/>
      <c r="DI129" s="387"/>
      <c r="DJ129" s="387"/>
      <c r="DK129" s="387"/>
      <c r="DL129" s="387"/>
      <c r="DM129" s="387"/>
      <c r="DN129" s="387"/>
      <c r="DO129" s="387"/>
      <c r="DP129" s="387"/>
      <c r="DQ129" s="387"/>
      <c r="DR129" s="387"/>
      <c r="DS129" s="988"/>
      <c r="DT129" s="387" t="s">
        <v>2154</v>
      </c>
      <c r="DU129" s="387" t="s">
        <v>2154</v>
      </c>
      <c r="DV129" s="387" t="s">
        <v>2154</v>
      </c>
      <c r="DW129" s="387" t="s">
        <v>2154</v>
      </c>
      <c r="DX129" s="387" t="s">
        <v>2154</v>
      </c>
      <c r="DY129" s="387" t="s">
        <v>2154</v>
      </c>
      <c r="DZ129" s="387" t="s">
        <v>2154</v>
      </c>
      <c r="EA129" s="387" t="s">
        <v>2154</v>
      </c>
      <c r="EB129" s="387" t="s">
        <v>2154</v>
      </c>
      <c r="EC129" s="387" t="s">
        <v>2154</v>
      </c>
      <c r="ED129" s="387" t="s">
        <v>2154</v>
      </c>
      <c r="EE129" s="988" t="s">
        <v>2154</v>
      </c>
      <c r="EF129" s="387"/>
      <c r="EG129" s="387"/>
      <c r="EH129" s="387"/>
      <c r="EI129" s="387"/>
      <c r="EJ129" s="387"/>
      <c r="EK129" s="387"/>
      <c r="EL129" s="387"/>
      <c r="EM129" s="387"/>
      <c r="EN129" s="387"/>
      <c r="EO129" s="387"/>
      <c r="EP129" s="387"/>
      <c r="EQ129" s="988"/>
      <c r="ER129" s="387"/>
      <c r="ES129" s="387"/>
      <c r="ET129" s="387"/>
      <c r="EU129" s="387"/>
      <c r="EV129" s="387"/>
      <c r="EW129" s="387"/>
      <c r="EX129" s="387"/>
      <c r="EY129" s="387"/>
      <c r="EZ129" s="387"/>
      <c r="FA129" s="387"/>
      <c r="FB129" s="387"/>
      <c r="FC129" s="988"/>
      <c r="FD129" s="387"/>
      <c r="FE129" s="387"/>
      <c r="FF129" s="387"/>
      <c r="FG129" s="387"/>
      <c r="FH129" s="387"/>
      <c r="FI129" s="387"/>
      <c r="FJ129" s="387"/>
      <c r="FK129" s="387"/>
      <c r="FL129" s="387"/>
      <c r="FM129" s="387"/>
      <c r="FN129" s="387"/>
      <c r="FO129" s="988"/>
      <c r="FP129" s="387"/>
      <c r="FQ129" s="387"/>
      <c r="FR129" s="387"/>
      <c r="FS129" s="387"/>
      <c r="FT129" s="387"/>
      <c r="FU129" s="387"/>
      <c r="FV129" s="387"/>
      <c r="FW129" s="387"/>
      <c r="FX129" s="387"/>
      <c r="FY129" s="387"/>
      <c r="FZ129" s="387"/>
      <c r="GA129" s="988"/>
      <c r="GB129" s="109"/>
      <c r="GC129" s="1435">
        <f t="shared" si="124"/>
        <v>0</v>
      </c>
      <c r="GD129" s="387">
        <f t="shared" si="124"/>
        <v>0</v>
      </c>
      <c r="GE129" s="387">
        <f t="shared" si="124"/>
        <v>0</v>
      </c>
      <c r="GF129" s="387">
        <f t="shared" si="124"/>
        <v>0</v>
      </c>
      <c r="GG129" s="387">
        <f t="shared" si="124"/>
        <v>0</v>
      </c>
      <c r="GH129" s="387">
        <f t="shared" si="124"/>
        <v>0</v>
      </c>
      <c r="GI129" s="387">
        <f t="shared" si="124"/>
        <v>0</v>
      </c>
      <c r="GJ129" s="387">
        <f t="shared" si="124"/>
        <v>0</v>
      </c>
      <c r="GK129" s="387">
        <f t="shared" si="124"/>
        <v>0</v>
      </c>
      <c r="GL129" s="387">
        <f t="shared" si="124"/>
        <v>0</v>
      </c>
      <c r="GM129" s="387">
        <f t="shared" si="124"/>
        <v>0</v>
      </c>
      <c r="GN129" s="988">
        <f t="shared" si="124"/>
        <v>0</v>
      </c>
      <c r="GO129" s="1036">
        <f t="shared" si="125"/>
        <v>0</v>
      </c>
      <c r="GP129" s="387">
        <f t="shared" si="125"/>
        <v>0</v>
      </c>
      <c r="GQ129" s="387">
        <f t="shared" si="125"/>
        <v>0</v>
      </c>
      <c r="GR129" s="387">
        <f t="shared" si="125"/>
        <v>0</v>
      </c>
      <c r="GS129" s="387">
        <f t="shared" si="125"/>
        <v>0</v>
      </c>
      <c r="GT129" s="387">
        <f t="shared" si="125"/>
        <v>0</v>
      </c>
      <c r="GU129" s="387">
        <f t="shared" si="125"/>
        <v>0</v>
      </c>
      <c r="GV129" s="387">
        <f t="shared" si="125"/>
        <v>0</v>
      </c>
      <c r="GW129" s="387">
        <f t="shared" si="125"/>
        <v>0</v>
      </c>
      <c r="GX129" s="387">
        <f t="shared" si="125"/>
        <v>0</v>
      </c>
      <c r="GY129" s="387">
        <f t="shared" si="125"/>
        <v>0</v>
      </c>
      <c r="GZ129" s="988">
        <f t="shared" si="125"/>
        <v>0</v>
      </c>
      <c r="HB129" s="387"/>
      <c r="HC129" s="387"/>
      <c r="HD129" s="387"/>
      <c r="HE129" s="387"/>
      <c r="HF129" s="387"/>
      <c r="HG129" s="387"/>
      <c r="HH129" s="387"/>
      <c r="HI129" s="387"/>
      <c r="HJ129" s="387"/>
      <c r="HK129" s="387"/>
      <c r="HL129" s="387"/>
      <c r="HM129" s="988"/>
    </row>
    <row r="130" spans="1:221">
      <c r="A130" s="326" t="s">
        <v>1599</v>
      </c>
      <c r="B130" s="326" t="s">
        <v>901</v>
      </c>
      <c r="C130" s="326" t="s">
        <v>1589</v>
      </c>
      <c r="D130" s="1036" t="s">
        <v>2154</v>
      </c>
      <c r="E130" s="387" t="s">
        <v>2154</v>
      </c>
      <c r="F130" s="387" t="s">
        <v>2154</v>
      </c>
      <c r="G130" s="387" t="s">
        <v>2154</v>
      </c>
      <c r="H130" s="387" t="s">
        <v>2154</v>
      </c>
      <c r="I130" s="387" t="s">
        <v>2154</v>
      </c>
      <c r="J130" s="387" t="s">
        <v>2154</v>
      </c>
      <c r="K130" s="387" t="s">
        <v>2154</v>
      </c>
      <c r="L130" s="387" t="s">
        <v>2154</v>
      </c>
      <c r="M130" s="387" t="s">
        <v>2154</v>
      </c>
      <c r="N130" s="387" t="s">
        <v>2154</v>
      </c>
      <c r="O130" s="988" t="s">
        <v>2154</v>
      </c>
      <c r="P130" s="387" t="s">
        <v>2154</v>
      </c>
      <c r="Q130" s="387" t="s">
        <v>2154</v>
      </c>
      <c r="R130" s="387" t="s">
        <v>2154</v>
      </c>
      <c r="S130" s="387" t="s">
        <v>2154</v>
      </c>
      <c r="T130" s="387" t="s">
        <v>2154</v>
      </c>
      <c r="U130" s="387" t="s">
        <v>2154</v>
      </c>
      <c r="V130" s="387" t="s">
        <v>2154</v>
      </c>
      <c r="W130" s="387" t="s">
        <v>2154</v>
      </c>
      <c r="X130" s="387" t="s">
        <v>2154</v>
      </c>
      <c r="Y130" s="387" t="s">
        <v>2154</v>
      </c>
      <c r="Z130" s="387" t="s">
        <v>2154</v>
      </c>
      <c r="AA130" s="988" t="s">
        <v>2154</v>
      </c>
      <c r="AB130" s="387"/>
      <c r="AC130" s="387"/>
      <c r="AD130" s="387"/>
      <c r="AE130" s="387"/>
      <c r="AF130" s="387"/>
      <c r="AG130" s="387"/>
      <c r="AH130" s="387"/>
      <c r="AI130" s="387"/>
      <c r="AJ130" s="387"/>
      <c r="AK130" s="387"/>
      <c r="AL130" s="387"/>
      <c r="AM130" s="988"/>
      <c r="AN130" s="387"/>
      <c r="AO130" s="387"/>
      <c r="AP130" s="387"/>
      <c r="AQ130" s="387"/>
      <c r="AR130" s="387"/>
      <c r="AS130" s="387"/>
      <c r="AT130" s="387"/>
      <c r="AU130" s="387"/>
      <c r="AV130" s="387"/>
      <c r="AW130" s="387"/>
      <c r="AX130" s="387"/>
      <c r="AY130" s="988"/>
      <c r="AZ130" s="387"/>
      <c r="BA130" s="387"/>
      <c r="BB130" s="387"/>
      <c r="BC130" s="387"/>
      <c r="BD130" s="387"/>
      <c r="BE130" s="387"/>
      <c r="BF130" s="387"/>
      <c r="BG130" s="387"/>
      <c r="BH130" s="387"/>
      <c r="BI130" s="387"/>
      <c r="BJ130" s="387"/>
      <c r="BK130" s="988"/>
      <c r="BL130" s="387"/>
      <c r="BM130" s="387"/>
      <c r="BN130" s="387"/>
      <c r="BO130" s="387"/>
      <c r="BP130" s="387"/>
      <c r="BQ130" s="387"/>
      <c r="BR130" s="387"/>
      <c r="BS130" s="387"/>
      <c r="BT130" s="387"/>
      <c r="BU130" s="387"/>
      <c r="BV130" s="387"/>
      <c r="BW130" s="988"/>
      <c r="BX130" s="387"/>
      <c r="BY130" s="387"/>
      <c r="BZ130" s="387"/>
      <c r="CA130" s="387"/>
      <c r="CB130" s="387"/>
      <c r="CC130" s="387"/>
      <c r="CD130" s="387"/>
      <c r="CE130" s="387"/>
      <c r="CF130" s="387"/>
      <c r="CG130" s="387"/>
      <c r="CH130" s="387"/>
      <c r="CI130" s="988"/>
      <c r="CJ130" s="387"/>
      <c r="CK130" s="387"/>
      <c r="CL130" s="387"/>
      <c r="CM130" s="387"/>
      <c r="CN130" s="387"/>
      <c r="CO130" s="387"/>
      <c r="CP130" s="387"/>
      <c r="CQ130" s="387"/>
      <c r="CR130" s="387"/>
      <c r="CS130" s="387"/>
      <c r="CT130" s="387"/>
      <c r="CU130" s="988"/>
      <c r="CV130" s="387"/>
      <c r="CW130" s="387"/>
      <c r="CX130" s="387"/>
      <c r="CY130" s="387"/>
      <c r="CZ130" s="387"/>
      <c r="DA130" s="387"/>
      <c r="DB130" s="387"/>
      <c r="DC130" s="387"/>
      <c r="DD130" s="387"/>
      <c r="DE130" s="387"/>
      <c r="DF130" s="387"/>
      <c r="DG130" s="988"/>
      <c r="DH130" s="387"/>
      <c r="DI130" s="387"/>
      <c r="DJ130" s="387"/>
      <c r="DK130" s="387"/>
      <c r="DL130" s="387"/>
      <c r="DM130" s="387"/>
      <c r="DN130" s="387"/>
      <c r="DO130" s="387"/>
      <c r="DP130" s="387"/>
      <c r="DQ130" s="387"/>
      <c r="DR130" s="387"/>
      <c r="DS130" s="988"/>
      <c r="DT130" s="387" t="s">
        <v>2154</v>
      </c>
      <c r="DU130" s="387" t="s">
        <v>2154</v>
      </c>
      <c r="DV130" s="387" t="s">
        <v>2154</v>
      </c>
      <c r="DW130" s="387" t="s">
        <v>2154</v>
      </c>
      <c r="DX130" s="387" t="s">
        <v>2154</v>
      </c>
      <c r="DY130" s="387" t="s">
        <v>2154</v>
      </c>
      <c r="DZ130" s="387" t="s">
        <v>2154</v>
      </c>
      <c r="EA130" s="387" t="s">
        <v>2154</v>
      </c>
      <c r="EB130" s="387" t="s">
        <v>2154</v>
      </c>
      <c r="EC130" s="387" t="s">
        <v>2154</v>
      </c>
      <c r="ED130" s="387" t="s">
        <v>2154</v>
      </c>
      <c r="EE130" s="988" t="s">
        <v>2154</v>
      </c>
      <c r="EF130" s="387"/>
      <c r="EG130" s="387"/>
      <c r="EH130" s="387"/>
      <c r="EI130" s="387"/>
      <c r="EJ130" s="387"/>
      <c r="EK130" s="387"/>
      <c r="EL130" s="387"/>
      <c r="EM130" s="387"/>
      <c r="EN130" s="387"/>
      <c r="EO130" s="387"/>
      <c r="EP130" s="387"/>
      <c r="EQ130" s="988"/>
      <c r="ER130" s="387"/>
      <c r="ES130" s="387"/>
      <c r="ET130" s="387"/>
      <c r="EU130" s="387"/>
      <c r="EV130" s="387"/>
      <c r="EW130" s="387"/>
      <c r="EX130" s="387"/>
      <c r="EY130" s="387"/>
      <c r="EZ130" s="387"/>
      <c r="FA130" s="387"/>
      <c r="FB130" s="387"/>
      <c r="FC130" s="988"/>
      <c r="FD130" s="387"/>
      <c r="FE130" s="387"/>
      <c r="FF130" s="387"/>
      <c r="FG130" s="387"/>
      <c r="FH130" s="387"/>
      <c r="FI130" s="387"/>
      <c r="FJ130" s="387"/>
      <c r="FK130" s="387"/>
      <c r="FL130" s="387"/>
      <c r="FM130" s="387"/>
      <c r="FN130" s="387"/>
      <c r="FO130" s="988"/>
      <c r="FP130" s="387"/>
      <c r="FQ130" s="387"/>
      <c r="FR130" s="387"/>
      <c r="FS130" s="387"/>
      <c r="FT130" s="387"/>
      <c r="FU130" s="387"/>
      <c r="FV130" s="387"/>
      <c r="FW130" s="387"/>
      <c r="FX130" s="387"/>
      <c r="FY130" s="387"/>
      <c r="FZ130" s="387"/>
      <c r="GA130" s="988"/>
      <c r="GB130" s="109"/>
      <c r="GC130" s="1435">
        <f t="shared" si="124"/>
        <v>0</v>
      </c>
      <c r="GD130" s="387">
        <f t="shared" si="124"/>
        <v>0</v>
      </c>
      <c r="GE130" s="387">
        <f t="shared" si="124"/>
        <v>0</v>
      </c>
      <c r="GF130" s="387">
        <f t="shared" si="124"/>
        <v>0</v>
      </c>
      <c r="GG130" s="387">
        <f t="shared" si="124"/>
        <v>0</v>
      </c>
      <c r="GH130" s="387">
        <f t="shared" si="124"/>
        <v>0</v>
      </c>
      <c r="GI130" s="387">
        <f t="shared" si="124"/>
        <v>0</v>
      </c>
      <c r="GJ130" s="387">
        <f t="shared" si="124"/>
        <v>0</v>
      </c>
      <c r="GK130" s="387">
        <f t="shared" si="124"/>
        <v>0</v>
      </c>
      <c r="GL130" s="387">
        <f t="shared" si="124"/>
        <v>0</v>
      </c>
      <c r="GM130" s="387">
        <f t="shared" si="124"/>
        <v>0</v>
      </c>
      <c r="GN130" s="988">
        <f t="shared" si="124"/>
        <v>0</v>
      </c>
      <c r="GO130" s="1036">
        <f t="shared" si="125"/>
        <v>0</v>
      </c>
      <c r="GP130" s="387">
        <f t="shared" si="125"/>
        <v>0</v>
      </c>
      <c r="GQ130" s="387">
        <f t="shared" si="125"/>
        <v>0</v>
      </c>
      <c r="GR130" s="387">
        <f t="shared" si="125"/>
        <v>0</v>
      </c>
      <c r="GS130" s="387">
        <f t="shared" si="125"/>
        <v>0</v>
      </c>
      <c r="GT130" s="387">
        <f t="shared" si="125"/>
        <v>0</v>
      </c>
      <c r="GU130" s="387">
        <f t="shared" si="125"/>
        <v>0</v>
      </c>
      <c r="GV130" s="387">
        <f t="shared" si="125"/>
        <v>0</v>
      </c>
      <c r="GW130" s="387">
        <f t="shared" si="125"/>
        <v>0</v>
      </c>
      <c r="GX130" s="387">
        <f t="shared" si="125"/>
        <v>0</v>
      </c>
      <c r="GY130" s="387">
        <f t="shared" si="125"/>
        <v>0</v>
      </c>
      <c r="GZ130" s="988">
        <f t="shared" si="125"/>
        <v>0</v>
      </c>
      <c r="HB130" s="387"/>
      <c r="HC130" s="387"/>
      <c r="HD130" s="387"/>
      <c r="HE130" s="387"/>
      <c r="HF130" s="387"/>
      <c r="HG130" s="387"/>
      <c r="HH130" s="387"/>
      <c r="HI130" s="387"/>
      <c r="HJ130" s="387"/>
      <c r="HK130" s="387"/>
      <c r="HL130" s="387"/>
      <c r="HM130" s="988"/>
    </row>
    <row r="131" spans="1:221">
      <c r="A131" s="326" t="s">
        <v>1599</v>
      </c>
      <c r="B131" s="326" t="s">
        <v>901</v>
      </c>
      <c r="C131" s="326" t="s">
        <v>1590</v>
      </c>
      <c r="D131" s="1036" t="s">
        <v>2154</v>
      </c>
      <c r="E131" s="387" t="s">
        <v>2154</v>
      </c>
      <c r="F131" s="387" t="s">
        <v>2154</v>
      </c>
      <c r="G131" s="387" t="s">
        <v>2154</v>
      </c>
      <c r="H131" s="387" t="s">
        <v>2154</v>
      </c>
      <c r="I131" s="387" t="s">
        <v>2154</v>
      </c>
      <c r="J131" s="387" t="s">
        <v>2154</v>
      </c>
      <c r="K131" s="387" t="s">
        <v>2154</v>
      </c>
      <c r="L131" s="387" t="s">
        <v>2154</v>
      </c>
      <c r="M131" s="387" t="s">
        <v>2154</v>
      </c>
      <c r="N131" s="387" t="s">
        <v>2154</v>
      </c>
      <c r="O131" s="988" t="s">
        <v>2154</v>
      </c>
      <c r="P131" s="387" t="s">
        <v>2154</v>
      </c>
      <c r="Q131" s="387" t="s">
        <v>2154</v>
      </c>
      <c r="R131" s="387" t="s">
        <v>2154</v>
      </c>
      <c r="S131" s="387" t="s">
        <v>2154</v>
      </c>
      <c r="T131" s="387" t="s">
        <v>2154</v>
      </c>
      <c r="U131" s="387" t="s">
        <v>2154</v>
      </c>
      <c r="V131" s="387" t="s">
        <v>2154</v>
      </c>
      <c r="W131" s="387" t="s">
        <v>2154</v>
      </c>
      <c r="X131" s="387" t="s">
        <v>2154</v>
      </c>
      <c r="Y131" s="387" t="s">
        <v>2154</v>
      </c>
      <c r="Z131" s="387" t="s">
        <v>2154</v>
      </c>
      <c r="AA131" s="988" t="s">
        <v>2154</v>
      </c>
      <c r="AB131" s="387"/>
      <c r="AC131" s="387"/>
      <c r="AD131" s="387"/>
      <c r="AE131" s="387"/>
      <c r="AF131" s="387"/>
      <c r="AG131" s="387"/>
      <c r="AH131" s="387"/>
      <c r="AI131" s="387"/>
      <c r="AJ131" s="387"/>
      <c r="AK131" s="387"/>
      <c r="AL131" s="387"/>
      <c r="AM131" s="988"/>
      <c r="AN131" s="387"/>
      <c r="AO131" s="387"/>
      <c r="AP131" s="387"/>
      <c r="AQ131" s="387"/>
      <c r="AR131" s="387"/>
      <c r="AS131" s="387"/>
      <c r="AT131" s="387"/>
      <c r="AU131" s="387"/>
      <c r="AV131" s="387"/>
      <c r="AW131" s="387"/>
      <c r="AX131" s="387"/>
      <c r="AY131" s="988"/>
      <c r="AZ131" s="387"/>
      <c r="BA131" s="387"/>
      <c r="BB131" s="387"/>
      <c r="BC131" s="387"/>
      <c r="BD131" s="387"/>
      <c r="BE131" s="387"/>
      <c r="BF131" s="387"/>
      <c r="BG131" s="387"/>
      <c r="BH131" s="387"/>
      <c r="BI131" s="387"/>
      <c r="BJ131" s="387"/>
      <c r="BK131" s="988"/>
      <c r="BL131" s="387"/>
      <c r="BM131" s="387"/>
      <c r="BN131" s="387"/>
      <c r="BO131" s="387"/>
      <c r="BP131" s="387"/>
      <c r="BQ131" s="387"/>
      <c r="BR131" s="387"/>
      <c r="BS131" s="387"/>
      <c r="BT131" s="387"/>
      <c r="BU131" s="387"/>
      <c r="BV131" s="387"/>
      <c r="BW131" s="988"/>
      <c r="BX131" s="387"/>
      <c r="BY131" s="387"/>
      <c r="BZ131" s="387"/>
      <c r="CA131" s="387"/>
      <c r="CB131" s="387"/>
      <c r="CC131" s="387"/>
      <c r="CD131" s="387"/>
      <c r="CE131" s="387"/>
      <c r="CF131" s="387"/>
      <c r="CG131" s="387"/>
      <c r="CH131" s="387"/>
      <c r="CI131" s="988"/>
      <c r="CJ131" s="387"/>
      <c r="CK131" s="387"/>
      <c r="CL131" s="387"/>
      <c r="CM131" s="387"/>
      <c r="CN131" s="387"/>
      <c r="CO131" s="387"/>
      <c r="CP131" s="387"/>
      <c r="CQ131" s="387"/>
      <c r="CR131" s="387"/>
      <c r="CS131" s="387"/>
      <c r="CT131" s="387"/>
      <c r="CU131" s="988"/>
      <c r="CV131" s="387"/>
      <c r="CW131" s="387"/>
      <c r="CX131" s="387"/>
      <c r="CY131" s="387"/>
      <c r="CZ131" s="387"/>
      <c r="DA131" s="387"/>
      <c r="DB131" s="387"/>
      <c r="DC131" s="387"/>
      <c r="DD131" s="387"/>
      <c r="DE131" s="387"/>
      <c r="DF131" s="387"/>
      <c r="DG131" s="988"/>
      <c r="DH131" s="387"/>
      <c r="DI131" s="387"/>
      <c r="DJ131" s="387"/>
      <c r="DK131" s="387"/>
      <c r="DL131" s="387"/>
      <c r="DM131" s="387"/>
      <c r="DN131" s="387"/>
      <c r="DO131" s="387"/>
      <c r="DP131" s="387"/>
      <c r="DQ131" s="387"/>
      <c r="DR131" s="387"/>
      <c r="DS131" s="988"/>
      <c r="DT131" s="387" t="s">
        <v>2154</v>
      </c>
      <c r="DU131" s="387" t="s">
        <v>2154</v>
      </c>
      <c r="DV131" s="387" t="s">
        <v>2154</v>
      </c>
      <c r="DW131" s="387" t="s">
        <v>2154</v>
      </c>
      <c r="DX131" s="387" t="s">
        <v>2154</v>
      </c>
      <c r="DY131" s="387" t="s">
        <v>2154</v>
      </c>
      <c r="DZ131" s="387" t="s">
        <v>2154</v>
      </c>
      <c r="EA131" s="387" t="s">
        <v>2154</v>
      </c>
      <c r="EB131" s="387" t="s">
        <v>2154</v>
      </c>
      <c r="EC131" s="387" t="s">
        <v>2154</v>
      </c>
      <c r="ED131" s="387" t="s">
        <v>2154</v>
      </c>
      <c r="EE131" s="988" t="s">
        <v>2154</v>
      </c>
      <c r="EF131" s="387"/>
      <c r="EG131" s="387"/>
      <c r="EH131" s="387"/>
      <c r="EI131" s="387"/>
      <c r="EJ131" s="387"/>
      <c r="EK131" s="387"/>
      <c r="EL131" s="387"/>
      <c r="EM131" s="387"/>
      <c r="EN131" s="387"/>
      <c r="EO131" s="387"/>
      <c r="EP131" s="387"/>
      <c r="EQ131" s="988"/>
      <c r="ER131" s="387"/>
      <c r="ES131" s="387"/>
      <c r="ET131" s="387"/>
      <c r="EU131" s="387"/>
      <c r="EV131" s="387"/>
      <c r="EW131" s="387"/>
      <c r="EX131" s="387"/>
      <c r="EY131" s="387"/>
      <c r="EZ131" s="387"/>
      <c r="FA131" s="387"/>
      <c r="FB131" s="387"/>
      <c r="FC131" s="988"/>
      <c r="FD131" s="387"/>
      <c r="FE131" s="387"/>
      <c r="FF131" s="387"/>
      <c r="FG131" s="387"/>
      <c r="FH131" s="387"/>
      <c r="FI131" s="387"/>
      <c r="FJ131" s="387"/>
      <c r="FK131" s="387"/>
      <c r="FL131" s="387"/>
      <c r="FM131" s="387"/>
      <c r="FN131" s="387"/>
      <c r="FO131" s="988"/>
      <c r="FP131" s="387"/>
      <c r="FQ131" s="387"/>
      <c r="FR131" s="387"/>
      <c r="FS131" s="387"/>
      <c r="FT131" s="387"/>
      <c r="FU131" s="387"/>
      <c r="FV131" s="387"/>
      <c r="FW131" s="387"/>
      <c r="FX131" s="387"/>
      <c r="FY131" s="387"/>
      <c r="FZ131" s="387"/>
      <c r="GA131" s="988"/>
      <c r="GB131" s="109"/>
      <c r="GC131" s="1435">
        <f t="shared" si="124"/>
        <v>0</v>
      </c>
      <c r="GD131" s="387">
        <f t="shared" si="124"/>
        <v>0</v>
      </c>
      <c r="GE131" s="387">
        <f t="shared" si="124"/>
        <v>0</v>
      </c>
      <c r="GF131" s="387">
        <f t="shared" si="124"/>
        <v>0</v>
      </c>
      <c r="GG131" s="387">
        <f t="shared" si="124"/>
        <v>0</v>
      </c>
      <c r="GH131" s="387">
        <f t="shared" si="124"/>
        <v>0</v>
      </c>
      <c r="GI131" s="387">
        <f t="shared" si="124"/>
        <v>0</v>
      </c>
      <c r="GJ131" s="387">
        <f t="shared" si="124"/>
        <v>0</v>
      </c>
      <c r="GK131" s="387">
        <f t="shared" si="124"/>
        <v>0</v>
      </c>
      <c r="GL131" s="387">
        <f t="shared" si="124"/>
        <v>0</v>
      </c>
      <c r="GM131" s="387">
        <f t="shared" si="124"/>
        <v>0</v>
      </c>
      <c r="GN131" s="988">
        <f t="shared" si="124"/>
        <v>0</v>
      </c>
      <c r="GO131" s="1036">
        <f t="shared" si="125"/>
        <v>0</v>
      </c>
      <c r="GP131" s="387">
        <f t="shared" si="125"/>
        <v>0</v>
      </c>
      <c r="GQ131" s="387">
        <f t="shared" si="125"/>
        <v>0</v>
      </c>
      <c r="GR131" s="387">
        <f t="shared" si="125"/>
        <v>0</v>
      </c>
      <c r="GS131" s="387">
        <f t="shared" si="125"/>
        <v>0</v>
      </c>
      <c r="GT131" s="387">
        <f t="shared" si="125"/>
        <v>0</v>
      </c>
      <c r="GU131" s="387">
        <f t="shared" si="125"/>
        <v>0</v>
      </c>
      <c r="GV131" s="387">
        <f t="shared" si="125"/>
        <v>0</v>
      </c>
      <c r="GW131" s="387">
        <f t="shared" si="125"/>
        <v>0</v>
      </c>
      <c r="GX131" s="387">
        <f t="shared" si="125"/>
        <v>0</v>
      </c>
      <c r="GY131" s="387">
        <f t="shared" si="125"/>
        <v>0</v>
      </c>
      <c r="GZ131" s="988">
        <f t="shared" si="125"/>
        <v>0</v>
      </c>
      <c r="HB131" s="387"/>
      <c r="HC131" s="387"/>
      <c r="HD131" s="387"/>
      <c r="HE131" s="387"/>
      <c r="HF131" s="387"/>
      <c r="HG131" s="387"/>
      <c r="HH131" s="387"/>
      <c r="HI131" s="387"/>
      <c r="HJ131" s="387"/>
      <c r="HK131" s="387"/>
      <c r="HL131" s="387"/>
      <c r="HM131" s="988"/>
    </row>
    <row r="132" spans="1:221">
      <c r="A132" s="326" t="s">
        <v>1599</v>
      </c>
      <c r="B132" s="326" t="s">
        <v>901</v>
      </c>
      <c r="C132" s="326" t="s">
        <v>1591</v>
      </c>
      <c r="D132" s="1036" t="s">
        <v>2154</v>
      </c>
      <c r="E132" s="387" t="s">
        <v>2154</v>
      </c>
      <c r="F132" s="387" t="s">
        <v>2154</v>
      </c>
      <c r="G132" s="387" t="s">
        <v>2154</v>
      </c>
      <c r="H132" s="387" t="s">
        <v>2154</v>
      </c>
      <c r="I132" s="387" t="s">
        <v>2154</v>
      </c>
      <c r="J132" s="387" t="s">
        <v>2154</v>
      </c>
      <c r="K132" s="387" t="s">
        <v>2154</v>
      </c>
      <c r="L132" s="387" t="s">
        <v>2154</v>
      </c>
      <c r="M132" s="387" t="s">
        <v>2154</v>
      </c>
      <c r="N132" s="387" t="s">
        <v>2154</v>
      </c>
      <c r="O132" s="988" t="s">
        <v>2154</v>
      </c>
      <c r="P132" s="387" t="s">
        <v>2154</v>
      </c>
      <c r="Q132" s="387" t="s">
        <v>2154</v>
      </c>
      <c r="R132" s="387" t="s">
        <v>2154</v>
      </c>
      <c r="S132" s="387" t="s">
        <v>2154</v>
      </c>
      <c r="T132" s="387" t="s">
        <v>2154</v>
      </c>
      <c r="U132" s="387" t="s">
        <v>2154</v>
      </c>
      <c r="V132" s="387" t="s">
        <v>2154</v>
      </c>
      <c r="W132" s="387" t="s">
        <v>2154</v>
      </c>
      <c r="X132" s="387" t="s">
        <v>2154</v>
      </c>
      <c r="Y132" s="387" t="s">
        <v>2154</v>
      </c>
      <c r="Z132" s="387" t="s">
        <v>2154</v>
      </c>
      <c r="AA132" s="988" t="s">
        <v>2154</v>
      </c>
      <c r="AB132" s="387"/>
      <c r="AC132" s="387"/>
      <c r="AD132" s="387"/>
      <c r="AE132" s="387"/>
      <c r="AF132" s="387"/>
      <c r="AG132" s="387"/>
      <c r="AH132" s="387"/>
      <c r="AI132" s="387"/>
      <c r="AJ132" s="387"/>
      <c r="AK132" s="387"/>
      <c r="AL132" s="387"/>
      <c r="AM132" s="988"/>
      <c r="AN132" s="387"/>
      <c r="AO132" s="387"/>
      <c r="AP132" s="387"/>
      <c r="AQ132" s="387"/>
      <c r="AR132" s="387"/>
      <c r="AS132" s="387"/>
      <c r="AT132" s="387"/>
      <c r="AU132" s="387"/>
      <c r="AV132" s="387"/>
      <c r="AW132" s="387"/>
      <c r="AX132" s="387"/>
      <c r="AY132" s="988"/>
      <c r="AZ132" s="387"/>
      <c r="BA132" s="387"/>
      <c r="BB132" s="387"/>
      <c r="BC132" s="387"/>
      <c r="BD132" s="387"/>
      <c r="BE132" s="387"/>
      <c r="BF132" s="387"/>
      <c r="BG132" s="387"/>
      <c r="BH132" s="387"/>
      <c r="BI132" s="387"/>
      <c r="BJ132" s="387"/>
      <c r="BK132" s="988"/>
      <c r="BL132" s="387"/>
      <c r="BM132" s="387"/>
      <c r="BN132" s="387"/>
      <c r="BO132" s="387"/>
      <c r="BP132" s="387"/>
      <c r="BQ132" s="387"/>
      <c r="BR132" s="387"/>
      <c r="BS132" s="387"/>
      <c r="BT132" s="387"/>
      <c r="BU132" s="387"/>
      <c r="BV132" s="387"/>
      <c r="BW132" s="988"/>
      <c r="BX132" s="387"/>
      <c r="BY132" s="387"/>
      <c r="BZ132" s="387"/>
      <c r="CA132" s="387"/>
      <c r="CB132" s="387"/>
      <c r="CC132" s="387"/>
      <c r="CD132" s="387"/>
      <c r="CE132" s="387"/>
      <c r="CF132" s="387"/>
      <c r="CG132" s="387"/>
      <c r="CH132" s="387"/>
      <c r="CI132" s="988"/>
      <c r="CJ132" s="387"/>
      <c r="CK132" s="387"/>
      <c r="CL132" s="387"/>
      <c r="CM132" s="387"/>
      <c r="CN132" s="387"/>
      <c r="CO132" s="387"/>
      <c r="CP132" s="387"/>
      <c r="CQ132" s="387"/>
      <c r="CR132" s="387"/>
      <c r="CS132" s="387"/>
      <c r="CT132" s="387"/>
      <c r="CU132" s="988"/>
      <c r="CV132" s="387"/>
      <c r="CW132" s="387"/>
      <c r="CX132" s="387"/>
      <c r="CY132" s="387"/>
      <c r="CZ132" s="387"/>
      <c r="DA132" s="387"/>
      <c r="DB132" s="387"/>
      <c r="DC132" s="387"/>
      <c r="DD132" s="387"/>
      <c r="DE132" s="387"/>
      <c r="DF132" s="387"/>
      <c r="DG132" s="988"/>
      <c r="DH132" s="387"/>
      <c r="DI132" s="387"/>
      <c r="DJ132" s="387"/>
      <c r="DK132" s="387"/>
      <c r="DL132" s="387"/>
      <c r="DM132" s="387"/>
      <c r="DN132" s="387"/>
      <c r="DO132" s="387"/>
      <c r="DP132" s="387"/>
      <c r="DQ132" s="387"/>
      <c r="DR132" s="387"/>
      <c r="DS132" s="988"/>
      <c r="DT132" s="387">
        <v>342</v>
      </c>
      <c r="DU132" s="387">
        <v>780</v>
      </c>
      <c r="DV132" s="387">
        <v>497.25</v>
      </c>
      <c r="DW132" s="387" t="s">
        <v>2154</v>
      </c>
      <c r="DX132" s="387">
        <v>663</v>
      </c>
      <c r="DY132" s="387">
        <v>663</v>
      </c>
      <c r="DZ132" s="387">
        <v>175.5</v>
      </c>
      <c r="EA132" s="387" t="s">
        <v>2154</v>
      </c>
      <c r="EB132" s="387">
        <v>351</v>
      </c>
      <c r="EC132" s="387" t="s">
        <v>2154</v>
      </c>
      <c r="ED132" s="387" t="s">
        <v>2154</v>
      </c>
      <c r="EE132" s="988" t="s">
        <v>2154</v>
      </c>
      <c r="EF132" s="387"/>
      <c r="EG132" s="387"/>
      <c r="EH132" s="387"/>
      <c r="EI132" s="387"/>
      <c r="EJ132" s="387"/>
      <c r="EK132" s="387"/>
      <c r="EL132" s="387"/>
      <c r="EM132" s="387"/>
      <c r="EN132" s="387"/>
      <c r="EO132" s="387"/>
      <c r="EP132" s="387"/>
      <c r="EQ132" s="988"/>
      <c r="ER132" s="387"/>
      <c r="ES132" s="387"/>
      <c r="ET132" s="387"/>
      <c r="EU132" s="387"/>
      <c r="EV132" s="387"/>
      <c r="EW132" s="387"/>
      <c r="EX132" s="387"/>
      <c r="EY132" s="387"/>
      <c r="EZ132" s="387"/>
      <c r="FA132" s="387"/>
      <c r="FB132" s="387"/>
      <c r="FC132" s="988"/>
      <c r="FD132" s="387"/>
      <c r="FE132" s="387"/>
      <c r="FF132" s="387"/>
      <c r="FG132" s="387"/>
      <c r="FH132" s="387"/>
      <c r="FI132" s="387"/>
      <c r="FJ132" s="387"/>
      <c r="FK132" s="387"/>
      <c r="FL132" s="387"/>
      <c r="FM132" s="387"/>
      <c r="FN132" s="387"/>
      <c r="FO132" s="988"/>
      <c r="FP132" s="387"/>
      <c r="FQ132" s="387"/>
      <c r="FR132" s="387"/>
      <c r="FS132" s="387"/>
      <c r="FT132" s="387"/>
      <c r="FU132" s="387"/>
      <c r="FV132" s="387"/>
      <c r="FW132" s="387"/>
      <c r="FX132" s="387"/>
      <c r="FY132" s="387"/>
      <c r="FZ132" s="387"/>
      <c r="GA132" s="988"/>
      <c r="GB132" s="109"/>
      <c r="GC132" s="1435">
        <f t="shared" si="124"/>
        <v>342</v>
      </c>
      <c r="GD132" s="387">
        <f t="shared" si="124"/>
        <v>780</v>
      </c>
      <c r="GE132" s="387">
        <f t="shared" si="124"/>
        <v>497.25</v>
      </c>
      <c r="GF132" s="387">
        <f t="shared" si="124"/>
        <v>0</v>
      </c>
      <c r="GG132" s="387">
        <f t="shared" si="124"/>
        <v>663</v>
      </c>
      <c r="GH132" s="387">
        <f t="shared" si="124"/>
        <v>663</v>
      </c>
      <c r="GI132" s="387">
        <f t="shared" si="124"/>
        <v>175.5</v>
      </c>
      <c r="GJ132" s="387">
        <f t="shared" si="124"/>
        <v>0</v>
      </c>
      <c r="GK132" s="387">
        <f t="shared" si="124"/>
        <v>351</v>
      </c>
      <c r="GL132" s="387">
        <f t="shared" si="124"/>
        <v>0</v>
      </c>
      <c r="GM132" s="387">
        <f t="shared" si="124"/>
        <v>0</v>
      </c>
      <c r="GN132" s="988">
        <f t="shared" si="124"/>
        <v>0</v>
      </c>
      <c r="GO132" s="1036">
        <f t="shared" si="125"/>
        <v>342</v>
      </c>
      <c r="GP132" s="387">
        <f t="shared" si="125"/>
        <v>780</v>
      </c>
      <c r="GQ132" s="387">
        <f t="shared" si="125"/>
        <v>497.25</v>
      </c>
      <c r="GR132" s="387">
        <f t="shared" si="125"/>
        <v>0</v>
      </c>
      <c r="GS132" s="387">
        <f t="shared" si="125"/>
        <v>663</v>
      </c>
      <c r="GT132" s="387">
        <f t="shared" si="125"/>
        <v>663</v>
      </c>
      <c r="GU132" s="387">
        <f t="shared" si="125"/>
        <v>175.5</v>
      </c>
      <c r="GV132" s="387">
        <f t="shared" si="125"/>
        <v>0</v>
      </c>
      <c r="GW132" s="387">
        <f t="shared" si="125"/>
        <v>351</v>
      </c>
      <c r="GX132" s="387">
        <f t="shared" si="125"/>
        <v>0</v>
      </c>
      <c r="GY132" s="387">
        <f t="shared" si="125"/>
        <v>0</v>
      </c>
      <c r="GZ132" s="988">
        <f t="shared" si="125"/>
        <v>0</v>
      </c>
      <c r="HB132" s="387"/>
      <c r="HC132" s="387"/>
      <c r="HD132" s="387"/>
      <c r="HE132" s="387"/>
      <c r="HF132" s="387"/>
      <c r="HG132" s="387"/>
      <c r="HH132" s="387"/>
      <c r="HI132" s="387"/>
      <c r="HJ132" s="387"/>
      <c r="HK132" s="387"/>
      <c r="HL132" s="387"/>
      <c r="HM132" s="988"/>
    </row>
    <row r="133" spans="1:221">
      <c r="A133" s="326" t="s">
        <v>1599</v>
      </c>
      <c r="B133" s="326" t="s">
        <v>901</v>
      </c>
      <c r="C133" s="326" t="s">
        <v>1592</v>
      </c>
      <c r="D133" s="1036" t="s">
        <v>2154</v>
      </c>
      <c r="E133" s="387" t="s">
        <v>2154</v>
      </c>
      <c r="F133" s="387" t="s">
        <v>2154</v>
      </c>
      <c r="G133" s="387" t="s">
        <v>2154</v>
      </c>
      <c r="H133" s="387" t="s">
        <v>2154</v>
      </c>
      <c r="I133" s="387" t="s">
        <v>2154</v>
      </c>
      <c r="J133" s="387" t="s">
        <v>2154</v>
      </c>
      <c r="K133" s="387" t="s">
        <v>2154</v>
      </c>
      <c r="L133" s="387" t="s">
        <v>2154</v>
      </c>
      <c r="M133" s="387" t="s">
        <v>2154</v>
      </c>
      <c r="N133" s="387" t="s">
        <v>2154</v>
      </c>
      <c r="O133" s="988" t="s">
        <v>2154</v>
      </c>
      <c r="P133" s="387" t="s">
        <v>2154</v>
      </c>
      <c r="Q133" s="387" t="s">
        <v>2154</v>
      </c>
      <c r="R133" s="387" t="s">
        <v>2154</v>
      </c>
      <c r="S133" s="387" t="s">
        <v>2154</v>
      </c>
      <c r="T133" s="387" t="s">
        <v>2154</v>
      </c>
      <c r="U133" s="387" t="s">
        <v>2154</v>
      </c>
      <c r="V133" s="387" t="s">
        <v>2154</v>
      </c>
      <c r="W133" s="387" t="s">
        <v>2154</v>
      </c>
      <c r="X133" s="387" t="s">
        <v>2154</v>
      </c>
      <c r="Y133" s="387" t="s">
        <v>2154</v>
      </c>
      <c r="Z133" s="387" t="s">
        <v>2154</v>
      </c>
      <c r="AA133" s="988" t="s">
        <v>2154</v>
      </c>
      <c r="AB133" s="387"/>
      <c r="AC133" s="387"/>
      <c r="AD133" s="387"/>
      <c r="AE133" s="387"/>
      <c r="AF133" s="387"/>
      <c r="AG133" s="387"/>
      <c r="AH133" s="387"/>
      <c r="AI133" s="387"/>
      <c r="AJ133" s="387"/>
      <c r="AK133" s="387"/>
      <c r="AL133" s="387"/>
      <c r="AM133" s="988"/>
      <c r="AN133" s="387"/>
      <c r="AO133" s="387"/>
      <c r="AP133" s="387"/>
      <c r="AQ133" s="387"/>
      <c r="AR133" s="387"/>
      <c r="AS133" s="387"/>
      <c r="AT133" s="387"/>
      <c r="AU133" s="387"/>
      <c r="AV133" s="387"/>
      <c r="AW133" s="387"/>
      <c r="AX133" s="387"/>
      <c r="AY133" s="988"/>
      <c r="AZ133" s="387"/>
      <c r="BA133" s="387"/>
      <c r="BB133" s="387"/>
      <c r="BC133" s="387"/>
      <c r="BD133" s="387"/>
      <c r="BE133" s="387"/>
      <c r="BF133" s="387"/>
      <c r="BG133" s="387"/>
      <c r="BH133" s="387"/>
      <c r="BI133" s="387"/>
      <c r="BJ133" s="387"/>
      <c r="BK133" s="988"/>
      <c r="BL133" s="387"/>
      <c r="BM133" s="387"/>
      <c r="BN133" s="387"/>
      <c r="BO133" s="387"/>
      <c r="BP133" s="387"/>
      <c r="BQ133" s="387"/>
      <c r="BR133" s="387"/>
      <c r="BS133" s="387"/>
      <c r="BT133" s="387"/>
      <c r="BU133" s="387"/>
      <c r="BV133" s="387"/>
      <c r="BW133" s="988"/>
      <c r="BX133" s="387"/>
      <c r="BY133" s="387"/>
      <c r="BZ133" s="387"/>
      <c r="CA133" s="387"/>
      <c r="CB133" s="387"/>
      <c r="CC133" s="387"/>
      <c r="CD133" s="387"/>
      <c r="CE133" s="387"/>
      <c r="CF133" s="387"/>
      <c r="CG133" s="387"/>
      <c r="CH133" s="387"/>
      <c r="CI133" s="988"/>
      <c r="CJ133" s="387"/>
      <c r="CK133" s="387"/>
      <c r="CL133" s="387"/>
      <c r="CM133" s="387"/>
      <c r="CN133" s="387"/>
      <c r="CO133" s="387"/>
      <c r="CP133" s="387"/>
      <c r="CQ133" s="387"/>
      <c r="CR133" s="387"/>
      <c r="CS133" s="387"/>
      <c r="CT133" s="387"/>
      <c r="CU133" s="988"/>
      <c r="CV133" s="387"/>
      <c r="CW133" s="387"/>
      <c r="CX133" s="387"/>
      <c r="CY133" s="387"/>
      <c r="CZ133" s="387"/>
      <c r="DA133" s="387"/>
      <c r="DB133" s="387"/>
      <c r="DC133" s="387"/>
      <c r="DD133" s="387"/>
      <c r="DE133" s="387"/>
      <c r="DF133" s="387"/>
      <c r="DG133" s="988"/>
      <c r="DH133" s="387"/>
      <c r="DI133" s="387"/>
      <c r="DJ133" s="387"/>
      <c r="DK133" s="387"/>
      <c r="DL133" s="387"/>
      <c r="DM133" s="387"/>
      <c r="DN133" s="387"/>
      <c r="DO133" s="387"/>
      <c r="DP133" s="387"/>
      <c r="DQ133" s="387"/>
      <c r="DR133" s="387"/>
      <c r="DS133" s="988"/>
      <c r="DT133" s="387" t="s">
        <v>2154</v>
      </c>
      <c r="DU133" s="387" t="s">
        <v>2154</v>
      </c>
      <c r="DV133" s="387" t="s">
        <v>2154</v>
      </c>
      <c r="DW133" s="387" t="s">
        <v>2154</v>
      </c>
      <c r="DX133" s="387" t="s">
        <v>2154</v>
      </c>
      <c r="DY133" s="387" t="s">
        <v>2154</v>
      </c>
      <c r="DZ133" s="387" t="s">
        <v>2154</v>
      </c>
      <c r="EA133" s="387" t="s">
        <v>2154</v>
      </c>
      <c r="EB133" s="387" t="s">
        <v>2154</v>
      </c>
      <c r="EC133" s="387" t="s">
        <v>2154</v>
      </c>
      <c r="ED133" s="387" t="s">
        <v>2154</v>
      </c>
      <c r="EE133" s="988" t="s">
        <v>2154</v>
      </c>
      <c r="EF133" s="387"/>
      <c r="EG133" s="387"/>
      <c r="EH133" s="387"/>
      <c r="EI133" s="387"/>
      <c r="EJ133" s="387"/>
      <c r="EK133" s="387"/>
      <c r="EL133" s="387"/>
      <c r="EM133" s="387"/>
      <c r="EN133" s="387"/>
      <c r="EO133" s="387"/>
      <c r="EP133" s="387"/>
      <c r="EQ133" s="988"/>
      <c r="ER133" s="387"/>
      <c r="ES133" s="387"/>
      <c r="ET133" s="387"/>
      <c r="EU133" s="387"/>
      <c r="EV133" s="387"/>
      <c r="EW133" s="387"/>
      <c r="EX133" s="387"/>
      <c r="EY133" s="387"/>
      <c r="EZ133" s="387"/>
      <c r="FA133" s="387"/>
      <c r="FB133" s="387"/>
      <c r="FC133" s="988"/>
      <c r="FD133" s="387"/>
      <c r="FE133" s="387"/>
      <c r="FF133" s="387"/>
      <c r="FG133" s="387"/>
      <c r="FH133" s="387"/>
      <c r="FI133" s="387"/>
      <c r="FJ133" s="387"/>
      <c r="FK133" s="387"/>
      <c r="FL133" s="387"/>
      <c r="FM133" s="387"/>
      <c r="FN133" s="387"/>
      <c r="FO133" s="988"/>
      <c r="FP133" s="387"/>
      <c r="FQ133" s="387"/>
      <c r="FR133" s="387"/>
      <c r="FS133" s="387"/>
      <c r="FT133" s="387"/>
      <c r="FU133" s="387"/>
      <c r="FV133" s="387"/>
      <c r="FW133" s="387"/>
      <c r="FX133" s="387"/>
      <c r="FY133" s="387"/>
      <c r="FZ133" s="387"/>
      <c r="GA133" s="988"/>
      <c r="GB133" s="109"/>
      <c r="GC133" s="1435">
        <f t="shared" si="124"/>
        <v>0</v>
      </c>
      <c r="GD133" s="387">
        <f t="shared" si="124"/>
        <v>0</v>
      </c>
      <c r="GE133" s="387">
        <f t="shared" si="124"/>
        <v>0</v>
      </c>
      <c r="GF133" s="387">
        <f t="shared" si="124"/>
        <v>0</v>
      </c>
      <c r="GG133" s="387">
        <f t="shared" si="124"/>
        <v>0</v>
      </c>
      <c r="GH133" s="387">
        <f t="shared" si="124"/>
        <v>0</v>
      </c>
      <c r="GI133" s="387">
        <f t="shared" si="124"/>
        <v>0</v>
      </c>
      <c r="GJ133" s="387">
        <f t="shared" si="124"/>
        <v>0</v>
      </c>
      <c r="GK133" s="387">
        <f t="shared" si="124"/>
        <v>0</v>
      </c>
      <c r="GL133" s="387">
        <f t="shared" si="124"/>
        <v>0</v>
      </c>
      <c r="GM133" s="387">
        <f t="shared" si="124"/>
        <v>0</v>
      </c>
      <c r="GN133" s="988">
        <f t="shared" si="124"/>
        <v>0</v>
      </c>
      <c r="GO133" s="1036">
        <f t="shared" si="125"/>
        <v>0</v>
      </c>
      <c r="GP133" s="387">
        <f t="shared" si="125"/>
        <v>0</v>
      </c>
      <c r="GQ133" s="387">
        <f t="shared" si="125"/>
        <v>0</v>
      </c>
      <c r="GR133" s="387">
        <f t="shared" si="125"/>
        <v>0</v>
      </c>
      <c r="GS133" s="387">
        <f t="shared" si="125"/>
        <v>0</v>
      </c>
      <c r="GT133" s="387">
        <f t="shared" si="125"/>
        <v>0</v>
      </c>
      <c r="GU133" s="387">
        <f t="shared" si="125"/>
        <v>0</v>
      </c>
      <c r="GV133" s="387">
        <f t="shared" si="125"/>
        <v>0</v>
      </c>
      <c r="GW133" s="387">
        <f t="shared" si="125"/>
        <v>0</v>
      </c>
      <c r="GX133" s="387">
        <f t="shared" si="125"/>
        <v>0</v>
      </c>
      <c r="GY133" s="387">
        <f t="shared" si="125"/>
        <v>0</v>
      </c>
      <c r="GZ133" s="988">
        <f t="shared" si="125"/>
        <v>0</v>
      </c>
      <c r="HB133" s="387"/>
      <c r="HC133" s="387"/>
      <c r="HD133" s="387"/>
      <c r="HE133" s="387"/>
      <c r="HF133" s="387"/>
      <c r="HG133" s="387"/>
      <c r="HH133" s="387"/>
      <c r="HI133" s="387"/>
      <c r="HJ133" s="387"/>
      <c r="HK133" s="387"/>
      <c r="HL133" s="387"/>
      <c r="HM133" s="988"/>
    </row>
    <row r="134" spans="1:221">
      <c r="A134" s="326" t="s">
        <v>1599</v>
      </c>
      <c r="B134" s="326" t="s">
        <v>901</v>
      </c>
      <c r="C134" s="326" t="s">
        <v>1593</v>
      </c>
      <c r="D134" s="1036" t="s">
        <v>2154</v>
      </c>
      <c r="E134" s="387" t="s">
        <v>2154</v>
      </c>
      <c r="F134" s="387" t="s">
        <v>2154</v>
      </c>
      <c r="G134" s="387" t="s">
        <v>2154</v>
      </c>
      <c r="H134" s="387" t="s">
        <v>2154</v>
      </c>
      <c r="I134" s="387" t="s">
        <v>2154</v>
      </c>
      <c r="J134" s="387" t="s">
        <v>2154</v>
      </c>
      <c r="K134" s="387" t="s">
        <v>2154</v>
      </c>
      <c r="L134" s="387" t="s">
        <v>2154</v>
      </c>
      <c r="M134" s="387" t="s">
        <v>2154</v>
      </c>
      <c r="N134" s="387" t="s">
        <v>2154</v>
      </c>
      <c r="O134" s="988" t="s">
        <v>2154</v>
      </c>
      <c r="P134" s="387" t="s">
        <v>2154</v>
      </c>
      <c r="Q134" s="387" t="s">
        <v>2154</v>
      </c>
      <c r="R134" s="387" t="s">
        <v>2154</v>
      </c>
      <c r="S134" s="387" t="s">
        <v>2154</v>
      </c>
      <c r="T134" s="387" t="s">
        <v>2154</v>
      </c>
      <c r="U134" s="387" t="s">
        <v>2154</v>
      </c>
      <c r="V134" s="387" t="s">
        <v>2154</v>
      </c>
      <c r="W134" s="387" t="s">
        <v>2154</v>
      </c>
      <c r="X134" s="387" t="s">
        <v>2154</v>
      </c>
      <c r="Y134" s="387" t="s">
        <v>2154</v>
      </c>
      <c r="Z134" s="387" t="s">
        <v>2154</v>
      </c>
      <c r="AA134" s="988" t="s">
        <v>2154</v>
      </c>
      <c r="AB134" s="387"/>
      <c r="AC134" s="387"/>
      <c r="AD134" s="387"/>
      <c r="AE134" s="387"/>
      <c r="AF134" s="387"/>
      <c r="AG134" s="387"/>
      <c r="AH134" s="387"/>
      <c r="AI134" s="387"/>
      <c r="AJ134" s="387"/>
      <c r="AK134" s="387"/>
      <c r="AL134" s="387"/>
      <c r="AM134" s="988"/>
      <c r="AN134" s="387"/>
      <c r="AO134" s="387"/>
      <c r="AP134" s="387"/>
      <c r="AQ134" s="387"/>
      <c r="AR134" s="387"/>
      <c r="AS134" s="387"/>
      <c r="AT134" s="387"/>
      <c r="AU134" s="387"/>
      <c r="AV134" s="387"/>
      <c r="AW134" s="387"/>
      <c r="AX134" s="387"/>
      <c r="AY134" s="988"/>
      <c r="AZ134" s="387"/>
      <c r="BA134" s="387"/>
      <c r="BB134" s="387"/>
      <c r="BC134" s="387"/>
      <c r="BD134" s="387"/>
      <c r="BE134" s="387"/>
      <c r="BF134" s="387"/>
      <c r="BG134" s="387"/>
      <c r="BH134" s="387"/>
      <c r="BI134" s="387"/>
      <c r="BJ134" s="387"/>
      <c r="BK134" s="988"/>
      <c r="BL134" s="387"/>
      <c r="BM134" s="387"/>
      <c r="BN134" s="387"/>
      <c r="BO134" s="387"/>
      <c r="BP134" s="387"/>
      <c r="BQ134" s="387"/>
      <c r="BR134" s="387"/>
      <c r="BS134" s="387"/>
      <c r="BT134" s="387"/>
      <c r="BU134" s="387"/>
      <c r="BV134" s="387"/>
      <c r="BW134" s="988"/>
      <c r="BX134" s="387"/>
      <c r="BY134" s="387"/>
      <c r="BZ134" s="387"/>
      <c r="CA134" s="387"/>
      <c r="CB134" s="387"/>
      <c r="CC134" s="387"/>
      <c r="CD134" s="387"/>
      <c r="CE134" s="387"/>
      <c r="CF134" s="387"/>
      <c r="CG134" s="387"/>
      <c r="CH134" s="387"/>
      <c r="CI134" s="988"/>
      <c r="CJ134" s="387"/>
      <c r="CK134" s="387"/>
      <c r="CL134" s="387"/>
      <c r="CM134" s="387"/>
      <c r="CN134" s="387"/>
      <c r="CO134" s="387"/>
      <c r="CP134" s="387"/>
      <c r="CQ134" s="387"/>
      <c r="CR134" s="387"/>
      <c r="CS134" s="387"/>
      <c r="CT134" s="387"/>
      <c r="CU134" s="988"/>
      <c r="CV134" s="387"/>
      <c r="CW134" s="387"/>
      <c r="CX134" s="387"/>
      <c r="CY134" s="387"/>
      <c r="CZ134" s="387"/>
      <c r="DA134" s="387"/>
      <c r="DB134" s="387"/>
      <c r="DC134" s="387"/>
      <c r="DD134" s="387"/>
      <c r="DE134" s="387"/>
      <c r="DF134" s="387"/>
      <c r="DG134" s="988"/>
      <c r="DH134" s="387"/>
      <c r="DI134" s="387"/>
      <c r="DJ134" s="387"/>
      <c r="DK134" s="387"/>
      <c r="DL134" s="387"/>
      <c r="DM134" s="387"/>
      <c r="DN134" s="387"/>
      <c r="DO134" s="387"/>
      <c r="DP134" s="387"/>
      <c r="DQ134" s="387"/>
      <c r="DR134" s="387"/>
      <c r="DS134" s="988"/>
      <c r="DT134" s="387" t="s">
        <v>2154</v>
      </c>
      <c r="DU134" s="387" t="s">
        <v>2154</v>
      </c>
      <c r="DV134" s="387" t="s">
        <v>2154</v>
      </c>
      <c r="DW134" s="387" t="s">
        <v>2154</v>
      </c>
      <c r="DX134" s="387" t="s">
        <v>2154</v>
      </c>
      <c r="DY134" s="387" t="s">
        <v>2154</v>
      </c>
      <c r="DZ134" s="387" t="s">
        <v>2154</v>
      </c>
      <c r="EA134" s="387" t="s">
        <v>2154</v>
      </c>
      <c r="EB134" s="387">
        <v>0.4</v>
      </c>
      <c r="EC134" s="387" t="s">
        <v>2154</v>
      </c>
      <c r="ED134" s="387" t="s">
        <v>2154</v>
      </c>
      <c r="EE134" s="988">
        <v>14.96</v>
      </c>
      <c r="EF134" s="387"/>
      <c r="EG134" s="387"/>
      <c r="EH134" s="387"/>
      <c r="EI134" s="387"/>
      <c r="EJ134" s="387"/>
      <c r="EK134" s="387"/>
      <c r="EL134" s="387"/>
      <c r="EM134" s="387"/>
      <c r="EN134" s="387"/>
      <c r="EO134" s="387"/>
      <c r="EP134" s="387"/>
      <c r="EQ134" s="988"/>
      <c r="ER134" s="387"/>
      <c r="ES134" s="387"/>
      <c r="ET134" s="387"/>
      <c r="EU134" s="387"/>
      <c r="EV134" s="387"/>
      <c r="EW134" s="387"/>
      <c r="EX134" s="387"/>
      <c r="EY134" s="387"/>
      <c r="EZ134" s="387"/>
      <c r="FA134" s="387"/>
      <c r="FB134" s="387"/>
      <c r="FC134" s="988"/>
      <c r="FD134" s="387"/>
      <c r="FE134" s="387"/>
      <c r="FF134" s="387"/>
      <c r="FG134" s="387"/>
      <c r="FH134" s="387"/>
      <c r="FI134" s="387"/>
      <c r="FJ134" s="387"/>
      <c r="FK134" s="387"/>
      <c r="FL134" s="387"/>
      <c r="FM134" s="387"/>
      <c r="FN134" s="387"/>
      <c r="FO134" s="988"/>
      <c r="FP134" s="387"/>
      <c r="FQ134" s="387"/>
      <c r="FR134" s="387"/>
      <c r="FS134" s="387"/>
      <c r="FT134" s="387"/>
      <c r="FU134" s="387"/>
      <c r="FV134" s="387"/>
      <c r="FW134" s="387"/>
      <c r="FX134" s="387"/>
      <c r="FY134" s="387"/>
      <c r="FZ134" s="387"/>
      <c r="GA134" s="988"/>
      <c r="GB134" s="109"/>
      <c r="GC134" s="1435">
        <f t="shared" si="124"/>
        <v>0</v>
      </c>
      <c r="GD134" s="387">
        <f t="shared" si="124"/>
        <v>0</v>
      </c>
      <c r="GE134" s="387">
        <f t="shared" si="124"/>
        <v>0</v>
      </c>
      <c r="GF134" s="387">
        <f t="shared" si="124"/>
        <v>0</v>
      </c>
      <c r="GG134" s="387">
        <f t="shared" si="124"/>
        <v>0</v>
      </c>
      <c r="GH134" s="387">
        <f t="shared" si="124"/>
        <v>0</v>
      </c>
      <c r="GI134" s="387">
        <f t="shared" si="124"/>
        <v>0</v>
      </c>
      <c r="GJ134" s="387">
        <f t="shared" si="124"/>
        <v>0</v>
      </c>
      <c r="GK134" s="387">
        <f t="shared" si="124"/>
        <v>0.4</v>
      </c>
      <c r="GL134" s="387">
        <f t="shared" si="124"/>
        <v>0</v>
      </c>
      <c r="GM134" s="387">
        <f t="shared" si="124"/>
        <v>0</v>
      </c>
      <c r="GN134" s="988">
        <f t="shared" si="124"/>
        <v>14.96</v>
      </c>
      <c r="GO134" s="1036">
        <f t="shared" si="125"/>
        <v>0</v>
      </c>
      <c r="GP134" s="387">
        <f t="shared" si="125"/>
        <v>0</v>
      </c>
      <c r="GQ134" s="387">
        <f t="shared" si="125"/>
        <v>0</v>
      </c>
      <c r="GR134" s="387">
        <f t="shared" si="125"/>
        <v>0</v>
      </c>
      <c r="GS134" s="387">
        <f t="shared" si="125"/>
        <v>0</v>
      </c>
      <c r="GT134" s="387">
        <f t="shared" si="125"/>
        <v>0</v>
      </c>
      <c r="GU134" s="387">
        <f t="shared" si="125"/>
        <v>0</v>
      </c>
      <c r="GV134" s="387">
        <f t="shared" si="125"/>
        <v>0</v>
      </c>
      <c r="GW134" s="387">
        <f t="shared" si="125"/>
        <v>0.4</v>
      </c>
      <c r="GX134" s="387">
        <f t="shared" si="125"/>
        <v>0</v>
      </c>
      <c r="GY134" s="387">
        <f t="shared" si="125"/>
        <v>0</v>
      </c>
      <c r="GZ134" s="988">
        <f t="shared" si="125"/>
        <v>14.96</v>
      </c>
      <c r="HB134" s="387"/>
      <c r="HC134" s="387"/>
      <c r="HD134" s="387"/>
      <c r="HE134" s="387"/>
      <c r="HF134" s="387"/>
      <c r="HG134" s="387"/>
      <c r="HH134" s="387"/>
      <c r="HI134" s="387"/>
      <c r="HJ134" s="387"/>
      <c r="HK134" s="387"/>
      <c r="HL134" s="387"/>
      <c r="HM134" s="988"/>
    </row>
    <row r="135" spans="1:221">
      <c r="A135" s="326" t="s">
        <v>1599</v>
      </c>
      <c r="B135" s="326" t="s">
        <v>901</v>
      </c>
      <c r="C135" s="326" t="s">
        <v>3683</v>
      </c>
      <c r="D135" s="1036" t="s">
        <v>2154</v>
      </c>
      <c r="E135" s="387" t="s">
        <v>2154</v>
      </c>
      <c r="F135" s="387" t="s">
        <v>2154</v>
      </c>
      <c r="G135" s="387" t="s">
        <v>2154</v>
      </c>
      <c r="H135" s="387" t="s">
        <v>2154</v>
      </c>
      <c r="I135" s="387" t="s">
        <v>2154</v>
      </c>
      <c r="J135" s="387" t="s">
        <v>2154</v>
      </c>
      <c r="K135" s="387" t="s">
        <v>2154</v>
      </c>
      <c r="L135" s="387" t="s">
        <v>2154</v>
      </c>
      <c r="M135" s="387" t="s">
        <v>2154</v>
      </c>
      <c r="N135" s="387" t="s">
        <v>2154</v>
      </c>
      <c r="O135" s="988" t="s">
        <v>2154</v>
      </c>
      <c r="P135" s="387" t="s">
        <v>2154</v>
      </c>
      <c r="Q135" s="387" t="s">
        <v>2154</v>
      </c>
      <c r="R135" s="387" t="s">
        <v>2154</v>
      </c>
      <c r="S135" s="387" t="s">
        <v>2154</v>
      </c>
      <c r="T135" s="387" t="s">
        <v>2154</v>
      </c>
      <c r="U135" s="387" t="s">
        <v>2154</v>
      </c>
      <c r="V135" s="387" t="s">
        <v>2154</v>
      </c>
      <c r="W135" s="387" t="s">
        <v>2154</v>
      </c>
      <c r="X135" s="387" t="s">
        <v>2154</v>
      </c>
      <c r="Y135" s="387" t="s">
        <v>2154</v>
      </c>
      <c r="Z135" s="387" t="s">
        <v>2154</v>
      </c>
      <c r="AA135" s="988" t="s">
        <v>2154</v>
      </c>
      <c r="AB135" s="387"/>
      <c r="AC135" s="387"/>
      <c r="AD135" s="387"/>
      <c r="AE135" s="387"/>
      <c r="AF135" s="387"/>
      <c r="AG135" s="387"/>
      <c r="AH135" s="387"/>
      <c r="AI135" s="387"/>
      <c r="AJ135" s="387"/>
      <c r="AK135" s="387"/>
      <c r="AL135" s="387"/>
      <c r="AM135" s="988"/>
      <c r="AN135" s="387"/>
      <c r="AO135" s="387"/>
      <c r="AP135" s="387"/>
      <c r="AQ135" s="387"/>
      <c r="AR135" s="387"/>
      <c r="AS135" s="387"/>
      <c r="AT135" s="387"/>
      <c r="AU135" s="387"/>
      <c r="AV135" s="387"/>
      <c r="AW135" s="387"/>
      <c r="AX135" s="387"/>
      <c r="AY135" s="988"/>
      <c r="AZ135" s="387"/>
      <c r="BA135" s="387"/>
      <c r="BB135" s="387"/>
      <c r="BC135" s="387"/>
      <c r="BD135" s="387"/>
      <c r="BE135" s="387"/>
      <c r="BF135" s="387"/>
      <c r="BG135" s="387"/>
      <c r="BH135" s="387"/>
      <c r="BI135" s="387"/>
      <c r="BJ135" s="387"/>
      <c r="BK135" s="988"/>
      <c r="BL135" s="387"/>
      <c r="BM135" s="387"/>
      <c r="BN135" s="387"/>
      <c r="BO135" s="387"/>
      <c r="BP135" s="387"/>
      <c r="BQ135" s="387"/>
      <c r="BR135" s="387"/>
      <c r="BS135" s="387"/>
      <c r="BT135" s="387"/>
      <c r="BU135" s="387"/>
      <c r="BV135" s="387"/>
      <c r="BW135" s="988"/>
      <c r="BX135" s="387"/>
      <c r="BY135" s="387"/>
      <c r="BZ135" s="387"/>
      <c r="CA135" s="387"/>
      <c r="CB135" s="387"/>
      <c r="CC135" s="387"/>
      <c r="CD135" s="387"/>
      <c r="CE135" s="387"/>
      <c r="CF135" s="387"/>
      <c r="CG135" s="387"/>
      <c r="CH135" s="387"/>
      <c r="CI135" s="988"/>
      <c r="CJ135" s="387"/>
      <c r="CK135" s="387"/>
      <c r="CL135" s="387"/>
      <c r="CM135" s="387"/>
      <c r="CN135" s="387"/>
      <c r="CO135" s="387"/>
      <c r="CP135" s="387"/>
      <c r="CQ135" s="387"/>
      <c r="CR135" s="387"/>
      <c r="CS135" s="387"/>
      <c r="CT135" s="387"/>
      <c r="CU135" s="988"/>
      <c r="CV135" s="387"/>
      <c r="CW135" s="387"/>
      <c r="CX135" s="387"/>
      <c r="CY135" s="387"/>
      <c r="CZ135" s="387"/>
      <c r="DA135" s="387"/>
      <c r="DB135" s="387"/>
      <c r="DC135" s="387"/>
      <c r="DD135" s="387"/>
      <c r="DE135" s="387"/>
      <c r="DF135" s="387"/>
      <c r="DG135" s="988"/>
      <c r="DH135" s="387"/>
      <c r="DI135" s="387"/>
      <c r="DJ135" s="387"/>
      <c r="DK135" s="387"/>
      <c r="DL135" s="387"/>
      <c r="DM135" s="387"/>
      <c r="DN135" s="387"/>
      <c r="DO135" s="387"/>
      <c r="DP135" s="387"/>
      <c r="DQ135" s="387"/>
      <c r="DR135" s="387"/>
      <c r="DS135" s="988"/>
      <c r="DT135" s="387">
        <v>563.89</v>
      </c>
      <c r="DU135" s="387">
        <v>563.95000000000005</v>
      </c>
      <c r="DV135" s="387">
        <v>1096.53</v>
      </c>
      <c r="DW135" s="387">
        <v>1096.53</v>
      </c>
      <c r="DX135" s="387">
        <v>1096.53</v>
      </c>
      <c r="DY135" s="387">
        <v>1096.53</v>
      </c>
      <c r="DZ135" s="387">
        <v>1096.53</v>
      </c>
      <c r="EA135" s="387">
        <v>1096.53</v>
      </c>
      <c r="EB135" s="387">
        <v>1096.53</v>
      </c>
      <c r="EC135" s="387">
        <v>1096.53</v>
      </c>
      <c r="ED135" s="387">
        <v>1096.53</v>
      </c>
      <c r="EE135" s="988">
        <v>1096.53</v>
      </c>
      <c r="EF135" s="387"/>
      <c r="EG135" s="387"/>
      <c r="EH135" s="387"/>
      <c r="EI135" s="387"/>
      <c r="EJ135" s="387"/>
      <c r="EK135" s="387"/>
      <c r="EL135" s="387"/>
      <c r="EM135" s="387"/>
      <c r="EN135" s="387"/>
      <c r="EO135" s="387"/>
      <c r="EP135" s="387"/>
      <c r="EQ135" s="988"/>
      <c r="ER135" s="387"/>
      <c r="ES135" s="387"/>
      <c r="ET135" s="387"/>
      <c r="EU135" s="387"/>
      <c r="EV135" s="387"/>
      <c r="EW135" s="387"/>
      <c r="EX135" s="387"/>
      <c r="EY135" s="387"/>
      <c r="EZ135" s="387"/>
      <c r="FA135" s="387"/>
      <c r="FB135" s="387"/>
      <c r="FC135" s="988"/>
      <c r="FD135" s="387"/>
      <c r="FE135" s="387"/>
      <c r="FF135" s="387"/>
      <c r="FG135" s="387"/>
      <c r="FH135" s="387"/>
      <c r="FI135" s="387"/>
      <c r="FJ135" s="387"/>
      <c r="FK135" s="387"/>
      <c r="FL135" s="387"/>
      <c r="FM135" s="387"/>
      <c r="FN135" s="387"/>
      <c r="FO135" s="988"/>
      <c r="FP135" s="387"/>
      <c r="FQ135" s="387"/>
      <c r="FR135" s="387"/>
      <c r="FS135" s="387"/>
      <c r="FT135" s="387"/>
      <c r="FU135" s="387"/>
      <c r="FV135" s="387"/>
      <c r="FW135" s="387"/>
      <c r="FX135" s="387"/>
      <c r="FY135" s="387"/>
      <c r="FZ135" s="387"/>
      <c r="GA135" s="988"/>
      <c r="GB135" s="109"/>
      <c r="GC135" s="1435">
        <f t="shared" si="124"/>
        <v>563.89</v>
      </c>
      <c r="GD135" s="387">
        <f t="shared" si="124"/>
        <v>563.95000000000005</v>
      </c>
      <c r="GE135" s="387">
        <f t="shared" si="124"/>
        <v>1096.53</v>
      </c>
      <c r="GF135" s="387">
        <f t="shared" si="124"/>
        <v>1096.53</v>
      </c>
      <c r="GG135" s="387">
        <f t="shared" si="124"/>
        <v>1096.53</v>
      </c>
      <c r="GH135" s="387">
        <f t="shared" si="124"/>
        <v>1096.53</v>
      </c>
      <c r="GI135" s="387">
        <f t="shared" si="124"/>
        <v>1096.53</v>
      </c>
      <c r="GJ135" s="387">
        <f t="shared" si="124"/>
        <v>1096.53</v>
      </c>
      <c r="GK135" s="387">
        <f t="shared" si="124"/>
        <v>1096.53</v>
      </c>
      <c r="GL135" s="387">
        <f t="shared" si="124"/>
        <v>1096.53</v>
      </c>
      <c r="GM135" s="387">
        <f t="shared" si="124"/>
        <v>1096.53</v>
      </c>
      <c r="GN135" s="988">
        <f t="shared" si="124"/>
        <v>1096.53</v>
      </c>
      <c r="GO135" s="1036">
        <f t="shared" si="125"/>
        <v>563.89</v>
      </c>
      <c r="GP135" s="387">
        <f t="shared" si="125"/>
        <v>563.95000000000005</v>
      </c>
      <c r="GQ135" s="387">
        <f t="shared" si="125"/>
        <v>1096.53</v>
      </c>
      <c r="GR135" s="387">
        <f t="shared" si="125"/>
        <v>1096.53</v>
      </c>
      <c r="GS135" s="387">
        <f t="shared" si="125"/>
        <v>1096.53</v>
      </c>
      <c r="GT135" s="387">
        <f t="shared" si="125"/>
        <v>1096.53</v>
      </c>
      <c r="GU135" s="387">
        <f t="shared" si="125"/>
        <v>1096.53</v>
      </c>
      <c r="GV135" s="387">
        <f t="shared" si="125"/>
        <v>1096.53</v>
      </c>
      <c r="GW135" s="387">
        <f t="shared" si="125"/>
        <v>1096.53</v>
      </c>
      <c r="GX135" s="387">
        <f t="shared" si="125"/>
        <v>1096.53</v>
      </c>
      <c r="GY135" s="387">
        <f t="shared" si="125"/>
        <v>1096.53</v>
      </c>
      <c r="GZ135" s="988">
        <f t="shared" si="125"/>
        <v>1096.53</v>
      </c>
      <c r="HB135" s="387"/>
      <c r="HC135" s="387"/>
      <c r="HD135" s="387"/>
      <c r="HE135" s="387"/>
      <c r="HF135" s="387"/>
      <c r="HG135" s="387"/>
      <c r="HH135" s="387"/>
      <c r="HI135" s="387"/>
      <c r="HJ135" s="387"/>
      <c r="HK135" s="387"/>
      <c r="HL135" s="387"/>
      <c r="HM135" s="988"/>
    </row>
    <row r="136" spans="1:221">
      <c r="A136" s="326" t="s">
        <v>1599</v>
      </c>
      <c r="B136" s="326" t="s">
        <v>901</v>
      </c>
      <c r="C136" s="326" t="s">
        <v>3684</v>
      </c>
      <c r="D136" s="1036" t="s">
        <v>2154</v>
      </c>
      <c r="E136" s="387" t="s">
        <v>2154</v>
      </c>
      <c r="F136" s="387" t="s">
        <v>2154</v>
      </c>
      <c r="G136" s="387" t="s">
        <v>2154</v>
      </c>
      <c r="H136" s="387" t="s">
        <v>2154</v>
      </c>
      <c r="I136" s="387" t="s">
        <v>2154</v>
      </c>
      <c r="J136" s="387" t="s">
        <v>2154</v>
      </c>
      <c r="K136" s="387" t="s">
        <v>2154</v>
      </c>
      <c r="L136" s="387" t="s">
        <v>2154</v>
      </c>
      <c r="M136" s="387" t="s">
        <v>2154</v>
      </c>
      <c r="N136" s="387" t="s">
        <v>2154</v>
      </c>
      <c r="O136" s="988" t="s">
        <v>2154</v>
      </c>
      <c r="P136" s="387" t="s">
        <v>2154</v>
      </c>
      <c r="Q136" s="387" t="s">
        <v>2154</v>
      </c>
      <c r="R136" s="387" t="s">
        <v>2154</v>
      </c>
      <c r="S136" s="387" t="s">
        <v>2154</v>
      </c>
      <c r="T136" s="387" t="s">
        <v>2154</v>
      </c>
      <c r="U136" s="387" t="s">
        <v>2154</v>
      </c>
      <c r="V136" s="387" t="s">
        <v>2154</v>
      </c>
      <c r="W136" s="387" t="s">
        <v>2154</v>
      </c>
      <c r="X136" s="387" t="s">
        <v>2154</v>
      </c>
      <c r="Y136" s="387" t="s">
        <v>2154</v>
      </c>
      <c r="Z136" s="387" t="s">
        <v>2154</v>
      </c>
      <c r="AA136" s="988" t="s">
        <v>2154</v>
      </c>
      <c r="AB136" s="387"/>
      <c r="AC136" s="387"/>
      <c r="AD136" s="387"/>
      <c r="AE136" s="387"/>
      <c r="AF136" s="387"/>
      <c r="AG136" s="387"/>
      <c r="AH136" s="387"/>
      <c r="AI136" s="387"/>
      <c r="AJ136" s="387"/>
      <c r="AK136" s="387"/>
      <c r="AL136" s="387"/>
      <c r="AM136" s="988"/>
      <c r="AN136" s="387"/>
      <c r="AO136" s="387"/>
      <c r="AP136" s="387"/>
      <c r="AQ136" s="387"/>
      <c r="AR136" s="387"/>
      <c r="AS136" s="387"/>
      <c r="AT136" s="387"/>
      <c r="AU136" s="387"/>
      <c r="AV136" s="387"/>
      <c r="AW136" s="387"/>
      <c r="AX136" s="387"/>
      <c r="AY136" s="988"/>
      <c r="AZ136" s="387"/>
      <c r="BA136" s="387"/>
      <c r="BB136" s="387"/>
      <c r="BC136" s="387"/>
      <c r="BD136" s="387"/>
      <c r="BE136" s="387"/>
      <c r="BF136" s="387"/>
      <c r="BG136" s="387"/>
      <c r="BH136" s="387"/>
      <c r="BI136" s="387"/>
      <c r="BJ136" s="387"/>
      <c r="BK136" s="988"/>
      <c r="BL136" s="387"/>
      <c r="BM136" s="387"/>
      <c r="BN136" s="387"/>
      <c r="BO136" s="387"/>
      <c r="BP136" s="387"/>
      <c r="BQ136" s="387"/>
      <c r="BR136" s="387"/>
      <c r="BS136" s="387"/>
      <c r="BT136" s="387"/>
      <c r="BU136" s="387"/>
      <c r="BV136" s="387"/>
      <c r="BW136" s="988"/>
      <c r="BX136" s="387"/>
      <c r="BY136" s="387"/>
      <c r="BZ136" s="387"/>
      <c r="CA136" s="387"/>
      <c r="CB136" s="387"/>
      <c r="CC136" s="387"/>
      <c r="CD136" s="387"/>
      <c r="CE136" s="387"/>
      <c r="CF136" s="387"/>
      <c r="CG136" s="387"/>
      <c r="CH136" s="387"/>
      <c r="CI136" s="988"/>
      <c r="CJ136" s="387"/>
      <c r="CK136" s="387"/>
      <c r="CL136" s="387"/>
      <c r="CM136" s="387"/>
      <c r="CN136" s="387"/>
      <c r="CO136" s="387"/>
      <c r="CP136" s="387"/>
      <c r="CQ136" s="387"/>
      <c r="CR136" s="387"/>
      <c r="CS136" s="387"/>
      <c r="CT136" s="387"/>
      <c r="CU136" s="988"/>
      <c r="CV136" s="387"/>
      <c r="CW136" s="387"/>
      <c r="CX136" s="387"/>
      <c r="CY136" s="387"/>
      <c r="CZ136" s="387"/>
      <c r="DA136" s="387"/>
      <c r="DB136" s="387"/>
      <c r="DC136" s="387"/>
      <c r="DD136" s="387"/>
      <c r="DE136" s="387"/>
      <c r="DF136" s="387"/>
      <c r="DG136" s="988"/>
      <c r="DH136" s="387"/>
      <c r="DI136" s="387"/>
      <c r="DJ136" s="387"/>
      <c r="DK136" s="387"/>
      <c r="DL136" s="387"/>
      <c r="DM136" s="387"/>
      <c r="DN136" s="387"/>
      <c r="DO136" s="387"/>
      <c r="DP136" s="387"/>
      <c r="DQ136" s="387"/>
      <c r="DR136" s="387"/>
      <c r="DS136" s="988"/>
      <c r="DT136" s="387" t="s">
        <v>2154</v>
      </c>
      <c r="DU136" s="387" t="s">
        <v>2154</v>
      </c>
      <c r="DV136" s="387" t="s">
        <v>2154</v>
      </c>
      <c r="DW136" s="387" t="s">
        <v>2154</v>
      </c>
      <c r="DX136" s="387" t="s">
        <v>2154</v>
      </c>
      <c r="DY136" s="387" t="s">
        <v>2154</v>
      </c>
      <c r="DZ136" s="387" t="s">
        <v>2154</v>
      </c>
      <c r="EA136" s="387" t="s">
        <v>2154</v>
      </c>
      <c r="EB136" s="387" t="s">
        <v>2154</v>
      </c>
      <c r="EC136" s="387" t="s">
        <v>2154</v>
      </c>
      <c r="ED136" s="387" t="s">
        <v>2154</v>
      </c>
      <c r="EE136" s="988" t="s">
        <v>2154</v>
      </c>
      <c r="EF136" s="387"/>
      <c r="EG136" s="387"/>
      <c r="EH136" s="387"/>
      <c r="EI136" s="387"/>
      <c r="EJ136" s="387"/>
      <c r="EK136" s="387"/>
      <c r="EL136" s="387"/>
      <c r="EM136" s="387"/>
      <c r="EN136" s="387"/>
      <c r="EO136" s="387"/>
      <c r="EP136" s="387"/>
      <c r="EQ136" s="988"/>
      <c r="ER136" s="387"/>
      <c r="ES136" s="387"/>
      <c r="ET136" s="387"/>
      <c r="EU136" s="387"/>
      <c r="EV136" s="387"/>
      <c r="EW136" s="387"/>
      <c r="EX136" s="387"/>
      <c r="EY136" s="387"/>
      <c r="EZ136" s="387"/>
      <c r="FA136" s="387"/>
      <c r="FB136" s="387"/>
      <c r="FC136" s="988"/>
      <c r="FD136" s="387"/>
      <c r="FE136" s="387"/>
      <c r="FF136" s="387"/>
      <c r="FG136" s="387"/>
      <c r="FH136" s="387"/>
      <c r="FI136" s="387"/>
      <c r="FJ136" s="387"/>
      <c r="FK136" s="387"/>
      <c r="FL136" s="387"/>
      <c r="FM136" s="387"/>
      <c r="FN136" s="387"/>
      <c r="FO136" s="988"/>
      <c r="FP136" s="387"/>
      <c r="FQ136" s="387"/>
      <c r="FR136" s="387"/>
      <c r="FS136" s="387"/>
      <c r="FT136" s="387"/>
      <c r="FU136" s="387"/>
      <c r="FV136" s="387"/>
      <c r="FW136" s="387"/>
      <c r="FX136" s="387"/>
      <c r="FY136" s="387"/>
      <c r="FZ136" s="387"/>
      <c r="GA136" s="988"/>
      <c r="GB136" s="109"/>
      <c r="GC136" s="1435">
        <f t="shared" si="124"/>
        <v>0</v>
      </c>
      <c r="GD136" s="387">
        <f t="shared" si="124"/>
        <v>0</v>
      </c>
      <c r="GE136" s="387">
        <f t="shared" si="124"/>
        <v>0</v>
      </c>
      <c r="GF136" s="387">
        <f t="shared" si="124"/>
        <v>0</v>
      </c>
      <c r="GG136" s="387">
        <f t="shared" si="124"/>
        <v>0</v>
      </c>
      <c r="GH136" s="387">
        <f t="shared" si="124"/>
        <v>0</v>
      </c>
      <c r="GI136" s="387">
        <f t="shared" si="124"/>
        <v>0</v>
      </c>
      <c r="GJ136" s="387">
        <f t="shared" si="124"/>
        <v>0</v>
      </c>
      <c r="GK136" s="387">
        <f t="shared" si="124"/>
        <v>0</v>
      </c>
      <c r="GL136" s="387">
        <f t="shared" si="124"/>
        <v>0</v>
      </c>
      <c r="GM136" s="387">
        <f t="shared" si="124"/>
        <v>0</v>
      </c>
      <c r="GN136" s="988">
        <f t="shared" si="124"/>
        <v>0</v>
      </c>
      <c r="GO136" s="1036">
        <f t="shared" si="125"/>
        <v>0</v>
      </c>
      <c r="GP136" s="387">
        <f t="shared" si="125"/>
        <v>0</v>
      </c>
      <c r="GQ136" s="387">
        <f t="shared" si="125"/>
        <v>0</v>
      </c>
      <c r="GR136" s="387">
        <f t="shared" si="125"/>
        <v>0</v>
      </c>
      <c r="GS136" s="387">
        <f t="shared" si="125"/>
        <v>0</v>
      </c>
      <c r="GT136" s="387">
        <f t="shared" si="125"/>
        <v>0</v>
      </c>
      <c r="GU136" s="387">
        <f t="shared" si="125"/>
        <v>0</v>
      </c>
      <c r="GV136" s="387">
        <f t="shared" si="125"/>
        <v>0</v>
      </c>
      <c r="GW136" s="387">
        <f t="shared" si="125"/>
        <v>0</v>
      </c>
      <c r="GX136" s="387">
        <f t="shared" si="125"/>
        <v>0</v>
      </c>
      <c r="GY136" s="387">
        <f t="shared" si="125"/>
        <v>0</v>
      </c>
      <c r="GZ136" s="988">
        <f t="shared" si="125"/>
        <v>0</v>
      </c>
      <c r="HB136" s="387"/>
      <c r="HC136" s="387"/>
      <c r="HD136" s="387"/>
      <c r="HE136" s="387"/>
      <c r="HF136" s="387"/>
      <c r="HG136" s="387"/>
      <c r="HH136" s="387"/>
      <c r="HI136" s="387"/>
      <c r="HJ136" s="387"/>
      <c r="HK136" s="387"/>
      <c r="HL136" s="387"/>
      <c r="HM136" s="988"/>
    </row>
    <row r="137" spans="1:221">
      <c r="A137" s="326" t="s">
        <v>1599</v>
      </c>
      <c r="B137" s="326" t="s">
        <v>901</v>
      </c>
      <c r="C137" s="326" t="s">
        <v>1101</v>
      </c>
      <c r="D137" s="1036" t="s">
        <v>2154</v>
      </c>
      <c r="E137" s="387" t="s">
        <v>2154</v>
      </c>
      <c r="F137" s="387" t="s">
        <v>2154</v>
      </c>
      <c r="G137" s="387" t="s">
        <v>2154</v>
      </c>
      <c r="H137" s="387" t="s">
        <v>2154</v>
      </c>
      <c r="I137" s="387" t="s">
        <v>2154</v>
      </c>
      <c r="J137" s="387" t="s">
        <v>2154</v>
      </c>
      <c r="K137" s="387" t="s">
        <v>2154</v>
      </c>
      <c r="L137" s="387" t="s">
        <v>2154</v>
      </c>
      <c r="M137" s="387" t="s">
        <v>2154</v>
      </c>
      <c r="N137" s="387" t="s">
        <v>2154</v>
      </c>
      <c r="O137" s="988" t="s">
        <v>2154</v>
      </c>
      <c r="P137" s="387" t="s">
        <v>2154</v>
      </c>
      <c r="Q137" s="387" t="s">
        <v>2154</v>
      </c>
      <c r="R137" s="387" t="s">
        <v>2154</v>
      </c>
      <c r="S137" s="387" t="s">
        <v>2154</v>
      </c>
      <c r="T137" s="387" t="s">
        <v>2154</v>
      </c>
      <c r="U137" s="387" t="s">
        <v>2154</v>
      </c>
      <c r="V137" s="387" t="s">
        <v>2154</v>
      </c>
      <c r="W137" s="387" t="s">
        <v>2154</v>
      </c>
      <c r="X137" s="387" t="s">
        <v>2154</v>
      </c>
      <c r="Y137" s="387" t="s">
        <v>2154</v>
      </c>
      <c r="Z137" s="387" t="s">
        <v>2154</v>
      </c>
      <c r="AA137" s="988" t="s">
        <v>2154</v>
      </c>
      <c r="AB137" s="387"/>
      <c r="AC137" s="387"/>
      <c r="AD137" s="387"/>
      <c r="AE137" s="387"/>
      <c r="AF137" s="387"/>
      <c r="AG137" s="387"/>
      <c r="AH137" s="387"/>
      <c r="AI137" s="387"/>
      <c r="AJ137" s="387"/>
      <c r="AK137" s="387"/>
      <c r="AL137" s="387"/>
      <c r="AM137" s="988"/>
      <c r="AN137" s="387"/>
      <c r="AO137" s="387"/>
      <c r="AP137" s="387"/>
      <c r="AQ137" s="387"/>
      <c r="AR137" s="387"/>
      <c r="AS137" s="387"/>
      <c r="AT137" s="387"/>
      <c r="AU137" s="387"/>
      <c r="AV137" s="387"/>
      <c r="AW137" s="387"/>
      <c r="AX137" s="387"/>
      <c r="AY137" s="988"/>
      <c r="AZ137" s="387"/>
      <c r="BA137" s="387"/>
      <c r="BB137" s="387"/>
      <c r="BC137" s="387"/>
      <c r="BD137" s="387"/>
      <c r="BE137" s="387"/>
      <c r="BF137" s="387"/>
      <c r="BG137" s="387"/>
      <c r="BH137" s="387"/>
      <c r="BI137" s="387"/>
      <c r="BJ137" s="387"/>
      <c r="BK137" s="988"/>
      <c r="BL137" s="387"/>
      <c r="BM137" s="387"/>
      <c r="BN137" s="387"/>
      <c r="BO137" s="387"/>
      <c r="BP137" s="387"/>
      <c r="BQ137" s="387"/>
      <c r="BR137" s="387"/>
      <c r="BS137" s="387"/>
      <c r="BT137" s="387"/>
      <c r="BU137" s="387"/>
      <c r="BV137" s="387"/>
      <c r="BW137" s="988"/>
      <c r="BX137" s="387"/>
      <c r="BY137" s="387"/>
      <c r="BZ137" s="387"/>
      <c r="CA137" s="387"/>
      <c r="CB137" s="387"/>
      <c r="CC137" s="387"/>
      <c r="CD137" s="387"/>
      <c r="CE137" s="387"/>
      <c r="CF137" s="387"/>
      <c r="CG137" s="387"/>
      <c r="CH137" s="387"/>
      <c r="CI137" s="988"/>
      <c r="CJ137" s="387"/>
      <c r="CK137" s="387"/>
      <c r="CL137" s="387"/>
      <c r="CM137" s="387"/>
      <c r="CN137" s="387"/>
      <c r="CO137" s="387"/>
      <c r="CP137" s="387"/>
      <c r="CQ137" s="387"/>
      <c r="CR137" s="387"/>
      <c r="CS137" s="387"/>
      <c r="CT137" s="387"/>
      <c r="CU137" s="988"/>
      <c r="CV137" s="387"/>
      <c r="CW137" s="387"/>
      <c r="CX137" s="387"/>
      <c r="CY137" s="387"/>
      <c r="CZ137" s="387"/>
      <c r="DA137" s="387"/>
      <c r="DB137" s="387"/>
      <c r="DC137" s="387"/>
      <c r="DD137" s="387"/>
      <c r="DE137" s="387"/>
      <c r="DF137" s="387"/>
      <c r="DG137" s="988"/>
      <c r="DH137" s="387"/>
      <c r="DI137" s="387"/>
      <c r="DJ137" s="387"/>
      <c r="DK137" s="387"/>
      <c r="DL137" s="387"/>
      <c r="DM137" s="387"/>
      <c r="DN137" s="387"/>
      <c r="DO137" s="387"/>
      <c r="DP137" s="387"/>
      <c r="DQ137" s="387"/>
      <c r="DR137" s="387"/>
      <c r="DS137" s="988"/>
      <c r="DT137" s="387">
        <v>16336.41</v>
      </c>
      <c r="DU137" s="387">
        <v>8689.89</v>
      </c>
      <c r="DV137" s="387">
        <v>16452.52</v>
      </c>
      <c r="DW137" s="387">
        <v>9121.81</v>
      </c>
      <c r="DX137" s="387">
        <v>9690.7999999999993</v>
      </c>
      <c r="DY137" s="387">
        <v>10149.040000000001</v>
      </c>
      <c r="DZ137" s="387">
        <v>160.12999999999965</v>
      </c>
      <c r="EA137" s="387">
        <v>10394.58</v>
      </c>
      <c r="EB137" s="387">
        <v>9694.51</v>
      </c>
      <c r="EC137" s="387">
        <v>10425.14</v>
      </c>
      <c r="ED137" s="387">
        <v>7297.5000000000009</v>
      </c>
      <c r="EE137" s="988">
        <v>10053.41</v>
      </c>
      <c r="EF137" s="387"/>
      <c r="EG137" s="387"/>
      <c r="EH137" s="387"/>
      <c r="EI137" s="387"/>
      <c r="EJ137" s="387"/>
      <c r="EK137" s="387"/>
      <c r="EL137" s="387"/>
      <c r="EM137" s="387"/>
      <c r="EN137" s="387"/>
      <c r="EO137" s="387"/>
      <c r="EP137" s="387"/>
      <c r="EQ137" s="988"/>
      <c r="ER137" s="387"/>
      <c r="ES137" s="387"/>
      <c r="ET137" s="387"/>
      <c r="EU137" s="387"/>
      <c r="EV137" s="387"/>
      <c r="EW137" s="387"/>
      <c r="EX137" s="387"/>
      <c r="EY137" s="387"/>
      <c r="EZ137" s="387"/>
      <c r="FA137" s="387"/>
      <c r="FB137" s="387"/>
      <c r="FC137" s="988"/>
      <c r="FD137" s="387"/>
      <c r="FE137" s="387"/>
      <c r="FF137" s="387"/>
      <c r="FG137" s="387"/>
      <c r="FH137" s="387"/>
      <c r="FI137" s="387"/>
      <c r="FJ137" s="387"/>
      <c r="FK137" s="387"/>
      <c r="FL137" s="387"/>
      <c r="FM137" s="387"/>
      <c r="FN137" s="387"/>
      <c r="FO137" s="988"/>
      <c r="FP137" s="387"/>
      <c r="FQ137" s="387"/>
      <c r="FR137" s="387"/>
      <c r="FS137" s="387"/>
      <c r="FT137" s="387"/>
      <c r="FU137" s="387"/>
      <c r="FV137" s="387"/>
      <c r="FW137" s="387"/>
      <c r="FX137" s="387"/>
      <c r="FY137" s="387"/>
      <c r="FZ137" s="387"/>
      <c r="GA137" s="988"/>
      <c r="GB137" s="109"/>
      <c r="GC137" s="1435">
        <f t="shared" si="124"/>
        <v>16336.41</v>
      </c>
      <c r="GD137" s="387">
        <f t="shared" si="124"/>
        <v>8689.89</v>
      </c>
      <c r="GE137" s="387">
        <f t="shared" si="124"/>
        <v>16452.52</v>
      </c>
      <c r="GF137" s="387">
        <f t="shared" si="124"/>
        <v>9121.81</v>
      </c>
      <c r="GG137" s="387">
        <f t="shared" si="124"/>
        <v>9690.7999999999993</v>
      </c>
      <c r="GH137" s="387">
        <f t="shared" si="124"/>
        <v>10149.040000000001</v>
      </c>
      <c r="GI137" s="387">
        <f t="shared" si="124"/>
        <v>160.12999999999965</v>
      </c>
      <c r="GJ137" s="387">
        <f t="shared" si="124"/>
        <v>10394.58</v>
      </c>
      <c r="GK137" s="387">
        <f t="shared" si="124"/>
        <v>9694.51</v>
      </c>
      <c r="GL137" s="387">
        <f t="shared" si="124"/>
        <v>10425.14</v>
      </c>
      <c r="GM137" s="387">
        <f t="shared" si="124"/>
        <v>7297.5000000000009</v>
      </c>
      <c r="GN137" s="988">
        <f t="shared" si="124"/>
        <v>10053.41</v>
      </c>
      <c r="GO137" s="1036">
        <f t="shared" si="125"/>
        <v>16336.41</v>
      </c>
      <c r="GP137" s="387">
        <f t="shared" si="125"/>
        <v>8689.89</v>
      </c>
      <c r="GQ137" s="387">
        <f t="shared" si="125"/>
        <v>16452.52</v>
      </c>
      <c r="GR137" s="387">
        <f t="shared" si="125"/>
        <v>9121.81</v>
      </c>
      <c r="GS137" s="387">
        <f t="shared" si="125"/>
        <v>9690.7999999999993</v>
      </c>
      <c r="GT137" s="387">
        <f t="shared" si="125"/>
        <v>10149.040000000001</v>
      </c>
      <c r="GU137" s="387">
        <f t="shared" si="125"/>
        <v>160.12999999999965</v>
      </c>
      <c r="GV137" s="387">
        <f t="shared" si="125"/>
        <v>10394.58</v>
      </c>
      <c r="GW137" s="387">
        <f t="shared" si="125"/>
        <v>9694.51</v>
      </c>
      <c r="GX137" s="387">
        <f t="shared" si="125"/>
        <v>10425.14</v>
      </c>
      <c r="GY137" s="387">
        <f t="shared" si="125"/>
        <v>7297.5000000000009</v>
      </c>
      <c r="GZ137" s="988">
        <f t="shared" si="125"/>
        <v>10053.41</v>
      </c>
      <c r="HB137" s="387"/>
      <c r="HC137" s="387"/>
      <c r="HD137" s="387"/>
      <c r="HE137" s="387"/>
      <c r="HF137" s="387"/>
      <c r="HG137" s="387"/>
      <c r="HH137" s="387"/>
      <c r="HI137" s="387"/>
      <c r="HJ137" s="387"/>
      <c r="HK137" s="387"/>
      <c r="HL137" s="387"/>
      <c r="HM137" s="988"/>
    </row>
    <row r="138" spans="1:221">
      <c r="A138" s="326" t="s">
        <v>1599</v>
      </c>
      <c r="B138" s="326" t="s">
        <v>901</v>
      </c>
      <c r="C138" s="326" t="s">
        <v>3807</v>
      </c>
      <c r="D138" s="1036" t="s">
        <v>2154</v>
      </c>
      <c r="E138" s="387" t="s">
        <v>2154</v>
      </c>
      <c r="F138" s="387" t="s">
        <v>2154</v>
      </c>
      <c r="G138" s="387" t="s">
        <v>2154</v>
      </c>
      <c r="H138" s="387" t="s">
        <v>2154</v>
      </c>
      <c r="I138" s="387" t="s">
        <v>2154</v>
      </c>
      <c r="J138" s="387" t="s">
        <v>2154</v>
      </c>
      <c r="K138" s="387" t="s">
        <v>2154</v>
      </c>
      <c r="L138" s="387" t="s">
        <v>2154</v>
      </c>
      <c r="M138" s="387" t="s">
        <v>2154</v>
      </c>
      <c r="N138" s="387" t="s">
        <v>2154</v>
      </c>
      <c r="O138" s="988" t="s">
        <v>2154</v>
      </c>
      <c r="P138" s="387" t="s">
        <v>2154</v>
      </c>
      <c r="Q138" s="387" t="s">
        <v>2154</v>
      </c>
      <c r="R138" s="387" t="s">
        <v>2154</v>
      </c>
      <c r="S138" s="387" t="s">
        <v>2154</v>
      </c>
      <c r="T138" s="387" t="s">
        <v>2154</v>
      </c>
      <c r="U138" s="387" t="s">
        <v>2154</v>
      </c>
      <c r="V138" s="387" t="s">
        <v>2154</v>
      </c>
      <c r="W138" s="387" t="s">
        <v>2154</v>
      </c>
      <c r="X138" s="387" t="s">
        <v>2154</v>
      </c>
      <c r="Y138" s="387" t="s">
        <v>2154</v>
      </c>
      <c r="Z138" s="387" t="s">
        <v>2154</v>
      </c>
      <c r="AA138" s="988" t="s">
        <v>2154</v>
      </c>
      <c r="AB138" s="387"/>
      <c r="AC138" s="387"/>
      <c r="AD138" s="387"/>
      <c r="AE138" s="387"/>
      <c r="AF138" s="387"/>
      <c r="AG138" s="387"/>
      <c r="AH138" s="387"/>
      <c r="AI138" s="387"/>
      <c r="AJ138" s="387"/>
      <c r="AK138" s="387"/>
      <c r="AL138" s="387"/>
      <c r="AM138" s="988"/>
      <c r="AN138" s="387"/>
      <c r="AO138" s="387"/>
      <c r="AP138" s="387"/>
      <c r="AQ138" s="387"/>
      <c r="AR138" s="387"/>
      <c r="AS138" s="387"/>
      <c r="AT138" s="387"/>
      <c r="AU138" s="387"/>
      <c r="AV138" s="387"/>
      <c r="AW138" s="387"/>
      <c r="AX138" s="387"/>
      <c r="AY138" s="988"/>
      <c r="AZ138" s="387"/>
      <c r="BA138" s="387"/>
      <c r="BB138" s="387"/>
      <c r="BC138" s="387"/>
      <c r="BD138" s="387"/>
      <c r="BE138" s="387"/>
      <c r="BF138" s="387"/>
      <c r="BG138" s="387"/>
      <c r="BH138" s="387"/>
      <c r="BI138" s="387"/>
      <c r="BJ138" s="387"/>
      <c r="BK138" s="988"/>
      <c r="BL138" s="387"/>
      <c r="BM138" s="387"/>
      <c r="BN138" s="387"/>
      <c r="BO138" s="387"/>
      <c r="BP138" s="387"/>
      <c r="BQ138" s="387"/>
      <c r="BR138" s="387"/>
      <c r="BS138" s="387"/>
      <c r="BT138" s="387"/>
      <c r="BU138" s="387"/>
      <c r="BV138" s="387"/>
      <c r="BW138" s="988"/>
      <c r="BX138" s="387"/>
      <c r="BY138" s="387"/>
      <c r="BZ138" s="387"/>
      <c r="CA138" s="387"/>
      <c r="CB138" s="387"/>
      <c r="CC138" s="387"/>
      <c r="CD138" s="387"/>
      <c r="CE138" s="387"/>
      <c r="CF138" s="387"/>
      <c r="CG138" s="387"/>
      <c r="CH138" s="387"/>
      <c r="CI138" s="988"/>
      <c r="CJ138" s="387"/>
      <c r="CK138" s="387"/>
      <c r="CL138" s="387"/>
      <c r="CM138" s="387"/>
      <c r="CN138" s="387"/>
      <c r="CO138" s="387"/>
      <c r="CP138" s="387"/>
      <c r="CQ138" s="387"/>
      <c r="CR138" s="387"/>
      <c r="CS138" s="387"/>
      <c r="CT138" s="387"/>
      <c r="CU138" s="988"/>
      <c r="CV138" s="387"/>
      <c r="CW138" s="387"/>
      <c r="CX138" s="387"/>
      <c r="CY138" s="387"/>
      <c r="CZ138" s="387"/>
      <c r="DA138" s="387"/>
      <c r="DB138" s="387"/>
      <c r="DC138" s="387"/>
      <c r="DD138" s="387"/>
      <c r="DE138" s="387"/>
      <c r="DF138" s="387"/>
      <c r="DG138" s="988"/>
      <c r="DH138" s="387"/>
      <c r="DI138" s="387"/>
      <c r="DJ138" s="387"/>
      <c r="DK138" s="387"/>
      <c r="DL138" s="387"/>
      <c r="DM138" s="387"/>
      <c r="DN138" s="387"/>
      <c r="DO138" s="387"/>
      <c r="DP138" s="387"/>
      <c r="DQ138" s="387"/>
      <c r="DR138" s="387"/>
      <c r="DS138" s="988"/>
      <c r="DT138" s="387">
        <v>1049.72</v>
      </c>
      <c r="DU138" s="387">
        <v>936.78000000000009</v>
      </c>
      <c r="DV138" s="387">
        <v>1045.71</v>
      </c>
      <c r="DW138" s="387">
        <v>996.55</v>
      </c>
      <c r="DX138" s="387">
        <v>1416.1100000000001</v>
      </c>
      <c r="DY138" s="387">
        <v>536.14</v>
      </c>
      <c r="DZ138" s="387">
        <v>841.24</v>
      </c>
      <c r="EA138" s="387">
        <v>450.46000000000004</v>
      </c>
      <c r="EB138" s="387">
        <v>898.18999999999994</v>
      </c>
      <c r="EC138" s="387">
        <v>998.49</v>
      </c>
      <c r="ED138" s="387">
        <v>696.43</v>
      </c>
      <c r="EE138" s="988">
        <v>1623.3899999999999</v>
      </c>
      <c r="EF138" s="387"/>
      <c r="EG138" s="387"/>
      <c r="EH138" s="387"/>
      <c r="EI138" s="387"/>
      <c r="EJ138" s="387"/>
      <c r="EK138" s="387"/>
      <c r="EL138" s="387"/>
      <c r="EM138" s="387"/>
      <c r="EN138" s="387"/>
      <c r="EO138" s="387"/>
      <c r="EP138" s="387"/>
      <c r="EQ138" s="988"/>
      <c r="ER138" s="387"/>
      <c r="ES138" s="387"/>
      <c r="ET138" s="387"/>
      <c r="EU138" s="387"/>
      <c r="EV138" s="387"/>
      <c r="EW138" s="387"/>
      <c r="EX138" s="387"/>
      <c r="EY138" s="387"/>
      <c r="EZ138" s="387"/>
      <c r="FA138" s="387"/>
      <c r="FB138" s="387"/>
      <c r="FC138" s="988"/>
      <c r="FD138" s="387"/>
      <c r="FE138" s="387"/>
      <c r="FF138" s="387"/>
      <c r="FG138" s="387"/>
      <c r="FH138" s="387"/>
      <c r="FI138" s="387"/>
      <c r="FJ138" s="387"/>
      <c r="FK138" s="387"/>
      <c r="FL138" s="387"/>
      <c r="FM138" s="387"/>
      <c r="FN138" s="387"/>
      <c r="FO138" s="988"/>
      <c r="FP138" s="387"/>
      <c r="FQ138" s="387"/>
      <c r="FR138" s="387"/>
      <c r="FS138" s="387"/>
      <c r="FT138" s="387"/>
      <c r="FU138" s="387"/>
      <c r="FV138" s="387"/>
      <c r="FW138" s="387"/>
      <c r="FX138" s="387"/>
      <c r="FY138" s="387"/>
      <c r="FZ138" s="387"/>
      <c r="GA138" s="988"/>
      <c r="GB138" s="109"/>
      <c r="GC138" s="1435">
        <f t="shared" si="124"/>
        <v>1049.72</v>
      </c>
      <c r="GD138" s="387">
        <f t="shared" si="124"/>
        <v>936.78000000000009</v>
      </c>
      <c r="GE138" s="387">
        <f t="shared" si="124"/>
        <v>1045.71</v>
      </c>
      <c r="GF138" s="387">
        <f t="shared" si="124"/>
        <v>996.55</v>
      </c>
      <c r="GG138" s="387">
        <f t="shared" si="124"/>
        <v>1416.1100000000001</v>
      </c>
      <c r="GH138" s="387">
        <f t="shared" si="124"/>
        <v>536.14</v>
      </c>
      <c r="GI138" s="387">
        <f t="shared" si="124"/>
        <v>841.24</v>
      </c>
      <c r="GJ138" s="387">
        <f t="shared" si="124"/>
        <v>450.46000000000004</v>
      </c>
      <c r="GK138" s="387">
        <f t="shared" si="124"/>
        <v>898.18999999999994</v>
      </c>
      <c r="GL138" s="387">
        <f t="shared" si="124"/>
        <v>998.49</v>
      </c>
      <c r="GM138" s="387">
        <f t="shared" si="124"/>
        <v>696.43</v>
      </c>
      <c r="GN138" s="988">
        <f t="shared" si="124"/>
        <v>1623.3899999999999</v>
      </c>
      <c r="GO138" s="1036">
        <f t="shared" si="125"/>
        <v>1049.72</v>
      </c>
      <c r="GP138" s="387">
        <f t="shared" si="125"/>
        <v>936.78000000000009</v>
      </c>
      <c r="GQ138" s="387">
        <f t="shared" si="125"/>
        <v>1045.71</v>
      </c>
      <c r="GR138" s="387">
        <f t="shared" si="125"/>
        <v>996.55</v>
      </c>
      <c r="GS138" s="387">
        <f t="shared" si="125"/>
        <v>1416.1100000000001</v>
      </c>
      <c r="GT138" s="387">
        <f t="shared" si="125"/>
        <v>536.14</v>
      </c>
      <c r="GU138" s="387">
        <f t="shared" si="125"/>
        <v>841.24</v>
      </c>
      <c r="GV138" s="387">
        <f t="shared" si="125"/>
        <v>450.46000000000004</v>
      </c>
      <c r="GW138" s="387">
        <f t="shared" si="125"/>
        <v>898.18999999999994</v>
      </c>
      <c r="GX138" s="387">
        <f t="shared" si="125"/>
        <v>998.49</v>
      </c>
      <c r="GY138" s="387">
        <f t="shared" si="125"/>
        <v>696.43</v>
      </c>
      <c r="GZ138" s="988">
        <f t="shared" si="125"/>
        <v>1623.3899999999999</v>
      </c>
      <c r="HB138" s="387"/>
      <c r="HC138" s="387"/>
      <c r="HD138" s="387"/>
      <c r="HE138" s="387"/>
      <c r="HF138" s="387"/>
      <c r="HG138" s="387"/>
      <c r="HH138" s="387"/>
      <c r="HI138" s="387"/>
      <c r="HJ138" s="387"/>
      <c r="HK138" s="387"/>
      <c r="HL138" s="387"/>
      <c r="HM138" s="988"/>
    </row>
    <row r="139" spans="1:221">
      <c r="A139" s="326"/>
      <c r="B139" s="326"/>
      <c r="C139" s="326"/>
      <c r="D139" s="1036">
        <f t="shared" ref="D139:AI139" si="126">D140-SUM(D147:D149,D120)</f>
        <v>0</v>
      </c>
      <c r="E139" s="387">
        <f t="shared" si="126"/>
        <v>0</v>
      </c>
      <c r="F139" s="387">
        <f t="shared" si="126"/>
        <v>0</v>
      </c>
      <c r="G139" s="387">
        <f t="shared" si="126"/>
        <v>0</v>
      </c>
      <c r="H139" s="387">
        <f t="shared" si="126"/>
        <v>0</v>
      </c>
      <c r="I139" s="387">
        <f t="shared" si="126"/>
        <v>0</v>
      </c>
      <c r="J139" s="387">
        <f t="shared" si="126"/>
        <v>0</v>
      </c>
      <c r="K139" s="387">
        <f t="shared" si="126"/>
        <v>0</v>
      </c>
      <c r="L139" s="387">
        <f t="shared" si="126"/>
        <v>0</v>
      </c>
      <c r="M139" s="387">
        <f t="shared" si="126"/>
        <v>0</v>
      </c>
      <c r="N139" s="387">
        <f t="shared" si="126"/>
        <v>0</v>
      </c>
      <c r="O139" s="988">
        <f t="shared" si="126"/>
        <v>0</v>
      </c>
      <c r="P139" s="386">
        <f t="shared" si="126"/>
        <v>0</v>
      </c>
      <c r="Q139" s="386">
        <f t="shared" si="126"/>
        <v>0</v>
      </c>
      <c r="R139" s="386">
        <f t="shared" si="126"/>
        <v>0</v>
      </c>
      <c r="S139" s="386">
        <f t="shared" si="126"/>
        <v>0</v>
      </c>
      <c r="T139" s="386">
        <f t="shared" si="126"/>
        <v>0</v>
      </c>
      <c r="U139" s="386">
        <f t="shared" si="126"/>
        <v>0</v>
      </c>
      <c r="V139" s="386">
        <f t="shared" si="126"/>
        <v>0</v>
      </c>
      <c r="W139" s="386">
        <f t="shared" si="126"/>
        <v>0</v>
      </c>
      <c r="X139" s="386">
        <f t="shared" si="126"/>
        <v>0</v>
      </c>
      <c r="Y139" s="386">
        <f t="shared" si="126"/>
        <v>0</v>
      </c>
      <c r="Z139" s="386">
        <f t="shared" si="126"/>
        <v>0</v>
      </c>
      <c r="AA139" s="987">
        <f t="shared" si="126"/>
        <v>0</v>
      </c>
      <c r="AB139" s="386">
        <f t="shared" si="126"/>
        <v>0</v>
      </c>
      <c r="AC139" s="386">
        <f t="shared" si="126"/>
        <v>0</v>
      </c>
      <c r="AD139" s="386">
        <f t="shared" si="126"/>
        <v>0</v>
      </c>
      <c r="AE139" s="386">
        <f t="shared" si="126"/>
        <v>0</v>
      </c>
      <c r="AF139" s="386">
        <f t="shared" si="126"/>
        <v>0</v>
      </c>
      <c r="AG139" s="386">
        <f t="shared" si="126"/>
        <v>0</v>
      </c>
      <c r="AH139" s="386">
        <f t="shared" si="126"/>
        <v>0</v>
      </c>
      <c r="AI139" s="386">
        <f t="shared" si="126"/>
        <v>0</v>
      </c>
      <c r="AJ139" s="386">
        <f t="shared" ref="AJ139:BO139" si="127">AJ140-SUM(AJ147:AJ149,AJ120)</f>
        <v>0</v>
      </c>
      <c r="AK139" s="386">
        <f t="shared" si="127"/>
        <v>0</v>
      </c>
      <c r="AL139" s="386">
        <f t="shared" si="127"/>
        <v>0</v>
      </c>
      <c r="AM139" s="987">
        <f t="shared" si="127"/>
        <v>0</v>
      </c>
      <c r="AN139" s="386">
        <f t="shared" si="127"/>
        <v>0</v>
      </c>
      <c r="AO139" s="386">
        <f t="shared" si="127"/>
        <v>0</v>
      </c>
      <c r="AP139" s="386">
        <f t="shared" si="127"/>
        <v>0</v>
      </c>
      <c r="AQ139" s="386">
        <f t="shared" si="127"/>
        <v>0</v>
      </c>
      <c r="AR139" s="386">
        <f t="shared" si="127"/>
        <v>0</v>
      </c>
      <c r="AS139" s="386">
        <f t="shared" si="127"/>
        <v>0</v>
      </c>
      <c r="AT139" s="386">
        <f t="shared" si="127"/>
        <v>0</v>
      </c>
      <c r="AU139" s="386">
        <f t="shared" si="127"/>
        <v>0</v>
      </c>
      <c r="AV139" s="386">
        <f t="shared" si="127"/>
        <v>0</v>
      </c>
      <c r="AW139" s="386">
        <f t="shared" si="127"/>
        <v>0</v>
      </c>
      <c r="AX139" s="386">
        <f t="shared" si="127"/>
        <v>0</v>
      </c>
      <c r="AY139" s="987">
        <f t="shared" si="127"/>
        <v>0</v>
      </c>
      <c r="AZ139" s="386">
        <f t="shared" si="127"/>
        <v>0</v>
      </c>
      <c r="BA139" s="386">
        <f t="shared" si="127"/>
        <v>0</v>
      </c>
      <c r="BB139" s="386">
        <f t="shared" si="127"/>
        <v>0</v>
      </c>
      <c r="BC139" s="386">
        <f t="shared" si="127"/>
        <v>0</v>
      </c>
      <c r="BD139" s="386">
        <f t="shared" si="127"/>
        <v>0</v>
      </c>
      <c r="BE139" s="386">
        <f t="shared" si="127"/>
        <v>0</v>
      </c>
      <c r="BF139" s="386">
        <f t="shared" si="127"/>
        <v>0</v>
      </c>
      <c r="BG139" s="386">
        <f t="shared" si="127"/>
        <v>0</v>
      </c>
      <c r="BH139" s="386">
        <f t="shared" si="127"/>
        <v>0</v>
      </c>
      <c r="BI139" s="386">
        <f t="shared" si="127"/>
        <v>0</v>
      </c>
      <c r="BJ139" s="386">
        <f t="shared" si="127"/>
        <v>0</v>
      </c>
      <c r="BK139" s="987">
        <f t="shared" si="127"/>
        <v>0</v>
      </c>
      <c r="BL139" s="386">
        <f t="shared" si="127"/>
        <v>0</v>
      </c>
      <c r="BM139" s="386">
        <f t="shared" si="127"/>
        <v>0</v>
      </c>
      <c r="BN139" s="386">
        <f t="shared" si="127"/>
        <v>0</v>
      </c>
      <c r="BO139" s="386">
        <f t="shared" si="127"/>
        <v>0</v>
      </c>
      <c r="BP139" s="386">
        <f t="shared" ref="BP139:CU139" si="128">BP140-SUM(BP147:BP149,BP120)</f>
        <v>0</v>
      </c>
      <c r="BQ139" s="386">
        <f t="shared" si="128"/>
        <v>0</v>
      </c>
      <c r="BR139" s="386">
        <f t="shared" si="128"/>
        <v>0</v>
      </c>
      <c r="BS139" s="386">
        <f t="shared" si="128"/>
        <v>0</v>
      </c>
      <c r="BT139" s="386">
        <f t="shared" si="128"/>
        <v>0</v>
      </c>
      <c r="BU139" s="386">
        <f t="shared" si="128"/>
        <v>0</v>
      </c>
      <c r="BV139" s="386">
        <f t="shared" si="128"/>
        <v>0</v>
      </c>
      <c r="BW139" s="987">
        <f t="shared" si="128"/>
        <v>0</v>
      </c>
      <c r="BX139" s="386">
        <f t="shared" si="128"/>
        <v>0</v>
      </c>
      <c r="BY139" s="386">
        <f t="shared" si="128"/>
        <v>0</v>
      </c>
      <c r="BZ139" s="386">
        <f t="shared" si="128"/>
        <v>0</v>
      </c>
      <c r="CA139" s="386">
        <f t="shared" si="128"/>
        <v>0</v>
      </c>
      <c r="CB139" s="386">
        <f t="shared" si="128"/>
        <v>0</v>
      </c>
      <c r="CC139" s="386">
        <f t="shared" si="128"/>
        <v>0</v>
      </c>
      <c r="CD139" s="386">
        <f t="shared" si="128"/>
        <v>0</v>
      </c>
      <c r="CE139" s="386">
        <f t="shared" si="128"/>
        <v>0</v>
      </c>
      <c r="CF139" s="386">
        <f t="shared" si="128"/>
        <v>0</v>
      </c>
      <c r="CG139" s="386">
        <f t="shared" si="128"/>
        <v>0</v>
      </c>
      <c r="CH139" s="386">
        <f t="shared" si="128"/>
        <v>0</v>
      </c>
      <c r="CI139" s="987">
        <f t="shared" si="128"/>
        <v>0</v>
      </c>
      <c r="CJ139" s="386">
        <f t="shared" si="128"/>
        <v>0</v>
      </c>
      <c r="CK139" s="386">
        <f t="shared" si="128"/>
        <v>0</v>
      </c>
      <c r="CL139" s="386">
        <f t="shared" si="128"/>
        <v>0</v>
      </c>
      <c r="CM139" s="386">
        <f t="shared" si="128"/>
        <v>0</v>
      </c>
      <c r="CN139" s="386">
        <f t="shared" si="128"/>
        <v>0</v>
      </c>
      <c r="CO139" s="386">
        <f t="shared" si="128"/>
        <v>0</v>
      </c>
      <c r="CP139" s="386">
        <f t="shared" si="128"/>
        <v>0</v>
      </c>
      <c r="CQ139" s="386">
        <f t="shared" si="128"/>
        <v>0</v>
      </c>
      <c r="CR139" s="386">
        <f t="shared" si="128"/>
        <v>0</v>
      </c>
      <c r="CS139" s="386">
        <f t="shared" si="128"/>
        <v>0</v>
      </c>
      <c r="CT139" s="386">
        <f t="shared" si="128"/>
        <v>0</v>
      </c>
      <c r="CU139" s="987">
        <f t="shared" si="128"/>
        <v>0</v>
      </c>
      <c r="CV139" s="386">
        <f t="shared" ref="CV139:EA139" si="129">CV140-SUM(CV147:CV149,CV120)</f>
        <v>0</v>
      </c>
      <c r="CW139" s="386">
        <f t="shared" si="129"/>
        <v>0</v>
      </c>
      <c r="CX139" s="386">
        <f t="shared" si="129"/>
        <v>0</v>
      </c>
      <c r="CY139" s="386">
        <f t="shared" si="129"/>
        <v>0</v>
      </c>
      <c r="CZ139" s="386">
        <f t="shared" si="129"/>
        <v>0</v>
      </c>
      <c r="DA139" s="386">
        <f t="shared" si="129"/>
        <v>0</v>
      </c>
      <c r="DB139" s="386">
        <f t="shared" si="129"/>
        <v>0</v>
      </c>
      <c r="DC139" s="386">
        <f t="shared" si="129"/>
        <v>0</v>
      </c>
      <c r="DD139" s="386">
        <f t="shared" si="129"/>
        <v>0</v>
      </c>
      <c r="DE139" s="386">
        <f t="shared" si="129"/>
        <v>0</v>
      </c>
      <c r="DF139" s="386">
        <f t="shared" si="129"/>
        <v>0</v>
      </c>
      <c r="DG139" s="987">
        <f t="shared" si="129"/>
        <v>0</v>
      </c>
      <c r="DH139" s="386">
        <f t="shared" si="129"/>
        <v>0</v>
      </c>
      <c r="DI139" s="386">
        <f t="shared" si="129"/>
        <v>0</v>
      </c>
      <c r="DJ139" s="386">
        <f t="shared" si="129"/>
        <v>0</v>
      </c>
      <c r="DK139" s="386">
        <f t="shared" si="129"/>
        <v>0</v>
      </c>
      <c r="DL139" s="386">
        <f t="shared" si="129"/>
        <v>0</v>
      </c>
      <c r="DM139" s="386">
        <f t="shared" si="129"/>
        <v>0</v>
      </c>
      <c r="DN139" s="386">
        <f t="shared" si="129"/>
        <v>0</v>
      </c>
      <c r="DO139" s="386">
        <f t="shared" si="129"/>
        <v>0</v>
      </c>
      <c r="DP139" s="386">
        <f t="shared" si="129"/>
        <v>0</v>
      </c>
      <c r="DQ139" s="386">
        <f t="shared" si="129"/>
        <v>0</v>
      </c>
      <c r="DR139" s="386">
        <f t="shared" si="129"/>
        <v>0</v>
      </c>
      <c r="DS139" s="987">
        <f t="shared" si="129"/>
        <v>0</v>
      </c>
      <c r="DT139" s="386">
        <f t="shared" si="129"/>
        <v>1767.8715000000002</v>
      </c>
      <c r="DU139" s="386">
        <f t="shared" si="129"/>
        <v>2335.4906000000001</v>
      </c>
      <c r="DV139" s="386">
        <f t="shared" si="129"/>
        <v>2133.7028</v>
      </c>
      <c r="DW139" s="386">
        <f t="shared" si="129"/>
        <v>1999.3654999999999</v>
      </c>
      <c r="DX139" s="386">
        <f t="shared" si="129"/>
        <v>1818.3499000000002</v>
      </c>
      <c r="DY139" s="386">
        <f t="shared" si="129"/>
        <v>2996.2541000000001</v>
      </c>
      <c r="DZ139" s="386">
        <f t="shared" si="129"/>
        <v>2150.9803000000002</v>
      </c>
      <c r="EA139" s="386">
        <f t="shared" si="129"/>
        <v>8357.5220000000008</v>
      </c>
      <c r="EB139" s="386">
        <f t="shared" ref="EB139:FG139" si="130">EB140-SUM(EB147:EB149,EB120)</f>
        <v>2601.3047000000006</v>
      </c>
      <c r="EC139" s="386">
        <f t="shared" si="130"/>
        <v>2624.4187999999995</v>
      </c>
      <c r="ED139" s="386">
        <f t="shared" si="130"/>
        <v>2413.6803999999993</v>
      </c>
      <c r="EE139" s="987">
        <f t="shared" si="130"/>
        <v>700.02120000000014</v>
      </c>
      <c r="EF139" s="386">
        <f t="shared" si="130"/>
        <v>0</v>
      </c>
      <c r="EG139" s="386">
        <f t="shared" si="130"/>
        <v>0</v>
      </c>
      <c r="EH139" s="386">
        <f t="shared" si="130"/>
        <v>0</v>
      </c>
      <c r="EI139" s="386">
        <f t="shared" si="130"/>
        <v>0</v>
      </c>
      <c r="EJ139" s="386">
        <f t="shared" si="130"/>
        <v>0</v>
      </c>
      <c r="EK139" s="386">
        <f t="shared" si="130"/>
        <v>0</v>
      </c>
      <c r="EL139" s="386">
        <f t="shared" si="130"/>
        <v>0</v>
      </c>
      <c r="EM139" s="386">
        <f t="shared" si="130"/>
        <v>0</v>
      </c>
      <c r="EN139" s="386">
        <f t="shared" si="130"/>
        <v>0</v>
      </c>
      <c r="EO139" s="386">
        <f t="shared" si="130"/>
        <v>0</v>
      </c>
      <c r="EP139" s="386">
        <f t="shared" si="130"/>
        <v>0</v>
      </c>
      <c r="EQ139" s="987">
        <f t="shared" si="130"/>
        <v>0</v>
      </c>
      <c r="ER139" s="386">
        <f t="shared" si="130"/>
        <v>0</v>
      </c>
      <c r="ES139" s="386">
        <f t="shared" si="130"/>
        <v>0</v>
      </c>
      <c r="ET139" s="386">
        <f t="shared" si="130"/>
        <v>0</v>
      </c>
      <c r="EU139" s="386">
        <f t="shared" si="130"/>
        <v>0</v>
      </c>
      <c r="EV139" s="386">
        <f t="shared" si="130"/>
        <v>0</v>
      </c>
      <c r="EW139" s="386">
        <f t="shared" si="130"/>
        <v>0</v>
      </c>
      <c r="EX139" s="386">
        <f t="shared" si="130"/>
        <v>0</v>
      </c>
      <c r="EY139" s="386">
        <f t="shared" si="130"/>
        <v>0</v>
      </c>
      <c r="EZ139" s="386">
        <f t="shared" si="130"/>
        <v>0</v>
      </c>
      <c r="FA139" s="386">
        <f t="shared" si="130"/>
        <v>0</v>
      </c>
      <c r="FB139" s="386">
        <f t="shared" si="130"/>
        <v>0</v>
      </c>
      <c r="FC139" s="987">
        <f t="shared" si="130"/>
        <v>0</v>
      </c>
      <c r="FD139" s="386">
        <f t="shared" si="130"/>
        <v>0</v>
      </c>
      <c r="FE139" s="386">
        <f t="shared" si="130"/>
        <v>0</v>
      </c>
      <c r="FF139" s="386">
        <f t="shared" si="130"/>
        <v>0</v>
      </c>
      <c r="FG139" s="386">
        <f t="shared" si="130"/>
        <v>0</v>
      </c>
      <c r="FH139" s="386">
        <f t="shared" ref="FH139:GA139" si="131">FH140-SUM(FH147:FH149,FH120)</f>
        <v>0</v>
      </c>
      <c r="FI139" s="386">
        <f t="shared" si="131"/>
        <v>0</v>
      </c>
      <c r="FJ139" s="386">
        <f t="shared" si="131"/>
        <v>0</v>
      </c>
      <c r="FK139" s="386">
        <f t="shared" si="131"/>
        <v>0</v>
      </c>
      <c r="FL139" s="386">
        <f t="shared" si="131"/>
        <v>0</v>
      </c>
      <c r="FM139" s="386">
        <f t="shared" si="131"/>
        <v>0</v>
      </c>
      <c r="FN139" s="386">
        <f t="shared" si="131"/>
        <v>0</v>
      </c>
      <c r="FO139" s="987">
        <f t="shared" si="131"/>
        <v>0</v>
      </c>
      <c r="FP139" s="386">
        <f t="shared" si="131"/>
        <v>0</v>
      </c>
      <c r="FQ139" s="386">
        <f t="shared" si="131"/>
        <v>0</v>
      </c>
      <c r="FR139" s="386">
        <f t="shared" si="131"/>
        <v>0</v>
      </c>
      <c r="FS139" s="386">
        <f t="shared" si="131"/>
        <v>0</v>
      </c>
      <c r="FT139" s="386">
        <f t="shared" si="131"/>
        <v>0</v>
      </c>
      <c r="FU139" s="386">
        <f t="shared" si="131"/>
        <v>0</v>
      </c>
      <c r="FV139" s="386">
        <f t="shared" si="131"/>
        <v>0</v>
      </c>
      <c r="FW139" s="386">
        <f t="shared" si="131"/>
        <v>0</v>
      </c>
      <c r="FX139" s="386">
        <f t="shared" si="131"/>
        <v>0</v>
      </c>
      <c r="FY139" s="386">
        <f t="shared" si="131"/>
        <v>0</v>
      </c>
      <c r="FZ139" s="386">
        <f t="shared" si="131"/>
        <v>0</v>
      </c>
      <c r="GA139" s="987">
        <f t="shared" si="131"/>
        <v>0</v>
      </c>
      <c r="GB139" s="109"/>
      <c r="GC139" s="1435">
        <f t="shared" ref="GC139:GZ139" si="132">GC140-SUM(GC147:GC149,GC120)</f>
        <v>1767.8715000000002</v>
      </c>
      <c r="GD139" s="387">
        <f t="shared" si="132"/>
        <v>2335.4906000000001</v>
      </c>
      <c r="GE139" s="387">
        <f t="shared" si="132"/>
        <v>2133.7028</v>
      </c>
      <c r="GF139" s="387">
        <f t="shared" si="132"/>
        <v>1999.3654999999999</v>
      </c>
      <c r="GG139" s="387">
        <f t="shared" si="132"/>
        <v>1818.3499000000002</v>
      </c>
      <c r="GH139" s="387">
        <f t="shared" si="132"/>
        <v>2996.2541000000001</v>
      </c>
      <c r="GI139" s="387">
        <f t="shared" si="132"/>
        <v>2150.9803000000002</v>
      </c>
      <c r="GJ139" s="387">
        <f t="shared" si="132"/>
        <v>8357.5220000000008</v>
      </c>
      <c r="GK139" s="387">
        <f t="shared" si="132"/>
        <v>2601.3047000000006</v>
      </c>
      <c r="GL139" s="387">
        <f t="shared" si="132"/>
        <v>2624.4187999999995</v>
      </c>
      <c r="GM139" s="387">
        <f t="shared" si="132"/>
        <v>2413.6803999999993</v>
      </c>
      <c r="GN139" s="988">
        <f t="shared" si="132"/>
        <v>700.02120000000014</v>
      </c>
      <c r="GO139" s="1036">
        <f t="shared" si="132"/>
        <v>1767.8715000000002</v>
      </c>
      <c r="GP139" s="387">
        <f t="shared" si="132"/>
        <v>2335.4906000000001</v>
      </c>
      <c r="GQ139" s="387">
        <f t="shared" si="132"/>
        <v>2133.7028</v>
      </c>
      <c r="GR139" s="387">
        <f t="shared" si="132"/>
        <v>1999.3654999999999</v>
      </c>
      <c r="GS139" s="387">
        <f t="shared" si="132"/>
        <v>1818.3499000000002</v>
      </c>
      <c r="GT139" s="387">
        <f t="shared" si="132"/>
        <v>2996.2541000000001</v>
      </c>
      <c r="GU139" s="387">
        <f t="shared" si="132"/>
        <v>2150.9803000000002</v>
      </c>
      <c r="GV139" s="387">
        <f t="shared" si="132"/>
        <v>8357.5220000000008</v>
      </c>
      <c r="GW139" s="387">
        <f t="shared" si="132"/>
        <v>2601.3047000000006</v>
      </c>
      <c r="GX139" s="387">
        <f t="shared" si="132"/>
        <v>2624.4187999999995</v>
      </c>
      <c r="GY139" s="387">
        <f t="shared" si="132"/>
        <v>2413.6803999999993</v>
      </c>
      <c r="GZ139" s="988">
        <f t="shared" si="132"/>
        <v>700.02120000000014</v>
      </c>
      <c r="HB139" s="386">
        <f t="shared" ref="HB139:HM139" si="133">HB140-SUM(HB147:HB149,HB120)</f>
        <v>0</v>
      </c>
      <c r="HC139" s="386">
        <f t="shared" si="133"/>
        <v>0</v>
      </c>
      <c r="HD139" s="386">
        <f t="shared" si="133"/>
        <v>0</v>
      </c>
      <c r="HE139" s="386">
        <f t="shared" si="133"/>
        <v>0</v>
      </c>
      <c r="HF139" s="386">
        <f t="shared" si="133"/>
        <v>0</v>
      </c>
      <c r="HG139" s="386">
        <f t="shared" si="133"/>
        <v>0</v>
      </c>
      <c r="HH139" s="386">
        <f t="shared" si="133"/>
        <v>0</v>
      </c>
      <c r="HI139" s="386">
        <f t="shared" si="133"/>
        <v>0</v>
      </c>
      <c r="HJ139" s="386">
        <f t="shared" si="133"/>
        <v>0</v>
      </c>
      <c r="HK139" s="386">
        <f t="shared" si="133"/>
        <v>0</v>
      </c>
      <c r="HL139" s="386">
        <f t="shared" si="133"/>
        <v>0</v>
      </c>
      <c r="HM139" s="987">
        <f t="shared" si="133"/>
        <v>0</v>
      </c>
    </row>
    <row r="140" spans="1:221">
      <c r="A140" s="326" t="s">
        <v>1599</v>
      </c>
      <c r="B140" s="326" t="s">
        <v>901</v>
      </c>
      <c r="C140" s="326" t="s">
        <v>3681</v>
      </c>
      <c r="D140" s="1036" t="s">
        <v>2154</v>
      </c>
      <c r="E140" s="387" t="s">
        <v>2154</v>
      </c>
      <c r="F140" s="387" t="s">
        <v>2154</v>
      </c>
      <c r="G140" s="387" t="s">
        <v>2154</v>
      </c>
      <c r="H140" s="387" t="s">
        <v>2154</v>
      </c>
      <c r="I140" s="387" t="s">
        <v>2154</v>
      </c>
      <c r="J140" s="387" t="s">
        <v>2154</v>
      </c>
      <c r="K140" s="387" t="s">
        <v>2154</v>
      </c>
      <c r="L140" s="387" t="s">
        <v>2154</v>
      </c>
      <c r="M140" s="387" t="s">
        <v>2154</v>
      </c>
      <c r="N140" s="387" t="s">
        <v>2154</v>
      </c>
      <c r="O140" s="988" t="s">
        <v>2154</v>
      </c>
      <c r="P140" s="387" t="s">
        <v>2154</v>
      </c>
      <c r="Q140" s="387" t="s">
        <v>2154</v>
      </c>
      <c r="R140" s="387" t="s">
        <v>2154</v>
      </c>
      <c r="S140" s="387" t="s">
        <v>2154</v>
      </c>
      <c r="T140" s="387" t="s">
        <v>2154</v>
      </c>
      <c r="U140" s="387" t="s">
        <v>2154</v>
      </c>
      <c r="V140" s="387" t="s">
        <v>2154</v>
      </c>
      <c r="W140" s="387" t="s">
        <v>2154</v>
      </c>
      <c r="X140" s="387" t="s">
        <v>2154</v>
      </c>
      <c r="Y140" s="387" t="s">
        <v>2154</v>
      </c>
      <c r="Z140" s="387" t="s">
        <v>2154</v>
      </c>
      <c r="AA140" s="988" t="s">
        <v>2154</v>
      </c>
      <c r="AB140" s="387"/>
      <c r="AC140" s="387"/>
      <c r="AD140" s="387"/>
      <c r="AE140" s="387"/>
      <c r="AF140" s="387"/>
      <c r="AG140" s="387"/>
      <c r="AH140" s="387"/>
      <c r="AI140" s="387"/>
      <c r="AJ140" s="387"/>
      <c r="AK140" s="387"/>
      <c r="AL140" s="387"/>
      <c r="AM140" s="988"/>
      <c r="AN140" s="387"/>
      <c r="AO140" s="387"/>
      <c r="AP140" s="387"/>
      <c r="AQ140" s="387"/>
      <c r="AR140" s="387"/>
      <c r="AS140" s="387"/>
      <c r="AT140" s="387"/>
      <c r="AU140" s="387"/>
      <c r="AV140" s="387"/>
      <c r="AW140" s="387"/>
      <c r="AX140" s="387"/>
      <c r="AY140" s="988"/>
      <c r="AZ140" s="387"/>
      <c r="BA140" s="387"/>
      <c r="BB140" s="387"/>
      <c r="BC140" s="387"/>
      <c r="BD140" s="387"/>
      <c r="BE140" s="387"/>
      <c r="BF140" s="387"/>
      <c r="BG140" s="387"/>
      <c r="BH140" s="387"/>
      <c r="BI140" s="387"/>
      <c r="BJ140" s="387"/>
      <c r="BK140" s="988"/>
      <c r="BL140" s="387"/>
      <c r="BM140" s="387"/>
      <c r="BN140" s="387"/>
      <c r="BO140" s="387"/>
      <c r="BP140" s="387"/>
      <c r="BQ140" s="387"/>
      <c r="BR140" s="387"/>
      <c r="BS140" s="387"/>
      <c r="BT140" s="387"/>
      <c r="BU140" s="387"/>
      <c r="BV140" s="387"/>
      <c r="BW140" s="988"/>
      <c r="BX140" s="387"/>
      <c r="BY140" s="387"/>
      <c r="BZ140" s="387"/>
      <c r="CA140" s="387"/>
      <c r="CB140" s="387"/>
      <c r="CC140" s="387"/>
      <c r="CD140" s="387"/>
      <c r="CE140" s="387"/>
      <c r="CF140" s="387"/>
      <c r="CG140" s="387"/>
      <c r="CH140" s="387"/>
      <c r="CI140" s="988"/>
      <c r="CJ140" s="387"/>
      <c r="CK140" s="387"/>
      <c r="CL140" s="387"/>
      <c r="CM140" s="387"/>
      <c r="CN140" s="387"/>
      <c r="CO140" s="387"/>
      <c r="CP140" s="387"/>
      <c r="CQ140" s="387"/>
      <c r="CR140" s="387"/>
      <c r="CS140" s="387"/>
      <c r="CT140" s="387"/>
      <c r="CU140" s="988"/>
      <c r="CV140" s="387"/>
      <c r="CW140" s="387"/>
      <c r="CX140" s="387"/>
      <c r="CY140" s="387"/>
      <c r="CZ140" s="387"/>
      <c r="DA140" s="387"/>
      <c r="DB140" s="387"/>
      <c r="DC140" s="387"/>
      <c r="DD140" s="387"/>
      <c r="DE140" s="387"/>
      <c r="DF140" s="387"/>
      <c r="DG140" s="988"/>
      <c r="DH140" s="387"/>
      <c r="DI140" s="387"/>
      <c r="DJ140" s="387"/>
      <c r="DK140" s="387"/>
      <c r="DL140" s="387"/>
      <c r="DM140" s="387"/>
      <c r="DN140" s="387"/>
      <c r="DO140" s="387"/>
      <c r="DP140" s="387"/>
      <c r="DQ140" s="387"/>
      <c r="DR140" s="387"/>
      <c r="DS140" s="988"/>
      <c r="DT140" s="387">
        <v>3851.2015000000001</v>
      </c>
      <c r="DU140" s="387">
        <v>4418.8206</v>
      </c>
      <c r="DV140" s="387">
        <v>4217.0328</v>
      </c>
      <c r="DW140" s="387">
        <v>4082.6954999999998</v>
      </c>
      <c r="DX140" s="387">
        <v>3901.6799000000001</v>
      </c>
      <c r="DY140" s="387">
        <v>5079.5841</v>
      </c>
      <c r="DZ140" s="387">
        <v>4234.3103000000001</v>
      </c>
      <c r="EA140" s="387">
        <v>10440.852000000001</v>
      </c>
      <c r="EB140" s="387">
        <v>4684.6347000000005</v>
      </c>
      <c r="EC140" s="387">
        <v>4707.7487999999994</v>
      </c>
      <c r="ED140" s="387">
        <v>4497.0103999999992</v>
      </c>
      <c r="EE140" s="988">
        <v>2783.3512000000001</v>
      </c>
      <c r="EF140" s="387"/>
      <c r="EG140" s="387"/>
      <c r="EH140" s="387"/>
      <c r="EI140" s="387"/>
      <c r="EJ140" s="387"/>
      <c r="EK140" s="387"/>
      <c r="EL140" s="387"/>
      <c r="EM140" s="387"/>
      <c r="EN140" s="387"/>
      <c r="EO140" s="387"/>
      <c r="EP140" s="387"/>
      <c r="EQ140" s="988"/>
      <c r="ER140" s="387"/>
      <c r="ES140" s="387"/>
      <c r="ET140" s="387"/>
      <c r="EU140" s="387"/>
      <c r="EV140" s="387"/>
      <c r="EW140" s="387"/>
      <c r="EX140" s="387"/>
      <c r="EY140" s="387"/>
      <c r="EZ140" s="387"/>
      <c r="FA140" s="387"/>
      <c r="FB140" s="387"/>
      <c r="FC140" s="988"/>
      <c r="FD140" s="387"/>
      <c r="FE140" s="387"/>
      <c r="FF140" s="387"/>
      <c r="FG140" s="387"/>
      <c r="FH140" s="387"/>
      <c r="FI140" s="387"/>
      <c r="FJ140" s="387"/>
      <c r="FK140" s="387"/>
      <c r="FL140" s="387"/>
      <c r="FM140" s="387"/>
      <c r="FN140" s="387"/>
      <c r="FO140" s="988"/>
      <c r="FP140" s="387"/>
      <c r="FQ140" s="387"/>
      <c r="FR140" s="387"/>
      <c r="FS140" s="387"/>
      <c r="FT140" s="387"/>
      <c r="FU140" s="387"/>
      <c r="FV140" s="387"/>
      <c r="FW140" s="387"/>
      <c r="FX140" s="387"/>
      <c r="FY140" s="387"/>
      <c r="FZ140" s="387"/>
      <c r="GA140" s="988"/>
      <c r="GB140" s="109"/>
      <c r="GC140" s="1435">
        <f t="shared" ref="GC140:GN141" si="134">SUMPRODUCT(--($D$6:$GA$6=GC$6),$D140:$GA140,$D$278:$GA$278)</f>
        <v>3851.2015000000001</v>
      </c>
      <c r="GD140" s="387">
        <f t="shared" si="134"/>
        <v>4418.8206</v>
      </c>
      <c r="GE140" s="387">
        <f t="shared" si="134"/>
        <v>4217.0328</v>
      </c>
      <c r="GF140" s="387">
        <f t="shared" si="134"/>
        <v>4082.6954999999998</v>
      </c>
      <c r="GG140" s="387">
        <f t="shared" si="134"/>
        <v>3901.6799000000001</v>
      </c>
      <c r="GH140" s="387">
        <f t="shared" si="134"/>
        <v>5079.5841</v>
      </c>
      <c r="GI140" s="387">
        <f t="shared" si="134"/>
        <v>4234.3103000000001</v>
      </c>
      <c r="GJ140" s="387">
        <f t="shared" si="134"/>
        <v>10440.852000000001</v>
      </c>
      <c r="GK140" s="387">
        <f t="shared" si="134"/>
        <v>4684.6347000000005</v>
      </c>
      <c r="GL140" s="387">
        <f t="shared" si="134"/>
        <v>4707.7487999999994</v>
      </c>
      <c r="GM140" s="387">
        <f t="shared" si="134"/>
        <v>4497.0103999999992</v>
      </c>
      <c r="GN140" s="988">
        <f t="shared" si="134"/>
        <v>2783.3512000000001</v>
      </c>
      <c r="GO140" s="1036">
        <f t="shared" ref="GO140:GZ141" si="135">SUMPRODUCT(--($DT$6:$GA$6=GO$6),$DT140:$GA140,$DT$278:$GA$278)</f>
        <v>3851.2015000000001</v>
      </c>
      <c r="GP140" s="387">
        <f t="shared" si="135"/>
        <v>4418.8206</v>
      </c>
      <c r="GQ140" s="387">
        <f t="shared" si="135"/>
        <v>4217.0328</v>
      </c>
      <c r="GR140" s="387">
        <f t="shared" si="135"/>
        <v>4082.6954999999998</v>
      </c>
      <c r="GS140" s="387">
        <f t="shared" si="135"/>
        <v>3901.6799000000001</v>
      </c>
      <c r="GT140" s="387">
        <f t="shared" si="135"/>
        <v>5079.5841</v>
      </c>
      <c r="GU140" s="387">
        <f t="shared" si="135"/>
        <v>4234.3103000000001</v>
      </c>
      <c r="GV140" s="387">
        <f t="shared" si="135"/>
        <v>10440.852000000001</v>
      </c>
      <c r="GW140" s="387">
        <f t="shared" si="135"/>
        <v>4684.6347000000005</v>
      </c>
      <c r="GX140" s="387">
        <f t="shared" si="135"/>
        <v>4707.7487999999994</v>
      </c>
      <c r="GY140" s="387">
        <f t="shared" si="135"/>
        <v>4497.0103999999992</v>
      </c>
      <c r="GZ140" s="988">
        <f t="shared" si="135"/>
        <v>2783.3512000000001</v>
      </c>
      <c r="HB140" s="387"/>
      <c r="HC140" s="387"/>
      <c r="HD140" s="387"/>
      <c r="HE140" s="387"/>
      <c r="HF140" s="387"/>
      <c r="HG140" s="387"/>
      <c r="HH140" s="387"/>
      <c r="HI140" s="387"/>
      <c r="HJ140" s="387"/>
      <c r="HK140" s="387"/>
      <c r="HL140" s="387"/>
      <c r="HM140" s="988"/>
    </row>
    <row r="141" spans="1:221" s="1731" customFormat="1">
      <c r="A141" s="1725" t="s">
        <v>1599</v>
      </c>
      <c r="B141" s="1725" t="s">
        <v>901</v>
      </c>
      <c r="C141" s="1725" t="s">
        <v>3682</v>
      </c>
      <c r="D141" s="1726" t="s">
        <v>2154</v>
      </c>
      <c r="E141" s="1727" t="s">
        <v>2154</v>
      </c>
      <c r="F141" s="1727" t="s">
        <v>2154</v>
      </c>
      <c r="G141" s="1727" t="s">
        <v>2154</v>
      </c>
      <c r="H141" s="1727" t="s">
        <v>2154</v>
      </c>
      <c r="I141" s="1727" t="s">
        <v>2154</v>
      </c>
      <c r="J141" s="1727" t="s">
        <v>2154</v>
      </c>
      <c r="K141" s="1727" t="s">
        <v>2154</v>
      </c>
      <c r="L141" s="1727" t="s">
        <v>2154</v>
      </c>
      <c r="M141" s="1727" t="s">
        <v>2154</v>
      </c>
      <c r="N141" s="1727" t="s">
        <v>2154</v>
      </c>
      <c r="O141" s="1728" t="s">
        <v>2154</v>
      </c>
      <c r="P141" s="1727" t="s">
        <v>2154</v>
      </c>
      <c r="Q141" s="1727" t="s">
        <v>2154</v>
      </c>
      <c r="R141" s="1727" t="s">
        <v>2154</v>
      </c>
      <c r="S141" s="1727" t="s">
        <v>2154</v>
      </c>
      <c r="T141" s="1727" t="s">
        <v>2154</v>
      </c>
      <c r="U141" s="1727" t="s">
        <v>2154</v>
      </c>
      <c r="V141" s="1727" t="s">
        <v>2154</v>
      </c>
      <c r="W141" s="1727" t="s">
        <v>2154</v>
      </c>
      <c r="X141" s="1727" t="s">
        <v>2154</v>
      </c>
      <c r="Y141" s="1727" t="s">
        <v>2154</v>
      </c>
      <c r="Z141" s="1727" t="s">
        <v>2154</v>
      </c>
      <c r="AA141" s="1728" t="s">
        <v>2154</v>
      </c>
      <c r="AB141" s="1727"/>
      <c r="AC141" s="1727"/>
      <c r="AD141" s="1727"/>
      <c r="AE141" s="1727"/>
      <c r="AF141" s="1727"/>
      <c r="AG141" s="1727"/>
      <c r="AH141" s="1727"/>
      <c r="AI141" s="1727"/>
      <c r="AJ141" s="1727"/>
      <c r="AK141" s="1727"/>
      <c r="AL141" s="1727"/>
      <c r="AM141" s="1728"/>
      <c r="AN141" s="1727"/>
      <c r="AO141" s="1727"/>
      <c r="AP141" s="1727"/>
      <c r="AQ141" s="1727"/>
      <c r="AR141" s="1727"/>
      <c r="AS141" s="1727"/>
      <c r="AT141" s="1727"/>
      <c r="AU141" s="1727"/>
      <c r="AV141" s="1727"/>
      <c r="AW141" s="1727"/>
      <c r="AX141" s="1727"/>
      <c r="AY141" s="1728"/>
      <c r="AZ141" s="1727"/>
      <c r="BA141" s="1727"/>
      <c r="BB141" s="1727"/>
      <c r="BC141" s="1727"/>
      <c r="BD141" s="1727"/>
      <c r="BE141" s="1727"/>
      <c r="BF141" s="1727"/>
      <c r="BG141" s="1727"/>
      <c r="BH141" s="1727"/>
      <c r="BI141" s="1727"/>
      <c r="BJ141" s="1727"/>
      <c r="BK141" s="1728"/>
      <c r="BL141" s="1727"/>
      <c r="BM141" s="1727"/>
      <c r="BN141" s="1727"/>
      <c r="BO141" s="1727"/>
      <c r="BP141" s="1727"/>
      <c r="BQ141" s="1727"/>
      <c r="BR141" s="1727"/>
      <c r="BS141" s="1727"/>
      <c r="BT141" s="1727"/>
      <c r="BU141" s="1727"/>
      <c r="BV141" s="1727"/>
      <c r="BW141" s="1728"/>
      <c r="BX141" s="1727"/>
      <c r="BY141" s="1727"/>
      <c r="BZ141" s="1727"/>
      <c r="CA141" s="1727"/>
      <c r="CB141" s="1727"/>
      <c r="CC141" s="1727"/>
      <c r="CD141" s="1727"/>
      <c r="CE141" s="1727"/>
      <c r="CF141" s="1727"/>
      <c r="CG141" s="1727"/>
      <c r="CH141" s="1727"/>
      <c r="CI141" s="1728"/>
      <c r="CJ141" s="1727"/>
      <c r="CK141" s="1727"/>
      <c r="CL141" s="1727"/>
      <c r="CM141" s="1727"/>
      <c r="CN141" s="1727"/>
      <c r="CO141" s="1727"/>
      <c r="CP141" s="1727"/>
      <c r="CQ141" s="1727"/>
      <c r="CR141" s="1727"/>
      <c r="CS141" s="1727"/>
      <c r="CT141" s="1727"/>
      <c r="CU141" s="1728"/>
      <c r="CV141" s="1727"/>
      <c r="CW141" s="1727"/>
      <c r="CX141" s="1727"/>
      <c r="CY141" s="1727"/>
      <c r="CZ141" s="1727"/>
      <c r="DA141" s="1727"/>
      <c r="DB141" s="1727"/>
      <c r="DC141" s="1727"/>
      <c r="DD141" s="1727"/>
      <c r="DE141" s="1727"/>
      <c r="DF141" s="1727"/>
      <c r="DG141" s="1728"/>
      <c r="DH141" s="1727"/>
      <c r="DI141" s="1727"/>
      <c r="DJ141" s="1727"/>
      <c r="DK141" s="1727"/>
      <c r="DL141" s="1727"/>
      <c r="DM141" s="1727"/>
      <c r="DN141" s="1727"/>
      <c r="DO141" s="1727"/>
      <c r="DP141" s="1727"/>
      <c r="DQ141" s="1727"/>
      <c r="DR141" s="1727"/>
      <c r="DS141" s="1728"/>
      <c r="DT141" s="1727">
        <v>4117.1400000000003</v>
      </c>
      <c r="DU141" s="1727">
        <v>4170.79</v>
      </c>
      <c r="DV141" s="1727">
        <v>3777.93</v>
      </c>
      <c r="DW141" s="1727">
        <v>3759.17</v>
      </c>
      <c r="DX141" s="1727">
        <v>3434.39</v>
      </c>
      <c r="DY141" s="1727">
        <v>4123.1499999999996</v>
      </c>
      <c r="DZ141" s="1727">
        <v>3093.25</v>
      </c>
      <c r="EA141" s="1727">
        <v>3583.15</v>
      </c>
      <c r="EB141" s="1727">
        <v>4038.71</v>
      </c>
      <c r="EC141" s="1727">
        <v>3322.29</v>
      </c>
      <c r="ED141" s="1727">
        <v>3457.01</v>
      </c>
      <c r="EE141" s="1728">
        <v>-150.04</v>
      </c>
      <c r="EF141" s="1727"/>
      <c r="EG141" s="1727"/>
      <c r="EH141" s="1727"/>
      <c r="EI141" s="1727"/>
      <c r="EJ141" s="1727"/>
      <c r="EK141" s="1727"/>
      <c r="EL141" s="1727"/>
      <c r="EM141" s="1727"/>
      <c r="EN141" s="1727"/>
      <c r="EO141" s="1727"/>
      <c r="EP141" s="1727"/>
      <c r="EQ141" s="1728"/>
      <c r="ER141" s="1727"/>
      <c r="ES141" s="1727"/>
      <c r="ET141" s="1727"/>
      <c r="EU141" s="1727"/>
      <c r="EV141" s="1727"/>
      <c r="EW141" s="1727"/>
      <c r="EX141" s="1727"/>
      <c r="EY141" s="1727"/>
      <c r="EZ141" s="1727"/>
      <c r="FA141" s="1727"/>
      <c r="FB141" s="1727"/>
      <c r="FC141" s="1728"/>
      <c r="FD141" s="1727"/>
      <c r="FE141" s="1727"/>
      <c r="FF141" s="1727"/>
      <c r="FG141" s="1727"/>
      <c r="FH141" s="1727"/>
      <c r="FI141" s="1727"/>
      <c r="FJ141" s="1727"/>
      <c r="FK141" s="1727"/>
      <c r="FL141" s="1727"/>
      <c r="FM141" s="1727"/>
      <c r="FN141" s="1727"/>
      <c r="FO141" s="1728"/>
      <c r="FP141" s="1727"/>
      <c r="FQ141" s="1727"/>
      <c r="FR141" s="1727"/>
      <c r="FS141" s="1727"/>
      <c r="FT141" s="1727"/>
      <c r="FU141" s="1727"/>
      <c r="FV141" s="1727"/>
      <c r="FW141" s="1727"/>
      <c r="FX141" s="1727"/>
      <c r="FY141" s="1727"/>
      <c r="FZ141" s="1727"/>
      <c r="GA141" s="1728"/>
      <c r="GB141" s="374"/>
      <c r="GC141" s="2215">
        <f t="shared" si="134"/>
        <v>4117.1400000000003</v>
      </c>
      <c r="GD141" s="1727">
        <f t="shared" si="134"/>
        <v>4170.79</v>
      </c>
      <c r="GE141" s="1727">
        <f t="shared" si="134"/>
        <v>3777.93</v>
      </c>
      <c r="GF141" s="1727">
        <f t="shared" si="134"/>
        <v>3759.17</v>
      </c>
      <c r="GG141" s="1727">
        <f t="shared" si="134"/>
        <v>3434.39</v>
      </c>
      <c r="GH141" s="1727">
        <f t="shared" si="134"/>
        <v>4123.1499999999996</v>
      </c>
      <c r="GI141" s="1727">
        <f t="shared" si="134"/>
        <v>3093.25</v>
      </c>
      <c r="GJ141" s="1727">
        <f t="shared" si="134"/>
        <v>3583.15</v>
      </c>
      <c r="GK141" s="1727">
        <f t="shared" si="134"/>
        <v>4038.71</v>
      </c>
      <c r="GL141" s="1727">
        <f t="shared" si="134"/>
        <v>3322.29</v>
      </c>
      <c r="GM141" s="1727">
        <f t="shared" si="134"/>
        <v>3457.01</v>
      </c>
      <c r="GN141" s="1728">
        <f t="shared" si="134"/>
        <v>-150.04</v>
      </c>
      <c r="GO141" s="1726">
        <f t="shared" si="135"/>
        <v>4117.1400000000003</v>
      </c>
      <c r="GP141" s="1727">
        <f t="shared" si="135"/>
        <v>4170.79</v>
      </c>
      <c r="GQ141" s="1727">
        <f t="shared" si="135"/>
        <v>3777.93</v>
      </c>
      <c r="GR141" s="1727">
        <f t="shared" si="135"/>
        <v>3759.17</v>
      </c>
      <c r="GS141" s="1727">
        <f t="shared" si="135"/>
        <v>3434.39</v>
      </c>
      <c r="GT141" s="1727">
        <f t="shared" si="135"/>
        <v>4123.1499999999996</v>
      </c>
      <c r="GU141" s="1727">
        <f t="shared" si="135"/>
        <v>3093.25</v>
      </c>
      <c r="GV141" s="1727">
        <f t="shared" si="135"/>
        <v>3583.15</v>
      </c>
      <c r="GW141" s="1727">
        <f t="shared" si="135"/>
        <v>4038.71</v>
      </c>
      <c r="GX141" s="1727">
        <f t="shared" si="135"/>
        <v>3322.29</v>
      </c>
      <c r="GY141" s="1727">
        <f t="shared" si="135"/>
        <v>3457.01</v>
      </c>
      <c r="GZ141" s="1728">
        <f t="shared" si="135"/>
        <v>-150.04</v>
      </c>
      <c r="HB141" s="1727"/>
      <c r="HC141" s="1727"/>
      <c r="HD141" s="1727"/>
      <c r="HE141" s="1727"/>
      <c r="HF141" s="1727"/>
      <c r="HG141" s="1727"/>
      <c r="HH141" s="1727"/>
      <c r="HI141" s="1727"/>
      <c r="HJ141" s="1727"/>
      <c r="HK141" s="1727"/>
      <c r="HL141" s="1727"/>
      <c r="HM141" s="1728"/>
    </row>
    <row r="142" spans="1:221">
      <c r="A142" s="326"/>
      <c r="B142" s="326"/>
      <c r="C142" s="326"/>
      <c r="D142" s="1036" t="e">
        <f t="shared" ref="D142:AI142" si="136">IF(D119=0,0,D141/D119)</f>
        <v>#DIV/0!</v>
      </c>
      <c r="E142" s="387" t="e">
        <f t="shared" si="136"/>
        <v>#DIV/0!</v>
      </c>
      <c r="F142" s="387" t="e">
        <f t="shared" si="136"/>
        <v>#DIV/0!</v>
      </c>
      <c r="G142" s="387" t="e">
        <f t="shared" si="136"/>
        <v>#DIV/0!</v>
      </c>
      <c r="H142" s="387" t="e">
        <f t="shared" si="136"/>
        <v>#DIV/0!</v>
      </c>
      <c r="I142" s="387" t="e">
        <f t="shared" si="136"/>
        <v>#DIV/0!</v>
      </c>
      <c r="J142" s="387" t="e">
        <f t="shared" si="136"/>
        <v>#DIV/0!</v>
      </c>
      <c r="K142" s="387" t="e">
        <f t="shared" si="136"/>
        <v>#DIV/0!</v>
      </c>
      <c r="L142" s="387" t="e">
        <f t="shared" si="136"/>
        <v>#DIV/0!</v>
      </c>
      <c r="M142" s="387" t="e">
        <f t="shared" si="136"/>
        <v>#DIV/0!</v>
      </c>
      <c r="N142" s="387" t="e">
        <f t="shared" si="136"/>
        <v>#DIV/0!</v>
      </c>
      <c r="O142" s="988" t="e">
        <f t="shared" si="136"/>
        <v>#DIV/0!</v>
      </c>
      <c r="P142" s="386" t="e">
        <f t="shared" si="136"/>
        <v>#DIV/0!</v>
      </c>
      <c r="Q142" s="386" t="e">
        <f t="shared" si="136"/>
        <v>#DIV/0!</v>
      </c>
      <c r="R142" s="386" t="e">
        <f t="shared" si="136"/>
        <v>#DIV/0!</v>
      </c>
      <c r="S142" s="386" t="e">
        <f t="shared" si="136"/>
        <v>#DIV/0!</v>
      </c>
      <c r="T142" s="386" t="e">
        <f t="shared" si="136"/>
        <v>#DIV/0!</v>
      </c>
      <c r="U142" s="386" t="e">
        <f t="shared" si="136"/>
        <v>#DIV/0!</v>
      </c>
      <c r="V142" s="386" t="e">
        <f t="shared" si="136"/>
        <v>#DIV/0!</v>
      </c>
      <c r="W142" s="386" t="e">
        <f t="shared" si="136"/>
        <v>#DIV/0!</v>
      </c>
      <c r="X142" s="386" t="e">
        <f t="shared" si="136"/>
        <v>#DIV/0!</v>
      </c>
      <c r="Y142" s="386" t="e">
        <f t="shared" si="136"/>
        <v>#DIV/0!</v>
      </c>
      <c r="Z142" s="386" t="e">
        <f t="shared" si="136"/>
        <v>#DIV/0!</v>
      </c>
      <c r="AA142" s="987" t="e">
        <f t="shared" si="136"/>
        <v>#DIV/0!</v>
      </c>
      <c r="AB142" s="386">
        <f t="shared" si="136"/>
        <v>0</v>
      </c>
      <c r="AC142" s="386">
        <f t="shared" si="136"/>
        <v>0</v>
      </c>
      <c r="AD142" s="386">
        <f t="shared" si="136"/>
        <v>0</v>
      </c>
      <c r="AE142" s="386">
        <f t="shared" si="136"/>
        <v>0</v>
      </c>
      <c r="AF142" s="386">
        <f t="shared" si="136"/>
        <v>0</v>
      </c>
      <c r="AG142" s="386">
        <f t="shared" si="136"/>
        <v>0</v>
      </c>
      <c r="AH142" s="386">
        <f t="shared" si="136"/>
        <v>0</v>
      </c>
      <c r="AI142" s="386">
        <f t="shared" si="136"/>
        <v>0</v>
      </c>
      <c r="AJ142" s="386">
        <f t="shared" ref="AJ142:BO142" si="137">IF(AJ119=0,0,AJ141/AJ119)</f>
        <v>0</v>
      </c>
      <c r="AK142" s="386">
        <f t="shared" si="137"/>
        <v>0</v>
      </c>
      <c r="AL142" s="386">
        <f t="shared" si="137"/>
        <v>0</v>
      </c>
      <c r="AM142" s="987">
        <f t="shared" si="137"/>
        <v>0</v>
      </c>
      <c r="AN142" s="386">
        <f t="shared" si="137"/>
        <v>0</v>
      </c>
      <c r="AO142" s="386">
        <f t="shared" si="137"/>
        <v>0</v>
      </c>
      <c r="AP142" s="386">
        <f t="shared" si="137"/>
        <v>0</v>
      </c>
      <c r="AQ142" s="386">
        <f t="shared" si="137"/>
        <v>0</v>
      </c>
      <c r="AR142" s="386">
        <f t="shared" si="137"/>
        <v>0</v>
      </c>
      <c r="AS142" s="386">
        <f t="shared" si="137"/>
        <v>0</v>
      </c>
      <c r="AT142" s="386">
        <f t="shared" si="137"/>
        <v>0</v>
      </c>
      <c r="AU142" s="386">
        <f t="shared" si="137"/>
        <v>0</v>
      </c>
      <c r="AV142" s="386">
        <f t="shared" si="137"/>
        <v>0</v>
      </c>
      <c r="AW142" s="386">
        <f t="shared" si="137"/>
        <v>0</v>
      </c>
      <c r="AX142" s="386">
        <f t="shared" si="137"/>
        <v>0</v>
      </c>
      <c r="AY142" s="987">
        <f t="shared" si="137"/>
        <v>0</v>
      </c>
      <c r="AZ142" s="386">
        <f t="shared" si="137"/>
        <v>0</v>
      </c>
      <c r="BA142" s="386">
        <f t="shared" si="137"/>
        <v>0</v>
      </c>
      <c r="BB142" s="386">
        <f t="shared" si="137"/>
        <v>0</v>
      </c>
      <c r="BC142" s="386">
        <f t="shared" si="137"/>
        <v>0</v>
      </c>
      <c r="BD142" s="386">
        <f t="shared" si="137"/>
        <v>0</v>
      </c>
      <c r="BE142" s="386">
        <f t="shared" si="137"/>
        <v>0</v>
      </c>
      <c r="BF142" s="386">
        <f t="shared" si="137"/>
        <v>0</v>
      </c>
      <c r="BG142" s="386">
        <f t="shared" si="137"/>
        <v>0</v>
      </c>
      <c r="BH142" s="386">
        <f t="shared" si="137"/>
        <v>0</v>
      </c>
      <c r="BI142" s="386">
        <f t="shared" si="137"/>
        <v>0</v>
      </c>
      <c r="BJ142" s="386">
        <f t="shared" si="137"/>
        <v>0</v>
      </c>
      <c r="BK142" s="987">
        <f t="shared" si="137"/>
        <v>0</v>
      </c>
      <c r="BL142" s="386">
        <f t="shared" si="137"/>
        <v>0</v>
      </c>
      <c r="BM142" s="386">
        <f t="shared" si="137"/>
        <v>0</v>
      </c>
      <c r="BN142" s="386">
        <f t="shared" si="137"/>
        <v>0</v>
      </c>
      <c r="BO142" s="386">
        <f t="shared" si="137"/>
        <v>0</v>
      </c>
      <c r="BP142" s="386">
        <f t="shared" ref="BP142:CU142" si="138">IF(BP119=0,0,BP141/BP119)</f>
        <v>0</v>
      </c>
      <c r="BQ142" s="386">
        <f t="shared" si="138"/>
        <v>0</v>
      </c>
      <c r="BR142" s="386">
        <f t="shared" si="138"/>
        <v>0</v>
      </c>
      <c r="BS142" s="386">
        <f t="shared" si="138"/>
        <v>0</v>
      </c>
      <c r="BT142" s="386">
        <f t="shared" si="138"/>
        <v>0</v>
      </c>
      <c r="BU142" s="386">
        <f t="shared" si="138"/>
        <v>0</v>
      </c>
      <c r="BV142" s="386">
        <f t="shared" si="138"/>
        <v>0</v>
      </c>
      <c r="BW142" s="987">
        <f t="shared" si="138"/>
        <v>0</v>
      </c>
      <c r="BX142" s="386">
        <f t="shared" si="138"/>
        <v>0</v>
      </c>
      <c r="BY142" s="386">
        <f t="shared" si="138"/>
        <v>0</v>
      </c>
      <c r="BZ142" s="386">
        <f t="shared" si="138"/>
        <v>0</v>
      </c>
      <c r="CA142" s="386">
        <f t="shared" si="138"/>
        <v>0</v>
      </c>
      <c r="CB142" s="386">
        <f t="shared" si="138"/>
        <v>0</v>
      </c>
      <c r="CC142" s="386">
        <f t="shared" si="138"/>
        <v>0</v>
      </c>
      <c r="CD142" s="386">
        <f t="shared" si="138"/>
        <v>0</v>
      </c>
      <c r="CE142" s="386">
        <f t="shared" si="138"/>
        <v>0</v>
      </c>
      <c r="CF142" s="386">
        <f t="shared" si="138"/>
        <v>0</v>
      </c>
      <c r="CG142" s="386">
        <f t="shared" si="138"/>
        <v>0</v>
      </c>
      <c r="CH142" s="386">
        <f t="shared" si="138"/>
        <v>0</v>
      </c>
      <c r="CI142" s="987">
        <f t="shared" si="138"/>
        <v>0</v>
      </c>
      <c r="CJ142" s="386">
        <f t="shared" si="138"/>
        <v>0</v>
      </c>
      <c r="CK142" s="386">
        <f t="shared" si="138"/>
        <v>0</v>
      </c>
      <c r="CL142" s="386">
        <f t="shared" si="138"/>
        <v>0</v>
      </c>
      <c r="CM142" s="386">
        <f t="shared" si="138"/>
        <v>0</v>
      </c>
      <c r="CN142" s="386">
        <f t="shared" si="138"/>
        <v>0</v>
      </c>
      <c r="CO142" s="386">
        <f t="shared" si="138"/>
        <v>0</v>
      </c>
      <c r="CP142" s="386">
        <f t="shared" si="138"/>
        <v>0</v>
      </c>
      <c r="CQ142" s="386">
        <f t="shared" si="138"/>
        <v>0</v>
      </c>
      <c r="CR142" s="386">
        <f t="shared" si="138"/>
        <v>0</v>
      </c>
      <c r="CS142" s="386">
        <f t="shared" si="138"/>
        <v>0</v>
      </c>
      <c r="CT142" s="386">
        <f t="shared" si="138"/>
        <v>0</v>
      </c>
      <c r="CU142" s="987">
        <f t="shared" si="138"/>
        <v>0</v>
      </c>
      <c r="CV142" s="386">
        <f t="shared" ref="CV142:EA142" si="139">IF(CV119=0,0,CV141/CV119)</f>
        <v>0</v>
      </c>
      <c r="CW142" s="386">
        <f t="shared" si="139"/>
        <v>0</v>
      </c>
      <c r="CX142" s="386">
        <f t="shared" si="139"/>
        <v>0</v>
      </c>
      <c r="CY142" s="386">
        <f t="shared" si="139"/>
        <v>0</v>
      </c>
      <c r="CZ142" s="386">
        <f t="shared" si="139"/>
        <v>0</v>
      </c>
      <c r="DA142" s="386">
        <f t="shared" si="139"/>
        <v>0</v>
      </c>
      <c r="DB142" s="386">
        <f t="shared" si="139"/>
        <v>0</v>
      </c>
      <c r="DC142" s="386">
        <f t="shared" si="139"/>
        <v>0</v>
      </c>
      <c r="DD142" s="386">
        <f t="shared" si="139"/>
        <v>0</v>
      </c>
      <c r="DE142" s="386">
        <f t="shared" si="139"/>
        <v>0</v>
      </c>
      <c r="DF142" s="386">
        <f t="shared" si="139"/>
        <v>0</v>
      </c>
      <c r="DG142" s="987">
        <f t="shared" si="139"/>
        <v>0</v>
      </c>
      <c r="DH142" s="386">
        <f t="shared" si="139"/>
        <v>0</v>
      </c>
      <c r="DI142" s="386">
        <f t="shared" si="139"/>
        <v>0</v>
      </c>
      <c r="DJ142" s="386">
        <f t="shared" si="139"/>
        <v>0</v>
      </c>
      <c r="DK142" s="386">
        <f t="shared" si="139"/>
        <v>0</v>
      </c>
      <c r="DL142" s="386">
        <f t="shared" si="139"/>
        <v>0</v>
      </c>
      <c r="DM142" s="386">
        <f t="shared" si="139"/>
        <v>0</v>
      </c>
      <c r="DN142" s="386">
        <f t="shared" si="139"/>
        <v>0</v>
      </c>
      <c r="DO142" s="386">
        <f t="shared" si="139"/>
        <v>0</v>
      </c>
      <c r="DP142" s="386">
        <f t="shared" si="139"/>
        <v>0</v>
      </c>
      <c r="DQ142" s="386">
        <f t="shared" si="139"/>
        <v>0</v>
      </c>
      <c r="DR142" s="386">
        <f t="shared" si="139"/>
        <v>0</v>
      </c>
      <c r="DS142" s="987">
        <f t="shared" si="139"/>
        <v>0</v>
      </c>
      <c r="DT142" s="386">
        <f t="shared" si="139"/>
        <v>32.418425196850393</v>
      </c>
      <c r="DU142" s="386">
        <f t="shared" si="139"/>
        <v>34.469338842975205</v>
      </c>
      <c r="DV142" s="386">
        <f t="shared" si="139"/>
        <v>34.980833333333329</v>
      </c>
      <c r="DW142" s="386">
        <f t="shared" si="139"/>
        <v>38.358877551020406</v>
      </c>
      <c r="DX142" s="386">
        <f t="shared" si="139"/>
        <v>40.885595238095235</v>
      </c>
      <c r="DY142" s="386">
        <f t="shared" si="139"/>
        <v>44.816847826086949</v>
      </c>
      <c r="DZ142" s="386">
        <f t="shared" si="139"/>
        <v>42.373287671232873</v>
      </c>
      <c r="EA142" s="386">
        <f t="shared" si="139"/>
        <v>38.528494623655916</v>
      </c>
      <c r="EB142" s="386">
        <f t="shared" ref="EB142:FG142" si="140">IF(EB119=0,0,EB141/EB119)</f>
        <v>48.079880952380954</v>
      </c>
      <c r="EC142" s="386">
        <f t="shared" si="140"/>
        <v>39.085764705882355</v>
      </c>
      <c r="ED142" s="386">
        <f t="shared" si="140"/>
        <v>39.28420454545455</v>
      </c>
      <c r="EE142" s="987">
        <f t="shared" si="140"/>
        <v>-1.8754999999999999</v>
      </c>
      <c r="EF142" s="386">
        <f t="shared" si="140"/>
        <v>0</v>
      </c>
      <c r="EG142" s="386">
        <f t="shared" si="140"/>
        <v>0</v>
      </c>
      <c r="EH142" s="386">
        <f t="shared" si="140"/>
        <v>0</v>
      </c>
      <c r="EI142" s="386">
        <f t="shared" si="140"/>
        <v>0</v>
      </c>
      <c r="EJ142" s="386">
        <f t="shared" si="140"/>
        <v>0</v>
      </c>
      <c r="EK142" s="386">
        <f t="shared" si="140"/>
        <v>0</v>
      </c>
      <c r="EL142" s="386">
        <f t="shared" si="140"/>
        <v>0</v>
      </c>
      <c r="EM142" s="386">
        <f t="shared" si="140"/>
        <v>0</v>
      </c>
      <c r="EN142" s="386">
        <f t="shared" si="140"/>
        <v>0</v>
      </c>
      <c r="EO142" s="386">
        <f t="shared" si="140"/>
        <v>0</v>
      </c>
      <c r="EP142" s="386">
        <f t="shared" si="140"/>
        <v>0</v>
      </c>
      <c r="EQ142" s="987">
        <f t="shared" si="140"/>
        <v>0</v>
      </c>
      <c r="ER142" s="386">
        <f t="shared" si="140"/>
        <v>0</v>
      </c>
      <c r="ES142" s="386">
        <f t="shared" si="140"/>
        <v>0</v>
      </c>
      <c r="ET142" s="386">
        <f t="shared" si="140"/>
        <v>0</v>
      </c>
      <c r="EU142" s="386">
        <f t="shared" si="140"/>
        <v>0</v>
      </c>
      <c r="EV142" s="386">
        <f t="shared" si="140"/>
        <v>0</v>
      </c>
      <c r="EW142" s="386">
        <f t="shared" si="140"/>
        <v>0</v>
      </c>
      <c r="EX142" s="386">
        <f t="shared" si="140"/>
        <v>0</v>
      </c>
      <c r="EY142" s="386">
        <f t="shared" si="140"/>
        <v>0</v>
      </c>
      <c r="EZ142" s="386">
        <f t="shared" si="140"/>
        <v>0</v>
      </c>
      <c r="FA142" s="386">
        <f t="shared" si="140"/>
        <v>0</v>
      </c>
      <c r="FB142" s="386">
        <f t="shared" si="140"/>
        <v>0</v>
      </c>
      <c r="FC142" s="987">
        <f t="shared" si="140"/>
        <v>0</v>
      </c>
      <c r="FD142" s="386">
        <f t="shared" si="140"/>
        <v>0</v>
      </c>
      <c r="FE142" s="386">
        <f t="shared" si="140"/>
        <v>0</v>
      </c>
      <c r="FF142" s="386">
        <f t="shared" si="140"/>
        <v>0</v>
      </c>
      <c r="FG142" s="386">
        <f t="shared" si="140"/>
        <v>0</v>
      </c>
      <c r="FH142" s="386">
        <f t="shared" ref="FH142:GA142" si="141">IF(FH119=0,0,FH141/FH119)</f>
        <v>0</v>
      </c>
      <c r="FI142" s="386">
        <f t="shared" si="141"/>
        <v>0</v>
      </c>
      <c r="FJ142" s="386">
        <f t="shared" si="141"/>
        <v>0</v>
      </c>
      <c r="FK142" s="386">
        <f t="shared" si="141"/>
        <v>0</v>
      </c>
      <c r="FL142" s="386">
        <f t="shared" si="141"/>
        <v>0</v>
      </c>
      <c r="FM142" s="386">
        <f t="shared" si="141"/>
        <v>0</v>
      </c>
      <c r="FN142" s="386">
        <f t="shared" si="141"/>
        <v>0</v>
      </c>
      <c r="FO142" s="987">
        <f t="shared" si="141"/>
        <v>0</v>
      </c>
      <c r="FP142" s="386">
        <f t="shared" si="141"/>
        <v>0</v>
      </c>
      <c r="FQ142" s="386">
        <f t="shared" si="141"/>
        <v>0</v>
      </c>
      <c r="FR142" s="386">
        <f t="shared" si="141"/>
        <v>0</v>
      </c>
      <c r="FS142" s="386">
        <f t="shared" si="141"/>
        <v>0</v>
      </c>
      <c r="FT142" s="386">
        <f t="shared" si="141"/>
        <v>0</v>
      </c>
      <c r="FU142" s="386">
        <f t="shared" si="141"/>
        <v>0</v>
      </c>
      <c r="FV142" s="386">
        <f t="shared" si="141"/>
        <v>0</v>
      </c>
      <c r="FW142" s="386">
        <f t="shared" si="141"/>
        <v>0</v>
      </c>
      <c r="FX142" s="386">
        <f t="shared" si="141"/>
        <v>0</v>
      </c>
      <c r="FY142" s="386">
        <f t="shared" si="141"/>
        <v>0</v>
      </c>
      <c r="FZ142" s="386">
        <f t="shared" si="141"/>
        <v>0</v>
      </c>
      <c r="GA142" s="987">
        <f t="shared" si="141"/>
        <v>0</v>
      </c>
      <c r="GB142" s="109"/>
      <c r="GC142" s="1435">
        <f t="shared" ref="GC142:GZ142" si="142">IF(GC119=0,0,GC141/GC119)</f>
        <v>32.418425196850393</v>
      </c>
      <c r="GD142" s="387">
        <f t="shared" si="142"/>
        <v>34.469338842975205</v>
      </c>
      <c r="GE142" s="387">
        <f t="shared" si="142"/>
        <v>34.980833333333329</v>
      </c>
      <c r="GF142" s="387">
        <f t="shared" si="142"/>
        <v>38.358877551020406</v>
      </c>
      <c r="GG142" s="387">
        <f t="shared" si="142"/>
        <v>40.885595238095235</v>
      </c>
      <c r="GH142" s="387">
        <f t="shared" si="142"/>
        <v>44.816847826086949</v>
      </c>
      <c r="GI142" s="387">
        <f t="shared" si="142"/>
        <v>42.373287671232873</v>
      </c>
      <c r="GJ142" s="387">
        <f t="shared" si="142"/>
        <v>38.528494623655916</v>
      </c>
      <c r="GK142" s="387">
        <f t="shared" si="142"/>
        <v>48.079880952380954</v>
      </c>
      <c r="GL142" s="387">
        <f t="shared" si="142"/>
        <v>39.085764705882355</v>
      </c>
      <c r="GM142" s="387">
        <f t="shared" si="142"/>
        <v>39.28420454545455</v>
      </c>
      <c r="GN142" s="988">
        <f t="shared" si="142"/>
        <v>-1.8754999999999999</v>
      </c>
      <c r="GO142" s="1036">
        <f t="shared" si="142"/>
        <v>32.418425196850393</v>
      </c>
      <c r="GP142" s="387">
        <f t="shared" si="142"/>
        <v>34.469338842975205</v>
      </c>
      <c r="GQ142" s="387">
        <f t="shared" si="142"/>
        <v>34.980833333333329</v>
      </c>
      <c r="GR142" s="387">
        <f t="shared" si="142"/>
        <v>38.358877551020406</v>
      </c>
      <c r="GS142" s="387">
        <f t="shared" si="142"/>
        <v>40.885595238095235</v>
      </c>
      <c r="GT142" s="387">
        <f t="shared" si="142"/>
        <v>44.816847826086949</v>
      </c>
      <c r="GU142" s="387">
        <f t="shared" si="142"/>
        <v>42.373287671232873</v>
      </c>
      <c r="GV142" s="387">
        <f t="shared" si="142"/>
        <v>38.528494623655916</v>
      </c>
      <c r="GW142" s="387">
        <f t="shared" si="142"/>
        <v>48.079880952380954</v>
      </c>
      <c r="GX142" s="387">
        <f t="shared" si="142"/>
        <v>39.085764705882355</v>
      </c>
      <c r="GY142" s="387">
        <f t="shared" si="142"/>
        <v>39.28420454545455</v>
      </c>
      <c r="GZ142" s="988">
        <f t="shared" si="142"/>
        <v>-1.8754999999999999</v>
      </c>
      <c r="HB142" s="386">
        <f t="shared" ref="HB142:HM142" si="143">IF(HB119=0,0,HB141/HB119)</f>
        <v>0</v>
      </c>
      <c r="HC142" s="386">
        <f t="shared" si="143"/>
        <v>0</v>
      </c>
      <c r="HD142" s="386">
        <f t="shared" si="143"/>
        <v>0</v>
      </c>
      <c r="HE142" s="386">
        <f t="shared" si="143"/>
        <v>0</v>
      </c>
      <c r="HF142" s="386">
        <f t="shared" si="143"/>
        <v>0</v>
      </c>
      <c r="HG142" s="386">
        <f t="shared" si="143"/>
        <v>0</v>
      </c>
      <c r="HH142" s="386">
        <f t="shared" si="143"/>
        <v>0</v>
      </c>
      <c r="HI142" s="386">
        <f t="shared" si="143"/>
        <v>0</v>
      </c>
      <c r="HJ142" s="386">
        <f t="shared" si="143"/>
        <v>0</v>
      </c>
      <c r="HK142" s="386">
        <f t="shared" si="143"/>
        <v>0</v>
      </c>
      <c r="HL142" s="386">
        <f t="shared" si="143"/>
        <v>0</v>
      </c>
      <c r="HM142" s="987">
        <f t="shared" si="143"/>
        <v>0</v>
      </c>
    </row>
    <row r="143" spans="1:221">
      <c r="A143" s="326" t="s">
        <v>900</v>
      </c>
      <c r="B143" s="326" t="s">
        <v>901</v>
      </c>
      <c r="C143" s="1841" t="s">
        <v>2403</v>
      </c>
      <c r="D143" s="1036" t="s">
        <v>2154</v>
      </c>
      <c r="E143" s="387">
        <v>13</v>
      </c>
      <c r="F143" s="387">
        <v>8</v>
      </c>
      <c r="G143" s="387">
        <v>12</v>
      </c>
      <c r="H143" s="387">
        <v>17</v>
      </c>
      <c r="I143" s="387">
        <v>14</v>
      </c>
      <c r="J143" s="387">
        <v>25</v>
      </c>
      <c r="K143" s="387">
        <v>28</v>
      </c>
      <c r="L143" s="387">
        <v>14</v>
      </c>
      <c r="M143" s="387">
        <v>13</v>
      </c>
      <c r="N143" s="387">
        <v>14</v>
      </c>
      <c r="O143" s="988">
        <v>13</v>
      </c>
      <c r="P143" s="387" t="s">
        <v>2154</v>
      </c>
      <c r="Q143" s="387" t="s">
        <v>2154</v>
      </c>
      <c r="R143" s="387" t="s">
        <v>2154</v>
      </c>
      <c r="S143" s="387" t="s">
        <v>2154</v>
      </c>
      <c r="T143" s="387" t="s">
        <v>2154</v>
      </c>
      <c r="U143" s="387" t="s">
        <v>2154</v>
      </c>
      <c r="V143" s="387" t="s">
        <v>2154</v>
      </c>
      <c r="W143" s="387" t="s">
        <v>2154</v>
      </c>
      <c r="X143" s="387" t="s">
        <v>2154</v>
      </c>
      <c r="Y143" s="387" t="s">
        <v>2154</v>
      </c>
      <c r="Z143" s="387" t="s">
        <v>2154</v>
      </c>
      <c r="AA143" s="988" t="s">
        <v>2154</v>
      </c>
      <c r="AB143" s="387"/>
      <c r="AC143" s="387"/>
      <c r="AD143" s="387"/>
      <c r="AE143" s="387"/>
      <c r="AF143" s="387"/>
      <c r="AG143" s="387"/>
      <c r="AH143" s="387"/>
      <c r="AI143" s="387"/>
      <c r="AJ143" s="387"/>
      <c r="AK143" s="387"/>
      <c r="AL143" s="387"/>
      <c r="AM143" s="988"/>
      <c r="AN143" s="387"/>
      <c r="AO143" s="387"/>
      <c r="AP143" s="387"/>
      <c r="AQ143" s="387"/>
      <c r="AR143" s="387"/>
      <c r="AS143" s="387"/>
      <c r="AT143" s="387"/>
      <c r="AU143" s="387"/>
      <c r="AV143" s="387"/>
      <c r="AW143" s="387"/>
      <c r="AX143" s="387"/>
      <c r="AY143" s="988"/>
      <c r="AZ143" s="387"/>
      <c r="BA143" s="387"/>
      <c r="BB143" s="387"/>
      <c r="BC143" s="387"/>
      <c r="BD143" s="387"/>
      <c r="BE143" s="387"/>
      <c r="BF143" s="387"/>
      <c r="BG143" s="387"/>
      <c r="BH143" s="387"/>
      <c r="BI143" s="387"/>
      <c r="BJ143" s="387"/>
      <c r="BK143" s="988"/>
      <c r="BL143" s="387"/>
      <c r="BM143" s="387"/>
      <c r="BN143" s="387"/>
      <c r="BO143" s="387"/>
      <c r="BP143" s="387"/>
      <c r="BQ143" s="387"/>
      <c r="BR143" s="387"/>
      <c r="BS143" s="387"/>
      <c r="BT143" s="387"/>
      <c r="BU143" s="387"/>
      <c r="BV143" s="387"/>
      <c r="BW143" s="988"/>
      <c r="BX143" s="387"/>
      <c r="BY143" s="387"/>
      <c r="BZ143" s="387"/>
      <c r="CA143" s="387"/>
      <c r="CB143" s="387"/>
      <c r="CC143" s="387"/>
      <c r="CD143" s="387"/>
      <c r="CE143" s="387"/>
      <c r="CF143" s="387"/>
      <c r="CG143" s="387"/>
      <c r="CH143" s="387"/>
      <c r="CI143" s="988"/>
      <c r="CJ143" s="387"/>
      <c r="CK143" s="387"/>
      <c r="CL143" s="387"/>
      <c r="CM143" s="387"/>
      <c r="CN143" s="387"/>
      <c r="CO143" s="387"/>
      <c r="CP143" s="387"/>
      <c r="CQ143" s="387"/>
      <c r="CR143" s="387"/>
      <c r="CS143" s="387"/>
      <c r="CT143" s="387"/>
      <c r="CU143" s="988"/>
      <c r="CV143" s="387"/>
      <c r="CW143" s="387"/>
      <c r="CX143" s="387"/>
      <c r="CY143" s="387"/>
      <c r="CZ143" s="387"/>
      <c r="DA143" s="387"/>
      <c r="DB143" s="387"/>
      <c r="DC143" s="387"/>
      <c r="DD143" s="387"/>
      <c r="DE143" s="387"/>
      <c r="DF143" s="387"/>
      <c r="DG143" s="988"/>
      <c r="DH143" s="387"/>
      <c r="DI143" s="387"/>
      <c r="DJ143" s="387"/>
      <c r="DK143" s="387"/>
      <c r="DL143" s="387"/>
      <c r="DM143" s="387"/>
      <c r="DN143" s="387"/>
      <c r="DO143" s="387"/>
      <c r="DP143" s="387"/>
      <c r="DQ143" s="387"/>
      <c r="DR143" s="387"/>
      <c r="DS143" s="988"/>
      <c r="DT143" s="387" t="s">
        <v>2154</v>
      </c>
      <c r="DU143" s="387" t="s">
        <v>2154</v>
      </c>
      <c r="DV143" s="387" t="s">
        <v>2154</v>
      </c>
      <c r="DW143" s="387" t="s">
        <v>2154</v>
      </c>
      <c r="DX143" s="387">
        <v>26</v>
      </c>
      <c r="DY143" s="387">
        <v>27</v>
      </c>
      <c r="DZ143" s="387" t="s">
        <v>2154</v>
      </c>
      <c r="EA143" s="387" t="s">
        <v>2154</v>
      </c>
      <c r="EB143" s="387">
        <v>26</v>
      </c>
      <c r="EC143" s="387">
        <v>24</v>
      </c>
      <c r="ED143" s="387" t="s">
        <v>2154</v>
      </c>
      <c r="EE143" s="988" t="s">
        <v>2154</v>
      </c>
      <c r="EF143" s="387"/>
      <c r="EG143" s="387"/>
      <c r="EH143" s="387"/>
      <c r="EI143" s="387"/>
      <c r="EJ143" s="387"/>
      <c r="EK143" s="387"/>
      <c r="EL143" s="387"/>
      <c r="EM143" s="387"/>
      <c r="EN143" s="387"/>
      <c r="EO143" s="387"/>
      <c r="EP143" s="387"/>
      <c r="EQ143" s="988"/>
      <c r="ER143" s="387"/>
      <c r="ES143" s="387"/>
      <c r="ET143" s="387"/>
      <c r="EU143" s="387"/>
      <c r="EV143" s="387"/>
      <c r="EW143" s="387"/>
      <c r="EX143" s="387"/>
      <c r="EY143" s="387"/>
      <c r="EZ143" s="387"/>
      <c r="FA143" s="387"/>
      <c r="FB143" s="387"/>
      <c r="FC143" s="988"/>
      <c r="FD143" s="387"/>
      <c r="FE143" s="387"/>
      <c r="FF143" s="387"/>
      <c r="FG143" s="387"/>
      <c r="FH143" s="387"/>
      <c r="FI143" s="387"/>
      <c r="FJ143" s="387"/>
      <c r="FK143" s="387"/>
      <c r="FL143" s="387"/>
      <c r="FM143" s="387"/>
      <c r="FN143" s="387"/>
      <c r="FO143" s="988"/>
      <c r="FP143" s="387"/>
      <c r="FQ143" s="387"/>
      <c r="FR143" s="387"/>
      <c r="FS143" s="387"/>
      <c r="FT143" s="387"/>
      <c r="FU143" s="387"/>
      <c r="FV143" s="387"/>
      <c r="FW143" s="387"/>
      <c r="FX143" s="387"/>
      <c r="FY143" s="387"/>
      <c r="FZ143" s="387"/>
      <c r="GA143" s="988"/>
      <c r="GB143" s="109"/>
      <c r="GC143" s="1435">
        <f t="shared" ref="GC143:GN153" si="144">SUMPRODUCT(--($D$6:$GA$6=GC$6),$D143:$GA143,$D$278:$GA$278)</f>
        <v>0</v>
      </c>
      <c r="GD143" s="387">
        <f t="shared" si="144"/>
        <v>13</v>
      </c>
      <c r="GE143" s="387">
        <f t="shared" si="144"/>
        <v>8</v>
      </c>
      <c r="GF143" s="387">
        <f t="shared" si="144"/>
        <v>12</v>
      </c>
      <c r="GG143" s="387">
        <f t="shared" si="144"/>
        <v>43</v>
      </c>
      <c r="GH143" s="387">
        <f t="shared" si="144"/>
        <v>41</v>
      </c>
      <c r="GI143" s="387">
        <f t="shared" si="144"/>
        <v>25</v>
      </c>
      <c r="GJ143" s="387">
        <f t="shared" si="144"/>
        <v>28</v>
      </c>
      <c r="GK143" s="387">
        <f t="shared" si="144"/>
        <v>40</v>
      </c>
      <c r="GL143" s="387">
        <f t="shared" si="144"/>
        <v>37</v>
      </c>
      <c r="GM143" s="387">
        <f t="shared" si="144"/>
        <v>14</v>
      </c>
      <c r="GN143" s="988">
        <f t="shared" si="144"/>
        <v>13</v>
      </c>
      <c r="GO143" s="1036">
        <f t="shared" ref="GO143:GZ153" si="145">SUMPRODUCT(--($DT$6:$GA$6=GO$6),$DT143:$GA143,$DT$278:$GA$278)</f>
        <v>0</v>
      </c>
      <c r="GP143" s="387">
        <f t="shared" si="145"/>
        <v>0</v>
      </c>
      <c r="GQ143" s="387">
        <f t="shared" si="145"/>
        <v>0</v>
      </c>
      <c r="GR143" s="387">
        <f t="shared" si="145"/>
        <v>0</v>
      </c>
      <c r="GS143" s="387">
        <f t="shared" si="145"/>
        <v>26</v>
      </c>
      <c r="GT143" s="387">
        <f t="shared" si="145"/>
        <v>27</v>
      </c>
      <c r="GU143" s="387">
        <f t="shared" si="145"/>
        <v>0</v>
      </c>
      <c r="GV143" s="387">
        <f t="shared" si="145"/>
        <v>0</v>
      </c>
      <c r="GW143" s="387">
        <f t="shared" si="145"/>
        <v>26</v>
      </c>
      <c r="GX143" s="387">
        <f t="shared" si="145"/>
        <v>24</v>
      </c>
      <c r="GY143" s="387">
        <f t="shared" si="145"/>
        <v>0</v>
      </c>
      <c r="GZ143" s="988">
        <f t="shared" si="145"/>
        <v>0</v>
      </c>
      <c r="HB143" s="387"/>
      <c r="HC143" s="387"/>
      <c r="HD143" s="387"/>
      <c r="HE143" s="387"/>
      <c r="HF143" s="387"/>
      <c r="HG143" s="387"/>
      <c r="HH143" s="387"/>
      <c r="HI143" s="387"/>
      <c r="HJ143" s="387"/>
      <c r="HK143" s="387"/>
      <c r="HL143" s="387"/>
      <c r="HM143" s="988"/>
    </row>
    <row r="144" spans="1:221">
      <c r="A144" s="326" t="s">
        <v>900</v>
      </c>
      <c r="B144" s="326" t="s">
        <v>901</v>
      </c>
      <c r="C144" s="1841" t="s">
        <v>2404</v>
      </c>
      <c r="D144" s="1036" t="s">
        <v>2154</v>
      </c>
      <c r="E144" s="387">
        <v>10724.67</v>
      </c>
      <c r="F144" s="387">
        <v>7253.32</v>
      </c>
      <c r="G144" s="387">
        <v>12090.11</v>
      </c>
      <c r="H144" s="387">
        <v>16632.97</v>
      </c>
      <c r="I144" s="387">
        <v>19822.669999999998</v>
      </c>
      <c r="J144" s="387">
        <v>22676.16</v>
      </c>
      <c r="K144" s="387">
        <v>25032.58</v>
      </c>
      <c r="L144" s="387">
        <v>11048.25</v>
      </c>
      <c r="M144" s="387">
        <v>11404</v>
      </c>
      <c r="N144" s="387">
        <v>12233.26</v>
      </c>
      <c r="O144" s="988">
        <v>12628.13</v>
      </c>
      <c r="P144" s="387" t="s">
        <v>2154</v>
      </c>
      <c r="Q144" s="387" t="s">
        <v>2154</v>
      </c>
      <c r="R144" s="387" t="s">
        <v>2154</v>
      </c>
      <c r="S144" s="387" t="s">
        <v>2154</v>
      </c>
      <c r="T144" s="387" t="s">
        <v>2154</v>
      </c>
      <c r="U144" s="387" t="s">
        <v>2154</v>
      </c>
      <c r="V144" s="387" t="s">
        <v>2154</v>
      </c>
      <c r="W144" s="387" t="s">
        <v>2154</v>
      </c>
      <c r="X144" s="387" t="s">
        <v>2154</v>
      </c>
      <c r="Y144" s="387" t="s">
        <v>2154</v>
      </c>
      <c r="Z144" s="387" t="s">
        <v>2154</v>
      </c>
      <c r="AA144" s="988" t="s">
        <v>2154</v>
      </c>
      <c r="AB144" s="387"/>
      <c r="AC144" s="387"/>
      <c r="AD144" s="387"/>
      <c r="AE144" s="387"/>
      <c r="AF144" s="387"/>
      <c r="AG144" s="387"/>
      <c r="AH144" s="387"/>
      <c r="AI144" s="387"/>
      <c r="AJ144" s="387"/>
      <c r="AK144" s="387"/>
      <c r="AL144" s="387"/>
      <c r="AM144" s="988"/>
      <c r="AN144" s="387"/>
      <c r="AO144" s="387"/>
      <c r="AP144" s="387"/>
      <c r="AQ144" s="387"/>
      <c r="AR144" s="387"/>
      <c r="AS144" s="387"/>
      <c r="AT144" s="387"/>
      <c r="AU144" s="387"/>
      <c r="AV144" s="387"/>
      <c r="AW144" s="387"/>
      <c r="AX144" s="387"/>
      <c r="AY144" s="988"/>
      <c r="AZ144" s="387"/>
      <c r="BA144" s="387"/>
      <c r="BB144" s="387"/>
      <c r="BC144" s="387"/>
      <c r="BD144" s="387"/>
      <c r="BE144" s="387"/>
      <c r="BF144" s="387"/>
      <c r="BG144" s="387"/>
      <c r="BH144" s="387"/>
      <c r="BI144" s="387"/>
      <c r="BJ144" s="387"/>
      <c r="BK144" s="988"/>
      <c r="BL144" s="387"/>
      <c r="BM144" s="387"/>
      <c r="BN144" s="387"/>
      <c r="BO144" s="387"/>
      <c r="BP144" s="387"/>
      <c r="BQ144" s="387"/>
      <c r="BR144" s="387"/>
      <c r="BS144" s="387"/>
      <c r="BT144" s="387"/>
      <c r="BU144" s="387"/>
      <c r="BV144" s="387"/>
      <c r="BW144" s="988"/>
      <c r="BX144" s="387"/>
      <c r="BY144" s="387"/>
      <c r="BZ144" s="387"/>
      <c r="CA144" s="387"/>
      <c r="CB144" s="387"/>
      <c r="CC144" s="387"/>
      <c r="CD144" s="387"/>
      <c r="CE144" s="387"/>
      <c r="CF144" s="387"/>
      <c r="CG144" s="387"/>
      <c r="CH144" s="387"/>
      <c r="CI144" s="988"/>
      <c r="CJ144" s="387"/>
      <c r="CK144" s="387"/>
      <c r="CL144" s="387"/>
      <c r="CM144" s="387"/>
      <c r="CN144" s="387"/>
      <c r="CO144" s="387"/>
      <c r="CP144" s="387"/>
      <c r="CQ144" s="387"/>
      <c r="CR144" s="387"/>
      <c r="CS144" s="387"/>
      <c r="CT144" s="387"/>
      <c r="CU144" s="988"/>
      <c r="CV144" s="387"/>
      <c r="CW144" s="387"/>
      <c r="CX144" s="387"/>
      <c r="CY144" s="387"/>
      <c r="CZ144" s="387"/>
      <c r="DA144" s="387"/>
      <c r="DB144" s="387"/>
      <c r="DC144" s="387"/>
      <c r="DD144" s="387"/>
      <c r="DE144" s="387"/>
      <c r="DF144" s="387"/>
      <c r="DG144" s="988"/>
      <c r="DH144" s="387"/>
      <c r="DI144" s="387"/>
      <c r="DJ144" s="387"/>
      <c r="DK144" s="387"/>
      <c r="DL144" s="387"/>
      <c r="DM144" s="387"/>
      <c r="DN144" s="387"/>
      <c r="DO144" s="387"/>
      <c r="DP144" s="387"/>
      <c r="DQ144" s="387"/>
      <c r="DR144" s="387"/>
      <c r="DS144" s="988"/>
      <c r="DT144" s="387" t="s">
        <v>2154</v>
      </c>
      <c r="DU144" s="387" t="s">
        <v>2154</v>
      </c>
      <c r="DV144" s="387" t="s">
        <v>2154</v>
      </c>
      <c r="DW144" s="387" t="s">
        <v>2154</v>
      </c>
      <c r="DX144" s="387">
        <v>19893.96</v>
      </c>
      <c r="DY144" s="387">
        <v>20727.060000000001</v>
      </c>
      <c r="DZ144" s="387" t="s">
        <v>2154</v>
      </c>
      <c r="EA144" s="387" t="s">
        <v>2154</v>
      </c>
      <c r="EB144" s="387">
        <v>20995.279999999999</v>
      </c>
      <c r="EC144" s="387">
        <v>18517.560000000001</v>
      </c>
      <c r="ED144" s="387" t="s">
        <v>2154</v>
      </c>
      <c r="EE144" s="988" t="s">
        <v>2154</v>
      </c>
      <c r="EF144" s="387"/>
      <c r="EG144" s="387"/>
      <c r="EH144" s="387"/>
      <c r="EI144" s="387"/>
      <c r="EJ144" s="387"/>
      <c r="EK144" s="387"/>
      <c r="EL144" s="387"/>
      <c r="EM144" s="387"/>
      <c r="EN144" s="387"/>
      <c r="EO144" s="387"/>
      <c r="EP144" s="387"/>
      <c r="EQ144" s="988"/>
      <c r="ER144" s="387"/>
      <c r="ES144" s="387"/>
      <c r="ET144" s="387"/>
      <c r="EU144" s="387"/>
      <c r="EV144" s="387"/>
      <c r="EW144" s="387"/>
      <c r="EX144" s="387"/>
      <c r="EY144" s="387"/>
      <c r="EZ144" s="387"/>
      <c r="FA144" s="387"/>
      <c r="FB144" s="387"/>
      <c r="FC144" s="988"/>
      <c r="FD144" s="387"/>
      <c r="FE144" s="387"/>
      <c r="FF144" s="387"/>
      <c r="FG144" s="387"/>
      <c r="FH144" s="387"/>
      <c r="FI144" s="387"/>
      <c r="FJ144" s="387"/>
      <c r="FK144" s="387"/>
      <c r="FL144" s="387"/>
      <c r="FM144" s="387"/>
      <c r="FN144" s="387"/>
      <c r="FO144" s="988"/>
      <c r="FP144" s="387"/>
      <c r="FQ144" s="387"/>
      <c r="FR144" s="387"/>
      <c r="FS144" s="387"/>
      <c r="FT144" s="387"/>
      <c r="FU144" s="387"/>
      <c r="FV144" s="387"/>
      <c r="FW144" s="387"/>
      <c r="FX144" s="387"/>
      <c r="FY144" s="387"/>
      <c r="FZ144" s="387"/>
      <c r="GA144" s="988"/>
      <c r="GB144" s="109"/>
      <c r="GC144" s="1435">
        <f t="shared" si="144"/>
        <v>0</v>
      </c>
      <c r="GD144" s="387">
        <f t="shared" si="144"/>
        <v>10724.67</v>
      </c>
      <c r="GE144" s="387">
        <f t="shared" si="144"/>
        <v>7253.32</v>
      </c>
      <c r="GF144" s="387">
        <f t="shared" si="144"/>
        <v>12090.11</v>
      </c>
      <c r="GG144" s="387">
        <f t="shared" si="144"/>
        <v>36526.93</v>
      </c>
      <c r="GH144" s="387">
        <f t="shared" si="144"/>
        <v>40549.729999999996</v>
      </c>
      <c r="GI144" s="387">
        <f t="shared" si="144"/>
        <v>22676.16</v>
      </c>
      <c r="GJ144" s="387">
        <f t="shared" si="144"/>
        <v>25032.58</v>
      </c>
      <c r="GK144" s="387">
        <f t="shared" si="144"/>
        <v>32043.53</v>
      </c>
      <c r="GL144" s="387">
        <f t="shared" si="144"/>
        <v>29921.56</v>
      </c>
      <c r="GM144" s="387">
        <f t="shared" si="144"/>
        <v>12233.26</v>
      </c>
      <c r="GN144" s="988">
        <f t="shared" si="144"/>
        <v>12628.13</v>
      </c>
      <c r="GO144" s="1036">
        <f t="shared" si="145"/>
        <v>0</v>
      </c>
      <c r="GP144" s="387">
        <f t="shared" si="145"/>
        <v>0</v>
      </c>
      <c r="GQ144" s="387">
        <f t="shared" si="145"/>
        <v>0</v>
      </c>
      <c r="GR144" s="387">
        <f t="shared" si="145"/>
        <v>0</v>
      </c>
      <c r="GS144" s="387">
        <f t="shared" si="145"/>
        <v>19893.96</v>
      </c>
      <c r="GT144" s="387">
        <f t="shared" si="145"/>
        <v>20727.060000000001</v>
      </c>
      <c r="GU144" s="387">
        <f t="shared" si="145"/>
        <v>0</v>
      </c>
      <c r="GV144" s="387">
        <f t="shared" si="145"/>
        <v>0</v>
      </c>
      <c r="GW144" s="387">
        <f t="shared" si="145"/>
        <v>20995.279999999999</v>
      </c>
      <c r="GX144" s="387">
        <f t="shared" si="145"/>
        <v>18517.560000000001</v>
      </c>
      <c r="GY144" s="387">
        <f t="shared" si="145"/>
        <v>0</v>
      </c>
      <c r="GZ144" s="988">
        <f t="shared" si="145"/>
        <v>0</v>
      </c>
      <c r="HB144" s="387"/>
      <c r="HC144" s="387"/>
      <c r="HD144" s="387"/>
      <c r="HE144" s="387"/>
      <c r="HF144" s="387"/>
      <c r="HG144" s="387"/>
      <c r="HH144" s="387"/>
      <c r="HI144" s="387"/>
      <c r="HJ144" s="387"/>
      <c r="HK144" s="387"/>
      <c r="HL144" s="387"/>
      <c r="HM144" s="988"/>
    </row>
    <row r="145" spans="1:221">
      <c r="A145" s="326" t="s">
        <v>900</v>
      </c>
      <c r="B145" s="326" t="s">
        <v>901</v>
      </c>
      <c r="C145" s="1841" t="s">
        <v>2405</v>
      </c>
      <c r="D145" s="1036" t="s">
        <v>2154</v>
      </c>
      <c r="E145" s="387" t="s">
        <v>2154</v>
      </c>
      <c r="F145" s="387" t="s">
        <v>2154</v>
      </c>
      <c r="G145" s="387" t="s">
        <v>2154</v>
      </c>
      <c r="H145" s="387" t="s">
        <v>2154</v>
      </c>
      <c r="I145" s="387" t="s">
        <v>2154</v>
      </c>
      <c r="J145" s="387" t="s">
        <v>2154</v>
      </c>
      <c r="K145" s="387" t="s">
        <v>2154</v>
      </c>
      <c r="L145" s="387" t="s">
        <v>2154</v>
      </c>
      <c r="M145" s="387" t="s">
        <v>2154</v>
      </c>
      <c r="N145" s="387" t="s">
        <v>2154</v>
      </c>
      <c r="O145" s="988" t="s">
        <v>2154</v>
      </c>
      <c r="P145" s="387">
        <v>4.28</v>
      </c>
      <c r="Q145" s="387" t="s">
        <v>2154</v>
      </c>
      <c r="R145" s="387">
        <v>12</v>
      </c>
      <c r="S145" s="387">
        <v>13.28</v>
      </c>
      <c r="T145" s="387">
        <v>12.85</v>
      </c>
      <c r="U145" s="387">
        <v>13.28</v>
      </c>
      <c r="V145" s="387">
        <v>37.71</v>
      </c>
      <c r="W145" s="387">
        <v>39.85</v>
      </c>
      <c r="X145" s="387">
        <v>50.85</v>
      </c>
      <c r="Y145" s="387">
        <v>51.42</v>
      </c>
      <c r="Z145" s="387">
        <v>53.14</v>
      </c>
      <c r="AA145" s="988">
        <v>64.28</v>
      </c>
      <c r="AB145" s="387"/>
      <c r="AC145" s="387"/>
      <c r="AD145" s="387"/>
      <c r="AE145" s="387"/>
      <c r="AF145" s="387"/>
      <c r="AG145" s="387"/>
      <c r="AH145" s="387"/>
      <c r="AI145" s="387"/>
      <c r="AJ145" s="387"/>
      <c r="AK145" s="387"/>
      <c r="AL145" s="387"/>
      <c r="AM145" s="988"/>
      <c r="AN145" s="387"/>
      <c r="AO145" s="387"/>
      <c r="AP145" s="387"/>
      <c r="AQ145" s="387"/>
      <c r="AR145" s="387"/>
      <c r="AS145" s="387"/>
      <c r="AT145" s="387"/>
      <c r="AU145" s="387"/>
      <c r="AV145" s="387"/>
      <c r="AW145" s="387"/>
      <c r="AX145" s="387"/>
      <c r="AY145" s="988"/>
      <c r="AZ145" s="387"/>
      <c r="BA145" s="387"/>
      <c r="BB145" s="387"/>
      <c r="BC145" s="387"/>
      <c r="BD145" s="387"/>
      <c r="BE145" s="387"/>
      <c r="BF145" s="387"/>
      <c r="BG145" s="387"/>
      <c r="BH145" s="387"/>
      <c r="BI145" s="387"/>
      <c r="BJ145" s="387"/>
      <c r="BK145" s="988"/>
      <c r="BL145" s="387"/>
      <c r="BM145" s="387"/>
      <c r="BN145" s="387"/>
      <c r="BO145" s="387"/>
      <c r="BP145" s="387"/>
      <c r="BQ145" s="387"/>
      <c r="BR145" s="387"/>
      <c r="BS145" s="387"/>
      <c r="BT145" s="387"/>
      <c r="BU145" s="387"/>
      <c r="BV145" s="387"/>
      <c r="BW145" s="988"/>
      <c r="BX145" s="387"/>
      <c r="BY145" s="387"/>
      <c r="BZ145" s="387"/>
      <c r="CA145" s="387"/>
      <c r="CB145" s="387"/>
      <c r="CC145" s="387"/>
      <c r="CD145" s="387"/>
      <c r="CE145" s="387"/>
      <c r="CF145" s="387"/>
      <c r="CG145" s="387"/>
      <c r="CH145" s="387"/>
      <c r="CI145" s="988"/>
      <c r="CJ145" s="387"/>
      <c r="CK145" s="387"/>
      <c r="CL145" s="387"/>
      <c r="CM145" s="387"/>
      <c r="CN145" s="387"/>
      <c r="CO145" s="387"/>
      <c r="CP145" s="387"/>
      <c r="CQ145" s="387"/>
      <c r="CR145" s="387"/>
      <c r="CS145" s="387"/>
      <c r="CT145" s="387"/>
      <c r="CU145" s="988"/>
      <c r="CV145" s="387"/>
      <c r="CW145" s="387"/>
      <c r="CX145" s="387"/>
      <c r="CY145" s="387"/>
      <c r="CZ145" s="387"/>
      <c r="DA145" s="387"/>
      <c r="DB145" s="387"/>
      <c r="DC145" s="387"/>
      <c r="DD145" s="387"/>
      <c r="DE145" s="387"/>
      <c r="DF145" s="387"/>
      <c r="DG145" s="988"/>
      <c r="DH145" s="387"/>
      <c r="DI145" s="387"/>
      <c r="DJ145" s="387"/>
      <c r="DK145" s="387"/>
      <c r="DL145" s="387"/>
      <c r="DM145" s="387"/>
      <c r="DN145" s="387"/>
      <c r="DO145" s="387"/>
      <c r="DP145" s="387"/>
      <c r="DQ145" s="387"/>
      <c r="DR145" s="387"/>
      <c r="DS145" s="988"/>
      <c r="DT145" s="387" t="s">
        <v>2154</v>
      </c>
      <c r="DU145" s="387" t="s">
        <v>2154</v>
      </c>
      <c r="DV145" s="387" t="s">
        <v>2154</v>
      </c>
      <c r="DW145" s="387" t="s">
        <v>2154</v>
      </c>
      <c r="DX145" s="387" t="s">
        <v>2154</v>
      </c>
      <c r="DY145" s="387" t="s">
        <v>2154</v>
      </c>
      <c r="DZ145" s="387" t="s">
        <v>2154</v>
      </c>
      <c r="EA145" s="387" t="s">
        <v>2154</v>
      </c>
      <c r="EB145" s="387" t="s">
        <v>2154</v>
      </c>
      <c r="EC145" s="387" t="s">
        <v>2154</v>
      </c>
      <c r="ED145" s="387" t="s">
        <v>2154</v>
      </c>
      <c r="EE145" s="988" t="s">
        <v>2154</v>
      </c>
      <c r="EF145" s="387"/>
      <c r="EG145" s="387"/>
      <c r="EH145" s="387"/>
      <c r="EI145" s="387"/>
      <c r="EJ145" s="387"/>
      <c r="EK145" s="387"/>
      <c r="EL145" s="387"/>
      <c r="EM145" s="387"/>
      <c r="EN145" s="387"/>
      <c r="EO145" s="387"/>
      <c r="EP145" s="387"/>
      <c r="EQ145" s="988"/>
      <c r="ER145" s="387"/>
      <c r="ES145" s="387"/>
      <c r="ET145" s="387"/>
      <c r="EU145" s="387"/>
      <c r="EV145" s="387"/>
      <c r="EW145" s="387"/>
      <c r="EX145" s="387"/>
      <c r="EY145" s="387"/>
      <c r="EZ145" s="387"/>
      <c r="FA145" s="387"/>
      <c r="FB145" s="387"/>
      <c r="FC145" s="988"/>
      <c r="FD145" s="387"/>
      <c r="FE145" s="387"/>
      <c r="FF145" s="387"/>
      <c r="FG145" s="387"/>
      <c r="FH145" s="387"/>
      <c r="FI145" s="387"/>
      <c r="FJ145" s="387"/>
      <c r="FK145" s="387"/>
      <c r="FL145" s="387"/>
      <c r="FM145" s="387"/>
      <c r="FN145" s="387"/>
      <c r="FO145" s="988"/>
      <c r="FP145" s="387"/>
      <c r="FQ145" s="387"/>
      <c r="FR145" s="387"/>
      <c r="FS145" s="387"/>
      <c r="FT145" s="387"/>
      <c r="FU145" s="387"/>
      <c r="FV145" s="387"/>
      <c r="FW145" s="387"/>
      <c r="FX145" s="387"/>
      <c r="FY145" s="387"/>
      <c r="FZ145" s="387"/>
      <c r="GA145" s="988"/>
      <c r="GB145" s="109"/>
      <c r="GC145" s="1036">
        <f t="shared" si="144"/>
        <v>4.28</v>
      </c>
      <c r="GD145" s="387">
        <f t="shared" si="144"/>
        <v>0</v>
      </c>
      <c r="GE145" s="387">
        <f t="shared" si="144"/>
        <v>12</v>
      </c>
      <c r="GF145" s="387">
        <f t="shared" si="144"/>
        <v>13.28</v>
      </c>
      <c r="GG145" s="387">
        <f t="shared" si="144"/>
        <v>12.85</v>
      </c>
      <c r="GH145" s="387">
        <f t="shared" si="144"/>
        <v>13.28</v>
      </c>
      <c r="GI145" s="387">
        <f t="shared" si="144"/>
        <v>37.71</v>
      </c>
      <c r="GJ145" s="387">
        <f t="shared" si="144"/>
        <v>39.85</v>
      </c>
      <c r="GK145" s="387">
        <f t="shared" si="144"/>
        <v>50.85</v>
      </c>
      <c r="GL145" s="387">
        <f t="shared" si="144"/>
        <v>51.42</v>
      </c>
      <c r="GM145" s="387">
        <f t="shared" si="144"/>
        <v>53.14</v>
      </c>
      <c r="GN145" s="988">
        <f t="shared" si="144"/>
        <v>64.28</v>
      </c>
      <c r="GO145" s="1036">
        <f t="shared" si="145"/>
        <v>0</v>
      </c>
      <c r="GP145" s="387">
        <f t="shared" si="145"/>
        <v>0</v>
      </c>
      <c r="GQ145" s="387">
        <f t="shared" si="145"/>
        <v>0</v>
      </c>
      <c r="GR145" s="387">
        <f t="shared" si="145"/>
        <v>0</v>
      </c>
      <c r="GS145" s="387">
        <f t="shared" si="145"/>
        <v>0</v>
      </c>
      <c r="GT145" s="387">
        <f t="shared" si="145"/>
        <v>0</v>
      </c>
      <c r="GU145" s="387">
        <f t="shared" si="145"/>
        <v>0</v>
      </c>
      <c r="GV145" s="387">
        <f t="shared" si="145"/>
        <v>0</v>
      </c>
      <c r="GW145" s="387">
        <f t="shared" si="145"/>
        <v>0</v>
      </c>
      <c r="GX145" s="387">
        <f t="shared" si="145"/>
        <v>0</v>
      </c>
      <c r="GY145" s="387">
        <f t="shared" si="145"/>
        <v>0</v>
      </c>
      <c r="GZ145" s="988">
        <f t="shared" si="145"/>
        <v>0</v>
      </c>
      <c r="HB145" s="387"/>
      <c r="HC145" s="387"/>
      <c r="HD145" s="387"/>
      <c r="HE145" s="387"/>
      <c r="HF145" s="387"/>
      <c r="HG145" s="387"/>
      <c r="HH145" s="387"/>
      <c r="HI145" s="387"/>
      <c r="HJ145" s="387"/>
      <c r="HK145" s="387"/>
      <c r="HL145" s="387"/>
      <c r="HM145" s="988"/>
    </row>
    <row r="146" spans="1:221">
      <c r="A146" s="326" t="s">
        <v>900</v>
      </c>
      <c r="B146" s="326" t="s">
        <v>901</v>
      </c>
      <c r="C146" s="1841" t="s">
        <v>2406</v>
      </c>
      <c r="D146" s="1036" t="s">
        <v>2154</v>
      </c>
      <c r="E146" s="387" t="s">
        <v>2154</v>
      </c>
      <c r="F146" s="387" t="s">
        <v>2154</v>
      </c>
      <c r="G146" s="387" t="s">
        <v>2154</v>
      </c>
      <c r="H146" s="387" t="s">
        <v>2154</v>
      </c>
      <c r="I146" s="387" t="s">
        <v>2154</v>
      </c>
      <c r="J146" s="387" t="s">
        <v>2154</v>
      </c>
      <c r="K146" s="387" t="s">
        <v>2154</v>
      </c>
      <c r="L146" s="387" t="s">
        <v>2154</v>
      </c>
      <c r="M146" s="387" t="s">
        <v>2154</v>
      </c>
      <c r="N146" s="387" t="s">
        <v>2154</v>
      </c>
      <c r="O146" s="988" t="s">
        <v>2154</v>
      </c>
      <c r="P146" s="387">
        <v>3610</v>
      </c>
      <c r="Q146" s="387" t="s">
        <v>2154</v>
      </c>
      <c r="R146" s="387">
        <v>17052</v>
      </c>
      <c r="S146" s="387">
        <v>18879</v>
      </c>
      <c r="T146" s="387">
        <v>18270</v>
      </c>
      <c r="U146" s="387">
        <v>18879</v>
      </c>
      <c r="V146" s="387">
        <v>52062.29</v>
      </c>
      <c r="W146" s="387">
        <v>57181.14</v>
      </c>
      <c r="X146" s="387">
        <v>65570.649999999994</v>
      </c>
      <c r="Y146" s="387">
        <v>68834.22</v>
      </c>
      <c r="Z146" s="387">
        <v>97856.7</v>
      </c>
      <c r="AA146" s="988">
        <v>105971.26</v>
      </c>
      <c r="AB146" s="387"/>
      <c r="AC146" s="387"/>
      <c r="AD146" s="387"/>
      <c r="AE146" s="387"/>
      <c r="AF146" s="387"/>
      <c r="AG146" s="387"/>
      <c r="AH146" s="387"/>
      <c r="AI146" s="387"/>
      <c r="AJ146" s="387"/>
      <c r="AK146" s="387"/>
      <c r="AL146" s="387"/>
      <c r="AM146" s="988"/>
      <c r="AN146" s="387"/>
      <c r="AO146" s="387"/>
      <c r="AP146" s="387"/>
      <c r="AQ146" s="387"/>
      <c r="AR146" s="387"/>
      <c r="AS146" s="387"/>
      <c r="AT146" s="387"/>
      <c r="AU146" s="387"/>
      <c r="AV146" s="387"/>
      <c r="AW146" s="387"/>
      <c r="AX146" s="387"/>
      <c r="AY146" s="988"/>
      <c r="AZ146" s="387"/>
      <c r="BA146" s="387"/>
      <c r="BB146" s="387"/>
      <c r="BC146" s="387"/>
      <c r="BD146" s="387"/>
      <c r="BE146" s="387"/>
      <c r="BF146" s="387"/>
      <c r="BG146" s="387"/>
      <c r="BH146" s="387"/>
      <c r="BI146" s="387"/>
      <c r="BJ146" s="387"/>
      <c r="BK146" s="988"/>
      <c r="BL146" s="387"/>
      <c r="BM146" s="387"/>
      <c r="BN146" s="387"/>
      <c r="BO146" s="387"/>
      <c r="BP146" s="387"/>
      <c r="BQ146" s="387"/>
      <c r="BR146" s="387"/>
      <c r="BS146" s="387"/>
      <c r="BT146" s="387"/>
      <c r="BU146" s="387"/>
      <c r="BV146" s="387"/>
      <c r="BW146" s="988"/>
      <c r="BX146" s="387"/>
      <c r="BY146" s="387"/>
      <c r="BZ146" s="387"/>
      <c r="CA146" s="387"/>
      <c r="CB146" s="387"/>
      <c r="CC146" s="387"/>
      <c r="CD146" s="387"/>
      <c r="CE146" s="387"/>
      <c r="CF146" s="387"/>
      <c r="CG146" s="387"/>
      <c r="CH146" s="387"/>
      <c r="CI146" s="988"/>
      <c r="CJ146" s="387"/>
      <c r="CK146" s="387"/>
      <c r="CL146" s="387"/>
      <c r="CM146" s="387"/>
      <c r="CN146" s="387"/>
      <c r="CO146" s="387"/>
      <c r="CP146" s="387"/>
      <c r="CQ146" s="387"/>
      <c r="CR146" s="387"/>
      <c r="CS146" s="387"/>
      <c r="CT146" s="387"/>
      <c r="CU146" s="988"/>
      <c r="CV146" s="387"/>
      <c r="CW146" s="387"/>
      <c r="CX146" s="387"/>
      <c r="CY146" s="387"/>
      <c r="CZ146" s="387"/>
      <c r="DA146" s="387"/>
      <c r="DB146" s="387"/>
      <c r="DC146" s="387"/>
      <c r="DD146" s="387"/>
      <c r="DE146" s="387"/>
      <c r="DF146" s="387"/>
      <c r="DG146" s="988"/>
      <c r="DH146" s="387"/>
      <c r="DI146" s="387"/>
      <c r="DJ146" s="387"/>
      <c r="DK146" s="387"/>
      <c r="DL146" s="387"/>
      <c r="DM146" s="387"/>
      <c r="DN146" s="387"/>
      <c r="DO146" s="387"/>
      <c r="DP146" s="387"/>
      <c r="DQ146" s="387"/>
      <c r="DR146" s="387"/>
      <c r="DS146" s="988"/>
      <c r="DT146" s="387" t="s">
        <v>2154</v>
      </c>
      <c r="DU146" s="387" t="s">
        <v>2154</v>
      </c>
      <c r="DV146" s="387" t="s">
        <v>2154</v>
      </c>
      <c r="DW146" s="387" t="s">
        <v>2154</v>
      </c>
      <c r="DX146" s="387" t="s">
        <v>2154</v>
      </c>
      <c r="DY146" s="387" t="s">
        <v>2154</v>
      </c>
      <c r="DZ146" s="387" t="s">
        <v>2154</v>
      </c>
      <c r="EA146" s="387" t="s">
        <v>2154</v>
      </c>
      <c r="EB146" s="387" t="s">
        <v>2154</v>
      </c>
      <c r="EC146" s="387" t="s">
        <v>2154</v>
      </c>
      <c r="ED146" s="387" t="s">
        <v>2154</v>
      </c>
      <c r="EE146" s="988" t="s">
        <v>2154</v>
      </c>
      <c r="EF146" s="387"/>
      <c r="EG146" s="387"/>
      <c r="EH146" s="387"/>
      <c r="EI146" s="387"/>
      <c r="EJ146" s="387"/>
      <c r="EK146" s="387"/>
      <c r="EL146" s="387"/>
      <c r="EM146" s="387"/>
      <c r="EN146" s="387"/>
      <c r="EO146" s="387"/>
      <c r="EP146" s="387"/>
      <c r="EQ146" s="988"/>
      <c r="ER146" s="387"/>
      <c r="ES146" s="387"/>
      <c r="ET146" s="387"/>
      <c r="EU146" s="387"/>
      <c r="EV146" s="387"/>
      <c r="EW146" s="387"/>
      <c r="EX146" s="387"/>
      <c r="EY146" s="387"/>
      <c r="EZ146" s="387"/>
      <c r="FA146" s="387"/>
      <c r="FB146" s="387"/>
      <c r="FC146" s="988"/>
      <c r="FD146" s="387"/>
      <c r="FE146" s="387"/>
      <c r="FF146" s="387"/>
      <c r="FG146" s="387"/>
      <c r="FH146" s="387"/>
      <c r="FI146" s="387"/>
      <c r="FJ146" s="387"/>
      <c r="FK146" s="387"/>
      <c r="FL146" s="387"/>
      <c r="FM146" s="387"/>
      <c r="FN146" s="387"/>
      <c r="FO146" s="988"/>
      <c r="FP146" s="387"/>
      <c r="FQ146" s="387"/>
      <c r="FR146" s="387"/>
      <c r="FS146" s="387"/>
      <c r="FT146" s="387"/>
      <c r="FU146" s="387"/>
      <c r="FV146" s="387"/>
      <c r="FW146" s="387"/>
      <c r="FX146" s="387"/>
      <c r="FY146" s="387"/>
      <c r="FZ146" s="387"/>
      <c r="GA146" s="988"/>
      <c r="GB146" s="109"/>
      <c r="GC146" s="1036">
        <f t="shared" si="144"/>
        <v>3610</v>
      </c>
      <c r="GD146" s="387">
        <f t="shared" si="144"/>
        <v>0</v>
      </c>
      <c r="GE146" s="387">
        <f t="shared" si="144"/>
        <v>17052</v>
      </c>
      <c r="GF146" s="387">
        <f t="shared" si="144"/>
        <v>18879</v>
      </c>
      <c r="GG146" s="387">
        <f t="shared" si="144"/>
        <v>18270</v>
      </c>
      <c r="GH146" s="387">
        <f t="shared" si="144"/>
        <v>18879</v>
      </c>
      <c r="GI146" s="387">
        <f t="shared" si="144"/>
        <v>52062.29</v>
      </c>
      <c r="GJ146" s="387">
        <f t="shared" si="144"/>
        <v>57181.14</v>
      </c>
      <c r="GK146" s="387">
        <f t="shared" si="144"/>
        <v>65570.649999999994</v>
      </c>
      <c r="GL146" s="387">
        <f t="shared" si="144"/>
        <v>68834.22</v>
      </c>
      <c r="GM146" s="387">
        <f t="shared" si="144"/>
        <v>97856.7</v>
      </c>
      <c r="GN146" s="988">
        <f t="shared" si="144"/>
        <v>105971.26</v>
      </c>
      <c r="GO146" s="1036">
        <f t="shared" si="145"/>
        <v>0</v>
      </c>
      <c r="GP146" s="387">
        <f t="shared" si="145"/>
        <v>0</v>
      </c>
      <c r="GQ146" s="387">
        <f t="shared" si="145"/>
        <v>0</v>
      </c>
      <c r="GR146" s="387">
        <f t="shared" si="145"/>
        <v>0</v>
      </c>
      <c r="GS146" s="387">
        <f t="shared" si="145"/>
        <v>0</v>
      </c>
      <c r="GT146" s="387">
        <f t="shared" si="145"/>
        <v>0</v>
      </c>
      <c r="GU146" s="387">
        <f t="shared" si="145"/>
        <v>0</v>
      </c>
      <c r="GV146" s="387">
        <f t="shared" si="145"/>
        <v>0</v>
      </c>
      <c r="GW146" s="387">
        <f t="shared" si="145"/>
        <v>0</v>
      </c>
      <c r="GX146" s="387">
        <f t="shared" si="145"/>
        <v>0</v>
      </c>
      <c r="GY146" s="387">
        <f t="shared" si="145"/>
        <v>0</v>
      </c>
      <c r="GZ146" s="988">
        <f t="shared" si="145"/>
        <v>0</v>
      </c>
      <c r="HB146" s="387"/>
      <c r="HC146" s="387"/>
      <c r="HD146" s="387"/>
      <c r="HE146" s="387"/>
      <c r="HF146" s="387"/>
      <c r="HG146" s="387"/>
      <c r="HH146" s="387"/>
      <c r="HI146" s="387"/>
      <c r="HJ146" s="387"/>
      <c r="HK146" s="387"/>
      <c r="HL146" s="387"/>
      <c r="HM146" s="988"/>
    </row>
    <row r="147" spans="1:221">
      <c r="A147" s="326" t="s">
        <v>1599</v>
      </c>
      <c r="B147" s="326" t="s">
        <v>901</v>
      </c>
      <c r="C147" s="326" t="s">
        <v>2152</v>
      </c>
      <c r="D147" s="1036" t="s">
        <v>2154</v>
      </c>
      <c r="E147" s="387" t="s">
        <v>2154</v>
      </c>
      <c r="F147" s="387" t="s">
        <v>2154</v>
      </c>
      <c r="G147" s="387" t="s">
        <v>2154</v>
      </c>
      <c r="H147" s="387" t="s">
        <v>2154</v>
      </c>
      <c r="I147" s="387" t="s">
        <v>2154</v>
      </c>
      <c r="J147" s="387" t="s">
        <v>2154</v>
      </c>
      <c r="K147" s="387" t="s">
        <v>2154</v>
      </c>
      <c r="L147" s="387" t="s">
        <v>2154</v>
      </c>
      <c r="M147" s="387" t="s">
        <v>2154</v>
      </c>
      <c r="N147" s="387" t="s">
        <v>2154</v>
      </c>
      <c r="O147" s="988" t="s">
        <v>2154</v>
      </c>
      <c r="P147" s="387" t="s">
        <v>2154</v>
      </c>
      <c r="Q147" s="387" t="s">
        <v>2154</v>
      </c>
      <c r="R147" s="387" t="s">
        <v>2154</v>
      </c>
      <c r="S147" s="387" t="s">
        <v>2154</v>
      </c>
      <c r="T147" s="387" t="s">
        <v>2154</v>
      </c>
      <c r="U147" s="387" t="s">
        <v>2154</v>
      </c>
      <c r="V147" s="387" t="s">
        <v>2154</v>
      </c>
      <c r="W147" s="387" t="s">
        <v>2154</v>
      </c>
      <c r="X147" s="387" t="s">
        <v>2154</v>
      </c>
      <c r="Y147" s="387" t="s">
        <v>2154</v>
      </c>
      <c r="Z147" s="387" t="s">
        <v>2154</v>
      </c>
      <c r="AA147" s="988" t="s">
        <v>2154</v>
      </c>
      <c r="AB147" s="387"/>
      <c r="AC147" s="387"/>
      <c r="AD147" s="387"/>
      <c r="AE147" s="387"/>
      <c r="AF147" s="387"/>
      <c r="AG147" s="387"/>
      <c r="AH147" s="387"/>
      <c r="AI147" s="387"/>
      <c r="AJ147" s="387"/>
      <c r="AK147" s="387"/>
      <c r="AL147" s="387"/>
      <c r="AM147" s="988"/>
      <c r="AN147" s="387"/>
      <c r="AO147" s="387"/>
      <c r="AP147" s="387"/>
      <c r="AQ147" s="387"/>
      <c r="AR147" s="387"/>
      <c r="AS147" s="387"/>
      <c r="AT147" s="387"/>
      <c r="AU147" s="387"/>
      <c r="AV147" s="387"/>
      <c r="AW147" s="387"/>
      <c r="AX147" s="387"/>
      <c r="AY147" s="988"/>
      <c r="AZ147" s="387"/>
      <c r="BA147" s="387"/>
      <c r="BB147" s="387"/>
      <c r="BC147" s="387"/>
      <c r="BD147" s="387"/>
      <c r="BE147" s="387"/>
      <c r="BF147" s="387"/>
      <c r="BG147" s="387"/>
      <c r="BH147" s="387"/>
      <c r="BI147" s="387"/>
      <c r="BJ147" s="387"/>
      <c r="BK147" s="988"/>
      <c r="BL147" s="387"/>
      <c r="BM147" s="387"/>
      <c r="BN147" s="387"/>
      <c r="BO147" s="387"/>
      <c r="BP147" s="387"/>
      <c r="BQ147" s="387"/>
      <c r="BR147" s="387"/>
      <c r="BS147" s="387"/>
      <c r="BT147" s="387"/>
      <c r="BU147" s="387"/>
      <c r="BV147" s="387"/>
      <c r="BW147" s="988"/>
      <c r="BX147" s="387"/>
      <c r="BY147" s="387"/>
      <c r="BZ147" s="387"/>
      <c r="CA147" s="387"/>
      <c r="CB147" s="387"/>
      <c r="CC147" s="387"/>
      <c r="CD147" s="387"/>
      <c r="CE147" s="387"/>
      <c r="CF147" s="387"/>
      <c r="CG147" s="387"/>
      <c r="CH147" s="387"/>
      <c r="CI147" s="988"/>
      <c r="CJ147" s="387"/>
      <c r="CK147" s="387"/>
      <c r="CL147" s="387"/>
      <c r="CM147" s="387"/>
      <c r="CN147" s="387"/>
      <c r="CO147" s="387"/>
      <c r="CP147" s="387"/>
      <c r="CQ147" s="387"/>
      <c r="CR147" s="387"/>
      <c r="CS147" s="387"/>
      <c r="CT147" s="387"/>
      <c r="CU147" s="988"/>
      <c r="CV147" s="387"/>
      <c r="CW147" s="387"/>
      <c r="CX147" s="387"/>
      <c r="CY147" s="387"/>
      <c r="CZ147" s="387"/>
      <c r="DA147" s="387"/>
      <c r="DB147" s="387"/>
      <c r="DC147" s="387"/>
      <c r="DD147" s="387"/>
      <c r="DE147" s="387"/>
      <c r="DF147" s="387"/>
      <c r="DG147" s="988"/>
      <c r="DH147" s="387"/>
      <c r="DI147" s="387"/>
      <c r="DJ147" s="387"/>
      <c r="DK147" s="387"/>
      <c r="DL147" s="387"/>
      <c r="DM147" s="387"/>
      <c r="DN147" s="387"/>
      <c r="DO147" s="387"/>
      <c r="DP147" s="387"/>
      <c r="DQ147" s="387"/>
      <c r="DR147" s="387"/>
      <c r="DS147" s="988"/>
      <c r="DT147" s="387" t="s">
        <v>2154</v>
      </c>
      <c r="DU147" s="387" t="s">
        <v>2154</v>
      </c>
      <c r="DV147" s="387" t="s">
        <v>2154</v>
      </c>
      <c r="DW147" s="387" t="s">
        <v>2154</v>
      </c>
      <c r="DX147" s="387" t="s">
        <v>2154</v>
      </c>
      <c r="DY147" s="387" t="s">
        <v>2154</v>
      </c>
      <c r="DZ147" s="387" t="s">
        <v>2154</v>
      </c>
      <c r="EA147" s="387" t="s">
        <v>2154</v>
      </c>
      <c r="EB147" s="387" t="s">
        <v>2154</v>
      </c>
      <c r="EC147" s="387" t="s">
        <v>2154</v>
      </c>
      <c r="ED147" s="387" t="s">
        <v>2154</v>
      </c>
      <c r="EE147" s="988" t="s">
        <v>2154</v>
      </c>
      <c r="EF147" s="387"/>
      <c r="EG147" s="387"/>
      <c r="EH147" s="387"/>
      <c r="EI147" s="387"/>
      <c r="EJ147" s="387"/>
      <c r="EK147" s="387"/>
      <c r="EL147" s="387"/>
      <c r="EM147" s="387"/>
      <c r="EN147" s="387"/>
      <c r="EO147" s="387"/>
      <c r="EP147" s="387"/>
      <c r="EQ147" s="988"/>
      <c r="ER147" s="387"/>
      <c r="ES147" s="387"/>
      <c r="ET147" s="387"/>
      <c r="EU147" s="387"/>
      <c r="EV147" s="387"/>
      <c r="EW147" s="387"/>
      <c r="EX147" s="387"/>
      <c r="EY147" s="387"/>
      <c r="EZ147" s="387"/>
      <c r="FA147" s="387"/>
      <c r="FB147" s="387"/>
      <c r="FC147" s="988"/>
      <c r="FD147" s="387"/>
      <c r="FE147" s="387"/>
      <c r="FF147" s="387"/>
      <c r="FG147" s="387"/>
      <c r="FH147" s="387"/>
      <c r="FI147" s="387"/>
      <c r="FJ147" s="387"/>
      <c r="FK147" s="387"/>
      <c r="FL147" s="387"/>
      <c r="FM147" s="387"/>
      <c r="FN147" s="387"/>
      <c r="FO147" s="988"/>
      <c r="FP147" s="387"/>
      <c r="FQ147" s="387"/>
      <c r="FR147" s="387"/>
      <c r="FS147" s="387"/>
      <c r="FT147" s="387"/>
      <c r="FU147" s="387"/>
      <c r="FV147" s="387"/>
      <c r="FW147" s="387"/>
      <c r="FX147" s="387"/>
      <c r="FY147" s="387"/>
      <c r="FZ147" s="387"/>
      <c r="GA147" s="988"/>
      <c r="GB147" s="109"/>
      <c r="GC147" s="1036">
        <f t="shared" si="144"/>
        <v>0</v>
      </c>
      <c r="GD147" s="387">
        <f t="shared" si="144"/>
        <v>0</v>
      </c>
      <c r="GE147" s="387">
        <f t="shared" si="144"/>
        <v>0</v>
      </c>
      <c r="GF147" s="387">
        <f t="shared" si="144"/>
        <v>0</v>
      </c>
      <c r="GG147" s="387">
        <f t="shared" si="144"/>
        <v>0</v>
      </c>
      <c r="GH147" s="387">
        <f t="shared" si="144"/>
        <v>0</v>
      </c>
      <c r="GI147" s="387">
        <f t="shared" si="144"/>
        <v>0</v>
      </c>
      <c r="GJ147" s="387">
        <f t="shared" si="144"/>
        <v>0</v>
      </c>
      <c r="GK147" s="387">
        <f t="shared" si="144"/>
        <v>0</v>
      </c>
      <c r="GL147" s="387">
        <f t="shared" si="144"/>
        <v>0</v>
      </c>
      <c r="GM147" s="387">
        <f t="shared" si="144"/>
        <v>0</v>
      </c>
      <c r="GN147" s="988">
        <f t="shared" si="144"/>
        <v>0</v>
      </c>
      <c r="GO147" s="1036">
        <f t="shared" si="145"/>
        <v>0</v>
      </c>
      <c r="GP147" s="387">
        <f t="shared" si="145"/>
        <v>0</v>
      </c>
      <c r="GQ147" s="387">
        <f t="shared" si="145"/>
        <v>0</v>
      </c>
      <c r="GR147" s="387">
        <f t="shared" si="145"/>
        <v>0</v>
      </c>
      <c r="GS147" s="387">
        <f t="shared" si="145"/>
        <v>0</v>
      </c>
      <c r="GT147" s="387">
        <f t="shared" si="145"/>
        <v>0</v>
      </c>
      <c r="GU147" s="387">
        <f t="shared" si="145"/>
        <v>0</v>
      </c>
      <c r="GV147" s="387">
        <f t="shared" si="145"/>
        <v>0</v>
      </c>
      <c r="GW147" s="387">
        <f t="shared" si="145"/>
        <v>0</v>
      </c>
      <c r="GX147" s="387">
        <f t="shared" si="145"/>
        <v>0</v>
      </c>
      <c r="GY147" s="387">
        <f t="shared" si="145"/>
        <v>0</v>
      </c>
      <c r="GZ147" s="988">
        <f t="shared" si="145"/>
        <v>0</v>
      </c>
      <c r="HB147" s="387"/>
      <c r="HC147" s="387"/>
      <c r="HD147" s="387"/>
      <c r="HE147" s="387"/>
      <c r="HF147" s="387"/>
      <c r="HG147" s="387"/>
      <c r="HH147" s="387"/>
      <c r="HI147" s="387"/>
      <c r="HJ147" s="387"/>
      <c r="HK147" s="387"/>
      <c r="HL147" s="387"/>
      <c r="HM147" s="988"/>
    </row>
    <row r="148" spans="1:221">
      <c r="A148" s="326" t="s">
        <v>1599</v>
      </c>
      <c r="B148" s="326" t="s">
        <v>901</v>
      </c>
      <c r="C148" s="326" t="s">
        <v>2153</v>
      </c>
      <c r="D148" s="1036" t="s">
        <v>2154</v>
      </c>
      <c r="E148" s="387" t="s">
        <v>2154</v>
      </c>
      <c r="F148" s="387" t="s">
        <v>2154</v>
      </c>
      <c r="G148" s="387" t="s">
        <v>2154</v>
      </c>
      <c r="H148" s="387" t="s">
        <v>2154</v>
      </c>
      <c r="I148" s="387" t="s">
        <v>2154</v>
      </c>
      <c r="J148" s="387" t="s">
        <v>2154</v>
      </c>
      <c r="K148" s="387" t="s">
        <v>2154</v>
      </c>
      <c r="L148" s="387" t="s">
        <v>2154</v>
      </c>
      <c r="M148" s="387" t="s">
        <v>2154</v>
      </c>
      <c r="N148" s="387" t="s">
        <v>2154</v>
      </c>
      <c r="O148" s="988" t="s">
        <v>2154</v>
      </c>
      <c r="P148" s="387" t="s">
        <v>2154</v>
      </c>
      <c r="Q148" s="387" t="s">
        <v>2154</v>
      </c>
      <c r="R148" s="387" t="s">
        <v>2154</v>
      </c>
      <c r="S148" s="387" t="s">
        <v>2154</v>
      </c>
      <c r="T148" s="387" t="s">
        <v>2154</v>
      </c>
      <c r="U148" s="387" t="s">
        <v>2154</v>
      </c>
      <c r="V148" s="387" t="s">
        <v>2154</v>
      </c>
      <c r="W148" s="387" t="s">
        <v>2154</v>
      </c>
      <c r="X148" s="387" t="s">
        <v>2154</v>
      </c>
      <c r="Y148" s="387" t="s">
        <v>2154</v>
      </c>
      <c r="Z148" s="387" t="s">
        <v>2154</v>
      </c>
      <c r="AA148" s="988" t="s">
        <v>2154</v>
      </c>
      <c r="AB148" s="387"/>
      <c r="AC148" s="387"/>
      <c r="AD148" s="387"/>
      <c r="AE148" s="387"/>
      <c r="AF148" s="387"/>
      <c r="AG148" s="387"/>
      <c r="AH148" s="387"/>
      <c r="AI148" s="387"/>
      <c r="AJ148" s="387"/>
      <c r="AK148" s="387"/>
      <c r="AL148" s="387"/>
      <c r="AM148" s="988"/>
      <c r="AN148" s="387"/>
      <c r="AO148" s="387"/>
      <c r="AP148" s="387"/>
      <c r="AQ148" s="387"/>
      <c r="AR148" s="387"/>
      <c r="AS148" s="387"/>
      <c r="AT148" s="387"/>
      <c r="AU148" s="387"/>
      <c r="AV148" s="387"/>
      <c r="AW148" s="387"/>
      <c r="AX148" s="387"/>
      <c r="AY148" s="988"/>
      <c r="AZ148" s="387"/>
      <c r="BA148" s="387"/>
      <c r="BB148" s="387"/>
      <c r="BC148" s="387"/>
      <c r="BD148" s="387"/>
      <c r="BE148" s="387"/>
      <c r="BF148" s="387"/>
      <c r="BG148" s="387"/>
      <c r="BH148" s="387"/>
      <c r="BI148" s="387"/>
      <c r="BJ148" s="387"/>
      <c r="BK148" s="988"/>
      <c r="BL148" s="387"/>
      <c r="BM148" s="387"/>
      <c r="BN148" s="387"/>
      <c r="BO148" s="387"/>
      <c r="BP148" s="387"/>
      <c r="BQ148" s="387"/>
      <c r="BR148" s="387"/>
      <c r="BS148" s="387"/>
      <c r="BT148" s="387"/>
      <c r="BU148" s="387"/>
      <c r="BV148" s="387"/>
      <c r="BW148" s="988"/>
      <c r="BX148" s="387"/>
      <c r="BY148" s="387"/>
      <c r="BZ148" s="387"/>
      <c r="CA148" s="387"/>
      <c r="CB148" s="387"/>
      <c r="CC148" s="387"/>
      <c r="CD148" s="387"/>
      <c r="CE148" s="387"/>
      <c r="CF148" s="387"/>
      <c r="CG148" s="387"/>
      <c r="CH148" s="387"/>
      <c r="CI148" s="988"/>
      <c r="CJ148" s="387"/>
      <c r="CK148" s="387"/>
      <c r="CL148" s="387"/>
      <c r="CM148" s="387"/>
      <c r="CN148" s="387"/>
      <c r="CO148" s="387"/>
      <c r="CP148" s="387"/>
      <c r="CQ148" s="387"/>
      <c r="CR148" s="387"/>
      <c r="CS148" s="387"/>
      <c r="CT148" s="387"/>
      <c r="CU148" s="988"/>
      <c r="CV148" s="387"/>
      <c r="CW148" s="387"/>
      <c r="CX148" s="387"/>
      <c r="CY148" s="387"/>
      <c r="CZ148" s="387"/>
      <c r="DA148" s="387"/>
      <c r="DB148" s="387"/>
      <c r="DC148" s="387"/>
      <c r="DD148" s="387"/>
      <c r="DE148" s="387"/>
      <c r="DF148" s="387"/>
      <c r="DG148" s="988"/>
      <c r="DH148" s="387"/>
      <c r="DI148" s="387"/>
      <c r="DJ148" s="387"/>
      <c r="DK148" s="387"/>
      <c r="DL148" s="387"/>
      <c r="DM148" s="387"/>
      <c r="DN148" s="387"/>
      <c r="DO148" s="387"/>
      <c r="DP148" s="387"/>
      <c r="DQ148" s="387"/>
      <c r="DR148" s="387"/>
      <c r="DS148" s="988"/>
      <c r="DT148" s="387" t="s">
        <v>2154</v>
      </c>
      <c r="DU148" s="387" t="s">
        <v>2154</v>
      </c>
      <c r="DV148" s="387" t="s">
        <v>2154</v>
      </c>
      <c r="DW148" s="387" t="s">
        <v>2154</v>
      </c>
      <c r="DX148" s="387" t="s">
        <v>2154</v>
      </c>
      <c r="DY148" s="387" t="s">
        <v>2154</v>
      </c>
      <c r="DZ148" s="387" t="s">
        <v>2154</v>
      </c>
      <c r="EA148" s="387" t="s">
        <v>2154</v>
      </c>
      <c r="EB148" s="387" t="s">
        <v>2154</v>
      </c>
      <c r="EC148" s="387" t="s">
        <v>2154</v>
      </c>
      <c r="ED148" s="387" t="s">
        <v>2154</v>
      </c>
      <c r="EE148" s="988" t="s">
        <v>2154</v>
      </c>
      <c r="EF148" s="387"/>
      <c r="EG148" s="387"/>
      <c r="EH148" s="387"/>
      <c r="EI148" s="387"/>
      <c r="EJ148" s="387"/>
      <c r="EK148" s="387"/>
      <c r="EL148" s="387"/>
      <c r="EM148" s="387"/>
      <c r="EN148" s="387"/>
      <c r="EO148" s="387"/>
      <c r="EP148" s="387"/>
      <c r="EQ148" s="988"/>
      <c r="ER148" s="387"/>
      <c r="ES148" s="387"/>
      <c r="ET148" s="387"/>
      <c r="EU148" s="387"/>
      <c r="EV148" s="387"/>
      <c r="EW148" s="387"/>
      <c r="EX148" s="387"/>
      <c r="EY148" s="387"/>
      <c r="EZ148" s="387"/>
      <c r="FA148" s="387"/>
      <c r="FB148" s="387"/>
      <c r="FC148" s="988"/>
      <c r="FD148" s="387"/>
      <c r="FE148" s="387"/>
      <c r="FF148" s="387"/>
      <c r="FG148" s="387"/>
      <c r="FH148" s="387"/>
      <c r="FI148" s="387"/>
      <c r="FJ148" s="387"/>
      <c r="FK148" s="387"/>
      <c r="FL148" s="387"/>
      <c r="FM148" s="387"/>
      <c r="FN148" s="387"/>
      <c r="FO148" s="988"/>
      <c r="FP148" s="387"/>
      <c r="FQ148" s="387"/>
      <c r="FR148" s="387"/>
      <c r="FS148" s="387"/>
      <c r="FT148" s="387"/>
      <c r="FU148" s="387"/>
      <c r="FV148" s="387"/>
      <c r="FW148" s="387"/>
      <c r="FX148" s="387"/>
      <c r="FY148" s="387"/>
      <c r="FZ148" s="387"/>
      <c r="GA148" s="988"/>
      <c r="GB148" s="109"/>
      <c r="GC148" s="1036">
        <f t="shared" si="144"/>
        <v>0</v>
      </c>
      <c r="GD148" s="387">
        <f t="shared" si="144"/>
        <v>0</v>
      </c>
      <c r="GE148" s="387">
        <f t="shared" si="144"/>
        <v>0</v>
      </c>
      <c r="GF148" s="387">
        <f t="shared" si="144"/>
        <v>0</v>
      </c>
      <c r="GG148" s="387">
        <f t="shared" si="144"/>
        <v>0</v>
      </c>
      <c r="GH148" s="387">
        <f t="shared" si="144"/>
        <v>0</v>
      </c>
      <c r="GI148" s="387">
        <f t="shared" si="144"/>
        <v>0</v>
      </c>
      <c r="GJ148" s="387">
        <f t="shared" si="144"/>
        <v>0</v>
      </c>
      <c r="GK148" s="387">
        <f t="shared" si="144"/>
        <v>0</v>
      </c>
      <c r="GL148" s="387">
        <f t="shared" si="144"/>
        <v>0</v>
      </c>
      <c r="GM148" s="387">
        <f t="shared" si="144"/>
        <v>0</v>
      </c>
      <c r="GN148" s="988">
        <f t="shared" si="144"/>
        <v>0</v>
      </c>
      <c r="GO148" s="1036">
        <f t="shared" si="145"/>
        <v>0</v>
      </c>
      <c r="GP148" s="387">
        <f t="shared" si="145"/>
        <v>0</v>
      </c>
      <c r="GQ148" s="387">
        <f t="shared" si="145"/>
        <v>0</v>
      </c>
      <c r="GR148" s="387">
        <f t="shared" si="145"/>
        <v>0</v>
      </c>
      <c r="GS148" s="387">
        <f t="shared" si="145"/>
        <v>0</v>
      </c>
      <c r="GT148" s="387">
        <f t="shared" si="145"/>
        <v>0</v>
      </c>
      <c r="GU148" s="387">
        <f t="shared" si="145"/>
        <v>0</v>
      </c>
      <c r="GV148" s="387">
        <f t="shared" si="145"/>
        <v>0</v>
      </c>
      <c r="GW148" s="387">
        <f t="shared" si="145"/>
        <v>0</v>
      </c>
      <c r="GX148" s="387">
        <f t="shared" si="145"/>
        <v>0</v>
      </c>
      <c r="GY148" s="387">
        <f t="shared" si="145"/>
        <v>0</v>
      </c>
      <c r="GZ148" s="988">
        <f t="shared" si="145"/>
        <v>0</v>
      </c>
      <c r="HB148" s="387"/>
      <c r="HC148" s="387"/>
      <c r="HD148" s="387"/>
      <c r="HE148" s="387"/>
      <c r="HF148" s="387"/>
      <c r="HG148" s="387"/>
      <c r="HH148" s="387"/>
      <c r="HI148" s="387"/>
      <c r="HJ148" s="387"/>
      <c r="HK148" s="387"/>
      <c r="HL148" s="387"/>
      <c r="HM148" s="988"/>
    </row>
    <row r="149" spans="1:221">
      <c r="A149" s="326" t="s">
        <v>1599</v>
      </c>
      <c r="B149" s="326" t="s">
        <v>901</v>
      </c>
      <c r="C149" s="326" t="s">
        <v>1094</v>
      </c>
      <c r="D149" s="1036" t="s">
        <v>2154</v>
      </c>
      <c r="E149" s="387" t="s">
        <v>2154</v>
      </c>
      <c r="F149" s="387" t="s">
        <v>2154</v>
      </c>
      <c r="G149" s="387" t="s">
        <v>2154</v>
      </c>
      <c r="H149" s="387" t="s">
        <v>2154</v>
      </c>
      <c r="I149" s="387" t="s">
        <v>2154</v>
      </c>
      <c r="J149" s="387" t="s">
        <v>2154</v>
      </c>
      <c r="K149" s="387" t="s">
        <v>2154</v>
      </c>
      <c r="L149" s="387" t="s">
        <v>2154</v>
      </c>
      <c r="M149" s="387" t="s">
        <v>2154</v>
      </c>
      <c r="N149" s="387" t="s">
        <v>2154</v>
      </c>
      <c r="O149" s="988" t="s">
        <v>2154</v>
      </c>
      <c r="P149" s="387" t="s">
        <v>2154</v>
      </c>
      <c r="Q149" s="387" t="s">
        <v>2154</v>
      </c>
      <c r="R149" s="387" t="s">
        <v>2154</v>
      </c>
      <c r="S149" s="387" t="s">
        <v>2154</v>
      </c>
      <c r="T149" s="387" t="s">
        <v>2154</v>
      </c>
      <c r="U149" s="387" t="s">
        <v>2154</v>
      </c>
      <c r="V149" s="387" t="s">
        <v>2154</v>
      </c>
      <c r="W149" s="387" t="s">
        <v>2154</v>
      </c>
      <c r="X149" s="387" t="s">
        <v>2154</v>
      </c>
      <c r="Y149" s="387" t="s">
        <v>2154</v>
      </c>
      <c r="Z149" s="387" t="s">
        <v>2154</v>
      </c>
      <c r="AA149" s="988" t="s">
        <v>2154</v>
      </c>
      <c r="AB149" s="387"/>
      <c r="AC149" s="387"/>
      <c r="AD149" s="387"/>
      <c r="AE149" s="387"/>
      <c r="AF149" s="387"/>
      <c r="AG149" s="387"/>
      <c r="AH149" s="387"/>
      <c r="AI149" s="387"/>
      <c r="AJ149" s="387"/>
      <c r="AK149" s="387"/>
      <c r="AL149" s="387"/>
      <c r="AM149" s="988"/>
      <c r="AN149" s="387"/>
      <c r="AO149" s="387"/>
      <c r="AP149" s="387"/>
      <c r="AQ149" s="387"/>
      <c r="AR149" s="387"/>
      <c r="AS149" s="387"/>
      <c r="AT149" s="387"/>
      <c r="AU149" s="387"/>
      <c r="AV149" s="387"/>
      <c r="AW149" s="387"/>
      <c r="AX149" s="387"/>
      <c r="AY149" s="988"/>
      <c r="AZ149" s="387"/>
      <c r="BA149" s="387"/>
      <c r="BB149" s="387"/>
      <c r="BC149" s="387"/>
      <c r="BD149" s="387"/>
      <c r="BE149" s="387"/>
      <c r="BF149" s="387"/>
      <c r="BG149" s="387"/>
      <c r="BH149" s="387"/>
      <c r="BI149" s="387"/>
      <c r="BJ149" s="387"/>
      <c r="BK149" s="988"/>
      <c r="BL149" s="387"/>
      <c r="BM149" s="387"/>
      <c r="BN149" s="387"/>
      <c r="BO149" s="387"/>
      <c r="BP149" s="387"/>
      <c r="BQ149" s="387"/>
      <c r="BR149" s="387"/>
      <c r="BS149" s="387"/>
      <c r="BT149" s="387"/>
      <c r="BU149" s="387"/>
      <c r="BV149" s="387"/>
      <c r="BW149" s="988"/>
      <c r="BX149" s="387"/>
      <c r="BY149" s="387"/>
      <c r="BZ149" s="387"/>
      <c r="CA149" s="387"/>
      <c r="CB149" s="387"/>
      <c r="CC149" s="387"/>
      <c r="CD149" s="387"/>
      <c r="CE149" s="387"/>
      <c r="CF149" s="387"/>
      <c r="CG149" s="387"/>
      <c r="CH149" s="387"/>
      <c r="CI149" s="988"/>
      <c r="CJ149" s="387"/>
      <c r="CK149" s="387"/>
      <c r="CL149" s="387"/>
      <c r="CM149" s="387"/>
      <c r="CN149" s="387"/>
      <c r="CO149" s="387"/>
      <c r="CP149" s="387"/>
      <c r="CQ149" s="387"/>
      <c r="CR149" s="387"/>
      <c r="CS149" s="387"/>
      <c r="CT149" s="387"/>
      <c r="CU149" s="988"/>
      <c r="CV149" s="387"/>
      <c r="CW149" s="387"/>
      <c r="CX149" s="387"/>
      <c r="CY149" s="387"/>
      <c r="CZ149" s="387"/>
      <c r="DA149" s="387"/>
      <c r="DB149" s="387"/>
      <c r="DC149" s="387"/>
      <c r="DD149" s="387"/>
      <c r="DE149" s="387"/>
      <c r="DF149" s="387"/>
      <c r="DG149" s="988"/>
      <c r="DH149" s="387"/>
      <c r="DI149" s="387"/>
      <c r="DJ149" s="387"/>
      <c r="DK149" s="387"/>
      <c r="DL149" s="387"/>
      <c r="DM149" s="387"/>
      <c r="DN149" s="387"/>
      <c r="DO149" s="387"/>
      <c r="DP149" s="387"/>
      <c r="DQ149" s="387"/>
      <c r="DR149" s="387"/>
      <c r="DS149" s="988"/>
      <c r="DT149" s="387" t="s">
        <v>2154</v>
      </c>
      <c r="DU149" s="387" t="s">
        <v>2154</v>
      </c>
      <c r="DV149" s="387" t="s">
        <v>2154</v>
      </c>
      <c r="DW149" s="387" t="s">
        <v>2154</v>
      </c>
      <c r="DX149" s="387" t="s">
        <v>2154</v>
      </c>
      <c r="DY149" s="387" t="s">
        <v>2154</v>
      </c>
      <c r="DZ149" s="387" t="s">
        <v>2154</v>
      </c>
      <c r="EA149" s="387" t="s">
        <v>2154</v>
      </c>
      <c r="EB149" s="387" t="s">
        <v>2154</v>
      </c>
      <c r="EC149" s="387" t="s">
        <v>2154</v>
      </c>
      <c r="ED149" s="387" t="s">
        <v>2154</v>
      </c>
      <c r="EE149" s="988" t="s">
        <v>2154</v>
      </c>
      <c r="EF149" s="387"/>
      <c r="EG149" s="387"/>
      <c r="EH149" s="387"/>
      <c r="EI149" s="387"/>
      <c r="EJ149" s="387"/>
      <c r="EK149" s="387"/>
      <c r="EL149" s="387"/>
      <c r="EM149" s="387"/>
      <c r="EN149" s="387"/>
      <c r="EO149" s="387"/>
      <c r="EP149" s="387"/>
      <c r="EQ149" s="988"/>
      <c r="ER149" s="387"/>
      <c r="ES149" s="387"/>
      <c r="ET149" s="387"/>
      <c r="EU149" s="387"/>
      <c r="EV149" s="387"/>
      <c r="EW149" s="387"/>
      <c r="EX149" s="387"/>
      <c r="EY149" s="387"/>
      <c r="EZ149" s="387"/>
      <c r="FA149" s="387"/>
      <c r="FB149" s="387"/>
      <c r="FC149" s="988"/>
      <c r="FD149" s="387"/>
      <c r="FE149" s="387"/>
      <c r="FF149" s="387"/>
      <c r="FG149" s="387"/>
      <c r="FH149" s="387"/>
      <c r="FI149" s="387"/>
      <c r="FJ149" s="387"/>
      <c r="FK149" s="387"/>
      <c r="FL149" s="387"/>
      <c r="FM149" s="387"/>
      <c r="FN149" s="387"/>
      <c r="FO149" s="988"/>
      <c r="FP149" s="387"/>
      <c r="FQ149" s="387"/>
      <c r="FR149" s="387"/>
      <c r="FS149" s="387"/>
      <c r="FT149" s="387"/>
      <c r="FU149" s="387"/>
      <c r="FV149" s="387"/>
      <c r="FW149" s="387"/>
      <c r="FX149" s="387"/>
      <c r="FY149" s="387"/>
      <c r="FZ149" s="387"/>
      <c r="GA149" s="988"/>
      <c r="GB149" s="109"/>
      <c r="GC149" s="1036">
        <f t="shared" si="144"/>
        <v>0</v>
      </c>
      <c r="GD149" s="387">
        <f t="shared" si="144"/>
        <v>0</v>
      </c>
      <c r="GE149" s="387">
        <f t="shared" si="144"/>
        <v>0</v>
      </c>
      <c r="GF149" s="387">
        <f t="shared" si="144"/>
        <v>0</v>
      </c>
      <c r="GG149" s="387">
        <f t="shared" si="144"/>
        <v>0</v>
      </c>
      <c r="GH149" s="387">
        <f t="shared" si="144"/>
        <v>0</v>
      </c>
      <c r="GI149" s="387">
        <f t="shared" si="144"/>
        <v>0</v>
      </c>
      <c r="GJ149" s="387">
        <f t="shared" si="144"/>
        <v>0</v>
      </c>
      <c r="GK149" s="387">
        <f t="shared" si="144"/>
        <v>0</v>
      </c>
      <c r="GL149" s="387">
        <f t="shared" si="144"/>
        <v>0</v>
      </c>
      <c r="GM149" s="387">
        <f t="shared" si="144"/>
        <v>0</v>
      </c>
      <c r="GN149" s="988">
        <f t="shared" si="144"/>
        <v>0</v>
      </c>
      <c r="GO149" s="1036">
        <f t="shared" si="145"/>
        <v>0</v>
      </c>
      <c r="GP149" s="387">
        <f t="shared" si="145"/>
        <v>0</v>
      </c>
      <c r="GQ149" s="387">
        <f t="shared" si="145"/>
        <v>0</v>
      </c>
      <c r="GR149" s="387">
        <f t="shared" si="145"/>
        <v>0</v>
      </c>
      <c r="GS149" s="387">
        <f t="shared" si="145"/>
        <v>0</v>
      </c>
      <c r="GT149" s="387">
        <f t="shared" si="145"/>
        <v>0</v>
      </c>
      <c r="GU149" s="387">
        <f t="shared" si="145"/>
        <v>0</v>
      </c>
      <c r="GV149" s="387">
        <f t="shared" si="145"/>
        <v>0</v>
      </c>
      <c r="GW149" s="387">
        <f t="shared" si="145"/>
        <v>0</v>
      </c>
      <c r="GX149" s="387">
        <f t="shared" si="145"/>
        <v>0</v>
      </c>
      <c r="GY149" s="387">
        <f t="shared" si="145"/>
        <v>0</v>
      </c>
      <c r="GZ149" s="988">
        <f t="shared" si="145"/>
        <v>0</v>
      </c>
      <c r="HB149" s="387"/>
      <c r="HC149" s="387"/>
      <c r="HD149" s="387"/>
      <c r="HE149" s="387"/>
      <c r="HF149" s="387"/>
      <c r="HG149" s="387"/>
      <c r="HH149" s="387"/>
      <c r="HI149" s="387"/>
      <c r="HJ149" s="387"/>
      <c r="HK149" s="387"/>
      <c r="HL149" s="387"/>
      <c r="HM149" s="988"/>
    </row>
    <row r="150" spans="1:221">
      <c r="A150" s="326" t="s">
        <v>900</v>
      </c>
      <c r="B150" s="326" t="s">
        <v>901</v>
      </c>
      <c r="C150" s="326" t="s">
        <v>1600</v>
      </c>
      <c r="D150" s="1036" t="s">
        <v>2154</v>
      </c>
      <c r="E150" s="387" t="s">
        <v>2154</v>
      </c>
      <c r="F150" s="387" t="s">
        <v>2154</v>
      </c>
      <c r="G150" s="387" t="s">
        <v>2154</v>
      </c>
      <c r="H150" s="387" t="s">
        <v>2154</v>
      </c>
      <c r="I150" s="387" t="s">
        <v>2154</v>
      </c>
      <c r="J150" s="387" t="s">
        <v>2154</v>
      </c>
      <c r="K150" s="387" t="s">
        <v>2154</v>
      </c>
      <c r="L150" s="387" t="s">
        <v>2154</v>
      </c>
      <c r="M150" s="387" t="s">
        <v>2154</v>
      </c>
      <c r="N150" s="387" t="s">
        <v>2154</v>
      </c>
      <c r="O150" s="988" t="s">
        <v>2154</v>
      </c>
      <c r="P150" s="387" t="s">
        <v>2154</v>
      </c>
      <c r="Q150" s="387" t="s">
        <v>2154</v>
      </c>
      <c r="R150" s="387" t="s">
        <v>2154</v>
      </c>
      <c r="S150" s="387" t="s">
        <v>2154</v>
      </c>
      <c r="T150" s="387" t="s">
        <v>2154</v>
      </c>
      <c r="U150" s="387" t="s">
        <v>2154</v>
      </c>
      <c r="V150" s="387" t="s">
        <v>2154</v>
      </c>
      <c r="W150" s="387" t="s">
        <v>2154</v>
      </c>
      <c r="X150" s="387" t="s">
        <v>2154</v>
      </c>
      <c r="Y150" s="387" t="s">
        <v>2154</v>
      </c>
      <c r="Z150" s="387" t="s">
        <v>2154</v>
      </c>
      <c r="AA150" s="988" t="s">
        <v>2154</v>
      </c>
      <c r="AB150" s="387"/>
      <c r="AC150" s="387"/>
      <c r="AD150" s="387"/>
      <c r="AE150" s="387"/>
      <c r="AF150" s="387"/>
      <c r="AG150" s="387"/>
      <c r="AH150" s="387"/>
      <c r="AI150" s="387"/>
      <c r="AJ150" s="387"/>
      <c r="AK150" s="387"/>
      <c r="AL150" s="387"/>
      <c r="AM150" s="988"/>
      <c r="AN150" s="387"/>
      <c r="AO150" s="387"/>
      <c r="AP150" s="387"/>
      <c r="AQ150" s="387"/>
      <c r="AR150" s="387"/>
      <c r="AS150" s="387"/>
      <c r="AT150" s="387"/>
      <c r="AU150" s="387"/>
      <c r="AV150" s="387"/>
      <c r="AW150" s="387"/>
      <c r="AX150" s="387"/>
      <c r="AY150" s="988"/>
      <c r="AZ150" s="387"/>
      <c r="BA150" s="387"/>
      <c r="BB150" s="387"/>
      <c r="BC150" s="387"/>
      <c r="BD150" s="387"/>
      <c r="BE150" s="387"/>
      <c r="BF150" s="387"/>
      <c r="BG150" s="387"/>
      <c r="BH150" s="387"/>
      <c r="BI150" s="387"/>
      <c r="BJ150" s="387"/>
      <c r="BK150" s="988"/>
      <c r="BL150" s="387"/>
      <c r="BM150" s="387"/>
      <c r="BN150" s="387"/>
      <c r="BO150" s="387"/>
      <c r="BP150" s="387"/>
      <c r="BQ150" s="387"/>
      <c r="BR150" s="387"/>
      <c r="BS150" s="387"/>
      <c r="BT150" s="387"/>
      <c r="BU150" s="387"/>
      <c r="BV150" s="387"/>
      <c r="BW150" s="988"/>
      <c r="BX150" s="387"/>
      <c r="BY150" s="387"/>
      <c r="BZ150" s="387"/>
      <c r="CA150" s="387"/>
      <c r="CB150" s="387"/>
      <c r="CC150" s="387"/>
      <c r="CD150" s="387"/>
      <c r="CE150" s="387"/>
      <c r="CF150" s="387"/>
      <c r="CG150" s="387"/>
      <c r="CH150" s="387"/>
      <c r="CI150" s="988"/>
      <c r="CJ150" s="387"/>
      <c r="CK150" s="387"/>
      <c r="CL150" s="387"/>
      <c r="CM150" s="387"/>
      <c r="CN150" s="387"/>
      <c r="CO150" s="387"/>
      <c r="CP150" s="387"/>
      <c r="CQ150" s="387"/>
      <c r="CR150" s="387"/>
      <c r="CS150" s="387"/>
      <c r="CT150" s="387"/>
      <c r="CU150" s="988"/>
      <c r="CV150" s="387"/>
      <c r="CW150" s="387"/>
      <c r="CX150" s="387"/>
      <c r="CY150" s="387"/>
      <c r="CZ150" s="387"/>
      <c r="DA150" s="387"/>
      <c r="DB150" s="387"/>
      <c r="DC150" s="387"/>
      <c r="DD150" s="387"/>
      <c r="DE150" s="387"/>
      <c r="DF150" s="387"/>
      <c r="DG150" s="988"/>
      <c r="DH150" s="387"/>
      <c r="DI150" s="387"/>
      <c r="DJ150" s="387"/>
      <c r="DK150" s="387"/>
      <c r="DL150" s="387"/>
      <c r="DM150" s="387"/>
      <c r="DN150" s="387"/>
      <c r="DO150" s="387"/>
      <c r="DP150" s="387"/>
      <c r="DQ150" s="387"/>
      <c r="DR150" s="387"/>
      <c r="DS150" s="988"/>
      <c r="DT150" s="387">
        <v>6</v>
      </c>
      <c r="DU150" s="387">
        <v>6</v>
      </c>
      <c r="DV150" s="387">
        <v>5</v>
      </c>
      <c r="DW150" s="387">
        <v>4</v>
      </c>
      <c r="DX150" s="387">
        <v>4</v>
      </c>
      <c r="DY150" s="387">
        <v>4</v>
      </c>
      <c r="DZ150" s="387">
        <v>4</v>
      </c>
      <c r="EA150" s="387">
        <v>4</v>
      </c>
      <c r="EB150" s="387">
        <v>4</v>
      </c>
      <c r="EC150" s="387">
        <v>4</v>
      </c>
      <c r="ED150" s="387">
        <v>4</v>
      </c>
      <c r="EE150" s="988">
        <v>3</v>
      </c>
      <c r="EF150" s="387"/>
      <c r="EG150" s="387"/>
      <c r="EH150" s="387"/>
      <c r="EI150" s="387"/>
      <c r="EJ150" s="387"/>
      <c r="EK150" s="387"/>
      <c r="EL150" s="387"/>
      <c r="EM150" s="387"/>
      <c r="EN150" s="387"/>
      <c r="EO150" s="387"/>
      <c r="EP150" s="387"/>
      <c r="EQ150" s="988"/>
      <c r="ER150" s="387"/>
      <c r="ES150" s="387"/>
      <c r="ET150" s="387"/>
      <c r="EU150" s="387"/>
      <c r="EV150" s="387"/>
      <c r="EW150" s="387"/>
      <c r="EX150" s="387"/>
      <c r="EY150" s="387"/>
      <c r="EZ150" s="387"/>
      <c r="FA150" s="387"/>
      <c r="FB150" s="387"/>
      <c r="FC150" s="988"/>
      <c r="FD150" s="387"/>
      <c r="FE150" s="387"/>
      <c r="FF150" s="387"/>
      <c r="FG150" s="387"/>
      <c r="FH150" s="387"/>
      <c r="FI150" s="387"/>
      <c r="FJ150" s="387"/>
      <c r="FK150" s="387"/>
      <c r="FL150" s="387"/>
      <c r="FM150" s="387"/>
      <c r="FN150" s="387"/>
      <c r="FO150" s="988"/>
      <c r="FP150" s="387"/>
      <c r="FQ150" s="387"/>
      <c r="FR150" s="387"/>
      <c r="FS150" s="387"/>
      <c r="FT150" s="387"/>
      <c r="FU150" s="387"/>
      <c r="FV150" s="387"/>
      <c r="FW150" s="387"/>
      <c r="FX150" s="387"/>
      <c r="FY150" s="387"/>
      <c r="FZ150" s="387"/>
      <c r="GA150" s="988"/>
      <c r="GB150" s="109"/>
      <c r="GC150" s="1036">
        <f t="shared" si="144"/>
        <v>6</v>
      </c>
      <c r="GD150" s="387">
        <f t="shared" si="144"/>
        <v>6</v>
      </c>
      <c r="GE150" s="387">
        <f t="shared" si="144"/>
        <v>5</v>
      </c>
      <c r="GF150" s="387">
        <f t="shared" si="144"/>
        <v>4</v>
      </c>
      <c r="GG150" s="387">
        <f t="shared" si="144"/>
        <v>4</v>
      </c>
      <c r="GH150" s="387">
        <f t="shared" si="144"/>
        <v>4</v>
      </c>
      <c r="GI150" s="387">
        <f t="shared" si="144"/>
        <v>4</v>
      </c>
      <c r="GJ150" s="387">
        <f t="shared" si="144"/>
        <v>4</v>
      </c>
      <c r="GK150" s="387">
        <f t="shared" si="144"/>
        <v>4</v>
      </c>
      <c r="GL150" s="387">
        <f t="shared" si="144"/>
        <v>4</v>
      </c>
      <c r="GM150" s="387">
        <f t="shared" si="144"/>
        <v>4</v>
      </c>
      <c r="GN150" s="988">
        <f t="shared" si="144"/>
        <v>3</v>
      </c>
      <c r="GO150" s="1036">
        <f t="shared" si="145"/>
        <v>6</v>
      </c>
      <c r="GP150" s="387">
        <f t="shared" si="145"/>
        <v>6</v>
      </c>
      <c r="GQ150" s="387">
        <f t="shared" si="145"/>
        <v>5</v>
      </c>
      <c r="GR150" s="387">
        <f t="shared" si="145"/>
        <v>4</v>
      </c>
      <c r="GS150" s="387">
        <f t="shared" si="145"/>
        <v>4</v>
      </c>
      <c r="GT150" s="387">
        <f t="shared" si="145"/>
        <v>4</v>
      </c>
      <c r="GU150" s="387">
        <f t="shared" si="145"/>
        <v>4</v>
      </c>
      <c r="GV150" s="387">
        <f t="shared" si="145"/>
        <v>4</v>
      </c>
      <c r="GW150" s="387">
        <f t="shared" si="145"/>
        <v>4</v>
      </c>
      <c r="GX150" s="387">
        <f t="shared" si="145"/>
        <v>4</v>
      </c>
      <c r="GY150" s="387">
        <f t="shared" si="145"/>
        <v>4</v>
      </c>
      <c r="GZ150" s="988">
        <f t="shared" si="145"/>
        <v>3</v>
      </c>
      <c r="HB150" s="387"/>
      <c r="HC150" s="387"/>
      <c r="HD150" s="387"/>
      <c r="HE150" s="387"/>
      <c r="HF150" s="387"/>
      <c r="HG150" s="387"/>
      <c r="HH150" s="387"/>
      <c r="HI150" s="387"/>
      <c r="HJ150" s="387"/>
      <c r="HK150" s="387"/>
      <c r="HL150" s="387"/>
      <c r="HM150" s="988"/>
    </row>
    <row r="151" spans="1:221">
      <c r="A151" s="326" t="s">
        <v>1599</v>
      </c>
      <c r="B151" s="326" t="s">
        <v>1095</v>
      </c>
      <c r="C151" s="326" t="s">
        <v>1096</v>
      </c>
      <c r="D151" s="1036" t="s">
        <v>2154</v>
      </c>
      <c r="E151" s="387" t="s">
        <v>2154</v>
      </c>
      <c r="F151" s="387" t="s">
        <v>2154</v>
      </c>
      <c r="G151" s="387" t="s">
        <v>2154</v>
      </c>
      <c r="H151" s="387" t="s">
        <v>2154</v>
      </c>
      <c r="I151" s="387" t="s">
        <v>2154</v>
      </c>
      <c r="J151" s="387" t="s">
        <v>2154</v>
      </c>
      <c r="K151" s="387" t="s">
        <v>2154</v>
      </c>
      <c r="L151" s="387" t="s">
        <v>2154</v>
      </c>
      <c r="M151" s="387" t="s">
        <v>2154</v>
      </c>
      <c r="N151" s="387" t="s">
        <v>2154</v>
      </c>
      <c r="O151" s="988" t="s">
        <v>2154</v>
      </c>
      <c r="P151" s="387" t="s">
        <v>2154</v>
      </c>
      <c r="Q151" s="387" t="s">
        <v>2154</v>
      </c>
      <c r="R151" s="387" t="s">
        <v>2154</v>
      </c>
      <c r="S151" s="387" t="s">
        <v>2154</v>
      </c>
      <c r="T151" s="387" t="s">
        <v>2154</v>
      </c>
      <c r="U151" s="387" t="s">
        <v>2154</v>
      </c>
      <c r="V151" s="387" t="s">
        <v>2154</v>
      </c>
      <c r="W151" s="387" t="s">
        <v>2154</v>
      </c>
      <c r="X151" s="387" t="s">
        <v>2154</v>
      </c>
      <c r="Y151" s="387" t="s">
        <v>2154</v>
      </c>
      <c r="Z151" s="387" t="s">
        <v>2154</v>
      </c>
      <c r="AA151" s="988" t="s">
        <v>2154</v>
      </c>
      <c r="AB151" s="387"/>
      <c r="AC151" s="387"/>
      <c r="AD151" s="387"/>
      <c r="AE151" s="387"/>
      <c r="AF151" s="387"/>
      <c r="AG151" s="387"/>
      <c r="AH151" s="387"/>
      <c r="AI151" s="387"/>
      <c r="AJ151" s="387"/>
      <c r="AK151" s="387"/>
      <c r="AL151" s="387"/>
      <c r="AM151" s="988"/>
      <c r="AN151" s="387"/>
      <c r="AO151" s="387"/>
      <c r="AP151" s="387"/>
      <c r="AQ151" s="387"/>
      <c r="AR151" s="387"/>
      <c r="AS151" s="387"/>
      <c r="AT151" s="387"/>
      <c r="AU151" s="387"/>
      <c r="AV151" s="387"/>
      <c r="AW151" s="387"/>
      <c r="AX151" s="387"/>
      <c r="AY151" s="988"/>
      <c r="AZ151" s="387"/>
      <c r="BA151" s="387"/>
      <c r="BB151" s="387"/>
      <c r="BC151" s="387"/>
      <c r="BD151" s="387"/>
      <c r="BE151" s="387"/>
      <c r="BF151" s="387"/>
      <c r="BG151" s="387"/>
      <c r="BH151" s="387"/>
      <c r="BI151" s="387"/>
      <c r="BJ151" s="387"/>
      <c r="BK151" s="988"/>
      <c r="BL151" s="387"/>
      <c r="BM151" s="387"/>
      <c r="BN151" s="387"/>
      <c r="BO151" s="387"/>
      <c r="BP151" s="387"/>
      <c r="BQ151" s="387"/>
      <c r="BR151" s="387"/>
      <c r="BS151" s="387"/>
      <c r="BT151" s="387"/>
      <c r="BU151" s="387"/>
      <c r="BV151" s="387"/>
      <c r="BW151" s="988"/>
      <c r="BX151" s="387"/>
      <c r="BY151" s="387"/>
      <c r="BZ151" s="387"/>
      <c r="CA151" s="387"/>
      <c r="CB151" s="387"/>
      <c r="CC151" s="387"/>
      <c r="CD151" s="387"/>
      <c r="CE151" s="387"/>
      <c r="CF151" s="387"/>
      <c r="CG151" s="387"/>
      <c r="CH151" s="387"/>
      <c r="CI151" s="988"/>
      <c r="CJ151" s="387"/>
      <c r="CK151" s="387"/>
      <c r="CL151" s="387"/>
      <c r="CM151" s="387"/>
      <c r="CN151" s="387"/>
      <c r="CO151" s="387"/>
      <c r="CP151" s="387"/>
      <c r="CQ151" s="387"/>
      <c r="CR151" s="387"/>
      <c r="CS151" s="387"/>
      <c r="CT151" s="387"/>
      <c r="CU151" s="988"/>
      <c r="CV151" s="387"/>
      <c r="CW151" s="387"/>
      <c r="CX151" s="387"/>
      <c r="CY151" s="387"/>
      <c r="CZ151" s="387"/>
      <c r="DA151" s="387"/>
      <c r="DB151" s="387"/>
      <c r="DC151" s="387"/>
      <c r="DD151" s="387"/>
      <c r="DE151" s="387"/>
      <c r="DF151" s="387"/>
      <c r="DG151" s="988"/>
      <c r="DH151" s="387"/>
      <c r="DI151" s="387"/>
      <c r="DJ151" s="387"/>
      <c r="DK151" s="387"/>
      <c r="DL151" s="387"/>
      <c r="DM151" s="387"/>
      <c r="DN151" s="386"/>
      <c r="DO151" s="386"/>
      <c r="DP151" s="386"/>
      <c r="DQ151" s="386"/>
      <c r="DR151" s="386"/>
      <c r="DS151" s="987"/>
      <c r="DT151" s="387">
        <v>4380.1000000000004</v>
      </c>
      <c r="DU151" s="387">
        <v>4942.37</v>
      </c>
      <c r="DV151" s="387">
        <v>3533.6699999999996</v>
      </c>
      <c r="DW151" s="387">
        <v>3576.43</v>
      </c>
      <c r="DX151" s="387">
        <v>4150.41</v>
      </c>
      <c r="DY151" s="387">
        <v>3551.08</v>
      </c>
      <c r="DZ151" s="386">
        <v>2671.99</v>
      </c>
      <c r="EA151" s="386">
        <v>2287.17</v>
      </c>
      <c r="EB151" s="386">
        <v>3208.2800000000007</v>
      </c>
      <c r="EC151" s="386">
        <v>2556.9499999999998</v>
      </c>
      <c r="ED151" s="387">
        <v>3704.6600000000003</v>
      </c>
      <c r="EE151" s="988">
        <v>3890.9700000000003</v>
      </c>
      <c r="EF151" s="387"/>
      <c r="EG151" s="387"/>
      <c r="EH151" s="387"/>
      <c r="EI151" s="387"/>
      <c r="EJ151" s="387"/>
      <c r="EK151" s="387"/>
      <c r="EL151" s="386"/>
      <c r="EM151" s="386"/>
      <c r="EN151" s="386"/>
      <c r="EO151" s="386"/>
      <c r="EP151" s="386"/>
      <c r="EQ151" s="987"/>
      <c r="ER151" s="387"/>
      <c r="ES151" s="387"/>
      <c r="ET151" s="387"/>
      <c r="EU151" s="387"/>
      <c r="EV151" s="387"/>
      <c r="EW151" s="387"/>
      <c r="EX151" s="386"/>
      <c r="EY151" s="386"/>
      <c r="EZ151" s="386"/>
      <c r="FA151" s="386"/>
      <c r="FB151" s="386"/>
      <c r="FC151" s="987"/>
      <c r="FD151" s="387"/>
      <c r="FE151" s="387"/>
      <c r="FF151" s="387"/>
      <c r="FG151" s="387"/>
      <c r="FH151" s="387"/>
      <c r="FI151" s="387"/>
      <c r="FJ151" s="386"/>
      <c r="FK151" s="386"/>
      <c r="FL151" s="386"/>
      <c r="FM151" s="386"/>
      <c r="FN151" s="386"/>
      <c r="FO151" s="987"/>
      <c r="FP151" s="387"/>
      <c r="FQ151" s="387"/>
      <c r="FR151" s="387"/>
      <c r="FS151" s="387"/>
      <c r="FT151" s="387"/>
      <c r="FU151" s="387"/>
      <c r="FV151" s="386"/>
      <c r="FW151" s="386"/>
      <c r="FX151" s="386"/>
      <c r="FY151" s="386"/>
      <c r="FZ151" s="386"/>
      <c r="GA151" s="987"/>
      <c r="GB151" s="109"/>
      <c r="GC151" s="1036">
        <f t="shared" si="144"/>
        <v>4380.1000000000004</v>
      </c>
      <c r="GD151" s="387">
        <f t="shared" si="144"/>
        <v>4942.37</v>
      </c>
      <c r="GE151" s="387">
        <f t="shared" si="144"/>
        <v>3533.6699999999996</v>
      </c>
      <c r="GF151" s="387">
        <f t="shared" si="144"/>
        <v>3576.43</v>
      </c>
      <c r="GG151" s="387">
        <f t="shared" si="144"/>
        <v>4150.41</v>
      </c>
      <c r="GH151" s="387">
        <f t="shared" si="144"/>
        <v>3551.08</v>
      </c>
      <c r="GI151" s="387">
        <f t="shared" si="144"/>
        <v>2671.99</v>
      </c>
      <c r="GJ151" s="387">
        <f t="shared" si="144"/>
        <v>2287.17</v>
      </c>
      <c r="GK151" s="387">
        <f t="shared" si="144"/>
        <v>3208.2800000000007</v>
      </c>
      <c r="GL151" s="387">
        <f t="shared" si="144"/>
        <v>2556.9499999999998</v>
      </c>
      <c r="GM151" s="387">
        <f t="shared" si="144"/>
        <v>3704.6600000000003</v>
      </c>
      <c r="GN151" s="988">
        <f t="shared" si="144"/>
        <v>3890.9700000000003</v>
      </c>
      <c r="GO151" s="1036">
        <f t="shared" si="145"/>
        <v>4380.1000000000004</v>
      </c>
      <c r="GP151" s="387">
        <f t="shared" si="145"/>
        <v>4942.37</v>
      </c>
      <c r="GQ151" s="387">
        <f t="shared" si="145"/>
        <v>3533.6699999999996</v>
      </c>
      <c r="GR151" s="387">
        <f t="shared" si="145"/>
        <v>3576.43</v>
      </c>
      <c r="GS151" s="387">
        <f t="shared" si="145"/>
        <v>4150.41</v>
      </c>
      <c r="GT151" s="387">
        <f t="shared" si="145"/>
        <v>3551.08</v>
      </c>
      <c r="GU151" s="387">
        <f t="shared" si="145"/>
        <v>2671.99</v>
      </c>
      <c r="GV151" s="387">
        <f t="shared" si="145"/>
        <v>2287.17</v>
      </c>
      <c r="GW151" s="387">
        <f t="shared" si="145"/>
        <v>3208.2800000000007</v>
      </c>
      <c r="GX151" s="387">
        <f t="shared" si="145"/>
        <v>2556.9499999999998</v>
      </c>
      <c r="GY151" s="387">
        <f t="shared" si="145"/>
        <v>3704.6600000000003</v>
      </c>
      <c r="GZ151" s="988">
        <f t="shared" si="145"/>
        <v>3890.9700000000003</v>
      </c>
      <c r="HB151" s="387"/>
      <c r="HC151" s="386"/>
      <c r="HD151" s="387"/>
      <c r="HE151" s="387"/>
      <c r="HF151" s="386"/>
      <c r="HG151" s="387"/>
      <c r="HH151" s="386"/>
      <c r="HI151" s="386"/>
      <c r="HJ151" s="386"/>
      <c r="HK151" s="386"/>
      <c r="HL151" s="386"/>
      <c r="HM151" s="987"/>
    </row>
    <row r="152" spans="1:221">
      <c r="A152" s="326" t="s">
        <v>1599</v>
      </c>
      <c r="B152" s="326" t="s">
        <v>1097</v>
      </c>
      <c r="C152" s="326" t="s">
        <v>1096</v>
      </c>
      <c r="D152" s="1036" t="s">
        <v>2154</v>
      </c>
      <c r="E152" s="387" t="s">
        <v>2154</v>
      </c>
      <c r="F152" s="387" t="s">
        <v>2154</v>
      </c>
      <c r="G152" s="387" t="s">
        <v>2154</v>
      </c>
      <c r="H152" s="387" t="s">
        <v>2154</v>
      </c>
      <c r="I152" s="387" t="s">
        <v>2154</v>
      </c>
      <c r="J152" s="387" t="s">
        <v>2154</v>
      </c>
      <c r="K152" s="387" t="s">
        <v>2154</v>
      </c>
      <c r="L152" s="387" t="s">
        <v>2154</v>
      </c>
      <c r="M152" s="387" t="s">
        <v>2154</v>
      </c>
      <c r="N152" s="387" t="s">
        <v>2154</v>
      </c>
      <c r="O152" s="988" t="s">
        <v>2154</v>
      </c>
      <c r="P152" s="387" t="s">
        <v>2154</v>
      </c>
      <c r="Q152" s="387" t="s">
        <v>2154</v>
      </c>
      <c r="R152" s="387" t="s">
        <v>2154</v>
      </c>
      <c r="S152" s="387" t="s">
        <v>2154</v>
      </c>
      <c r="T152" s="387" t="s">
        <v>2154</v>
      </c>
      <c r="U152" s="387" t="s">
        <v>2154</v>
      </c>
      <c r="V152" s="387" t="s">
        <v>2154</v>
      </c>
      <c r="W152" s="387" t="s">
        <v>2154</v>
      </c>
      <c r="X152" s="387" t="s">
        <v>2154</v>
      </c>
      <c r="Y152" s="387" t="s">
        <v>2154</v>
      </c>
      <c r="Z152" s="387" t="s">
        <v>2154</v>
      </c>
      <c r="AA152" s="988" t="s">
        <v>2154</v>
      </c>
      <c r="AB152" s="387"/>
      <c r="AC152" s="387"/>
      <c r="AD152" s="387"/>
      <c r="AE152" s="387"/>
      <c r="AF152" s="387"/>
      <c r="AG152" s="387"/>
      <c r="AH152" s="387"/>
      <c r="AI152" s="387"/>
      <c r="AJ152" s="387"/>
      <c r="AK152" s="387"/>
      <c r="AL152" s="387"/>
      <c r="AM152" s="988"/>
      <c r="AN152" s="387"/>
      <c r="AO152" s="387"/>
      <c r="AP152" s="387"/>
      <c r="AQ152" s="387"/>
      <c r="AR152" s="387"/>
      <c r="AS152" s="387"/>
      <c r="AT152" s="387"/>
      <c r="AU152" s="387"/>
      <c r="AV152" s="387"/>
      <c r="AW152" s="387"/>
      <c r="AX152" s="387"/>
      <c r="AY152" s="988"/>
      <c r="AZ152" s="387"/>
      <c r="BA152" s="387"/>
      <c r="BB152" s="387"/>
      <c r="BC152" s="387"/>
      <c r="BD152" s="387"/>
      <c r="BE152" s="387"/>
      <c r="BF152" s="387"/>
      <c r="BG152" s="387"/>
      <c r="BH152" s="387"/>
      <c r="BI152" s="387"/>
      <c r="BJ152" s="387"/>
      <c r="BK152" s="988"/>
      <c r="BL152" s="387"/>
      <c r="BM152" s="387"/>
      <c r="BN152" s="387"/>
      <c r="BO152" s="387"/>
      <c r="BP152" s="387"/>
      <c r="BQ152" s="387"/>
      <c r="BR152" s="387"/>
      <c r="BS152" s="387"/>
      <c r="BT152" s="387"/>
      <c r="BU152" s="387"/>
      <c r="BV152" s="387"/>
      <c r="BW152" s="988"/>
      <c r="BX152" s="387"/>
      <c r="BY152" s="387"/>
      <c r="BZ152" s="387"/>
      <c r="CA152" s="387"/>
      <c r="CB152" s="387"/>
      <c r="CC152" s="387"/>
      <c r="CD152" s="387"/>
      <c r="CE152" s="387"/>
      <c r="CF152" s="387"/>
      <c r="CG152" s="387"/>
      <c r="CH152" s="387"/>
      <c r="CI152" s="988"/>
      <c r="CJ152" s="387"/>
      <c r="CK152" s="387"/>
      <c r="CL152" s="387"/>
      <c r="CM152" s="387"/>
      <c r="CN152" s="387"/>
      <c r="CO152" s="387"/>
      <c r="CP152" s="387"/>
      <c r="CQ152" s="387"/>
      <c r="CR152" s="387"/>
      <c r="CS152" s="387"/>
      <c r="CT152" s="387"/>
      <c r="CU152" s="988"/>
      <c r="CV152" s="387"/>
      <c r="CW152" s="387"/>
      <c r="CX152" s="387"/>
      <c r="CY152" s="387"/>
      <c r="CZ152" s="387"/>
      <c r="DA152" s="387"/>
      <c r="DB152" s="387"/>
      <c r="DC152" s="387"/>
      <c r="DD152" s="387"/>
      <c r="DE152" s="387"/>
      <c r="DF152" s="387"/>
      <c r="DG152" s="988"/>
      <c r="DH152" s="387"/>
      <c r="DI152" s="387"/>
      <c r="DJ152" s="387"/>
      <c r="DK152" s="387"/>
      <c r="DL152" s="387"/>
      <c r="DM152" s="387"/>
      <c r="DN152" s="387"/>
      <c r="DO152" s="387"/>
      <c r="DP152" s="387"/>
      <c r="DQ152" s="387"/>
      <c r="DR152" s="387"/>
      <c r="DS152" s="988"/>
      <c r="DT152" s="387" t="s">
        <v>2154</v>
      </c>
      <c r="DU152" s="387" t="s">
        <v>2154</v>
      </c>
      <c r="DV152" s="387" t="s">
        <v>2154</v>
      </c>
      <c r="DW152" s="387" t="s">
        <v>2154</v>
      </c>
      <c r="DX152" s="387" t="s">
        <v>2154</v>
      </c>
      <c r="DY152" s="387" t="s">
        <v>2154</v>
      </c>
      <c r="DZ152" s="387" t="s">
        <v>2154</v>
      </c>
      <c r="EA152" s="387" t="s">
        <v>2154</v>
      </c>
      <c r="EB152" s="387" t="s">
        <v>2154</v>
      </c>
      <c r="EC152" s="387" t="s">
        <v>2154</v>
      </c>
      <c r="ED152" s="387" t="s">
        <v>2154</v>
      </c>
      <c r="EE152" s="988" t="s">
        <v>2154</v>
      </c>
      <c r="EF152" s="387"/>
      <c r="EG152" s="387"/>
      <c r="EH152" s="387"/>
      <c r="EI152" s="387"/>
      <c r="EJ152" s="387"/>
      <c r="EK152" s="387"/>
      <c r="EL152" s="387"/>
      <c r="EM152" s="387"/>
      <c r="EN152" s="387"/>
      <c r="EO152" s="387"/>
      <c r="EP152" s="387"/>
      <c r="EQ152" s="988"/>
      <c r="ER152" s="387"/>
      <c r="ES152" s="387"/>
      <c r="ET152" s="387"/>
      <c r="EU152" s="387"/>
      <c r="EV152" s="387"/>
      <c r="EW152" s="387"/>
      <c r="EX152" s="387"/>
      <c r="EY152" s="387"/>
      <c r="EZ152" s="387"/>
      <c r="FA152" s="387"/>
      <c r="FB152" s="387"/>
      <c r="FC152" s="988"/>
      <c r="FD152" s="387"/>
      <c r="FE152" s="387"/>
      <c r="FF152" s="387"/>
      <c r="FG152" s="387"/>
      <c r="FH152" s="387"/>
      <c r="FI152" s="387"/>
      <c r="FJ152" s="387"/>
      <c r="FK152" s="387"/>
      <c r="FL152" s="387"/>
      <c r="FM152" s="387"/>
      <c r="FN152" s="387"/>
      <c r="FO152" s="988"/>
      <c r="FP152" s="387"/>
      <c r="FQ152" s="387"/>
      <c r="FR152" s="387"/>
      <c r="FS152" s="387"/>
      <c r="FT152" s="387"/>
      <c r="FU152" s="387"/>
      <c r="FV152" s="387"/>
      <c r="FW152" s="387"/>
      <c r="FX152" s="387"/>
      <c r="FY152" s="387"/>
      <c r="FZ152" s="387"/>
      <c r="GA152" s="988"/>
      <c r="GB152" s="109"/>
      <c r="GC152" s="1036">
        <f t="shared" si="144"/>
        <v>0</v>
      </c>
      <c r="GD152" s="387">
        <f t="shared" si="144"/>
        <v>0</v>
      </c>
      <c r="GE152" s="387">
        <f t="shared" si="144"/>
        <v>0</v>
      </c>
      <c r="GF152" s="387">
        <f t="shared" si="144"/>
        <v>0</v>
      </c>
      <c r="GG152" s="387">
        <f t="shared" si="144"/>
        <v>0</v>
      </c>
      <c r="GH152" s="387">
        <f t="shared" si="144"/>
        <v>0</v>
      </c>
      <c r="GI152" s="387">
        <f t="shared" si="144"/>
        <v>0</v>
      </c>
      <c r="GJ152" s="387">
        <f t="shared" si="144"/>
        <v>0</v>
      </c>
      <c r="GK152" s="387">
        <f t="shared" si="144"/>
        <v>0</v>
      </c>
      <c r="GL152" s="387">
        <f t="shared" si="144"/>
        <v>0</v>
      </c>
      <c r="GM152" s="387">
        <f t="shared" si="144"/>
        <v>0</v>
      </c>
      <c r="GN152" s="988">
        <f t="shared" si="144"/>
        <v>0</v>
      </c>
      <c r="GO152" s="1036">
        <f t="shared" si="145"/>
        <v>0</v>
      </c>
      <c r="GP152" s="387">
        <f t="shared" si="145"/>
        <v>0</v>
      </c>
      <c r="GQ152" s="387">
        <f t="shared" si="145"/>
        <v>0</v>
      </c>
      <c r="GR152" s="387">
        <f t="shared" si="145"/>
        <v>0</v>
      </c>
      <c r="GS152" s="387">
        <f t="shared" si="145"/>
        <v>0</v>
      </c>
      <c r="GT152" s="387">
        <f t="shared" si="145"/>
        <v>0</v>
      </c>
      <c r="GU152" s="387">
        <f t="shared" si="145"/>
        <v>0</v>
      </c>
      <c r="GV152" s="387">
        <f t="shared" si="145"/>
        <v>0</v>
      </c>
      <c r="GW152" s="387">
        <f t="shared" si="145"/>
        <v>0</v>
      </c>
      <c r="GX152" s="387">
        <f t="shared" si="145"/>
        <v>0</v>
      </c>
      <c r="GY152" s="387">
        <f t="shared" si="145"/>
        <v>0</v>
      </c>
      <c r="GZ152" s="988">
        <f t="shared" si="145"/>
        <v>0</v>
      </c>
      <c r="HB152" s="387"/>
      <c r="HC152" s="387"/>
      <c r="HD152" s="387"/>
      <c r="HE152" s="387"/>
      <c r="HF152" s="387"/>
      <c r="HG152" s="387"/>
      <c r="HH152" s="387"/>
      <c r="HI152" s="387"/>
      <c r="HJ152" s="387"/>
      <c r="HK152" s="387"/>
      <c r="HL152" s="387"/>
      <c r="HM152" s="988"/>
    </row>
    <row r="153" spans="1:221">
      <c r="A153" s="326" t="s">
        <v>1599</v>
      </c>
      <c r="B153" s="326" t="s">
        <v>1098</v>
      </c>
      <c r="C153" s="326" t="s">
        <v>1096</v>
      </c>
      <c r="D153" s="1036" t="s">
        <v>2154</v>
      </c>
      <c r="E153" s="387" t="s">
        <v>2154</v>
      </c>
      <c r="F153" s="387" t="s">
        <v>2154</v>
      </c>
      <c r="G153" s="387" t="s">
        <v>2154</v>
      </c>
      <c r="H153" s="387" t="s">
        <v>2154</v>
      </c>
      <c r="I153" s="387" t="s">
        <v>2154</v>
      </c>
      <c r="J153" s="387" t="s">
        <v>2154</v>
      </c>
      <c r="K153" s="387" t="s">
        <v>2154</v>
      </c>
      <c r="L153" s="387" t="s">
        <v>2154</v>
      </c>
      <c r="M153" s="387" t="s">
        <v>2154</v>
      </c>
      <c r="N153" s="387" t="s">
        <v>2154</v>
      </c>
      <c r="O153" s="988" t="s">
        <v>2154</v>
      </c>
      <c r="P153" s="387" t="s">
        <v>2154</v>
      </c>
      <c r="Q153" s="387" t="s">
        <v>2154</v>
      </c>
      <c r="R153" s="387" t="s">
        <v>2154</v>
      </c>
      <c r="S153" s="387" t="s">
        <v>2154</v>
      </c>
      <c r="T153" s="387" t="s">
        <v>2154</v>
      </c>
      <c r="U153" s="387" t="s">
        <v>2154</v>
      </c>
      <c r="V153" s="387" t="s">
        <v>2154</v>
      </c>
      <c r="W153" s="387" t="s">
        <v>2154</v>
      </c>
      <c r="X153" s="387" t="s">
        <v>2154</v>
      </c>
      <c r="Y153" s="387" t="s">
        <v>2154</v>
      </c>
      <c r="Z153" s="387" t="s">
        <v>2154</v>
      </c>
      <c r="AA153" s="988" t="s">
        <v>2154</v>
      </c>
      <c r="AB153" s="387"/>
      <c r="AC153" s="387"/>
      <c r="AD153" s="387"/>
      <c r="AE153" s="387"/>
      <c r="AF153" s="387"/>
      <c r="AG153" s="387"/>
      <c r="AH153" s="387"/>
      <c r="AI153" s="387"/>
      <c r="AJ153" s="387"/>
      <c r="AK153" s="387"/>
      <c r="AL153" s="387"/>
      <c r="AM153" s="988"/>
      <c r="AN153" s="387"/>
      <c r="AO153" s="387"/>
      <c r="AP153" s="387"/>
      <c r="AQ153" s="387"/>
      <c r="AR153" s="387"/>
      <c r="AS153" s="387"/>
      <c r="AT153" s="387"/>
      <c r="AU153" s="387"/>
      <c r="AV153" s="387"/>
      <c r="AW153" s="387"/>
      <c r="AX153" s="387"/>
      <c r="AY153" s="988"/>
      <c r="AZ153" s="387"/>
      <c r="BA153" s="387"/>
      <c r="BB153" s="387"/>
      <c r="BC153" s="387"/>
      <c r="BD153" s="387"/>
      <c r="BE153" s="387"/>
      <c r="BF153" s="387"/>
      <c r="BG153" s="387"/>
      <c r="BH153" s="387"/>
      <c r="BI153" s="387"/>
      <c r="BJ153" s="387"/>
      <c r="BK153" s="988"/>
      <c r="BL153" s="387"/>
      <c r="BM153" s="387"/>
      <c r="BN153" s="387"/>
      <c r="BO153" s="387"/>
      <c r="BP153" s="387"/>
      <c r="BQ153" s="387"/>
      <c r="BR153" s="387"/>
      <c r="BS153" s="387"/>
      <c r="BT153" s="387"/>
      <c r="BU153" s="387"/>
      <c r="BV153" s="387"/>
      <c r="BW153" s="988"/>
      <c r="BX153" s="387"/>
      <c r="BY153" s="387"/>
      <c r="BZ153" s="387"/>
      <c r="CA153" s="387"/>
      <c r="CB153" s="387"/>
      <c r="CC153" s="387"/>
      <c r="CD153" s="387"/>
      <c r="CE153" s="387"/>
      <c r="CF153" s="387"/>
      <c r="CG153" s="387"/>
      <c r="CH153" s="387"/>
      <c r="CI153" s="988"/>
      <c r="CJ153" s="387"/>
      <c r="CK153" s="387"/>
      <c r="CL153" s="387"/>
      <c r="CM153" s="387"/>
      <c r="CN153" s="387"/>
      <c r="CO153" s="387"/>
      <c r="CP153" s="387"/>
      <c r="CQ153" s="387"/>
      <c r="CR153" s="387"/>
      <c r="CS153" s="387"/>
      <c r="CT153" s="387"/>
      <c r="CU153" s="988"/>
      <c r="CV153" s="387"/>
      <c r="CW153" s="387"/>
      <c r="CX153" s="387"/>
      <c r="CY153" s="387"/>
      <c r="CZ153" s="387"/>
      <c r="DA153" s="387"/>
      <c r="DB153" s="387"/>
      <c r="DC153" s="387"/>
      <c r="DD153" s="387"/>
      <c r="DE153" s="387"/>
      <c r="DF153" s="387"/>
      <c r="DG153" s="988"/>
      <c r="DH153" s="387"/>
      <c r="DI153" s="387"/>
      <c r="DJ153" s="387"/>
      <c r="DK153" s="387"/>
      <c r="DL153" s="387"/>
      <c r="DM153" s="386"/>
      <c r="DN153" s="386"/>
      <c r="DO153" s="386"/>
      <c r="DP153" s="386"/>
      <c r="DQ153" s="386"/>
      <c r="DR153" s="386"/>
      <c r="DS153" s="987"/>
      <c r="DT153" s="387">
        <v>462.25000000000006</v>
      </c>
      <c r="DU153" s="387">
        <v>536.12</v>
      </c>
      <c r="DV153" s="387">
        <v>495.92</v>
      </c>
      <c r="DW153" s="387">
        <v>999.12</v>
      </c>
      <c r="DX153" s="387">
        <v>1447.73</v>
      </c>
      <c r="DY153" s="387">
        <v>1802.63</v>
      </c>
      <c r="DZ153" s="387">
        <v>1648.62</v>
      </c>
      <c r="EA153" s="387">
        <v>1631.3</v>
      </c>
      <c r="EB153" s="387">
        <v>1587.64</v>
      </c>
      <c r="EC153" s="387">
        <v>2622.91</v>
      </c>
      <c r="ED153" s="387">
        <v>2663.65</v>
      </c>
      <c r="EE153" s="988">
        <v>2454.6799999999998</v>
      </c>
      <c r="EF153" s="387"/>
      <c r="EG153" s="387"/>
      <c r="EH153" s="387"/>
      <c r="EI153" s="387"/>
      <c r="EJ153" s="387"/>
      <c r="EK153" s="387"/>
      <c r="EL153" s="387"/>
      <c r="EM153" s="387"/>
      <c r="EN153" s="387"/>
      <c r="EO153" s="387"/>
      <c r="EP153" s="387"/>
      <c r="EQ153" s="988"/>
      <c r="ER153" s="387"/>
      <c r="ES153" s="387"/>
      <c r="ET153" s="387"/>
      <c r="EU153" s="387"/>
      <c r="EV153" s="387"/>
      <c r="EW153" s="386"/>
      <c r="EX153" s="386"/>
      <c r="EY153" s="386"/>
      <c r="EZ153" s="386"/>
      <c r="FA153" s="386"/>
      <c r="FB153" s="386"/>
      <c r="FC153" s="987"/>
      <c r="FD153" s="387"/>
      <c r="FE153" s="387"/>
      <c r="FF153" s="387"/>
      <c r="FG153" s="387"/>
      <c r="FH153" s="387"/>
      <c r="FI153" s="386"/>
      <c r="FJ153" s="386"/>
      <c r="FK153" s="386"/>
      <c r="FL153" s="386"/>
      <c r="FM153" s="386"/>
      <c r="FN153" s="386"/>
      <c r="FO153" s="987"/>
      <c r="FP153" s="387"/>
      <c r="FQ153" s="387"/>
      <c r="FR153" s="387"/>
      <c r="FS153" s="387"/>
      <c r="FT153" s="387"/>
      <c r="FU153" s="386"/>
      <c r="FV153" s="386"/>
      <c r="FW153" s="386"/>
      <c r="FX153" s="386"/>
      <c r="FY153" s="386"/>
      <c r="FZ153" s="386"/>
      <c r="GA153" s="987"/>
      <c r="GB153" s="109"/>
      <c r="GC153" s="1036">
        <f t="shared" si="144"/>
        <v>462.25000000000006</v>
      </c>
      <c r="GD153" s="387">
        <f t="shared" si="144"/>
        <v>536.12</v>
      </c>
      <c r="GE153" s="387">
        <f t="shared" si="144"/>
        <v>495.92</v>
      </c>
      <c r="GF153" s="387">
        <f t="shared" si="144"/>
        <v>999.12</v>
      </c>
      <c r="GG153" s="387">
        <f t="shared" si="144"/>
        <v>1447.73</v>
      </c>
      <c r="GH153" s="387">
        <f t="shared" si="144"/>
        <v>1802.63</v>
      </c>
      <c r="GI153" s="387">
        <f t="shared" si="144"/>
        <v>1648.62</v>
      </c>
      <c r="GJ153" s="387">
        <f t="shared" si="144"/>
        <v>1631.3</v>
      </c>
      <c r="GK153" s="387">
        <f t="shared" si="144"/>
        <v>1587.64</v>
      </c>
      <c r="GL153" s="387">
        <f t="shared" si="144"/>
        <v>2622.91</v>
      </c>
      <c r="GM153" s="387">
        <f t="shared" si="144"/>
        <v>2663.65</v>
      </c>
      <c r="GN153" s="988">
        <f t="shared" si="144"/>
        <v>2454.6799999999998</v>
      </c>
      <c r="GO153" s="1036">
        <f t="shared" si="145"/>
        <v>462.25000000000006</v>
      </c>
      <c r="GP153" s="387">
        <f t="shared" si="145"/>
        <v>536.12</v>
      </c>
      <c r="GQ153" s="387">
        <f t="shared" si="145"/>
        <v>495.92</v>
      </c>
      <c r="GR153" s="387">
        <f t="shared" si="145"/>
        <v>999.12</v>
      </c>
      <c r="GS153" s="387">
        <f t="shared" si="145"/>
        <v>1447.73</v>
      </c>
      <c r="GT153" s="387">
        <f t="shared" si="145"/>
        <v>1802.63</v>
      </c>
      <c r="GU153" s="387">
        <f t="shared" si="145"/>
        <v>1648.62</v>
      </c>
      <c r="GV153" s="387">
        <f t="shared" si="145"/>
        <v>1631.3</v>
      </c>
      <c r="GW153" s="387">
        <f t="shared" si="145"/>
        <v>1587.64</v>
      </c>
      <c r="GX153" s="387">
        <f t="shared" si="145"/>
        <v>2622.91</v>
      </c>
      <c r="GY153" s="387">
        <f t="shared" si="145"/>
        <v>2663.65</v>
      </c>
      <c r="GZ153" s="988">
        <f t="shared" si="145"/>
        <v>2454.6799999999998</v>
      </c>
      <c r="HB153" s="387"/>
      <c r="HC153" s="387"/>
      <c r="HD153" s="387"/>
      <c r="HE153" s="387"/>
      <c r="HF153" s="387"/>
      <c r="HG153" s="386"/>
      <c r="HH153" s="386"/>
      <c r="HI153" s="386"/>
      <c r="HJ153" s="386"/>
      <c r="HK153" s="386"/>
      <c r="HL153" s="386"/>
      <c r="HM153" s="987"/>
    </row>
    <row r="154" spans="1:221">
      <c r="A154" s="326"/>
      <c r="B154" s="326"/>
      <c r="C154" s="326" t="s">
        <v>1100</v>
      </c>
      <c r="D154" s="1036"/>
      <c r="E154" s="387"/>
      <c r="F154" s="387"/>
      <c r="G154" s="387"/>
      <c r="H154" s="387"/>
      <c r="I154" s="387"/>
      <c r="J154" s="387"/>
      <c r="K154" s="387"/>
      <c r="L154" s="387"/>
      <c r="M154" s="387"/>
      <c r="N154" s="387"/>
      <c r="O154" s="988"/>
      <c r="P154" s="386"/>
      <c r="Q154" s="386"/>
      <c r="R154" s="386"/>
      <c r="S154" s="386"/>
      <c r="T154" s="386"/>
      <c r="U154" s="386"/>
      <c r="V154" s="386"/>
      <c r="W154" s="386"/>
      <c r="X154" s="386"/>
      <c r="Y154" s="386"/>
      <c r="Z154" s="386"/>
      <c r="AA154" s="987"/>
      <c r="AB154" s="386"/>
      <c r="AC154" s="386"/>
      <c r="AD154" s="386"/>
      <c r="AE154" s="386"/>
      <c r="AF154" s="386"/>
      <c r="AG154" s="386"/>
      <c r="AH154" s="386"/>
      <c r="AI154" s="386"/>
      <c r="AJ154" s="386"/>
      <c r="AK154" s="386"/>
      <c r="AL154" s="386"/>
      <c r="AM154" s="987"/>
      <c r="AN154" s="386"/>
      <c r="AO154" s="386"/>
      <c r="AP154" s="386"/>
      <c r="AQ154" s="386"/>
      <c r="AR154" s="386"/>
      <c r="AS154" s="386"/>
      <c r="AT154" s="386"/>
      <c r="AU154" s="386"/>
      <c r="AV154" s="386"/>
      <c r="AW154" s="386"/>
      <c r="AX154" s="386"/>
      <c r="AY154" s="987"/>
      <c r="AZ154" s="386"/>
      <c r="BA154" s="386"/>
      <c r="BB154" s="386"/>
      <c r="BC154" s="386"/>
      <c r="BD154" s="386"/>
      <c r="BE154" s="386"/>
      <c r="BF154" s="386"/>
      <c r="BG154" s="386"/>
      <c r="BH154" s="386"/>
      <c r="BI154" s="386"/>
      <c r="BJ154" s="386"/>
      <c r="BK154" s="987"/>
      <c r="BL154" s="386"/>
      <c r="BM154" s="386"/>
      <c r="BN154" s="386"/>
      <c r="BO154" s="386"/>
      <c r="BP154" s="386"/>
      <c r="BQ154" s="386"/>
      <c r="BR154" s="386"/>
      <c r="BS154" s="386"/>
      <c r="BT154" s="386"/>
      <c r="BU154" s="386"/>
      <c r="BV154" s="386"/>
      <c r="BW154" s="987"/>
      <c r="BX154" s="386"/>
      <c r="BY154" s="386"/>
      <c r="BZ154" s="386"/>
      <c r="CA154" s="386"/>
      <c r="CB154" s="386"/>
      <c r="CC154" s="386"/>
      <c r="CD154" s="386"/>
      <c r="CE154" s="386"/>
      <c r="CF154" s="386"/>
      <c r="CG154" s="386"/>
      <c r="CH154" s="386"/>
      <c r="CI154" s="987"/>
      <c r="CJ154" s="386"/>
      <c r="CK154" s="386"/>
      <c r="CL154" s="386"/>
      <c r="CM154" s="386"/>
      <c r="CN154" s="386"/>
      <c r="CO154" s="386"/>
      <c r="CP154" s="386"/>
      <c r="CQ154" s="386"/>
      <c r="CR154" s="386"/>
      <c r="CS154" s="386"/>
      <c r="CT154" s="386"/>
      <c r="CU154" s="987"/>
      <c r="CV154" s="386"/>
      <c r="CW154" s="386"/>
      <c r="CX154" s="386"/>
      <c r="CY154" s="386"/>
      <c r="CZ154" s="386"/>
      <c r="DA154" s="386"/>
      <c r="DB154" s="386"/>
      <c r="DC154" s="386"/>
      <c r="DD154" s="386"/>
      <c r="DE154" s="386"/>
      <c r="DF154" s="386"/>
      <c r="DG154" s="987"/>
      <c r="DH154" s="386"/>
      <c r="DI154" s="386"/>
      <c r="DJ154" s="386"/>
      <c r="DK154" s="386"/>
      <c r="DL154" s="386"/>
      <c r="DM154" s="386"/>
      <c r="DN154" s="386"/>
      <c r="DO154" s="386"/>
      <c r="DP154" s="386"/>
      <c r="DQ154" s="386"/>
      <c r="DR154" s="386"/>
      <c r="DS154" s="987"/>
      <c r="DT154" s="386"/>
      <c r="DU154" s="386"/>
      <c r="DV154" s="386"/>
      <c r="DW154" s="386"/>
      <c r="DX154" s="386"/>
      <c r="DY154" s="386"/>
      <c r="DZ154" s="386"/>
      <c r="EA154" s="386"/>
      <c r="EB154" s="386"/>
      <c r="EC154" s="386"/>
      <c r="ED154" s="386"/>
      <c r="EE154" s="987"/>
      <c r="EF154" s="386"/>
      <c r="EG154" s="386"/>
      <c r="EH154" s="386"/>
      <c r="EI154" s="386"/>
      <c r="EJ154" s="386"/>
      <c r="EK154" s="386"/>
      <c r="EL154" s="386"/>
      <c r="EM154" s="386"/>
      <c r="EN154" s="386"/>
      <c r="EO154" s="386"/>
      <c r="EP154" s="386"/>
      <c r="EQ154" s="987"/>
      <c r="ER154" s="386"/>
      <c r="ES154" s="386"/>
      <c r="ET154" s="386"/>
      <c r="EU154" s="386"/>
      <c r="EV154" s="386"/>
      <c r="EW154" s="386"/>
      <c r="EX154" s="386"/>
      <c r="EY154" s="386"/>
      <c r="EZ154" s="386"/>
      <c r="FA154" s="386"/>
      <c r="FB154" s="386"/>
      <c r="FC154" s="987"/>
      <c r="FD154" s="386"/>
      <c r="FE154" s="386"/>
      <c r="FF154" s="386"/>
      <c r="FG154" s="386"/>
      <c r="FH154" s="386"/>
      <c r="FI154" s="386"/>
      <c r="FJ154" s="386"/>
      <c r="FK154" s="386"/>
      <c r="FL154" s="386"/>
      <c r="FM154" s="386"/>
      <c r="FN154" s="386"/>
      <c r="FO154" s="987"/>
      <c r="FP154" s="386"/>
      <c r="FQ154" s="386"/>
      <c r="FR154" s="386"/>
      <c r="FS154" s="386"/>
      <c r="FT154" s="386"/>
      <c r="FU154" s="386"/>
      <c r="FV154" s="386"/>
      <c r="FW154" s="386"/>
      <c r="FX154" s="386"/>
      <c r="FY154" s="386"/>
      <c r="FZ154" s="386"/>
      <c r="GA154" s="987"/>
      <c r="GB154" s="109"/>
      <c r="GC154" s="1036"/>
      <c r="GD154" s="387"/>
      <c r="GE154" s="387"/>
      <c r="GF154" s="387"/>
      <c r="GG154" s="387"/>
      <c r="GH154" s="387"/>
      <c r="GI154" s="387"/>
      <c r="GJ154" s="387"/>
      <c r="GK154" s="387"/>
      <c r="GL154" s="387"/>
      <c r="GM154" s="387"/>
      <c r="GN154" s="988"/>
      <c r="GO154" s="1036"/>
      <c r="GP154" s="387"/>
      <c r="GQ154" s="387"/>
      <c r="GR154" s="387"/>
      <c r="GS154" s="387"/>
      <c r="GT154" s="387"/>
      <c r="GU154" s="387"/>
      <c r="GV154" s="387"/>
      <c r="GW154" s="387"/>
      <c r="GX154" s="387"/>
      <c r="GY154" s="387"/>
      <c r="GZ154" s="988"/>
      <c r="HB154" s="386"/>
      <c r="HC154" s="386"/>
      <c r="HD154" s="386"/>
      <c r="HE154" s="386"/>
      <c r="HF154" s="386"/>
      <c r="HG154" s="386"/>
      <c r="HH154" s="386"/>
      <c r="HI154" s="386"/>
      <c r="HJ154" s="386"/>
      <c r="HK154" s="386"/>
      <c r="HL154" s="386"/>
      <c r="HM154" s="987"/>
    </row>
    <row r="155" spans="1:221">
      <c r="A155" s="326" t="s">
        <v>900</v>
      </c>
      <c r="B155" s="326" t="s">
        <v>901</v>
      </c>
      <c r="C155" s="326" t="s">
        <v>3209</v>
      </c>
      <c r="D155" s="1036">
        <v>667</v>
      </c>
      <c r="E155" s="387">
        <v>646</v>
      </c>
      <c r="F155" s="387">
        <v>592</v>
      </c>
      <c r="G155" s="387">
        <v>655</v>
      </c>
      <c r="H155" s="387">
        <v>688</v>
      </c>
      <c r="I155" s="387">
        <v>705</v>
      </c>
      <c r="J155" s="387">
        <v>626</v>
      </c>
      <c r="K155" s="387">
        <v>653</v>
      </c>
      <c r="L155" s="387">
        <v>630</v>
      </c>
      <c r="M155" s="387">
        <v>585</v>
      </c>
      <c r="N155" s="387">
        <v>649</v>
      </c>
      <c r="O155" s="988">
        <v>589</v>
      </c>
      <c r="P155" s="387" t="s">
        <v>2154</v>
      </c>
      <c r="Q155" s="387" t="s">
        <v>2154</v>
      </c>
      <c r="R155" s="387" t="s">
        <v>2154</v>
      </c>
      <c r="S155" s="387" t="s">
        <v>2154</v>
      </c>
      <c r="T155" s="387" t="s">
        <v>2154</v>
      </c>
      <c r="U155" s="387" t="s">
        <v>2154</v>
      </c>
      <c r="V155" s="387" t="s">
        <v>2154</v>
      </c>
      <c r="W155" s="387" t="s">
        <v>2154</v>
      </c>
      <c r="X155" s="387" t="s">
        <v>2154</v>
      </c>
      <c r="Y155" s="387" t="s">
        <v>2154</v>
      </c>
      <c r="Z155" s="387" t="s">
        <v>2154</v>
      </c>
      <c r="AA155" s="988" t="s">
        <v>2154</v>
      </c>
      <c r="AB155" s="387"/>
      <c r="AC155" s="387"/>
      <c r="AD155" s="387"/>
      <c r="AE155" s="387"/>
      <c r="AF155" s="387"/>
      <c r="AG155" s="387"/>
      <c r="AH155" s="387"/>
      <c r="AI155" s="387"/>
      <c r="AJ155" s="387"/>
      <c r="AK155" s="387"/>
      <c r="AL155" s="387"/>
      <c r="AM155" s="988"/>
      <c r="AN155" s="387"/>
      <c r="AO155" s="387"/>
      <c r="AP155" s="387"/>
      <c r="AQ155" s="387"/>
      <c r="AR155" s="387"/>
      <c r="AS155" s="387"/>
      <c r="AT155" s="387"/>
      <c r="AU155" s="387"/>
      <c r="AV155" s="387"/>
      <c r="AW155" s="387"/>
      <c r="AX155" s="387"/>
      <c r="AY155" s="988"/>
      <c r="AZ155" s="387"/>
      <c r="BA155" s="387"/>
      <c r="BB155" s="387"/>
      <c r="BC155" s="387"/>
      <c r="BD155" s="387"/>
      <c r="BE155" s="387"/>
      <c r="BF155" s="387"/>
      <c r="BG155" s="387"/>
      <c r="BH155" s="387"/>
      <c r="BI155" s="387"/>
      <c r="BJ155" s="387"/>
      <c r="BK155" s="988"/>
      <c r="BL155" s="387"/>
      <c r="BM155" s="387"/>
      <c r="BN155" s="387"/>
      <c r="BO155" s="387"/>
      <c r="BP155" s="387"/>
      <c r="BQ155" s="387"/>
      <c r="BR155" s="387"/>
      <c r="BS155" s="387"/>
      <c r="BT155" s="387"/>
      <c r="BU155" s="387"/>
      <c r="BV155" s="387"/>
      <c r="BW155" s="988"/>
      <c r="BX155" s="387"/>
      <c r="BY155" s="387"/>
      <c r="BZ155" s="387"/>
      <c r="CA155" s="387"/>
      <c r="CB155" s="387"/>
      <c r="CC155" s="387"/>
      <c r="CD155" s="387"/>
      <c r="CE155" s="387"/>
      <c r="CF155" s="387"/>
      <c r="CG155" s="387"/>
      <c r="CH155" s="387"/>
      <c r="CI155" s="988"/>
      <c r="CJ155" s="387"/>
      <c r="CK155" s="387"/>
      <c r="CL155" s="387"/>
      <c r="CM155" s="387"/>
      <c r="CN155" s="387"/>
      <c r="CO155" s="387"/>
      <c r="CP155" s="387"/>
      <c r="CQ155" s="387"/>
      <c r="CR155" s="387"/>
      <c r="CS155" s="387"/>
      <c r="CT155" s="387"/>
      <c r="CU155" s="988"/>
      <c r="CV155" s="387"/>
      <c r="CW155" s="387"/>
      <c r="CX155" s="387"/>
      <c r="CY155" s="387"/>
      <c r="CZ155" s="387"/>
      <c r="DA155" s="387"/>
      <c r="DB155" s="387"/>
      <c r="DC155" s="387"/>
      <c r="DD155" s="387"/>
      <c r="DE155" s="387"/>
      <c r="DF155" s="387"/>
      <c r="DG155" s="988"/>
      <c r="DH155" s="387"/>
      <c r="DI155" s="387"/>
      <c r="DJ155" s="387"/>
      <c r="DK155" s="387"/>
      <c r="DL155" s="387"/>
      <c r="DM155" s="387"/>
      <c r="DN155" s="387"/>
      <c r="DO155" s="387"/>
      <c r="DP155" s="387"/>
      <c r="DQ155" s="387"/>
      <c r="DR155" s="387"/>
      <c r="DS155" s="988"/>
      <c r="DT155" s="387" t="s">
        <v>2154</v>
      </c>
      <c r="DU155" s="387" t="s">
        <v>2154</v>
      </c>
      <c r="DV155" s="387" t="s">
        <v>2154</v>
      </c>
      <c r="DW155" s="387" t="s">
        <v>2154</v>
      </c>
      <c r="DX155" s="387" t="s">
        <v>2154</v>
      </c>
      <c r="DY155" s="387" t="s">
        <v>2154</v>
      </c>
      <c r="DZ155" s="387" t="s">
        <v>2154</v>
      </c>
      <c r="EA155" s="387" t="s">
        <v>2154</v>
      </c>
      <c r="EB155" s="387" t="s">
        <v>2154</v>
      </c>
      <c r="EC155" s="387" t="s">
        <v>2154</v>
      </c>
      <c r="ED155" s="387" t="s">
        <v>2154</v>
      </c>
      <c r="EE155" s="988" t="s">
        <v>2154</v>
      </c>
      <c r="EF155" s="387"/>
      <c r="EG155" s="387"/>
      <c r="EH155" s="387"/>
      <c r="EI155" s="387"/>
      <c r="EJ155" s="387"/>
      <c r="EK155" s="387"/>
      <c r="EL155" s="387"/>
      <c r="EM155" s="387"/>
      <c r="EN155" s="387"/>
      <c r="EO155" s="387"/>
      <c r="EP155" s="387"/>
      <c r="EQ155" s="988"/>
      <c r="ER155" s="387"/>
      <c r="ES155" s="387"/>
      <c r="ET155" s="387"/>
      <c r="EU155" s="387"/>
      <c r="EV155" s="387"/>
      <c r="EW155" s="387"/>
      <c r="EX155" s="387"/>
      <c r="EY155" s="387"/>
      <c r="EZ155" s="387"/>
      <c r="FA155" s="387"/>
      <c r="FB155" s="387"/>
      <c r="FC155" s="988"/>
      <c r="FD155" s="387"/>
      <c r="FE155" s="387"/>
      <c r="FF155" s="387"/>
      <c r="FG155" s="387"/>
      <c r="FH155" s="387"/>
      <c r="FI155" s="387"/>
      <c r="FJ155" s="387"/>
      <c r="FK155" s="387"/>
      <c r="FL155" s="387"/>
      <c r="FM155" s="387"/>
      <c r="FN155" s="387"/>
      <c r="FO155" s="988"/>
      <c r="FP155" s="387"/>
      <c r="FQ155" s="387"/>
      <c r="FR155" s="387"/>
      <c r="FS155" s="387"/>
      <c r="FT155" s="387"/>
      <c r="FU155" s="387"/>
      <c r="FV155" s="387"/>
      <c r="FW155" s="387"/>
      <c r="FX155" s="387"/>
      <c r="FY155" s="387"/>
      <c r="FZ155" s="387"/>
      <c r="GA155" s="988"/>
      <c r="GB155" s="109"/>
      <c r="GC155" s="2214">
        <f t="shared" ref="GC155:GN164" si="146">SUMPRODUCT(--($D$6:$GA$6=GC$6),$D155:$GA155,$D$278:$GA$278)</f>
        <v>667</v>
      </c>
      <c r="GD155" s="387">
        <f t="shared" si="146"/>
        <v>646</v>
      </c>
      <c r="GE155" s="387">
        <f t="shared" si="146"/>
        <v>592</v>
      </c>
      <c r="GF155" s="387">
        <f t="shared" si="146"/>
        <v>655</v>
      </c>
      <c r="GG155" s="387">
        <f t="shared" si="146"/>
        <v>688</v>
      </c>
      <c r="GH155" s="387">
        <f t="shared" si="146"/>
        <v>705</v>
      </c>
      <c r="GI155" s="387">
        <f t="shared" si="146"/>
        <v>626</v>
      </c>
      <c r="GJ155" s="387">
        <f t="shared" si="146"/>
        <v>653</v>
      </c>
      <c r="GK155" s="387">
        <f t="shared" si="146"/>
        <v>630</v>
      </c>
      <c r="GL155" s="387">
        <f t="shared" si="146"/>
        <v>585</v>
      </c>
      <c r="GM155" s="387">
        <f t="shared" si="146"/>
        <v>649</v>
      </c>
      <c r="GN155" s="988">
        <f t="shared" si="146"/>
        <v>589</v>
      </c>
      <c r="GO155" s="1036">
        <f t="shared" ref="GO155:GZ164" si="147">SUMPRODUCT(--($DT$6:$GA$6=GO$6),$DT155:$GA155,$DT$278:$GA$278)</f>
        <v>0</v>
      </c>
      <c r="GP155" s="387">
        <f t="shared" si="147"/>
        <v>0</v>
      </c>
      <c r="GQ155" s="387">
        <f t="shared" si="147"/>
        <v>0</v>
      </c>
      <c r="GR155" s="387">
        <f t="shared" si="147"/>
        <v>0</v>
      </c>
      <c r="GS155" s="387">
        <f t="shared" si="147"/>
        <v>0</v>
      </c>
      <c r="GT155" s="387">
        <f t="shared" si="147"/>
        <v>0</v>
      </c>
      <c r="GU155" s="387">
        <f t="shared" si="147"/>
        <v>0</v>
      </c>
      <c r="GV155" s="387">
        <f t="shared" si="147"/>
        <v>0</v>
      </c>
      <c r="GW155" s="387">
        <f t="shared" si="147"/>
        <v>0</v>
      </c>
      <c r="GX155" s="387">
        <f t="shared" si="147"/>
        <v>0</v>
      </c>
      <c r="GY155" s="387">
        <f t="shared" si="147"/>
        <v>0</v>
      </c>
      <c r="GZ155" s="988">
        <f t="shared" si="147"/>
        <v>0</v>
      </c>
      <c r="HB155" s="387"/>
      <c r="HC155" s="387"/>
      <c r="HD155" s="387"/>
      <c r="HE155" s="387"/>
      <c r="HF155" s="387"/>
      <c r="HG155" s="387"/>
      <c r="HH155" s="387"/>
      <c r="HI155" s="387"/>
      <c r="HJ155" s="387"/>
      <c r="HK155" s="387"/>
      <c r="HL155" s="387"/>
      <c r="HM155" s="988"/>
    </row>
    <row r="156" spans="1:221">
      <c r="A156" s="326" t="s">
        <v>900</v>
      </c>
      <c r="B156" s="326" t="s">
        <v>901</v>
      </c>
      <c r="C156" s="326" t="s">
        <v>3210</v>
      </c>
      <c r="D156" s="1036" t="s">
        <v>2154</v>
      </c>
      <c r="E156" s="387" t="s">
        <v>2154</v>
      </c>
      <c r="F156" s="387" t="s">
        <v>2154</v>
      </c>
      <c r="G156" s="387" t="s">
        <v>2154</v>
      </c>
      <c r="H156" s="387" t="s">
        <v>2154</v>
      </c>
      <c r="I156" s="387" t="s">
        <v>2154</v>
      </c>
      <c r="J156" s="387" t="s">
        <v>2154</v>
      </c>
      <c r="K156" s="387" t="s">
        <v>2154</v>
      </c>
      <c r="L156" s="387" t="s">
        <v>2154</v>
      </c>
      <c r="M156" s="387" t="s">
        <v>2154</v>
      </c>
      <c r="N156" s="387" t="s">
        <v>2154</v>
      </c>
      <c r="O156" s="988" t="s">
        <v>2154</v>
      </c>
      <c r="P156" s="387">
        <v>220.28571428571428</v>
      </c>
      <c r="Q156" s="387">
        <v>193.85714285714286</v>
      </c>
      <c r="R156" s="387">
        <v>174.14285714285714</v>
      </c>
      <c r="S156" s="387">
        <v>206.42857142857139</v>
      </c>
      <c r="T156" s="387">
        <v>222.42857142857144</v>
      </c>
      <c r="U156" s="387">
        <v>223.28571428571431</v>
      </c>
      <c r="V156" s="387">
        <v>221.57142857142856</v>
      </c>
      <c r="W156" s="387">
        <v>229.42857142857139</v>
      </c>
      <c r="X156" s="387">
        <v>253.14285714285717</v>
      </c>
      <c r="Y156" s="387">
        <v>230.57142857142856</v>
      </c>
      <c r="Z156" s="387">
        <v>245.57142857142856</v>
      </c>
      <c r="AA156" s="988">
        <v>242.42857142857144</v>
      </c>
      <c r="AB156" s="387"/>
      <c r="AC156" s="387"/>
      <c r="AD156" s="387"/>
      <c r="AE156" s="387"/>
      <c r="AF156" s="387"/>
      <c r="AG156" s="387"/>
      <c r="AH156" s="387"/>
      <c r="AI156" s="387"/>
      <c r="AJ156" s="387"/>
      <c r="AK156" s="387"/>
      <c r="AL156" s="387"/>
      <c r="AM156" s="988"/>
      <c r="AN156" s="387"/>
      <c r="AO156" s="387"/>
      <c r="AP156" s="387"/>
      <c r="AQ156" s="387"/>
      <c r="AR156" s="387"/>
      <c r="AS156" s="387"/>
      <c r="AT156" s="387"/>
      <c r="AU156" s="387"/>
      <c r="AV156" s="387"/>
      <c r="AW156" s="387"/>
      <c r="AX156" s="387"/>
      <c r="AY156" s="988"/>
      <c r="AZ156" s="387"/>
      <c r="BA156" s="387"/>
      <c r="BB156" s="387"/>
      <c r="BC156" s="387"/>
      <c r="BD156" s="387"/>
      <c r="BE156" s="387"/>
      <c r="BF156" s="387"/>
      <c r="BG156" s="387"/>
      <c r="BH156" s="387"/>
      <c r="BI156" s="387"/>
      <c r="BJ156" s="387"/>
      <c r="BK156" s="988"/>
      <c r="BL156" s="387"/>
      <c r="BM156" s="387"/>
      <c r="BN156" s="387"/>
      <c r="BO156" s="387"/>
      <c r="BP156" s="387"/>
      <c r="BQ156" s="387"/>
      <c r="BR156" s="387"/>
      <c r="BS156" s="387"/>
      <c r="BT156" s="387"/>
      <c r="BU156" s="387"/>
      <c r="BV156" s="387"/>
      <c r="BW156" s="988"/>
      <c r="BX156" s="387"/>
      <c r="BY156" s="387"/>
      <c r="BZ156" s="387"/>
      <c r="CA156" s="387"/>
      <c r="CB156" s="387"/>
      <c r="CC156" s="387"/>
      <c r="CD156" s="387"/>
      <c r="CE156" s="387"/>
      <c r="CF156" s="387"/>
      <c r="CG156" s="387"/>
      <c r="CH156" s="387"/>
      <c r="CI156" s="988"/>
      <c r="CJ156" s="387"/>
      <c r="CK156" s="387"/>
      <c r="CL156" s="387"/>
      <c r="CM156" s="387"/>
      <c r="CN156" s="387"/>
      <c r="CO156" s="387"/>
      <c r="CP156" s="387"/>
      <c r="CQ156" s="387"/>
      <c r="CR156" s="387"/>
      <c r="CS156" s="387"/>
      <c r="CT156" s="387"/>
      <c r="CU156" s="988"/>
      <c r="CV156" s="387"/>
      <c r="CW156" s="387"/>
      <c r="CX156" s="387"/>
      <c r="CY156" s="387"/>
      <c r="CZ156" s="387"/>
      <c r="DA156" s="387"/>
      <c r="DB156" s="387"/>
      <c r="DC156" s="387"/>
      <c r="DD156" s="387"/>
      <c r="DE156" s="387"/>
      <c r="DF156" s="387"/>
      <c r="DG156" s="988"/>
      <c r="DH156" s="387"/>
      <c r="DI156" s="387"/>
      <c r="DJ156" s="387"/>
      <c r="DK156" s="387"/>
      <c r="DL156" s="387"/>
      <c r="DM156" s="387"/>
      <c r="DN156" s="387"/>
      <c r="DO156" s="387"/>
      <c r="DP156" s="387"/>
      <c r="DQ156" s="387"/>
      <c r="DR156" s="387"/>
      <c r="DS156" s="988"/>
      <c r="DT156" s="387">
        <v>127</v>
      </c>
      <c r="DU156" s="387">
        <v>121</v>
      </c>
      <c r="DV156" s="387">
        <v>108</v>
      </c>
      <c r="DW156" s="387">
        <v>98</v>
      </c>
      <c r="DX156" s="387">
        <v>84</v>
      </c>
      <c r="DY156" s="387">
        <v>92</v>
      </c>
      <c r="DZ156" s="387">
        <v>73</v>
      </c>
      <c r="EA156" s="387">
        <v>93</v>
      </c>
      <c r="EB156" s="387">
        <v>84</v>
      </c>
      <c r="EC156" s="387">
        <v>85</v>
      </c>
      <c r="ED156" s="387">
        <v>88</v>
      </c>
      <c r="EE156" s="988">
        <v>80</v>
      </c>
      <c r="EF156" s="387"/>
      <c r="EG156" s="387"/>
      <c r="EH156" s="387"/>
      <c r="EI156" s="387"/>
      <c r="EJ156" s="387"/>
      <c r="EK156" s="387"/>
      <c r="EL156" s="387"/>
      <c r="EM156" s="387"/>
      <c r="EN156" s="387"/>
      <c r="EO156" s="387"/>
      <c r="EP156" s="387"/>
      <c r="EQ156" s="988"/>
      <c r="ER156" s="387"/>
      <c r="ES156" s="387"/>
      <c r="ET156" s="387"/>
      <c r="EU156" s="387"/>
      <c r="EV156" s="387"/>
      <c r="EW156" s="387"/>
      <c r="EX156" s="387"/>
      <c r="EY156" s="387"/>
      <c r="EZ156" s="387"/>
      <c r="FA156" s="387"/>
      <c r="FB156" s="387"/>
      <c r="FC156" s="988"/>
      <c r="FD156" s="387"/>
      <c r="FE156" s="387"/>
      <c r="FF156" s="387"/>
      <c r="FG156" s="387"/>
      <c r="FH156" s="387"/>
      <c r="FI156" s="387"/>
      <c r="FJ156" s="387"/>
      <c r="FK156" s="387"/>
      <c r="FL156" s="387"/>
      <c r="FM156" s="387"/>
      <c r="FN156" s="387"/>
      <c r="FO156" s="988"/>
      <c r="FP156" s="387"/>
      <c r="FQ156" s="387"/>
      <c r="FR156" s="387"/>
      <c r="FS156" s="387"/>
      <c r="FT156" s="387"/>
      <c r="FU156" s="387"/>
      <c r="FV156" s="387"/>
      <c r="FW156" s="387"/>
      <c r="FX156" s="387"/>
      <c r="FY156" s="387"/>
      <c r="FZ156" s="387"/>
      <c r="GA156" s="988"/>
      <c r="GB156" s="109"/>
      <c r="GC156" s="2214">
        <f t="shared" si="146"/>
        <v>347.28571428571428</v>
      </c>
      <c r="GD156" s="387">
        <f t="shared" si="146"/>
        <v>314.85714285714289</v>
      </c>
      <c r="GE156" s="387">
        <f t="shared" si="146"/>
        <v>282.14285714285711</v>
      </c>
      <c r="GF156" s="387">
        <f t="shared" si="146"/>
        <v>304.42857142857139</v>
      </c>
      <c r="GG156" s="387">
        <f t="shared" si="146"/>
        <v>306.42857142857144</v>
      </c>
      <c r="GH156" s="387">
        <f t="shared" si="146"/>
        <v>315.28571428571433</v>
      </c>
      <c r="GI156" s="387">
        <f t="shared" si="146"/>
        <v>294.57142857142856</v>
      </c>
      <c r="GJ156" s="387">
        <f t="shared" si="146"/>
        <v>322.42857142857139</v>
      </c>
      <c r="GK156" s="387">
        <f t="shared" si="146"/>
        <v>337.14285714285717</v>
      </c>
      <c r="GL156" s="387">
        <f t="shared" si="146"/>
        <v>315.57142857142856</v>
      </c>
      <c r="GM156" s="387">
        <f t="shared" si="146"/>
        <v>333.57142857142856</v>
      </c>
      <c r="GN156" s="988">
        <f t="shared" si="146"/>
        <v>322.42857142857144</v>
      </c>
      <c r="GO156" s="1036">
        <f t="shared" si="147"/>
        <v>127</v>
      </c>
      <c r="GP156" s="387">
        <f t="shared" si="147"/>
        <v>121</v>
      </c>
      <c r="GQ156" s="387">
        <f t="shared" si="147"/>
        <v>108</v>
      </c>
      <c r="GR156" s="387">
        <f t="shared" si="147"/>
        <v>98</v>
      </c>
      <c r="GS156" s="387">
        <f t="shared" si="147"/>
        <v>84</v>
      </c>
      <c r="GT156" s="387">
        <f t="shared" si="147"/>
        <v>92</v>
      </c>
      <c r="GU156" s="387">
        <f t="shared" si="147"/>
        <v>73</v>
      </c>
      <c r="GV156" s="387">
        <f t="shared" si="147"/>
        <v>93</v>
      </c>
      <c r="GW156" s="387">
        <f t="shared" si="147"/>
        <v>84</v>
      </c>
      <c r="GX156" s="387">
        <f t="shared" si="147"/>
        <v>85</v>
      </c>
      <c r="GY156" s="387">
        <f t="shared" si="147"/>
        <v>88</v>
      </c>
      <c r="GZ156" s="988">
        <f t="shared" si="147"/>
        <v>80</v>
      </c>
      <c r="HB156" s="387"/>
      <c r="HC156" s="387"/>
      <c r="HD156" s="387"/>
      <c r="HE156" s="387"/>
      <c r="HF156" s="387"/>
      <c r="HG156" s="387"/>
      <c r="HH156" s="387"/>
      <c r="HI156" s="387"/>
      <c r="HJ156" s="387"/>
      <c r="HK156" s="387"/>
      <c r="HL156" s="387"/>
      <c r="HM156" s="988"/>
    </row>
    <row r="157" spans="1:221">
      <c r="A157" s="326" t="s">
        <v>900</v>
      </c>
      <c r="B157" s="326" t="s">
        <v>901</v>
      </c>
      <c r="C157" s="326" t="s">
        <v>3211</v>
      </c>
      <c r="D157" s="1036">
        <v>667</v>
      </c>
      <c r="E157" s="387">
        <v>646</v>
      </c>
      <c r="F157" s="387">
        <v>592</v>
      </c>
      <c r="G157" s="387">
        <v>655</v>
      </c>
      <c r="H157" s="387">
        <v>688</v>
      </c>
      <c r="I157" s="387">
        <v>705</v>
      </c>
      <c r="J157" s="387">
        <v>626</v>
      </c>
      <c r="K157" s="387">
        <v>653</v>
      </c>
      <c r="L157" s="387">
        <v>630</v>
      </c>
      <c r="M157" s="387">
        <v>585</v>
      </c>
      <c r="N157" s="387">
        <v>649</v>
      </c>
      <c r="O157" s="988">
        <v>589</v>
      </c>
      <c r="P157" s="387">
        <v>220.28571428571428</v>
      </c>
      <c r="Q157" s="387">
        <v>193.85714285714286</v>
      </c>
      <c r="R157" s="387">
        <v>174.14285714285714</v>
      </c>
      <c r="S157" s="387">
        <v>206.42857142857139</v>
      </c>
      <c r="T157" s="387">
        <v>222.42857142857144</v>
      </c>
      <c r="U157" s="387">
        <v>223.28571428571431</v>
      </c>
      <c r="V157" s="387">
        <v>221.57142857142856</v>
      </c>
      <c r="W157" s="387">
        <v>229.42857142857139</v>
      </c>
      <c r="X157" s="387">
        <v>253.14285714285717</v>
      </c>
      <c r="Y157" s="387">
        <v>230.57142857142856</v>
      </c>
      <c r="Z157" s="387">
        <v>245.57142857142856</v>
      </c>
      <c r="AA157" s="988">
        <v>242.42857142857144</v>
      </c>
      <c r="AB157" s="387"/>
      <c r="AC157" s="387"/>
      <c r="AD157" s="387"/>
      <c r="AE157" s="387"/>
      <c r="AF157" s="387"/>
      <c r="AG157" s="387"/>
      <c r="AH157" s="387"/>
      <c r="AI157" s="387"/>
      <c r="AJ157" s="387"/>
      <c r="AK157" s="387"/>
      <c r="AL157" s="387"/>
      <c r="AM157" s="988"/>
      <c r="AN157" s="387"/>
      <c r="AO157" s="387"/>
      <c r="AP157" s="387"/>
      <c r="AQ157" s="387"/>
      <c r="AR157" s="387"/>
      <c r="AS157" s="387"/>
      <c r="AT157" s="387"/>
      <c r="AU157" s="387"/>
      <c r="AV157" s="387"/>
      <c r="AW157" s="387"/>
      <c r="AX157" s="387"/>
      <c r="AY157" s="988"/>
      <c r="AZ157" s="387"/>
      <c r="BA157" s="387"/>
      <c r="BB157" s="387"/>
      <c r="BC157" s="387"/>
      <c r="BD157" s="387"/>
      <c r="BE157" s="387"/>
      <c r="BF157" s="387"/>
      <c r="BG157" s="387"/>
      <c r="BH157" s="387"/>
      <c r="BI157" s="387"/>
      <c r="BJ157" s="387"/>
      <c r="BK157" s="988"/>
      <c r="BL157" s="387"/>
      <c r="BM157" s="387"/>
      <c r="BN157" s="387"/>
      <c r="BO157" s="387"/>
      <c r="BP157" s="387"/>
      <c r="BQ157" s="387"/>
      <c r="BR157" s="387"/>
      <c r="BS157" s="387"/>
      <c r="BT157" s="387"/>
      <c r="BU157" s="387"/>
      <c r="BV157" s="387"/>
      <c r="BW157" s="988"/>
      <c r="BX157" s="387"/>
      <c r="BY157" s="387"/>
      <c r="BZ157" s="387"/>
      <c r="CA157" s="387"/>
      <c r="CB157" s="387"/>
      <c r="CC157" s="387"/>
      <c r="CD157" s="387"/>
      <c r="CE157" s="387"/>
      <c r="CF157" s="387"/>
      <c r="CG157" s="387"/>
      <c r="CH157" s="387"/>
      <c r="CI157" s="988"/>
      <c r="CJ157" s="387"/>
      <c r="CK157" s="387"/>
      <c r="CL157" s="387"/>
      <c r="CM157" s="387"/>
      <c r="CN157" s="387"/>
      <c r="CO157" s="387"/>
      <c r="CP157" s="387"/>
      <c r="CQ157" s="387"/>
      <c r="CR157" s="387"/>
      <c r="CS157" s="387"/>
      <c r="CT157" s="387"/>
      <c r="CU157" s="988"/>
      <c r="CV157" s="387"/>
      <c r="CW157" s="387"/>
      <c r="CX157" s="387"/>
      <c r="CY157" s="387"/>
      <c r="CZ157" s="387"/>
      <c r="DA157" s="387"/>
      <c r="DB157" s="387"/>
      <c r="DC157" s="387"/>
      <c r="DD157" s="387"/>
      <c r="DE157" s="387"/>
      <c r="DF157" s="387"/>
      <c r="DG157" s="988"/>
      <c r="DH157" s="387"/>
      <c r="DI157" s="387"/>
      <c r="DJ157" s="387"/>
      <c r="DK157" s="387"/>
      <c r="DL157" s="387"/>
      <c r="DM157" s="387"/>
      <c r="DN157" s="387"/>
      <c r="DO157" s="387"/>
      <c r="DP157" s="387"/>
      <c r="DQ157" s="387"/>
      <c r="DR157" s="387"/>
      <c r="DS157" s="988"/>
      <c r="DT157" s="387">
        <v>127</v>
      </c>
      <c r="DU157" s="387">
        <v>121</v>
      </c>
      <c r="DV157" s="387">
        <v>108</v>
      </c>
      <c r="DW157" s="387">
        <v>98</v>
      </c>
      <c r="DX157" s="387">
        <v>84</v>
      </c>
      <c r="DY157" s="387">
        <v>92</v>
      </c>
      <c r="DZ157" s="387">
        <v>73</v>
      </c>
      <c r="EA157" s="387">
        <v>93</v>
      </c>
      <c r="EB157" s="387">
        <v>84</v>
      </c>
      <c r="EC157" s="387">
        <v>85</v>
      </c>
      <c r="ED157" s="387">
        <v>88</v>
      </c>
      <c r="EE157" s="988">
        <v>80</v>
      </c>
      <c r="EF157" s="387"/>
      <c r="EG157" s="387"/>
      <c r="EH157" s="387"/>
      <c r="EI157" s="387"/>
      <c r="EJ157" s="387"/>
      <c r="EK157" s="387"/>
      <c r="EL157" s="387"/>
      <c r="EM157" s="387"/>
      <c r="EN157" s="387"/>
      <c r="EO157" s="387"/>
      <c r="EP157" s="387"/>
      <c r="EQ157" s="988"/>
      <c r="ER157" s="387"/>
      <c r="ES157" s="387"/>
      <c r="ET157" s="387"/>
      <c r="EU157" s="387"/>
      <c r="EV157" s="387"/>
      <c r="EW157" s="387"/>
      <c r="EX157" s="387"/>
      <c r="EY157" s="387"/>
      <c r="EZ157" s="387"/>
      <c r="FA157" s="387"/>
      <c r="FB157" s="387"/>
      <c r="FC157" s="988"/>
      <c r="FD157" s="387"/>
      <c r="FE157" s="387"/>
      <c r="FF157" s="387"/>
      <c r="FG157" s="387"/>
      <c r="FH157" s="387"/>
      <c r="FI157" s="387"/>
      <c r="FJ157" s="387"/>
      <c r="FK157" s="387"/>
      <c r="FL157" s="387"/>
      <c r="FM157" s="387"/>
      <c r="FN157" s="387"/>
      <c r="FO157" s="988"/>
      <c r="FP157" s="387"/>
      <c r="FQ157" s="387"/>
      <c r="FR157" s="387"/>
      <c r="FS157" s="387"/>
      <c r="FT157" s="387"/>
      <c r="FU157" s="387"/>
      <c r="FV157" s="387"/>
      <c r="FW157" s="387"/>
      <c r="FX157" s="387"/>
      <c r="FY157" s="387"/>
      <c r="FZ157" s="387"/>
      <c r="GA157" s="988"/>
      <c r="GB157" s="109"/>
      <c r="GC157" s="2214">
        <f t="shared" si="146"/>
        <v>1014.2857142857142</v>
      </c>
      <c r="GD157" s="387">
        <f t="shared" si="146"/>
        <v>960.85714285714289</v>
      </c>
      <c r="GE157" s="387">
        <f t="shared" si="146"/>
        <v>874.14285714285711</v>
      </c>
      <c r="GF157" s="387">
        <f t="shared" si="146"/>
        <v>959.42857142857133</v>
      </c>
      <c r="GG157" s="387">
        <f t="shared" si="146"/>
        <v>994.42857142857144</v>
      </c>
      <c r="GH157" s="387">
        <f t="shared" si="146"/>
        <v>1020.2857142857143</v>
      </c>
      <c r="GI157" s="387">
        <f t="shared" si="146"/>
        <v>920.57142857142856</v>
      </c>
      <c r="GJ157" s="387">
        <f t="shared" si="146"/>
        <v>975.42857142857133</v>
      </c>
      <c r="GK157" s="387">
        <f t="shared" si="146"/>
        <v>967.14285714285711</v>
      </c>
      <c r="GL157" s="387">
        <f t="shared" si="146"/>
        <v>900.57142857142856</v>
      </c>
      <c r="GM157" s="387">
        <f t="shared" si="146"/>
        <v>982.57142857142856</v>
      </c>
      <c r="GN157" s="988">
        <f t="shared" si="146"/>
        <v>911.42857142857144</v>
      </c>
      <c r="GO157" s="1036">
        <f t="shared" si="147"/>
        <v>127</v>
      </c>
      <c r="GP157" s="387">
        <f t="shared" si="147"/>
        <v>121</v>
      </c>
      <c r="GQ157" s="387">
        <f t="shared" si="147"/>
        <v>108</v>
      </c>
      <c r="GR157" s="387">
        <f t="shared" si="147"/>
        <v>98</v>
      </c>
      <c r="GS157" s="387">
        <f t="shared" si="147"/>
        <v>84</v>
      </c>
      <c r="GT157" s="387">
        <f t="shared" si="147"/>
        <v>92</v>
      </c>
      <c r="GU157" s="387">
        <f t="shared" si="147"/>
        <v>73</v>
      </c>
      <c r="GV157" s="387">
        <f t="shared" si="147"/>
        <v>93</v>
      </c>
      <c r="GW157" s="387">
        <f t="shared" si="147"/>
        <v>84</v>
      </c>
      <c r="GX157" s="387">
        <f t="shared" si="147"/>
        <v>85</v>
      </c>
      <c r="GY157" s="387">
        <f t="shared" si="147"/>
        <v>88</v>
      </c>
      <c r="GZ157" s="988">
        <f t="shared" si="147"/>
        <v>80</v>
      </c>
      <c r="HB157" s="387"/>
      <c r="HC157" s="387"/>
      <c r="HD157" s="387"/>
      <c r="HE157" s="387"/>
      <c r="HF157" s="387"/>
      <c r="HG157" s="387"/>
      <c r="HH157" s="387"/>
      <c r="HI157" s="387"/>
      <c r="HJ157" s="387"/>
      <c r="HK157" s="387"/>
      <c r="HL157" s="387"/>
      <c r="HM157" s="988"/>
    </row>
    <row r="158" spans="1:221">
      <c r="A158" s="326" t="s">
        <v>900</v>
      </c>
      <c r="B158" s="326" t="s">
        <v>901</v>
      </c>
      <c r="C158" s="326" t="s">
        <v>3212</v>
      </c>
      <c r="D158" s="1036" t="s">
        <v>2154</v>
      </c>
      <c r="E158" s="387" t="s">
        <v>2154</v>
      </c>
      <c r="F158" s="387" t="s">
        <v>2154</v>
      </c>
      <c r="G158" s="387" t="s">
        <v>2154</v>
      </c>
      <c r="H158" s="387" t="s">
        <v>2154</v>
      </c>
      <c r="I158" s="387" t="s">
        <v>2154</v>
      </c>
      <c r="J158" s="387" t="s">
        <v>2154</v>
      </c>
      <c r="K158" s="387" t="s">
        <v>2154</v>
      </c>
      <c r="L158" s="387" t="s">
        <v>2154</v>
      </c>
      <c r="M158" s="387" t="s">
        <v>2154</v>
      </c>
      <c r="N158" s="387" t="s">
        <v>2154</v>
      </c>
      <c r="O158" s="988" t="s">
        <v>2154</v>
      </c>
      <c r="P158" s="387" t="s">
        <v>2154</v>
      </c>
      <c r="Q158" s="387" t="s">
        <v>2154</v>
      </c>
      <c r="R158" s="387" t="s">
        <v>2154</v>
      </c>
      <c r="S158" s="387" t="s">
        <v>2154</v>
      </c>
      <c r="T158" s="387" t="s">
        <v>2154</v>
      </c>
      <c r="U158" s="387" t="s">
        <v>2154</v>
      </c>
      <c r="V158" s="387" t="s">
        <v>2154</v>
      </c>
      <c r="W158" s="387" t="s">
        <v>2154</v>
      </c>
      <c r="X158" s="387" t="s">
        <v>2154</v>
      </c>
      <c r="Y158" s="387" t="s">
        <v>2154</v>
      </c>
      <c r="Z158" s="387" t="s">
        <v>2154</v>
      </c>
      <c r="AA158" s="988" t="s">
        <v>2154</v>
      </c>
      <c r="AB158" s="387"/>
      <c r="AC158" s="387"/>
      <c r="AD158" s="387"/>
      <c r="AE158" s="387"/>
      <c r="AF158" s="387"/>
      <c r="AG158" s="387"/>
      <c r="AH158" s="387"/>
      <c r="AI158" s="387"/>
      <c r="AJ158" s="387"/>
      <c r="AK158" s="387"/>
      <c r="AL158" s="387"/>
      <c r="AM158" s="988"/>
      <c r="AN158" s="387"/>
      <c r="AO158" s="387"/>
      <c r="AP158" s="387"/>
      <c r="AQ158" s="387"/>
      <c r="AR158" s="387"/>
      <c r="AS158" s="387"/>
      <c r="AT158" s="387"/>
      <c r="AU158" s="387"/>
      <c r="AV158" s="387"/>
      <c r="AW158" s="387"/>
      <c r="AX158" s="387"/>
      <c r="AY158" s="988"/>
      <c r="AZ158" s="387"/>
      <c r="BA158" s="387"/>
      <c r="BB158" s="387"/>
      <c r="BC158" s="387"/>
      <c r="BD158" s="387"/>
      <c r="BE158" s="387"/>
      <c r="BF158" s="387"/>
      <c r="BG158" s="387"/>
      <c r="BH158" s="387"/>
      <c r="BI158" s="387"/>
      <c r="BJ158" s="387"/>
      <c r="BK158" s="988"/>
      <c r="BL158" s="387"/>
      <c r="BM158" s="387"/>
      <c r="BN158" s="387"/>
      <c r="BO158" s="387"/>
      <c r="BP158" s="387"/>
      <c r="BQ158" s="387"/>
      <c r="BR158" s="387"/>
      <c r="BS158" s="387"/>
      <c r="BT158" s="387"/>
      <c r="BU158" s="387"/>
      <c r="BV158" s="387"/>
      <c r="BW158" s="988"/>
      <c r="BX158" s="387"/>
      <c r="BY158" s="387"/>
      <c r="BZ158" s="387"/>
      <c r="CA158" s="387"/>
      <c r="CB158" s="387"/>
      <c r="CC158" s="387"/>
      <c r="CD158" s="387"/>
      <c r="CE158" s="387"/>
      <c r="CF158" s="387"/>
      <c r="CG158" s="387"/>
      <c r="CH158" s="387"/>
      <c r="CI158" s="988"/>
      <c r="CJ158" s="387"/>
      <c r="CK158" s="387"/>
      <c r="CL158" s="387"/>
      <c r="CM158" s="387"/>
      <c r="CN158" s="387"/>
      <c r="CO158" s="387"/>
      <c r="CP158" s="387"/>
      <c r="CQ158" s="387"/>
      <c r="CR158" s="387"/>
      <c r="CS158" s="387"/>
      <c r="CT158" s="387"/>
      <c r="CU158" s="988"/>
      <c r="CV158" s="387"/>
      <c r="CW158" s="387"/>
      <c r="CX158" s="387"/>
      <c r="CY158" s="387"/>
      <c r="CZ158" s="387"/>
      <c r="DA158" s="387"/>
      <c r="DB158" s="387"/>
      <c r="DC158" s="387"/>
      <c r="DD158" s="387"/>
      <c r="DE158" s="387"/>
      <c r="DF158" s="387"/>
      <c r="DG158" s="988"/>
      <c r="DH158" s="387"/>
      <c r="DI158" s="387"/>
      <c r="DJ158" s="387"/>
      <c r="DK158" s="387"/>
      <c r="DL158" s="387"/>
      <c r="DM158" s="387"/>
      <c r="DN158" s="387"/>
      <c r="DO158" s="387"/>
      <c r="DP158" s="387"/>
      <c r="DQ158" s="387"/>
      <c r="DR158" s="387"/>
      <c r="DS158" s="988"/>
      <c r="DT158" s="387" t="s">
        <v>2154</v>
      </c>
      <c r="DU158" s="387" t="s">
        <v>2154</v>
      </c>
      <c r="DV158" s="387" t="s">
        <v>2154</v>
      </c>
      <c r="DW158" s="387" t="s">
        <v>2154</v>
      </c>
      <c r="DX158" s="387" t="s">
        <v>2154</v>
      </c>
      <c r="DY158" s="387" t="s">
        <v>2154</v>
      </c>
      <c r="DZ158" s="387" t="s">
        <v>2154</v>
      </c>
      <c r="EA158" s="387" t="s">
        <v>2154</v>
      </c>
      <c r="EB158" s="387" t="s">
        <v>2154</v>
      </c>
      <c r="EC158" s="387" t="s">
        <v>2154</v>
      </c>
      <c r="ED158" s="387" t="s">
        <v>2154</v>
      </c>
      <c r="EE158" s="988" t="s">
        <v>2154</v>
      </c>
      <c r="EF158" s="387"/>
      <c r="EG158" s="387"/>
      <c r="EH158" s="387"/>
      <c r="EI158" s="387"/>
      <c r="EJ158" s="387"/>
      <c r="EK158" s="387"/>
      <c r="EL158" s="387"/>
      <c r="EM158" s="387"/>
      <c r="EN158" s="387"/>
      <c r="EO158" s="387"/>
      <c r="EP158" s="387"/>
      <c r="EQ158" s="988"/>
      <c r="ER158" s="387"/>
      <c r="ES158" s="387"/>
      <c r="ET158" s="387"/>
      <c r="EU158" s="387"/>
      <c r="EV158" s="387"/>
      <c r="EW158" s="387"/>
      <c r="EX158" s="387"/>
      <c r="EY158" s="387"/>
      <c r="EZ158" s="387"/>
      <c r="FA158" s="387"/>
      <c r="FB158" s="387"/>
      <c r="FC158" s="988"/>
      <c r="FD158" s="387"/>
      <c r="FE158" s="387"/>
      <c r="FF158" s="387"/>
      <c r="FG158" s="387"/>
      <c r="FH158" s="387"/>
      <c r="FI158" s="387"/>
      <c r="FJ158" s="387"/>
      <c r="FK158" s="387"/>
      <c r="FL158" s="387"/>
      <c r="FM158" s="387"/>
      <c r="FN158" s="387"/>
      <c r="FO158" s="988"/>
      <c r="FP158" s="387"/>
      <c r="FQ158" s="387"/>
      <c r="FR158" s="387"/>
      <c r="FS158" s="387"/>
      <c r="FT158" s="387"/>
      <c r="FU158" s="387"/>
      <c r="FV158" s="387"/>
      <c r="FW158" s="387"/>
      <c r="FX158" s="387"/>
      <c r="FY158" s="387"/>
      <c r="FZ158" s="387"/>
      <c r="GA158" s="988"/>
      <c r="GB158" s="109"/>
      <c r="GC158" s="2214">
        <f t="shared" si="146"/>
        <v>0</v>
      </c>
      <c r="GD158" s="387">
        <f t="shared" si="146"/>
        <v>0</v>
      </c>
      <c r="GE158" s="387">
        <f t="shared" si="146"/>
        <v>0</v>
      </c>
      <c r="GF158" s="387">
        <f t="shared" si="146"/>
        <v>0</v>
      </c>
      <c r="GG158" s="387">
        <f t="shared" si="146"/>
        <v>0</v>
      </c>
      <c r="GH158" s="387">
        <f t="shared" si="146"/>
        <v>0</v>
      </c>
      <c r="GI158" s="387">
        <f t="shared" si="146"/>
        <v>0</v>
      </c>
      <c r="GJ158" s="387">
        <f t="shared" si="146"/>
        <v>0</v>
      </c>
      <c r="GK158" s="387">
        <f t="shared" si="146"/>
        <v>0</v>
      </c>
      <c r="GL158" s="387">
        <f t="shared" si="146"/>
        <v>0</v>
      </c>
      <c r="GM158" s="387">
        <f t="shared" si="146"/>
        <v>0</v>
      </c>
      <c r="GN158" s="988">
        <f t="shared" si="146"/>
        <v>0</v>
      </c>
      <c r="GO158" s="1036">
        <f t="shared" si="147"/>
        <v>0</v>
      </c>
      <c r="GP158" s="387">
        <f t="shared" si="147"/>
        <v>0</v>
      </c>
      <c r="GQ158" s="387">
        <f t="shared" si="147"/>
        <v>0</v>
      </c>
      <c r="GR158" s="387">
        <f t="shared" si="147"/>
        <v>0</v>
      </c>
      <c r="GS158" s="387">
        <f t="shared" si="147"/>
        <v>0</v>
      </c>
      <c r="GT158" s="387">
        <f t="shared" si="147"/>
        <v>0</v>
      </c>
      <c r="GU158" s="387">
        <f t="shared" si="147"/>
        <v>0</v>
      </c>
      <c r="GV158" s="387">
        <f t="shared" si="147"/>
        <v>0</v>
      </c>
      <c r="GW158" s="387">
        <f t="shared" si="147"/>
        <v>0</v>
      </c>
      <c r="GX158" s="387">
        <f t="shared" si="147"/>
        <v>0</v>
      </c>
      <c r="GY158" s="387">
        <f t="shared" si="147"/>
        <v>0</v>
      </c>
      <c r="GZ158" s="988">
        <f t="shared" si="147"/>
        <v>0</v>
      </c>
      <c r="HB158" s="387"/>
      <c r="HC158" s="387"/>
      <c r="HD158" s="387"/>
      <c r="HE158" s="387"/>
      <c r="HF158" s="387"/>
      <c r="HG158" s="387"/>
      <c r="HH158" s="387"/>
      <c r="HI158" s="387"/>
      <c r="HJ158" s="387"/>
      <c r="HK158" s="387"/>
      <c r="HL158" s="387"/>
      <c r="HM158" s="988"/>
    </row>
    <row r="159" spans="1:221">
      <c r="A159" s="326" t="s">
        <v>900</v>
      </c>
      <c r="B159" s="326" t="s">
        <v>901</v>
      </c>
      <c r="C159" s="326" t="s">
        <v>3213</v>
      </c>
      <c r="D159" s="1036" t="s">
        <v>2154</v>
      </c>
      <c r="E159" s="387" t="s">
        <v>2154</v>
      </c>
      <c r="F159" s="387" t="s">
        <v>2154</v>
      </c>
      <c r="G159" s="387" t="s">
        <v>2154</v>
      </c>
      <c r="H159" s="387" t="s">
        <v>2154</v>
      </c>
      <c r="I159" s="387" t="s">
        <v>2154</v>
      </c>
      <c r="J159" s="387" t="s">
        <v>2154</v>
      </c>
      <c r="K159" s="387" t="s">
        <v>2154</v>
      </c>
      <c r="L159" s="387" t="s">
        <v>2154</v>
      </c>
      <c r="M159" s="387" t="s">
        <v>2154</v>
      </c>
      <c r="N159" s="387" t="s">
        <v>2154</v>
      </c>
      <c r="O159" s="988" t="s">
        <v>2154</v>
      </c>
      <c r="P159" s="387" t="s">
        <v>2154</v>
      </c>
      <c r="Q159" s="387" t="s">
        <v>2154</v>
      </c>
      <c r="R159" s="387" t="s">
        <v>2154</v>
      </c>
      <c r="S159" s="387" t="s">
        <v>2154</v>
      </c>
      <c r="T159" s="387" t="s">
        <v>2154</v>
      </c>
      <c r="U159" s="387" t="s">
        <v>2154</v>
      </c>
      <c r="V159" s="387" t="s">
        <v>2154</v>
      </c>
      <c r="W159" s="387" t="s">
        <v>2154</v>
      </c>
      <c r="X159" s="387" t="s">
        <v>2154</v>
      </c>
      <c r="Y159" s="387" t="s">
        <v>2154</v>
      </c>
      <c r="Z159" s="387" t="s">
        <v>2154</v>
      </c>
      <c r="AA159" s="988" t="s">
        <v>2154</v>
      </c>
      <c r="AB159" s="387"/>
      <c r="AC159" s="387"/>
      <c r="AD159" s="387"/>
      <c r="AE159" s="387"/>
      <c r="AF159" s="387"/>
      <c r="AG159" s="387"/>
      <c r="AH159" s="387"/>
      <c r="AI159" s="387"/>
      <c r="AJ159" s="387"/>
      <c r="AK159" s="387"/>
      <c r="AL159" s="387"/>
      <c r="AM159" s="988"/>
      <c r="AN159" s="387"/>
      <c r="AO159" s="387"/>
      <c r="AP159" s="387"/>
      <c r="AQ159" s="387"/>
      <c r="AR159" s="387"/>
      <c r="AS159" s="387"/>
      <c r="AT159" s="387"/>
      <c r="AU159" s="387"/>
      <c r="AV159" s="387"/>
      <c r="AW159" s="387"/>
      <c r="AX159" s="387"/>
      <c r="AY159" s="988"/>
      <c r="AZ159" s="387"/>
      <c r="BA159" s="387"/>
      <c r="BB159" s="387"/>
      <c r="BC159" s="387"/>
      <c r="BD159" s="387"/>
      <c r="BE159" s="387"/>
      <c r="BF159" s="387"/>
      <c r="BG159" s="387"/>
      <c r="BH159" s="387"/>
      <c r="BI159" s="387"/>
      <c r="BJ159" s="387"/>
      <c r="BK159" s="988"/>
      <c r="BL159" s="387"/>
      <c r="BM159" s="387"/>
      <c r="BN159" s="387"/>
      <c r="BO159" s="387"/>
      <c r="BP159" s="387"/>
      <c r="BQ159" s="387"/>
      <c r="BR159" s="387"/>
      <c r="BS159" s="387"/>
      <c r="BT159" s="387"/>
      <c r="BU159" s="387"/>
      <c r="BV159" s="387"/>
      <c r="BW159" s="988"/>
      <c r="BX159" s="387"/>
      <c r="BY159" s="387"/>
      <c r="BZ159" s="387"/>
      <c r="CA159" s="387"/>
      <c r="CB159" s="387"/>
      <c r="CC159" s="387"/>
      <c r="CD159" s="387"/>
      <c r="CE159" s="387"/>
      <c r="CF159" s="387"/>
      <c r="CG159" s="387"/>
      <c r="CH159" s="387"/>
      <c r="CI159" s="988"/>
      <c r="CJ159" s="387"/>
      <c r="CK159" s="387"/>
      <c r="CL159" s="387"/>
      <c r="CM159" s="387"/>
      <c r="CN159" s="387"/>
      <c r="CO159" s="387"/>
      <c r="CP159" s="387"/>
      <c r="CQ159" s="387"/>
      <c r="CR159" s="387"/>
      <c r="CS159" s="387"/>
      <c r="CT159" s="387"/>
      <c r="CU159" s="988"/>
      <c r="CV159" s="387"/>
      <c r="CW159" s="387"/>
      <c r="CX159" s="387"/>
      <c r="CY159" s="387"/>
      <c r="CZ159" s="387"/>
      <c r="DA159" s="387"/>
      <c r="DB159" s="387"/>
      <c r="DC159" s="387"/>
      <c r="DD159" s="387"/>
      <c r="DE159" s="387"/>
      <c r="DF159" s="387"/>
      <c r="DG159" s="988"/>
      <c r="DH159" s="387"/>
      <c r="DI159" s="387"/>
      <c r="DJ159" s="387"/>
      <c r="DK159" s="387"/>
      <c r="DL159" s="387"/>
      <c r="DM159" s="387"/>
      <c r="DN159" s="387"/>
      <c r="DO159" s="387"/>
      <c r="DP159" s="387"/>
      <c r="DQ159" s="387"/>
      <c r="DR159" s="387"/>
      <c r="DS159" s="988"/>
      <c r="DT159" s="387" t="s">
        <v>2154</v>
      </c>
      <c r="DU159" s="387" t="s">
        <v>2154</v>
      </c>
      <c r="DV159" s="387" t="s">
        <v>2154</v>
      </c>
      <c r="DW159" s="387" t="s">
        <v>2154</v>
      </c>
      <c r="DX159" s="387" t="s">
        <v>2154</v>
      </c>
      <c r="DY159" s="387" t="s">
        <v>2154</v>
      </c>
      <c r="DZ159" s="387" t="s">
        <v>2154</v>
      </c>
      <c r="EA159" s="387" t="s">
        <v>2154</v>
      </c>
      <c r="EB159" s="387" t="s">
        <v>2154</v>
      </c>
      <c r="EC159" s="387" t="s">
        <v>2154</v>
      </c>
      <c r="ED159" s="387" t="s">
        <v>2154</v>
      </c>
      <c r="EE159" s="988" t="s">
        <v>2154</v>
      </c>
      <c r="EF159" s="387"/>
      <c r="EG159" s="387"/>
      <c r="EH159" s="387"/>
      <c r="EI159" s="387"/>
      <c r="EJ159" s="387"/>
      <c r="EK159" s="387"/>
      <c r="EL159" s="387"/>
      <c r="EM159" s="387"/>
      <c r="EN159" s="387"/>
      <c r="EO159" s="387"/>
      <c r="EP159" s="387"/>
      <c r="EQ159" s="988"/>
      <c r="ER159" s="387"/>
      <c r="ES159" s="387"/>
      <c r="ET159" s="387"/>
      <c r="EU159" s="387"/>
      <c r="EV159" s="387"/>
      <c r="EW159" s="387"/>
      <c r="EX159" s="387"/>
      <c r="EY159" s="387"/>
      <c r="EZ159" s="387"/>
      <c r="FA159" s="387"/>
      <c r="FB159" s="387"/>
      <c r="FC159" s="988"/>
      <c r="FD159" s="387"/>
      <c r="FE159" s="387"/>
      <c r="FF159" s="387"/>
      <c r="FG159" s="387"/>
      <c r="FH159" s="387"/>
      <c r="FI159" s="387"/>
      <c r="FJ159" s="387"/>
      <c r="FK159" s="387"/>
      <c r="FL159" s="387"/>
      <c r="FM159" s="387"/>
      <c r="FN159" s="387"/>
      <c r="FO159" s="988"/>
      <c r="FP159" s="387"/>
      <c r="FQ159" s="387"/>
      <c r="FR159" s="387"/>
      <c r="FS159" s="387"/>
      <c r="FT159" s="387"/>
      <c r="FU159" s="387"/>
      <c r="FV159" s="387"/>
      <c r="FW159" s="387"/>
      <c r="FX159" s="387"/>
      <c r="FY159" s="387"/>
      <c r="FZ159" s="387"/>
      <c r="GA159" s="988"/>
      <c r="GB159" s="109"/>
      <c r="GC159" s="2214">
        <f t="shared" si="146"/>
        <v>0</v>
      </c>
      <c r="GD159" s="387">
        <f t="shared" si="146"/>
        <v>0</v>
      </c>
      <c r="GE159" s="387">
        <f t="shared" si="146"/>
        <v>0</v>
      </c>
      <c r="GF159" s="387">
        <f t="shared" si="146"/>
        <v>0</v>
      </c>
      <c r="GG159" s="387">
        <f t="shared" si="146"/>
        <v>0</v>
      </c>
      <c r="GH159" s="387">
        <f t="shared" si="146"/>
        <v>0</v>
      </c>
      <c r="GI159" s="387">
        <f t="shared" si="146"/>
        <v>0</v>
      </c>
      <c r="GJ159" s="387">
        <f t="shared" si="146"/>
        <v>0</v>
      </c>
      <c r="GK159" s="387">
        <f t="shared" si="146"/>
        <v>0</v>
      </c>
      <c r="GL159" s="387">
        <f t="shared" si="146"/>
        <v>0</v>
      </c>
      <c r="GM159" s="387">
        <f t="shared" si="146"/>
        <v>0</v>
      </c>
      <c r="GN159" s="988">
        <f t="shared" si="146"/>
        <v>0</v>
      </c>
      <c r="GO159" s="1036">
        <f t="shared" si="147"/>
        <v>0</v>
      </c>
      <c r="GP159" s="387">
        <f t="shared" si="147"/>
        <v>0</v>
      </c>
      <c r="GQ159" s="387">
        <f t="shared" si="147"/>
        <v>0</v>
      </c>
      <c r="GR159" s="387">
        <f t="shared" si="147"/>
        <v>0</v>
      </c>
      <c r="GS159" s="387">
        <f t="shared" si="147"/>
        <v>0</v>
      </c>
      <c r="GT159" s="387">
        <f t="shared" si="147"/>
        <v>0</v>
      </c>
      <c r="GU159" s="387">
        <f t="shared" si="147"/>
        <v>0</v>
      </c>
      <c r="GV159" s="387">
        <f t="shared" si="147"/>
        <v>0</v>
      </c>
      <c r="GW159" s="387">
        <f t="shared" si="147"/>
        <v>0</v>
      </c>
      <c r="GX159" s="387">
        <f t="shared" si="147"/>
        <v>0</v>
      </c>
      <c r="GY159" s="387">
        <f t="shared" si="147"/>
        <v>0</v>
      </c>
      <c r="GZ159" s="988">
        <f t="shared" si="147"/>
        <v>0</v>
      </c>
      <c r="HB159" s="387"/>
      <c r="HC159" s="387"/>
      <c r="HD159" s="387"/>
      <c r="HE159" s="387"/>
      <c r="HF159" s="387"/>
      <c r="HG159" s="387"/>
      <c r="HH159" s="387"/>
      <c r="HI159" s="387"/>
      <c r="HJ159" s="387"/>
      <c r="HK159" s="387"/>
      <c r="HL159" s="387"/>
      <c r="HM159" s="988"/>
    </row>
    <row r="160" spans="1:221">
      <c r="A160" s="326" t="s">
        <v>900</v>
      </c>
      <c r="B160" s="326" t="s">
        <v>901</v>
      </c>
      <c r="C160" s="326" t="s">
        <v>2151</v>
      </c>
      <c r="D160" s="1036">
        <v>667</v>
      </c>
      <c r="E160" s="387">
        <v>646</v>
      </c>
      <c r="F160" s="387">
        <v>592</v>
      </c>
      <c r="G160" s="387">
        <v>655</v>
      </c>
      <c r="H160" s="387">
        <v>688</v>
      </c>
      <c r="I160" s="387">
        <v>705</v>
      </c>
      <c r="J160" s="387">
        <v>626</v>
      </c>
      <c r="K160" s="387">
        <v>653</v>
      </c>
      <c r="L160" s="387">
        <v>630</v>
      </c>
      <c r="M160" s="387">
        <v>585</v>
      </c>
      <c r="N160" s="387">
        <v>649</v>
      </c>
      <c r="O160" s="988">
        <v>589</v>
      </c>
      <c r="P160" s="387">
        <v>220.28571428571428</v>
      </c>
      <c r="Q160" s="387">
        <v>193.85714285714286</v>
      </c>
      <c r="R160" s="387">
        <v>174.14285714285714</v>
      </c>
      <c r="S160" s="387">
        <v>206.42857142857139</v>
      </c>
      <c r="T160" s="387">
        <v>222.42857142857144</v>
      </c>
      <c r="U160" s="387">
        <v>223.28571428571431</v>
      </c>
      <c r="V160" s="387">
        <v>221.57142857142856</v>
      </c>
      <c r="W160" s="387">
        <v>229.42857142857139</v>
      </c>
      <c r="X160" s="387">
        <v>253.14285714285717</v>
      </c>
      <c r="Y160" s="387">
        <v>230.57142857142856</v>
      </c>
      <c r="Z160" s="387">
        <v>245.57142857142856</v>
      </c>
      <c r="AA160" s="988">
        <v>242.42857142857144</v>
      </c>
      <c r="AB160" s="387"/>
      <c r="AC160" s="387"/>
      <c r="AD160" s="387"/>
      <c r="AE160" s="387"/>
      <c r="AF160" s="387"/>
      <c r="AG160" s="387"/>
      <c r="AH160" s="387"/>
      <c r="AI160" s="387"/>
      <c r="AJ160" s="387"/>
      <c r="AK160" s="387"/>
      <c r="AL160" s="387"/>
      <c r="AM160" s="988"/>
      <c r="AN160" s="387"/>
      <c r="AO160" s="387"/>
      <c r="AP160" s="387"/>
      <c r="AQ160" s="387"/>
      <c r="AR160" s="387"/>
      <c r="AS160" s="387"/>
      <c r="AT160" s="387"/>
      <c r="AU160" s="387"/>
      <c r="AV160" s="387"/>
      <c r="AW160" s="387"/>
      <c r="AX160" s="387"/>
      <c r="AY160" s="988"/>
      <c r="AZ160" s="387"/>
      <c r="BA160" s="387"/>
      <c r="BB160" s="387"/>
      <c r="BC160" s="387"/>
      <c r="BD160" s="387"/>
      <c r="BE160" s="387"/>
      <c r="BF160" s="387"/>
      <c r="BG160" s="387"/>
      <c r="BH160" s="387"/>
      <c r="BI160" s="387"/>
      <c r="BJ160" s="387"/>
      <c r="BK160" s="988"/>
      <c r="BL160" s="387"/>
      <c r="BM160" s="387"/>
      <c r="BN160" s="387"/>
      <c r="BO160" s="387"/>
      <c r="BP160" s="387"/>
      <c r="BQ160" s="387"/>
      <c r="BR160" s="387"/>
      <c r="BS160" s="387"/>
      <c r="BT160" s="387"/>
      <c r="BU160" s="387"/>
      <c r="BV160" s="387"/>
      <c r="BW160" s="988"/>
      <c r="BX160" s="387"/>
      <c r="BY160" s="387"/>
      <c r="BZ160" s="387"/>
      <c r="CA160" s="387"/>
      <c r="CB160" s="387"/>
      <c r="CC160" s="387"/>
      <c r="CD160" s="387"/>
      <c r="CE160" s="387"/>
      <c r="CF160" s="387"/>
      <c r="CG160" s="387"/>
      <c r="CH160" s="387"/>
      <c r="CI160" s="988"/>
      <c r="CJ160" s="387"/>
      <c r="CK160" s="387"/>
      <c r="CL160" s="387"/>
      <c r="CM160" s="387"/>
      <c r="CN160" s="387"/>
      <c r="CO160" s="387"/>
      <c r="CP160" s="387"/>
      <c r="CQ160" s="387"/>
      <c r="CR160" s="387"/>
      <c r="CS160" s="387"/>
      <c r="CT160" s="387"/>
      <c r="CU160" s="988"/>
      <c r="CV160" s="387"/>
      <c r="CW160" s="387"/>
      <c r="CX160" s="387"/>
      <c r="CY160" s="387"/>
      <c r="CZ160" s="387"/>
      <c r="DA160" s="387"/>
      <c r="DB160" s="387"/>
      <c r="DC160" s="387"/>
      <c r="DD160" s="387"/>
      <c r="DE160" s="387"/>
      <c r="DF160" s="387"/>
      <c r="DG160" s="988"/>
      <c r="DH160" s="387"/>
      <c r="DI160" s="387"/>
      <c r="DJ160" s="387"/>
      <c r="DK160" s="387"/>
      <c r="DL160" s="387"/>
      <c r="DM160" s="387"/>
      <c r="DN160" s="387"/>
      <c r="DO160" s="387"/>
      <c r="DP160" s="387"/>
      <c r="DQ160" s="387"/>
      <c r="DR160" s="387"/>
      <c r="DS160" s="988"/>
      <c r="DT160" s="387">
        <v>127</v>
      </c>
      <c r="DU160" s="387">
        <v>121</v>
      </c>
      <c r="DV160" s="387">
        <v>108</v>
      </c>
      <c r="DW160" s="387">
        <v>98</v>
      </c>
      <c r="DX160" s="387">
        <v>84</v>
      </c>
      <c r="DY160" s="387">
        <v>92</v>
      </c>
      <c r="DZ160" s="387">
        <v>73</v>
      </c>
      <c r="EA160" s="387">
        <v>93</v>
      </c>
      <c r="EB160" s="387">
        <v>84</v>
      </c>
      <c r="EC160" s="387">
        <v>85</v>
      </c>
      <c r="ED160" s="387">
        <v>88</v>
      </c>
      <c r="EE160" s="988">
        <v>80</v>
      </c>
      <c r="EF160" s="387"/>
      <c r="EG160" s="387"/>
      <c r="EH160" s="387"/>
      <c r="EI160" s="387"/>
      <c r="EJ160" s="387"/>
      <c r="EK160" s="387"/>
      <c r="EL160" s="387"/>
      <c r="EM160" s="387"/>
      <c r="EN160" s="387"/>
      <c r="EO160" s="387"/>
      <c r="EP160" s="387"/>
      <c r="EQ160" s="988"/>
      <c r="ER160" s="387"/>
      <c r="ES160" s="387"/>
      <c r="ET160" s="387"/>
      <c r="EU160" s="387"/>
      <c r="EV160" s="387"/>
      <c r="EW160" s="387"/>
      <c r="EX160" s="387"/>
      <c r="EY160" s="387"/>
      <c r="EZ160" s="387"/>
      <c r="FA160" s="387"/>
      <c r="FB160" s="387"/>
      <c r="FC160" s="988"/>
      <c r="FD160" s="387"/>
      <c r="FE160" s="387"/>
      <c r="FF160" s="387"/>
      <c r="FG160" s="387"/>
      <c r="FH160" s="387"/>
      <c r="FI160" s="387"/>
      <c r="FJ160" s="387"/>
      <c r="FK160" s="387"/>
      <c r="FL160" s="387"/>
      <c r="FM160" s="387"/>
      <c r="FN160" s="387"/>
      <c r="FO160" s="988"/>
      <c r="FP160" s="387"/>
      <c r="FQ160" s="387"/>
      <c r="FR160" s="387"/>
      <c r="FS160" s="387"/>
      <c r="FT160" s="387"/>
      <c r="FU160" s="387"/>
      <c r="FV160" s="387"/>
      <c r="FW160" s="387"/>
      <c r="FX160" s="387"/>
      <c r="FY160" s="387"/>
      <c r="FZ160" s="387"/>
      <c r="GA160" s="988"/>
      <c r="GB160" s="109"/>
      <c r="GC160" s="2214">
        <f t="shared" si="146"/>
        <v>1014.2857142857142</v>
      </c>
      <c r="GD160" s="387">
        <f t="shared" si="146"/>
        <v>960.85714285714289</v>
      </c>
      <c r="GE160" s="387">
        <f t="shared" si="146"/>
        <v>874.14285714285711</v>
      </c>
      <c r="GF160" s="387">
        <f t="shared" si="146"/>
        <v>959.42857142857133</v>
      </c>
      <c r="GG160" s="387">
        <f t="shared" si="146"/>
        <v>994.42857142857144</v>
      </c>
      <c r="GH160" s="387">
        <f t="shared" si="146"/>
        <v>1020.2857142857143</v>
      </c>
      <c r="GI160" s="387">
        <f t="shared" si="146"/>
        <v>920.57142857142856</v>
      </c>
      <c r="GJ160" s="387">
        <f t="shared" si="146"/>
        <v>975.42857142857133</v>
      </c>
      <c r="GK160" s="387">
        <f t="shared" si="146"/>
        <v>967.14285714285711</v>
      </c>
      <c r="GL160" s="387">
        <f t="shared" si="146"/>
        <v>900.57142857142856</v>
      </c>
      <c r="GM160" s="387">
        <f t="shared" si="146"/>
        <v>982.57142857142856</v>
      </c>
      <c r="GN160" s="988">
        <f t="shared" si="146"/>
        <v>911.42857142857144</v>
      </c>
      <c r="GO160" s="1036">
        <f t="shared" si="147"/>
        <v>127</v>
      </c>
      <c r="GP160" s="387">
        <f t="shared" si="147"/>
        <v>121</v>
      </c>
      <c r="GQ160" s="387">
        <f t="shared" si="147"/>
        <v>108</v>
      </c>
      <c r="GR160" s="387">
        <f t="shared" si="147"/>
        <v>98</v>
      </c>
      <c r="GS160" s="387">
        <f t="shared" si="147"/>
        <v>84</v>
      </c>
      <c r="GT160" s="387">
        <f t="shared" si="147"/>
        <v>92</v>
      </c>
      <c r="GU160" s="387">
        <f t="shared" si="147"/>
        <v>73</v>
      </c>
      <c r="GV160" s="387">
        <f t="shared" si="147"/>
        <v>93</v>
      </c>
      <c r="GW160" s="387">
        <f t="shared" si="147"/>
        <v>84</v>
      </c>
      <c r="GX160" s="387">
        <f t="shared" si="147"/>
        <v>85</v>
      </c>
      <c r="GY160" s="387">
        <f t="shared" si="147"/>
        <v>88</v>
      </c>
      <c r="GZ160" s="988">
        <f t="shared" si="147"/>
        <v>80</v>
      </c>
      <c r="HB160" s="387"/>
      <c r="HC160" s="387"/>
      <c r="HD160" s="387"/>
      <c r="HE160" s="387"/>
      <c r="HF160" s="387"/>
      <c r="HG160" s="387"/>
      <c r="HH160" s="387"/>
      <c r="HI160" s="387"/>
      <c r="HJ160" s="387"/>
      <c r="HK160" s="387"/>
      <c r="HL160" s="387"/>
      <c r="HM160" s="988"/>
    </row>
    <row r="161" spans="1:221">
      <c r="A161" s="326" t="s">
        <v>900</v>
      </c>
      <c r="B161" s="326" t="s">
        <v>901</v>
      </c>
      <c r="C161" s="326" t="s">
        <v>3214</v>
      </c>
      <c r="D161" s="1036">
        <v>2236900</v>
      </c>
      <c r="E161" s="387">
        <v>2048200</v>
      </c>
      <c r="F161" s="387">
        <v>1740300</v>
      </c>
      <c r="G161" s="387">
        <v>1682700</v>
      </c>
      <c r="H161" s="387">
        <v>1910550</v>
      </c>
      <c r="I161" s="387">
        <v>2085400</v>
      </c>
      <c r="J161" s="387">
        <v>1711100</v>
      </c>
      <c r="K161" s="387">
        <v>2096200</v>
      </c>
      <c r="L161" s="387">
        <v>2368300</v>
      </c>
      <c r="M161" s="387">
        <v>2472900</v>
      </c>
      <c r="N161" s="387">
        <v>2008700</v>
      </c>
      <c r="O161" s="988">
        <v>1746400</v>
      </c>
      <c r="P161" s="387" t="s">
        <v>2154</v>
      </c>
      <c r="Q161" s="387" t="s">
        <v>2154</v>
      </c>
      <c r="R161" s="387" t="s">
        <v>2154</v>
      </c>
      <c r="S161" s="387" t="s">
        <v>2154</v>
      </c>
      <c r="T161" s="387" t="s">
        <v>2154</v>
      </c>
      <c r="U161" s="387" t="s">
        <v>2154</v>
      </c>
      <c r="V161" s="387" t="s">
        <v>2154</v>
      </c>
      <c r="W161" s="387" t="s">
        <v>2154</v>
      </c>
      <c r="X161" s="387" t="s">
        <v>2154</v>
      </c>
      <c r="Y161" s="387" t="s">
        <v>2154</v>
      </c>
      <c r="Z161" s="387" t="s">
        <v>2154</v>
      </c>
      <c r="AA161" s="988" t="s">
        <v>2154</v>
      </c>
      <c r="AB161" s="387"/>
      <c r="AC161" s="387"/>
      <c r="AD161" s="387"/>
      <c r="AE161" s="387"/>
      <c r="AF161" s="387"/>
      <c r="AG161" s="387"/>
      <c r="AH161" s="387"/>
      <c r="AI161" s="387"/>
      <c r="AJ161" s="387"/>
      <c r="AK161" s="387"/>
      <c r="AL161" s="387"/>
      <c r="AM161" s="988"/>
      <c r="AN161" s="387"/>
      <c r="AO161" s="387"/>
      <c r="AP161" s="387"/>
      <c r="AQ161" s="387"/>
      <c r="AR161" s="387"/>
      <c r="AS161" s="387"/>
      <c r="AT161" s="387"/>
      <c r="AU161" s="387"/>
      <c r="AV161" s="387"/>
      <c r="AW161" s="387"/>
      <c r="AX161" s="387"/>
      <c r="AY161" s="988"/>
      <c r="AZ161" s="387"/>
      <c r="BA161" s="387"/>
      <c r="BB161" s="387"/>
      <c r="BC161" s="387"/>
      <c r="BD161" s="387"/>
      <c r="BE161" s="387"/>
      <c r="BF161" s="387"/>
      <c r="BG161" s="387"/>
      <c r="BH161" s="387"/>
      <c r="BI161" s="387"/>
      <c r="BJ161" s="387"/>
      <c r="BK161" s="988"/>
      <c r="BL161" s="387"/>
      <c r="BM161" s="387"/>
      <c r="BN161" s="387"/>
      <c r="BO161" s="387"/>
      <c r="BP161" s="387"/>
      <c r="BQ161" s="387"/>
      <c r="BR161" s="387"/>
      <c r="BS161" s="387"/>
      <c r="BT161" s="387"/>
      <c r="BU161" s="387"/>
      <c r="BV161" s="387"/>
      <c r="BW161" s="988"/>
      <c r="BX161" s="387"/>
      <c r="BY161" s="387"/>
      <c r="BZ161" s="387"/>
      <c r="CA161" s="387"/>
      <c r="CB161" s="387"/>
      <c r="CC161" s="387"/>
      <c r="CD161" s="387"/>
      <c r="CE161" s="387"/>
      <c r="CF161" s="387"/>
      <c r="CG161" s="387"/>
      <c r="CH161" s="387"/>
      <c r="CI161" s="988"/>
      <c r="CJ161" s="387"/>
      <c r="CK161" s="387"/>
      <c r="CL161" s="387"/>
      <c r="CM161" s="387"/>
      <c r="CN161" s="387"/>
      <c r="CO161" s="387"/>
      <c r="CP161" s="387"/>
      <c r="CQ161" s="387"/>
      <c r="CR161" s="387"/>
      <c r="CS161" s="387"/>
      <c r="CT161" s="387"/>
      <c r="CU161" s="988"/>
      <c r="CV161" s="387"/>
      <c r="CW161" s="387"/>
      <c r="CX161" s="387"/>
      <c r="CY161" s="387"/>
      <c r="CZ161" s="387"/>
      <c r="DA161" s="387"/>
      <c r="DB161" s="387"/>
      <c r="DC161" s="387"/>
      <c r="DD161" s="387"/>
      <c r="DE161" s="387"/>
      <c r="DF161" s="387"/>
      <c r="DG161" s="988"/>
      <c r="DH161" s="387"/>
      <c r="DI161" s="387"/>
      <c r="DJ161" s="387"/>
      <c r="DK161" s="387"/>
      <c r="DL161" s="387"/>
      <c r="DM161" s="387"/>
      <c r="DN161" s="387"/>
      <c r="DO161" s="387"/>
      <c r="DP161" s="387"/>
      <c r="DQ161" s="387"/>
      <c r="DR161" s="387"/>
      <c r="DS161" s="988"/>
      <c r="DT161" s="387" t="s">
        <v>2154</v>
      </c>
      <c r="DU161" s="387" t="s">
        <v>2154</v>
      </c>
      <c r="DV161" s="387" t="s">
        <v>2154</v>
      </c>
      <c r="DW161" s="387" t="s">
        <v>2154</v>
      </c>
      <c r="DX161" s="387" t="s">
        <v>2154</v>
      </c>
      <c r="DY161" s="387" t="s">
        <v>2154</v>
      </c>
      <c r="DZ161" s="387" t="s">
        <v>2154</v>
      </c>
      <c r="EA161" s="387" t="s">
        <v>2154</v>
      </c>
      <c r="EB161" s="387" t="s">
        <v>2154</v>
      </c>
      <c r="EC161" s="387" t="s">
        <v>2154</v>
      </c>
      <c r="ED161" s="387" t="s">
        <v>2154</v>
      </c>
      <c r="EE161" s="988" t="s">
        <v>2154</v>
      </c>
      <c r="EF161" s="387"/>
      <c r="EG161" s="387"/>
      <c r="EH161" s="387"/>
      <c r="EI161" s="387"/>
      <c r="EJ161" s="387"/>
      <c r="EK161" s="387"/>
      <c r="EL161" s="387"/>
      <c r="EM161" s="387"/>
      <c r="EN161" s="387"/>
      <c r="EO161" s="387"/>
      <c r="EP161" s="387"/>
      <c r="EQ161" s="988"/>
      <c r="ER161" s="387"/>
      <c r="ES161" s="387"/>
      <c r="ET161" s="387"/>
      <c r="EU161" s="387"/>
      <c r="EV161" s="387"/>
      <c r="EW161" s="387"/>
      <c r="EX161" s="387"/>
      <c r="EY161" s="387"/>
      <c r="EZ161" s="387"/>
      <c r="FA161" s="387"/>
      <c r="FB161" s="387"/>
      <c r="FC161" s="988"/>
      <c r="FD161" s="387"/>
      <c r="FE161" s="387"/>
      <c r="FF161" s="387"/>
      <c r="FG161" s="387"/>
      <c r="FH161" s="387"/>
      <c r="FI161" s="387"/>
      <c r="FJ161" s="387"/>
      <c r="FK161" s="387"/>
      <c r="FL161" s="387"/>
      <c r="FM161" s="387"/>
      <c r="FN161" s="387"/>
      <c r="FO161" s="988"/>
      <c r="FP161" s="387"/>
      <c r="FQ161" s="387"/>
      <c r="FR161" s="387"/>
      <c r="FS161" s="387"/>
      <c r="FT161" s="387"/>
      <c r="FU161" s="387"/>
      <c r="FV161" s="387"/>
      <c r="FW161" s="387"/>
      <c r="FX161" s="387"/>
      <c r="FY161" s="387"/>
      <c r="FZ161" s="387"/>
      <c r="GA161" s="988"/>
      <c r="GB161" s="109"/>
      <c r="GC161" s="2214">
        <f t="shared" si="146"/>
        <v>2236900</v>
      </c>
      <c r="GD161" s="387">
        <f t="shared" si="146"/>
        <v>2048200</v>
      </c>
      <c r="GE161" s="387">
        <f t="shared" si="146"/>
        <v>1740300</v>
      </c>
      <c r="GF161" s="387">
        <f t="shared" si="146"/>
        <v>1682700</v>
      </c>
      <c r="GG161" s="387">
        <f t="shared" si="146"/>
        <v>1910550</v>
      </c>
      <c r="GH161" s="387">
        <f t="shared" si="146"/>
        <v>2085400</v>
      </c>
      <c r="GI161" s="387">
        <f t="shared" si="146"/>
        <v>1711100</v>
      </c>
      <c r="GJ161" s="387">
        <f t="shared" si="146"/>
        <v>2096200</v>
      </c>
      <c r="GK161" s="387">
        <f t="shared" si="146"/>
        <v>2368300</v>
      </c>
      <c r="GL161" s="387">
        <f t="shared" si="146"/>
        <v>2472900</v>
      </c>
      <c r="GM161" s="387">
        <f t="shared" si="146"/>
        <v>2008700</v>
      </c>
      <c r="GN161" s="988">
        <f t="shared" si="146"/>
        <v>1746400</v>
      </c>
      <c r="GO161" s="1036">
        <f t="shared" si="147"/>
        <v>0</v>
      </c>
      <c r="GP161" s="387">
        <f t="shared" si="147"/>
        <v>0</v>
      </c>
      <c r="GQ161" s="387">
        <f t="shared" si="147"/>
        <v>0</v>
      </c>
      <c r="GR161" s="387">
        <f t="shared" si="147"/>
        <v>0</v>
      </c>
      <c r="GS161" s="387">
        <f t="shared" si="147"/>
        <v>0</v>
      </c>
      <c r="GT161" s="387">
        <f t="shared" si="147"/>
        <v>0</v>
      </c>
      <c r="GU161" s="387">
        <f t="shared" si="147"/>
        <v>0</v>
      </c>
      <c r="GV161" s="387">
        <f t="shared" si="147"/>
        <v>0</v>
      </c>
      <c r="GW161" s="387">
        <f t="shared" si="147"/>
        <v>0</v>
      </c>
      <c r="GX161" s="387">
        <f t="shared" si="147"/>
        <v>0</v>
      </c>
      <c r="GY161" s="387">
        <f t="shared" si="147"/>
        <v>0</v>
      </c>
      <c r="GZ161" s="988">
        <f t="shared" si="147"/>
        <v>0</v>
      </c>
      <c r="HB161" s="387"/>
      <c r="HC161" s="387"/>
      <c r="HD161" s="387"/>
      <c r="HE161" s="387"/>
      <c r="HF161" s="387"/>
      <c r="HG161" s="387"/>
      <c r="HH161" s="387"/>
      <c r="HI161" s="387"/>
      <c r="HJ161" s="387"/>
      <c r="HK161" s="387"/>
      <c r="HL161" s="387"/>
      <c r="HM161" s="988"/>
    </row>
    <row r="162" spans="1:221">
      <c r="A162" s="326" t="s">
        <v>900</v>
      </c>
      <c r="B162" s="326" t="s">
        <v>901</v>
      </c>
      <c r="C162" s="326" t="s">
        <v>3215</v>
      </c>
      <c r="D162" s="1036" t="s">
        <v>2154</v>
      </c>
      <c r="E162" s="387" t="s">
        <v>2154</v>
      </c>
      <c r="F162" s="387" t="s">
        <v>2154</v>
      </c>
      <c r="G162" s="387" t="s">
        <v>2154</v>
      </c>
      <c r="H162" s="387" t="s">
        <v>2154</v>
      </c>
      <c r="I162" s="387" t="s">
        <v>2154</v>
      </c>
      <c r="J162" s="387" t="s">
        <v>2154</v>
      </c>
      <c r="K162" s="387" t="s">
        <v>2154</v>
      </c>
      <c r="L162" s="387" t="s">
        <v>2154</v>
      </c>
      <c r="M162" s="387" t="s">
        <v>2154</v>
      </c>
      <c r="N162" s="387" t="s">
        <v>2154</v>
      </c>
      <c r="O162" s="988" t="s">
        <v>2154</v>
      </c>
      <c r="P162" s="387">
        <v>307000</v>
      </c>
      <c r="Q162" s="387">
        <v>275000</v>
      </c>
      <c r="R162" s="387">
        <v>265000</v>
      </c>
      <c r="S162" s="387">
        <v>300000</v>
      </c>
      <c r="T162" s="387">
        <v>430000</v>
      </c>
      <c r="U162" s="387">
        <v>385000</v>
      </c>
      <c r="V162" s="387">
        <v>420000</v>
      </c>
      <c r="W162" s="387">
        <v>514000</v>
      </c>
      <c r="X162" s="387">
        <v>516000</v>
      </c>
      <c r="Y162" s="387">
        <v>441000</v>
      </c>
      <c r="Z162" s="387">
        <v>404600</v>
      </c>
      <c r="AA162" s="988">
        <v>437400</v>
      </c>
      <c r="AB162" s="387"/>
      <c r="AC162" s="387"/>
      <c r="AD162" s="387"/>
      <c r="AE162" s="387"/>
      <c r="AF162" s="387"/>
      <c r="AG162" s="387"/>
      <c r="AH162" s="387"/>
      <c r="AI162" s="387"/>
      <c r="AJ162" s="387"/>
      <c r="AK162" s="387"/>
      <c r="AL162" s="387"/>
      <c r="AM162" s="988"/>
      <c r="AN162" s="387"/>
      <c r="AO162" s="387"/>
      <c r="AP162" s="387"/>
      <c r="AQ162" s="387"/>
      <c r="AR162" s="387"/>
      <c r="AS162" s="387"/>
      <c r="AT162" s="387"/>
      <c r="AU162" s="387"/>
      <c r="AV162" s="387"/>
      <c r="AW162" s="387"/>
      <c r="AX162" s="387"/>
      <c r="AY162" s="988"/>
      <c r="AZ162" s="387"/>
      <c r="BA162" s="387"/>
      <c r="BB162" s="387"/>
      <c r="BC162" s="387"/>
      <c r="BD162" s="387"/>
      <c r="BE162" s="387"/>
      <c r="BF162" s="387"/>
      <c r="BG162" s="387"/>
      <c r="BH162" s="387"/>
      <c r="BI162" s="387"/>
      <c r="BJ162" s="387"/>
      <c r="BK162" s="988"/>
      <c r="BL162" s="387"/>
      <c r="BM162" s="387"/>
      <c r="BN162" s="387"/>
      <c r="BO162" s="387"/>
      <c r="BP162" s="387"/>
      <c r="BQ162" s="387"/>
      <c r="BR162" s="387"/>
      <c r="BS162" s="387"/>
      <c r="BT162" s="387"/>
      <c r="BU162" s="387"/>
      <c r="BV162" s="387"/>
      <c r="BW162" s="988"/>
      <c r="BX162" s="387"/>
      <c r="BY162" s="387"/>
      <c r="BZ162" s="387"/>
      <c r="CA162" s="387"/>
      <c r="CB162" s="387"/>
      <c r="CC162" s="387"/>
      <c r="CD162" s="387"/>
      <c r="CE162" s="387"/>
      <c r="CF162" s="387"/>
      <c r="CG162" s="387"/>
      <c r="CH162" s="387"/>
      <c r="CI162" s="988"/>
      <c r="CJ162" s="387"/>
      <c r="CK162" s="387"/>
      <c r="CL162" s="387"/>
      <c r="CM162" s="387"/>
      <c r="CN162" s="387"/>
      <c r="CO162" s="387"/>
      <c r="CP162" s="387"/>
      <c r="CQ162" s="387"/>
      <c r="CR162" s="387"/>
      <c r="CS162" s="387"/>
      <c r="CT162" s="387"/>
      <c r="CU162" s="988"/>
      <c r="CV162" s="387"/>
      <c r="CW162" s="387"/>
      <c r="CX162" s="387"/>
      <c r="CY162" s="387"/>
      <c r="CZ162" s="387"/>
      <c r="DA162" s="387"/>
      <c r="DB162" s="387"/>
      <c r="DC162" s="387"/>
      <c r="DD162" s="387"/>
      <c r="DE162" s="387"/>
      <c r="DF162" s="387"/>
      <c r="DG162" s="988"/>
      <c r="DH162" s="387"/>
      <c r="DI162" s="387"/>
      <c r="DJ162" s="387"/>
      <c r="DK162" s="387"/>
      <c r="DL162" s="387"/>
      <c r="DM162" s="387"/>
      <c r="DN162" s="387"/>
      <c r="DO162" s="387"/>
      <c r="DP162" s="387"/>
      <c r="DQ162" s="387"/>
      <c r="DR162" s="387"/>
      <c r="DS162" s="988"/>
      <c r="DT162" s="387">
        <v>461000</v>
      </c>
      <c r="DU162" s="387">
        <v>432000</v>
      </c>
      <c r="DV162" s="387">
        <v>454000</v>
      </c>
      <c r="DW162" s="387">
        <v>403000</v>
      </c>
      <c r="DX162" s="387">
        <v>397000</v>
      </c>
      <c r="DY162" s="387">
        <v>364000</v>
      </c>
      <c r="DZ162" s="387">
        <v>152000</v>
      </c>
      <c r="EA162" s="387">
        <v>343000</v>
      </c>
      <c r="EB162" s="387">
        <v>382000</v>
      </c>
      <c r="EC162" s="387">
        <v>397000</v>
      </c>
      <c r="ED162" s="387">
        <v>208000</v>
      </c>
      <c r="EE162" s="988">
        <v>380000</v>
      </c>
      <c r="EF162" s="387"/>
      <c r="EG162" s="387"/>
      <c r="EH162" s="387"/>
      <c r="EI162" s="387"/>
      <c r="EJ162" s="387"/>
      <c r="EK162" s="387"/>
      <c r="EL162" s="387"/>
      <c r="EM162" s="387"/>
      <c r="EN162" s="387"/>
      <c r="EO162" s="387"/>
      <c r="EP162" s="387"/>
      <c r="EQ162" s="988"/>
      <c r="ER162" s="387"/>
      <c r="ES162" s="387"/>
      <c r="ET162" s="387"/>
      <c r="EU162" s="387"/>
      <c r="EV162" s="387"/>
      <c r="EW162" s="387"/>
      <c r="EX162" s="387"/>
      <c r="EY162" s="387"/>
      <c r="EZ162" s="387"/>
      <c r="FA162" s="387"/>
      <c r="FB162" s="387"/>
      <c r="FC162" s="988"/>
      <c r="FD162" s="387"/>
      <c r="FE162" s="387"/>
      <c r="FF162" s="387"/>
      <c r="FG162" s="387"/>
      <c r="FH162" s="387"/>
      <c r="FI162" s="387"/>
      <c r="FJ162" s="387"/>
      <c r="FK162" s="387"/>
      <c r="FL162" s="387"/>
      <c r="FM162" s="387"/>
      <c r="FN162" s="387"/>
      <c r="FO162" s="988"/>
      <c r="FP162" s="387"/>
      <c r="FQ162" s="387"/>
      <c r="FR162" s="387"/>
      <c r="FS162" s="387"/>
      <c r="FT162" s="387"/>
      <c r="FU162" s="387"/>
      <c r="FV162" s="387"/>
      <c r="FW162" s="387"/>
      <c r="FX162" s="387"/>
      <c r="FY162" s="387"/>
      <c r="FZ162" s="387"/>
      <c r="GA162" s="988"/>
      <c r="GB162" s="109"/>
      <c r="GC162" s="2214">
        <f t="shared" si="146"/>
        <v>768000</v>
      </c>
      <c r="GD162" s="387">
        <f t="shared" si="146"/>
        <v>707000</v>
      </c>
      <c r="GE162" s="387">
        <f t="shared" si="146"/>
        <v>719000</v>
      </c>
      <c r="GF162" s="387">
        <f t="shared" si="146"/>
        <v>703000</v>
      </c>
      <c r="GG162" s="387">
        <f t="shared" si="146"/>
        <v>827000</v>
      </c>
      <c r="GH162" s="387">
        <f t="shared" si="146"/>
        <v>749000</v>
      </c>
      <c r="GI162" s="387">
        <f t="shared" si="146"/>
        <v>572000</v>
      </c>
      <c r="GJ162" s="387">
        <f t="shared" si="146"/>
        <v>857000</v>
      </c>
      <c r="GK162" s="387">
        <f t="shared" si="146"/>
        <v>898000</v>
      </c>
      <c r="GL162" s="387">
        <f t="shared" si="146"/>
        <v>838000</v>
      </c>
      <c r="GM162" s="387">
        <f t="shared" si="146"/>
        <v>612600</v>
      </c>
      <c r="GN162" s="988">
        <f t="shared" si="146"/>
        <v>817400</v>
      </c>
      <c r="GO162" s="1036">
        <f t="shared" si="147"/>
        <v>461000</v>
      </c>
      <c r="GP162" s="387">
        <f t="shared" si="147"/>
        <v>432000</v>
      </c>
      <c r="GQ162" s="387">
        <f t="shared" si="147"/>
        <v>454000</v>
      </c>
      <c r="GR162" s="387">
        <f t="shared" si="147"/>
        <v>403000</v>
      </c>
      <c r="GS162" s="387">
        <f t="shared" si="147"/>
        <v>397000</v>
      </c>
      <c r="GT162" s="387">
        <f t="shared" si="147"/>
        <v>364000</v>
      </c>
      <c r="GU162" s="387">
        <f t="shared" si="147"/>
        <v>152000</v>
      </c>
      <c r="GV162" s="387">
        <f t="shared" si="147"/>
        <v>343000</v>
      </c>
      <c r="GW162" s="387">
        <f t="shared" si="147"/>
        <v>382000</v>
      </c>
      <c r="GX162" s="387">
        <f t="shared" si="147"/>
        <v>397000</v>
      </c>
      <c r="GY162" s="387">
        <f t="shared" si="147"/>
        <v>208000</v>
      </c>
      <c r="GZ162" s="988">
        <f t="shared" si="147"/>
        <v>380000</v>
      </c>
      <c r="HB162" s="387"/>
      <c r="HC162" s="387"/>
      <c r="HD162" s="387"/>
      <c r="HE162" s="387"/>
      <c r="HF162" s="387"/>
      <c r="HG162" s="387"/>
      <c r="HH162" s="387"/>
      <c r="HI162" s="387"/>
      <c r="HJ162" s="387"/>
      <c r="HK162" s="387"/>
      <c r="HL162" s="387"/>
      <c r="HM162" s="988"/>
    </row>
    <row r="163" spans="1:221">
      <c r="A163" s="326" t="s">
        <v>900</v>
      </c>
      <c r="B163" s="326" t="s">
        <v>901</v>
      </c>
      <c r="C163" s="326" t="s">
        <v>3216</v>
      </c>
      <c r="D163" s="1036" t="s">
        <v>2154</v>
      </c>
      <c r="E163" s="387" t="s">
        <v>2154</v>
      </c>
      <c r="F163" s="387" t="s">
        <v>2154</v>
      </c>
      <c r="G163" s="387" t="s">
        <v>2154</v>
      </c>
      <c r="H163" s="387" t="s">
        <v>2154</v>
      </c>
      <c r="I163" s="387" t="s">
        <v>2154</v>
      </c>
      <c r="J163" s="387" t="s">
        <v>2154</v>
      </c>
      <c r="K163" s="387" t="s">
        <v>2154</v>
      </c>
      <c r="L163" s="387" t="s">
        <v>2154</v>
      </c>
      <c r="M163" s="387" t="s">
        <v>2154</v>
      </c>
      <c r="N163" s="387" t="s">
        <v>2154</v>
      </c>
      <c r="O163" s="988" t="s">
        <v>2154</v>
      </c>
      <c r="P163" s="387" t="s">
        <v>2154</v>
      </c>
      <c r="Q163" s="387" t="s">
        <v>2154</v>
      </c>
      <c r="R163" s="387" t="s">
        <v>2154</v>
      </c>
      <c r="S163" s="387" t="s">
        <v>2154</v>
      </c>
      <c r="T163" s="387" t="s">
        <v>2154</v>
      </c>
      <c r="U163" s="387" t="s">
        <v>2154</v>
      </c>
      <c r="V163" s="387" t="s">
        <v>2154</v>
      </c>
      <c r="W163" s="387" t="s">
        <v>2154</v>
      </c>
      <c r="X163" s="387" t="s">
        <v>2154</v>
      </c>
      <c r="Y163" s="387" t="s">
        <v>2154</v>
      </c>
      <c r="Z163" s="387" t="s">
        <v>2154</v>
      </c>
      <c r="AA163" s="988" t="s">
        <v>2154</v>
      </c>
      <c r="AB163" s="387"/>
      <c r="AC163" s="387"/>
      <c r="AD163" s="387"/>
      <c r="AE163" s="387"/>
      <c r="AF163" s="387"/>
      <c r="AG163" s="387"/>
      <c r="AH163" s="387"/>
      <c r="AI163" s="387"/>
      <c r="AJ163" s="387"/>
      <c r="AK163" s="387"/>
      <c r="AL163" s="387"/>
      <c r="AM163" s="988"/>
      <c r="AN163" s="387"/>
      <c r="AO163" s="387"/>
      <c r="AP163" s="387"/>
      <c r="AQ163" s="387"/>
      <c r="AR163" s="387"/>
      <c r="AS163" s="387"/>
      <c r="AT163" s="387"/>
      <c r="AU163" s="387"/>
      <c r="AV163" s="387"/>
      <c r="AW163" s="387"/>
      <c r="AX163" s="387"/>
      <c r="AY163" s="988"/>
      <c r="AZ163" s="387"/>
      <c r="BA163" s="387"/>
      <c r="BB163" s="387"/>
      <c r="BC163" s="387"/>
      <c r="BD163" s="387"/>
      <c r="BE163" s="387"/>
      <c r="BF163" s="387"/>
      <c r="BG163" s="387"/>
      <c r="BH163" s="387"/>
      <c r="BI163" s="387"/>
      <c r="BJ163" s="387"/>
      <c r="BK163" s="988"/>
      <c r="BL163" s="387"/>
      <c r="BM163" s="387"/>
      <c r="BN163" s="387"/>
      <c r="BO163" s="387"/>
      <c r="BP163" s="387"/>
      <c r="BQ163" s="387"/>
      <c r="BR163" s="387"/>
      <c r="BS163" s="387"/>
      <c r="BT163" s="387"/>
      <c r="BU163" s="387"/>
      <c r="BV163" s="387"/>
      <c r="BW163" s="988"/>
      <c r="BX163" s="387"/>
      <c r="BY163" s="387"/>
      <c r="BZ163" s="387"/>
      <c r="CA163" s="387"/>
      <c r="CB163" s="387"/>
      <c r="CC163" s="387"/>
      <c r="CD163" s="387"/>
      <c r="CE163" s="387"/>
      <c r="CF163" s="387"/>
      <c r="CG163" s="387"/>
      <c r="CH163" s="387"/>
      <c r="CI163" s="988"/>
      <c r="CJ163" s="387"/>
      <c r="CK163" s="387"/>
      <c r="CL163" s="387"/>
      <c r="CM163" s="387"/>
      <c r="CN163" s="387"/>
      <c r="CO163" s="387"/>
      <c r="CP163" s="387"/>
      <c r="CQ163" s="387"/>
      <c r="CR163" s="387"/>
      <c r="CS163" s="387"/>
      <c r="CT163" s="387"/>
      <c r="CU163" s="988"/>
      <c r="CV163" s="387"/>
      <c r="CW163" s="387"/>
      <c r="CX163" s="387"/>
      <c r="CY163" s="387"/>
      <c r="CZ163" s="387"/>
      <c r="DA163" s="387"/>
      <c r="DB163" s="387"/>
      <c r="DC163" s="387"/>
      <c r="DD163" s="387"/>
      <c r="DE163" s="387"/>
      <c r="DF163" s="387"/>
      <c r="DG163" s="988"/>
      <c r="DH163" s="387"/>
      <c r="DI163" s="387"/>
      <c r="DJ163" s="387"/>
      <c r="DK163" s="387"/>
      <c r="DL163" s="387"/>
      <c r="DM163" s="387"/>
      <c r="DN163" s="387"/>
      <c r="DO163" s="387"/>
      <c r="DP163" s="387"/>
      <c r="DQ163" s="387"/>
      <c r="DR163" s="387"/>
      <c r="DS163" s="988"/>
      <c r="DT163" s="387" t="s">
        <v>2154</v>
      </c>
      <c r="DU163" s="387" t="s">
        <v>2154</v>
      </c>
      <c r="DV163" s="387" t="s">
        <v>2154</v>
      </c>
      <c r="DW163" s="387" t="s">
        <v>2154</v>
      </c>
      <c r="DX163" s="387" t="s">
        <v>2154</v>
      </c>
      <c r="DY163" s="387" t="s">
        <v>2154</v>
      </c>
      <c r="DZ163" s="387" t="s">
        <v>2154</v>
      </c>
      <c r="EA163" s="387" t="s">
        <v>2154</v>
      </c>
      <c r="EB163" s="387" t="s">
        <v>2154</v>
      </c>
      <c r="EC163" s="387" t="s">
        <v>2154</v>
      </c>
      <c r="ED163" s="387" t="s">
        <v>2154</v>
      </c>
      <c r="EE163" s="988" t="s">
        <v>2154</v>
      </c>
      <c r="EF163" s="387"/>
      <c r="EG163" s="387"/>
      <c r="EH163" s="387"/>
      <c r="EI163" s="387"/>
      <c r="EJ163" s="387"/>
      <c r="EK163" s="387"/>
      <c r="EL163" s="387"/>
      <c r="EM163" s="387"/>
      <c r="EN163" s="387"/>
      <c r="EO163" s="387"/>
      <c r="EP163" s="387"/>
      <c r="EQ163" s="988"/>
      <c r="ER163" s="387"/>
      <c r="ES163" s="387"/>
      <c r="ET163" s="387"/>
      <c r="EU163" s="387"/>
      <c r="EV163" s="387"/>
      <c r="EW163" s="387"/>
      <c r="EX163" s="387"/>
      <c r="EY163" s="387"/>
      <c r="EZ163" s="387"/>
      <c r="FA163" s="387"/>
      <c r="FB163" s="387"/>
      <c r="FC163" s="988"/>
      <c r="FD163" s="387"/>
      <c r="FE163" s="387"/>
      <c r="FF163" s="387"/>
      <c r="FG163" s="387"/>
      <c r="FH163" s="387"/>
      <c r="FI163" s="387"/>
      <c r="FJ163" s="387"/>
      <c r="FK163" s="387"/>
      <c r="FL163" s="387"/>
      <c r="FM163" s="387"/>
      <c r="FN163" s="387"/>
      <c r="FO163" s="988"/>
      <c r="FP163" s="387"/>
      <c r="FQ163" s="387"/>
      <c r="FR163" s="387"/>
      <c r="FS163" s="387"/>
      <c r="FT163" s="387"/>
      <c r="FU163" s="387"/>
      <c r="FV163" s="387"/>
      <c r="FW163" s="387"/>
      <c r="FX163" s="387"/>
      <c r="FY163" s="387"/>
      <c r="FZ163" s="387"/>
      <c r="GA163" s="988"/>
      <c r="GB163" s="109"/>
      <c r="GC163" s="2214">
        <f t="shared" si="146"/>
        <v>0</v>
      </c>
      <c r="GD163" s="387">
        <f t="shared" si="146"/>
        <v>0</v>
      </c>
      <c r="GE163" s="387">
        <f t="shared" si="146"/>
        <v>0</v>
      </c>
      <c r="GF163" s="387">
        <f t="shared" si="146"/>
        <v>0</v>
      </c>
      <c r="GG163" s="387">
        <f t="shared" si="146"/>
        <v>0</v>
      </c>
      <c r="GH163" s="387">
        <f t="shared" si="146"/>
        <v>0</v>
      </c>
      <c r="GI163" s="387">
        <f t="shared" si="146"/>
        <v>0</v>
      </c>
      <c r="GJ163" s="387">
        <f t="shared" si="146"/>
        <v>0</v>
      </c>
      <c r="GK163" s="387">
        <f t="shared" si="146"/>
        <v>0</v>
      </c>
      <c r="GL163" s="387">
        <f t="shared" si="146"/>
        <v>0</v>
      </c>
      <c r="GM163" s="387">
        <f t="shared" si="146"/>
        <v>0</v>
      </c>
      <c r="GN163" s="988">
        <f t="shared" si="146"/>
        <v>0</v>
      </c>
      <c r="GO163" s="1036">
        <f t="shared" si="147"/>
        <v>0</v>
      </c>
      <c r="GP163" s="387">
        <f t="shared" si="147"/>
        <v>0</v>
      </c>
      <c r="GQ163" s="387">
        <f t="shared" si="147"/>
        <v>0</v>
      </c>
      <c r="GR163" s="387">
        <f t="shared" si="147"/>
        <v>0</v>
      </c>
      <c r="GS163" s="387">
        <f t="shared" si="147"/>
        <v>0</v>
      </c>
      <c r="GT163" s="387">
        <f t="shared" si="147"/>
        <v>0</v>
      </c>
      <c r="GU163" s="387">
        <f t="shared" si="147"/>
        <v>0</v>
      </c>
      <c r="GV163" s="387">
        <f t="shared" si="147"/>
        <v>0</v>
      </c>
      <c r="GW163" s="387">
        <f t="shared" si="147"/>
        <v>0</v>
      </c>
      <c r="GX163" s="387">
        <f t="shared" si="147"/>
        <v>0</v>
      </c>
      <c r="GY163" s="387">
        <f t="shared" si="147"/>
        <v>0</v>
      </c>
      <c r="GZ163" s="988">
        <f t="shared" si="147"/>
        <v>0</v>
      </c>
      <c r="HB163" s="387"/>
      <c r="HC163" s="387"/>
      <c r="HD163" s="387"/>
      <c r="HE163" s="387"/>
      <c r="HF163" s="387"/>
      <c r="HG163" s="387"/>
      <c r="HH163" s="387"/>
      <c r="HI163" s="387"/>
      <c r="HJ163" s="387"/>
      <c r="HK163" s="387"/>
      <c r="HL163" s="387"/>
      <c r="HM163" s="988"/>
    </row>
    <row r="164" spans="1:221">
      <c r="A164" s="326" t="s">
        <v>900</v>
      </c>
      <c r="B164" s="326" t="s">
        <v>901</v>
      </c>
      <c r="C164" s="326" t="s">
        <v>3394</v>
      </c>
      <c r="D164" s="1036">
        <v>2236900</v>
      </c>
      <c r="E164" s="387">
        <v>2048200</v>
      </c>
      <c r="F164" s="387">
        <v>1740300</v>
      </c>
      <c r="G164" s="387">
        <v>1682700</v>
      </c>
      <c r="H164" s="387">
        <v>1910550</v>
      </c>
      <c r="I164" s="387">
        <v>2085400</v>
      </c>
      <c r="J164" s="387">
        <v>1711100</v>
      </c>
      <c r="K164" s="387">
        <v>2096200</v>
      </c>
      <c r="L164" s="387">
        <v>2368300</v>
      </c>
      <c r="M164" s="387">
        <v>2472900</v>
      </c>
      <c r="N164" s="387">
        <v>2008700</v>
      </c>
      <c r="O164" s="988">
        <v>1746400</v>
      </c>
      <c r="P164" s="387">
        <v>307000</v>
      </c>
      <c r="Q164" s="387">
        <v>275000</v>
      </c>
      <c r="R164" s="387">
        <v>265000</v>
      </c>
      <c r="S164" s="387">
        <v>300000</v>
      </c>
      <c r="T164" s="387">
        <v>430000</v>
      </c>
      <c r="U164" s="387">
        <v>385000</v>
      </c>
      <c r="V164" s="387">
        <v>420000</v>
      </c>
      <c r="W164" s="387">
        <v>514000</v>
      </c>
      <c r="X164" s="387">
        <v>516000</v>
      </c>
      <c r="Y164" s="387">
        <v>441000</v>
      </c>
      <c r="Z164" s="387">
        <v>404600</v>
      </c>
      <c r="AA164" s="988">
        <v>437400</v>
      </c>
      <c r="AB164" s="387"/>
      <c r="AC164" s="387"/>
      <c r="AD164" s="387"/>
      <c r="AE164" s="387"/>
      <c r="AF164" s="387"/>
      <c r="AG164" s="387"/>
      <c r="AH164" s="387"/>
      <c r="AI164" s="387"/>
      <c r="AJ164" s="387"/>
      <c r="AK164" s="387"/>
      <c r="AL164" s="387"/>
      <c r="AM164" s="988"/>
      <c r="AN164" s="387"/>
      <c r="AO164" s="387"/>
      <c r="AP164" s="387"/>
      <c r="AQ164" s="387"/>
      <c r="AR164" s="387"/>
      <c r="AS164" s="387"/>
      <c r="AT164" s="387"/>
      <c r="AU164" s="387"/>
      <c r="AV164" s="387"/>
      <c r="AW164" s="387"/>
      <c r="AX164" s="387"/>
      <c r="AY164" s="988"/>
      <c r="AZ164" s="387"/>
      <c r="BA164" s="387"/>
      <c r="BB164" s="387"/>
      <c r="BC164" s="387"/>
      <c r="BD164" s="387"/>
      <c r="BE164" s="387"/>
      <c r="BF164" s="387"/>
      <c r="BG164" s="387"/>
      <c r="BH164" s="387"/>
      <c r="BI164" s="387"/>
      <c r="BJ164" s="387"/>
      <c r="BK164" s="988"/>
      <c r="BL164" s="387"/>
      <c r="BM164" s="387"/>
      <c r="BN164" s="387"/>
      <c r="BO164" s="387"/>
      <c r="BP164" s="387"/>
      <c r="BQ164" s="387"/>
      <c r="BR164" s="387"/>
      <c r="BS164" s="387"/>
      <c r="BT164" s="387"/>
      <c r="BU164" s="387"/>
      <c r="BV164" s="387"/>
      <c r="BW164" s="988"/>
      <c r="BX164" s="387"/>
      <c r="BY164" s="387"/>
      <c r="BZ164" s="387"/>
      <c r="CA164" s="387"/>
      <c r="CB164" s="387"/>
      <c r="CC164" s="387"/>
      <c r="CD164" s="387"/>
      <c r="CE164" s="387"/>
      <c r="CF164" s="387"/>
      <c r="CG164" s="387"/>
      <c r="CH164" s="387"/>
      <c r="CI164" s="988"/>
      <c r="CJ164" s="387"/>
      <c r="CK164" s="387"/>
      <c r="CL164" s="387"/>
      <c r="CM164" s="387"/>
      <c r="CN164" s="387"/>
      <c r="CO164" s="387"/>
      <c r="CP164" s="387"/>
      <c r="CQ164" s="387"/>
      <c r="CR164" s="387"/>
      <c r="CS164" s="387"/>
      <c r="CT164" s="387"/>
      <c r="CU164" s="988"/>
      <c r="CV164" s="387"/>
      <c r="CW164" s="387"/>
      <c r="CX164" s="387"/>
      <c r="CY164" s="387"/>
      <c r="CZ164" s="387"/>
      <c r="DA164" s="387"/>
      <c r="DB164" s="387"/>
      <c r="DC164" s="387"/>
      <c r="DD164" s="387"/>
      <c r="DE164" s="387"/>
      <c r="DF164" s="387"/>
      <c r="DG164" s="988"/>
      <c r="DH164" s="387"/>
      <c r="DI164" s="387"/>
      <c r="DJ164" s="387"/>
      <c r="DK164" s="387"/>
      <c r="DL164" s="387"/>
      <c r="DM164" s="387"/>
      <c r="DN164" s="387"/>
      <c r="DO164" s="387"/>
      <c r="DP164" s="387"/>
      <c r="DQ164" s="387"/>
      <c r="DR164" s="387"/>
      <c r="DS164" s="988"/>
      <c r="DT164" s="387">
        <v>461000</v>
      </c>
      <c r="DU164" s="387">
        <v>432000</v>
      </c>
      <c r="DV164" s="387">
        <v>454000</v>
      </c>
      <c r="DW164" s="387">
        <v>403000</v>
      </c>
      <c r="DX164" s="387">
        <v>397000</v>
      </c>
      <c r="DY164" s="387">
        <v>364000</v>
      </c>
      <c r="DZ164" s="387">
        <v>152000</v>
      </c>
      <c r="EA164" s="387">
        <v>343000</v>
      </c>
      <c r="EB164" s="387">
        <v>382000</v>
      </c>
      <c r="EC164" s="387">
        <v>397000</v>
      </c>
      <c r="ED164" s="387">
        <v>208000</v>
      </c>
      <c r="EE164" s="988">
        <v>380000</v>
      </c>
      <c r="EF164" s="387"/>
      <c r="EG164" s="387"/>
      <c r="EH164" s="387"/>
      <c r="EI164" s="387"/>
      <c r="EJ164" s="387"/>
      <c r="EK164" s="387"/>
      <c r="EL164" s="387"/>
      <c r="EM164" s="387"/>
      <c r="EN164" s="387"/>
      <c r="EO164" s="387"/>
      <c r="EP164" s="387"/>
      <c r="EQ164" s="988"/>
      <c r="ER164" s="387"/>
      <c r="ES164" s="387"/>
      <c r="ET164" s="387"/>
      <c r="EU164" s="387"/>
      <c r="EV164" s="387"/>
      <c r="EW164" s="387"/>
      <c r="EX164" s="387"/>
      <c r="EY164" s="387"/>
      <c r="EZ164" s="387"/>
      <c r="FA164" s="387"/>
      <c r="FB164" s="387"/>
      <c r="FC164" s="988"/>
      <c r="FD164" s="387"/>
      <c r="FE164" s="387"/>
      <c r="FF164" s="387"/>
      <c r="FG164" s="387"/>
      <c r="FH164" s="387"/>
      <c r="FI164" s="387"/>
      <c r="FJ164" s="387"/>
      <c r="FK164" s="387"/>
      <c r="FL164" s="387"/>
      <c r="FM164" s="387"/>
      <c r="FN164" s="387"/>
      <c r="FO164" s="988"/>
      <c r="FP164" s="387"/>
      <c r="FQ164" s="387"/>
      <c r="FR164" s="387"/>
      <c r="FS164" s="387"/>
      <c r="FT164" s="387"/>
      <c r="FU164" s="387"/>
      <c r="FV164" s="387"/>
      <c r="FW164" s="387"/>
      <c r="FX164" s="387"/>
      <c r="FY164" s="387"/>
      <c r="FZ164" s="387"/>
      <c r="GA164" s="988"/>
      <c r="GB164" s="109"/>
      <c r="GC164" s="2214">
        <f t="shared" si="146"/>
        <v>3004900</v>
      </c>
      <c r="GD164" s="387">
        <f t="shared" si="146"/>
        <v>2755200</v>
      </c>
      <c r="GE164" s="387">
        <f t="shared" si="146"/>
        <v>2459300</v>
      </c>
      <c r="GF164" s="387">
        <f t="shared" si="146"/>
        <v>2385700</v>
      </c>
      <c r="GG164" s="387">
        <f t="shared" si="146"/>
        <v>2737550</v>
      </c>
      <c r="GH164" s="387">
        <f t="shared" si="146"/>
        <v>2834400</v>
      </c>
      <c r="GI164" s="387">
        <f t="shared" si="146"/>
        <v>2283100</v>
      </c>
      <c r="GJ164" s="387">
        <f t="shared" si="146"/>
        <v>2953200</v>
      </c>
      <c r="GK164" s="387">
        <f t="shared" si="146"/>
        <v>3266300</v>
      </c>
      <c r="GL164" s="387">
        <f t="shared" si="146"/>
        <v>3310900</v>
      </c>
      <c r="GM164" s="387">
        <f t="shared" si="146"/>
        <v>2621300</v>
      </c>
      <c r="GN164" s="988">
        <f t="shared" si="146"/>
        <v>2563800</v>
      </c>
      <c r="GO164" s="1036">
        <f t="shared" si="147"/>
        <v>461000</v>
      </c>
      <c r="GP164" s="387">
        <f t="shared" si="147"/>
        <v>432000</v>
      </c>
      <c r="GQ164" s="387">
        <f t="shared" si="147"/>
        <v>454000</v>
      </c>
      <c r="GR164" s="387">
        <f t="shared" si="147"/>
        <v>403000</v>
      </c>
      <c r="GS164" s="387">
        <f t="shared" si="147"/>
        <v>397000</v>
      </c>
      <c r="GT164" s="387">
        <f t="shared" si="147"/>
        <v>364000</v>
      </c>
      <c r="GU164" s="387">
        <f t="shared" si="147"/>
        <v>152000</v>
      </c>
      <c r="GV164" s="387">
        <f t="shared" si="147"/>
        <v>343000</v>
      </c>
      <c r="GW164" s="387">
        <f t="shared" si="147"/>
        <v>382000</v>
      </c>
      <c r="GX164" s="387">
        <f t="shared" si="147"/>
        <v>397000</v>
      </c>
      <c r="GY164" s="387">
        <f t="shared" si="147"/>
        <v>208000</v>
      </c>
      <c r="GZ164" s="988">
        <f t="shared" si="147"/>
        <v>380000</v>
      </c>
      <c r="HB164" s="387"/>
      <c r="HC164" s="387"/>
      <c r="HD164" s="387"/>
      <c r="HE164" s="387"/>
      <c r="HF164" s="387"/>
      <c r="HG164" s="387"/>
      <c r="HH164" s="387"/>
      <c r="HI164" s="387"/>
      <c r="HJ164" s="387"/>
      <c r="HK164" s="387"/>
      <c r="HL164" s="387"/>
      <c r="HM164" s="988"/>
    </row>
    <row r="165" spans="1:221">
      <c r="A165" s="326" t="s">
        <v>900</v>
      </c>
      <c r="B165" s="326" t="s">
        <v>901</v>
      </c>
      <c r="C165" s="326" t="s">
        <v>3395</v>
      </c>
      <c r="D165" s="1036" t="s">
        <v>2154</v>
      </c>
      <c r="E165" s="387" t="s">
        <v>2154</v>
      </c>
      <c r="F165" s="387" t="s">
        <v>2154</v>
      </c>
      <c r="G165" s="387" t="s">
        <v>2154</v>
      </c>
      <c r="H165" s="387" t="s">
        <v>2154</v>
      </c>
      <c r="I165" s="387" t="s">
        <v>2154</v>
      </c>
      <c r="J165" s="387" t="s">
        <v>2154</v>
      </c>
      <c r="K165" s="387" t="s">
        <v>2154</v>
      </c>
      <c r="L165" s="387" t="s">
        <v>2154</v>
      </c>
      <c r="M165" s="387" t="s">
        <v>2154</v>
      </c>
      <c r="N165" s="387" t="s">
        <v>2154</v>
      </c>
      <c r="O165" s="988" t="s">
        <v>2154</v>
      </c>
      <c r="P165" s="387" t="s">
        <v>2154</v>
      </c>
      <c r="Q165" s="387" t="s">
        <v>2154</v>
      </c>
      <c r="R165" s="387" t="s">
        <v>2154</v>
      </c>
      <c r="S165" s="387" t="s">
        <v>2154</v>
      </c>
      <c r="T165" s="387" t="s">
        <v>2154</v>
      </c>
      <c r="U165" s="387" t="s">
        <v>2154</v>
      </c>
      <c r="V165" s="387" t="s">
        <v>2154</v>
      </c>
      <c r="W165" s="387" t="s">
        <v>2154</v>
      </c>
      <c r="X165" s="387" t="s">
        <v>2154</v>
      </c>
      <c r="Y165" s="387" t="s">
        <v>2154</v>
      </c>
      <c r="Z165" s="387" t="s">
        <v>2154</v>
      </c>
      <c r="AA165" s="988" t="s">
        <v>2154</v>
      </c>
      <c r="AB165" s="387"/>
      <c r="AC165" s="387"/>
      <c r="AD165" s="387"/>
      <c r="AE165" s="387"/>
      <c r="AF165" s="387"/>
      <c r="AG165" s="387"/>
      <c r="AH165" s="387"/>
      <c r="AI165" s="387"/>
      <c r="AJ165" s="387"/>
      <c r="AK165" s="387"/>
      <c r="AL165" s="387"/>
      <c r="AM165" s="988"/>
      <c r="AN165" s="387"/>
      <c r="AO165" s="387"/>
      <c r="AP165" s="387"/>
      <c r="AQ165" s="387"/>
      <c r="AR165" s="387"/>
      <c r="AS165" s="387"/>
      <c r="AT165" s="387"/>
      <c r="AU165" s="387"/>
      <c r="AV165" s="387"/>
      <c r="AW165" s="387"/>
      <c r="AX165" s="387"/>
      <c r="AY165" s="988"/>
      <c r="AZ165" s="387"/>
      <c r="BA165" s="387"/>
      <c r="BB165" s="387"/>
      <c r="BC165" s="387"/>
      <c r="BD165" s="387"/>
      <c r="BE165" s="387"/>
      <c r="BF165" s="387"/>
      <c r="BG165" s="387"/>
      <c r="BH165" s="387"/>
      <c r="BI165" s="387"/>
      <c r="BJ165" s="387"/>
      <c r="BK165" s="988"/>
      <c r="BL165" s="387"/>
      <c r="BM165" s="387"/>
      <c r="BN165" s="387"/>
      <c r="BO165" s="387"/>
      <c r="BP165" s="387"/>
      <c r="BQ165" s="387"/>
      <c r="BR165" s="387"/>
      <c r="BS165" s="387"/>
      <c r="BT165" s="387"/>
      <c r="BU165" s="387"/>
      <c r="BV165" s="387"/>
      <c r="BW165" s="988"/>
      <c r="BX165" s="387"/>
      <c r="BY165" s="387"/>
      <c r="BZ165" s="387"/>
      <c r="CA165" s="387"/>
      <c r="CB165" s="387"/>
      <c r="CC165" s="387"/>
      <c r="CD165" s="387"/>
      <c r="CE165" s="387"/>
      <c r="CF165" s="387"/>
      <c r="CG165" s="387"/>
      <c r="CH165" s="387"/>
      <c r="CI165" s="988"/>
      <c r="CJ165" s="387"/>
      <c r="CK165" s="387"/>
      <c r="CL165" s="387"/>
      <c r="CM165" s="387"/>
      <c r="CN165" s="387"/>
      <c r="CO165" s="387"/>
      <c r="CP165" s="387"/>
      <c r="CQ165" s="387"/>
      <c r="CR165" s="387"/>
      <c r="CS165" s="387"/>
      <c r="CT165" s="387"/>
      <c r="CU165" s="988"/>
      <c r="CV165" s="387"/>
      <c r="CW165" s="387"/>
      <c r="CX165" s="387"/>
      <c r="CY165" s="387"/>
      <c r="CZ165" s="387"/>
      <c r="DA165" s="387"/>
      <c r="DB165" s="387"/>
      <c r="DC165" s="387"/>
      <c r="DD165" s="387"/>
      <c r="DE165" s="387"/>
      <c r="DF165" s="387"/>
      <c r="DG165" s="988"/>
      <c r="DH165" s="387"/>
      <c r="DI165" s="387"/>
      <c r="DJ165" s="387"/>
      <c r="DK165" s="387"/>
      <c r="DL165" s="387"/>
      <c r="DM165" s="387"/>
      <c r="DN165" s="387"/>
      <c r="DO165" s="387"/>
      <c r="DP165" s="387"/>
      <c r="DQ165" s="387"/>
      <c r="DR165" s="387"/>
      <c r="DS165" s="988"/>
      <c r="DT165" s="387" t="s">
        <v>2154</v>
      </c>
      <c r="DU165" s="387" t="s">
        <v>2154</v>
      </c>
      <c r="DV165" s="387" t="s">
        <v>2154</v>
      </c>
      <c r="DW165" s="387" t="s">
        <v>2154</v>
      </c>
      <c r="DX165" s="387" t="s">
        <v>2154</v>
      </c>
      <c r="DY165" s="387" t="s">
        <v>2154</v>
      </c>
      <c r="DZ165" s="387" t="s">
        <v>2154</v>
      </c>
      <c r="EA165" s="387" t="s">
        <v>2154</v>
      </c>
      <c r="EB165" s="387" t="s">
        <v>2154</v>
      </c>
      <c r="EC165" s="387" t="s">
        <v>2154</v>
      </c>
      <c r="ED165" s="387" t="s">
        <v>2154</v>
      </c>
      <c r="EE165" s="988" t="s">
        <v>2154</v>
      </c>
      <c r="EF165" s="387"/>
      <c r="EG165" s="387"/>
      <c r="EH165" s="387"/>
      <c r="EI165" s="387"/>
      <c r="EJ165" s="387"/>
      <c r="EK165" s="387"/>
      <c r="EL165" s="387"/>
      <c r="EM165" s="387"/>
      <c r="EN165" s="387"/>
      <c r="EO165" s="387"/>
      <c r="EP165" s="387"/>
      <c r="EQ165" s="988"/>
      <c r="ER165" s="387"/>
      <c r="ES165" s="387"/>
      <c r="ET165" s="387"/>
      <c r="EU165" s="387"/>
      <c r="EV165" s="387"/>
      <c r="EW165" s="387"/>
      <c r="EX165" s="387"/>
      <c r="EY165" s="387"/>
      <c r="EZ165" s="387"/>
      <c r="FA165" s="387"/>
      <c r="FB165" s="387"/>
      <c r="FC165" s="988"/>
      <c r="FD165" s="387"/>
      <c r="FE165" s="387"/>
      <c r="FF165" s="387"/>
      <c r="FG165" s="387"/>
      <c r="FH165" s="387"/>
      <c r="FI165" s="387"/>
      <c r="FJ165" s="387"/>
      <c r="FK165" s="387"/>
      <c r="FL165" s="387"/>
      <c r="FM165" s="387"/>
      <c r="FN165" s="387"/>
      <c r="FO165" s="988"/>
      <c r="FP165" s="387"/>
      <c r="FQ165" s="387"/>
      <c r="FR165" s="387"/>
      <c r="FS165" s="387"/>
      <c r="FT165" s="387"/>
      <c r="FU165" s="387"/>
      <c r="FV165" s="387"/>
      <c r="FW165" s="387"/>
      <c r="FX165" s="387"/>
      <c r="FY165" s="387"/>
      <c r="FZ165" s="387"/>
      <c r="GA165" s="988"/>
      <c r="GB165" s="109"/>
      <c r="GC165" s="2214">
        <f t="shared" ref="GC165:GN174" si="148">SUMPRODUCT(--($D$6:$GA$6=GC$6),$D165:$GA165,$D$278:$GA$278)</f>
        <v>0</v>
      </c>
      <c r="GD165" s="387">
        <f t="shared" si="148"/>
        <v>0</v>
      </c>
      <c r="GE165" s="387">
        <f t="shared" si="148"/>
        <v>0</v>
      </c>
      <c r="GF165" s="387">
        <f t="shared" si="148"/>
        <v>0</v>
      </c>
      <c r="GG165" s="387">
        <f t="shared" si="148"/>
        <v>0</v>
      </c>
      <c r="GH165" s="387">
        <f t="shared" si="148"/>
        <v>0</v>
      </c>
      <c r="GI165" s="387">
        <f t="shared" si="148"/>
        <v>0</v>
      </c>
      <c r="GJ165" s="387">
        <f t="shared" si="148"/>
        <v>0</v>
      </c>
      <c r="GK165" s="387">
        <f t="shared" si="148"/>
        <v>0</v>
      </c>
      <c r="GL165" s="387">
        <f t="shared" si="148"/>
        <v>0</v>
      </c>
      <c r="GM165" s="387">
        <f t="shared" si="148"/>
        <v>0</v>
      </c>
      <c r="GN165" s="988">
        <f t="shared" si="148"/>
        <v>0</v>
      </c>
      <c r="GO165" s="1036">
        <f t="shared" ref="GO165:GZ174" si="149">SUMPRODUCT(--($DT$6:$GA$6=GO$6),$DT165:$GA165,$DT$278:$GA$278)</f>
        <v>0</v>
      </c>
      <c r="GP165" s="387">
        <f t="shared" si="149"/>
        <v>0</v>
      </c>
      <c r="GQ165" s="387">
        <f t="shared" si="149"/>
        <v>0</v>
      </c>
      <c r="GR165" s="387">
        <f t="shared" si="149"/>
        <v>0</v>
      </c>
      <c r="GS165" s="387">
        <f t="shared" si="149"/>
        <v>0</v>
      </c>
      <c r="GT165" s="387">
        <f t="shared" si="149"/>
        <v>0</v>
      </c>
      <c r="GU165" s="387">
        <f t="shared" si="149"/>
        <v>0</v>
      </c>
      <c r="GV165" s="387">
        <f t="shared" si="149"/>
        <v>0</v>
      </c>
      <c r="GW165" s="387">
        <f t="shared" si="149"/>
        <v>0</v>
      </c>
      <c r="GX165" s="387">
        <f t="shared" si="149"/>
        <v>0</v>
      </c>
      <c r="GY165" s="387">
        <f t="shared" si="149"/>
        <v>0</v>
      </c>
      <c r="GZ165" s="988">
        <f t="shared" si="149"/>
        <v>0</v>
      </c>
      <c r="HB165" s="387"/>
      <c r="HC165" s="387"/>
      <c r="HD165" s="387"/>
      <c r="HE165" s="387"/>
      <c r="HF165" s="387"/>
      <c r="HG165" s="387"/>
      <c r="HH165" s="387"/>
      <c r="HI165" s="387"/>
      <c r="HJ165" s="387"/>
      <c r="HK165" s="387"/>
      <c r="HL165" s="387"/>
      <c r="HM165" s="988"/>
    </row>
    <row r="166" spans="1:221">
      <c r="A166" s="326" t="s">
        <v>900</v>
      </c>
      <c r="B166" s="326" t="s">
        <v>901</v>
      </c>
      <c r="C166" s="326" t="s">
        <v>3396</v>
      </c>
      <c r="D166" s="1036" t="s">
        <v>2154</v>
      </c>
      <c r="E166" s="387" t="s">
        <v>2154</v>
      </c>
      <c r="F166" s="387" t="s">
        <v>2154</v>
      </c>
      <c r="G166" s="387" t="s">
        <v>2154</v>
      </c>
      <c r="H166" s="387" t="s">
        <v>2154</v>
      </c>
      <c r="I166" s="387" t="s">
        <v>2154</v>
      </c>
      <c r="J166" s="387" t="s">
        <v>2154</v>
      </c>
      <c r="K166" s="387" t="s">
        <v>2154</v>
      </c>
      <c r="L166" s="387" t="s">
        <v>2154</v>
      </c>
      <c r="M166" s="387" t="s">
        <v>2154</v>
      </c>
      <c r="N166" s="387" t="s">
        <v>2154</v>
      </c>
      <c r="O166" s="988" t="s">
        <v>2154</v>
      </c>
      <c r="P166" s="387" t="s">
        <v>2154</v>
      </c>
      <c r="Q166" s="387" t="s">
        <v>2154</v>
      </c>
      <c r="R166" s="387" t="s">
        <v>2154</v>
      </c>
      <c r="S166" s="387" t="s">
        <v>2154</v>
      </c>
      <c r="T166" s="387" t="s">
        <v>2154</v>
      </c>
      <c r="U166" s="387" t="s">
        <v>2154</v>
      </c>
      <c r="V166" s="387" t="s">
        <v>2154</v>
      </c>
      <c r="W166" s="387" t="s">
        <v>2154</v>
      </c>
      <c r="X166" s="387" t="s">
        <v>2154</v>
      </c>
      <c r="Y166" s="387" t="s">
        <v>2154</v>
      </c>
      <c r="Z166" s="387" t="s">
        <v>2154</v>
      </c>
      <c r="AA166" s="988" t="s">
        <v>2154</v>
      </c>
      <c r="AB166" s="387"/>
      <c r="AC166" s="387"/>
      <c r="AD166" s="387"/>
      <c r="AE166" s="387"/>
      <c r="AF166" s="387"/>
      <c r="AG166" s="387"/>
      <c r="AH166" s="387"/>
      <c r="AI166" s="387"/>
      <c r="AJ166" s="387"/>
      <c r="AK166" s="387"/>
      <c r="AL166" s="387"/>
      <c r="AM166" s="988"/>
      <c r="AN166" s="387"/>
      <c r="AO166" s="387"/>
      <c r="AP166" s="387"/>
      <c r="AQ166" s="387"/>
      <c r="AR166" s="387"/>
      <c r="AS166" s="387"/>
      <c r="AT166" s="387"/>
      <c r="AU166" s="387"/>
      <c r="AV166" s="387"/>
      <c r="AW166" s="387"/>
      <c r="AX166" s="387"/>
      <c r="AY166" s="988"/>
      <c r="AZ166" s="387"/>
      <c r="BA166" s="387"/>
      <c r="BB166" s="387"/>
      <c r="BC166" s="387"/>
      <c r="BD166" s="387"/>
      <c r="BE166" s="387"/>
      <c r="BF166" s="387"/>
      <c r="BG166" s="387"/>
      <c r="BH166" s="387"/>
      <c r="BI166" s="387"/>
      <c r="BJ166" s="387"/>
      <c r="BK166" s="988"/>
      <c r="BL166" s="387"/>
      <c r="BM166" s="387"/>
      <c r="BN166" s="387"/>
      <c r="BO166" s="387"/>
      <c r="BP166" s="387"/>
      <c r="BQ166" s="387"/>
      <c r="BR166" s="387"/>
      <c r="BS166" s="387"/>
      <c r="BT166" s="387"/>
      <c r="BU166" s="387"/>
      <c r="BV166" s="387"/>
      <c r="BW166" s="988"/>
      <c r="BX166" s="387"/>
      <c r="BY166" s="387"/>
      <c r="BZ166" s="387"/>
      <c r="CA166" s="387"/>
      <c r="CB166" s="387"/>
      <c r="CC166" s="387"/>
      <c r="CD166" s="387"/>
      <c r="CE166" s="387"/>
      <c r="CF166" s="387"/>
      <c r="CG166" s="387"/>
      <c r="CH166" s="387"/>
      <c r="CI166" s="988"/>
      <c r="CJ166" s="387"/>
      <c r="CK166" s="387"/>
      <c r="CL166" s="387"/>
      <c r="CM166" s="387"/>
      <c r="CN166" s="387"/>
      <c r="CO166" s="387"/>
      <c r="CP166" s="387"/>
      <c r="CQ166" s="387"/>
      <c r="CR166" s="387"/>
      <c r="CS166" s="387"/>
      <c r="CT166" s="387"/>
      <c r="CU166" s="988"/>
      <c r="CV166" s="387"/>
      <c r="CW166" s="387"/>
      <c r="CX166" s="387"/>
      <c r="CY166" s="387"/>
      <c r="CZ166" s="387"/>
      <c r="DA166" s="387"/>
      <c r="DB166" s="387"/>
      <c r="DC166" s="387"/>
      <c r="DD166" s="387"/>
      <c r="DE166" s="387"/>
      <c r="DF166" s="387"/>
      <c r="DG166" s="988"/>
      <c r="DH166" s="387"/>
      <c r="DI166" s="387"/>
      <c r="DJ166" s="387"/>
      <c r="DK166" s="387"/>
      <c r="DL166" s="387"/>
      <c r="DM166" s="387"/>
      <c r="DN166" s="387"/>
      <c r="DO166" s="387"/>
      <c r="DP166" s="387"/>
      <c r="DQ166" s="387"/>
      <c r="DR166" s="387"/>
      <c r="DS166" s="988"/>
      <c r="DT166" s="387" t="s">
        <v>2154</v>
      </c>
      <c r="DU166" s="387" t="s">
        <v>2154</v>
      </c>
      <c r="DV166" s="387" t="s">
        <v>2154</v>
      </c>
      <c r="DW166" s="387" t="s">
        <v>2154</v>
      </c>
      <c r="DX166" s="387" t="s">
        <v>2154</v>
      </c>
      <c r="DY166" s="387" t="s">
        <v>2154</v>
      </c>
      <c r="DZ166" s="387" t="s">
        <v>2154</v>
      </c>
      <c r="EA166" s="387" t="s">
        <v>2154</v>
      </c>
      <c r="EB166" s="387" t="s">
        <v>2154</v>
      </c>
      <c r="EC166" s="387" t="s">
        <v>2154</v>
      </c>
      <c r="ED166" s="387" t="s">
        <v>2154</v>
      </c>
      <c r="EE166" s="988" t="s">
        <v>2154</v>
      </c>
      <c r="EF166" s="387"/>
      <c r="EG166" s="387"/>
      <c r="EH166" s="387"/>
      <c r="EI166" s="387"/>
      <c r="EJ166" s="387"/>
      <c r="EK166" s="387"/>
      <c r="EL166" s="387"/>
      <c r="EM166" s="387"/>
      <c r="EN166" s="387"/>
      <c r="EO166" s="387"/>
      <c r="EP166" s="387"/>
      <c r="EQ166" s="988"/>
      <c r="ER166" s="387"/>
      <c r="ES166" s="387"/>
      <c r="ET166" s="387"/>
      <c r="EU166" s="387"/>
      <c r="EV166" s="387"/>
      <c r="EW166" s="387"/>
      <c r="EX166" s="387"/>
      <c r="EY166" s="387"/>
      <c r="EZ166" s="387"/>
      <c r="FA166" s="387"/>
      <c r="FB166" s="387"/>
      <c r="FC166" s="988"/>
      <c r="FD166" s="387"/>
      <c r="FE166" s="387"/>
      <c r="FF166" s="387"/>
      <c r="FG166" s="387"/>
      <c r="FH166" s="387"/>
      <c r="FI166" s="387"/>
      <c r="FJ166" s="387"/>
      <c r="FK166" s="387"/>
      <c r="FL166" s="387"/>
      <c r="FM166" s="387"/>
      <c r="FN166" s="387"/>
      <c r="FO166" s="988"/>
      <c r="FP166" s="387"/>
      <c r="FQ166" s="387"/>
      <c r="FR166" s="387"/>
      <c r="FS166" s="387"/>
      <c r="FT166" s="387"/>
      <c r="FU166" s="387"/>
      <c r="FV166" s="387"/>
      <c r="FW166" s="387"/>
      <c r="FX166" s="387"/>
      <c r="FY166" s="387"/>
      <c r="FZ166" s="387"/>
      <c r="GA166" s="988"/>
      <c r="GB166" s="109"/>
      <c r="GC166" s="2214">
        <f t="shared" si="148"/>
        <v>0</v>
      </c>
      <c r="GD166" s="387">
        <f t="shared" si="148"/>
        <v>0</v>
      </c>
      <c r="GE166" s="387">
        <f t="shared" si="148"/>
        <v>0</v>
      </c>
      <c r="GF166" s="387">
        <f t="shared" si="148"/>
        <v>0</v>
      </c>
      <c r="GG166" s="387">
        <f t="shared" si="148"/>
        <v>0</v>
      </c>
      <c r="GH166" s="387">
        <f t="shared" si="148"/>
        <v>0</v>
      </c>
      <c r="GI166" s="387">
        <f t="shared" si="148"/>
        <v>0</v>
      </c>
      <c r="GJ166" s="387">
        <f t="shared" si="148"/>
        <v>0</v>
      </c>
      <c r="GK166" s="387">
        <f t="shared" si="148"/>
        <v>0</v>
      </c>
      <c r="GL166" s="387">
        <f t="shared" si="148"/>
        <v>0</v>
      </c>
      <c r="GM166" s="387">
        <f t="shared" si="148"/>
        <v>0</v>
      </c>
      <c r="GN166" s="988">
        <f t="shared" si="148"/>
        <v>0</v>
      </c>
      <c r="GO166" s="1036">
        <f t="shared" si="149"/>
        <v>0</v>
      </c>
      <c r="GP166" s="387">
        <f t="shared" si="149"/>
        <v>0</v>
      </c>
      <c r="GQ166" s="387">
        <f t="shared" si="149"/>
        <v>0</v>
      </c>
      <c r="GR166" s="387">
        <f t="shared" si="149"/>
        <v>0</v>
      </c>
      <c r="GS166" s="387">
        <f t="shared" si="149"/>
        <v>0</v>
      </c>
      <c r="GT166" s="387">
        <f t="shared" si="149"/>
        <v>0</v>
      </c>
      <c r="GU166" s="387">
        <f t="shared" si="149"/>
        <v>0</v>
      </c>
      <c r="GV166" s="387">
        <f t="shared" si="149"/>
        <v>0</v>
      </c>
      <c r="GW166" s="387">
        <f t="shared" si="149"/>
        <v>0</v>
      </c>
      <c r="GX166" s="387">
        <f t="shared" si="149"/>
        <v>0</v>
      </c>
      <c r="GY166" s="387">
        <f t="shared" si="149"/>
        <v>0</v>
      </c>
      <c r="GZ166" s="988">
        <f t="shared" si="149"/>
        <v>0</v>
      </c>
      <c r="HB166" s="387"/>
      <c r="HC166" s="387"/>
      <c r="HD166" s="387"/>
      <c r="HE166" s="387"/>
      <c r="HF166" s="387"/>
      <c r="HG166" s="387"/>
      <c r="HH166" s="387"/>
      <c r="HI166" s="387"/>
      <c r="HJ166" s="387"/>
      <c r="HK166" s="387"/>
      <c r="HL166" s="387"/>
      <c r="HM166" s="988"/>
    </row>
    <row r="167" spans="1:221">
      <c r="A167" s="326" t="s">
        <v>900</v>
      </c>
      <c r="B167" s="326" t="s">
        <v>901</v>
      </c>
      <c r="C167" s="326" t="s">
        <v>3397</v>
      </c>
      <c r="D167" s="1036">
        <v>72</v>
      </c>
      <c r="E167" s="387">
        <v>64</v>
      </c>
      <c r="F167" s="387">
        <v>70.5</v>
      </c>
      <c r="G167" s="387">
        <v>58.5</v>
      </c>
      <c r="H167" s="387">
        <v>93.5</v>
      </c>
      <c r="I167" s="387">
        <v>66.5</v>
      </c>
      <c r="J167" s="387">
        <v>66.5</v>
      </c>
      <c r="K167" s="387">
        <v>83.5</v>
      </c>
      <c r="L167" s="387">
        <v>83</v>
      </c>
      <c r="M167" s="387">
        <v>94</v>
      </c>
      <c r="N167" s="387">
        <v>111</v>
      </c>
      <c r="O167" s="988">
        <v>76</v>
      </c>
      <c r="P167" s="387" t="s">
        <v>2154</v>
      </c>
      <c r="Q167" s="387" t="s">
        <v>2154</v>
      </c>
      <c r="R167" s="387" t="s">
        <v>2154</v>
      </c>
      <c r="S167" s="387" t="s">
        <v>2154</v>
      </c>
      <c r="T167" s="387" t="s">
        <v>2154</v>
      </c>
      <c r="U167" s="387" t="s">
        <v>2154</v>
      </c>
      <c r="V167" s="387" t="s">
        <v>2154</v>
      </c>
      <c r="W167" s="387" t="s">
        <v>2154</v>
      </c>
      <c r="X167" s="387" t="s">
        <v>2154</v>
      </c>
      <c r="Y167" s="387" t="s">
        <v>2154</v>
      </c>
      <c r="Z167" s="387" t="s">
        <v>2154</v>
      </c>
      <c r="AA167" s="988" t="s">
        <v>2154</v>
      </c>
      <c r="AB167" s="387"/>
      <c r="AC167" s="387"/>
      <c r="AD167" s="387"/>
      <c r="AE167" s="387"/>
      <c r="AF167" s="387"/>
      <c r="AG167" s="387"/>
      <c r="AH167" s="387"/>
      <c r="AI167" s="387"/>
      <c r="AJ167" s="387"/>
      <c r="AK167" s="387"/>
      <c r="AL167" s="387"/>
      <c r="AM167" s="988"/>
      <c r="AN167" s="387"/>
      <c r="AO167" s="387"/>
      <c r="AP167" s="387"/>
      <c r="AQ167" s="387"/>
      <c r="AR167" s="387"/>
      <c r="AS167" s="387"/>
      <c r="AT167" s="387"/>
      <c r="AU167" s="387"/>
      <c r="AV167" s="387"/>
      <c r="AW167" s="387"/>
      <c r="AX167" s="387"/>
      <c r="AY167" s="988"/>
      <c r="AZ167" s="387"/>
      <c r="BA167" s="387"/>
      <c r="BB167" s="387"/>
      <c r="BC167" s="387"/>
      <c r="BD167" s="387"/>
      <c r="BE167" s="387"/>
      <c r="BF167" s="387"/>
      <c r="BG167" s="387"/>
      <c r="BH167" s="387"/>
      <c r="BI167" s="387"/>
      <c r="BJ167" s="387"/>
      <c r="BK167" s="988"/>
      <c r="BL167" s="387"/>
      <c r="BM167" s="387"/>
      <c r="BN167" s="387"/>
      <c r="BO167" s="387"/>
      <c r="BP167" s="387"/>
      <c r="BQ167" s="387"/>
      <c r="BR167" s="387"/>
      <c r="BS167" s="387"/>
      <c r="BT167" s="387"/>
      <c r="BU167" s="387"/>
      <c r="BV167" s="387"/>
      <c r="BW167" s="988"/>
      <c r="BX167" s="387"/>
      <c r="BY167" s="387"/>
      <c r="BZ167" s="387"/>
      <c r="CA167" s="387"/>
      <c r="CB167" s="387"/>
      <c r="CC167" s="387"/>
      <c r="CD167" s="387"/>
      <c r="CE167" s="387"/>
      <c r="CF167" s="387"/>
      <c r="CG167" s="387"/>
      <c r="CH167" s="387"/>
      <c r="CI167" s="988"/>
      <c r="CJ167" s="387"/>
      <c r="CK167" s="387"/>
      <c r="CL167" s="387"/>
      <c r="CM167" s="387"/>
      <c r="CN167" s="387"/>
      <c r="CO167" s="387"/>
      <c r="CP167" s="387"/>
      <c r="CQ167" s="387"/>
      <c r="CR167" s="387"/>
      <c r="CS167" s="387"/>
      <c r="CT167" s="387"/>
      <c r="CU167" s="988"/>
      <c r="CV167" s="387"/>
      <c r="CW167" s="387"/>
      <c r="CX167" s="387"/>
      <c r="CY167" s="387"/>
      <c r="CZ167" s="387"/>
      <c r="DA167" s="387"/>
      <c r="DB167" s="387"/>
      <c r="DC167" s="387"/>
      <c r="DD167" s="387"/>
      <c r="DE167" s="387"/>
      <c r="DF167" s="387"/>
      <c r="DG167" s="988"/>
      <c r="DH167" s="387"/>
      <c r="DI167" s="387"/>
      <c r="DJ167" s="387"/>
      <c r="DK167" s="387"/>
      <c r="DL167" s="387"/>
      <c r="DM167" s="387"/>
      <c r="DN167" s="387"/>
      <c r="DO167" s="387"/>
      <c r="DP167" s="387"/>
      <c r="DQ167" s="387"/>
      <c r="DR167" s="387"/>
      <c r="DS167" s="988"/>
      <c r="DT167" s="387" t="s">
        <v>2154</v>
      </c>
      <c r="DU167" s="387" t="s">
        <v>2154</v>
      </c>
      <c r="DV167" s="387" t="s">
        <v>2154</v>
      </c>
      <c r="DW167" s="387" t="s">
        <v>2154</v>
      </c>
      <c r="DX167" s="387" t="s">
        <v>2154</v>
      </c>
      <c r="DY167" s="387" t="s">
        <v>2154</v>
      </c>
      <c r="DZ167" s="387" t="s">
        <v>2154</v>
      </c>
      <c r="EA167" s="387" t="s">
        <v>2154</v>
      </c>
      <c r="EB167" s="387" t="s">
        <v>2154</v>
      </c>
      <c r="EC167" s="387" t="s">
        <v>2154</v>
      </c>
      <c r="ED167" s="387" t="s">
        <v>2154</v>
      </c>
      <c r="EE167" s="988" t="s">
        <v>2154</v>
      </c>
      <c r="EF167" s="387"/>
      <c r="EG167" s="387"/>
      <c r="EH167" s="387"/>
      <c r="EI167" s="387"/>
      <c r="EJ167" s="387"/>
      <c r="EK167" s="387"/>
      <c r="EL167" s="387"/>
      <c r="EM167" s="387"/>
      <c r="EN167" s="387"/>
      <c r="EO167" s="387"/>
      <c r="EP167" s="387"/>
      <c r="EQ167" s="988"/>
      <c r="ER167" s="387"/>
      <c r="ES167" s="387"/>
      <c r="ET167" s="387"/>
      <c r="EU167" s="387"/>
      <c r="EV167" s="387"/>
      <c r="EW167" s="387"/>
      <c r="EX167" s="387"/>
      <c r="EY167" s="387"/>
      <c r="EZ167" s="387"/>
      <c r="FA167" s="387"/>
      <c r="FB167" s="387"/>
      <c r="FC167" s="988"/>
      <c r="FD167" s="387"/>
      <c r="FE167" s="387"/>
      <c r="FF167" s="387"/>
      <c r="FG167" s="387"/>
      <c r="FH167" s="387"/>
      <c r="FI167" s="387"/>
      <c r="FJ167" s="387"/>
      <c r="FK167" s="387"/>
      <c r="FL167" s="387"/>
      <c r="FM167" s="387"/>
      <c r="FN167" s="387"/>
      <c r="FO167" s="988"/>
      <c r="FP167" s="387"/>
      <c r="FQ167" s="387"/>
      <c r="FR167" s="387"/>
      <c r="FS167" s="387"/>
      <c r="FT167" s="387"/>
      <c r="FU167" s="387"/>
      <c r="FV167" s="387"/>
      <c r="FW167" s="387"/>
      <c r="FX167" s="387"/>
      <c r="FY167" s="387"/>
      <c r="FZ167" s="387"/>
      <c r="GA167" s="988"/>
      <c r="GB167" s="109"/>
      <c r="GC167" s="2214">
        <f t="shared" si="148"/>
        <v>72</v>
      </c>
      <c r="GD167" s="387">
        <f t="shared" si="148"/>
        <v>64</v>
      </c>
      <c r="GE167" s="387">
        <f t="shared" si="148"/>
        <v>70.5</v>
      </c>
      <c r="GF167" s="387">
        <f t="shared" si="148"/>
        <v>58.5</v>
      </c>
      <c r="GG167" s="387">
        <f t="shared" si="148"/>
        <v>93.5</v>
      </c>
      <c r="GH167" s="387">
        <f t="shared" si="148"/>
        <v>66.5</v>
      </c>
      <c r="GI167" s="387">
        <f t="shared" si="148"/>
        <v>66.5</v>
      </c>
      <c r="GJ167" s="387">
        <f t="shared" si="148"/>
        <v>83.5</v>
      </c>
      <c r="GK167" s="387">
        <f t="shared" si="148"/>
        <v>83</v>
      </c>
      <c r="GL167" s="387">
        <f t="shared" si="148"/>
        <v>94</v>
      </c>
      <c r="GM167" s="387">
        <f t="shared" si="148"/>
        <v>111</v>
      </c>
      <c r="GN167" s="988">
        <f t="shared" si="148"/>
        <v>76</v>
      </c>
      <c r="GO167" s="1036">
        <f t="shared" si="149"/>
        <v>0</v>
      </c>
      <c r="GP167" s="387">
        <f t="shared" si="149"/>
        <v>0</v>
      </c>
      <c r="GQ167" s="387">
        <f t="shared" si="149"/>
        <v>0</v>
      </c>
      <c r="GR167" s="387">
        <f t="shared" si="149"/>
        <v>0</v>
      </c>
      <c r="GS167" s="387">
        <f t="shared" si="149"/>
        <v>0</v>
      </c>
      <c r="GT167" s="387">
        <f t="shared" si="149"/>
        <v>0</v>
      </c>
      <c r="GU167" s="387">
        <f t="shared" si="149"/>
        <v>0</v>
      </c>
      <c r="GV167" s="387">
        <f t="shared" si="149"/>
        <v>0</v>
      </c>
      <c r="GW167" s="387">
        <f t="shared" si="149"/>
        <v>0</v>
      </c>
      <c r="GX167" s="387">
        <f t="shared" si="149"/>
        <v>0</v>
      </c>
      <c r="GY167" s="387">
        <f t="shared" si="149"/>
        <v>0</v>
      </c>
      <c r="GZ167" s="988">
        <f t="shared" si="149"/>
        <v>0</v>
      </c>
      <c r="HB167" s="387"/>
      <c r="HC167" s="387"/>
      <c r="HD167" s="387"/>
      <c r="HE167" s="387"/>
      <c r="HF167" s="387"/>
      <c r="HG167" s="387"/>
      <c r="HH167" s="387"/>
      <c r="HI167" s="387"/>
      <c r="HJ167" s="387"/>
      <c r="HK167" s="387"/>
      <c r="HL167" s="387"/>
      <c r="HM167" s="988"/>
    </row>
    <row r="168" spans="1:221">
      <c r="A168" s="326" t="s">
        <v>900</v>
      </c>
      <c r="B168" s="326" t="s">
        <v>901</v>
      </c>
      <c r="C168" s="326" t="s">
        <v>1281</v>
      </c>
      <c r="D168" s="1036" t="s">
        <v>2154</v>
      </c>
      <c r="E168" s="387" t="s">
        <v>2154</v>
      </c>
      <c r="F168" s="387" t="s">
        <v>2154</v>
      </c>
      <c r="G168" s="387" t="s">
        <v>2154</v>
      </c>
      <c r="H168" s="387" t="s">
        <v>2154</v>
      </c>
      <c r="I168" s="387" t="s">
        <v>2154</v>
      </c>
      <c r="J168" s="387" t="s">
        <v>2154</v>
      </c>
      <c r="K168" s="387" t="s">
        <v>2154</v>
      </c>
      <c r="L168" s="387" t="s">
        <v>2154</v>
      </c>
      <c r="M168" s="387" t="s">
        <v>2154</v>
      </c>
      <c r="N168" s="387" t="s">
        <v>2154</v>
      </c>
      <c r="O168" s="988" t="s">
        <v>2154</v>
      </c>
      <c r="P168" s="387" t="s">
        <v>2154</v>
      </c>
      <c r="Q168" s="387" t="s">
        <v>2154</v>
      </c>
      <c r="R168" s="387" t="s">
        <v>2154</v>
      </c>
      <c r="S168" s="387" t="s">
        <v>2154</v>
      </c>
      <c r="T168" s="387" t="s">
        <v>2154</v>
      </c>
      <c r="U168" s="387" t="s">
        <v>2154</v>
      </c>
      <c r="V168" s="387" t="s">
        <v>2154</v>
      </c>
      <c r="W168" s="387" t="s">
        <v>2154</v>
      </c>
      <c r="X168" s="387" t="s">
        <v>2154</v>
      </c>
      <c r="Y168" s="387" t="s">
        <v>2154</v>
      </c>
      <c r="Z168" s="387" t="s">
        <v>2154</v>
      </c>
      <c r="AA168" s="988" t="s">
        <v>2154</v>
      </c>
      <c r="AB168" s="387"/>
      <c r="AC168" s="387"/>
      <c r="AD168" s="387"/>
      <c r="AE168" s="387"/>
      <c r="AF168" s="387"/>
      <c r="AG168" s="387"/>
      <c r="AH168" s="387"/>
      <c r="AI168" s="387"/>
      <c r="AJ168" s="387"/>
      <c r="AK168" s="387"/>
      <c r="AL168" s="387"/>
      <c r="AM168" s="988"/>
      <c r="AN168" s="387"/>
      <c r="AO168" s="387"/>
      <c r="AP168" s="387"/>
      <c r="AQ168" s="387"/>
      <c r="AR168" s="387"/>
      <c r="AS168" s="387"/>
      <c r="AT168" s="387"/>
      <c r="AU168" s="387"/>
      <c r="AV168" s="387"/>
      <c r="AW168" s="387"/>
      <c r="AX168" s="387"/>
      <c r="AY168" s="988"/>
      <c r="AZ168" s="387"/>
      <c r="BA168" s="387"/>
      <c r="BB168" s="387"/>
      <c r="BC168" s="387"/>
      <c r="BD168" s="387"/>
      <c r="BE168" s="387"/>
      <c r="BF168" s="387"/>
      <c r="BG168" s="387"/>
      <c r="BH168" s="387"/>
      <c r="BI168" s="387"/>
      <c r="BJ168" s="387"/>
      <c r="BK168" s="988"/>
      <c r="BL168" s="387"/>
      <c r="BM168" s="387"/>
      <c r="BN168" s="387"/>
      <c r="BO168" s="387"/>
      <c r="BP168" s="387"/>
      <c r="BQ168" s="387"/>
      <c r="BR168" s="387"/>
      <c r="BS168" s="387"/>
      <c r="BT168" s="387"/>
      <c r="BU168" s="387"/>
      <c r="BV168" s="387"/>
      <c r="BW168" s="988"/>
      <c r="BX168" s="387"/>
      <c r="BY168" s="387"/>
      <c r="BZ168" s="387"/>
      <c r="CA168" s="387"/>
      <c r="CB168" s="387"/>
      <c r="CC168" s="387"/>
      <c r="CD168" s="387"/>
      <c r="CE168" s="387"/>
      <c r="CF168" s="387"/>
      <c r="CG168" s="387"/>
      <c r="CH168" s="387"/>
      <c r="CI168" s="988"/>
      <c r="CJ168" s="387"/>
      <c r="CK168" s="387"/>
      <c r="CL168" s="387"/>
      <c r="CM168" s="387"/>
      <c r="CN168" s="387"/>
      <c r="CO168" s="387"/>
      <c r="CP168" s="387"/>
      <c r="CQ168" s="387"/>
      <c r="CR168" s="387"/>
      <c r="CS168" s="387"/>
      <c r="CT168" s="387"/>
      <c r="CU168" s="988"/>
      <c r="CV168" s="387"/>
      <c r="CW168" s="387"/>
      <c r="CX168" s="387"/>
      <c r="CY168" s="387"/>
      <c r="CZ168" s="387"/>
      <c r="DA168" s="387"/>
      <c r="DB168" s="387"/>
      <c r="DC168" s="387"/>
      <c r="DD168" s="387"/>
      <c r="DE168" s="387"/>
      <c r="DF168" s="387"/>
      <c r="DG168" s="988"/>
      <c r="DH168" s="387"/>
      <c r="DI168" s="387"/>
      <c r="DJ168" s="387"/>
      <c r="DK168" s="387"/>
      <c r="DL168" s="387"/>
      <c r="DM168" s="387"/>
      <c r="DN168" s="387"/>
      <c r="DO168" s="387"/>
      <c r="DP168" s="387"/>
      <c r="DQ168" s="387"/>
      <c r="DR168" s="387"/>
      <c r="DS168" s="988"/>
      <c r="DT168" s="387" t="s">
        <v>2154</v>
      </c>
      <c r="DU168" s="387" t="s">
        <v>2154</v>
      </c>
      <c r="DV168" s="387" t="s">
        <v>2154</v>
      </c>
      <c r="DW168" s="387" t="s">
        <v>2154</v>
      </c>
      <c r="DX168" s="387" t="s">
        <v>2154</v>
      </c>
      <c r="DY168" s="387" t="s">
        <v>2154</v>
      </c>
      <c r="DZ168" s="387" t="s">
        <v>2154</v>
      </c>
      <c r="EA168" s="387" t="s">
        <v>2154</v>
      </c>
      <c r="EB168" s="387" t="s">
        <v>2154</v>
      </c>
      <c r="EC168" s="387" t="s">
        <v>2154</v>
      </c>
      <c r="ED168" s="387" t="s">
        <v>2154</v>
      </c>
      <c r="EE168" s="988" t="s">
        <v>2154</v>
      </c>
      <c r="EF168" s="387"/>
      <c r="EG168" s="387"/>
      <c r="EH168" s="387"/>
      <c r="EI168" s="387"/>
      <c r="EJ168" s="387"/>
      <c r="EK168" s="387"/>
      <c r="EL168" s="387"/>
      <c r="EM168" s="387"/>
      <c r="EN168" s="387"/>
      <c r="EO168" s="387"/>
      <c r="EP168" s="387"/>
      <c r="EQ168" s="988"/>
      <c r="ER168" s="387"/>
      <c r="ES168" s="387"/>
      <c r="ET168" s="387"/>
      <c r="EU168" s="387"/>
      <c r="EV168" s="387"/>
      <c r="EW168" s="387"/>
      <c r="EX168" s="387"/>
      <c r="EY168" s="387"/>
      <c r="EZ168" s="387"/>
      <c r="FA168" s="387"/>
      <c r="FB168" s="387"/>
      <c r="FC168" s="988"/>
      <c r="FD168" s="387"/>
      <c r="FE168" s="387"/>
      <c r="FF168" s="387"/>
      <c r="FG168" s="387"/>
      <c r="FH168" s="387"/>
      <c r="FI168" s="387"/>
      <c r="FJ168" s="387"/>
      <c r="FK168" s="387"/>
      <c r="FL168" s="387"/>
      <c r="FM168" s="387"/>
      <c r="FN168" s="387"/>
      <c r="FO168" s="988"/>
      <c r="FP168" s="387"/>
      <c r="FQ168" s="387"/>
      <c r="FR168" s="387"/>
      <c r="FS168" s="387"/>
      <c r="FT168" s="387"/>
      <c r="FU168" s="387"/>
      <c r="FV168" s="387"/>
      <c r="FW168" s="387"/>
      <c r="FX168" s="387"/>
      <c r="FY168" s="387"/>
      <c r="FZ168" s="387"/>
      <c r="GA168" s="988"/>
      <c r="GB168" s="109"/>
      <c r="GC168" s="2214">
        <f t="shared" si="148"/>
        <v>0</v>
      </c>
      <c r="GD168" s="387">
        <f t="shared" si="148"/>
        <v>0</v>
      </c>
      <c r="GE168" s="387">
        <f t="shared" si="148"/>
        <v>0</v>
      </c>
      <c r="GF168" s="387">
        <f t="shared" si="148"/>
        <v>0</v>
      </c>
      <c r="GG168" s="387">
        <f t="shared" si="148"/>
        <v>0</v>
      </c>
      <c r="GH168" s="387">
        <f t="shared" si="148"/>
        <v>0</v>
      </c>
      <c r="GI168" s="387">
        <f t="shared" si="148"/>
        <v>0</v>
      </c>
      <c r="GJ168" s="387">
        <f t="shared" si="148"/>
        <v>0</v>
      </c>
      <c r="GK168" s="387">
        <f t="shared" si="148"/>
        <v>0</v>
      </c>
      <c r="GL168" s="387">
        <f t="shared" si="148"/>
        <v>0</v>
      </c>
      <c r="GM168" s="387">
        <f t="shared" si="148"/>
        <v>0</v>
      </c>
      <c r="GN168" s="988">
        <f t="shared" si="148"/>
        <v>0</v>
      </c>
      <c r="GO168" s="1036">
        <f t="shared" si="149"/>
        <v>0</v>
      </c>
      <c r="GP168" s="387">
        <f t="shared" si="149"/>
        <v>0</v>
      </c>
      <c r="GQ168" s="387">
        <f t="shared" si="149"/>
        <v>0</v>
      </c>
      <c r="GR168" s="387">
        <f t="shared" si="149"/>
        <v>0</v>
      </c>
      <c r="GS168" s="387">
        <f t="shared" si="149"/>
        <v>0</v>
      </c>
      <c r="GT168" s="387">
        <f t="shared" si="149"/>
        <v>0</v>
      </c>
      <c r="GU168" s="387">
        <f t="shared" si="149"/>
        <v>0</v>
      </c>
      <c r="GV168" s="387">
        <f t="shared" si="149"/>
        <v>0</v>
      </c>
      <c r="GW168" s="387">
        <f t="shared" si="149"/>
        <v>0</v>
      </c>
      <c r="GX168" s="387">
        <f t="shared" si="149"/>
        <v>0</v>
      </c>
      <c r="GY168" s="387">
        <f t="shared" si="149"/>
        <v>0</v>
      </c>
      <c r="GZ168" s="988">
        <f t="shared" si="149"/>
        <v>0</v>
      </c>
      <c r="HB168" s="387"/>
      <c r="HC168" s="387"/>
      <c r="HD168" s="387"/>
      <c r="HE168" s="387"/>
      <c r="HF168" s="387"/>
      <c r="HG168" s="387"/>
      <c r="HH168" s="387"/>
      <c r="HI168" s="387"/>
      <c r="HJ168" s="387"/>
      <c r="HK168" s="387"/>
      <c r="HL168" s="387"/>
      <c r="HM168" s="988"/>
    </row>
    <row r="169" spans="1:221">
      <c r="A169" s="326" t="s">
        <v>900</v>
      </c>
      <c r="B169" s="326" t="s">
        <v>901</v>
      </c>
      <c r="C169" s="326" t="s">
        <v>1282</v>
      </c>
      <c r="D169" s="1036" t="s">
        <v>2154</v>
      </c>
      <c r="E169" s="387" t="s">
        <v>2154</v>
      </c>
      <c r="F169" s="387" t="s">
        <v>2154</v>
      </c>
      <c r="G169" s="387" t="s">
        <v>2154</v>
      </c>
      <c r="H169" s="387" t="s">
        <v>2154</v>
      </c>
      <c r="I169" s="387" t="s">
        <v>2154</v>
      </c>
      <c r="J169" s="387" t="s">
        <v>2154</v>
      </c>
      <c r="K169" s="387" t="s">
        <v>2154</v>
      </c>
      <c r="L169" s="387" t="s">
        <v>2154</v>
      </c>
      <c r="M169" s="387" t="s">
        <v>2154</v>
      </c>
      <c r="N169" s="387" t="s">
        <v>2154</v>
      </c>
      <c r="O169" s="988" t="s">
        <v>2154</v>
      </c>
      <c r="P169" s="387" t="s">
        <v>2154</v>
      </c>
      <c r="Q169" s="387" t="s">
        <v>2154</v>
      </c>
      <c r="R169" s="387" t="s">
        <v>2154</v>
      </c>
      <c r="S169" s="387" t="s">
        <v>2154</v>
      </c>
      <c r="T169" s="387" t="s">
        <v>2154</v>
      </c>
      <c r="U169" s="387" t="s">
        <v>2154</v>
      </c>
      <c r="V169" s="387" t="s">
        <v>2154</v>
      </c>
      <c r="W169" s="387" t="s">
        <v>2154</v>
      </c>
      <c r="X169" s="387" t="s">
        <v>2154</v>
      </c>
      <c r="Y169" s="387" t="s">
        <v>2154</v>
      </c>
      <c r="Z169" s="387" t="s">
        <v>2154</v>
      </c>
      <c r="AA169" s="988" t="s">
        <v>2154</v>
      </c>
      <c r="AB169" s="387"/>
      <c r="AC169" s="387"/>
      <c r="AD169" s="387"/>
      <c r="AE169" s="387"/>
      <c r="AF169" s="387"/>
      <c r="AG169" s="387"/>
      <c r="AH169" s="387"/>
      <c r="AI169" s="387"/>
      <c r="AJ169" s="387"/>
      <c r="AK169" s="387"/>
      <c r="AL169" s="387"/>
      <c r="AM169" s="988"/>
      <c r="AN169" s="387"/>
      <c r="AO169" s="387"/>
      <c r="AP169" s="387"/>
      <c r="AQ169" s="387"/>
      <c r="AR169" s="387"/>
      <c r="AS169" s="387"/>
      <c r="AT169" s="387"/>
      <c r="AU169" s="387"/>
      <c r="AV169" s="387"/>
      <c r="AW169" s="387"/>
      <c r="AX169" s="387"/>
      <c r="AY169" s="988"/>
      <c r="AZ169" s="387"/>
      <c r="BA169" s="387"/>
      <c r="BB169" s="387"/>
      <c r="BC169" s="387"/>
      <c r="BD169" s="387"/>
      <c r="BE169" s="387"/>
      <c r="BF169" s="387"/>
      <c r="BG169" s="387"/>
      <c r="BH169" s="387"/>
      <c r="BI169" s="387"/>
      <c r="BJ169" s="387"/>
      <c r="BK169" s="988"/>
      <c r="BL169" s="387"/>
      <c r="BM169" s="387"/>
      <c r="BN169" s="387"/>
      <c r="BO169" s="387"/>
      <c r="BP169" s="387"/>
      <c r="BQ169" s="387"/>
      <c r="BR169" s="387"/>
      <c r="BS169" s="387"/>
      <c r="BT169" s="387"/>
      <c r="BU169" s="387"/>
      <c r="BV169" s="387"/>
      <c r="BW169" s="988"/>
      <c r="BX169" s="387"/>
      <c r="BY169" s="387"/>
      <c r="BZ169" s="387"/>
      <c r="CA169" s="387"/>
      <c r="CB169" s="387"/>
      <c r="CC169" s="387"/>
      <c r="CD169" s="387"/>
      <c r="CE169" s="387"/>
      <c r="CF169" s="387"/>
      <c r="CG169" s="387"/>
      <c r="CH169" s="387"/>
      <c r="CI169" s="988"/>
      <c r="CJ169" s="387"/>
      <c r="CK169" s="387"/>
      <c r="CL169" s="387"/>
      <c r="CM169" s="387"/>
      <c r="CN169" s="387"/>
      <c r="CO169" s="387"/>
      <c r="CP169" s="387"/>
      <c r="CQ169" s="387"/>
      <c r="CR169" s="387"/>
      <c r="CS169" s="387"/>
      <c r="CT169" s="387"/>
      <c r="CU169" s="988"/>
      <c r="CV169" s="387"/>
      <c r="CW169" s="387"/>
      <c r="CX169" s="387"/>
      <c r="CY169" s="387"/>
      <c r="CZ169" s="387"/>
      <c r="DA169" s="387"/>
      <c r="DB169" s="387"/>
      <c r="DC169" s="387"/>
      <c r="DD169" s="387"/>
      <c r="DE169" s="387"/>
      <c r="DF169" s="387"/>
      <c r="DG169" s="988"/>
      <c r="DH169" s="387"/>
      <c r="DI169" s="387"/>
      <c r="DJ169" s="387"/>
      <c r="DK169" s="387"/>
      <c r="DL169" s="387"/>
      <c r="DM169" s="387"/>
      <c r="DN169" s="387"/>
      <c r="DO169" s="387"/>
      <c r="DP169" s="387"/>
      <c r="DQ169" s="387"/>
      <c r="DR169" s="387"/>
      <c r="DS169" s="988"/>
      <c r="DT169" s="387" t="s">
        <v>2154</v>
      </c>
      <c r="DU169" s="387" t="s">
        <v>2154</v>
      </c>
      <c r="DV169" s="387" t="s">
        <v>2154</v>
      </c>
      <c r="DW169" s="387" t="s">
        <v>2154</v>
      </c>
      <c r="DX169" s="387" t="s">
        <v>2154</v>
      </c>
      <c r="DY169" s="387" t="s">
        <v>2154</v>
      </c>
      <c r="DZ169" s="387" t="s">
        <v>2154</v>
      </c>
      <c r="EA169" s="387" t="s">
        <v>2154</v>
      </c>
      <c r="EB169" s="387" t="s">
        <v>2154</v>
      </c>
      <c r="EC169" s="387" t="s">
        <v>2154</v>
      </c>
      <c r="ED169" s="387" t="s">
        <v>2154</v>
      </c>
      <c r="EE169" s="988" t="s">
        <v>2154</v>
      </c>
      <c r="EF169" s="387"/>
      <c r="EG169" s="387"/>
      <c r="EH169" s="387"/>
      <c r="EI169" s="387"/>
      <c r="EJ169" s="387"/>
      <c r="EK169" s="387"/>
      <c r="EL169" s="387"/>
      <c r="EM169" s="387"/>
      <c r="EN169" s="387"/>
      <c r="EO169" s="387"/>
      <c r="EP169" s="387"/>
      <c r="EQ169" s="988"/>
      <c r="ER169" s="387"/>
      <c r="ES169" s="387"/>
      <c r="ET169" s="387"/>
      <c r="EU169" s="387"/>
      <c r="EV169" s="387"/>
      <c r="EW169" s="387"/>
      <c r="EX169" s="387"/>
      <c r="EY169" s="387"/>
      <c r="EZ169" s="387"/>
      <c r="FA169" s="387"/>
      <c r="FB169" s="387"/>
      <c r="FC169" s="988"/>
      <c r="FD169" s="387"/>
      <c r="FE169" s="387"/>
      <c r="FF169" s="387"/>
      <c r="FG169" s="387"/>
      <c r="FH169" s="387"/>
      <c r="FI169" s="387"/>
      <c r="FJ169" s="387"/>
      <c r="FK169" s="387"/>
      <c r="FL169" s="387"/>
      <c r="FM169" s="387"/>
      <c r="FN169" s="387"/>
      <c r="FO169" s="988"/>
      <c r="FP169" s="387"/>
      <c r="FQ169" s="387"/>
      <c r="FR169" s="387"/>
      <c r="FS169" s="387"/>
      <c r="FT169" s="387"/>
      <c r="FU169" s="387"/>
      <c r="FV169" s="387"/>
      <c r="FW169" s="387"/>
      <c r="FX169" s="387"/>
      <c r="FY169" s="387"/>
      <c r="FZ169" s="387"/>
      <c r="GA169" s="988"/>
      <c r="GB169" s="109"/>
      <c r="GC169" s="2214">
        <f t="shared" si="148"/>
        <v>0</v>
      </c>
      <c r="GD169" s="387">
        <f t="shared" si="148"/>
        <v>0</v>
      </c>
      <c r="GE169" s="387">
        <f t="shared" si="148"/>
        <v>0</v>
      </c>
      <c r="GF169" s="387">
        <f t="shared" si="148"/>
        <v>0</v>
      </c>
      <c r="GG169" s="387">
        <f t="shared" si="148"/>
        <v>0</v>
      </c>
      <c r="GH169" s="387">
        <f t="shared" si="148"/>
        <v>0</v>
      </c>
      <c r="GI169" s="387">
        <f t="shared" si="148"/>
        <v>0</v>
      </c>
      <c r="GJ169" s="387">
        <f t="shared" si="148"/>
        <v>0</v>
      </c>
      <c r="GK169" s="387">
        <f t="shared" si="148"/>
        <v>0</v>
      </c>
      <c r="GL169" s="387">
        <f t="shared" si="148"/>
        <v>0</v>
      </c>
      <c r="GM169" s="387">
        <f t="shared" si="148"/>
        <v>0</v>
      </c>
      <c r="GN169" s="988">
        <f t="shared" si="148"/>
        <v>0</v>
      </c>
      <c r="GO169" s="1036">
        <f t="shared" si="149"/>
        <v>0</v>
      </c>
      <c r="GP169" s="387">
        <f t="shared" si="149"/>
        <v>0</v>
      </c>
      <c r="GQ169" s="387">
        <f t="shared" si="149"/>
        <v>0</v>
      </c>
      <c r="GR169" s="387">
        <f t="shared" si="149"/>
        <v>0</v>
      </c>
      <c r="GS169" s="387">
        <f t="shared" si="149"/>
        <v>0</v>
      </c>
      <c r="GT169" s="387">
        <f t="shared" si="149"/>
        <v>0</v>
      </c>
      <c r="GU169" s="387">
        <f t="shared" si="149"/>
        <v>0</v>
      </c>
      <c r="GV169" s="387">
        <f t="shared" si="149"/>
        <v>0</v>
      </c>
      <c r="GW169" s="387">
        <f t="shared" si="149"/>
        <v>0</v>
      </c>
      <c r="GX169" s="387">
        <f t="shared" si="149"/>
        <v>0</v>
      </c>
      <c r="GY169" s="387">
        <f t="shared" si="149"/>
        <v>0</v>
      </c>
      <c r="GZ169" s="988">
        <f t="shared" si="149"/>
        <v>0</v>
      </c>
      <c r="HB169" s="387"/>
      <c r="HC169" s="387"/>
      <c r="HD169" s="387"/>
      <c r="HE169" s="387"/>
      <c r="HF169" s="387"/>
      <c r="HG169" s="387"/>
      <c r="HH169" s="387"/>
      <c r="HI169" s="387"/>
      <c r="HJ169" s="387"/>
      <c r="HK169" s="387"/>
      <c r="HL169" s="387"/>
      <c r="HM169" s="988"/>
    </row>
    <row r="170" spans="1:221">
      <c r="A170" s="326" t="s">
        <v>900</v>
      </c>
      <c r="B170" s="326" t="s">
        <v>901</v>
      </c>
      <c r="C170" s="326" t="s">
        <v>1283</v>
      </c>
      <c r="D170" s="1036">
        <v>165603.81</v>
      </c>
      <c r="E170" s="387">
        <v>167386.43</v>
      </c>
      <c r="F170" s="387">
        <v>160293.69</v>
      </c>
      <c r="G170" s="387">
        <v>170530.19999999998</v>
      </c>
      <c r="H170" s="387">
        <v>178915.69</v>
      </c>
      <c r="I170" s="387">
        <v>187758.74</v>
      </c>
      <c r="J170" s="387">
        <v>171154.85</v>
      </c>
      <c r="K170" s="387">
        <v>173863.75999999998</v>
      </c>
      <c r="L170" s="387">
        <v>164263.88</v>
      </c>
      <c r="M170" s="387">
        <v>158176.31</v>
      </c>
      <c r="N170" s="387">
        <v>175758.67</v>
      </c>
      <c r="O170" s="988">
        <v>160876.26999999999</v>
      </c>
      <c r="P170" s="387" t="s">
        <v>2154</v>
      </c>
      <c r="Q170" s="387" t="s">
        <v>2154</v>
      </c>
      <c r="R170" s="387" t="s">
        <v>2154</v>
      </c>
      <c r="S170" s="387" t="s">
        <v>2154</v>
      </c>
      <c r="T170" s="387" t="s">
        <v>2154</v>
      </c>
      <c r="U170" s="387" t="s">
        <v>2154</v>
      </c>
      <c r="V170" s="387" t="s">
        <v>2154</v>
      </c>
      <c r="W170" s="387" t="s">
        <v>2154</v>
      </c>
      <c r="X170" s="387" t="s">
        <v>2154</v>
      </c>
      <c r="Y170" s="387" t="s">
        <v>2154</v>
      </c>
      <c r="Z170" s="387" t="s">
        <v>2154</v>
      </c>
      <c r="AA170" s="988" t="s">
        <v>2154</v>
      </c>
      <c r="AB170" s="387"/>
      <c r="AC170" s="387"/>
      <c r="AD170" s="387"/>
      <c r="AE170" s="387"/>
      <c r="AF170" s="387"/>
      <c r="AG170" s="387"/>
      <c r="AH170" s="387"/>
      <c r="AI170" s="387"/>
      <c r="AJ170" s="387"/>
      <c r="AK170" s="387"/>
      <c r="AL170" s="387"/>
      <c r="AM170" s="988"/>
      <c r="AN170" s="387"/>
      <c r="AO170" s="387"/>
      <c r="AP170" s="387"/>
      <c r="AQ170" s="387"/>
      <c r="AR170" s="387"/>
      <c r="AS170" s="387"/>
      <c r="AT170" s="387"/>
      <c r="AU170" s="387"/>
      <c r="AV170" s="387"/>
      <c r="AW170" s="387"/>
      <c r="AX170" s="387"/>
      <c r="AY170" s="988"/>
      <c r="AZ170" s="387"/>
      <c r="BA170" s="387"/>
      <c r="BB170" s="387"/>
      <c r="BC170" s="387"/>
      <c r="BD170" s="387"/>
      <c r="BE170" s="387"/>
      <c r="BF170" s="387"/>
      <c r="BG170" s="387"/>
      <c r="BH170" s="387"/>
      <c r="BI170" s="387"/>
      <c r="BJ170" s="387"/>
      <c r="BK170" s="988"/>
      <c r="BL170" s="387"/>
      <c r="BM170" s="387"/>
      <c r="BN170" s="387"/>
      <c r="BO170" s="387"/>
      <c r="BP170" s="387"/>
      <c r="BQ170" s="387"/>
      <c r="BR170" s="387"/>
      <c r="BS170" s="387"/>
      <c r="BT170" s="387"/>
      <c r="BU170" s="387"/>
      <c r="BV170" s="387"/>
      <c r="BW170" s="988"/>
      <c r="BX170" s="387"/>
      <c r="BY170" s="387"/>
      <c r="BZ170" s="387"/>
      <c r="CA170" s="387"/>
      <c r="CB170" s="387"/>
      <c r="CC170" s="387"/>
      <c r="CD170" s="387"/>
      <c r="CE170" s="387"/>
      <c r="CF170" s="387"/>
      <c r="CG170" s="387"/>
      <c r="CH170" s="387"/>
      <c r="CI170" s="988"/>
      <c r="CJ170" s="387"/>
      <c r="CK170" s="387"/>
      <c r="CL170" s="387"/>
      <c r="CM170" s="387"/>
      <c r="CN170" s="387"/>
      <c r="CO170" s="387"/>
      <c r="CP170" s="387"/>
      <c r="CQ170" s="387"/>
      <c r="CR170" s="387"/>
      <c r="CS170" s="387"/>
      <c r="CT170" s="387"/>
      <c r="CU170" s="988"/>
      <c r="CV170" s="387"/>
      <c r="CW170" s="387"/>
      <c r="CX170" s="387"/>
      <c r="CY170" s="387"/>
      <c r="CZ170" s="387"/>
      <c r="DA170" s="387"/>
      <c r="DB170" s="387"/>
      <c r="DC170" s="387"/>
      <c r="DD170" s="387"/>
      <c r="DE170" s="387"/>
      <c r="DF170" s="387"/>
      <c r="DG170" s="988"/>
      <c r="DH170" s="387"/>
      <c r="DI170" s="387"/>
      <c r="DJ170" s="387"/>
      <c r="DK170" s="387"/>
      <c r="DL170" s="387"/>
      <c r="DM170" s="387"/>
      <c r="DN170" s="387"/>
      <c r="DO170" s="387"/>
      <c r="DP170" s="387"/>
      <c r="DQ170" s="387"/>
      <c r="DR170" s="387"/>
      <c r="DS170" s="988"/>
      <c r="DT170" s="387" t="s">
        <v>2154</v>
      </c>
      <c r="DU170" s="387" t="s">
        <v>2154</v>
      </c>
      <c r="DV170" s="387" t="s">
        <v>2154</v>
      </c>
      <c r="DW170" s="387" t="s">
        <v>2154</v>
      </c>
      <c r="DX170" s="387" t="s">
        <v>2154</v>
      </c>
      <c r="DY170" s="387" t="s">
        <v>2154</v>
      </c>
      <c r="DZ170" s="387" t="s">
        <v>2154</v>
      </c>
      <c r="EA170" s="387" t="s">
        <v>2154</v>
      </c>
      <c r="EB170" s="387" t="s">
        <v>2154</v>
      </c>
      <c r="EC170" s="387" t="s">
        <v>2154</v>
      </c>
      <c r="ED170" s="387" t="s">
        <v>2154</v>
      </c>
      <c r="EE170" s="988" t="s">
        <v>2154</v>
      </c>
      <c r="EF170" s="387"/>
      <c r="EG170" s="387"/>
      <c r="EH170" s="387"/>
      <c r="EI170" s="387"/>
      <c r="EJ170" s="387"/>
      <c r="EK170" s="387"/>
      <c r="EL170" s="387"/>
      <c r="EM170" s="387"/>
      <c r="EN170" s="387"/>
      <c r="EO170" s="387"/>
      <c r="EP170" s="387"/>
      <c r="EQ170" s="988"/>
      <c r="ER170" s="387"/>
      <c r="ES170" s="387"/>
      <c r="ET170" s="387"/>
      <c r="EU170" s="387"/>
      <c r="EV170" s="387"/>
      <c r="EW170" s="387"/>
      <c r="EX170" s="387"/>
      <c r="EY170" s="387"/>
      <c r="EZ170" s="387"/>
      <c r="FA170" s="387"/>
      <c r="FB170" s="387"/>
      <c r="FC170" s="988"/>
      <c r="FD170" s="387"/>
      <c r="FE170" s="387"/>
      <c r="FF170" s="387"/>
      <c r="FG170" s="387"/>
      <c r="FH170" s="387"/>
      <c r="FI170" s="387"/>
      <c r="FJ170" s="387"/>
      <c r="FK170" s="387"/>
      <c r="FL170" s="387"/>
      <c r="FM170" s="387"/>
      <c r="FN170" s="387"/>
      <c r="FO170" s="988"/>
      <c r="FP170" s="387"/>
      <c r="FQ170" s="387"/>
      <c r="FR170" s="387"/>
      <c r="FS170" s="387"/>
      <c r="FT170" s="387"/>
      <c r="FU170" s="387"/>
      <c r="FV170" s="387"/>
      <c r="FW170" s="387"/>
      <c r="FX170" s="387"/>
      <c r="FY170" s="387"/>
      <c r="FZ170" s="387"/>
      <c r="GA170" s="988"/>
      <c r="GB170" s="109"/>
      <c r="GC170" s="2214">
        <f t="shared" si="148"/>
        <v>165603.81</v>
      </c>
      <c r="GD170" s="387">
        <f t="shared" si="148"/>
        <v>167386.43</v>
      </c>
      <c r="GE170" s="387">
        <f t="shared" si="148"/>
        <v>160293.69</v>
      </c>
      <c r="GF170" s="387">
        <f t="shared" si="148"/>
        <v>170530.19999999998</v>
      </c>
      <c r="GG170" s="387">
        <f t="shared" si="148"/>
        <v>178915.69</v>
      </c>
      <c r="GH170" s="387">
        <f t="shared" si="148"/>
        <v>187758.74</v>
      </c>
      <c r="GI170" s="387">
        <f t="shared" si="148"/>
        <v>171154.85</v>
      </c>
      <c r="GJ170" s="387">
        <f t="shared" si="148"/>
        <v>173863.75999999998</v>
      </c>
      <c r="GK170" s="387">
        <f t="shared" si="148"/>
        <v>164263.88</v>
      </c>
      <c r="GL170" s="387">
        <f t="shared" si="148"/>
        <v>158176.31</v>
      </c>
      <c r="GM170" s="387">
        <f t="shared" si="148"/>
        <v>175758.67</v>
      </c>
      <c r="GN170" s="988">
        <f t="shared" si="148"/>
        <v>160876.26999999999</v>
      </c>
      <c r="GO170" s="1036">
        <f t="shared" si="149"/>
        <v>0</v>
      </c>
      <c r="GP170" s="387">
        <f t="shared" si="149"/>
        <v>0</v>
      </c>
      <c r="GQ170" s="387">
        <f t="shared" si="149"/>
        <v>0</v>
      </c>
      <c r="GR170" s="387">
        <f t="shared" si="149"/>
        <v>0</v>
      </c>
      <c r="GS170" s="387">
        <f t="shared" si="149"/>
        <v>0</v>
      </c>
      <c r="GT170" s="387">
        <f t="shared" si="149"/>
        <v>0</v>
      </c>
      <c r="GU170" s="387">
        <f t="shared" si="149"/>
        <v>0</v>
      </c>
      <c r="GV170" s="387">
        <f t="shared" si="149"/>
        <v>0</v>
      </c>
      <c r="GW170" s="387">
        <f t="shared" si="149"/>
        <v>0</v>
      </c>
      <c r="GX170" s="387">
        <f t="shared" si="149"/>
        <v>0</v>
      </c>
      <c r="GY170" s="387">
        <f t="shared" si="149"/>
        <v>0</v>
      </c>
      <c r="GZ170" s="988">
        <f t="shared" si="149"/>
        <v>0</v>
      </c>
      <c r="HB170" s="387"/>
      <c r="HC170" s="387"/>
      <c r="HD170" s="387"/>
      <c r="HE170" s="387"/>
      <c r="HF170" s="387"/>
      <c r="HG170" s="387"/>
      <c r="HH170" s="387"/>
      <c r="HI170" s="387"/>
      <c r="HJ170" s="387"/>
      <c r="HK170" s="387"/>
      <c r="HL170" s="387"/>
      <c r="HM170" s="988"/>
    </row>
    <row r="171" spans="1:221">
      <c r="A171" s="326" t="s">
        <v>900</v>
      </c>
      <c r="B171" s="326" t="s">
        <v>901</v>
      </c>
      <c r="C171" s="326" t="s">
        <v>1284</v>
      </c>
      <c r="D171" s="1036" t="s">
        <v>2154</v>
      </c>
      <c r="E171" s="387" t="s">
        <v>2154</v>
      </c>
      <c r="F171" s="387" t="s">
        <v>2154</v>
      </c>
      <c r="G171" s="387" t="s">
        <v>2154</v>
      </c>
      <c r="H171" s="387" t="s">
        <v>2154</v>
      </c>
      <c r="I171" s="387" t="s">
        <v>2154</v>
      </c>
      <c r="J171" s="387" t="s">
        <v>2154</v>
      </c>
      <c r="K171" s="387" t="s">
        <v>2154</v>
      </c>
      <c r="L171" s="387" t="s">
        <v>2154</v>
      </c>
      <c r="M171" s="387" t="s">
        <v>2154</v>
      </c>
      <c r="N171" s="387" t="s">
        <v>2154</v>
      </c>
      <c r="O171" s="988" t="s">
        <v>2154</v>
      </c>
      <c r="P171" s="387">
        <v>62817.819999999992</v>
      </c>
      <c r="Q171" s="387">
        <v>55912.15</v>
      </c>
      <c r="R171" s="387">
        <v>74866.319999999992</v>
      </c>
      <c r="S171" s="387">
        <v>74827.11</v>
      </c>
      <c r="T171" s="387">
        <v>77716.100000000006</v>
      </c>
      <c r="U171" s="387">
        <v>76954.34</v>
      </c>
      <c r="V171" s="387">
        <v>113690.20000000001</v>
      </c>
      <c r="W171" s="387">
        <v>114328.69000000002</v>
      </c>
      <c r="X171" s="387">
        <v>122034.53000000001</v>
      </c>
      <c r="Y171" s="387">
        <v>136469.82</v>
      </c>
      <c r="Z171" s="387">
        <v>139982.78</v>
      </c>
      <c r="AA171" s="988">
        <v>146657.04999999999</v>
      </c>
      <c r="AB171" s="387"/>
      <c r="AC171" s="387"/>
      <c r="AD171" s="387"/>
      <c r="AE171" s="387"/>
      <c r="AF171" s="387"/>
      <c r="AG171" s="387"/>
      <c r="AH171" s="387"/>
      <c r="AI171" s="387"/>
      <c r="AJ171" s="387"/>
      <c r="AK171" s="387"/>
      <c r="AL171" s="387"/>
      <c r="AM171" s="988"/>
      <c r="AN171" s="387"/>
      <c r="AO171" s="387"/>
      <c r="AP171" s="387"/>
      <c r="AQ171" s="387"/>
      <c r="AR171" s="387"/>
      <c r="AS171" s="387"/>
      <c r="AT171" s="387"/>
      <c r="AU171" s="387"/>
      <c r="AV171" s="387"/>
      <c r="AW171" s="387"/>
      <c r="AX171" s="387"/>
      <c r="AY171" s="988"/>
      <c r="AZ171" s="387"/>
      <c r="BA171" s="387"/>
      <c r="BB171" s="387"/>
      <c r="BC171" s="387"/>
      <c r="BD171" s="387"/>
      <c r="BE171" s="387"/>
      <c r="BF171" s="387"/>
      <c r="BG171" s="387"/>
      <c r="BH171" s="387"/>
      <c r="BI171" s="387"/>
      <c r="BJ171" s="387"/>
      <c r="BK171" s="988"/>
      <c r="BL171" s="387"/>
      <c r="BM171" s="387"/>
      <c r="BN171" s="387"/>
      <c r="BO171" s="387"/>
      <c r="BP171" s="387"/>
      <c r="BQ171" s="387"/>
      <c r="BR171" s="387"/>
      <c r="BS171" s="387"/>
      <c r="BT171" s="387"/>
      <c r="BU171" s="387"/>
      <c r="BV171" s="387"/>
      <c r="BW171" s="988"/>
      <c r="BX171" s="387"/>
      <c r="BY171" s="387"/>
      <c r="BZ171" s="387"/>
      <c r="CA171" s="387"/>
      <c r="CB171" s="387"/>
      <c r="CC171" s="387"/>
      <c r="CD171" s="387"/>
      <c r="CE171" s="387"/>
      <c r="CF171" s="387"/>
      <c r="CG171" s="387"/>
      <c r="CH171" s="387"/>
      <c r="CI171" s="988"/>
      <c r="CJ171" s="387"/>
      <c r="CK171" s="387"/>
      <c r="CL171" s="387"/>
      <c r="CM171" s="387"/>
      <c r="CN171" s="387"/>
      <c r="CO171" s="387"/>
      <c r="CP171" s="387"/>
      <c r="CQ171" s="387"/>
      <c r="CR171" s="387"/>
      <c r="CS171" s="387"/>
      <c r="CT171" s="387"/>
      <c r="CU171" s="988"/>
      <c r="CV171" s="387"/>
      <c r="CW171" s="387"/>
      <c r="CX171" s="387"/>
      <c r="CY171" s="387"/>
      <c r="CZ171" s="387"/>
      <c r="DA171" s="387"/>
      <c r="DB171" s="387"/>
      <c r="DC171" s="387"/>
      <c r="DD171" s="387"/>
      <c r="DE171" s="387"/>
      <c r="DF171" s="387"/>
      <c r="DG171" s="988"/>
      <c r="DH171" s="387"/>
      <c r="DI171" s="387"/>
      <c r="DJ171" s="387"/>
      <c r="DK171" s="387"/>
      <c r="DL171" s="387"/>
      <c r="DM171" s="387"/>
      <c r="DN171" s="387"/>
      <c r="DO171" s="387"/>
      <c r="DP171" s="387"/>
      <c r="DQ171" s="387"/>
      <c r="DR171" s="387"/>
      <c r="DS171" s="988"/>
      <c r="DT171" s="387">
        <v>39457.899999999994</v>
      </c>
      <c r="DU171" s="387">
        <v>40359.82</v>
      </c>
      <c r="DV171" s="387">
        <v>36161.96</v>
      </c>
      <c r="DW171" s="387">
        <v>34033.19</v>
      </c>
      <c r="DX171" s="387">
        <v>30909.64</v>
      </c>
      <c r="DY171" s="387">
        <v>33489.5</v>
      </c>
      <c r="DZ171" s="387">
        <v>26889.42</v>
      </c>
      <c r="EA171" s="387">
        <v>34193.85</v>
      </c>
      <c r="EB171" s="387">
        <v>30674.690000000002</v>
      </c>
      <c r="EC171" s="387">
        <v>30905.16</v>
      </c>
      <c r="ED171" s="387">
        <v>32313.9</v>
      </c>
      <c r="EE171" s="988">
        <v>7527.7100000000009</v>
      </c>
      <c r="EF171" s="387"/>
      <c r="EG171" s="387"/>
      <c r="EH171" s="387"/>
      <c r="EI171" s="387"/>
      <c r="EJ171" s="387"/>
      <c r="EK171" s="387"/>
      <c r="EL171" s="387"/>
      <c r="EM171" s="387"/>
      <c r="EN171" s="387"/>
      <c r="EO171" s="387"/>
      <c r="EP171" s="387"/>
      <c r="EQ171" s="988"/>
      <c r="ER171" s="387"/>
      <c r="ES171" s="387"/>
      <c r="ET171" s="387"/>
      <c r="EU171" s="387"/>
      <c r="EV171" s="387"/>
      <c r="EW171" s="387"/>
      <c r="EX171" s="387"/>
      <c r="EY171" s="387"/>
      <c r="EZ171" s="387"/>
      <c r="FA171" s="387"/>
      <c r="FB171" s="387"/>
      <c r="FC171" s="988"/>
      <c r="FD171" s="387"/>
      <c r="FE171" s="387"/>
      <c r="FF171" s="387"/>
      <c r="FG171" s="387"/>
      <c r="FH171" s="387"/>
      <c r="FI171" s="387"/>
      <c r="FJ171" s="387"/>
      <c r="FK171" s="387"/>
      <c r="FL171" s="387"/>
      <c r="FM171" s="387"/>
      <c r="FN171" s="387"/>
      <c r="FO171" s="988"/>
      <c r="FP171" s="387"/>
      <c r="FQ171" s="387"/>
      <c r="FR171" s="387"/>
      <c r="FS171" s="387"/>
      <c r="FT171" s="387"/>
      <c r="FU171" s="387"/>
      <c r="FV171" s="387"/>
      <c r="FW171" s="387"/>
      <c r="FX171" s="387"/>
      <c r="FY171" s="387"/>
      <c r="FZ171" s="387"/>
      <c r="GA171" s="988"/>
      <c r="GB171" s="109"/>
      <c r="GC171" s="2214">
        <f t="shared" si="148"/>
        <v>102275.71999999999</v>
      </c>
      <c r="GD171" s="387">
        <f t="shared" si="148"/>
        <v>96271.97</v>
      </c>
      <c r="GE171" s="387">
        <f t="shared" si="148"/>
        <v>111028.28</v>
      </c>
      <c r="GF171" s="387">
        <f t="shared" si="148"/>
        <v>108860.3</v>
      </c>
      <c r="GG171" s="387">
        <f t="shared" si="148"/>
        <v>108625.74</v>
      </c>
      <c r="GH171" s="387">
        <f t="shared" si="148"/>
        <v>110443.84</v>
      </c>
      <c r="GI171" s="387">
        <f t="shared" si="148"/>
        <v>140579.62</v>
      </c>
      <c r="GJ171" s="387">
        <f t="shared" si="148"/>
        <v>148522.54</v>
      </c>
      <c r="GK171" s="387">
        <f t="shared" si="148"/>
        <v>152709.22000000003</v>
      </c>
      <c r="GL171" s="387">
        <f t="shared" si="148"/>
        <v>167374.98000000001</v>
      </c>
      <c r="GM171" s="387">
        <f t="shared" si="148"/>
        <v>172296.68</v>
      </c>
      <c r="GN171" s="988">
        <f t="shared" si="148"/>
        <v>154184.75999999998</v>
      </c>
      <c r="GO171" s="1036">
        <f t="shared" si="149"/>
        <v>39457.899999999994</v>
      </c>
      <c r="GP171" s="387">
        <f t="shared" si="149"/>
        <v>40359.82</v>
      </c>
      <c r="GQ171" s="387">
        <f t="shared" si="149"/>
        <v>36161.96</v>
      </c>
      <c r="GR171" s="387">
        <f t="shared" si="149"/>
        <v>34033.19</v>
      </c>
      <c r="GS171" s="387">
        <f t="shared" si="149"/>
        <v>30909.64</v>
      </c>
      <c r="GT171" s="387">
        <f t="shared" si="149"/>
        <v>33489.5</v>
      </c>
      <c r="GU171" s="387">
        <f t="shared" si="149"/>
        <v>26889.42</v>
      </c>
      <c r="GV171" s="387">
        <f t="shared" si="149"/>
        <v>34193.85</v>
      </c>
      <c r="GW171" s="387">
        <f t="shared" si="149"/>
        <v>30674.690000000002</v>
      </c>
      <c r="GX171" s="387">
        <f t="shared" si="149"/>
        <v>30905.16</v>
      </c>
      <c r="GY171" s="387">
        <f t="shared" si="149"/>
        <v>32313.9</v>
      </c>
      <c r="GZ171" s="988">
        <f t="shared" si="149"/>
        <v>7527.7100000000009</v>
      </c>
      <c r="HB171" s="387"/>
      <c r="HC171" s="387"/>
      <c r="HD171" s="387"/>
      <c r="HE171" s="387"/>
      <c r="HF171" s="387"/>
      <c r="HG171" s="387"/>
      <c r="HH171" s="387"/>
      <c r="HI171" s="387"/>
      <c r="HJ171" s="387"/>
      <c r="HK171" s="387"/>
      <c r="HL171" s="387"/>
      <c r="HM171" s="988"/>
    </row>
    <row r="172" spans="1:221">
      <c r="A172" s="326" t="s">
        <v>900</v>
      </c>
      <c r="B172" s="326" t="s">
        <v>901</v>
      </c>
      <c r="C172" s="326" t="s">
        <v>1285</v>
      </c>
      <c r="D172" s="1036" t="s">
        <v>2154</v>
      </c>
      <c r="E172" s="387" t="s">
        <v>2154</v>
      </c>
      <c r="F172" s="387" t="s">
        <v>2154</v>
      </c>
      <c r="G172" s="387" t="s">
        <v>2154</v>
      </c>
      <c r="H172" s="387" t="s">
        <v>2154</v>
      </c>
      <c r="I172" s="387" t="s">
        <v>2154</v>
      </c>
      <c r="J172" s="387" t="s">
        <v>2154</v>
      </c>
      <c r="K172" s="387" t="s">
        <v>2154</v>
      </c>
      <c r="L172" s="387" t="s">
        <v>2154</v>
      </c>
      <c r="M172" s="387" t="s">
        <v>2154</v>
      </c>
      <c r="N172" s="387" t="s">
        <v>2154</v>
      </c>
      <c r="O172" s="988" t="s">
        <v>2154</v>
      </c>
      <c r="P172" s="387" t="s">
        <v>2154</v>
      </c>
      <c r="Q172" s="387" t="s">
        <v>2154</v>
      </c>
      <c r="R172" s="387" t="s">
        <v>2154</v>
      </c>
      <c r="S172" s="387" t="s">
        <v>2154</v>
      </c>
      <c r="T172" s="387" t="s">
        <v>2154</v>
      </c>
      <c r="U172" s="387" t="s">
        <v>2154</v>
      </c>
      <c r="V172" s="387" t="s">
        <v>2154</v>
      </c>
      <c r="W172" s="387" t="s">
        <v>2154</v>
      </c>
      <c r="X172" s="387" t="s">
        <v>2154</v>
      </c>
      <c r="Y172" s="387" t="s">
        <v>2154</v>
      </c>
      <c r="Z172" s="387" t="s">
        <v>2154</v>
      </c>
      <c r="AA172" s="988" t="s">
        <v>2154</v>
      </c>
      <c r="AB172" s="387"/>
      <c r="AC172" s="387"/>
      <c r="AD172" s="387"/>
      <c r="AE172" s="387"/>
      <c r="AF172" s="387"/>
      <c r="AG172" s="387"/>
      <c r="AH172" s="387"/>
      <c r="AI172" s="387"/>
      <c r="AJ172" s="387"/>
      <c r="AK172" s="387"/>
      <c r="AL172" s="387"/>
      <c r="AM172" s="988"/>
      <c r="AN172" s="387"/>
      <c r="AO172" s="387"/>
      <c r="AP172" s="387"/>
      <c r="AQ172" s="387"/>
      <c r="AR172" s="387"/>
      <c r="AS172" s="387"/>
      <c r="AT172" s="387"/>
      <c r="AU172" s="387"/>
      <c r="AV172" s="387"/>
      <c r="AW172" s="387"/>
      <c r="AX172" s="387"/>
      <c r="AY172" s="988"/>
      <c r="AZ172" s="387"/>
      <c r="BA172" s="387"/>
      <c r="BB172" s="387"/>
      <c r="BC172" s="387"/>
      <c r="BD172" s="387"/>
      <c r="BE172" s="387"/>
      <c r="BF172" s="387"/>
      <c r="BG172" s="387"/>
      <c r="BH172" s="387"/>
      <c r="BI172" s="387"/>
      <c r="BJ172" s="387"/>
      <c r="BK172" s="988"/>
      <c r="BL172" s="387"/>
      <c r="BM172" s="387"/>
      <c r="BN172" s="387"/>
      <c r="BO172" s="387"/>
      <c r="BP172" s="387"/>
      <c r="BQ172" s="387"/>
      <c r="BR172" s="387"/>
      <c r="BS172" s="387"/>
      <c r="BT172" s="387"/>
      <c r="BU172" s="387"/>
      <c r="BV172" s="387"/>
      <c r="BW172" s="988"/>
      <c r="BX172" s="387"/>
      <c r="BY172" s="387"/>
      <c r="BZ172" s="387"/>
      <c r="CA172" s="387"/>
      <c r="CB172" s="387"/>
      <c r="CC172" s="387"/>
      <c r="CD172" s="387"/>
      <c r="CE172" s="387"/>
      <c r="CF172" s="387"/>
      <c r="CG172" s="387"/>
      <c r="CH172" s="387"/>
      <c r="CI172" s="988"/>
      <c r="CJ172" s="387"/>
      <c r="CK172" s="387"/>
      <c r="CL172" s="387"/>
      <c r="CM172" s="387"/>
      <c r="CN172" s="387"/>
      <c r="CO172" s="387"/>
      <c r="CP172" s="387"/>
      <c r="CQ172" s="387"/>
      <c r="CR172" s="387"/>
      <c r="CS172" s="387"/>
      <c r="CT172" s="387"/>
      <c r="CU172" s="988"/>
      <c r="CV172" s="387"/>
      <c r="CW172" s="387"/>
      <c r="CX172" s="387"/>
      <c r="CY172" s="387"/>
      <c r="CZ172" s="387"/>
      <c r="DA172" s="387"/>
      <c r="DB172" s="387"/>
      <c r="DC172" s="387"/>
      <c r="DD172" s="387"/>
      <c r="DE172" s="387"/>
      <c r="DF172" s="387"/>
      <c r="DG172" s="988"/>
      <c r="DH172" s="387"/>
      <c r="DI172" s="387"/>
      <c r="DJ172" s="387"/>
      <c r="DK172" s="387"/>
      <c r="DL172" s="387"/>
      <c r="DM172" s="387"/>
      <c r="DN172" s="387"/>
      <c r="DO172" s="387"/>
      <c r="DP172" s="387"/>
      <c r="DQ172" s="387"/>
      <c r="DR172" s="387"/>
      <c r="DS172" s="988"/>
      <c r="DT172" s="387" t="s">
        <v>2154</v>
      </c>
      <c r="DU172" s="387" t="s">
        <v>2154</v>
      </c>
      <c r="DV172" s="387" t="s">
        <v>2154</v>
      </c>
      <c r="DW172" s="387" t="s">
        <v>2154</v>
      </c>
      <c r="DX172" s="387" t="s">
        <v>2154</v>
      </c>
      <c r="DY172" s="387" t="s">
        <v>2154</v>
      </c>
      <c r="DZ172" s="387" t="s">
        <v>2154</v>
      </c>
      <c r="EA172" s="387" t="s">
        <v>2154</v>
      </c>
      <c r="EB172" s="387" t="s">
        <v>2154</v>
      </c>
      <c r="EC172" s="387" t="s">
        <v>2154</v>
      </c>
      <c r="ED172" s="387" t="s">
        <v>2154</v>
      </c>
      <c r="EE172" s="988" t="s">
        <v>2154</v>
      </c>
      <c r="EF172" s="387"/>
      <c r="EG172" s="387"/>
      <c r="EH172" s="387"/>
      <c r="EI172" s="387"/>
      <c r="EJ172" s="387"/>
      <c r="EK172" s="387"/>
      <c r="EL172" s="387"/>
      <c r="EM172" s="387"/>
      <c r="EN172" s="387"/>
      <c r="EO172" s="387"/>
      <c r="EP172" s="387"/>
      <c r="EQ172" s="988"/>
      <c r="ER172" s="387"/>
      <c r="ES172" s="387"/>
      <c r="ET172" s="387"/>
      <c r="EU172" s="387"/>
      <c r="EV172" s="387"/>
      <c r="EW172" s="387"/>
      <c r="EX172" s="387"/>
      <c r="EY172" s="387"/>
      <c r="EZ172" s="387"/>
      <c r="FA172" s="387"/>
      <c r="FB172" s="387"/>
      <c r="FC172" s="988"/>
      <c r="FD172" s="387"/>
      <c r="FE172" s="387"/>
      <c r="FF172" s="387"/>
      <c r="FG172" s="387"/>
      <c r="FH172" s="387"/>
      <c r="FI172" s="387"/>
      <c r="FJ172" s="387"/>
      <c r="FK172" s="387"/>
      <c r="FL172" s="387"/>
      <c r="FM172" s="387"/>
      <c r="FN172" s="387"/>
      <c r="FO172" s="988"/>
      <c r="FP172" s="387"/>
      <c r="FQ172" s="387"/>
      <c r="FR172" s="387"/>
      <c r="FS172" s="387"/>
      <c r="FT172" s="387"/>
      <c r="FU172" s="387"/>
      <c r="FV172" s="387"/>
      <c r="FW172" s="387"/>
      <c r="FX172" s="387"/>
      <c r="FY172" s="387"/>
      <c r="FZ172" s="387"/>
      <c r="GA172" s="988"/>
      <c r="GB172" s="109"/>
      <c r="GC172" s="2214">
        <f t="shared" si="148"/>
        <v>0</v>
      </c>
      <c r="GD172" s="387">
        <f t="shared" si="148"/>
        <v>0</v>
      </c>
      <c r="GE172" s="387">
        <f t="shared" si="148"/>
        <v>0</v>
      </c>
      <c r="GF172" s="387">
        <f t="shared" si="148"/>
        <v>0</v>
      </c>
      <c r="GG172" s="387">
        <f t="shared" si="148"/>
        <v>0</v>
      </c>
      <c r="GH172" s="387">
        <f t="shared" si="148"/>
        <v>0</v>
      </c>
      <c r="GI172" s="387">
        <f t="shared" si="148"/>
        <v>0</v>
      </c>
      <c r="GJ172" s="387">
        <f t="shared" si="148"/>
        <v>0</v>
      </c>
      <c r="GK172" s="387">
        <f t="shared" si="148"/>
        <v>0</v>
      </c>
      <c r="GL172" s="387">
        <f t="shared" si="148"/>
        <v>0</v>
      </c>
      <c r="GM172" s="387">
        <f t="shared" si="148"/>
        <v>0</v>
      </c>
      <c r="GN172" s="988">
        <f t="shared" si="148"/>
        <v>0</v>
      </c>
      <c r="GO172" s="1036">
        <f t="shared" si="149"/>
        <v>0</v>
      </c>
      <c r="GP172" s="387">
        <f t="shared" si="149"/>
        <v>0</v>
      </c>
      <c r="GQ172" s="387">
        <f t="shared" si="149"/>
        <v>0</v>
      </c>
      <c r="GR172" s="387">
        <f t="shared" si="149"/>
        <v>0</v>
      </c>
      <c r="GS172" s="387">
        <f t="shared" si="149"/>
        <v>0</v>
      </c>
      <c r="GT172" s="387">
        <f t="shared" si="149"/>
        <v>0</v>
      </c>
      <c r="GU172" s="387">
        <f t="shared" si="149"/>
        <v>0</v>
      </c>
      <c r="GV172" s="387">
        <f t="shared" si="149"/>
        <v>0</v>
      </c>
      <c r="GW172" s="387">
        <f t="shared" si="149"/>
        <v>0</v>
      </c>
      <c r="GX172" s="387">
        <f t="shared" si="149"/>
        <v>0</v>
      </c>
      <c r="GY172" s="387">
        <f t="shared" si="149"/>
        <v>0</v>
      </c>
      <c r="GZ172" s="988">
        <f t="shared" si="149"/>
        <v>0</v>
      </c>
      <c r="HB172" s="387"/>
      <c r="HC172" s="387"/>
      <c r="HD172" s="387"/>
      <c r="HE172" s="387"/>
      <c r="HF172" s="387"/>
      <c r="HG172" s="387"/>
      <c r="HH172" s="387"/>
      <c r="HI172" s="387"/>
      <c r="HJ172" s="387"/>
      <c r="HK172" s="387"/>
      <c r="HL172" s="387"/>
      <c r="HM172" s="988"/>
    </row>
    <row r="173" spans="1:221">
      <c r="A173" s="326" t="s">
        <v>900</v>
      </c>
      <c r="B173" s="326" t="s">
        <v>901</v>
      </c>
      <c r="C173" s="326" t="s">
        <v>1286</v>
      </c>
      <c r="D173" s="1036" t="s">
        <v>2154</v>
      </c>
      <c r="E173" s="387" t="s">
        <v>2154</v>
      </c>
      <c r="F173" s="387" t="s">
        <v>2154</v>
      </c>
      <c r="G173" s="387" t="s">
        <v>2154</v>
      </c>
      <c r="H173" s="387" t="s">
        <v>2154</v>
      </c>
      <c r="I173" s="387" t="s">
        <v>2154</v>
      </c>
      <c r="J173" s="387" t="s">
        <v>2154</v>
      </c>
      <c r="K173" s="387" t="s">
        <v>2154</v>
      </c>
      <c r="L173" s="387" t="s">
        <v>2154</v>
      </c>
      <c r="M173" s="387" t="s">
        <v>2154</v>
      </c>
      <c r="N173" s="387" t="s">
        <v>2154</v>
      </c>
      <c r="O173" s="988" t="s">
        <v>2154</v>
      </c>
      <c r="P173" s="387" t="s">
        <v>2154</v>
      </c>
      <c r="Q173" s="387" t="s">
        <v>2154</v>
      </c>
      <c r="R173" s="387" t="s">
        <v>2154</v>
      </c>
      <c r="S173" s="387" t="s">
        <v>2154</v>
      </c>
      <c r="T173" s="387" t="s">
        <v>2154</v>
      </c>
      <c r="U173" s="387" t="s">
        <v>2154</v>
      </c>
      <c r="V173" s="387" t="s">
        <v>2154</v>
      </c>
      <c r="W173" s="387" t="s">
        <v>2154</v>
      </c>
      <c r="X173" s="387" t="s">
        <v>2154</v>
      </c>
      <c r="Y173" s="387" t="s">
        <v>2154</v>
      </c>
      <c r="Z173" s="387" t="s">
        <v>2154</v>
      </c>
      <c r="AA173" s="988" t="s">
        <v>2154</v>
      </c>
      <c r="AB173" s="387"/>
      <c r="AC173" s="387"/>
      <c r="AD173" s="387"/>
      <c r="AE173" s="387"/>
      <c r="AF173" s="387"/>
      <c r="AG173" s="387"/>
      <c r="AH173" s="387"/>
      <c r="AI173" s="387"/>
      <c r="AJ173" s="387"/>
      <c r="AK173" s="387"/>
      <c r="AL173" s="387"/>
      <c r="AM173" s="988"/>
      <c r="AN173" s="387"/>
      <c r="AO173" s="387"/>
      <c r="AP173" s="387"/>
      <c r="AQ173" s="387"/>
      <c r="AR173" s="387"/>
      <c r="AS173" s="387"/>
      <c r="AT173" s="387"/>
      <c r="AU173" s="387"/>
      <c r="AV173" s="387"/>
      <c r="AW173" s="387"/>
      <c r="AX173" s="387"/>
      <c r="AY173" s="988"/>
      <c r="AZ173" s="387"/>
      <c r="BA173" s="387"/>
      <c r="BB173" s="387"/>
      <c r="BC173" s="387"/>
      <c r="BD173" s="387"/>
      <c r="BE173" s="387"/>
      <c r="BF173" s="387"/>
      <c r="BG173" s="387"/>
      <c r="BH173" s="387"/>
      <c r="BI173" s="387"/>
      <c r="BJ173" s="387"/>
      <c r="BK173" s="988"/>
      <c r="BL173" s="387"/>
      <c r="BM173" s="387"/>
      <c r="BN173" s="387"/>
      <c r="BO173" s="387"/>
      <c r="BP173" s="387"/>
      <c r="BQ173" s="387"/>
      <c r="BR173" s="387"/>
      <c r="BS173" s="387"/>
      <c r="BT173" s="387"/>
      <c r="BU173" s="387"/>
      <c r="BV173" s="387"/>
      <c r="BW173" s="988"/>
      <c r="BX173" s="387"/>
      <c r="BY173" s="387"/>
      <c r="BZ173" s="387"/>
      <c r="CA173" s="387"/>
      <c r="CB173" s="387"/>
      <c r="CC173" s="387"/>
      <c r="CD173" s="387"/>
      <c r="CE173" s="387"/>
      <c r="CF173" s="387"/>
      <c r="CG173" s="387"/>
      <c r="CH173" s="387"/>
      <c r="CI173" s="988"/>
      <c r="CJ173" s="387"/>
      <c r="CK173" s="387"/>
      <c r="CL173" s="387"/>
      <c r="CM173" s="387"/>
      <c r="CN173" s="387"/>
      <c r="CO173" s="387"/>
      <c r="CP173" s="387"/>
      <c r="CQ173" s="387"/>
      <c r="CR173" s="387"/>
      <c r="CS173" s="387"/>
      <c r="CT173" s="387"/>
      <c r="CU173" s="988"/>
      <c r="CV173" s="387"/>
      <c r="CW173" s="387"/>
      <c r="CX173" s="387"/>
      <c r="CY173" s="387"/>
      <c r="CZ173" s="387"/>
      <c r="DA173" s="387"/>
      <c r="DB173" s="387"/>
      <c r="DC173" s="387"/>
      <c r="DD173" s="387"/>
      <c r="DE173" s="387"/>
      <c r="DF173" s="387"/>
      <c r="DG173" s="988"/>
      <c r="DH173" s="387"/>
      <c r="DI173" s="387"/>
      <c r="DJ173" s="387"/>
      <c r="DK173" s="387"/>
      <c r="DL173" s="387"/>
      <c r="DM173" s="387"/>
      <c r="DN173" s="387"/>
      <c r="DO173" s="387"/>
      <c r="DP173" s="387"/>
      <c r="DQ173" s="387"/>
      <c r="DR173" s="387"/>
      <c r="DS173" s="988"/>
      <c r="DT173" s="387" t="s">
        <v>2154</v>
      </c>
      <c r="DU173" s="387" t="s">
        <v>2154</v>
      </c>
      <c r="DV173" s="387" t="s">
        <v>2154</v>
      </c>
      <c r="DW173" s="387" t="s">
        <v>2154</v>
      </c>
      <c r="DX173" s="387" t="s">
        <v>2154</v>
      </c>
      <c r="DY173" s="387" t="s">
        <v>2154</v>
      </c>
      <c r="DZ173" s="387" t="s">
        <v>2154</v>
      </c>
      <c r="EA173" s="387" t="s">
        <v>2154</v>
      </c>
      <c r="EB173" s="387" t="s">
        <v>2154</v>
      </c>
      <c r="EC173" s="387" t="s">
        <v>2154</v>
      </c>
      <c r="ED173" s="387" t="s">
        <v>2154</v>
      </c>
      <c r="EE173" s="988" t="s">
        <v>2154</v>
      </c>
      <c r="EF173" s="387"/>
      <c r="EG173" s="387"/>
      <c r="EH173" s="387"/>
      <c r="EI173" s="387"/>
      <c r="EJ173" s="387"/>
      <c r="EK173" s="387"/>
      <c r="EL173" s="387"/>
      <c r="EM173" s="387"/>
      <c r="EN173" s="387"/>
      <c r="EO173" s="387"/>
      <c r="EP173" s="387"/>
      <c r="EQ173" s="988"/>
      <c r="ER173" s="387"/>
      <c r="ES173" s="387"/>
      <c r="ET173" s="387"/>
      <c r="EU173" s="387"/>
      <c r="EV173" s="387"/>
      <c r="EW173" s="387"/>
      <c r="EX173" s="387"/>
      <c r="EY173" s="387"/>
      <c r="EZ173" s="387"/>
      <c r="FA173" s="387"/>
      <c r="FB173" s="387"/>
      <c r="FC173" s="988"/>
      <c r="FD173" s="387"/>
      <c r="FE173" s="387"/>
      <c r="FF173" s="387"/>
      <c r="FG173" s="387"/>
      <c r="FH173" s="387"/>
      <c r="FI173" s="387"/>
      <c r="FJ173" s="387"/>
      <c r="FK173" s="387"/>
      <c r="FL173" s="387"/>
      <c r="FM173" s="387"/>
      <c r="FN173" s="387"/>
      <c r="FO173" s="988"/>
      <c r="FP173" s="387"/>
      <c r="FQ173" s="387"/>
      <c r="FR173" s="387"/>
      <c r="FS173" s="387"/>
      <c r="FT173" s="387"/>
      <c r="FU173" s="387"/>
      <c r="FV173" s="387"/>
      <c r="FW173" s="387"/>
      <c r="FX173" s="387"/>
      <c r="FY173" s="387"/>
      <c r="FZ173" s="387"/>
      <c r="GA173" s="988"/>
      <c r="GB173" s="109"/>
      <c r="GC173" s="2214">
        <f t="shared" si="148"/>
        <v>0</v>
      </c>
      <c r="GD173" s="387">
        <f t="shared" si="148"/>
        <v>0</v>
      </c>
      <c r="GE173" s="387">
        <f t="shared" si="148"/>
        <v>0</v>
      </c>
      <c r="GF173" s="387">
        <f t="shared" si="148"/>
        <v>0</v>
      </c>
      <c r="GG173" s="387">
        <f t="shared" si="148"/>
        <v>0</v>
      </c>
      <c r="GH173" s="387">
        <f t="shared" si="148"/>
        <v>0</v>
      </c>
      <c r="GI173" s="387">
        <f t="shared" si="148"/>
        <v>0</v>
      </c>
      <c r="GJ173" s="387">
        <f t="shared" si="148"/>
        <v>0</v>
      </c>
      <c r="GK173" s="387">
        <f t="shared" si="148"/>
        <v>0</v>
      </c>
      <c r="GL173" s="387">
        <f t="shared" si="148"/>
        <v>0</v>
      </c>
      <c r="GM173" s="387">
        <f t="shared" si="148"/>
        <v>0</v>
      </c>
      <c r="GN173" s="988">
        <f t="shared" si="148"/>
        <v>0</v>
      </c>
      <c r="GO173" s="1036">
        <f t="shared" si="149"/>
        <v>0</v>
      </c>
      <c r="GP173" s="387">
        <f t="shared" si="149"/>
        <v>0</v>
      </c>
      <c r="GQ173" s="387">
        <f t="shared" si="149"/>
        <v>0</v>
      </c>
      <c r="GR173" s="387">
        <f t="shared" si="149"/>
        <v>0</v>
      </c>
      <c r="GS173" s="387">
        <f t="shared" si="149"/>
        <v>0</v>
      </c>
      <c r="GT173" s="387">
        <f t="shared" si="149"/>
        <v>0</v>
      </c>
      <c r="GU173" s="387">
        <f t="shared" si="149"/>
        <v>0</v>
      </c>
      <c r="GV173" s="387">
        <f t="shared" si="149"/>
        <v>0</v>
      </c>
      <c r="GW173" s="387">
        <f t="shared" si="149"/>
        <v>0</v>
      </c>
      <c r="GX173" s="387">
        <f t="shared" si="149"/>
        <v>0</v>
      </c>
      <c r="GY173" s="387">
        <f t="shared" si="149"/>
        <v>0</v>
      </c>
      <c r="GZ173" s="988">
        <f t="shared" si="149"/>
        <v>0</v>
      </c>
      <c r="HB173" s="387"/>
      <c r="HC173" s="387"/>
      <c r="HD173" s="387"/>
      <c r="HE173" s="387"/>
      <c r="HF173" s="387"/>
      <c r="HG173" s="387"/>
      <c r="HH173" s="387"/>
      <c r="HI173" s="387"/>
      <c r="HJ173" s="387"/>
      <c r="HK173" s="387"/>
      <c r="HL173" s="387"/>
      <c r="HM173" s="988"/>
    </row>
    <row r="174" spans="1:221">
      <c r="A174" s="326" t="s">
        <v>900</v>
      </c>
      <c r="B174" s="326" t="s">
        <v>901</v>
      </c>
      <c r="C174" s="326" t="s">
        <v>1287</v>
      </c>
      <c r="D174" s="1036" t="s">
        <v>2154</v>
      </c>
      <c r="E174" s="387" t="s">
        <v>2154</v>
      </c>
      <c r="F174" s="387" t="s">
        <v>2154</v>
      </c>
      <c r="G174" s="387" t="s">
        <v>2154</v>
      </c>
      <c r="H174" s="387" t="s">
        <v>2154</v>
      </c>
      <c r="I174" s="387" t="s">
        <v>2154</v>
      </c>
      <c r="J174" s="387" t="s">
        <v>2154</v>
      </c>
      <c r="K174" s="387" t="s">
        <v>2154</v>
      </c>
      <c r="L174" s="387" t="s">
        <v>2154</v>
      </c>
      <c r="M174" s="387" t="s">
        <v>2154</v>
      </c>
      <c r="N174" s="387" t="s">
        <v>2154</v>
      </c>
      <c r="O174" s="988" t="s">
        <v>2154</v>
      </c>
      <c r="P174" s="387" t="s">
        <v>2154</v>
      </c>
      <c r="Q174" s="387" t="s">
        <v>2154</v>
      </c>
      <c r="R174" s="387" t="s">
        <v>2154</v>
      </c>
      <c r="S174" s="387" t="s">
        <v>2154</v>
      </c>
      <c r="T174" s="387" t="s">
        <v>2154</v>
      </c>
      <c r="U174" s="387" t="s">
        <v>2154</v>
      </c>
      <c r="V174" s="387" t="s">
        <v>2154</v>
      </c>
      <c r="W174" s="387" t="s">
        <v>2154</v>
      </c>
      <c r="X174" s="387" t="s">
        <v>2154</v>
      </c>
      <c r="Y174" s="387" t="s">
        <v>2154</v>
      </c>
      <c r="Z174" s="387" t="s">
        <v>2154</v>
      </c>
      <c r="AA174" s="988" t="s">
        <v>2154</v>
      </c>
      <c r="AB174" s="387"/>
      <c r="AC174" s="387"/>
      <c r="AD174" s="387"/>
      <c r="AE174" s="387"/>
      <c r="AF174" s="387"/>
      <c r="AG174" s="387"/>
      <c r="AH174" s="387"/>
      <c r="AI174" s="387"/>
      <c r="AJ174" s="387"/>
      <c r="AK174" s="387"/>
      <c r="AL174" s="387"/>
      <c r="AM174" s="988"/>
      <c r="AN174" s="387"/>
      <c r="AO174" s="387"/>
      <c r="AP174" s="387"/>
      <c r="AQ174" s="387"/>
      <c r="AR174" s="387"/>
      <c r="AS174" s="387"/>
      <c r="AT174" s="387"/>
      <c r="AU174" s="387"/>
      <c r="AV174" s="387"/>
      <c r="AW174" s="387"/>
      <c r="AX174" s="387"/>
      <c r="AY174" s="988"/>
      <c r="AZ174" s="387"/>
      <c r="BA174" s="387"/>
      <c r="BB174" s="387"/>
      <c r="BC174" s="387"/>
      <c r="BD174" s="387"/>
      <c r="BE174" s="387"/>
      <c r="BF174" s="387"/>
      <c r="BG174" s="387"/>
      <c r="BH174" s="387"/>
      <c r="BI174" s="387"/>
      <c r="BJ174" s="387"/>
      <c r="BK174" s="988"/>
      <c r="BL174" s="387"/>
      <c r="BM174" s="387"/>
      <c r="BN174" s="387"/>
      <c r="BO174" s="387"/>
      <c r="BP174" s="387"/>
      <c r="BQ174" s="387"/>
      <c r="BR174" s="387"/>
      <c r="BS174" s="387"/>
      <c r="BT174" s="387"/>
      <c r="BU174" s="387"/>
      <c r="BV174" s="387"/>
      <c r="BW174" s="988"/>
      <c r="BX174" s="387"/>
      <c r="BY174" s="387"/>
      <c r="BZ174" s="387"/>
      <c r="CA174" s="387"/>
      <c r="CB174" s="387"/>
      <c r="CC174" s="387"/>
      <c r="CD174" s="387"/>
      <c r="CE174" s="387"/>
      <c r="CF174" s="387"/>
      <c r="CG174" s="387"/>
      <c r="CH174" s="387"/>
      <c r="CI174" s="988"/>
      <c r="CJ174" s="387"/>
      <c r="CK174" s="387"/>
      <c r="CL174" s="387"/>
      <c r="CM174" s="387"/>
      <c r="CN174" s="387"/>
      <c r="CO174" s="387"/>
      <c r="CP174" s="387"/>
      <c r="CQ174" s="387"/>
      <c r="CR174" s="387"/>
      <c r="CS174" s="387"/>
      <c r="CT174" s="387"/>
      <c r="CU174" s="988"/>
      <c r="CV174" s="387"/>
      <c r="CW174" s="387"/>
      <c r="CX174" s="387"/>
      <c r="CY174" s="387"/>
      <c r="CZ174" s="387"/>
      <c r="DA174" s="387"/>
      <c r="DB174" s="387"/>
      <c r="DC174" s="387"/>
      <c r="DD174" s="387"/>
      <c r="DE174" s="387"/>
      <c r="DF174" s="387"/>
      <c r="DG174" s="988"/>
      <c r="DH174" s="387"/>
      <c r="DI174" s="387"/>
      <c r="DJ174" s="387"/>
      <c r="DK174" s="387"/>
      <c r="DL174" s="387"/>
      <c r="DM174" s="387"/>
      <c r="DN174" s="387"/>
      <c r="DO174" s="387"/>
      <c r="DP174" s="387"/>
      <c r="DQ174" s="387"/>
      <c r="DR174" s="387"/>
      <c r="DS174" s="988"/>
      <c r="DT174" s="387" t="s">
        <v>2154</v>
      </c>
      <c r="DU174" s="387" t="s">
        <v>2154</v>
      </c>
      <c r="DV174" s="387" t="s">
        <v>2154</v>
      </c>
      <c r="DW174" s="387" t="s">
        <v>2154</v>
      </c>
      <c r="DX174" s="387" t="s">
        <v>2154</v>
      </c>
      <c r="DY174" s="387" t="s">
        <v>2154</v>
      </c>
      <c r="DZ174" s="387" t="s">
        <v>2154</v>
      </c>
      <c r="EA174" s="387" t="s">
        <v>2154</v>
      </c>
      <c r="EB174" s="387" t="s">
        <v>2154</v>
      </c>
      <c r="EC174" s="387" t="s">
        <v>2154</v>
      </c>
      <c r="ED174" s="387" t="s">
        <v>2154</v>
      </c>
      <c r="EE174" s="988" t="s">
        <v>2154</v>
      </c>
      <c r="EF174" s="387"/>
      <c r="EG174" s="387"/>
      <c r="EH174" s="387"/>
      <c r="EI174" s="387"/>
      <c r="EJ174" s="387"/>
      <c r="EK174" s="387"/>
      <c r="EL174" s="387"/>
      <c r="EM174" s="387"/>
      <c r="EN174" s="387"/>
      <c r="EO174" s="387"/>
      <c r="EP174" s="387"/>
      <c r="EQ174" s="988"/>
      <c r="ER174" s="387"/>
      <c r="ES174" s="387"/>
      <c r="ET174" s="387"/>
      <c r="EU174" s="387"/>
      <c r="EV174" s="387"/>
      <c r="EW174" s="387"/>
      <c r="EX174" s="387"/>
      <c r="EY174" s="387"/>
      <c r="EZ174" s="387"/>
      <c r="FA174" s="387"/>
      <c r="FB174" s="387"/>
      <c r="FC174" s="988"/>
      <c r="FD174" s="387"/>
      <c r="FE174" s="387"/>
      <c r="FF174" s="387"/>
      <c r="FG174" s="387"/>
      <c r="FH174" s="387"/>
      <c r="FI174" s="387"/>
      <c r="FJ174" s="387"/>
      <c r="FK174" s="387"/>
      <c r="FL174" s="387"/>
      <c r="FM174" s="387"/>
      <c r="FN174" s="387"/>
      <c r="FO174" s="988"/>
      <c r="FP174" s="387"/>
      <c r="FQ174" s="387"/>
      <c r="FR174" s="387"/>
      <c r="FS174" s="387"/>
      <c r="FT174" s="387"/>
      <c r="FU174" s="387"/>
      <c r="FV174" s="387"/>
      <c r="FW174" s="387"/>
      <c r="FX174" s="387"/>
      <c r="FY174" s="387"/>
      <c r="FZ174" s="387"/>
      <c r="GA174" s="988"/>
      <c r="GB174" s="109"/>
      <c r="GC174" s="2214">
        <f t="shared" si="148"/>
        <v>0</v>
      </c>
      <c r="GD174" s="387">
        <f t="shared" si="148"/>
        <v>0</v>
      </c>
      <c r="GE174" s="387">
        <f t="shared" si="148"/>
        <v>0</v>
      </c>
      <c r="GF174" s="387">
        <f t="shared" si="148"/>
        <v>0</v>
      </c>
      <c r="GG174" s="387">
        <f t="shared" si="148"/>
        <v>0</v>
      </c>
      <c r="GH174" s="387">
        <f t="shared" si="148"/>
        <v>0</v>
      </c>
      <c r="GI174" s="387">
        <f t="shared" si="148"/>
        <v>0</v>
      </c>
      <c r="GJ174" s="387">
        <f t="shared" si="148"/>
        <v>0</v>
      </c>
      <c r="GK174" s="387">
        <f t="shared" si="148"/>
        <v>0</v>
      </c>
      <c r="GL174" s="387">
        <f t="shared" si="148"/>
        <v>0</v>
      </c>
      <c r="GM174" s="387">
        <f t="shared" si="148"/>
        <v>0</v>
      </c>
      <c r="GN174" s="988">
        <f t="shared" si="148"/>
        <v>0</v>
      </c>
      <c r="GO174" s="1036">
        <f t="shared" si="149"/>
        <v>0</v>
      </c>
      <c r="GP174" s="387">
        <f t="shared" si="149"/>
        <v>0</v>
      </c>
      <c r="GQ174" s="387">
        <f t="shared" si="149"/>
        <v>0</v>
      </c>
      <c r="GR174" s="387">
        <f t="shared" si="149"/>
        <v>0</v>
      </c>
      <c r="GS174" s="387">
        <f t="shared" si="149"/>
        <v>0</v>
      </c>
      <c r="GT174" s="387">
        <f t="shared" si="149"/>
        <v>0</v>
      </c>
      <c r="GU174" s="387">
        <f t="shared" si="149"/>
        <v>0</v>
      </c>
      <c r="GV174" s="387">
        <f t="shared" si="149"/>
        <v>0</v>
      </c>
      <c r="GW174" s="387">
        <f t="shared" si="149"/>
        <v>0</v>
      </c>
      <c r="GX174" s="387">
        <f t="shared" si="149"/>
        <v>0</v>
      </c>
      <c r="GY174" s="387">
        <f t="shared" si="149"/>
        <v>0</v>
      </c>
      <c r="GZ174" s="988">
        <f t="shared" si="149"/>
        <v>0</v>
      </c>
      <c r="HB174" s="387"/>
      <c r="HC174" s="387"/>
      <c r="HD174" s="387"/>
      <c r="HE174" s="387"/>
      <c r="HF174" s="387"/>
      <c r="HG174" s="387"/>
      <c r="HH174" s="387"/>
      <c r="HI174" s="387"/>
      <c r="HJ174" s="387"/>
      <c r="HK174" s="387"/>
      <c r="HL174" s="387"/>
      <c r="HM174" s="988"/>
    </row>
    <row r="175" spans="1:221">
      <c r="A175" s="326" t="s">
        <v>900</v>
      </c>
      <c r="B175" s="326" t="s">
        <v>901</v>
      </c>
      <c r="C175" s="326" t="s">
        <v>1288</v>
      </c>
      <c r="D175" s="1036">
        <v>165603.81</v>
      </c>
      <c r="E175" s="387">
        <v>167386.43</v>
      </c>
      <c r="F175" s="387">
        <v>160293.69</v>
      </c>
      <c r="G175" s="387">
        <v>170530.19999999998</v>
      </c>
      <c r="H175" s="387">
        <v>178915.69</v>
      </c>
      <c r="I175" s="387">
        <v>187758.74</v>
      </c>
      <c r="J175" s="387">
        <v>171154.85</v>
      </c>
      <c r="K175" s="387">
        <v>173863.75999999998</v>
      </c>
      <c r="L175" s="387">
        <v>164263.88</v>
      </c>
      <c r="M175" s="387">
        <v>158176.31</v>
      </c>
      <c r="N175" s="387">
        <v>175758.67</v>
      </c>
      <c r="O175" s="988">
        <v>160876.26999999999</v>
      </c>
      <c r="P175" s="387">
        <v>62817.819999999992</v>
      </c>
      <c r="Q175" s="387">
        <v>55912.15</v>
      </c>
      <c r="R175" s="387">
        <v>74866.319999999992</v>
      </c>
      <c r="S175" s="387">
        <v>74827.11</v>
      </c>
      <c r="T175" s="387">
        <v>77716.100000000006</v>
      </c>
      <c r="U175" s="387">
        <v>76954.34</v>
      </c>
      <c r="V175" s="387">
        <v>113690.20000000001</v>
      </c>
      <c r="W175" s="387">
        <v>114328.69000000002</v>
      </c>
      <c r="X175" s="387">
        <v>122034.53000000001</v>
      </c>
      <c r="Y175" s="387">
        <v>136469.82</v>
      </c>
      <c r="Z175" s="387">
        <v>139982.78</v>
      </c>
      <c r="AA175" s="988">
        <v>146657.04999999999</v>
      </c>
      <c r="AB175" s="387"/>
      <c r="AC175" s="387"/>
      <c r="AD175" s="387"/>
      <c r="AE175" s="387"/>
      <c r="AF175" s="387"/>
      <c r="AG175" s="387"/>
      <c r="AH175" s="387"/>
      <c r="AI175" s="387"/>
      <c r="AJ175" s="387"/>
      <c r="AK175" s="387"/>
      <c r="AL175" s="387"/>
      <c r="AM175" s="988"/>
      <c r="AN175" s="387"/>
      <c r="AO175" s="387"/>
      <c r="AP175" s="387"/>
      <c r="AQ175" s="387"/>
      <c r="AR175" s="387"/>
      <c r="AS175" s="387"/>
      <c r="AT175" s="387"/>
      <c r="AU175" s="387"/>
      <c r="AV175" s="387"/>
      <c r="AW175" s="387"/>
      <c r="AX175" s="387"/>
      <c r="AY175" s="988"/>
      <c r="AZ175" s="387"/>
      <c r="BA175" s="387"/>
      <c r="BB175" s="387"/>
      <c r="BC175" s="387"/>
      <c r="BD175" s="387"/>
      <c r="BE175" s="387"/>
      <c r="BF175" s="387"/>
      <c r="BG175" s="387"/>
      <c r="BH175" s="387"/>
      <c r="BI175" s="387"/>
      <c r="BJ175" s="387"/>
      <c r="BK175" s="988"/>
      <c r="BL175" s="387"/>
      <c r="BM175" s="387"/>
      <c r="BN175" s="387"/>
      <c r="BO175" s="387"/>
      <c r="BP175" s="387"/>
      <c r="BQ175" s="387"/>
      <c r="BR175" s="387"/>
      <c r="BS175" s="387"/>
      <c r="BT175" s="387"/>
      <c r="BU175" s="387"/>
      <c r="BV175" s="387"/>
      <c r="BW175" s="988"/>
      <c r="BX175" s="387"/>
      <c r="BY175" s="387"/>
      <c r="BZ175" s="387"/>
      <c r="CA175" s="387"/>
      <c r="CB175" s="387"/>
      <c r="CC175" s="387"/>
      <c r="CD175" s="387"/>
      <c r="CE175" s="387"/>
      <c r="CF175" s="387"/>
      <c r="CG175" s="387"/>
      <c r="CH175" s="387"/>
      <c r="CI175" s="988"/>
      <c r="CJ175" s="387"/>
      <c r="CK175" s="387"/>
      <c r="CL175" s="387"/>
      <c r="CM175" s="387"/>
      <c r="CN175" s="387"/>
      <c r="CO175" s="387"/>
      <c r="CP175" s="387"/>
      <c r="CQ175" s="387"/>
      <c r="CR175" s="387"/>
      <c r="CS175" s="387"/>
      <c r="CT175" s="387"/>
      <c r="CU175" s="988"/>
      <c r="CV175" s="387"/>
      <c r="CW175" s="387"/>
      <c r="CX175" s="387"/>
      <c r="CY175" s="387"/>
      <c r="CZ175" s="387"/>
      <c r="DA175" s="387"/>
      <c r="DB175" s="387"/>
      <c r="DC175" s="387"/>
      <c r="DD175" s="387"/>
      <c r="DE175" s="387"/>
      <c r="DF175" s="387"/>
      <c r="DG175" s="988"/>
      <c r="DH175" s="387"/>
      <c r="DI175" s="387"/>
      <c r="DJ175" s="387"/>
      <c r="DK175" s="387"/>
      <c r="DL175" s="387"/>
      <c r="DM175" s="387"/>
      <c r="DN175" s="387"/>
      <c r="DO175" s="387"/>
      <c r="DP175" s="387"/>
      <c r="DQ175" s="387"/>
      <c r="DR175" s="387"/>
      <c r="DS175" s="988"/>
      <c r="DT175" s="387">
        <v>39457.899999999994</v>
      </c>
      <c r="DU175" s="387">
        <v>40359.82</v>
      </c>
      <c r="DV175" s="387">
        <v>36161.96</v>
      </c>
      <c r="DW175" s="387">
        <v>34033.19</v>
      </c>
      <c r="DX175" s="387">
        <v>30909.64</v>
      </c>
      <c r="DY175" s="387">
        <v>33489.5</v>
      </c>
      <c r="DZ175" s="387">
        <v>26889.42</v>
      </c>
      <c r="EA175" s="387">
        <v>34193.85</v>
      </c>
      <c r="EB175" s="387">
        <v>30674.690000000002</v>
      </c>
      <c r="EC175" s="387">
        <v>30905.16</v>
      </c>
      <c r="ED175" s="387">
        <v>32313.9</v>
      </c>
      <c r="EE175" s="988">
        <v>7527.7100000000009</v>
      </c>
      <c r="EF175" s="387"/>
      <c r="EG175" s="387"/>
      <c r="EH175" s="387"/>
      <c r="EI175" s="387"/>
      <c r="EJ175" s="387"/>
      <c r="EK175" s="387"/>
      <c r="EL175" s="387"/>
      <c r="EM175" s="387"/>
      <c r="EN175" s="387"/>
      <c r="EO175" s="387"/>
      <c r="EP175" s="387"/>
      <c r="EQ175" s="988"/>
      <c r="ER175" s="387"/>
      <c r="ES175" s="387"/>
      <c r="ET175" s="387"/>
      <c r="EU175" s="387"/>
      <c r="EV175" s="387"/>
      <c r="EW175" s="387"/>
      <c r="EX175" s="387"/>
      <c r="EY175" s="387"/>
      <c r="EZ175" s="387"/>
      <c r="FA175" s="387"/>
      <c r="FB175" s="387"/>
      <c r="FC175" s="988"/>
      <c r="FD175" s="387"/>
      <c r="FE175" s="387"/>
      <c r="FF175" s="387"/>
      <c r="FG175" s="387"/>
      <c r="FH175" s="387"/>
      <c r="FI175" s="387"/>
      <c r="FJ175" s="387"/>
      <c r="FK175" s="387"/>
      <c r="FL175" s="387"/>
      <c r="FM175" s="387"/>
      <c r="FN175" s="387"/>
      <c r="FO175" s="988"/>
      <c r="FP175" s="387"/>
      <c r="FQ175" s="387"/>
      <c r="FR175" s="387"/>
      <c r="FS175" s="387"/>
      <c r="FT175" s="387"/>
      <c r="FU175" s="387"/>
      <c r="FV175" s="387"/>
      <c r="FW175" s="387"/>
      <c r="FX175" s="387"/>
      <c r="FY175" s="387"/>
      <c r="FZ175" s="387"/>
      <c r="GA175" s="988"/>
      <c r="GB175" s="109"/>
      <c r="GC175" s="2214">
        <f t="shared" ref="GC175:GN184" si="150">SUMPRODUCT(--($D$6:$GA$6=GC$6),$D175:$GA175,$D$278:$GA$278)</f>
        <v>267879.53000000003</v>
      </c>
      <c r="GD175" s="387">
        <f t="shared" si="150"/>
        <v>263658.39999999997</v>
      </c>
      <c r="GE175" s="387">
        <f t="shared" si="150"/>
        <v>271321.97000000003</v>
      </c>
      <c r="GF175" s="387">
        <f t="shared" si="150"/>
        <v>279390.5</v>
      </c>
      <c r="GG175" s="387">
        <f t="shared" si="150"/>
        <v>287541.43</v>
      </c>
      <c r="GH175" s="387">
        <f t="shared" si="150"/>
        <v>298202.57999999996</v>
      </c>
      <c r="GI175" s="387">
        <f t="shared" si="150"/>
        <v>311734.47000000003</v>
      </c>
      <c r="GJ175" s="387">
        <f t="shared" si="150"/>
        <v>322386.3</v>
      </c>
      <c r="GK175" s="387">
        <f t="shared" si="150"/>
        <v>316973.10000000003</v>
      </c>
      <c r="GL175" s="387">
        <f t="shared" si="150"/>
        <v>325551.28999999998</v>
      </c>
      <c r="GM175" s="387">
        <f t="shared" si="150"/>
        <v>348055.35000000003</v>
      </c>
      <c r="GN175" s="988">
        <f t="shared" si="150"/>
        <v>315061.02999999997</v>
      </c>
      <c r="GO175" s="1036">
        <f t="shared" ref="GO175:GZ184" si="151">SUMPRODUCT(--($DT$6:$GA$6=GO$6),$DT175:$GA175,$DT$278:$GA$278)</f>
        <v>39457.899999999994</v>
      </c>
      <c r="GP175" s="387">
        <f t="shared" si="151"/>
        <v>40359.82</v>
      </c>
      <c r="GQ175" s="387">
        <f t="shared" si="151"/>
        <v>36161.96</v>
      </c>
      <c r="GR175" s="387">
        <f t="shared" si="151"/>
        <v>34033.19</v>
      </c>
      <c r="GS175" s="387">
        <f t="shared" si="151"/>
        <v>30909.64</v>
      </c>
      <c r="GT175" s="387">
        <f t="shared" si="151"/>
        <v>33489.5</v>
      </c>
      <c r="GU175" s="387">
        <f t="shared" si="151"/>
        <v>26889.42</v>
      </c>
      <c r="GV175" s="387">
        <f t="shared" si="151"/>
        <v>34193.85</v>
      </c>
      <c r="GW175" s="387">
        <f t="shared" si="151"/>
        <v>30674.690000000002</v>
      </c>
      <c r="GX175" s="387">
        <f t="shared" si="151"/>
        <v>30905.16</v>
      </c>
      <c r="GY175" s="387">
        <f t="shared" si="151"/>
        <v>32313.9</v>
      </c>
      <c r="GZ175" s="988">
        <f t="shared" si="151"/>
        <v>7527.7100000000009</v>
      </c>
      <c r="HB175" s="387"/>
      <c r="HC175" s="387"/>
      <c r="HD175" s="387"/>
      <c r="HE175" s="387"/>
      <c r="HF175" s="387"/>
      <c r="HG175" s="387"/>
      <c r="HH175" s="387"/>
      <c r="HI175" s="387"/>
      <c r="HJ175" s="387"/>
      <c r="HK175" s="387"/>
      <c r="HL175" s="387"/>
      <c r="HM175" s="988"/>
    </row>
    <row r="176" spans="1:221">
      <c r="A176" s="326" t="s">
        <v>900</v>
      </c>
      <c r="B176" s="326" t="s">
        <v>901</v>
      </c>
      <c r="C176" s="326" t="s">
        <v>1289</v>
      </c>
      <c r="D176" s="1036" t="s">
        <v>2154</v>
      </c>
      <c r="E176" s="387" t="s">
        <v>2154</v>
      </c>
      <c r="F176" s="387" t="s">
        <v>2154</v>
      </c>
      <c r="G176" s="387" t="s">
        <v>2154</v>
      </c>
      <c r="H176" s="387" t="s">
        <v>2154</v>
      </c>
      <c r="I176" s="387" t="s">
        <v>2154</v>
      </c>
      <c r="J176" s="387" t="s">
        <v>2154</v>
      </c>
      <c r="K176" s="387" t="s">
        <v>2154</v>
      </c>
      <c r="L176" s="387" t="s">
        <v>2154</v>
      </c>
      <c r="M176" s="387" t="s">
        <v>2154</v>
      </c>
      <c r="N176" s="387" t="s">
        <v>2154</v>
      </c>
      <c r="O176" s="988" t="s">
        <v>2154</v>
      </c>
      <c r="P176" s="387">
        <v>498</v>
      </c>
      <c r="Q176" s="387">
        <v>498</v>
      </c>
      <c r="R176" s="387">
        <v>249</v>
      </c>
      <c r="S176" s="387">
        <v>498</v>
      </c>
      <c r="T176" s="387">
        <v>498</v>
      </c>
      <c r="U176" s="387">
        <v>498</v>
      </c>
      <c r="V176" s="387">
        <v>1210.3800000000001</v>
      </c>
      <c r="W176" s="387">
        <v>1459.3799999999997</v>
      </c>
      <c r="X176" s="387">
        <v>1459.3799999999997</v>
      </c>
      <c r="Y176" s="387">
        <v>2155.1999999999998</v>
      </c>
      <c r="Z176" s="387">
        <v>3281.25</v>
      </c>
      <c r="AA176" s="988">
        <v>2138.6299999999997</v>
      </c>
      <c r="AB176" s="387"/>
      <c r="AC176" s="387"/>
      <c r="AD176" s="387"/>
      <c r="AE176" s="387"/>
      <c r="AF176" s="387"/>
      <c r="AG176" s="387"/>
      <c r="AH176" s="387"/>
      <c r="AI176" s="387"/>
      <c r="AJ176" s="387"/>
      <c r="AK176" s="387"/>
      <c r="AL176" s="387"/>
      <c r="AM176" s="988"/>
      <c r="AN176" s="387"/>
      <c r="AO176" s="387"/>
      <c r="AP176" s="387"/>
      <c r="AQ176" s="387"/>
      <c r="AR176" s="387"/>
      <c r="AS176" s="387"/>
      <c r="AT176" s="387"/>
      <c r="AU176" s="387"/>
      <c r="AV176" s="387"/>
      <c r="AW176" s="387"/>
      <c r="AX176" s="387"/>
      <c r="AY176" s="988"/>
      <c r="AZ176" s="387"/>
      <c r="BA176" s="387"/>
      <c r="BB176" s="387"/>
      <c r="BC176" s="387"/>
      <c r="BD176" s="387"/>
      <c r="BE176" s="387"/>
      <c r="BF176" s="387"/>
      <c r="BG176" s="387"/>
      <c r="BH176" s="387"/>
      <c r="BI176" s="387"/>
      <c r="BJ176" s="387"/>
      <c r="BK176" s="988"/>
      <c r="BL176" s="387"/>
      <c r="BM176" s="387"/>
      <c r="BN176" s="387"/>
      <c r="BO176" s="387"/>
      <c r="BP176" s="387"/>
      <c r="BQ176" s="387"/>
      <c r="BR176" s="387"/>
      <c r="BS176" s="387"/>
      <c r="BT176" s="387"/>
      <c r="BU176" s="387"/>
      <c r="BV176" s="387"/>
      <c r="BW176" s="988"/>
      <c r="BX176" s="387"/>
      <c r="BY176" s="387"/>
      <c r="BZ176" s="387"/>
      <c r="CA176" s="387"/>
      <c r="CB176" s="387"/>
      <c r="CC176" s="387"/>
      <c r="CD176" s="387"/>
      <c r="CE176" s="387"/>
      <c r="CF176" s="387"/>
      <c r="CG176" s="387"/>
      <c r="CH176" s="387"/>
      <c r="CI176" s="988"/>
      <c r="CJ176" s="387"/>
      <c r="CK176" s="387"/>
      <c r="CL176" s="387"/>
      <c r="CM176" s="387"/>
      <c r="CN176" s="387"/>
      <c r="CO176" s="387"/>
      <c r="CP176" s="387"/>
      <c r="CQ176" s="387"/>
      <c r="CR176" s="387"/>
      <c r="CS176" s="387"/>
      <c r="CT176" s="387"/>
      <c r="CU176" s="988"/>
      <c r="CV176" s="387"/>
      <c r="CW176" s="387"/>
      <c r="CX176" s="387"/>
      <c r="CY176" s="387"/>
      <c r="CZ176" s="387"/>
      <c r="DA176" s="387"/>
      <c r="DB176" s="387"/>
      <c r="DC176" s="387"/>
      <c r="DD176" s="387"/>
      <c r="DE176" s="387"/>
      <c r="DF176" s="387"/>
      <c r="DG176" s="988"/>
      <c r="DH176" s="387"/>
      <c r="DI176" s="387"/>
      <c r="DJ176" s="387"/>
      <c r="DK176" s="387"/>
      <c r="DL176" s="387"/>
      <c r="DM176" s="387"/>
      <c r="DN176" s="387"/>
      <c r="DO176" s="387"/>
      <c r="DP176" s="387"/>
      <c r="DQ176" s="387"/>
      <c r="DR176" s="387"/>
      <c r="DS176" s="988"/>
      <c r="DT176" s="387" t="s">
        <v>2154</v>
      </c>
      <c r="DU176" s="387" t="s">
        <v>2154</v>
      </c>
      <c r="DV176" s="387" t="s">
        <v>2154</v>
      </c>
      <c r="DW176" s="387" t="s">
        <v>2154</v>
      </c>
      <c r="DX176" s="387" t="s">
        <v>2154</v>
      </c>
      <c r="DY176" s="387" t="s">
        <v>2154</v>
      </c>
      <c r="DZ176" s="387" t="s">
        <v>2154</v>
      </c>
      <c r="EA176" s="387" t="s">
        <v>2154</v>
      </c>
      <c r="EB176" s="387" t="s">
        <v>2154</v>
      </c>
      <c r="EC176" s="387" t="s">
        <v>2154</v>
      </c>
      <c r="ED176" s="387" t="s">
        <v>2154</v>
      </c>
      <c r="EE176" s="988" t="s">
        <v>2154</v>
      </c>
      <c r="EF176" s="387"/>
      <c r="EG176" s="387"/>
      <c r="EH176" s="387"/>
      <c r="EI176" s="387"/>
      <c r="EJ176" s="387"/>
      <c r="EK176" s="387"/>
      <c r="EL176" s="387"/>
      <c r="EM176" s="387"/>
      <c r="EN176" s="387"/>
      <c r="EO176" s="387"/>
      <c r="EP176" s="387"/>
      <c r="EQ176" s="988"/>
      <c r="ER176" s="387"/>
      <c r="ES176" s="387"/>
      <c r="ET176" s="387"/>
      <c r="EU176" s="387"/>
      <c r="EV176" s="387"/>
      <c r="EW176" s="387"/>
      <c r="EX176" s="387"/>
      <c r="EY176" s="387"/>
      <c r="EZ176" s="387"/>
      <c r="FA176" s="387"/>
      <c r="FB176" s="387"/>
      <c r="FC176" s="988"/>
      <c r="FD176" s="387"/>
      <c r="FE176" s="387"/>
      <c r="FF176" s="387"/>
      <c r="FG176" s="387"/>
      <c r="FH176" s="387"/>
      <c r="FI176" s="387"/>
      <c r="FJ176" s="387"/>
      <c r="FK176" s="387"/>
      <c r="FL176" s="387"/>
      <c r="FM176" s="387"/>
      <c r="FN176" s="387"/>
      <c r="FO176" s="988"/>
      <c r="FP176" s="387"/>
      <c r="FQ176" s="387"/>
      <c r="FR176" s="387"/>
      <c r="FS176" s="387"/>
      <c r="FT176" s="387"/>
      <c r="FU176" s="387"/>
      <c r="FV176" s="387"/>
      <c r="FW176" s="387"/>
      <c r="FX176" s="387"/>
      <c r="FY176" s="387"/>
      <c r="FZ176" s="387"/>
      <c r="GA176" s="988"/>
      <c r="GB176" s="109"/>
      <c r="GC176" s="2214">
        <f t="shared" si="150"/>
        <v>498</v>
      </c>
      <c r="GD176" s="387">
        <f t="shared" si="150"/>
        <v>498</v>
      </c>
      <c r="GE176" s="387">
        <f t="shared" si="150"/>
        <v>249</v>
      </c>
      <c r="GF176" s="387">
        <f t="shared" si="150"/>
        <v>498</v>
      </c>
      <c r="GG176" s="387">
        <f t="shared" si="150"/>
        <v>498</v>
      </c>
      <c r="GH176" s="387">
        <f t="shared" si="150"/>
        <v>498</v>
      </c>
      <c r="GI176" s="387">
        <f t="shared" si="150"/>
        <v>1210.3800000000001</v>
      </c>
      <c r="GJ176" s="387">
        <f t="shared" si="150"/>
        <v>1459.3799999999997</v>
      </c>
      <c r="GK176" s="387">
        <f t="shared" si="150"/>
        <v>1459.3799999999997</v>
      </c>
      <c r="GL176" s="387">
        <f t="shared" si="150"/>
        <v>2155.1999999999998</v>
      </c>
      <c r="GM176" s="387">
        <f t="shared" si="150"/>
        <v>3281.25</v>
      </c>
      <c r="GN176" s="988">
        <f t="shared" si="150"/>
        <v>2138.6299999999997</v>
      </c>
      <c r="GO176" s="1036">
        <f t="shared" si="151"/>
        <v>0</v>
      </c>
      <c r="GP176" s="387">
        <f t="shared" si="151"/>
        <v>0</v>
      </c>
      <c r="GQ176" s="387">
        <f t="shared" si="151"/>
        <v>0</v>
      </c>
      <c r="GR176" s="387">
        <f t="shared" si="151"/>
        <v>0</v>
      </c>
      <c r="GS176" s="387">
        <f t="shared" si="151"/>
        <v>0</v>
      </c>
      <c r="GT176" s="387">
        <f t="shared" si="151"/>
        <v>0</v>
      </c>
      <c r="GU176" s="387">
        <f t="shared" si="151"/>
        <v>0</v>
      </c>
      <c r="GV176" s="387">
        <f t="shared" si="151"/>
        <v>0</v>
      </c>
      <c r="GW176" s="387">
        <f t="shared" si="151"/>
        <v>0</v>
      </c>
      <c r="GX176" s="387">
        <f t="shared" si="151"/>
        <v>0</v>
      </c>
      <c r="GY176" s="387">
        <f t="shared" si="151"/>
        <v>0</v>
      </c>
      <c r="GZ176" s="988">
        <f t="shared" si="151"/>
        <v>0</v>
      </c>
      <c r="HB176" s="387"/>
      <c r="HC176" s="387"/>
      <c r="HD176" s="387"/>
      <c r="HE176" s="387"/>
      <c r="HF176" s="387"/>
      <c r="HG176" s="387"/>
      <c r="HH176" s="387"/>
      <c r="HI176" s="387"/>
      <c r="HJ176" s="387"/>
      <c r="HK176" s="387"/>
      <c r="HL176" s="387"/>
      <c r="HM176" s="988"/>
    </row>
    <row r="177" spans="1:221">
      <c r="A177" s="326" t="s">
        <v>900</v>
      </c>
      <c r="B177" s="326" t="s">
        <v>901</v>
      </c>
      <c r="C177" s="326" t="s">
        <v>1585</v>
      </c>
      <c r="D177" s="1036">
        <v>6311.16</v>
      </c>
      <c r="E177" s="387">
        <v>5196.6299999999992</v>
      </c>
      <c r="F177" s="387">
        <v>569.88000000000011</v>
      </c>
      <c r="G177" s="387">
        <v>7617.0300000000007</v>
      </c>
      <c r="H177" s="387">
        <v>10018.24</v>
      </c>
      <c r="I177" s="387">
        <v>14146.109999999999</v>
      </c>
      <c r="J177" s="387">
        <v>10290.709999999999</v>
      </c>
      <c r="K177" s="387">
        <v>10231.5</v>
      </c>
      <c r="L177" s="387">
        <v>7326.15</v>
      </c>
      <c r="M177" s="387">
        <v>6074.46</v>
      </c>
      <c r="N177" s="387">
        <v>7855.74</v>
      </c>
      <c r="O177" s="988">
        <v>10143.119999999999</v>
      </c>
      <c r="P177" s="387">
        <v>579.6</v>
      </c>
      <c r="Q177" s="387">
        <v>552</v>
      </c>
      <c r="R177" s="387">
        <v>276</v>
      </c>
      <c r="S177" s="387">
        <v>276</v>
      </c>
      <c r="T177" s="387">
        <v>414</v>
      </c>
      <c r="U177" s="387">
        <v>1712.3999999999999</v>
      </c>
      <c r="V177" s="387">
        <v>-14.399999999999991</v>
      </c>
      <c r="W177" s="387">
        <v>2853.1</v>
      </c>
      <c r="X177" s="387">
        <v>5145.1000000000004</v>
      </c>
      <c r="Y177" s="387">
        <v>10187</v>
      </c>
      <c r="Z177" s="387">
        <v>8230.68</v>
      </c>
      <c r="AA177" s="988">
        <v>12190.92</v>
      </c>
      <c r="AB177" s="387"/>
      <c r="AC177" s="387"/>
      <c r="AD177" s="387"/>
      <c r="AE177" s="387"/>
      <c r="AF177" s="387"/>
      <c r="AG177" s="387"/>
      <c r="AH177" s="387"/>
      <c r="AI177" s="387"/>
      <c r="AJ177" s="387"/>
      <c r="AK177" s="387"/>
      <c r="AL177" s="387"/>
      <c r="AM177" s="988"/>
      <c r="AN177" s="387"/>
      <c r="AO177" s="387"/>
      <c r="AP177" s="387"/>
      <c r="AQ177" s="387"/>
      <c r="AR177" s="387"/>
      <c r="AS177" s="387"/>
      <c r="AT177" s="387"/>
      <c r="AU177" s="387"/>
      <c r="AV177" s="387"/>
      <c r="AW177" s="387"/>
      <c r="AX177" s="387"/>
      <c r="AY177" s="988"/>
      <c r="AZ177" s="387"/>
      <c r="BA177" s="387"/>
      <c r="BB177" s="387"/>
      <c r="BC177" s="387"/>
      <c r="BD177" s="387"/>
      <c r="BE177" s="387"/>
      <c r="BF177" s="387"/>
      <c r="BG177" s="387"/>
      <c r="BH177" s="387"/>
      <c r="BI177" s="387"/>
      <c r="BJ177" s="387"/>
      <c r="BK177" s="988"/>
      <c r="BL177" s="387"/>
      <c r="BM177" s="387"/>
      <c r="BN177" s="387"/>
      <c r="BO177" s="387"/>
      <c r="BP177" s="387"/>
      <c r="BQ177" s="387"/>
      <c r="BR177" s="387"/>
      <c r="BS177" s="387"/>
      <c r="BT177" s="387"/>
      <c r="BU177" s="387"/>
      <c r="BV177" s="387"/>
      <c r="BW177" s="988"/>
      <c r="BX177" s="387"/>
      <c r="BY177" s="387"/>
      <c r="BZ177" s="387"/>
      <c r="CA177" s="387"/>
      <c r="CB177" s="387"/>
      <c r="CC177" s="387"/>
      <c r="CD177" s="387"/>
      <c r="CE177" s="387"/>
      <c r="CF177" s="387"/>
      <c r="CG177" s="387"/>
      <c r="CH177" s="387"/>
      <c r="CI177" s="988"/>
      <c r="CJ177" s="387"/>
      <c r="CK177" s="387"/>
      <c r="CL177" s="387"/>
      <c r="CM177" s="387"/>
      <c r="CN177" s="387"/>
      <c r="CO177" s="387"/>
      <c r="CP177" s="387"/>
      <c r="CQ177" s="387"/>
      <c r="CR177" s="387"/>
      <c r="CS177" s="387"/>
      <c r="CT177" s="387"/>
      <c r="CU177" s="988"/>
      <c r="CV177" s="387"/>
      <c r="CW177" s="387"/>
      <c r="CX177" s="387"/>
      <c r="CY177" s="387"/>
      <c r="CZ177" s="387"/>
      <c r="DA177" s="387"/>
      <c r="DB177" s="387"/>
      <c r="DC177" s="387"/>
      <c r="DD177" s="387"/>
      <c r="DE177" s="387"/>
      <c r="DF177" s="387"/>
      <c r="DG177" s="988"/>
      <c r="DH177" s="387"/>
      <c r="DI177" s="387"/>
      <c r="DJ177" s="387"/>
      <c r="DK177" s="387"/>
      <c r="DL177" s="387"/>
      <c r="DM177" s="387"/>
      <c r="DN177" s="387"/>
      <c r="DO177" s="387"/>
      <c r="DP177" s="387"/>
      <c r="DQ177" s="387"/>
      <c r="DR177" s="387"/>
      <c r="DS177" s="988"/>
      <c r="DT177" s="387">
        <v>1603.7900000000002</v>
      </c>
      <c r="DU177" s="387">
        <v>1429.2000000000003</v>
      </c>
      <c r="DV177" s="387">
        <v>2024.7</v>
      </c>
      <c r="DW177" s="387">
        <v>3287.1600000000003</v>
      </c>
      <c r="DX177" s="387">
        <v>4589.32</v>
      </c>
      <c r="DY177" s="387">
        <v>4859.2800000000007</v>
      </c>
      <c r="DZ177" s="387">
        <v>571.67999999999995</v>
      </c>
      <c r="EA177" s="387">
        <v>3696.0699999999997</v>
      </c>
      <c r="EB177" s="387">
        <v>6002.6399999999994</v>
      </c>
      <c r="EC177" s="387">
        <v>5002.2</v>
      </c>
      <c r="ED177" s="387">
        <v>1286.2800000000002</v>
      </c>
      <c r="EE177" s="988">
        <v>-10084.799999999999</v>
      </c>
      <c r="EF177" s="387"/>
      <c r="EG177" s="387"/>
      <c r="EH177" s="387"/>
      <c r="EI177" s="387"/>
      <c r="EJ177" s="387"/>
      <c r="EK177" s="387"/>
      <c r="EL177" s="387"/>
      <c r="EM177" s="387"/>
      <c r="EN177" s="387"/>
      <c r="EO177" s="387"/>
      <c r="EP177" s="387"/>
      <c r="EQ177" s="988"/>
      <c r="ER177" s="387"/>
      <c r="ES177" s="387"/>
      <c r="ET177" s="387"/>
      <c r="EU177" s="387"/>
      <c r="EV177" s="387"/>
      <c r="EW177" s="387"/>
      <c r="EX177" s="387"/>
      <c r="EY177" s="387"/>
      <c r="EZ177" s="387"/>
      <c r="FA177" s="387"/>
      <c r="FB177" s="387"/>
      <c r="FC177" s="988"/>
      <c r="FD177" s="387"/>
      <c r="FE177" s="387"/>
      <c r="FF177" s="387"/>
      <c r="FG177" s="387"/>
      <c r="FH177" s="387"/>
      <c r="FI177" s="387"/>
      <c r="FJ177" s="387"/>
      <c r="FK177" s="387"/>
      <c r="FL177" s="387"/>
      <c r="FM177" s="387"/>
      <c r="FN177" s="387"/>
      <c r="FO177" s="988"/>
      <c r="FP177" s="387"/>
      <c r="FQ177" s="387"/>
      <c r="FR177" s="387"/>
      <c r="FS177" s="387"/>
      <c r="FT177" s="387"/>
      <c r="FU177" s="387"/>
      <c r="FV177" s="387"/>
      <c r="FW177" s="387"/>
      <c r="FX177" s="387"/>
      <c r="FY177" s="387"/>
      <c r="FZ177" s="387"/>
      <c r="GA177" s="988"/>
      <c r="GB177" s="109"/>
      <c r="GC177" s="2214">
        <f t="shared" si="150"/>
        <v>8494.5500000000011</v>
      </c>
      <c r="GD177" s="387">
        <f t="shared" si="150"/>
        <v>7177.83</v>
      </c>
      <c r="GE177" s="387">
        <f t="shared" si="150"/>
        <v>2870.58</v>
      </c>
      <c r="GF177" s="387">
        <f t="shared" si="150"/>
        <v>11180.19</v>
      </c>
      <c r="GG177" s="387">
        <f t="shared" si="150"/>
        <v>15021.56</v>
      </c>
      <c r="GH177" s="387">
        <f t="shared" si="150"/>
        <v>20717.79</v>
      </c>
      <c r="GI177" s="387">
        <f t="shared" si="150"/>
        <v>10847.99</v>
      </c>
      <c r="GJ177" s="387">
        <f t="shared" si="150"/>
        <v>16780.669999999998</v>
      </c>
      <c r="GK177" s="387">
        <f t="shared" si="150"/>
        <v>18473.89</v>
      </c>
      <c r="GL177" s="387">
        <f t="shared" si="150"/>
        <v>21263.66</v>
      </c>
      <c r="GM177" s="387">
        <f t="shared" si="150"/>
        <v>17372.7</v>
      </c>
      <c r="GN177" s="988">
        <f t="shared" si="150"/>
        <v>12249.240000000002</v>
      </c>
      <c r="GO177" s="1036">
        <f t="shared" si="151"/>
        <v>1603.7900000000002</v>
      </c>
      <c r="GP177" s="387">
        <f t="shared" si="151"/>
        <v>1429.2000000000003</v>
      </c>
      <c r="GQ177" s="387">
        <f t="shared" si="151"/>
        <v>2024.7</v>
      </c>
      <c r="GR177" s="387">
        <f t="shared" si="151"/>
        <v>3287.1600000000003</v>
      </c>
      <c r="GS177" s="387">
        <f t="shared" si="151"/>
        <v>4589.32</v>
      </c>
      <c r="GT177" s="387">
        <f t="shared" si="151"/>
        <v>4859.2800000000007</v>
      </c>
      <c r="GU177" s="387">
        <f t="shared" si="151"/>
        <v>571.67999999999995</v>
      </c>
      <c r="GV177" s="387">
        <f t="shared" si="151"/>
        <v>3696.0699999999997</v>
      </c>
      <c r="GW177" s="387">
        <f t="shared" si="151"/>
        <v>6002.6399999999994</v>
      </c>
      <c r="GX177" s="387">
        <f t="shared" si="151"/>
        <v>5002.2</v>
      </c>
      <c r="GY177" s="387">
        <f t="shared" si="151"/>
        <v>1286.2800000000002</v>
      </c>
      <c r="GZ177" s="988">
        <f t="shared" si="151"/>
        <v>-10084.799999999999</v>
      </c>
      <c r="HB177" s="387"/>
      <c r="HC177" s="387"/>
      <c r="HD177" s="387"/>
      <c r="HE177" s="387"/>
      <c r="HF177" s="387"/>
      <c r="HG177" s="387"/>
      <c r="HH177" s="387"/>
      <c r="HI177" s="387"/>
      <c r="HJ177" s="387"/>
      <c r="HK177" s="387"/>
      <c r="HL177" s="387"/>
      <c r="HM177" s="988"/>
    </row>
    <row r="178" spans="1:221">
      <c r="A178" s="326" t="s">
        <v>900</v>
      </c>
      <c r="B178" s="326" t="s">
        <v>901</v>
      </c>
      <c r="C178" s="326" t="s">
        <v>1592</v>
      </c>
      <c r="D178" s="1036" t="s">
        <v>2154</v>
      </c>
      <c r="E178" s="387" t="s">
        <v>2154</v>
      </c>
      <c r="F178" s="387" t="s">
        <v>2154</v>
      </c>
      <c r="G178" s="387" t="s">
        <v>2154</v>
      </c>
      <c r="H178" s="387" t="s">
        <v>2154</v>
      </c>
      <c r="I178" s="387" t="s">
        <v>2154</v>
      </c>
      <c r="J178" s="387" t="s">
        <v>2154</v>
      </c>
      <c r="K178" s="387" t="s">
        <v>2154</v>
      </c>
      <c r="L178" s="387" t="s">
        <v>2154</v>
      </c>
      <c r="M178" s="387" t="s">
        <v>2154</v>
      </c>
      <c r="N178" s="387" t="s">
        <v>2154</v>
      </c>
      <c r="O178" s="988" t="s">
        <v>2154</v>
      </c>
      <c r="P178" s="387" t="s">
        <v>2154</v>
      </c>
      <c r="Q178" s="387" t="s">
        <v>2154</v>
      </c>
      <c r="R178" s="387" t="s">
        <v>2154</v>
      </c>
      <c r="S178" s="387" t="s">
        <v>2154</v>
      </c>
      <c r="T178" s="387" t="s">
        <v>2154</v>
      </c>
      <c r="U178" s="387" t="s">
        <v>2154</v>
      </c>
      <c r="V178" s="387" t="s">
        <v>2154</v>
      </c>
      <c r="W178" s="387" t="s">
        <v>2154</v>
      </c>
      <c r="X178" s="387" t="s">
        <v>2154</v>
      </c>
      <c r="Y178" s="387" t="s">
        <v>2154</v>
      </c>
      <c r="Z178" s="387" t="s">
        <v>2154</v>
      </c>
      <c r="AA178" s="988" t="s">
        <v>2154</v>
      </c>
      <c r="AB178" s="387"/>
      <c r="AC178" s="387"/>
      <c r="AD178" s="387"/>
      <c r="AE178" s="387"/>
      <c r="AF178" s="387"/>
      <c r="AG178" s="387"/>
      <c r="AH178" s="387"/>
      <c r="AI178" s="387"/>
      <c r="AJ178" s="387"/>
      <c r="AK178" s="387"/>
      <c r="AL178" s="387"/>
      <c r="AM178" s="988"/>
      <c r="AN178" s="387"/>
      <c r="AO178" s="387"/>
      <c r="AP178" s="387"/>
      <c r="AQ178" s="387"/>
      <c r="AR178" s="387"/>
      <c r="AS178" s="387"/>
      <c r="AT178" s="387"/>
      <c r="AU178" s="387"/>
      <c r="AV178" s="387"/>
      <c r="AW178" s="387"/>
      <c r="AX178" s="387"/>
      <c r="AY178" s="988"/>
      <c r="AZ178" s="387"/>
      <c r="BA178" s="387"/>
      <c r="BB178" s="387"/>
      <c r="BC178" s="387"/>
      <c r="BD178" s="387"/>
      <c r="BE178" s="387"/>
      <c r="BF178" s="387"/>
      <c r="BG178" s="387"/>
      <c r="BH178" s="387"/>
      <c r="BI178" s="387"/>
      <c r="BJ178" s="387"/>
      <c r="BK178" s="988"/>
      <c r="BL178" s="387"/>
      <c r="BM178" s="387"/>
      <c r="BN178" s="387"/>
      <c r="BO178" s="387"/>
      <c r="BP178" s="387"/>
      <c r="BQ178" s="387"/>
      <c r="BR178" s="387"/>
      <c r="BS178" s="387"/>
      <c r="BT178" s="387"/>
      <c r="BU178" s="387"/>
      <c r="BV178" s="387"/>
      <c r="BW178" s="988"/>
      <c r="BX178" s="387"/>
      <c r="BY178" s="387"/>
      <c r="BZ178" s="387"/>
      <c r="CA178" s="387"/>
      <c r="CB178" s="387"/>
      <c r="CC178" s="387"/>
      <c r="CD178" s="387"/>
      <c r="CE178" s="387"/>
      <c r="CF178" s="387"/>
      <c r="CG178" s="387"/>
      <c r="CH178" s="387"/>
      <c r="CI178" s="988"/>
      <c r="CJ178" s="387"/>
      <c r="CK178" s="387"/>
      <c r="CL178" s="387"/>
      <c r="CM178" s="387"/>
      <c r="CN178" s="387"/>
      <c r="CO178" s="387"/>
      <c r="CP178" s="387"/>
      <c r="CQ178" s="387"/>
      <c r="CR178" s="387"/>
      <c r="CS178" s="387"/>
      <c r="CT178" s="387"/>
      <c r="CU178" s="988"/>
      <c r="CV178" s="387"/>
      <c r="CW178" s="387"/>
      <c r="CX178" s="387"/>
      <c r="CY178" s="387"/>
      <c r="CZ178" s="387"/>
      <c r="DA178" s="387"/>
      <c r="DB178" s="387"/>
      <c r="DC178" s="387"/>
      <c r="DD178" s="387"/>
      <c r="DE178" s="387"/>
      <c r="DF178" s="387"/>
      <c r="DG178" s="988"/>
      <c r="DH178" s="387"/>
      <c r="DI178" s="387"/>
      <c r="DJ178" s="387"/>
      <c r="DK178" s="387"/>
      <c r="DL178" s="387"/>
      <c r="DM178" s="387"/>
      <c r="DN178" s="387"/>
      <c r="DO178" s="387"/>
      <c r="DP178" s="387"/>
      <c r="DQ178" s="387"/>
      <c r="DR178" s="387"/>
      <c r="DS178" s="988"/>
      <c r="DT178" s="387" t="s">
        <v>2154</v>
      </c>
      <c r="DU178" s="387" t="s">
        <v>2154</v>
      </c>
      <c r="DV178" s="387" t="s">
        <v>2154</v>
      </c>
      <c r="DW178" s="387" t="s">
        <v>2154</v>
      </c>
      <c r="DX178" s="387" t="s">
        <v>2154</v>
      </c>
      <c r="DY178" s="387" t="s">
        <v>2154</v>
      </c>
      <c r="DZ178" s="387" t="s">
        <v>2154</v>
      </c>
      <c r="EA178" s="387" t="s">
        <v>2154</v>
      </c>
      <c r="EB178" s="387" t="s">
        <v>2154</v>
      </c>
      <c r="EC178" s="387" t="s">
        <v>2154</v>
      </c>
      <c r="ED178" s="387" t="s">
        <v>2154</v>
      </c>
      <c r="EE178" s="988" t="s">
        <v>2154</v>
      </c>
      <c r="EF178" s="387"/>
      <c r="EG178" s="387"/>
      <c r="EH178" s="387"/>
      <c r="EI178" s="387"/>
      <c r="EJ178" s="387"/>
      <c r="EK178" s="387"/>
      <c r="EL178" s="387"/>
      <c r="EM178" s="387"/>
      <c r="EN178" s="387"/>
      <c r="EO178" s="387"/>
      <c r="EP178" s="387"/>
      <c r="EQ178" s="988"/>
      <c r="ER178" s="387"/>
      <c r="ES178" s="387"/>
      <c r="ET178" s="387"/>
      <c r="EU178" s="387"/>
      <c r="EV178" s="387"/>
      <c r="EW178" s="387"/>
      <c r="EX178" s="387"/>
      <c r="EY178" s="387"/>
      <c r="EZ178" s="387"/>
      <c r="FA178" s="387"/>
      <c r="FB178" s="387"/>
      <c r="FC178" s="988"/>
      <c r="FD178" s="387"/>
      <c r="FE178" s="387"/>
      <c r="FF178" s="387"/>
      <c r="FG178" s="387"/>
      <c r="FH178" s="387"/>
      <c r="FI178" s="387"/>
      <c r="FJ178" s="387"/>
      <c r="FK178" s="387"/>
      <c r="FL178" s="387"/>
      <c r="FM178" s="387"/>
      <c r="FN178" s="387"/>
      <c r="FO178" s="988"/>
      <c r="FP178" s="387"/>
      <c r="FQ178" s="387"/>
      <c r="FR178" s="387"/>
      <c r="FS178" s="387"/>
      <c r="FT178" s="387"/>
      <c r="FU178" s="387"/>
      <c r="FV178" s="387"/>
      <c r="FW178" s="387"/>
      <c r="FX178" s="387"/>
      <c r="FY178" s="387"/>
      <c r="FZ178" s="387"/>
      <c r="GA178" s="988"/>
      <c r="GB178" s="109"/>
      <c r="GC178" s="2214">
        <f t="shared" si="150"/>
        <v>0</v>
      </c>
      <c r="GD178" s="387">
        <f t="shared" si="150"/>
        <v>0</v>
      </c>
      <c r="GE178" s="387">
        <f t="shared" si="150"/>
        <v>0</v>
      </c>
      <c r="GF178" s="387">
        <f t="shared" si="150"/>
        <v>0</v>
      </c>
      <c r="GG178" s="387">
        <f t="shared" si="150"/>
        <v>0</v>
      </c>
      <c r="GH178" s="387">
        <f t="shared" si="150"/>
        <v>0</v>
      </c>
      <c r="GI178" s="387">
        <f t="shared" si="150"/>
        <v>0</v>
      </c>
      <c r="GJ178" s="387">
        <f t="shared" si="150"/>
        <v>0</v>
      </c>
      <c r="GK178" s="387">
        <f t="shared" si="150"/>
        <v>0</v>
      </c>
      <c r="GL178" s="387">
        <f t="shared" si="150"/>
        <v>0</v>
      </c>
      <c r="GM178" s="387">
        <f t="shared" si="150"/>
        <v>0</v>
      </c>
      <c r="GN178" s="988">
        <f t="shared" si="150"/>
        <v>0</v>
      </c>
      <c r="GO178" s="1036">
        <f t="shared" si="151"/>
        <v>0</v>
      </c>
      <c r="GP178" s="387">
        <f t="shared" si="151"/>
        <v>0</v>
      </c>
      <c r="GQ178" s="387">
        <f t="shared" si="151"/>
        <v>0</v>
      </c>
      <c r="GR178" s="387">
        <f t="shared" si="151"/>
        <v>0</v>
      </c>
      <c r="GS178" s="387">
        <f t="shared" si="151"/>
        <v>0</v>
      </c>
      <c r="GT178" s="387">
        <f t="shared" si="151"/>
        <v>0</v>
      </c>
      <c r="GU178" s="387">
        <f t="shared" si="151"/>
        <v>0</v>
      </c>
      <c r="GV178" s="387">
        <f t="shared" si="151"/>
        <v>0</v>
      </c>
      <c r="GW178" s="387">
        <f t="shared" si="151"/>
        <v>0</v>
      </c>
      <c r="GX178" s="387">
        <f t="shared" si="151"/>
        <v>0</v>
      </c>
      <c r="GY178" s="387">
        <f t="shared" si="151"/>
        <v>0</v>
      </c>
      <c r="GZ178" s="988">
        <f t="shared" si="151"/>
        <v>0</v>
      </c>
      <c r="HB178" s="387"/>
      <c r="HC178" s="387"/>
      <c r="HD178" s="387"/>
      <c r="HE178" s="387"/>
      <c r="HF178" s="387"/>
      <c r="HG178" s="387"/>
      <c r="HH178" s="387"/>
      <c r="HI178" s="387"/>
      <c r="HJ178" s="387"/>
      <c r="HK178" s="387"/>
      <c r="HL178" s="387"/>
      <c r="HM178" s="988"/>
    </row>
    <row r="179" spans="1:221">
      <c r="A179" s="326" t="s">
        <v>900</v>
      </c>
      <c r="B179" s="326" t="s">
        <v>901</v>
      </c>
      <c r="C179" s="326" t="s">
        <v>1586</v>
      </c>
      <c r="D179" s="1036" t="s">
        <v>2154</v>
      </c>
      <c r="E179" s="387" t="s">
        <v>2154</v>
      </c>
      <c r="F179" s="387" t="s">
        <v>2154</v>
      </c>
      <c r="G179" s="387" t="s">
        <v>2154</v>
      </c>
      <c r="H179" s="387" t="s">
        <v>2154</v>
      </c>
      <c r="I179" s="387" t="s">
        <v>2154</v>
      </c>
      <c r="J179" s="387" t="s">
        <v>2154</v>
      </c>
      <c r="K179" s="387" t="s">
        <v>2154</v>
      </c>
      <c r="L179" s="387" t="s">
        <v>2154</v>
      </c>
      <c r="M179" s="387" t="s">
        <v>2154</v>
      </c>
      <c r="N179" s="387" t="s">
        <v>2154</v>
      </c>
      <c r="O179" s="988" t="s">
        <v>2154</v>
      </c>
      <c r="P179" s="387" t="s">
        <v>2154</v>
      </c>
      <c r="Q179" s="387" t="s">
        <v>2154</v>
      </c>
      <c r="R179" s="387" t="s">
        <v>2154</v>
      </c>
      <c r="S179" s="387" t="s">
        <v>2154</v>
      </c>
      <c r="T179" s="387" t="s">
        <v>2154</v>
      </c>
      <c r="U179" s="387" t="s">
        <v>2154</v>
      </c>
      <c r="V179" s="387" t="s">
        <v>2154</v>
      </c>
      <c r="W179" s="387" t="s">
        <v>2154</v>
      </c>
      <c r="X179" s="387" t="s">
        <v>2154</v>
      </c>
      <c r="Y179" s="387" t="s">
        <v>2154</v>
      </c>
      <c r="Z179" s="387" t="s">
        <v>2154</v>
      </c>
      <c r="AA179" s="988" t="s">
        <v>2154</v>
      </c>
      <c r="AB179" s="387"/>
      <c r="AC179" s="387"/>
      <c r="AD179" s="387"/>
      <c r="AE179" s="387"/>
      <c r="AF179" s="387"/>
      <c r="AG179" s="387"/>
      <c r="AH179" s="387"/>
      <c r="AI179" s="387"/>
      <c r="AJ179" s="387"/>
      <c r="AK179" s="387"/>
      <c r="AL179" s="387"/>
      <c r="AM179" s="988"/>
      <c r="AN179" s="387"/>
      <c r="AO179" s="387"/>
      <c r="AP179" s="387"/>
      <c r="AQ179" s="387"/>
      <c r="AR179" s="387"/>
      <c r="AS179" s="387"/>
      <c r="AT179" s="387"/>
      <c r="AU179" s="387"/>
      <c r="AV179" s="387"/>
      <c r="AW179" s="387"/>
      <c r="AX179" s="387"/>
      <c r="AY179" s="988"/>
      <c r="AZ179" s="387"/>
      <c r="BA179" s="387"/>
      <c r="BB179" s="387"/>
      <c r="BC179" s="387"/>
      <c r="BD179" s="387"/>
      <c r="BE179" s="387"/>
      <c r="BF179" s="387"/>
      <c r="BG179" s="387"/>
      <c r="BH179" s="387"/>
      <c r="BI179" s="387"/>
      <c r="BJ179" s="387"/>
      <c r="BK179" s="988"/>
      <c r="BL179" s="387"/>
      <c r="BM179" s="387"/>
      <c r="BN179" s="387"/>
      <c r="BO179" s="387"/>
      <c r="BP179" s="387"/>
      <c r="BQ179" s="387"/>
      <c r="BR179" s="387"/>
      <c r="BS179" s="387"/>
      <c r="BT179" s="387"/>
      <c r="BU179" s="387"/>
      <c r="BV179" s="387"/>
      <c r="BW179" s="988"/>
      <c r="BX179" s="387"/>
      <c r="BY179" s="387"/>
      <c r="BZ179" s="387"/>
      <c r="CA179" s="387"/>
      <c r="CB179" s="387"/>
      <c r="CC179" s="387"/>
      <c r="CD179" s="387"/>
      <c r="CE179" s="387"/>
      <c r="CF179" s="387"/>
      <c r="CG179" s="387"/>
      <c r="CH179" s="387"/>
      <c r="CI179" s="988"/>
      <c r="CJ179" s="387"/>
      <c r="CK179" s="387"/>
      <c r="CL179" s="387"/>
      <c r="CM179" s="387"/>
      <c r="CN179" s="387"/>
      <c r="CO179" s="387"/>
      <c r="CP179" s="387"/>
      <c r="CQ179" s="387"/>
      <c r="CR179" s="387"/>
      <c r="CS179" s="387"/>
      <c r="CT179" s="387"/>
      <c r="CU179" s="988"/>
      <c r="CV179" s="387"/>
      <c r="CW179" s="387"/>
      <c r="CX179" s="387"/>
      <c r="CY179" s="387"/>
      <c r="CZ179" s="387"/>
      <c r="DA179" s="387"/>
      <c r="DB179" s="387"/>
      <c r="DC179" s="387"/>
      <c r="DD179" s="387"/>
      <c r="DE179" s="387"/>
      <c r="DF179" s="387"/>
      <c r="DG179" s="988"/>
      <c r="DH179" s="387"/>
      <c r="DI179" s="387"/>
      <c r="DJ179" s="387"/>
      <c r="DK179" s="387"/>
      <c r="DL179" s="387"/>
      <c r="DM179" s="387"/>
      <c r="DN179" s="387"/>
      <c r="DO179" s="387"/>
      <c r="DP179" s="387"/>
      <c r="DQ179" s="387"/>
      <c r="DR179" s="387"/>
      <c r="DS179" s="988"/>
      <c r="DT179" s="387" t="s">
        <v>2154</v>
      </c>
      <c r="DU179" s="387" t="s">
        <v>2154</v>
      </c>
      <c r="DV179" s="387" t="s">
        <v>2154</v>
      </c>
      <c r="DW179" s="387" t="s">
        <v>2154</v>
      </c>
      <c r="DX179" s="387" t="s">
        <v>2154</v>
      </c>
      <c r="DY179" s="387" t="s">
        <v>2154</v>
      </c>
      <c r="DZ179" s="387" t="s">
        <v>2154</v>
      </c>
      <c r="EA179" s="387" t="s">
        <v>2154</v>
      </c>
      <c r="EB179" s="387" t="s">
        <v>2154</v>
      </c>
      <c r="EC179" s="387" t="s">
        <v>2154</v>
      </c>
      <c r="ED179" s="387" t="s">
        <v>2154</v>
      </c>
      <c r="EE179" s="988" t="s">
        <v>2154</v>
      </c>
      <c r="EF179" s="387"/>
      <c r="EG179" s="387"/>
      <c r="EH179" s="387"/>
      <c r="EI179" s="387"/>
      <c r="EJ179" s="387"/>
      <c r="EK179" s="387"/>
      <c r="EL179" s="387"/>
      <c r="EM179" s="387"/>
      <c r="EN179" s="387"/>
      <c r="EO179" s="387"/>
      <c r="EP179" s="387"/>
      <c r="EQ179" s="988"/>
      <c r="ER179" s="387"/>
      <c r="ES179" s="387"/>
      <c r="ET179" s="387"/>
      <c r="EU179" s="387"/>
      <c r="EV179" s="387"/>
      <c r="EW179" s="387"/>
      <c r="EX179" s="387"/>
      <c r="EY179" s="387"/>
      <c r="EZ179" s="387"/>
      <c r="FA179" s="387"/>
      <c r="FB179" s="387"/>
      <c r="FC179" s="988"/>
      <c r="FD179" s="387"/>
      <c r="FE179" s="387"/>
      <c r="FF179" s="387"/>
      <c r="FG179" s="387"/>
      <c r="FH179" s="387"/>
      <c r="FI179" s="387"/>
      <c r="FJ179" s="387"/>
      <c r="FK179" s="387"/>
      <c r="FL179" s="387"/>
      <c r="FM179" s="387"/>
      <c r="FN179" s="387"/>
      <c r="FO179" s="988"/>
      <c r="FP179" s="387"/>
      <c r="FQ179" s="387"/>
      <c r="FR179" s="387"/>
      <c r="FS179" s="387"/>
      <c r="FT179" s="387"/>
      <c r="FU179" s="387"/>
      <c r="FV179" s="387"/>
      <c r="FW179" s="387"/>
      <c r="FX179" s="387"/>
      <c r="FY179" s="387"/>
      <c r="FZ179" s="387"/>
      <c r="GA179" s="988"/>
      <c r="GB179" s="109"/>
      <c r="GC179" s="2214">
        <f t="shared" si="150"/>
        <v>0</v>
      </c>
      <c r="GD179" s="387">
        <f t="shared" si="150"/>
        <v>0</v>
      </c>
      <c r="GE179" s="387">
        <f t="shared" si="150"/>
        <v>0</v>
      </c>
      <c r="GF179" s="387">
        <f t="shared" si="150"/>
        <v>0</v>
      </c>
      <c r="GG179" s="387">
        <f t="shared" si="150"/>
        <v>0</v>
      </c>
      <c r="GH179" s="387">
        <f t="shared" si="150"/>
        <v>0</v>
      </c>
      <c r="GI179" s="387">
        <f t="shared" si="150"/>
        <v>0</v>
      </c>
      <c r="GJ179" s="387">
        <f t="shared" si="150"/>
        <v>0</v>
      </c>
      <c r="GK179" s="387">
        <f t="shared" si="150"/>
        <v>0</v>
      </c>
      <c r="GL179" s="387">
        <f t="shared" si="150"/>
        <v>0</v>
      </c>
      <c r="GM179" s="387">
        <f t="shared" si="150"/>
        <v>0</v>
      </c>
      <c r="GN179" s="988">
        <f t="shared" si="150"/>
        <v>0</v>
      </c>
      <c r="GO179" s="1036">
        <f t="shared" si="151"/>
        <v>0</v>
      </c>
      <c r="GP179" s="387">
        <f t="shared" si="151"/>
        <v>0</v>
      </c>
      <c r="GQ179" s="387">
        <f t="shared" si="151"/>
        <v>0</v>
      </c>
      <c r="GR179" s="387">
        <f t="shared" si="151"/>
        <v>0</v>
      </c>
      <c r="GS179" s="387">
        <f t="shared" si="151"/>
        <v>0</v>
      </c>
      <c r="GT179" s="387">
        <f t="shared" si="151"/>
        <v>0</v>
      </c>
      <c r="GU179" s="387">
        <f t="shared" si="151"/>
        <v>0</v>
      </c>
      <c r="GV179" s="387">
        <f t="shared" si="151"/>
        <v>0</v>
      </c>
      <c r="GW179" s="387">
        <f t="shared" si="151"/>
        <v>0</v>
      </c>
      <c r="GX179" s="387">
        <f t="shared" si="151"/>
        <v>0</v>
      </c>
      <c r="GY179" s="387">
        <f t="shared" si="151"/>
        <v>0</v>
      </c>
      <c r="GZ179" s="988">
        <f t="shared" si="151"/>
        <v>0</v>
      </c>
      <c r="HB179" s="387"/>
      <c r="HC179" s="387"/>
      <c r="HD179" s="387"/>
      <c r="HE179" s="387"/>
      <c r="HF179" s="387"/>
      <c r="HG179" s="387"/>
      <c r="HH179" s="387"/>
      <c r="HI179" s="387"/>
      <c r="HJ179" s="387"/>
      <c r="HK179" s="387"/>
      <c r="HL179" s="387"/>
      <c r="HM179" s="988"/>
    </row>
    <row r="180" spans="1:221">
      <c r="A180" s="326" t="s">
        <v>900</v>
      </c>
      <c r="B180" s="326" t="s">
        <v>901</v>
      </c>
      <c r="C180" s="326" t="s">
        <v>1589</v>
      </c>
      <c r="D180" s="1036" t="s">
        <v>2154</v>
      </c>
      <c r="E180" s="387" t="s">
        <v>2154</v>
      </c>
      <c r="F180" s="387" t="s">
        <v>2154</v>
      </c>
      <c r="G180" s="387" t="s">
        <v>2154</v>
      </c>
      <c r="H180" s="387" t="s">
        <v>2154</v>
      </c>
      <c r="I180" s="387" t="s">
        <v>2154</v>
      </c>
      <c r="J180" s="387" t="s">
        <v>2154</v>
      </c>
      <c r="K180" s="387" t="s">
        <v>2154</v>
      </c>
      <c r="L180" s="387" t="s">
        <v>2154</v>
      </c>
      <c r="M180" s="387" t="s">
        <v>2154</v>
      </c>
      <c r="N180" s="387" t="s">
        <v>2154</v>
      </c>
      <c r="O180" s="988" t="s">
        <v>2154</v>
      </c>
      <c r="P180" s="387" t="s">
        <v>2154</v>
      </c>
      <c r="Q180" s="387" t="s">
        <v>2154</v>
      </c>
      <c r="R180" s="387" t="s">
        <v>2154</v>
      </c>
      <c r="S180" s="387" t="s">
        <v>2154</v>
      </c>
      <c r="T180" s="387" t="s">
        <v>2154</v>
      </c>
      <c r="U180" s="387" t="s">
        <v>2154</v>
      </c>
      <c r="V180" s="387" t="s">
        <v>2154</v>
      </c>
      <c r="W180" s="387" t="s">
        <v>2154</v>
      </c>
      <c r="X180" s="387" t="s">
        <v>2154</v>
      </c>
      <c r="Y180" s="387" t="s">
        <v>2154</v>
      </c>
      <c r="Z180" s="387" t="s">
        <v>2154</v>
      </c>
      <c r="AA180" s="988" t="s">
        <v>2154</v>
      </c>
      <c r="AB180" s="387"/>
      <c r="AC180" s="387"/>
      <c r="AD180" s="387"/>
      <c r="AE180" s="387"/>
      <c r="AF180" s="387"/>
      <c r="AG180" s="387"/>
      <c r="AH180" s="387"/>
      <c r="AI180" s="387"/>
      <c r="AJ180" s="387"/>
      <c r="AK180" s="387"/>
      <c r="AL180" s="387"/>
      <c r="AM180" s="988"/>
      <c r="AN180" s="387"/>
      <c r="AO180" s="387"/>
      <c r="AP180" s="387"/>
      <c r="AQ180" s="387"/>
      <c r="AR180" s="387"/>
      <c r="AS180" s="387"/>
      <c r="AT180" s="387"/>
      <c r="AU180" s="387"/>
      <c r="AV180" s="387"/>
      <c r="AW180" s="387"/>
      <c r="AX180" s="387"/>
      <c r="AY180" s="988"/>
      <c r="AZ180" s="387"/>
      <c r="BA180" s="387"/>
      <c r="BB180" s="387"/>
      <c r="BC180" s="387"/>
      <c r="BD180" s="387"/>
      <c r="BE180" s="387"/>
      <c r="BF180" s="387"/>
      <c r="BG180" s="387"/>
      <c r="BH180" s="387"/>
      <c r="BI180" s="387"/>
      <c r="BJ180" s="387"/>
      <c r="BK180" s="988"/>
      <c r="BL180" s="387"/>
      <c r="BM180" s="387"/>
      <c r="BN180" s="387"/>
      <c r="BO180" s="387"/>
      <c r="BP180" s="387"/>
      <c r="BQ180" s="387"/>
      <c r="BR180" s="387"/>
      <c r="BS180" s="387"/>
      <c r="BT180" s="387"/>
      <c r="BU180" s="387"/>
      <c r="BV180" s="387"/>
      <c r="BW180" s="988"/>
      <c r="BX180" s="387"/>
      <c r="BY180" s="387"/>
      <c r="BZ180" s="387"/>
      <c r="CA180" s="387"/>
      <c r="CB180" s="387"/>
      <c r="CC180" s="387"/>
      <c r="CD180" s="387"/>
      <c r="CE180" s="387"/>
      <c r="CF180" s="387"/>
      <c r="CG180" s="387"/>
      <c r="CH180" s="387"/>
      <c r="CI180" s="988"/>
      <c r="CJ180" s="387"/>
      <c r="CK180" s="387"/>
      <c r="CL180" s="387"/>
      <c r="CM180" s="387"/>
      <c r="CN180" s="387"/>
      <c r="CO180" s="387"/>
      <c r="CP180" s="387"/>
      <c r="CQ180" s="387"/>
      <c r="CR180" s="387"/>
      <c r="CS180" s="387"/>
      <c r="CT180" s="387"/>
      <c r="CU180" s="988"/>
      <c r="CV180" s="387"/>
      <c r="CW180" s="387"/>
      <c r="CX180" s="387"/>
      <c r="CY180" s="387"/>
      <c r="CZ180" s="387"/>
      <c r="DA180" s="387"/>
      <c r="DB180" s="387"/>
      <c r="DC180" s="387"/>
      <c r="DD180" s="387"/>
      <c r="DE180" s="387"/>
      <c r="DF180" s="387"/>
      <c r="DG180" s="988"/>
      <c r="DH180" s="387"/>
      <c r="DI180" s="387"/>
      <c r="DJ180" s="387"/>
      <c r="DK180" s="387"/>
      <c r="DL180" s="387"/>
      <c r="DM180" s="387"/>
      <c r="DN180" s="387"/>
      <c r="DO180" s="387"/>
      <c r="DP180" s="387"/>
      <c r="DQ180" s="387"/>
      <c r="DR180" s="387"/>
      <c r="DS180" s="988"/>
      <c r="DT180" s="387" t="s">
        <v>2154</v>
      </c>
      <c r="DU180" s="387" t="s">
        <v>2154</v>
      </c>
      <c r="DV180" s="387" t="s">
        <v>2154</v>
      </c>
      <c r="DW180" s="387" t="s">
        <v>2154</v>
      </c>
      <c r="DX180" s="387" t="s">
        <v>2154</v>
      </c>
      <c r="DY180" s="387" t="s">
        <v>2154</v>
      </c>
      <c r="DZ180" s="387" t="s">
        <v>2154</v>
      </c>
      <c r="EA180" s="387" t="s">
        <v>2154</v>
      </c>
      <c r="EB180" s="387" t="s">
        <v>2154</v>
      </c>
      <c r="EC180" s="387" t="s">
        <v>2154</v>
      </c>
      <c r="ED180" s="387" t="s">
        <v>2154</v>
      </c>
      <c r="EE180" s="988" t="s">
        <v>2154</v>
      </c>
      <c r="EF180" s="387"/>
      <c r="EG180" s="387"/>
      <c r="EH180" s="387"/>
      <c r="EI180" s="387"/>
      <c r="EJ180" s="387"/>
      <c r="EK180" s="387"/>
      <c r="EL180" s="387"/>
      <c r="EM180" s="387"/>
      <c r="EN180" s="387"/>
      <c r="EO180" s="387"/>
      <c r="EP180" s="387"/>
      <c r="EQ180" s="988"/>
      <c r="ER180" s="387"/>
      <c r="ES180" s="387"/>
      <c r="ET180" s="387"/>
      <c r="EU180" s="387"/>
      <c r="EV180" s="387"/>
      <c r="EW180" s="387"/>
      <c r="EX180" s="387"/>
      <c r="EY180" s="387"/>
      <c r="EZ180" s="387"/>
      <c r="FA180" s="387"/>
      <c r="FB180" s="387"/>
      <c r="FC180" s="988"/>
      <c r="FD180" s="387"/>
      <c r="FE180" s="387"/>
      <c r="FF180" s="387"/>
      <c r="FG180" s="387"/>
      <c r="FH180" s="387"/>
      <c r="FI180" s="387"/>
      <c r="FJ180" s="387"/>
      <c r="FK180" s="387"/>
      <c r="FL180" s="387"/>
      <c r="FM180" s="387"/>
      <c r="FN180" s="387"/>
      <c r="FO180" s="988"/>
      <c r="FP180" s="387"/>
      <c r="FQ180" s="387"/>
      <c r="FR180" s="387"/>
      <c r="FS180" s="387"/>
      <c r="FT180" s="387"/>
      <c r="FU180" s="387"/>
      <c r="FV180" s="387"/>
      <c r="FW180" s="387"/>
      <c r="FX180" s="387"/>
      <c r="FY180" s="387"/>
      <c r="FZ180" s="387"/>
      <c r="GA180" s="988"/>
      <c r="GB180" s="109"/>
      <c r="GC180" s="2214">
        <f t="shared" si="150"/>
        <v>0</v>
      </c>
      <c r="GD180" s="387">
        <f t="shared" si="150"/>
        <v>0</v>
      </c>
      <c r="GE180" s="387">
        <f t="shared" si="150"/>
        <v>0</v>
      </c>
      <c r="GF180" s="387">
        <f t="shared" si="150"/>
        <v>0</v>
      </c>
      <c r="GG180" s="387">
        <f t="shared" si="150"/>
        <v>0</v>
      </c>
      <c r="GH180" s="387">
        <f t="shared" si="150"/>
        <v>0</v>
      </c>
      <c r="GI180" s="387">
        <f t="shared" si="150"/>
        <v>0</v>
      </c>
      <c r="GJ180" s="387">
        <f t="shared" si="150"/>
        <v>0</v>
      </c>
      <c r="GK180" s="387">
        <f t="shared" si="150"/>
        <v>0</v>
      </c>
      <c r="GL180" s="387">
        <f t="shared" si="150"/>
        <v>0</v>
      </c>
      <c r="GM180" s="387">
        <f t="shared" si="150"/>
        <v>0</v>
      </c>
      <c r="GN180" s="988">
        <f t="shared" si="150"/>
        <v>0</v>
      </c>
      <c r="GO180" s="1036">
        <f t="shared" si="151"/>
        <v>0</v>
      </c>
      <c r="GP180" s="387">
        <f t="shared" si="151"/>
        <v>0</v>
      </c>
      <c r="GQ180" s="387">
        <f t="shared" si="151"/>
        <v>0</v>
      </c>
      <c r="GR180" s="387">
        <f t="shared" si="151"/>
        <v>0</v>
      </c>
      <c r="GS180" s="387">
        <f t="shared" si="151"/>
        <v>0</v>
      </c>
      <c r="GT180" s="387">
        <f t="shared" si="151"/>
        <v>0</v>
      </c>
      <c r="GU180" s="387">
        <f t="shared" si="151"/>
        <v>0</v>
      </c>
      <c r="GV180" s="387">
        <f t="shared" si="151"/>
        <v>0</v>
      </c>
      <c r="GW180" s="387">
        <f t="shared" si="151"/>
        <v>0</v>
      </c>
      <c r="GX180" s="387">
        <f t="shared" si="151"/>
        <v>0</v>
      </c>
      <c r="GY180" s="387">
        <f t="shared" si="151"/>
        <v>0</v>
      </c>
      <c r="GZ180" s="988">
        <f t="shared" si="151"/>
        <v>0</v>
      </c>
      <c r="HB180" s="387"/>
      <c r="HC180" s="387"/>
      <c r="HD180" s="387"/>
      <c r="HE180" s="387"/>
      <c r="HF180" s="387"/>
      <c r="HG180" s="387"/>
      <c r="HH180" s="387"/>
      <c r="HI180" s="387"/>
      <c r="HJ180" s="387"/>
      <c r="HK180" s="387"/>
      <c r="HL180" s="387"/>
      <c r="HM180" s="988"/>
    </row>
    <row r="181" spans="1:221">
      <c r="A181" s="326" t="s">
        <v>900</v>
      </c>
      <c r="B181" s="326" t="s">
        <v>901</v>
      </c>
      <c r="C181" s="326" t="s">
        <v>1588</v>
      </c>
      <c r="D181" s="1036" t="s">
        <v>2154</v>
      </c>
      <c r="E181" s="387" t="s">
        <v>2154</v>
      </c>
      <c r="F181" s="387" t="s">
        <v>2154</v>
      </c>
      <c r="G181" s="387" t="s">
        <v>2154</v>
      </c>
      <c r="H181" s="387" t="s">
        <v>2154</v>
      </c>
      <c r="I181" s="387" t="s">
        <v>2154</v>
      </c>
      <c r="J181" s="387" t="s">
        <v>2154</v>
      </c>
      <c r="K181" s="387" t="s">
        <v>2154</v>
      </c>
      <c r="L181" s="387" t="s">
        <v>2154</v>
      </c>
      <c r="M181" s="387" t="s">
        <v>2154</v>
      </c>
      <c r="N181" s="387" t="s">
        <v>2154</v>
      </c>
      <c r="O181" s="988" t="s">
        <v>2154</v>
      </c>
      <c r="P181" s="387" t="s">
        <v>2154</v>
      </c>
      <c r="Q181" s="387" t="s">
        <v>2154</v>
      </c>
      <c r="R181" s="387" t="s">
        <v>2154</v>
      </c>
      <c r="S181" s="387" t="s">
        <v>2154</v>
      </c>
      <c r="T181" s="387" t="s">
        <v>2154</v>
      </c>
      <c r="U181" s="387" t="s">
        <v>2154</v>
      </c>
      <c r="V181" s="387" t="s">
        <v>2154</v>
      </c>
      <c r="W181" s="387" t="s">
        <v>2154</v>
      </c>
      <c r="X181" s="387" t="s">
        <v>2154</v>
      </c>
      <c r="Y181" s="387" t="s">
        <v>2154</v>
      </c>
      <c r="Z181" s="387" t="s">
        <v>2154</v>
      </c>
      <c r="AA181" s="988" t="s">
        <v>2154</v>
      </c>
      <c r="AB181" s="387"/>
      <c r="AC181" s="387"/>
      <c r="AD181" s="387"/>
      <c r="AE181" s="387"/>
      <c r="AF181" s="387"/>
      <c r="AG181" s="387"/>
      <c r="AH181" s="387"/>
      <c r="AI181" s="387"/>
      <c r="AJ181" s="387"/>
      <c r="AK181" s="387"/>
      <c r="AL181" s="387"/>
      <c r="AM181" s="988"/>
      <c r="AN181" s="387"/>
      <c r="AO181" s="387"/>
      <c r="AP181" s="387"/>
      <c r="AQ181" s="387"/>
      <c r="AR181" s="387"/>
      <c r="AS181" s="387"/>
      <c r="AT181" s="387"/>
      <c r="AU181" s="387"/>
      <c r="AV181" s="387"/>
      <c r="AW181" s="387"/>
      <c r="AX181" s="387"/>
      <c r="AY181" s="988"/>
      <c r="AZ181" s="387"/>
      <c r="BA181" s="387"/>
      <c r="BB181" s="387"/>
      <c r="BC181" s="387"/>
      <c r="BD181" s="387"/>
      <c r="BE181" s="387"/>
      <c r="BF181" s="387"/>
      <c r="BG181" s="387"/>
      <c r="BH181" s="387"/>
      <c r="BI181" s="387"/>
      <c r="BJ181" s="387"/>
      <c r="BK181" s="988"/>
      <c r="BL181" s="387"/>
      <c r="BM181" s="387"/>
      <c r="BN181" s="387"/>
      <c r="BO181" s="387"/>
      <c r="BP181" s="387"/>
      <c r="BQ181" s="387"/>
      <c r="BR181" s="387"/>
      <c r="BS181" s="387"/>
      <c r="BT181" s="387"/>
      <c r="BU181" s="387"/>
      <c r="BV181" s="387"/>
      <c r="BW181" s="988"/>
      <c r="BX181" s="387"/>
      <c r="BY181" s="387"/>
      <c r="BZ181" s="387"/>
      <c r="CA181" s="387"/>
      <c r="CB181" s="387"/>
      <c r="CC181" s="387"/>
      <c r="CD181" s="387"/>
      <c r="CE181" s="387"/>
      <c r="CF181" s="387"/>
      <c r="CG181" s="387"/>
      <c r="CH181" s="387"/>
      <c r="CI181" s="988"/>
      <c r="CJ181" s="387"/>
      <c r="CK181" s="387"/>
      <c r="CL181" s="387"/>
      <c r="CM181" s="387"/>
      <c r="CN181" s="387"/>
      <c r="CO181" s="387"/>
      <c r="CP181" s="387"/>
      <c r="CQ181" s="387"/>
      <c r="CR181" s="387"/>
      <c r="CS181" s="387"/>
      <c r="CT181" s="387"/>
      <c r="CU181" s="988"/>
      <c r="CV181" s="387"/>
      <c r="CW181" s="387"/>
      <c r="CX181" s="387"/>
      <c r="CY181" s="387"/>
      <c r="CZ181" s="387"/>
      <c r="DA181" s="387"/>
      <c r="DB181" s="387"/>
      <c r="DC181" s="387"/>
      <c r="DD181" s="387"/>
      <c r="DE181" s="387"/>
      <c r="DF181" s="387"/>
      <c r="DG181" s="988"/>
      <c r="DH181" s="387"/>
      <c r="DI181" s="387"/>
      <c r="DJ181" s="387"/>
      <c r="DK181" s="387"/>
      <c r="DL181" s="387"/>
      <c r="DM181" s="387"/>
      <c r="DN181" s="387"/>
      <c r="DO181" s="387"/>
      <c r="DP181" s="387"/>
      <c r="DQ181" s="387"/>
      <c r="DR181" s="387"/>
      <c r="DS181" s="988"/>
      <c r="DT181" s="387" t="s">
        <v>2154</v>
      </c>
      <c r="DU181" s="387" t="s">
        <v>2154</v>
      </c>
      <c r="DV181" s="387" t="s">
        <v>2154</v>
      </c>
      <c r="DW181" s="387" t="s">
        <v>2154</v>
      </c>
      <c r="DX181" s="387" t="s">
        <v>2154</v>
      </c>
      <c r="DY181" s="387" t="s">
        <v>2154</v>
      </c>
      <c r="DZ181" s="387" t="s">
        <v>2154</v>
      </c>
      <c r="EA181" s="387" t="s">
        <v>2154</v>
      </c>
      <c r="EB181" s="387" t="s">
        <v>2154</v>
      </c>
      <c r="EC181" s="387" t="s">
        <v>2154</v>
      </c>
      <c r="ED181" s="387" t="s">
        <v>2154</v>
      </c>
      <c r="EE181" s="988" t="s">
        <v>2154</v>
      </c>
      <c r="EF181" s="387"/>
      <c r="EG181" s="387"/>
      <c r="EH181" s="387"/>
      <c r="EI181" s="387"/>
      <c r="EJ181" s="387"/>
      <c r="EK181" s="387"/>
      <c r="EL181" s="387"/>
      <c r="EM181" s="387"/>
      <c r="EN181" s="387"/>
      <c r="EO181" s="387"/>
      <c r="EP181" s="387"/>
      <c r="EQ181" s="988"/>
      <c r="ER181" s="387"/>
      <c r="ES181" s="387"/>
      <c r="ET181" s="387"/>
      <c r="EU181" s="387"/>
      <c r="EV181" s="387"/>
      <c r="EW181" s="387"/>
      <c r="EX181" s="387"/>
      <c r="EY181" s="387"/>
      <c r="EZ181" s="387"/>
      <c r="FA181" s="387"/>
      <c r="FB181" s="387"/>
      <c r="FC181" s="988"/>
      <c r="FD181" s="387"/>
      <c r="FE181" s="387"/>
      <c r="FF181" s="387"/>
      <c r="FG181" s="387"/>
      <c r="FH181" s="387"/>
      <c r="FI181" s="387"/>
      <c r="FJ181" s="387"/>
      <c r="FK181" s="387"/>
      <c r="FL181" s="387"/>
      <c r="FM181" s="387"/>
      <c r="FN181" s="387"/>
      <c r="FO181" s="988"/>
      <c r="FP181" s="387"/>
      <c r="FQ181" s="387"/>
      <c r="FR181" s="387"/>
      <c r="FS181" s="387"/>
      <c r="FT181" s="387"/>
      <c r="FU181" s="387"/>
      <c r="FV181" s="387"/>
      <c r="FW181" s="387"/>
      <c r="FX181" s="387"/>
      <c r="FY181" s="387"/>
      <c r="FZ181" s="387"/>
      <c r="GA181" s="988"/>
      <c r="GB181" s="109"/>
      <c r="GC181" s="2214">
        <f t="shared" si="150"/>
        <v>0</v>
      </c>
      <c r="GD181" s="387">
        <f t="shared" si="150"/>
        <v>0</v>
      </c>
      <c r="GE181" s="387">
        <f t="shared" si="150"/>
        <v>0</v>
      </c>
      <c r="GF181" s="387">
        <f t="shared" si="150"/>
        <v>0</v>
      </c>
      <c r="GG181" s="387">
        <f t="shared" si="150"/>
        <v>0</v>
      </c>
      <c r="GH181" s="387">
        <f t="shared" si="150"/>
        <v>0</v>
      </c>
      <c r="GI181" s="387">
        <f t="shared" si="150"/>
        <v>0</v>
      </c>
      <c r="GJ181" s="387">
        <f t="shared" si="150"/>
        <v>0</v>
      </c>
      <c r="GK181" s="387">
        <f t="shared" si="150"/>
        <v>0</v>
      </c>
      <c r="GL181" s="387">
        <f t="shared" si="150"/>
        <v>0</v>
      </c>
      <c r="GM181" s="387">
        <f t="shared" si="150"/>
        <v>0</v>
      </c>
      <c r="GN181" s="988">
        <f t="shared" si="150"/>
        <v>0</v>
      </c>
      <c r="GO181" s="1036">
        <f t="shared" si="151"/>
        <v>0</v>
      </c>
      <c r="GP181" s="387">
        <f t="shared" si="151"/>
        <v>0</v>
      </c>
      <c r="GQ181" s="387">
        <f t="shared" si="151"/>
        <v>0</v>
      </c>
      <c r="GR181" s="387">
        <f t="shared" si="151"/>
        <v>0</v>
      </c>
      <c r="GS181" s="387">
        <f t="shared" si="151"/>
        <v>0</v>
      </c>
      <c r="GT181" s="387">
        <f t="shared" si="151"/>
        <v>0</v>
      </c>
      <c r="GU181" s="387">
        <f t="shared" si="151"/>
        <v>0</v>
      </c>
      <c r="GV181" s="387">
        <f t="shared" si="151"/>
        <v>0</v>
      </c>
      <c r="GW181" s="387">
        <f t="shared" si="151"/>
        <v>0</v>
      </c>
      <c r="GX181" s="387">
        <f t="shared" si="151"/>
        <v>0</v>
      </c>
      <c r="GY181" s="387">
        <f t="shared" si="151"/>
        <v>0</v>
      </c>
      <c r="GZ181" s="988">
        <f t="shared" si="151"/>
        <v>0</v>
      </c>
      <c r="HB181" s="387"/>
      <c r="HC181" s="387"/>
      <c r="HD181" s="387"/>
      <c r="HE181" s="387"/>
      <c r="HF181" s="387"/>
      <c r="HG181" s="387"/>
      <c r="HH181" s="387"/>
      <c r="HI181" s="387"/>
      <c r="HJ181" s="387"/>
      <c r="HK181" s="387"/>
      <c r="HL181" s="387"/>
      <c r="HM181" s="988"/>
    </row>
    <row r="182" spans="1:221">
      <c r="A182" s="326" t="s">
        <v>900</v>
      </c>
      <c r="B182" s="326" t="s">
        <v>901</v>
      </c>
      <c r="C182" s="326" t="s">
        <v>1590</v>
      </c>
      <c r="D182" s="1036" t="s">
        <v>2154</v>
      </c>
      <c r="E182" s="387" t="s">
        <v>2154</v>
      </c>
      <c r="F182" s="387" t="s">
        <v>2154</v>
      </c>
      <c r="G182" s="387" t="s">
        <v>2154</v>
      </c>
      <c r="H182" s="387" t="s">
        <v>2154</v>
      </c>
      <c r="I182" s="387" t="s">
        <v>2154</v>
      </c>
      <c r="J182" s="387" t="s">
        <v>2154</v>
      </c>
      <c r="K182" s="387" t="s">
        <v>2154</v>
      </c>
      <c r="L182" s="387" t="s">
        <v>2154</v>
      </c>
      <c r="M182" s="387" t="s">
        <v>2154</v>
      </c>
      <c r="N182" s="387" t="s">
        <v>2154</v>
      </c>
      <c r="O182" s="988" t="s">
        <v>2154</v>
      </c>
      <c r="P182" s="387" t="s">
        <v>2154</v>
      </c>
      <c r="Q182" s="387" t="s">
        <v>2154</v>
      </c>
      <c r="R182" s="387" t="s">
        <v>2154</v>
      </c>
      <c r="S182" s="387" t="s">
        <v>2154</v>
      </c>
      <c r="T182" s="387" t="s">
        <v>2154</v>
      </c>
      <c r="U182" s="387" t="s">
        <v>2154</v>
      </c>
      <c r="V182" s="387" t="s">
        <v>2154</v>
      </c>
      <c r="W182" s="387" t="s">
        <v>2154</v>
      </c>
      <c r="X182" s="387" t="s">
        <v>2154</v>
      </c>
      <c r="Y182" s="387" t="s">
        <v>2154</v>
      </c>
      <c r="Z182" s="387" t="s">
        <v>2154</v>
      </c>
      <c r="AA182" s="988" t="s">
        <v>2154</v>
      </c>
      <c r="AB182" s="387"/>
      <c r="AC182" s="387"/>
      <c r="AD182" s="387"/>
      <c r="AE182" s="387"/>
      <c r="AF182" s="387"/>
      <c r="AG182" s="387"/>
      <c r="AH182" s="387"/>
      <c r="AI182" s="387"/>
      <c r="AJ182" s="387"/>
      <c r="AK182" s="387"/>
      <c r="AL182" s="387"/>
      <c r="AM182" s="988"/>
      <c r="AN182" s="387"/>
      <c r="AO182" s="387"/>
      <c r="AP182" s="387"/>
      <c r="AQ182" s="387"/>
      <c r="AR182" s="387"/>
      <c r="AS182" s="387"/>
      <c r="AT182" s="387"/>
      <c r="AU182" s="387"/>
      <c r="AV182" s="387"/>
      <c r="AW182" s="387"/>
      <c r="AX182" s="387"/>
      <c r="AY182" s="988"/>
      <c r="AZ182" s="387"/>
      <c r="BA182" s="387"/>
      <c r="BB182" s="387"/>
      <c r="BC182" s="387"/>
      <c r="BD182" s="387"/>
      <c r="BE182" s="387"/>
      <c r="BF182" s="387"/>
      <c r="BG182" s="387"/>
      <c r="BH182" s="387"/>
      <c r="BI182" s="387"/>
      <c r="BJ182" s="387"/>
      <c r="BK182" s="988"/>
      <c r="BL182" s="387"/>
      <c r="BM182" s="387"/>
      <c r="BN182" s="387"/>
      <c r="BO182" s="387"/>
      <c r="BP182" s="387"/>
      <c r="BQ182" s="387"/>
      <c r="BR182" s="387"/>
      <c r="BS182" s="387"/>
      <c r="BT182" s="387"/>
      <c r="BU182" s="387"/>
      <c r="BV182" s="387"/>
      <c r="BW182" s="988"/>
      <c r="BX182" s="387"/>
      <c r="BY182" s="387"/>
      <c r="BZ182" s="387"/>
      <c r="CA182" s="387"/>
      <c r="CB182" s="387"/>
      <c r="CC182" s="387"/>
      <c r="CD182" s="387"/>
      <c r="CE182" s="387"/>
      <c r="CF182" s="387"/>
      <c r="CG182" s="387"/>
      <c r="CH182" s="387"/>
      <c r="CI182" s="988"/>
      <c r="CJ182" s="387"/>
      <c r="CK182" s="387"/>
      <c r="CL182" s="387"/>
      <c r="CM182" s="387"/>
      <c r="CN182" s="387"/>
      <c r="CO182" s="387"/>
      <c r="CP182" s="387"/>
      <c r="CQ182" s="387"/>
      <c r="CR182" s="387"/>
      <c r="CS182" s="387"/>
      <c r="CT182" s="387"/>
      <c r="CU182" s="988"/>
      <c r="CV182" s="387"/>
      <c r="CW182" s="387"/>
      <c r="CX182" s="387"/>
      <c r="CY182" s="387"/>
      <c r="CZ182" s="387"/>
      <c r="DA182" s="387"/>
      <c r="DB182" s="387"/>
      <c r="DC182" s="387"/>
      <c r="DD182" s="387"/>
      <c r="DE182" s="387"/>
      <c r="DF182" s="387"/>
      <c r="DG182" s="988"/>
      <c r="DH182" s="387"/>
      <c r="DI182" s="387"/>
      <c r="DJ182" s="387"/>
      <c r="DK182" s="387"/>
      <c r="DL182" s="387"/>
      <c r="DM182" s="387"/>
      <c r="DN182" s="387"/>
      <c r="DO182" s="387"/>
      <c r="DP182" s="387"/>
      <c r="DQ182" s="387"/>
      <c r="DR182" s="387"/>
      <c r="DS182" s="988"/>
      <c r="DT182" s="387" t="s">
        <v>2154</v>
      </c>
      <c r="DU182" s="387" t="s">
        <v>2154</v>
      </c>
      <c r="DV182" s="387" t="s">
        <v>2154</v>
      </c>
      <c r="DW182" s="387" t="s">
        <v>2154</v>
      </c>
      <c r="DX182" s="387" t="s">
        <v>2154</v>
      </c>
      <c r="DY182" s="387" t="s">
        <v>2154</v>
      </c>
      <c r="DZ182" s="387" t="s">
        <v>2154</v>
      </c>
      <c r="EA182" s="387" t="s">
        <v>2154</v>
      </c>
      <c r="EB182" s="387" t="s">
        <v>2154</v>
      </c>
      <c r="EC182" s="387" t="s">
        <v>2154</v>
      </c>
      <c r="ED182" s="387" t="s">
        <v>2154</v>
      </c>
      <c r="EE182" s="988" t="s">
        <v>2154</v>
      </c>
      <c r="EF182" s="387"/>
      <c r="EG182" s="387"/>
      <c r="EH182" s="387"/>
      <c r="EI182" s="387"/>
      <c r="EJ182" s="387"/>
      <c r="EK182" s="387"/>
      <c r="EL182" s="387"/>
      <c r="EM182" s="387"/>
      <c r="EN182" s="387"/>
      <c r="EO182" s="387"/>
      <c r="EP182" s="387"/>
      <c r="EQ182" s="988"/>
      <c r="ER182" s="387"/>
      <c r="ES182" s="387"/>
      <c r="ET182" s="387"/>
      <c r="EU182" s="387"/>
      <c r="EV182" s="387"/>
      <c r="EW182" s="387"/>
      <c r="EX182" s="387"/>
      <c r="EY182" s="387"/>
      <c r="EZ182" s="387"/>
      <c r="FA182" s="387"/>
      <c r="FB182" s="387"/>
      <c r="FC182" s="988"/>
      <c r="FD182" s="387"/>
      <c r="FE182" s="387"/>
      <c r="FF182" s="387"/>
      <c r="FG182" s="387"/>
      <c r="FH182" s="387"/>
      <c r="FI182" s="387"/>
      <c r="FJ182" s="387"/>
      <c r="FK182" s="387"/>
      <c r="FL182" s="387"/>
      <c r="FM182" s="387"/>
      <c r="FN182" s="387"/>
      <c r="FO182" s="988"/>
      <c r="FP182" s="387"/>
      <c r="FQ182" s="387"/>
      <c r="FR182" s="387"/>
      <c r="FS182" s="387"/>
      <c r="FT182" s="387"/>
      <c r="FU182" s="387"/>
      <c r="FV182" s="387"/>
      <c r="FW182" s="387"/>
      <c r="FX182" s="387"/>
      <c r="FY182" s="387"/>
      <c r="FZ182" s="387"/>
      <c r="GA182" s="988"/>
      <c r="GB182" s="109"/>
      <c r="GC182" s="2214">
        <f t="shared" si="150"/>
        <v>0</v>
      </c>
      <c r="GD182" s="387">
        <f t="shared" si="150"/>
        <v>0</v>
      </c>
      <c r="GE182" s="387">
        <f t="shared" si="150"/>
        <v>0</v>
      </c>
      <c r="GF182" s="387">
        <f t="shared" si="150"/>
        <v>0</v>
      </c>
      <c r="GG182" s="387">
        <f t="shared" si="150"/>
        <v>0</v>
      </c>
      <c r="GH182" s="387">
        <f t="shared" si="150"/>
        <v>0</v>
      </c>
      <c r="GI182" s="387">
        <f t="shared" si="150"/>
        <v>0</v>
      </c>
      <c r="GJ182" s="387">
        <f t="shared" si="150"/>
        <v>0</v>
      </c>
      <c r="GK182" s="387">
        <f t="shared" si="150"/>
        <v>0</v>
      </c>
      <c r="GL182" s="387">
        <f t="shared" si="150"/>
        <v>0</v>
      </c>
      <c r="GM182" s="387">
        <f t="shared" si="150"/>
        <v>0</v>
      </c>
      <c r="GN182" s="988">
        <f t="shared" si="150"/>
        <v>0</v>
      </c>
      <c r="GO182" s="1036">
        <f t="shared" si="151"/>
        <v>0</v>
      </c>
      <c r="GP182" s="387">
        <f t="shared" si="151"/>
        <v>0</v>
      </c>
      <c r="GQ182" s="387">
        <f t="shared" si="151"/>
        <v>0</v>
      </c>
      <c r="GR182" s="387">
        <f t="shared" si="151"/>
        <v>0</v>
      </c>
      <c r="GS182" s="387">
        <f t="shared" si="151"/>
        <v>0</v>
      </c>
      <c r="GT182" s="387">
        <f t="shared" si="151"/>
        <v>0</v>
      </c>
      <c r="GU182" s="387">
        <f t="shared" si="151"/>
        <v>0</v>
      </c>
      <c r="GV182" s="387">
        <f t="shared" si="151"/>
        <v>0</v>
      </c>
      <c r="GW182" s="387">
        <f t="shared" si="151"/>
        <v>0</v>
      </c>
      <c r="GX182" s="387">
        <f t="shared" si="151"/>
        <v>0</v>
      </c>
      <c r="GY182" s="387">
        <f t="shared" si="151"/>
        <v>0</v>
      </c>
      <c r="GZ182" s="988">
        <f t="shared" si="151"/>
        <v>0</v>
      </c>
      <c r="HB182" s="387"/>
      <c r="HC182" s="387"/>
      <c r="HD182" s="387"/>
      <c r="HE182" s="387"/>
      <c r="HF182" s="387"/>
      <c r="HG182" s="387"/>
      <c r="HH182" s="387"/>
      <c r="HI182" s="387"/>
      <c r="HJ182" s="387"/>
      <c r="HK182" s="387"/>
      <c r="HL182" s="387"/>
      <c r="HM182" s="988"/>
    </row>
    <row r="183" spans="1:221">
      <c r="A183" s="326" t="s">
        <v>900</v>
      </c>
      <c r="B183" s="326" t="s">
        <v>901</v>
      </c>
      <c r="C183" s="326" t="s">
        <v>1591</v>
      </c>
      <c r="D183" s="1036">
        <v>326.10000000000002</v>
      </c>
      <c r="E183" s="387">
        <v>643.5</v>
      </c>
      <c r="F183" s="387">
        <v>170</v>
      </c>
      <c r="G183" s="387">
        <v>341</v>
      </c>
      <c r="H183" s="387">
        <v>719.5</v>
      </c>
      <c r="I183" s="387">
        <v>2649</v>
      </c>
      <c r="J183" s="387">
        <v>1060</v>
      </c>
      <c r="K183" s="387">
        <v>1703.5</v>
      </c>
      <c r="L183" s="387">
        <v>1060</v>
      </c>
      <c r="M183" s="387">
        <v>1211.5</v>
      </c>
      <c r="N183" s="387">
        <v>1249.5</v>
      </c>
      <c r="O183" s="988">
        <v>1136</v>
      </c>
      <c r="P183" s="387">
        <v>908</v>
      </c>
      <c r="Q183" s="387">
        <v>454</v>
      </c>
      <c r="R183" s="387">
        <v>-454</v>
      </c>
      <c r="S183" s="387">
        <v>454</v>
      </c>
      <c r="T183" s="387" t="s">
        <v>2154</v>
      </c>
      <c r="U183" s="387" t="s">
        <v>2154</v>
      </c>
      <c r="V183" s="387">
        <v>454</v>
      </c>
      <c r="W183" s="387">
        <v>454</v>
      </c>
      <c r="X183" s="387" t="s">
        <v>2154</v>
      </c>
      <c r="Y183" s="387">
        <v>908</v>
      </c>
      <c r="Z183" s="387">
        <v>794.5</v>
      </c>
      <c r="AA183" s="988">
        <v>908</v>
      </c>
      <c r="AB183" s="387"/>
      <c r="AC183" s="387"/>
      <c r="AD183" s="387"/>
      <c r="AE183" s="387"/>
      <c r="AF183" s="387"/>
      <c r="AG183" s="387"/>
      <c r="AH183" s="387"/>
      <c r="AI183" s="387"/>
      <c r="AJ183" s="387"/>
      <c r="AK183" s="387"/>
      <c r="AL183" s="387"/>
      <c r="AM183" s="988"/>
      <c r="AN183" s="387"/>
      <c r="AO183" s="387"/>
      <c r="AP183" s="387"/>
      <c r="AQ183" s="387"/>
      <c r="AR183" s="387"/>
      <c r="AS183" s="387"/>
      <c r="AT183" s="387"/>
      <c r="AU183" s="387"/>
      <c r="AV183" s="387"/>
      <c r="AW183" s="387"/>
      <c r="AX183" s="387"/>
      <c r="AY183" s="988"/>
      <c r="AZ183" s="387"/>
      <c r="BA183" s="387"/>
      <c r="BB183" s="387"/>
      <c r="BC183" s="387"/>
      <c r="BD183" s="387"/>
      <c r="BE183" s="387"/>
      <c r="BF183" s="387"/>
      <c r="BG183" s="387"/>
      <c r="BH183" s="387"/>
      <c r="BI183" s="387"/>
      <c r="BJ183" s="387"/>
      <c r="BK183" s="988"/>
      <c r="BL183" s="387"/>
      <c r="BM183" s="387"/>
      <c r="BN183" s="387"/>
      <c r="BO183" s="387"/>
      <c r="BP183" s="387"/>
      <c r="BQ183" s="387"/>
      <c r="BR183" s="387"/>
      <c r="BS183" s="387"/>
      <c r="BT183" s="387"/>
      <c r="BU183" s="387"/>
      <c r="BV183" s="387"/>
      <c r="BW183" s="988"/>
      <c r="BX183" s="387"/>
      <c r="BY183" s="387"/>
      <c r="BZ183" s="387"/>
      <c r="CA183" s="387"/>
      <c r="CB183" s="387"/>
      <c r="CC183" s="387"/>
      <c r="CD183" s="387"/>
      <c r="CE183" s="387"/>
      <c r="CF183" s="387"/>
      <c r="CG183" s="387"/>
      <c r="CH183" s="387"/>
      <c r="CI183" s="988"/>
      <c r="CJ183" s="387"/>
      <c r="CK183" s="387"/>
      <c r="CL183" s="387"/>
      <c r="CM183" s="387"/>
      <c r="CN183" s="387"/>
      <c r="CO183" s="387"/>
      <c r="CP183" s="387"/>
      <c r="CQ183" s="387"/>
      <c r="CR183" s="387"/>
      <c r="CS183" s="387"/>
      <c r="CT183" s="387"/>
      <c r="CU183" s="988"/>
      <c r="CV183" s="387"/>
      <c r="CW183" s="387"/>
      <c r="CX183" s="387"/>
      <c r="CY183" s="387"/>
      <c r="CZ183" s="387"/>
      <c r="DA183" s="387"/>
      <c r="DB183" s="387"/>
      <c r="DC183" s="387"/>
      <c r="DD183" s="387"/>
      <c r="DE183" s="387"/>
      <c r="DF183" s="387"/>
      <c r="DG183" s="988"/>
      <c r="DH183" s="387"/>
      <c r="DI183" s="387"/>
      <c r="DJ183" s="387"/>
      <c r="DK183" s="387"/>
      <c r="DL183" s="387"/>
      <c r="DM183" s="387"/>
      <c r="DN183" s="387"/>
      <c r="DO183" s="387"/>
      <c r="DP183" s="387"/>
      <c r="DQ183" s="387"/>
      <c r="DR183" s="387"/>
      <c r="DS183" s="988"/>
      <c r="DT183" s="387">
        <v>342</v>
      </c>
      <c r="DU183" s="387">
        <v>780</v>
      </c>
      <c r="DV183" s="387">
        <v>497.25</v>
      </c>
      <c r="DW183" s="387" t="s">
        <v>2154</v>
      </c>
      <c r="DX183" s="387">
        <v>663</v>
      </c>
      <c r="DY183" s="387">
        <v>663</v>
      </c>
      <c r="DZ183" s="387">
        <v>175.5</v>
      </c>
      <c r="EA183" s="387" t="s">
        <v>2154</v>
      </c>
      <c r="EB183" s="387">
        <v>351</v>
      </c>
      <c r="EC183" s="387" t="s">
        <v>2154</v>
      </c>
      <c r="ED183" s="387" t="s">
        <v>2154</v>
      </c>
      <c r="EE183" s="988" t="s">
        <v>2154</v>
      </c>
      <c r="EF183" s="387"/>
      <c r="EG183" s="387"/>
      <c r="EH183" s="387"/>
      <c r="EI183" s="387"/>
      <c r="EJ183" s="387"/>
      <c r="EK183" s="387"/>
      <c r="EL183" s="387"/>
      <c r="EM183" s="387"/>
      <c r="EN183" s="387"/>
      <c r="EO183" s="387"/>
      <c r="EP183" s="387"/>
      <c r="EQ183" s="988"/>
      <c r="ER183" s="387"/>
      <c r="ES183" s="387"/>
      <c r="ET183" s="387"/>
      <c r="EU183" s="387"/>
      <c r="EV183" s="387"/>
      <c r="EW183" s="387"/>
      <c r="EX183" s="387"/>
      <c r="EY183" s="387"/>
      <c r="EZ183" s="387"/>
      <c r="FA183" s="387"/>
      <c r="FB183" s="387"/>
      <c r="FC183" s="988"/>
      <c r="FD183" s="387"/>
      <c r="FE183" s="387"/>
      <c r="FF183" s="387"/>
      <c r="FG183" s="387"/>
      <c r="FH183" s="387"/>
      <c r="FI183" s="387"/>
      <c r="FJ183" s="387"/>
      <c r="FK183" s="387"/>
      <c r="FL183" s="387"/>
      <c r="FM183" s="387"/>
      <c r="FN183" s="387"/>
      <c r="FO183" s="988"/>
      <c r="FP183" s="387"/>
      <c r="FQ183" s="387"/>
      <c r="FR183" s="387"/>
      <c r="FS183" s="387"/>
      <c r="FT183" s="387"/>
      <c r="FU183" s="387"/>
      <c r="FV183" s="387"/>
      <c r="FW183" s="387"/>
      <c r="FX183" s="387"/>
      <c r="FY183" s="387"/>
      <c r="FZ183" s="387"/>
      <c r="GA183" s="988"/>
      <c r="GB183" s="109"/>
      <c r="GC183" s="2214">
        <f t="shared" si="150"/>
        <v>1576.1</v>
      </c>
      <c r="GD183" s="387">
        <f t="shared" si="150"/>
        <v>1877.5</v>
      </c>
      <c r="GE183" s="387">
        <f t="shared" si="150"/>
        <v>213.25</v>
      </c>
      <c r="GF183" s="387">
        <f t="shared" si="150"/>
        <v>795</v>
      </c>
      <c r="GG183" s="387">
        <f t="shared" si="150"/>
        <v>1382.5</v>
      </c>
      <c r="GH183" s="387">
        <f t="shared" si="150"/>
        <v>3312</v>
      </c>
      <c r="GI183" s="387">
        <f t="shared" si="150"/>
        <v>1689.5</v>
      </c>
      <c r="GJ183" s="387">
        <f t="shared" si="150"/>
        <v>2157.5</v>
      </c>
      <c r="GK183" s="387">
        <f t="shared" si="150"/>
        <v>1411</v>
      </c>
      <c r="GL183" s="387">
        <f t="shared" si="150"/>
        <v>2119.5</v>
      </c>
      <c r="GM183" s="387">
        <f t="shared" si="150"/>
        <v>2044</v>
      </c>
      <c r="GN183" s="988">
        <f t="shared" si="150"/>
        <v>2044</v>
      </c>
      <c r="GO183" s="1036">
        <f t="shared" si="151"/>
        <v>342</v>
      </c>
      <c r="GP183" s="387">
        <f t="shared" si="151"/>
        <v>780</v>
      </c>
      <c r="GQ183" s="387">
        <f t="shared" si="151"/>
        <v>497.25</v>
      </c>
      <c r="GR183" s="387">
        <f t="shared" si="151"/>
        <v>0</v>
      </c>
      <c r="GS183" s="387">
        <f t="shared" si="151"/>
        <v>663</v>
      </c>
      <c r="GT183" s="387">
        <f t="shared" si="151"/>
        <v>663</v>
      </c>
      <c r="GU183" s="387">
        <f t="shared" si="151"/>
        <v>175.5</v>
      </c>
      <c r="GV183" s="387">
        <f t="shared" si="151"/>
        <v>0</v>
      </c>
      <c r="GW183" s="387">
        <f t="shared" si="151"/>
        <v>351</v>
      </c>
      <c r="GX183" s="387">
        <f t="shared" si="151"/>
        <v>0</v>
      </c>
      <c r="GY183" s="387">
        <f t="shared" si="151"/>
        <v>0</v>
      </c>
      <c r="GZ183" s="988">
        <f t="shared" si="151"/>
        <v>0</v>
      </c>
      <c r="HB183" s="387"/>
      <c r="HC183" s="387"/>
      <c r="HD183" s="387"/>
      <c r="HE183" s="387"/>
      <c r="HF183" s="387"/>
      <c r="HG183" s="387"/>
      <c r="HH183" s="387"/>
      <c r="HI183" s="387"/>
      <c r="HJ183" s="387"/>
      <c r="HK183" s="387"/>
      <c r="HL183" s="387"/>
      <c r="HM183" s="988"/>
    </row>
    <row r="184" spans="1:221">
      <c r="A184" s="326" t="s">
        <v>900</v>
      </c>
      <c r="B184" s="326" t="s">
        <v>901</v>
      </c>
      <c r="C184" s="326" t="s">
        <v>1593</v>
      </c>
      <c r="D184" s="1036">
        <v>468.1</v>
      </c>
      <c r="E184" s="387">
        <v>1034.1000000000001</v>
      </c>
      <c r="F184" s="387">
        <v>935.04000000000008</v>
      </c>
      <c r="G184" s="387">
        <v>819.65000000000009</v>
      </c>
      <c r="H184" s="387">
        <v>119.42</v>
      </c>
      <c r="I184" s="387">
        <v>204.19</v>
      </c>
      <c r="J184" s="387">
        <v>349.44</v>
      </c>
      <c r="K184" s="387">
        <v>347.51</v>
      </c>
      <c r="L184" s="387">
        <v>464.67</v>
      </c>
      <c r="M184" s="387">
        <v>674.03000000000009</v>
      </c>
      <c r="N184" s="387">
        <v>435.38</v>
      </c>
      <c r="O184" s="988">
        <v>334.98</v>
      </c>
      <c r="P184" s="387">
        <v>228.10000000000002</v>
      </c>
      <c r="Q184" s="387">
        <v>108.68</v>
      </c>
      <c r="R184" s="387" t="s">
        <v>2154</v>
      </c>
      <c r="S184" s="387">
        <v>119.42</v>
      </c>
      <c r="T184" s="387">
        <v>119.82000000000001</v>
      </c>
      <c r="U184" s="387">
        <v>347.52000000000004</v>
      </c>
      <c r="V184" s="387">
        <v>-119.42</v>
      </c>
      <c r="W184" s="387">
        <v>145.9</v>
      </c>
      <c r="X184" s="387" t="s">
        <v>2154</v>
      </c>
      <c r="Y184" s="387">
        <v>275.15000000000003</v>
      </c>
      <c r="Z184" s="387">
        <v>139</v>
      </c>
      <c r="AA184" s="988">
        <v>16.019999999999996</v>
      </c>
      <c r="AB184" s="387"/>
      <c r="AC184" s="387"/>
      <c r="AD184" s="387"/>
      <c r="AE184" s="387"/>
      <c r="AF184" s="387"/>
      <c r="AG184" s="387"/>
      <c r="AH184" s="387"/>
      <c r="AI184" s="387"/>
      <c r="AJ184" s="387"/>
      <c r="AK184" s="387"/>
      <c r="AL184" s="387"/>
      <c r="AM184" s="988"/>
      <c r="AN184" s="387"/>
      <c r="AO184" s="387"/>
      <c r="AP184" s="387"/>
      <c r="AQ184" s="387"/>
      <c r="AR184" s="387"/>
      <c r="AS184" s="387"/>
      <c r="AT184" s="387"/>
      <c r="AU184" s="387"/>
      <c r="AV184" s="387"/>
      <c r="AW184" s="387"/>
      <c r="AX184" s="387"/>
      <c r="AY184" s="988"/>
      <c r="AZ184" s="387"/>
      <c r="BA184" s="387"/>
      <c r="BB184" s="387"/>
      <c r="BC184" s="387"/>
      <c r="BD184" s="387"/>
      <c r="BE184" s="387"/>
      <c r="BF184" s="387"/>
      <c r="BG184" s="387"/>
      <c r="BH184" s="387"/>
      <c r="BI184" s="387"/>
      <c r="BJ184" s="387"/>
      <c r="BK184" s="988"/>
      <c r="BL184" s="387"/>
      <c r="BM184" s="387"/>
      <c r="BN184" s="387"/>
      <c r="BO184" s="387"/>
      <c r="BP184" s="387"/>
      <c r="BQ184" s="387"/>
      <c r="BR184" s="387"/>
      <c r="BS184" s="387"/>
      <c r="BT184" s="387"/>
      <c r="BU184" s="387"/>
      <c r="BV184" s="387"/>
      <c r="BW184" s="988"/>
      <c r="BX184" s="387"/>
      <c r="BY184" s="387"/>
      <c r="BZ184" s="387"/>
      <c r="CA184" s="387"/>
      <c r="CB184" s="387"/>
      <c r="CC184" s="387"/>
      <c r="CD184" s="387"/>
      <c r="CE184" s="387"/>
      <c r="CF184" s="387"/>
      <c r="CG184" s="387"/>
      <c r="CH184" s="387"/>
      <c r="CI184" s="988"/>
      <c r="CJ184" s="387"/>
      <c r="CK184" s="387"/>
      <c r="CL184" s="387"/>
      <c r="CM184" s="387"/>
      <c r="CN184" s="387"/>
      <c r="CO184" s="387"/>
      <c r="CP184" s="387"/>
      <c r="CQ184" s="387"/>
      <c r="CR184" s="387"/>
      <c r="CS184" s="387"/>
      <c r="CT184" s="387"/>
      <c r="CU184" s="988"/>
      <c r="CV184" s="387"/>
      <c r="CW184" s="387"/>
      <c r="CX184" s="387"/>
      <c r="CY184" s="387"/>
      <c r="CZ184" s="387"/>
      <c r="DA184" s="387"/>
      <c r="DB184" s="387"/>
      <c r="DC184" s="387"/>
      <c r="DD184" s="387"/>
      <c r="DE184" s="387"/>
      <c r="DF184" s="387"/>
      <c r="DG184" s="988"/>
      <c r="DH184" s="387"/>
      <c r="DI184" s="387"/>
      <c r="DJ184" s="387"/>
      <c r="DK184" s="387"/>
      <c r="DL184" s="387"/>
      <c r="DM184" s="387"/>
      <c r="DN184" s="387"/>
      <c r="DO184" s="387"/>
      <c r="DP184" s="387"/>
      <c r="DQ184" s="387"/>
      <c r="DR184" s="387"/>
      <c r="DS184" s="988"/>
      <c r="DT184" s="387" t="s">
        <v>2154</v>
      </c>
      <c r="DU184" s="387" t="s">
        <v>2154</v>
      </c>
      <c r="DV184" s="387" t="s">
        <v>2154</v>
      </c>
      <c r="DW184" s="387" t="s">
        <v>2154</v>
      </c>
      <c r="DX184" s="387" t="s">
        <v>2154</v>
      </c>
      <c r="DY184" s="387" t="s">
        <v>2154</v>
      </c>
      <c r="DZ184" s="387" t="s">
        <v>2154</v>
      </c>
      <c r="EA184" s="387" t="s">
        <v>2154</v>
      </c>
      <c r="EB184" s="387">
        <v>0.4</v>
      </c>
      <c r="EC184" s="387" t="s">
        <v>2154</v>
      </c>
      <c r="ED184" s="387" t="s">
        <v>2154</v>
      </c>
      <c r="EE184" s="988">
        <v>14.96</v>
      </c>
      <c r="EF184" s="387"/>
      <c r="EG184" s="387"/>
      <c r="EH184" s="387"/>
      <c r="EI184" s="387"/>
      <c r="EJ184" s="387"/>
      <c r="EK184" s="387"/>
      <c r="EL184" s="387"/>
      <c r="EM184" s="387"/>
      <c r="EN184" s="387"/>
      <c r="EO184" s="387"/>
      <c r="EP184" s="387"/>
      <c r="EQ184" s="988"/>
      <c r="ER184" s="387"/>
      <c r="ES184" s="387"/>
      <c r="ET184" s="387"/>
      <c r="EU184" s="387"/>
      <c r="EV184" s="387"/>
      <c r="EW184" s="387"/>
      <c r="EX184" s="387"/>
      <c r="EY184" s="387"/>
      <c r="EZ184" s="387"/>
      <c r="FA184" s="387"/>
      <c r="FB184" s="387"/>
      <c r="FC184" s="988"/>
      <c r="FD184" s="387"/>
      <c r="FE184" s="387"/>
      <c r="FF184" s="387"/>
      <c r="FG184" s="387"/>
      <c r="FH184" s="387"/>
      <c r="FI184" s="387"/>
      <c r="FJ184" s="387"/>
      <c r="FK184" s="387"/>
      <c r="FL184" s="387"/>
      <c r="FM184" s="387"/>
      <c r="FN184" s="387"/>
      <c r="FO184" s="988"/>
      <c r="FP184" s="387"/>
      <c r="FQ184" s="387"/>
      <c r="FR184" s="387"/>
      <c r="FS184" s="387"/>
      <c r="FT184" s="387"/>
      <c r="FU184" s="387"/>
      <c r="FV184" s="387"/>
      <c r="FW184" s="387"/>
      <c r="FX184" s="387"/>
      <c r="FY184" s="387"/>
      <c r="FZ184" s="387"/>
      <c r="GA184" s="988"/>
      <c r="GB184" s="109"/>
      <c r="GC184" s="2214">
        <f t="shared" si="150"/>
        <v>696.2</v>
      </c>
      <c r="GD184" s="387">
        <f t="shared" si="150"/>
        <v>1142.7800000000002</v>
      </c>
      <c r="GE184" s="387">
        <f t="shared" si="150"/>
        <v>935.04000000000008</v>
      </c>
      <c r="GF184" s="387">
        <f t="shared" si="150"/>
        <v>939.07</v>
      </c>
      <c r="GG184" s="387">
        <f t="shared" si="150"/>
        <v>239.24</v>
      </c>
      <c r="GH184" s="387">
        <f t="shared" si="150"/>
        <v>551.71</v>
      </c>
      <c r="GI184" s="387">
        <f t="shared" si="150"/>
        <v>230.01999999999998</v>
      </c>
      <c r="GJ184" s="387">
        <f t="shared" si="150"/>
        <v>493.40999999999997</v>
      </c>
      <c r="GK184" s="387">
        <f t="shared" si="150"/>
        <v>465.07</v>
      </c>
      <c r="GL184" s="387">
        <f t="shared" si="150"/>
        <v>949.18000000000006</v>
      </c>
      <c r="GM184" s="387">
        <f t="shared" si="150"/>
        <v>574.38</v>
      </c>
      <c r="GN184" s="988">
        <f t="shared" si="150"/>
        <v>365.96</v>
      </c>
      <c r="GO184" s="1036">
        <f t="shared" si="151"/>
        <v>0</v>
      </c>
      <c r="GP184" s="387">
        <f t="shared" si="151"/>
        <v>0</v>
      </c>
      <c r="GQ184" s="387">
        <f t="shared" si="151"/>
        <v>0</v>
      </c>
      <c r="GR184" s="387">
        <f t="shared" si="151"/>
        <v>0</v>
      </c>
      <c r="GS184" s="387">
        <f t="shared" si="151"/>
        <v>0</v>
      </c>
      <c r="GT184" s="387">
        <f t="shared" si="151"/>
        <v>0</v>
      </c>
      <c r="GU184" s="387">
        <f t="shared" si="151"/>
        <v>0</v>
      </c>
      <c r="GV184" s="387">
        <f t="shared" si="151"/>
        <v>0</v>
      </c>
      <c r="GW184" s="387">
        <f t="shared" si="151"/>
        <v>0.4</v>
      </c>
      <c r="GX184" s="387">
        <f t="shared" si="151"/>
        <v>0</v>
      </c>
      <c r="GY184" s="387">
        <f t="shared" si="151"/>
        <v>0</v>
      </c>
      <c r="GZ184" s="988">
        <f t="shared" si="151"/>
        <v>14.96</v>
      </c>
      <c r="HB184" s="387"/>
      <c r="HC184" s="387"/>
      <c r="HD184" s="387"/>
      <c r="HE184" s="387"/>
      <c r="HF184" s="387"/>
      <c r="HG184" s="387"/>
      <c r="HH184" s="387"/>
      <c r="HI184" s="387"/>
      <c r="HJ184" s="387"/>
      <c r="HK184" s="387"/>
      <c r="HL184" s="387"/>
      <c r="HM184" s="988"/>
    </row>
    <row r="185" spans="1:221">
      <c r="A185" s="326" t="s">
        <v>900</v>
      </c>
      <c r="B185" s="326" t="s">
        <v>901</v>
      </c>
      <c r="C185" s="326" t="s">
        <v>1290</v>
      </c>
      <c r="D185" s="1036" t="s">
        <v>2154</v>
      </c>
      <c r="E185" s="387" t="s">
        <v>2154</v>
      </c>
      <c r="F185" s="387" t="s">
        <v>2154</v>
      </c>
      <c r="G185" s="387" t="s">
        <v>2154</v>
      </c>
      <c r="H185" s="387" t="s">
        <v>2154</v>
      </c>
      <c r="I185" s="387" t="s">
        <v>2154</v>
      </c>
      <c r="J185" s="387" t="s">
        <v>2154</v>
      </c>
      <c r="K185" s="387" t="s">
        <v>2154</v>
      </c>
      <c r="L185" s="387" t="s">
        <v>2154</v>
      </c>
      <c r="M185" s="387" t="s">
        <v>2154</v>
      </c>
      <c r="N185" s="387" t="s">
        <v>2154</v>
      </c>
      <c r="O185" s="988" t="s">
        <v>2154</v>
      </c>
      <c r="P185" s="387" t="s">
        <v>2154</v>
      </c>
      <c r="Q185" s="387" t="s">
        <v>2154</v>
      </c>
      <c r="R185" s="387" t="s">
        <v>2154</v>
      </c>
      <c r="S185" s="387" t="s">
        <v>2154</v>
      </c>
      <c r="T185" s="387" t="s">
        <v>2154</v>
      </c>
      <c r="U185" s="387">
        <v>6.51</v>
      </c>
      <c r="V185" s="387" t="s">
        <v>2154</v>
      </c>
      <c r="W185" s="387" t="s">
        <v>2154</v>
      </c>
      <c r="X185" s="387">
        <v>40.44</v>
      </c>
      <c r="Y185" s="387" t="s">
        <v>2154</v>
      </c>
      <c r="Z185" s="387" t="s">
        <v>2154</v>
      </c>
      <c r="AA185" s="988" t="s">
        <v>2154</v>
      </c>
      <c r="AB185" s="387"/>
      <c r="AC185" s="387"/>
      <c r="AD185" s="387"/>
      <c r="AE185" s="387"/>
      <c r="AF185" s="387"/>
      <c r="AG185" s="387"/>
      <c r="AH185" s="387"/>
      <c r="AI185" s="387"/>
      <c r="AJ185" s="387"/>
      <c r="AK185" s="387"/>
      <c r="AL185" s="387"/>
      <c r="AM185" s="988"/>
      <c r="AN185" s="387"/>
      <c r="AO185" s="387"/>
      <c r="AP185" s="387"/>
      <c r="AQ185" s="387"/>
      <c r="AR185" s="387"/>
      <c r="AS185" s="387"/>
      <c r="AT185" s="387"/>
      <c r="AU185" s="387"/>
      <c r="AV185" s="387"/>
      <c r="AW185" s="387"/>
      <c r="AX185" s="387"/>
      <c r="AY185" s="988"/>
      <c r="AZ185" s="387"/>
      <c r="BA185" s="387"/>
      <c r="BB185" s="387"/>
      <c r="BC185" s="387"/>
      <c r="BD185" s="387"/>
      <c r="BE185" s="387"/>
      <c r="BF185" s="387"/>
      <c r="BG185" s="387"/>
      <c r="BH185" s="387"/>
      <c r="BI185" s="387"/>
      <c r="BJ185" s="387"/>
      <c r="BK185" s="988"/>
      <c r="BL185" s="387"/>
      <c r="BM185" s="387"/>
      <c r="BN185" s="387"/>
      <c r="BO185" s="387"/>
      <c r="BP185" s="387"/>
      <c r="BQ185" s="387"/>
      <c r="BR185" s="387"/>
      <c r="BS185" s="387"/>
      <c r="BT185" s="387"/>
      <c r="BU185" s="387"/>
      <c r="BV185" s="387"/>
      <c r="BW185" s="988"/>
      <c r="BX185" s="387"/>
      <c r="BY185" s="387"/>
      <c r="BZ185" s="387"/>
      <c r="CA185" s="387"/>
      <c r="CB185" s="387"/>
      <c r="CC185" s="387"/>
      <c r="CD185" s="387"/>
      <c r="CE185" s="387"/>
      <c r="CF185" s="387"/>
      <c r="CG185" s="387"/>
      <c r="CH185" s="387"/>
      <c r="CI185" s="988"/>
      <c r="CJ185" s="387"/>
      <c r="CK185" s="387"/>
      <c r="CL185" s="387"/>
      <c r="CM185" s="387"/>
      <c r="CN185" s="387"/>
      <c r="CO185" s="387"/>
      <c r="CP185" s="387"/>
      <c r="CQ185" s="387"/>
      <c r="CR185" s="387"/>
      <c r="CS185" s="387"/>
      <c r="CT185" s="387"/>
      <c r="CU185" s="988"/>
      <c r="CV185" s="387"/>
      <c r="CW185" s="387"/>
      <c r="CX185" s="387"/>
      <c r="CY185" s="387"/>
      <c r="CZ185" s="387"/>
      <c r="DA185" s="387"/>
      <c r="DB185" s="387"/>
      <c r="DC185" s="387"/>
      <c r="DD185" s="387"/>
      <c r="DE185" s="387"/>
      <c r="DF185" s="387"/>
      <c r="DG185" s="988"/>
      <c r="DH185" s="387"/>
      <c r="DI185" s="387"/>
      <c r="DJ185" s="387"/>
      <c r="DK185" s="387"/>
      <c r="DL185" s="387"/>
      <c r="DM185" s="387"/>
      <c r="DN185" s="387"/>
      <c r="DO185" s="387"/>
      <c r="DP185" s="387"/>
      <c r="DQ185" s="387"/>
      <c r="DR185" s="387"/>
      <c r="DS185" s="988"/>
      <c r="DT185" s="387" t="s">
        <v>2154</v>
      </c>
      <c r="DU185" s="387" t="s">
        <v>2154</v>
      </c>
      <c r="DV185" s="387" t="s">
        <v>2154</v>
      </c>
      <c r="DW185" s="387" t="s">
        <v>2154</v>
      </c>
      <c r="DX185" s="387" t="s">
        <v>2154</v>
      </c>
      <c r="DY185" s="387" t="s">
        <v>2154</v>
      </c>
      <c r="DZ185" s="387" t="s">
        <v>2154</v>
      </c>
      <c r="EA185" s="387" t="s">
        <v>2154</v>
      </c>
      <c r="EB185" s="387" t="s">
        <v>2154</v>
      </c>
      <c r="EC185" s="387" t="s">
        <v>2154</v>
      </c>
      <c r="ED185" s="387" t="s">
        <v>2154</v>
      </c>
      <c r="EE185" s="988" t="s">
        <v>2154</v>
      </c>
      <c r="EF185" s="387"/>
      <c r="EG185" s="387"/>
      <c r="EH185" s="387"/>
      <c r="EI185" s="387"/>
      <c r="EJ185" s="387"/>
      <c r="EK185" s="387"/>
      <c r="EL185" s="387"/>
      <c r="EM185" s="387"/>
      <c r="EN185" s="387"/>
      <c r="EO185" s="387"/>
      <c r="EP185" s="387"/>
      <c r="EQ185" s="988"/>
      <c r="ER185" s="387"/>
      <c r="ES185" s="387"/>
      <c r="ET185" s="387"/>
      <c r="EU185" s="387"/>
      <c r="EV185" s="387"/>
      <c r="EW185" s="387"/>
      <c r="EX185" s="387"/>
      <c r="EY185" s="387"/>
      <c r="EZ185" s="387"/>
      <c r="FA185" s="387"/>
      <c r="FB185" s="387"/>
      <c r="FC185" s="988"/>
      <c r="FD185" s="387"/>
      <c r="FE185" s="387"/>
      <c r="FF185" s="387"/>
      <c r="FG185" s="387"/>
      <c r="FH185" s="387"/>
      <c r="FI185" s="387"/>
      <c r="FJ185" s="387"/>
      <c r="FK185" s="387"/>
      <c r="FL185" s="387"/>
      <c r="FM185" s="387"/>
      <c r="FN185" s="387"/>
      <c r="FO185" s="988"/>
      <c r="FP185" s="387"/>
      <c r="FQ185" s="387"/>
      <c r="FR185" s="387"/>
      <c r="FS185" s="387"/>
      <c r="FT185" s="387"/>
      <c r="FU185" s="387"/>
      <c r="FV185" s="387"/>
      <c r="FW185" s="387"/>
      <c r="FX185" s="387"/>
      <c r="FY185" s="387"/>
      <c r="FZ185" s="387"/>
      <c r="GA185" s="988"/>
      <c r="GB185" s="109"/>
      <c r="GC185" s="2214">
        <f t="shared" ref="GC185:GN194" si="152">SUMPRODUCT(--($D$6:$GA$6=GC$6),$D185:$GA185,$D$278:$GA$278)</f>
        <v>0</v>
      </c>
      <c r="GD185" s="387">
        <f t="shared" si="152"/>
        <v>0</v>
      </c>
      <c r="GE185" s="387">
        <f t="shared" si="152"/>
        <v>0</v>
      </c>
      <c r="GF185" s="387">
        <f t="shared" si="152"/>
        <v>0</v>
      </c>
      <c r="GG185" s="387">
        <f t="shared" si="152"/>
        <v>0</v>
      </c>
      <c r="GH185" s="387">
        <f t="shared" si="152"/>
        <v>6.51</v>
      </c>
      <c r="GI185" s="387">
        <f t="shared" si="152"/>
        <v>0</v>
      </c>
      <c r="GJ185" s="387">
        <f t="shared" si="152"/>
        <v>0</v>
      </c>
      <c r="GK185" s="387">
        <f t="shared" si="152"/>
        <v>40.44</v>
      </c>
      <c r="GL185" s="387">
        <f t="shared" si="152"/>
        <v>0</v>
      </c>
      <c r="GM185" s="387">
        <f t="shared" si="152"/>
        <v>0</v>
      </c>
      <c r="GN185" s="988">
        <f t="shared" si="152"/>
        <v>0</v>
      </c>
      <c r="GO185" s="1036">
        <f t="shared" ref="GO185:GZ194" si="153">SUMPRODUCT(--($DT$6:$GA$6=GO$6),$DT185:$GA185,$DT$278:$GA$278)</f>
        <v>0</v>
      </c>
      <c r="GP185" s="387">
        <f t="shared" si="153"/>
        <v>0</v>
      </c>
      <c r="GQ185" s="387">
        <f t="shared" si="153"/>
        <v>0</v>
      </c>
      <c r="GR185" s="387">
        <f t="shared" si="153"/>
        <v>0</v>
      </c>
      <c r="GS185" s="387">
        <f t="shared" si="153"/>
        <v>0</v>
      </c>
      <c r="GT185" s="387">
        <f t="shared" si="153"/>
        <v>0</v>
      </c>
      <c r="GU185" s="387">
        <f t="shared" si="153"/>
        <v>0</v>
      </c>
      <c r="GV185" s="387">
        <f t="shared" si="153"/>
        <v>0</v>
      </c>
      <c r="GW185" s="387">
        <f t="shared" si="153"/>
        <v>0</v>
      </c>
      <c r="GX185" s="387">
        <f t="shared" si="153"/>
        <v>0</v>
      </c>
      <c r="GY185" s="387">
        <f t="shared" si="153"/>
        <v>0</v>
      </c>
      <c r="GZ185" s="988">
        <f t="shared" si="153"/>
        <v>0</v>
      </c>
      <c r="HB185" s="387"/>
      <c r="HC185" s="387"/>
      <c r="HD185" s="387"/>
      <c r="HE185" s="387"/>
      <c r="HF185" s="387"/>
      <c r="HG185" s="387"/>
      <c r="HH185" s="387"/>
      <c r="HI185" s="387"/>
      <c r="HJ185" s="387"/>
      <c r="HK185" s="387"/>
      <c r="HL185" s="387"/>
      <c r="HM185" s="988"/>
    </row>
    <row r="186" spans="1:221">
      <c r="A186" s="326" t="s">
        <v>900</v>
      </c>
      <c r="B186" s="326" t="s">
        <v>901</v>
      </c>
      <c r="C186" s="326" t="s">
        <v>1291</v>
      </c>
      <c r="D186" s="1036">
        <v>531.22</v>
      </c>
      <c r="E186" s="387">
        <v>476.92</v>
      </c>
      <c r="F186" s="387">
        <v>-33.5</v>
      </c>
      <c r="G186" s="387">
        <v>428.46000000000004</v>
      </c>
      <c r="H186" s="387">
        <v>318.95</v>
      </c>
      <c r="I186" s="387">
        <v>496.67</v>
      </c>
      <c r="J186" s="387">
        <v>439.77</v>
      </c>
      <c r="K186" s="387">
        <v>380</v>
      </c>
      <c r="L186" s="387">
        <v>403.59000000000003</v>
      </c>
      <c r="M186" s="387">
        <v>1108.9100000000001</v>
      </c>
      <c r="N186" s="387">
        <v>412.55</v>
      </c>
      <c r="O186" s="988">
        <v>74.61</v>
      </c>
      <c r="P186" s="387">
        <v>24.87</v>
      </c>
      <c r="Q186" s="387" t="s">
        <v>2154</v>
      </c>
      <c r="R186" s="387" t="s">
        <v>2154</v>
      </c>
      <c r="S186" s="387">
        <v>24.87</v>
      </c>
      <c r="T186" s="387">
        <v>24.87</v>
      </c>
      <c r="U186" s="387">
        <v>51.24</v>
      </c>
      <c r="V186" s="387">
        <v>-26.37</v>
      </c>
      <c r="W186" s="387">
        <v>56.22</v>
      </c>
      <c r="X186" s="387">
        <v>31.349999999999998</v>
      </c>
      <c r="Y186" s="387">
        <v>404.49</v>
      </c>
      <c r="Z186" s="387">
        <v>61.24</v>
      </c>
      <c r="AA186" s="988">
        <v>110.98</v>
      </c>
      <c r="AB186" s="387"/>
      <c r="AC186" s="387"/>
      <c r="AD186" s="387"/>
      <c r="AE186" s="387"/>
      <c r="AF186" s="387"/>
      <c r="AG186" s="387"/>
      <c r="AH186" s="387"/>
      <c r="AI186" s="387"/>
      <c r="AJ186" s="387"/>
      <c r="AK186" s="387"/>
      <c r="AL186" s="387"/>
      <c r="AM186" s="988"/>
      <c r="AN186" s="387"/>
      <c r="AO186" s="387"/>
      <c r="AP186" s="387"/>
      <c r="AQ186" s="387"/>
      <c r="AR186" s="387"/>
      <c r="AS186" s="387"/>
      <c r="AT186" s="387"/>
      <c r="AU186" s="387"/>
      <c r="AV186" s="387"/>
      <c r="AW186" s="387"/>
      <c r="AX186" s="387"/>
      <c r="AY186" s="988"/>
      <c r="AZ186" s="387"/>
      <c r="BA186" s="387"/>
      <c r="BB186" s="387"/>
      <c r="BC186" s="387"/>
      <c r="BD186" s="387"/>
      <c r="BE186" s="387"/>
      <c r="BF186" s="387"/>
      <c r="BG186" s="387"/>
      <c r="BH186" s="387"/>
      <c r="BI186" s="387"/>
      <c r="BJ186" s="387"/>
      <c r="BK186" s="988"/>
      <c r="BL186" s="387"/>
      <c r="BM186" s="387"/>
      <c r="BN186" s="387"/>
      <c r="BO186" s="387"/>
      <c r="BP186" s="387"/>
      <c r="BQ186" s="387"/>
      <c r="BR186" s="387"/>
      <c r="BS186" s="387"/>
      <c r="BT186" s="387"/>
      <c r="BU186" s="387"/>
      <c r="BV186" s="387"/>
      <c r="BW186" s="988"/>
      <c r="BX186" s="387"/>
      <c r="BY186" s="387"/>
      <c r="BZ186" s="387"/>
      <c r="CA186" s="387"/>
      <c r="CB186" s="387"/>
      <c r="CC186" s="387"/>
      <c r="CD186" s="387"/>
      <c r="CE186" s="387"/>
      <c r="CF186" s="387"/>
      <c r="CG186" s="387"/>
      <c r="CH186" s="387"/>
      <c r="CI186" s="988"/>
      <c r="CJ186" s="387"/>
      <c r="CK186" s="387"/>
      <c r="CL186" s="387"/>
      <c r="CM186" s="387"/>
      <c r="CN186" s="387"/>
      <c r="CO186" s="387"/>
      <c r="CP186" s="387"/>
      <c r="CQ186" s="387"/>
      <c r="CR186" s="387"/>
      <c r="CS186" s="387"/>
      <c r="CT186" s="387"/>
      <c r="CU186" s="988"/>
      <c r="CV186" s="387"/>
      <c r="CW186" s="387"/>
      <c r="CX186" s="387"/>
      <c r="CY186" s="387"/>
      <c r="CZ186" s="387"/>
      <c r="DA186" s="387"/>
      <c r="DB186" s="387"/>
      <c r="DC186" s="387"/>
      <c r="DD186" s="387"/>
      <c r="DE186" s="387"/>
      <c r="DF186" s="387"/>
      <c r="DG186" s="988"/>
      <c r="DH186" s="387"/>
      <c r="DI186" s="387"/>
      <c r="DJ186" s="387"/>
      <c r="DK186" s="387"/>
      <c r="DL186" s="387"/>
      <c r="DM186" s="387"/>
      <c r="DN186" s="387"/>
      <c r="DO186" s="387"/>
      <c r="DP186" s="387"/>
      <c r="DQ186" s="387"/>
      <c r="DR186" s="387"/>
      <c r="DS186" s="988"/>
      <c r="DT186" s="387" t="s">
        <v>2154</v>
      </c>
      <c r="DU186" s="387" t="s">
        <v>2154</v>
      </c>
      <c r="DV186" s="387" t="s">
        <v>2154</v>
      </c>
      <c r="DW186" s="387" t="s">
        <v>2154</v>
      </c>
      <c r="DX186" s="387" t="s">
        <v>2154</v>
      </c>
      <c r="DY186" s="387" t="s">
        <v>2154</v>
      </c>
      <c r="DZ186" s="387" t="s">
        <v>2154</v>
      </c>
      <c r="EA186" s="387" t="s">
        <v>2154</v>
      </c>
      <c r="EB186" s="387" t="s">
        <v>2154</v>
      </c>
      <c r="EC186" s="387" t="s">
        <v>2154</v>
      </c>
      <c r="ED186" s="387" t="s">
        <v>2154</v>
      </c>
      <c r="EE186" s="988">
        <v>24.87</v>
      </c>
      <c r="EF186" s="387"/>
      <c r="EG186" s="387"/>
      <c r="EH186" s="387"/>
      <c r="EI186" s="387"/>
      <c r="EJ186" s="387"/>
      <c r="EK186" s="387"/>
      <c r="EL186" s="387"/>
      <c r="EM186" s="387"/>
      <c r="EN186" s="387"/>
      <c r="EO186" s="387"/>
      <c r="EP186" s="387"/>
      <c r="EQ186" s="988"/>
      <c r="ER186" s="387"/>
      <c r="ES186" s="387"/>
      <c r="ET186" s="387"/>
      <c r="EU186" s="387"/>
      <c r="EV186" s="387"/>
      <c r="EW186" s="387"/>
      <c r="EX186" s="387"/>
      <c r="EY186" s="387"/>
      <c r="EZ186" s="387"/>
      <c r="FA186" s="387"/>
      <c r="FB186" s="387"/>
      <c r="FC186" s="988"/>
      <c r="FD186" s="387"/>
      <c r="FE186" s="387"/>
      <c r="FF186" s="387"/>
      <c r="FG186" s="387"/>
      <c r="FH186" s="387"/>
      <c r="FI186" s="387"/>
      <c r="FJ186" s="387"/>
      <c r="FK186" s="387"/>
      <c r="FL186" s="387"/>
      <c r="FM186" s="387"/>
      <c r="FN186" s="387"/>
      <c r="FO186" s="988"/>
      <c r="FP186" s="387"/>
      <c r="FQ186" s="387"/>
      <c r="FR186" s="387"/>
      <c r="FS186" s="387"/>
      <c r="FT186" s="387"/>
      <c r="FU186" s="387"/>
      <c r="FV186" s="387"/>
      <c r="FW186" s="387"/>
      <c r="FX186" s="387"/>
      <c r="FY186" s="387"/>
      <c r="FZ186" s="387"/>
      <c r="GA186" s="988"/>
      <c r="GB186" s="109"/>
      <c r="GC186" s="2214">
        <f t="shared" si="152"/>
        <v>556.09</v>
      </c>
      <c r="GD186" s="387">
        <f t="shared" si="152"/>
        <v>476.92</v>
      </c>
      <c r="GE186" s="387">
        <f t="shared" si="152"/>
        <v>-33.5</v>
      </c>
      <c r="GF186" s="387">
        <f t="shared" si="152"/>
        <v>453.33000000000004</v>
      </c>
      <c r="GG186" s="387">
        <f t="shared" si="152"/>
        <v>343.82</v>
      </c>
      <c r="GH186" s="387">
        <f t="shared" si="152"/>
        <v>547.91</v>
      </c>
      <c r="GI186" s="387">
        <f t="shared" si="152"/>
        <v>413.4</v>
      </c>
      <c r="GJ186" s="387">
        <f t="shared" si="152"/>
        <v>436.22</v>
      </c>
      <c r="GK186" s="387">
        <f t="shared" si="152"/>
        <v>434.94000000000005</v>
      </c>
      <c r="GL186" s="387">
        <f t="shared" si="152"/>
        <v>1513.4</v>
      </c>
      <c r="GM186" s="387">
        <f t="shared" si="152"/>
        <v>473.79</v>
      </c>
      <c r="GN186" s="988">
        <f t="shared" si="152"/>
        <v>210.46</v>
      </c>
      <c r="GO186" s="1036">
        <f t="shared" si="153"/>
        <v>0</v>
      </c>
      <c r="GP186" s="387">
        <f t="shared" si="153"/>
        <v>0</v>
      </c>
      <c r="GQ186" s="387">
        <f t="shared" si="153"/>
        <v>0</v>
      </c>
      <c r="GR186" s="387">
        <f t="shared" si="153"/>
        <v>0</v>
      </c>
      <c r="GS186" s="387">
        <f t="shared" si="153"/>
        <v>0</v>
      </c>
      <c r="GT186" s="387">
        <f t="shared" si="153"/>
        <v>0</v>
      </c>
      <c r="GU186" s="387">
        <f t="shared" si="153"/>
        <v>0</v>
      </c>
      <c r="GV186" s="387">
        <f t="shared" si="153"/>
        <v>0</v>
      </c>
      <c r="GW186" s="387">
        <f t="shared" si="153"/>
        <v>0</v>
      </c>
      <c r="GX186" s="387">
        <f t="shared" si="153"/>
        <v>0</v>
      </c>
      <c r="GY186" s="387">
        <f t="shared" si="153"/>
        <v>0</v>
      </c>
      <c r="GZ186" s="988">
        <f t="shared" si="153"/>
        <v>24.87</v>
      </c>
      <c r="HB186" s="387"/>
      <c r="HC186" s="387"/>
      <c r="HD186" s="387"/>
      <c r="HE186" s="387"/>
      <c r="HF186" s="387"/>
      <c r="HG186" s="387"/>
      <c r="HH186" s="387"/>
      <c r="HI186" s="387"/>
      <c r="HJ186" s="387"/>
      <c r="HK186" s="387"/>
      <c r="HL186" s="387"/>
      <c r="HM186" s="988"/>
    </row>
    <row r="187" spans="1:221">
      <c r="A187" s="326" t="s">
        <v>900</v>
      </c>
      <c r="B187" s="326" t="s">
        <v>901</v>
      </c>
      <c r="C187" s="326" t="s">
        <v>1292</v>
      </c>
      <c r="D187" s="1036">
        <v>7642.630000000001</v>
      </c>
      <c r="E187" s="387">
        <v>8046.5099999999993</v>
      </c>
      <c r="F187" s="387">
        <v>1641.42</v>
      </c>
      <c r="G187" s="387">
        <v>9206.14</v>
      </c>
      <c r="H187" s="387">
        <v>11248.27</v>
      </c>
      <c r="I187" s="387">
        <v>17541.889999999996</v>
      </c>
      <c r="J187" s="387">
        <v>12198.960000000001</v>
      </c>
      <c r="K187" s="387">
        <v>12741.23</v>
      </c>
      <c r="L187" s="387">
        <v>9326.57</v>
      </c>
      <c r="M187" s="387">
        <v>9134.5</v>
      </c>
      <c r="N187" s="387">
        <v>10018.769999999999</v>
      </c>
      <c r="O187" s="988">
        <v>11760.869999999999</v>
      </c>
      <c r="P187" s="387">
        <v>1740.5699999999997</v>
      </c>
      <c r="Q187" s="387">
        <v>1114.68</v>
      </c>
      <c r="R187" s="387">
        <v>-178</v>
      </c>
      <c r="S187" s="387">
        <v>874.29</v>
      </c>
      <c r="T187" s="387">
        <v>558.69000000000005</v>
      </c>
      <c r="U187" s="387">
        <v>2117.67</v>
      </c>
      <c r="V187" s="387">
        <v>293.81</v>
      </c>
      <c r="W187" s="387">
        <v>3509.22</v>
      </c>
      <c r="X187" s="387">
        <v>5216.8900000000003</v>
      </c>
      <c r="Y187" s="387">
        <v>11774.64</v>
      </c>
      <c r="Z187" s="387">
        <v>9225.42</v>
      </c>
      <c r="AA187" s="988">
        <v>13225.92</v>
      </c>
      <c r="AB187" s="387"/>
      <c r="AC187" s="387"/>
      <c r="AD187" s="387"/>
      <c r="AE187" s="387"/>
      <c r="AF187" s="387"/>
      <c r="AG187" s="387"/>
      <c r="AH187" s="387"/>
      <c r="AI187" s="387"/>
      <c r="AJ187" s="387"/>
      <c r="AK187" s="387"/>
      <c r="AL187" s="387"/>
      <c r="AM187" s="988"/>
      <c r="AN187" s="387"/>
      <c r="AO187" s="387"/>
      <c r="AP187" s="387"/>
      <c r="AQ187" s="387"/>
      <c r="AR187" s="387"/>
      <c r="AS187" s="387"/>
      <c r="AT187" s="387"/>
      <c r="AU187" s="387"/>
      <c r="AV187" s="387"/>
      <c r="AW187" s="387"/>
      <c r="AX187" s="387"/>
      <c r="AY187" s="988"/>
      <c r="AZ187" s="387"/>
      <c r="BA187" s="387"/>
      <c r="BB187" s="387"/>
      <c r="BC187" s="387"/>
      <c r="BD187" s="387"/>
      <c r="BE187" s="387"/>
      <c r="BF187" s="387"/>
      <c r="BG187" s="387"/>
      <c r="BH187" s="387"/>
      <c r="BI187" s="387"/>
      <c r="BJ187" s="387"/>
      <c r="BK187" s="988"/>
      <c r="BL187" s="387"/>
      <c r="BM187" s="387"/>
      <c r="BN187" s="387"/>
      <c r="BO187" s="387"/>
      <c r="BP187" s="387"/>
      <c r="BQ187" s="387"/>
      <c r="BR187" s="387"/>
      <c r="BS187" s="387"/>
      <c r="BT187" s="387"/>
      <c r="BU187" s="387"/>
      <c r="BV187" s="387"/>
      <c r="BW187" s="988"/>
      <c r="BX187" s="387"/>
      <c r="BY187" s="387"/>
      <c r="BZ187" s="387"/>
      <c r="CA187" s="387"/>
      <c r="CB187" s="387"/>
      <c r="CC187" s="387"/>
      <c r="CD187" s="387"/>
      <c r="CE187" s="387"/>
      <c r="CF187" s="387"/>
      <c r="CG187" s="387"/>
      <c r="CH187" s="387"/>
      <c r="CI187" s="988"/>
      <c r="CJ187" s="387"/>
      <c r="CK187" s="387"/>
      <c r="CL187" s="387"/>
      <c r="CM187" s="387"/>
      <c r="CN187" s="387"/>
      <c r="CO187" s="387"/>
      <c r="CP187" s="387"/>
      <c r="CQ187" s="387"/>
      <c r="CR187" s="387"/>
      <c r="CS187" s="387"/>
      <c r="CT187" s="387"/>
      <c r="CU187" s="988"/>
      <c r="CV187" s="387"/>
      <c r="CW187" s="387"/>
      <c r="CX187" s="387"/>
      <c r="CY187" s="387"/>
      <c r="CZ187" s="387"/>
      <c r="DA187" s="387"/>
      <c r="DB187" s="387"/>
      <c r="DC187" s="387"/>
      <c r="DD187" s="387"/>
      <c r="DE187" s="387"/>
      <c r="DF187" s="387"/>
      <c r="DG187" s="988"/>
      <c r="DH187" s="387"/>
      <c r="DI187" s="387"/>
      <c r="DJ187" s="387"/>
      <c r="DK187" s="387"/>
      <c r="DL187" s="387"/>
      <c r="DM187" s="387"/>
      <c r="DN187" s="387"/>
      <c r="DO187" s="387"/>
      <c r="DP187" s="387"/>
      <c r="DQ187" s="387"/>
      <c r="DR187" s="387"/>
      <c r="DS187" s="988"/>
      <c r="DT187" s="387">
        <v>1945.7900000000002</v>
      </c>
      <c r="DU187" s="387">
        <v>2209.2000000000003</v>
      </c>
      <c r="DV187" s="387">
        <v>2521.9499999999998</v>
      </c>
      <c r="DW187" s="387">
        <v>3287.1600000000003</v>
      </c>
      <c r="DX187" s="387">
        <v>5252.32</v>
      </c>
      <c r="DY187" s="387">
        <v>5522.2800000000007</v>
      </c>
      <c r="DZ187" s="387">
        <v>747.18</v>
      </c>
      <c r="EA187" s="387">
        <v>3696.0699999999997</v>
      </c>
      <c r="EB187" s="387">
        <v>6354.0399999999991</v>
      </c>
      <c r="EC187" s="387">
        <v>5002.2</v>
      </c>
      <c r="ED187" s="387">
        <v>1286.2800000000002</v>
      </c>
      <c r="EE187" s="988">
        <v>-10044.969999999999</v>
      </c>
      <c r="EF187" s="387"/>
      <c r="EG187" s="387"/>
      <c r="EH187" s="387"/>
      <c r="EI187" s="387"/>
      <c r="EJ187" s="387"/>
      <c r="EK187" s="387"/>
      <c r="EL187" s="387"/>
      <c r="EM187" s="387"/>
      <c r="EN187" s="387"/>
      <c r="EO187" s="387"/>
      <c r="EP187" s="387"/>
      <c r="EQ187" s="988"/>
      <c r="ER187" s="387"/>
      <c r="ES187" s="387"/>
      <c r="ET187" s="387"/>
      <c r="EU187" s="387"/>
      <c r="EV187" s="387"/>
      <c r="EW187" s="387"/>
      <c r="EX187" s="387"/>
      <c r="EY187" s="387"/>
      <c r="EZ187" s="387"/>
      <c r="FA187" s="387"/>
      <c r="FB187" s="387"/>
      <c r="FC187" s="988"/>
      <c r="FD187" s="387"/>
      <c r="FE187" s="387"/>
      <c r="FF187" s="387"/>
      <c r="FG187" s="387"/>
      <c r="FH187" s="387"/>
      <c r="FI187" s="387"/>
      <c r="FJ187" s="387"/>
      <c r="FK187" s="387"/>
      <c r="FL187" s="387"/>
      <c r="FM187" s="387"/>
      <c r="FN187" s="387"/>
      <c r="FO187" s="988"/>
      <c r="FP187" s="387"/>
      <c r="FQ187" s="387"/>
      <c r="FR187" s="387"/>
      <c r="FS187" s="387"/>
      <c r="FT187" s="387"/>
      <c r="FU187" s="387"/>
      <c r="FV187" s="387"/>
      <c r="FW187" s="387"/>
      <c r="FX187" s="387"/>
      <c r="FY187" s="387"/>
      <c r="FZ187" s="387"/>
      <c r="GA187" s="988"/>
      <c r="GB187" s="109"/>
      <c r="GC187" s="2214">
        <f t="shared" si="152"/>
        <v>11328.990000000002</v>
      </c>
      <c r="GD187" s="387">
        <f t="shared" si="152"/>
        <v>11370.39</v>
      </c>
      <c r="GE187" s="387">
        <f t="shared" si="152"/>
        <v>3985.37</v>
      </c>
      <c r="GF187" s="387">
        <f t="shared" si="152"/>
        <v>13367.59</v>
      </c>
      <c r="GG187" s="387">
        <f t="shared" si="152"/>
        <v>17059.28</v>
      </c>
      <c r="GH187" s="387">
        <f t="shared" si="152"/>
        <v>25181.839999999997</v>
      </c>
      <c r="GI187" s="387">
        <f t="shared" si="152"/>
        <v>13239.95</v>
      </c>
      <c r="GJ187" s="387">
        <f t="shared" si="152"/>
        <v>19946.519999999997</v>
      </c>
      <c r="GK187" s="387">
        <f t="shared" si="152"/>
        <v>20897.5</v>
      </c>
      <c r="GL187" s="387">
        <f t="shared" si="152"/>
        <v>25911.34</v>
      </c>
      <c r="GM187" s="387">
        <f t="shared" si="152"/>
        <v>20530.469999999998</v>
      </c>
      <c r="GN187" s="988">
        <f t="shared" si="152"/>
        <v>14941.820000000002</v>
      </c>
      <c r="GO187" s="1036">
        <f t="shared" si="153"/>
        <v>1945.7900000000002</v>
      </c>
      <c r="GP187" s="387">
        <f t="shared" si="153"/>
        <v>2209.2000000000003</v>
      </c>
      <c r="GQ187" s="387">
        <f t="shared" si="153"/>
        <v>2521.9499999999998</v>
      </c>
      <c r="GR187" s="387">
        <f t="shared" si="153"/>
        <v>3287.1600000000003</v>
      </c>
      <c r="GS187" s="387">
        <f t="shared" si="153"/>
        <v>5252.32</v>
      </c>
      <c r="GT187" s="387">
        <f t="shared" si="153"/>
        <v>5522.2800000000007</v>
      </c>
      <c r="GU187" s="387">
        <f t="shared" si="153"/>
        <v>747.18</v>
      </c>
      <c r="GV187" s="387">
        <f t="shared" si="153"/>
        <v>3696.0699999999997</v>
      </c>
      <c r="GW187" s="387">
        <f t="shared" si="153"/>
        <v>6354.0399999999991</v>
      </c>
      <c r="GX187" s="387">
        <f t="shared" si="153"/>
        <v>5002.2</v>
      </c>
      <c r="GY187" s="387">
        <f t="shared" si="153"/>
        <v>1286.2800000000002</v>
      </c>
      <c r="GZ187" s="988">
        <f t="shared" si="153"/>
        <v>-10044.969999999999</v>
      </c>
      <c r="HB187" s="387"/>
      <c r="HC187" s="387"/>
      <c r="HD187" s="387"/>
      <c r="HE187" s="387"/>
      <c r="HF187" s="387"/>
      <c r="HG187" s="387"/>
      <c r="HH187" s="387"/>
      <c r="HI187" s="387"/>
      <c r="HJ187" s="387"/>
      <c r="HK187" s="387"/>
      <c r="HL187" s="387"/>
      <c r="HM187" s="988"/>
    </row>
    <row r="188" spans="1:221">
      <c r="A188" s="326" t="s">
        <v>900</v>
      </c>
      <c r="B188" s="326" t="s">
        <v>901</v>
      </c>
      <c r="C188" s="326" t="s">
        <v>1293</v>
      </c>
      <c r="D188" s="1036">
        <v>173246.44</v>
      </c>
      <c r="E188" s="387">
        <v>175432.94</v>
      </c>
      <c r="F188" s="387">
        <v>161935.11000000002</v>
      </c>
      <c r="G188" s="387">
        <v>179736.33999999997</v>
      </c>
      <c r="H188" s="387">
        <v>190163.96</v>
      </c>
      <c r="I188" s="387">
        <v>205300.62999999998</v>
      </c>
      <c r="J188" s="387">
        <v>183353.81</v>
      </c>
      <c r="K188" s="387">
        <v>186604.99</v>
      </c>
      <c r="L188" s="387">
        <v>173590.45</v>
      </c>
      <c r="M188" s="387">
        <v>167310.81</v>
      </c>
      <c r="N188" s="387">
        <v>185777.44</v>
      </c>
      <c r="O188" s="988">
        <v>172637.13999999998</v>
      </c>
      <c r="P188" s="387">
        <v>65056.389999999992</v>
      </c>
      <c r="Q188" s="387">
        <v>57524.83</v>
      </c>
      <c r="R188" s="387">
        <v>74937.319999999992</v>
      </c>
      <c r="S188" s="387">
        <v>76199.399999999994</v>
      </c>
      <c r="T188" s="387">
        <v>78772.790000000008</v>
      </c>
      <c r="U188" s="387">
        <v>79570.009999999995</v>
      </c>
      <c r="V188" s="387">
        <v>115194.39000000001</v>
      </c>
      <c r="W188" s="387">
        <v>119297.29000000002</v>
      </c>
      <c r="X188" s="387">
        <v>128710.80000000002</v>
      </c>
      <c r="Y188" s="387">
        <v>150399.66000000003</v>
      </c>
      <c r="Z188" s="387">
        <v>152489.45000000001</v>
      </c>
      <c r="AA188" s="988">
        <v>162021.6</v>
      </c>
      <c r="AB188" s="387"/>
      <c r="AC188" s="387"/>
      <c r="AD188" s="387"/>
      <c r="AE188" s="387"/>
      <c r="AF188" s="387"/>
      <c r="AG188" s="387"/>
      <c r="AH188" s="387"/>
      <c r="AI188" s="387"/>
      <c r="AJ188" s="387"/>
      <c r="AK188" s="387"/>
      <c r="AL188" s="387"/>
      <c r="AM188" s="988"/>
      <c r="AN188" s="387"/>
      <c r="AO188" s="387"/>
      <c r="AP188" s="387"/>
      <c r="AQ188" s="387"/>
      <c r="AR188" s="387"/>
      <c r="AS188" s="387"/>
      <c r="AT188" s="387"/>
      <c r="AU188" s="387"/>
      <c r="AV188" s="387"/>
      <c r="AW188" s="387"/>
      <c r="AX188" s="387"/>
      <c r="AY188" s="988"/>
      <c r="AZ188" s="387"/>
      <c r="BA188" s="387"/>
      <c r="BB188" s="387"/>
      <c r="BC188" s="387"/>
      <c r="BD188" s="387"/>
      <c r="BE188" s="387"/>
      <c r="BF188" s="387"/>
      <c r="BG188" s="387"/>
      <c r="BH188" s="387"/>
      <c r="BI188" s="387"/>
      <c r="BJ188" s="387"/>
      <c r="BK188" s="988"/>
      <c r="BL188" s="387"/>
      <c r="BM188" s="387"/>
      <c r="BN188" s="387"/>
      <c r="BO188" s="387"/>
      <c r="BP188" s="387"/>
      <c r="BQ188" s="387"/>
      <c r="BR188" s="387"/>
      <c r="BS188" s="387"/>
      <c r="BT188" s="387"/>
      <c r="BU188" s="387"/>
      <c r="BV188" s="387"/>
      <c r="BW188" s="988"/>
      <c r="BX188" s="387"/>
      <c r="BY188" s="387"/>
      <c r="BZ188" s="387"/>
      <c r="CA188" s="387"/>
      <c r="CB188" s="387"/>
      <c r="CC188" s="387"/>
      <c r="CD188" s="387"/>
      <c r="CE188" s="387"/>
      <c r="CF188" s="387"/>
      <c r="CG188" s="387"/>
      <c r="CH188" s="387"/>
      <c r="CI188" s="988"/>
      <c r="CJ188" s="387"/>
      <c r="CK188" s="387"/>
      <c r="CL188" s="387"/>
      <c r="CM188" s="387"/>
      <c r="CN188" s="387"/>
      <c r="CO188" s="387"/>
      <c r="CP188" s="387"/>
      <c r="CQ188" s="387"/>
      <c r="CR188" s="387"/>
      <c r="CS188" s="387"/>
      <c r="CT188" s="387"/>
      <c r="CU188" s="988"/>
      <c r="CV188" s="387"/>
      <c r="CW188" s="387"/>
      <c r="CX188" s="387"/>
      <c r="CY188" s="387"/>
      <c r="CZ188" s="387"/>
      <c r="DA188" s="387"/>
      <c r="DB188" s="387"/>
      <c r="DC188" s="387"/>
      <c r="DD188" s="387"/>
      <c r="DE188" s="387"/>
      <c r="DF188" s="387"/>
      <c r="DG188" s="988"/>
      <c r="DH188" s="387"/>
      <c r="DI188" s="387"/>
      <c r="DJ188" s="387"/>
      <c r="DK188" s="387"/>
      <c r="DL188" s="387"/>
      <c r="DM188" s="387"/>
      <c r="DN188" s="387"/>
      <c r="DO188" s="387"/>
      <c r="DP188" s="387"/>
      <c r="DQ188" s="387"/>
      <c r="DR188" s="387"/>
      <c r="DS188" s="988"/>
      <c r="DT188" s="387">
        <v>41403.689999999995</v>
      </c>
      <c r="DU188" s="387">
        <v>42569.02</v>
      </c>
      <c r="DV188" s="387">
        <v>38683.909999999996</v>
      </c>
      <c r="DW188" s="387">
        <v>37320.350000000006</v>
      </c>
      <c r="DX188" s="387">
        <v>36161.96</v>
      </c>
      <c r="DY188" s="387">
        <v>39011.78</v>
      </c>
      <c r="DZ188" s="387">
        <v>27636.6</v>
      </c>
      <c r="EA188" s="387">
        <v>37889.919999999998</v>
      </c>
      <c r="EB188" s="387">
        <v>37028.730000000003</v>
      </c>
      <c r="EC188" s="387">
        <v>35907.360000000001</v>
      </c>
      <c r="ED188" s="387">
        <v>33600.18</v>
      </c>
      <c r="EE188" s="988">
        <v>-2517.2599999999984</v>
      </c>
      <c r="EF188" s="387"/>
      <c r="EG188" s="387"/>
      <c r="EH188" s="387"/>
      <c r="EI188" s="387"/>
      <c r="EJ188" s="387"/>
      <c r="EK188" s="387"/>
      <c r="EL188" s="387"/>
      <c r="EM188" s="387"/>
      <c r="EN188" s="387"/>
      <c r="EO188" s="387"/>
      <c r="EP188" s="387"/>
      <c r="EQ188" s="988"/>
      <c r="ER188" s="387"/>
      <c r="ES188" s="387"/>
      <c r="ET188" s="387"/>
      <c r="EU188" s="387"/>
      <c r="EV188" s="387"/>
      <c r="EW188" s="387"/>
      <c r="EX188" s="387"/>
      <c r="EY188" s="387"/>
      <c r="EZ188" s="387"/>
      <c r="FA188" s="387"/>
      <c r="FB188" s="387"/>
      <c r="FC188" s="988"/>
      <c r="FD188" s="387"/>
      <c r="FE188" s="387"/>
      <c r="FF188" s="387"/>
      <c r="FG188" s="387"/>
      <c r="FH188" s="387"/>
      <c r="FI188" s="387"/>
      <c r="FJ188" s="387"/>
      <c r="FK188" s="387"/>
      <c r="FL188" s="387"/>
      <c r="FM188" s="387"/>
      <c r="FN188" s="387"/>
      <c r="FO188" s="988"/>
      <c r="FP188" s="387"/>
      <c r="FQ188" s="387"/>
      <c r="FR188" s="387"/>
      <c r="FS188" s="387"/>
      <c r="FT188" s="387"/>
      <c r="FU188" s="387"/>
      <c r="FV188" s="387"/>
      <c r="FW188" s="387"/>
      <c r="FX188" s="387"/>
      <c r="FY188" s="387"/>
      <c r="FZ188" s="387"/>
      <c r="GA188" s="988"/>
      <c r="GB188" s="109"/>
      <c r="GC188" s="2214">
        <f t="shared" si="152"/>
        <v>279706.51999999996</v>
      </c>
      <c r="GD188" s="387">
        <f t="shared" si="152"/>
        <v>275526.79000000004</v>
      </c>
      <c r="GE188" s="387">
        <f t="shared" si="152"/>
        <v>275556.33999999997</v>
      </c>
      <c r="GF188" s="387">
        <f t="shared" si="152"/>
        <v>293256.08999999997</v>
      </c>
      <c r="GG188" s="387">
        <f t="shared" si="152"/>
        <v>305098.71000000002</v>
      </c>
      <c r="GH188" s="387">
        <f t="shared" si="152"/>
        <v>323882.41999999993</v>
      </c>
      <c r="GI188" s="387">
        <f t="shared" si="152"/>
        <v>326184.8</v>
      </c>
      <c r="GJ188" s="387">
        <f t="shared" si="152"/>
        <v>343792.2</v>
      </c>
      <c r="GK188" s="387">
        <f t="shared" si="152"/>
        <v>339329.98</v>
      </c>
      <c r="GL188" s="387">
        <f t="shared" si="152"/>
        <v>353617.83</v>
      </c>
      <c r="GM188" s="387">
        <f t="shared" si="152"/>
        <v>371867.07</v>
      </c>
      <c r="GN188" s="988">
        <f t="shared" si="152"/>
        <v>332141.48</v>
      </c>
      <c r="GO188" s="1036">
        <f t="shared" si="153"/>
        <v>41403.689999999995</v>
      </c>
      <c r="GP188" s="387">
        <f t="shared" si="153"/>
        <v>42569.02</v>
      </c>
      <c r="GQ188" s="387">
        <f t="shared" si="153"/>
        <v>38683.909999999996</v>
      </c>
      <c r="GR188" s="387">
        <f t="shared" si="153"/>
        <v>37320.350000000006</v>
      </c>
      <c r="GS188" s="387">
        <f t="shared" si="153"/>
        <v>36161.96</v>
      </c>
      <c r="GT188" s="387">
        <f t="shared" si="153"/>
        <v>39011.78</v>
      </c>
      <c r="GU188" s="387">
        <f t="shared" si="153"/>
        <v>27636.6</v>
      </c>
      <c r="GV188" s="387">
        <f t="shared" si="153"/>
        <v>37889.919999999998</v>
      </c>
      <c r="GW188" s="387">
        <f t="shared" si="153"/>
        <v>37028.730000000003</v>
      </c>
      <c r="GX188" s="387">
        <f t="shared" si="153"/>
        <v>35907.360000000001</v>
      </c>
      <c r="GY188" s="387">
        <f t="shared" si="153"/>
        <v>33600.18</v>
      </c>
      <c r="GZ188" s="988">
        <f t="shared" si="153"/>
        <v>-2517.2599999999984</v>
      </c>
      <c r="HB188" s="387"/>
      <c r="HC188" s="387"/>
      <c r="HD188" s="387"/>
      <c r="HE188" s="387"/>
      <c r="HF188" s="387"/>
      <c r="HG188" s="387"/>
      <c r="HH188" s="387"/>
      <c r="HI188" s="387"/>
      <c r="HJ188" s="387"/>
      <c r="HK188" s="387"/>
      <c r="HL188" s="387"/>
      <c r="HM188" s="988"/>
    </row>
    <row r="189" spans="1:221">
      <c r="A189" s="326" t="s">
        <v>900</v>
      </c>
      <c r="B189" s="326" t="s">
        <v>901</v>
      </c>
      <c r="C189" s="326" t="s">
        <v>1294</v>
      </c>
      <c r="D189" s="1036">
        <v>-1329.9299999999967</v>
      </c>
      <c r="E189" s="387">
        <v>-335.82999999999811</v>
      </c>
      <c r="F189" s="387">
        <v>2248.6499999999996</v>
      </c>
      <c r="G189" s="387">
        <v>-415.00000000000182</v>
      </c>
      <c r="H189" s="387">
        <v>-5522.0099999999975</v>
      </c>
      <c r="I189" s="387">
        <v>16116.420000000002</v>
      </c>
      <c r="J189" s="387">
        <v>-2607.5500000000011</v>
      </c>
      <c r="K189" s="387">
        <v>-114.38999999999987</v>
      </c>
      <c r="L189" s="387">
        <v>-1836.9399999999982</v>
      </c>
      <c r="M189" s="387">
        <v>-2003.839999999999</v>
      </c>
      <c r="N189" s="387">
        <v>11251.93</v>
      </c>
      <c r="O189" s="988">
        <v>-2130.5900000000033</v>
      </c>
      <c r="P189" s="387">
        <v>175.0799999999997</v>
      </c>
      <c r="Q189" s="387">
        <v>-66.639999999999219</v>
      </c>
      <c r="R189" s="387">
        <v>-3401.0800000000008</v>
      </c>
      <c r="S189" s="387">
        <v>-6636.5499999999993</v>
      </c>
      <c r="T189" s="387">
        <v>-623.27999999999952</v>
      </c>
      <c r="U189" s="387">
        <v>-192.59000000000049</v>
      </c>
      <c r="V189" s="387">
        <v>-5297.0899999999992</v>
      </c>
      <c r="W189" s="387">
        <v>-1818.1200000000001</v>
      </c>
      <c r="X189" s="387">
        <v>31738.61</v>
      </c>
      <c r="Y189" s="387">
        <v>35473.449999999997</v>
      </c>
      <c r="Z189" s="387">
        <v>2747.8500000000013</v>
      </c>
      <c r="AA189" s="988">
        <v>-4965.6500000000015</v>
      </c>
      <c r="AB189" s="387"/>
      <c r="AC189" s="387"/>
      <c r="AD189" s="387"/>
      <c r="AE189" s="387"/>
      <c r="AF189" s="387"/>
      <c r="AG189" s="387"/>
      <c r="AH189" s="387"/>
      <c r="AI189" s="387"/>
      <c r="AJ189" s="387"/>
      <c r="AK189" s="387"/>
      <c r="AL189" s="387"/>
      <c r="AM189" s="988"/>
      <c r="AN189" s="387"/>
      <c r="AO189" s="387"/>
      <c r="AP189" s="387"/>
      <c r="AQ189" s="387"/>
      <c r="AR189" s="387"/>
      <c r="AS189" s="387"/>
      <c r="AT189" s="387"/>
      <c r="AU189" s="387"/>
      <c r="AV189" s="387"/>
      <c r="AW189" s="387"/>
      <c r="AX189" s="387"/>
      <c r="AY189" s="988"/>
      <c r="AZ189" s="387"/>
      <c r="BA189" s="387"/>
      <c r="BB189" s="387"/>
      <c r="BC189" s="387"/>
      <c r="BD189" s="387"/>
      <c r="BE189" s="387"/>
      <c r="BF189" s="387"/>
      <c r="BG189" s="387"/>
      <c r="BH189" s="387"/>
      <c r="BI189" s="387"/>
      <c r="BJ189" s="387"/>
      <c r="BK189" s="988"/>
      <c r="BL189" s="387"/>
      <c r="BM189" s="387"/>
      <c r="BN189" s="387"/>
      <c r="BO189" s="387"/>
      <c r="BP189" s="387"/>
      <c r="BQ189" s="387"/>
      <c r="BR189" s="387"/>
      <c r="BS189" s="387"/>
      <c r="BT189" s="387"/>
      <c r="BU189" s="387"/>
      <c r="BV189" s="387"/>
      <c r="BW189" s="988"/>
      <c r="BX189" s="387"/>
      <c r="BY189" s="387"/>
      <c r="BZ189" s="387"/>
      <c r="CA189" s="387"/>
      <c r="CB189" s="387"/>
      <c r="CC189" s="387"/>
      <c r="CD189" s="387"/>
      <c r="CE189" s="387"/>
      <c r="CF189" s="387"/>
      <c r="CG189" s="387"/>
      <c r="CH189" s="387"/>
      <c r="CI189" s="988"/>
      <c r="CJ189" s="387"/>
      <c r="CK189" s="387"/>
      <c r="CL189" s="387"/>
      <c r="CM189" s="387"/>
      <c r="CN189" s="387"/>
      <c r="CO189" s="387"/>
      <c r="CP189" s="387"/>
      <c r="CQ189" s="387"/>
      <c r="CR189" s="387"/>
      <c r="CS189" s="387"/>
      <c r="CT189" s="387"/>
      <c r="CU189" s="988"/>
      <c r="CV189" s="387"/>
      <c r="CW189" s="387"/>
      <c r="CX189" s="387"/>
      <c r="CY189" s="387"/>
      <c r="CZ189" s="387"/>
      <c r="DA189" s="387"/>
      <c r="DB189" s="387"/>
      <c r="DC189" s="387"/>
      <c r="DD189" s="387"/>
      <c r="DE189" s="387"/>
      <c r="DF189" s="387"/>
      <c r="DG189" s="988"/>
      <c r="DH189" s="387"/>
      <c r="DI189" s="387"/>
      <c r="DJ189" s="387"/>
      <c r="DK189" s="387"/>
      <c r="DL189" s="387"/>
      <c r="DM189" s="387"/>
      <c r="DN189" s="387"/>
      <c r="DO189" s="387"/>
      <c r="DP189" s="387"/>
      <c r="DQ189" s="387"/>
      <c r="DR189" s="387"/>
      <c r="DS189" s="988"/>
      <c r="DT189" s="387">
        <v>621.10000000000014</v>
      </c>
      <c r="DU189" s="387">
        <v>944.84000000000083</v>
      </c>
      <c r="DV189" s="387">
        <v>207.97000000000014</v>
      </c>
      <c r="DW189" s="387">
        <v>1514.6200000000001</v>
      </c>
      <c r="DX189" s="387">
        <v>1798.15</v>
      </c>
      <c r="DY189" s="387">
        <v>3216.02</v>
      </c>
      <c r="DZ189" s="387">
        <v>4296.99</v>
      </c>
      <c r="EA189" s="387">
        <v>-165.42000000000013</v>
      </c>
      <c r="EB189" s="387">
        <v>2219.86</v>
      </c>
      <c r="EC189" s="387">
        <v>3544.2899999999995</v>
      </c>
      <c r="ED189" s="387">
        <v>2156.3100000000004</v>
      </c>
      <c r="EE189" s="988">
        <v>724.69999999999959</v>
      </c>
      <c r="EF189" s="387"/>
      <c r="EG189" s="387"/>
      <c r="EH189" s="387"/>
      <c r="EI189" s="387"/>
      <c r="EJ189" s="387"/>
      <c r="EK189" s="387"/>
      <c r="EL189" s="387"/>
      <c r="EM189" s="387"/>
      <c r="EN189" s="387"/>
      <c r="EO189" s="387"/>
      <c r="EP189" s="387"/>
      <c r="EQ189" s="988"/>
      <c r="ER189" s="387"/>
      <c r="ES189" s="387"/>
      <c r="ET189" s="387"/>
      <c r="EU189" s="387"/>
      <c r="EV189" s="387"/>
      <c r="EW189" s="387"/>
      <c r="EX189" s="387"/>
      <c r="EY189" s="387"/>
      <c r="EZ189" s="387"/>
      <c r="FA189" s="387"/>
      <c r="FB189" s="387"/>
      <c r="FC189" s="988"/>
      <c r="FD189" s="387"/>
      <c r="FE189" s="387"/>
      <c r="FF189" s="387"/>
      <c r="FG189" s="387"/>
      <c r="FH189" s="387"/>
      <c r="FI189" s="387"/>
      <c r="FJ189" s="387"/>
      <c r="FK189" s="387"/>
      <c r="FL189" s="387"/>
      <c r="FM189" s="387"/>
      <c r="FN189" s="387"/>
      <c r="FO189" s="988"/>
      <c r="FP189" s="387"/>
      <c r="FQ189" s="387"/>
      <c r="FR189" s="387"/>
      <c r="FS189" s="387"/>
      <c r="FT189" s="387"/>
      <c r="FU189" s="387"/>
      <c r="FV189" s="387"/>
      <c r="FW189" s="387"/>
      <c r="FX189" s="387"/>
      <c r="FY189" s="387"/>
      <c r="FZ189" s="387"/>
      <c r="GA189" s="988"/>
      <c r="GB189" s="109"/>
      <c r="GC189" s="2214">
        <f t="shared" si="152"/>
        <v>-533.74999999999682</v>
      </c>
      <c r="GD189" s="387">
        <f t="shared" si="152"/>
        <v>542.37000000000353</v>
      </c>
      <c r="GE189" s="387">
        <f t="shared" si="152"/>
        <v>-944.46000000000106</v>
      </c>
      <c r="GF189" s="387">
        <f t="shared" si="152"/>
        <v>-5536.9300000000012</v>
      </c>
      <c r="GG189" s="387">
        <f t="shared" si="152"/>
        <v>-4347.1399999999976</v>
      </c>
      <c r="GH189" s="387">
        <f t="shared" si="152"/>
        <v>19139.850000000002</v>
      </c>
      <c r="GI189" s="387">
        <f t="shared" si="152"/>
        <v>-3607.6500000000005</v>
      </c>
      <c r="GJ189" s="387">
        <f t="shared" si="152"/>
        <v>-2097.9300000000003</v>
      </c>
      <c r="GK189" s="387">
        <f t="shared" si="152"/>
        <v>32121.530000000002</v>
      </c>
      <c r="GL189" s="387">
        <f t="shared" si="152"/>
        <v>37013.9</v>
      </c>
      <c r="GM189" s="387">
        <f t="shared" si="152"/>
        <v>16156.090000000004</v>
      </c>
      <c r="GN189" s="988">
        <f t="shared" si="152"/>
        <v>-6371.5400000000054</v>
      </c>
      <c r="GO189" s="1036">
        <f t="shared" si="153"/>
        <v>621.10000000000014</v>
      </c>
      <c r="GP189" s="387">
        <f t="shared" si="153"/>
        <v>944.84000000000083</v>
      </c>
      <c r="GQ189" s="387">
        <f t="shared" si="153"/>
        <v>207.97000000000014</v>
      </c>
      <c r="GR189" s="387">
        <f t="shared" si="153"/>
        <v>1514.6200000000001</v>
      </c>
      <c r="GS189" s="387">
        <f t="shared" si="153"/>
        <v>1798.15</v>
      </c>
      <c r="GT189" s="387">
        <f t="shared" si="153"/>
        <v>3216.02</v>
      </c>
      <c r="GU189" s="387">
        <f t="shared" si="153"/>
        <v>4296.99</v>
      </c>
      <c r="GV189" s="387">
        <f t="shared" si="153"/>
        <v>-165.42000000000013</v>
      </c>
      <c r="GW189" s="387">
        <f t="shared" si="153"/>
        <v>2219.86</v>
      </c>
      <c r="GX189" s="387">
        <f t="shared" si="153"/>
        <v>3544.2899999999995</v>
      </c>
      <c r="GY189" s="387">
        <f t="shared" si="153"/>
        <v>2156.3100000000004</v>
      </c>
      <c r="GZ189" s="988">
        <f t="shared" si="153"/>
        <v>724.69999999999959</v>
      </c>
      <c r="HB189" s="387"/>
      <c r="HC189" s="387"/>
      <c r="HD189" s="387"/>
      <c r="HE189" s="387"/>
      <c r="HF189" s="387"/>
      <c r="HG189" s="387"/>
      <c r="HH189" s="387"/>
      <c r="HI189" s="387"/>
      <c r="HJ189" s="387"/>
      <c r="HK189" s="387"/>
      <c r="HL189" s="387"/>
      <c r="HM189" s="988"/>
    </row>
    <row r="190" spans="1:221">
      <c r="A190" s="326" t="s">
        <v>900</v>
      </c>
      <c r="B190" s="326" t="s">
        <v>901</v>
      </c>
      <c r="C190" s="326" t="s">
        <v>1295</v>
      </c>
      <c r="D190" s="1036">
        <v>171916.51</v>
      </c>
      <c r="E190" s="387">
        <v>175097.11000000002</v>
      </c>
      <c r="F190" s="387">
        <v>164183.76</v>
      </c>
      <c r="G190" s="387">
        <v>179321.33999999997</v>
      </c>
      <c r="H190" s="387">
        <v>184641.94999999998</v>
      </c>
      <c r="I190" s="387">
        <v>221417.05</v>
      </c>
      <c r="J190" s="387">
        <v>180746.26</v>
      </c>
      <c r="K190" s="387">
        <v>186490.59999999998</v>
      </c>
      <c r="L190" s="387">
        <v>171753.51</v>
      </c>
      <c r="M190" s="387">
        <v>165306.97</v>
      </c>
      <c r="N190" s="387">
        <v>197029.37</v>
      </c>
      <c r="O190" s="988">
        <v>170506.55</v>
      </c>
      <c r="P190" s="387">
        <v>65231.469999999994</v>
      </c>
      <c r="Q190" s="387">
        <v>57458.19</v>
      </c>
      <c r="R190" s="387">
        <v>71536.239999999991</v>
      </c>
      <c r="S190" s="387">
        <v>69562.849999999991</v>
      </c>
      <c r="T190" s="387">
        <v>78149.510000000009</v>
      </c>
      <c r="U190" s="387">
        <v>79377.42</v>
      </c>
      <c r="V190" s="387">
        <v>109897.30000000002</v>
      </c>
      <c r="W190" s="387">
        <v>117479.17000000003</v>
      </c>
      <c r="X190" s="387">
        <v>160449.41000000003</v>
      </c>
      <c r="Y190" s="387">
        <v>185873.11000000004</v>
      </c>
      <c r="Z190" s="387">
        <v>155237.30000000002</v>
      </c>
      <c r="AA190" s="988">
        <v>157055.95000000001</v>
      </c>
      <c r="AB190" s="387"/>
      <c r="AC190" s="387"/>
      <c r="AD190" s="387"/>
      <c r="AE190" s="387"/>
      <c r="AF190" s="387"/>
      <c r="AG190" s="387"/>
      <c r="AH190" s="387"/>
      <c r="AI190" s="387"/>
      <c r="AJ190" s="387"/>
      <c r="AK190" s="387"/>
      <c r="AL190" s="387"/>
      <c r="AM190" s="988"/>
      <c r="AN190" s="387"/>
      <c r="AO190" s="387"/>
      <c r="AP190" s="387"/>
      <c r="AQ190" s="387"/>
      <c r="AR190" s="387"/>
      <c r="AS190" s="387"/>
      <c r="AT190" s="387"/>
      <c r="AU190" s="387"/>
      <c r="AV190" s="387"/>
      <c r="AW190" s="387"/>
      <c r="AX190" s="387"/>
      <c r="AY190" s="988"/>
      <c r="AZ190" s="387"/>
      <c r="BA190" s="387"/>
      <c r="BB190" s="387"/>
      <c r="BC190" s="387"/>
      <c r="BD190" s="387"/>
      <c r="BE190" s="387"/>
      <c r="BF190" s="387"/>
      <c r="BG190" s="387"/>
      <c r="BH190" s="387"/>
      <c r="BI190" s="387"/>
      <c r="BJ190" s="387"/>
      <c r="BK190" s="988"/>
      <c r="BL190" s="387"/>
      <c r="BM190" s="387"/>
      <c r="BN190" s="387"/>
      <c r="BO190" s="387"/>
      <c r="BP190" s="387"/>
      <c r="BQ190" s="387"/>
      <c r="BR190" s="387"/>
      <c r="BS190" s="387"/>
      <c r="BT190" s="387"/>
      <c r="BU190" s="387"/>
      <c r="BV190" s="387"/>
      <c r="BW190" s="988"/>
      <c r="BX190" s="387"/>
      <c r="BY190" s="387"/>
      <c r="BZ190" s="387"/>
      <c r="CA190" s="387"/>
      <c r="CB190" s="387"/>
      <c r="CC190" s="387"/>
      <c r="CD190" s="387"/>
      <c r="CE190" s="387"/>
      <c r="CF190" s="387"/>
      <c r="CG190" s="387"/>
      <c r="CH190" s="387"/>
      <c r="CI190" s="988"/>
      <c r="CJ190" s="387"/>
      <c r="CK190" s="387"/>
      <c r="CL190" s="387"/>
      <c r="CM190" s="387"/>
      <c r="CN190" s="387"/>
      <c r="CO190" s="387"/>
      <c r="CP190" s="387"/>
      <c r="CQ190" s="387"/>
      <c r="CR190" s="387"/>
      <c r="CS190" s="387"/>
      <c r="CT190" s="387"/>
      <c r="CU190" s="988"/>
      <c r="CV190" s="387"/>
      <c r="CW190" s="387"/>
      <c r="CX190" s="387"/>
      <c r="CY190" s="387"/>
      <c r="CZ190" s="387"/>
      <c r="DA190" s="387"/>
      <c r="DB190" s="387"/>
      <c r="DC190" s="387"/>
      <c r="DD190" s="387"/>
      <c r="DE190" s="387"/>
      <c r="DF190" s="387"/>
      <c r="DG190" s="988"/>
      <c r="DH190" s="387"/>
      <c r="DI190" s="387"/>
      <c r="DJ190" s="387"/>
      <c r="DK190" s="387"/>
      <c r="DL190" s="387"/>
      <c r="DM190" s="387"/>
      <c r="DN190" s="387"/>
      <c r="DO190" s="387"/>
      <c r="DP190" s="387"/>
      <c r="DQ190" s="387"/>
      <c r="DR190" s="387"/>
      <c r="DS190" s="988"/>
      <c r="DT190" s="387">
        <v>42024.789999999994</v>
      </c>
      <c r="DU190" s="387">
        <v>43513.86</v>
      </c>
      <c r="DV190" s="387">
        <v>38891.879999999997</v>
      </c>
      <c r="DW190" s="387">
        <v>38834.970000000008</v>
      </c>
      <c r="DX190" s="387">
        <v>37960.11</v>
      </c>
      <c r="DY190" s="387">
        <v>42227.799999999996</v>
      </c>
      <c r="DZ190" s="387">
        <v>31933.589999999997</v>
      </c>
      <c r="EA190" s="387">
        <v>37724.5</v>
      </c>
      <c r="EB190" s="387">
        <v>39248.590000000004</v>
      </c>
      <c r="EC190" s="387">
        <v>39451.65</v>
      </c>
      <c r="ED190" s="387">
        <v>35756.49</v>
      </c>
      <c r="EE190" s="988">
        <v>-1792.5599999999988</v>
      </c>
      <c r="EF190" s="387"/>
      <c r="EG190" s="387"/>
      <c r="EH190" s="387"/>
      <c r="EI190" s="387"/>
      <c r="EJ190" s="387"/>
      <c r="EK190" s="387"/>
      <c r="EL190" s="387"/>
      <c r="EM190" s="387"/>
      <c r="EN190" s="387"/>
      <c r="EO190" s="387"/>
      <c r="EP190" s="387"/>
      <c r="EQ190" s="988"/>
      <c r="ER190" s="387"/>
      <c r="ES190" s="387"/>
      <c r="ET190" s="387"/>
      <c r="EU190" s="387"/>
      <c r="EV190" s="387"/>
      <c r="EW190" s="387"/>
      <c r="EX190" s="387"/>
      <c r="EY190" s="387"/>
      <c r="EZ190" s="387"/>
      <c r="FA190" s="387"/>
      <c r="FB190" s="387"/>
      <c r="FC190" s="988"/>
      <c r="FD190" s="387"/>
      <c r="FE190" s="387"/>
      <c r="FF190" s="387"/>
      <c r="FG190" s="387"/>
      <c r="FH190" s="387"/>
      <c r="FI190" s="387"/>
      <c r="FJ190" s="387"/>
      <c r="FK190" s="387"/>
      <c r="FL190" s="387"/>
      <c r="FM190" s="387"/>
      <c r="FN190" s="387"/>
      <c r="FO190" s="988"/>
      <c r="FP190" s="387"/>
      <c r="FQ190" s="387"/>
      <c r="FR190" s="387"/>
      <c r="FS190" s="387"/>
      <c r="FT190" s="387"/>
      <c r="FU190" s="387"/>
      <c r="FV190" s="387"/>
      <c r="FW190" s="387"/>
      <c r="FX190" s="387"/>
      <c r="FY190" s="387"/>
      <c r="FZ190" s="387"/>
      <c r="GA190" s="988"/>
      <c r="GB190" s="109"/>
      <c r="GC190" s="2214">
        <f t="shared" si="152"/>
        <v>279172.77</v>
      </c>
      <c r="GD190" s="387">
        <f t="shared" si="152"/>
        <v>276069.16000000003</v>
      </c>
      <c r="GE190" s="387">
        <f t="shared" si="152"/>
        <v>274611.88</v>
      </c>
      <c r="GF190" s="387">
        <f t="shared" si="152"/>
        <v>287719.15999999997</v>
      </c>
      <c r="GG190" s="387">
        <f t="shared" si="152"/>
        <v>300751.56999999995</v>
      </c>
      <c r="GH190" s="387">
        <f t="shared" si="152"/>
        <v>343022.26999999996</v>
      </c>
      <c r="GI190" s="387">
        <f t="shared" si="152"/>
        <v>322577.15000000002</v>
      </c>
      <c r="GJ190" s="387">
        <f t="shared" si="152"/>
        <v>341694.27</v>
      </c>
      <c r="GK190" s="387">
        <f t="shared" si="152"/>
        <v>371451.51000000007</v>
      </c>
      <c r="GL190" s="387">
        <f t="shared" si="152"/>
        <v>390631.7300000001</v>
      </c>
      <c r="GM190" s="387">
        <f t="shared" si="152"/>
        <v>388023.16000000003</v>
      </c>
      <c r="GN190" s="988">
        <f t="shared" si="152"/>
        <v>325769.94</v>
      </c>
      <c r="GO190" s="1036">
        <f t="shared" si="153"/>
        <v>42024.789999999994</v>
      </c>
      <c r="GP190" s="387">
        <f t="shared" si="153"/>
        <v>43513.86</v>
      </c>
      <c r="GQ190" s="387">
        <f t="shared" si="153"/>
        <v>38891.879999999997</v>
      </c>
      <c r="GR190" s="387">
        <f t="shared" si="153"/>
        <v>38834.970000000008</v>
      </c>
      <c r="GS190" s="387">
        <f t="shared" si="153"/>
        <v>37960.11</v>
      </c>
      <c r="GT190" s="387">
        <f t="shared" si="153"/>
        <v>42227.799999999996</v>
      </c>
      <c r="GU190" s="387">
        <f t="shared" si="153"/>
        <v>31933.589999999997</v>
      </c>
      <c r="GV190" s="387">
        <f t="shared" si="153"/>
        <v>37724.5</v>
      </c>
      <c r="GW190" s="387">
        <f t="shared" si="153"/>
        <v>39248.590000000004</v>
      </c>
      <c r="GX190" s="387">
        <f t="shared" si="153"/>
        <v>39451.65</v>
      </c>
      <c r="GY190" s="387">
        <f t="shared" si="153"/>
        <v>35756.49</v>
      </c>
      <c r="GZ190" s="988">
        <f t="shared" si="153"/>
        <v>-1792.5599999999988</v>
      </c>
      <c r="HB190" s="387"/>
      <c r="HC190" s="387"/>
      <c r="HD190" s="387"/>
      <c r="HE190" s="387"/>
      <c r="HF190" s="387"/>
      <c r="HG190" s="387"/>
      <c r="HH190" s="387"/>
      <c r="HI190" s="387"/>
      <c r="HJ190" s="387"/>
      <c r="HK190" s="387"/>
      <c r="HL190" s="387"/>
      <c r="HM190" s="988"/>
    </row>
    <row r="191" spans="1:221">
      <c r="A191" s="326" t="s">
        <v>900</v>
      </c>
      <c r="B191" s="326" t="s">
        <v>901</v>
      </c>
      <c r="C191" s="326" t="s">
        <v>1296</v>
      </c>
      <c r="D191" s="1036" t="s">
        <v>2154</v>
      </c>
      <c r="E191" s="387" t="s">
        <v>2154</v>
      </c>
      <c r="F191" s="387" t="s">
        <v>2154</v>
      </c>
      <c r="G191" s="387" t="s">
        <v>2154</v>
      </c>
      <c r="H191" s="387" t="s">
        <v>2154</v>
      </c>
      <c r="I191" s="387" t="s">
        <v>2154</v>
      </c>
      <c r="J191" s="387" t="s">
        <v>2154</v>
      </c>
      <c r="K191" s="387" t="s">
        <v>2154</v>
      </c>
      <c r="L191" s="387" t="s">
        <v>2154</v>
      </c>
      <c r="M191" s="387" t="s">
        <v>2154</v>
      </c>
      <c r="N191" s="387" t="s">
        <v>2154</v>
      </c>
      <c r="O191" s="988" t="s">
        <v>2154</v>
      </c>
      <c r="P191" s="387" t="s">
        <v>2154</v>
      </c>
      <c r="Q191" s="387" t="s">
        <v>2154</v>
      </c>
      <c r="R191" s="387" t="s">
        <v>2154</v>
      </c>
      <c r="S191" s="387" t="s">
        <v>2154</v>
      </c>
      <c r="T191" s="387" t="s">
        <v>2154</v>
      </c>
      <c r="U191" s="387" t="s">
        <v>2154</v>
      </c>
      <c r="V191" s="387" t="s">
        <v>2154</v>
      </c>
      <c r="W191" s="387" t="s">
        <v>2154</v>
      </c>
      <c r="X191" s="387" t="s">
        <v>2154</v>
      </c>
      <c r="Y191" s="387" t="s">
        <v>2154</v>
      </c>
      <c r="Z191" s="387" t="s">
        <v>2154</v>
      </c>
      <c r="AA191" s="988" t="s">
        <v>2154</v>
      </c>
      <c r="AB191" s="387"/>
      <c r="AC191" s="387"/>
      <c r="AD191" s="387"/>
      <c r="AE191" s="387"/>
      <c r="AF191" s="387"/>
      <c r="AG191" s="387"/>
      <c r="AH191" s="387"/>
      <c r="AI191" s="387"/>
      <c r="AJ191" s="387"/>
      <c r="AK191" s="387"/>
      <c r="AL191" s="387"/>
      <c r="AM191" s="988"/>
      <c r="AN191" s="387"/>
      <c r="AO191" s="387"/>
      <c r="AP191" s="387"/>
      <c r="AQ191" s="387"/>
      <c r="AR191" s="387"/>
      <c r="AS191" s="387"/>
      <c r="AT191" s="387"/>
      <c r="AU191" s="387"/>
      <c r="AV191" s="387"/>
      <c r="AW191" s="387"/>
      <c r="AX191" s="387"/>
      <c r="AY191" s="988"/>
      <c r="AZ191" s="387"/>
      <c r="BA191" s="387"/>
      <c r="BB191" s="387"/>
      <c r="BC191" s="387"/>
      <c r="BD191" s="387"/>
      <c r="BE191" s="387"/>
      <c r="BF191" s="387"/>
      <c r="BG191" s="387"/>
      <c r="BH191" s="387"/>
      <c r="BI191" s="387"/>
      <c r="BJ191" s="387"/>
      <c r="BK191" s="988"/>
      <c r="BL191" s="387"/>
      <c r="BM191" s="387"/>
      <c r="BN191" s="387"/>
      <c r="BO191" s="387"/>
      <c r="BP191" s="387"/>
      <c r="BQ191" s="387"/>
      <c r="BR191" s="387"/>
      <c r="BS191" s="387"/>
      <c r="BT191" s="387"/>
      <c r="BU191" s="387"/>
      <c r="BV191" s="387"/>
      <c r="BW191" s="988"/>
      <c r="BX191" s="387"/>
      <c r="BY191" s="387"/>
      <c r="BZ191" s="387"/>
      <c r="CA191" s="387"/>
      <c r="CB191" s="387"/>
      <c r="CC191" s="387"/>
      <c r="CD191" s="387"/>
      <c r="CE191" s="387"/>
      <c r="CF191" s="387"/>
      <c r="CG191" s="387"/>
      <c r="CH191" s="387"/>
      <c r="CI191" s="988"/>
      <c r="CJ191" s="387"/>
      <c r="CK191" s="387"/>
      <c r="CL191" s="387"/>
      <c r="CM191" s="387"/>
      <c r="CN191" s="387"/>
      <c r="CO191" s="387"/>
      <c r="CP191" s="387"/>
      <c r="CQ191" s="387"/>
      <c r="CR191" s="387"/>
      <c r="CS191" s="387"/>
      <c r="CT191" s="387"/>
      <c r="CU191" s="988"/>
      <c r="CV191" s="387"/>
      <c r="CW191" s="387"/>
      <c r="CX191" s="387"/>
      <c r="CY191" s="387"/>
      <c r="CZ191" s="387"/>
      <c r="DA191" s="387"/>
      <c r="DB191" s="387"/>
      <c r="DC191" s="387"/>
      <c r="DD191" s="387"/>
      <c r="DE191" s="387"/>
      <c r="DF191" s="387"/>
      <c r="DG191" s="988"/>
      <c r="DH191" s="387"/>
      <c r="DI191" s="387"/>
      <c r="DJ191" s="387"/>
      <c r="DK191" s="387"/>
      <c r="DL191" s="387"/>
      <c r="DM191" s="387"/>
      <c r="DN191" s="387"/>
      <c r="DO191" s="387"/>
      <c r="DP191" s="387"/>
      <c r="DQ191" s="387"/>
      <c r="DR191" s="387"/>
      <c r="DS191" s="988"/>
      <c r="DT191" s="387" t="s">
        <v>2154</v>
      </c>
      <c r="DU191" s="387" t="s">
        <v>2154</v>
      </c>
      <c r="DV191" s="387" t="s">
        <v>2154</v>
      </c>
      <c r="DW191" s="387" t="s">
        <v>2154</v>
      </c>
      <c r="DX191" s="387" t="s">
        <v>2154</v>
      </c>
      <c r="DY191" s="387" t="s">
        <v>2154</v>
      </c>
      <c r="DZ191" s="387" t="s">
        <v>2154</v>
      </c>
      <c r="EA191" s="387" t="s">
        <v>2154</v>
      </c>
      <c r="EB191" s="387" t="s">
        <v>2154</v>
      </c>
      <c r="EC191" s="387" t="s">
        <v>2154</v>
      </c>
      <c r="ED191" s="387" t="s">
        <v>2154</v>
      </c>
      <c r="EE191" s="988" t="s">
        <v>2154</v>
      </c>
      <c r="EF191" s="387"/>
      <c r="EG191" s="387"/>
      <c r="EH191" s="387"/>
      <c r="EI191" s="387"/>
      <c r="EJ191" s="387"/>
      <c r="EK191" s="387"/>
      <c r="EL191" s="387"/>
      <c r="EM191" s="387"/>
      <c r="EN191" s="387"/>
      <c r="EO191" s="387"/>
      <c r="EP191" s="387"/>
      <c r="EQ191" s="988"/>
      <c r="ER191" s="387"/>
      <c r="ES191" s="387"/>
      <c r="ET191" s="387"/>
      <c r="EU191" s="387"/>
      <c r="EV191" s="387"/>
      <c r="EW191" s="387"/>
      <c r="EX191" s="387"/>
      <c r="EY191" s="387"/>
      <c r="EZ191" s="387"/>
      <c r="FA191" s="387"/>
      <c r="FB191" s="387"/>
      <c r="FC191" s="988"/>
      <c r="FD191" s="387"/>
      <c r="FE191" s="387"/>
      <c r="FF191" s="387"/>
      <c r="FG191" s="387"/>
      <c r="FH191" s="387"/>
      <c r="FI191" s="387"/>
      <c r="FJ191" s="387"/>
      <c r="FK191" s="387"/>
      <c r="FL191" s="387"/>
      <c r="FM191" s="387"/>
      <c r="FN191" s="387"/>
      <c r="FO191" s="988"/>
      <c r="FP191" s="387"/>
      <c r="FQ191" s="387"/>
      <c r="FR191" s="387"/>
      <c r="FS191" s="387"/>
      <c r="FT191" s="387"/>
      <c r="FU191" s="387"/>
      <c r="FV191" s="387"/>
      <c r="FW191" s="387"/>
      <c r="FX191" s="387"/>
      <c r="FY191" s="387"/>
      <c r="FZ191" s="387"/>
      <c r="GA191" s="988"/>
      <c r="GB191" s="109"/>
      <c r="GC191" s="2214">
        <f t="shared" si="152"/>
        <v>0</v>
      </c>
      <c r="GD191" s="387">
        <f t="shared" si="152"/>
        <v>0</v>
      </c>
      <c r="GE191" s="387">
        <f t="shared" si="152"/>
        <v>0</v>
      </c>
      <c r="GF191" s="387">
        <f t="shared" si="152"/>
        <v>0</v>
      </c>
      <c r="GG191" s="387">
        <f t="shared" si="152"/>
        <v>0</v>
      </c>
      <c r="GH191" s="387">
        <f t="shared" si="152"/>
        <v>0</v>
      </c>
      <c r="GI191" s="387">
        <f t="shared" si="152"/>
        <v>0</v>
      </c>
      <c r="GJ191" s="387">
        <f t="shared" si="152"/>
        <v>0</v>
      </c>
      <c r="GK191" s="387">
        <f t="shared" si="152"/>
        <v>0</v>
      </c>
      <c r="GL191" s="387">
        <f t="shared" si="152"/>
        <v>0</v>
      </c>
      <c r="GM191" s="387">
        <f t="shared" si="152"/>
        <v>0</v>
      </c>
      <c r="GN191" s="988">
        <f t="shared" si="152"/>
        <v>0</v>
      </c>
      <c r="GO191" s="1036">
        <f t="shared" si="153"/>
        <v>0</v>
      </c>
      <c r="GP191" s="387">
        <f t="shared" si="153"/>
        <v>0</v>
      </c>
      <c r="GQ191" s="387">
        <f t="shared" si="153"/>
        <v>0</v>
      </c>
      <c r="GR191" s="387">
        <f t="shared" si="153"/>
        <v>0</v>
      </c>
      <c r="GS191" s="387">
        <f t="shared" si="153"/>
        <v>0</v>
      </c>
      <c r="GT191" s="387">
        <f t="shared" si="153"/>
        <v>0</v>
      </c>
      <c r="GU191" s="387">
        <f t="shared" si="153"/>
        <v>0</v>
      </c>
      <c r="GV191" s="387">
        <f t="shared" si="153"/>
        <v>0</v>
      </c>
      <c r="GW191" s="387">
        <f t="shared" si="153"/>
        <v>0</v>
      </c>
      <c r="GX191" s="387">
        <f t="shared" si="153"/>
        <v>0</v>
      </c>
      <c r="GY191" s="387">
        <f t="shared" si="153"/>
        <v>0</v>
      </c>
      <c r="GZ191" s="988">
        <f t="shared" si="153"/>
        <v>0</v>
      </c>
      <c r="HB191" s="387"/>
      <c r="HC191" s="387"/>
      <c r="HD191" s="387"/>
      <c r="HE191" s="387"/>
      <c r="HF191" s="387"/>
      <c r="HG191" s="387"/>
      <c r="HH191" s="387"/>
      <c r="HI191" s="387"/>
      <c r="HJ191" s="387"/>
      <c r="HK191" s="387"/>
      <c r="HL191" s="387"/>
      <c r="HM191" s="988"/>
    </row>
    <row r="192" spans="1:221">
      <c r="A192" s="326" t="s">
        <v>900</v>
      </c>
      <c r="B192" s="326" t="s">
        <v>901</v>
      </c>
      <c r="C192" s="326" t="s">
        <v>1297</v>
      </c>
      <c r="D192" s="1036" t="s">
        <v>2154</v>
      </c>
      <c r="E192" s="387" t="s">
        <v>2154</v>
      </c>
      <c r="F192" s="387" t="s">
        <v>2154</v>
      </c>
      <c r="G192" s="387" t="s">
        <v>2154</v>
      </c>
      <c r="H192" s="387" t="s">
        <v>2154</v>
      </c>
      <c r="I192" s="387" t="s">
        <v>2154</v>
      </c>
      <c r="J192" s="387" t="s">
        <v>2154</v>
      </c>
      <c r="K192" s="387" t="s">
        <v>2154</v>
      </c>
      <c r="L192" s="387" t="s">
        <v>2154</v>
      </c>
      <c r="M192" s="387" t="s">
        <v>2154</v>
      </c>
      <c r="N192" s="387" t="s">
        <v>2154</v>
      </c>
      <c r="O192" s="988" t="s">
        <v>2154</v>
      </c>
      <c r="P192" s="387" t="s">
        <v>2154</v>
      </c>
      <c r="Q192" s="387" t="s">
        <v>2154</v>
      </c>
      <c r="R192" s="387" t="s">
        <v>2154</v>
      </c>
      <c r="S192" s="387" t="s">
        <v>2154</v>
      </c>
      <c r="T192" s="387" t="s">
        <v>2154</v>
      </c>
      <c r="U192" s="387" t="s">
        <v>2154</v>
      </c>
      <c r="V192" s="387" t="s">
        <v>2154</v>
      </c>
      <c r="W192" s="387" t="s">
        <v>2154</v>
      </c>
      <c r="X192" s="387" t="s">
        <v>2154</v>
      </c>
      <c r="Y192" s="387" t="s">
        <v>2154</v>
      </c>
      <c r="Z192" s="387" t="s">
        <v>2154</v>
      </c>
      <c r="AA192" s="988" t="s">
        <v>2154</v>
      </c>
      <c r="AB192" s="387"/>
      <c r="AC192" s="387"/>
      <c r="AD192" s="387"/>
      <c r="AE192" s="387"/>
      <c r="AF192" s="387"/>
      <c r="AG192" s="387"/>
      <c r="AH192" s="387"/>
      <c r="AI192" s="387"/>
      <c r="AJ192" s="387"/>
      <c r="AK192" s="387"/>
      <c r="AL192" s="387"/>
      <c r="AM192" s="988"/>
      <c r="AN192" s="387"/>
      <c r="AO192" s="387"/>
      <c r="AP192" s="387"/>
      <c r="AQ192" s="387"/>
      <c r="AR192" s="387"/>
      <c r="AS192" s="387"/>
      <c r="AT192" s="387"/>
      <c r="AU192" s="387"/>
      <c r="AV192" s="387"/>
      <c r="AW192" s="387"/>
      <c r="AX192" s="387"/>
      <c r="AY192" s="988"/>
      <c r="AZ192" s="387"/>
      <c r="BA192" s="387"/>
      <c r="BB192" s="387"/>
      <c r="BC192" s="387"/>
      <c r="BD192" s="387"/>
      <c r="BE192" s="387"/>
      <c r="BF192" s="387"/>
      <c r="BG192" s="387"/>
      <c r="BH192" s="387"/>
      <c r="BI192" s="387"/>
      <c r="BJ192" s="387"/>
      <c r="BK192" s="988"/>
      <c r="BL192" s="387"/>
      <c r="BM192" s="387"/>
      <c r="BN192" s="387"/>
      <c r="BO192" s="387"/>
      <c r="BP192" s="387"/>
      <c r="BQ192" s="387"/>
      <c r="BR192" s="387"/>
      <c r="BS192" s="387"/>
      <c r="BT192" s="387"/>
      <c r="BU192" s="387"/>
      <c r="BV192" s="387"/>
      <c r="BW192" s="988"/>
      <c r="BX192" s="387"/>
      <c r="BY192" s="387"/>
      <c r="BZ192" s="387"/>
      <c r="CA192" s="387"/>
      <c r="CB192" s="387"/>
      <c r="CC192" s="387"/>
      <c r="CD192" s="387"/>
      <c r="CE192" s="387"/>
      <c r="CF192" s="387"/>
      <c r="CG192" s="387"/>
      <c r="CH192" s="387"/>
      <c r="CI192" s="988"/>
      <c r="CJ192" s="387"/>
      <c r="CK192" s="387"/>
      <c r="CL192" s="387"/>
      <c r="CM192" s="387"/>
      <c r="CN192" s="387"/>
      <c r="CO192" s="387"/>
      <c r="CP192" s="387"/>
      <c r="CQ192" s="387"/>
      <c r="CR192" s="387"/>
      <c r="CS192" s="387"/>
      <c r="CT192" s="387"/>
      <c r="CU192" s="988"/>
      <c r="CV192" s="387"/>
      <c r="CW192" s="387"/>
      <c r="CX192" s="387"/>
      <c r="CY192" s="387"/>
      <c r="CZ192" s="387"/>
      <c r="DA192" s="387"/>
      <c r="DB192" s="387"/>
      <c r="DC192" s="387"/>
      <c r="DD192" s="387"/>
      <c r="DE192" s="387"/>
      <c r="DF192" s="387"/>
      <c r="DG192" s="988"/>
      <c r="DH192" s="387"/>
      <c r="DI192" s="387"/>
      <c r="DJ192" s="387"/>
      <c r="DK192" s="387"/>
      <c r="DL192" s="387"/>
      <c r="DM192" s="387"/>
      <c r="DN192" s="387"/>
      <c r="DO192" s="387"/>
      <c r="DP192" s="387"/>
      <c r="DQ192" s="387"/>
      <c r="DR192" s="387"/>
      <c r="DS192" s="988"/>
      <c r="DT192" s="387" t="s">
        <v>2154</v>
      </c>
      <c r="DU192" s="387" t="s">
        <v>2154</v>
      </c>
      <c r="DV192" s="387" t="s">
        <v>2154</v>
      </c>
      <c r="DW192" s="387" t="s">
        <v>2154</v>
      </c>
      <c r="DX192" s="387" t="s">
        <v>2154</v>
      </c>
      <c r="DY192" s="387" t="s">
        <v>2154</v>
      </c>
      <c r="DZ192" s="387" t="s">
        <v>2154</v>
      </c>
      <c r="EA192" s="387" t="s">
        <v>2154</v>
      </c>
      <c r="EB192" s="387" t="s">
        <v>2154</v>
      </c>
      <c r="EC192" s="387" t="s">
        <v>2154</v>
      </c>
      <c r="ED192" s="387" t="s">
        <v>2154</v>
      </c>
      <c r="EE192" s="988" t="s">
        <v>2154</v>
      </c>
      <c r="EF192" s="387"/>
      <c r="EG192" s="387"/>
      <c r="EH192" s="387"/>
      <c r="EI192" s="387"/>
      <c r="EJ192" s="387"/>
      <c r="EK192" s="387"/>
      <c r="EL192" s="387"/>
      <c r="EM192" s="387"/>
      <c r="EN192" s="387"/>
      <c r="EO192" s="387"/>
      <c r="EP192" s="387"/>
      <c r="EQ192" s="988"/>
      <c r="ER192" s="387"/>
      <c r="ES192" s="387"/>
      <c r="ET192" s="387"/>
      <c r="EU192" s="387"/>
      <c r="EV192" s="387"/>
      <c r="EW192" s="387"/>
      <c r="EX192" s="387"/>
      <c r="EY192" s="387"/>
      <c r="EZ192" s="387"/>
      <c r="FA192" s="387"/>
      <c r="FB192" s="387"/>
      <c r="FC192" s="988"/>
      <c r="FD192" s="387"/>
      <c r="FE192" s="387"/>
      <c r="FF192" s="387"/>
      <c r="FG192" s="387"/>
      <c r="FH192" s="387"/>
      <c r="FI192" s="387"/>
      <c r="FJ192" s="387"/>
      <c r="FK192" s="387"/>
      <c r="FL192" s="387"/>
      <c r="FM192" s="387"/>
      <c r="FN192" s="387"/>
      <c r="FO192" s="988"/>
      <c r="FP192" s="387"/>
      <c r="FQ192" s="387"/>
      <c r="FR192" s="387"/>
      <c r="FS192" s="387"/>
      <c r="FT192" s="387"/>
      <c r="FU192" s="387"/>
      <c r="FV192" s="387"/>
      <c r="FW192" s="387"/>
      <c r="FX192" s="387"/>
      <c r="FY192" s="387"/>
      <c r="FZ192" s="387"/>
      <c r="GA192" s="988"/>
      <c r="GB192" s="109"/>
      <c r="GC192" s="2214">
        <f t="shared" si="152"/>
        <v>0</v>
      </c>
      <c r="GD192" s="387">
        <f t="shared" si="152"/>
        <v>0</v>
      </c>
      <c r="GE192" s="387">
        <f t="shared" si="152"/>
        <v>0</v>
      </c>
      <c r="GF192" s="387">
        <f t="shared" si="152"/>
        <v>0</v>
      </c>
      <c r="GG192" s="387">
        <f t="shared" si="152"/>
        <v>0</v>
      </c>
      <c r="GH192" s="387">
        <f t="shared" si="152"/>
        <v>0</v>
      </c>
      <c r="GI192" s="387">
        <f t="shared" si="152"/>
        <v>0</v>
      </c>
      <c r="GJ192" s="387">
        <f t="shared" si="152"/>
        <v>0</v>
      </c>
      <c r="GK192" s="387">
        <f t="shared" si="152"/>
        <v>0</v>
      </c>
      <c r="GL192" s="387">
        <f t="shared" si="152"/>
        <v>0</v>
      </c>
      <c r="GM192" s="387">
        <f t="shared" si="152"/>
        <v>0</v>
      </c>
      <c r="GN192" s="988">
        <f t="shared" si="152"/>
        <v>0</v>
      </c>
      <c r="GO192" s="1036">
        <f t="shared" si="153"/>
        <v>0</v>
      </c>
      <c r="GP192" s="387">
        <f t="shared" si="153"/>
        <v>0</v>
      </c>
      <c r="GQ192" s="387">
        <f t="shared" si="153"/>
        <v>0</v>
      </c>
      <c r="GR192" s="387">
        <f t="shared" si="153"/>
        <v>0</v>
      </c>
      <c r="GS192" s="387">
        <f t="shared" si="153"/>
        <v>0</v>
      </c>
      <c r="GT192" s="387">
        <f t="shared" si="153"/>
        <v>0</v>
      </c>
      <c r="GU192" s="387">
        <f t="shared" si="153"/>
        <v>0</v>
      </c>
      <c r="GV192" s="387">
        <f t="shared" si="153"/>
        <v>0</v>
      </c>
      <c r="GW192" s="387">
        <f t="shared" si="153"/>
        <v>0</v>
      </c>
      <c r="GX192" s="387">
        <f t="shared" si="153"/>
        <v>0</v>
      </c>
      <c r="GY192" s="387">
        <f t="shared" si="153"/>
        <v>0</v>
      </c>
      <c r="GZ192" s="988">
        <f t="shared" si="153"/>
        <v>0</v>
      </c>
      <c r="HB192" s="387"/>
      <c r="HC192" s="387"/>
      <c r="HD192" s="387"/>
      <c r="HE192" s="387"/>
      <c r="HF192" s="387"/>
      <c r="HG192" s="387"/>
      <c r="HH192" s="387"/>
      <c r="HI192" s="387"/>
      <c r="HJ192" s="387"/>
      <c r="HK192" s="387"/>
      <c r="HL192" s="387"/>
      <c r="HM192" s="988"/>
    </row>
    <row r="193" spans="1:221">
      <c r="A193" s="326" t="s">
        <v>900</v>
      </c>
      <c r="B193" s="326" t="s">
        <v>901</v>
      </c>
      <c r="C193" s="326" t="s">
        <v>1580</v>
      </c>
      <c r="D193" s="1036">
        <v>171916.51</v>
      </c>
      <c r="E193" s="387">
        <v>175097.11000000002</v>
      </c>
      <c r="F193" s="387">
        <v>164183.76</v>
      </c>
      <c r="G193" s="387">
        <v>179321.33999999997</v>
      </c>
      <c r="H193" s="387">
        <v>184641.94999999998</v>
      </c>
      <c r="I193" s="387">
        <v>221417.05</v>
      </c>
      <c r="J193" s="387">
        <v>180746.26</v>
      </c>
      <c r="K193" s="387">
        <v>186490.59999999998</v>
      </c>
      <c r="L193" s="387">
        <v>171753.51</v>
      </c>
      <c r="M193" s="387">
        <v>165306.97</v>
      </c>
      <c r="N193" s="387">
        <v>197029.37</v>
      </c>
      <c r="O193" s="988">
        <v>170506.55</v>
      </c>
      <c r="P193" s="387">
        <v>65231.469999999994</v>
      </c>
      <c r="Q193" s="387">
        <v>57458.19</v>
      </c>
      <c r="R193" s="387">
        <v>71536.239999999991</v>
      </c>
      <c r="S193" s="387">
        <v>69562.849999999991</v>
      </c>
      <c r="T193" s="387">
        <v>78149.510000000009</v>
      </c>
      <c r="U193" s="387">
        <v>79377.42</v>
      </c>
      <c r="V193" s="387">
        <v>109897.30000000002</v>
      </c>
      <c r="W193" s="387">
        <v>117479.17000000003</v>
      </c>
      <c r="X193" s="387">
        <v>160449.41000000003</v>
      </c>
      <c r="Y193" s="387">
        <v>185873.11000000004</v>
      </c>
      <c r="Z193" s="387">
        <v>155237.30000000002</v>
      </c>
      <c r="AA193" s="988">
        <v>157055.95000000001</v>
      </c>
      <c r="AB193" s="387"/>
      <c r="AC193" s="387"/>
      <c r="AD193" s="387"/>
      <c r="AE193" s="387"/>
      <c r="AF193" s="387"/>
      <c r="AG193" s="387"/>
      <c r="AH193" s="387"/>
      <c r="AI193" s="387"/>
      <c r="AJ193" s="387"/>
      <c r="AK193" s="387"/>
      <c r="AL193" s="387"/>
      <c r="AM193" s="988"/>
      <c r="AN193" s="387"/>
      <c r="AO193" s="387"/>
      <c r="AP193" s="387"/>
      <c r="AQ193" s="387"/>
      <c r="AR193" s="387"/>
      <c r="AS193" s="387"/>
      <c r="AT193" s="387"/>
      <c r="AU193" s="387"/>
      <c r="AV193" s="387"/>
      <c r="AW193" s="387"/>
      <c r="AX193" s="387"/>
      <c r="AY193" s="988"/>
      <c r="AZ193" s="387"/>
      <c r="BA193" s="387"/>
      <c r="BB193" s="387"/>
      <c r="BC193" s="387"/>
      <c r="BD193" s="387"/>
      <c r="BE193" s="387"/>
      <c r="BF193" s="387"/>
      <c r="BG193" s="387"/>
      <c r="BH193" s="387"/>
      <c r="BI193" s="387"/>
      <c r="BJ193" s="387"/>
      <c r="BK193" s="988"/>
      <c r="BL193" s="387"/>
      <c r="BM193" s="387"/>
      <c r="BN193" s="387"/>
      <c r="BO193" s="387"/>
      <c r="BP193" s="387"/>
      <c r="BQ193" s="387"/>
      <c r="BR193" s="387"/>
      <c r="BS193" s="387"/>
      <c r="BT193" s="387"/>
      <c r="BU193" s="387"/>
      <c r="BV193" s="387"/>
      <c r="BW193" s="988"/>
      <c r="BX193" s="387"/>
      <c r="BY193" s="387"/>
      <c r="BZ193" s="387"/>
      <c r="CA193" s="387"/>
      <c r="CB193" s="387"/>
      <c r="CC193" s="387"/>
      <c r="CD193" s="387"/>
      <c r="CE193" s="387"/>
      <c r="CF193" s="387"/>
      <c r="CG193" s="387"/>
      <c r="CH193" s="387"/>
      <c r="CI193" s="988"/>
      <c r="CJ193" s="387"/>
      <c r="CK193" s="387"/>
      <c r="CL193" s="387"/>
      <c r="CM193" s="387"/>
      <c r="CN193" s="387"/>
      <c r="CO193" s="387"/>
      <c r="CP193" s="387"/>
      <c r="CQ193" s="387"/>
      <c r="CR193" s="387"/>
      <c r="CS193" s="387"/>
      <c r="CT193" s="387"/>
      <c r="CU193" s="988"/>
      <c r="CV193" s="387"/>
      <c r="CW193" s="387"/>
      <c r="CX193" s="387"/>
      <c r="CY193" s="387"/>
      <c r="CZ193" s="387"/>
      <c r="DA193" s="387"/>
      <c r="DB193" s="387"/>
      <c r="DC193" s="387"/>
      <c r="DD193" s="387"/>
      <c r="DE193" s="387"/>
      <c r="DF193" s="387"/>
      <c r="DG193" s="988"/>
      <c r="DH193" s="387"/>
      <c r="DI193" s="387"/>
      <c r="DJ193" s="387"/>
      <c r="DK193" s="387"/>
      <c r="DL193" s="387"/>
      <c r="DM193" s="387"/>
      <c r="DN193" s="387"/>
      <c r="DO193" s="387"/>
      <c r="DP193" s="387"/>
      <c r="DQ193" s="387"/>
      <c r="DR193" s="387"/>
      <c r="DS193" s="988"/>
      <c r="DT193" s="387">
        <v>42024.789999999994</v>
      </c>
      <c r="DU193" s="387">
        <v>43513.86</v>
      </c>
      <c r="DV193" s="387">
        <v>38891.879999999997</v>
      </c>
      <c r="DW193" s="387">
        <v>38834.970000000008</v>
      </c>
      <c r="DX193" s="387">
        <v>37960.11</v>
      </c>
      <c r="DY193" s="387">
        <v>42227.799999999996</v>
      </c>
      <c r="DZ193" s="387">
        <v>31933.589999999997</v>
      </c>
      <c r="EA193" s="387">
        <v>37724.5</v>
      </c>
      <c r="EB193" s="387">
        <v>39248.590000000004</v>
      </c>
      <c r="EC193" s="387">
        <v>39451.65</v>
      </c>
      <c r="ED193" s="387">
        <v>35756.49</v>
      </c>
      <c r="EE193" s="988">
        <v>-1792.5599999999988</v>
      </c>
      <c r="EF193" s="387"/>
      <c r="EG193" s="387"/>
      <c r="EH193" s="387"/>
      <c r="EI193" s="387"/>
      <c r="EJ193" s="387"/>
      <c r="EK193" s="387"/>
      <c r="EL193" s="387"/>
      <c r="EM193" s="387"/>
      <c r="EN193" s="387"/>
      <c r="EO193" s="387"/>
      <c r="EP193" s="387"/>
      <c r="EQ193" s="988"/>
      <c r="ER193" s="387"/>
      <c r="ES193" s="387"/>
      <c r="ET193" s="387"/>
      <c r="EU193" s="387"/>
      <c r="EV193" s="387"/>
      <c r="EW193" s="387"/>
      <c r="EX193" s="387"/>
      <c r="EY193" s="387"/>
      <c r="EZ193" s="387"/>
      <c r="FA193" s="387"/>
      <c r="FB193" s="387"/>
      <c r="FC193" s="988"/>
      <c r="FD193" s="387"/>
      <c r="FE193" s="387"/>
      <c r="FF193" s="387"/>
      <c r="FG193" s="387"/>
      <c r="FH193" s="387"/>
      <c r="FI193" s="387"/>
      <c r="FJ193" s="387"/>
      <c r="FK193" s="387"/>
      <c r="FL193" s="387"/>
      <c r="FM193" s="387"/>
      <c r="FN193" s="387"/>
      <c r="FO193" s="988"/>
      <c r="FP193" s="387"/>
      <c r="FQ193" s="387"/>
      <c r="FR193" s="387"/>
      <c r="FS193" s="387"/>
      <c r="FT193" s="387"/>
      <c r="FU193" s="387"/>
      <c r="FV193" s="387"/>
      <c r="FW193" s="387"/>
      <c r="FX193" s="387"/>
      <c r="FY193" s="387"/>
      <c r="FZ193" s="387"/>
      <c r="GA193" s="988"/>
      <c r="GB193" s="109"/>
      <c r="GC193" s="2214">
        <f t="shared" si="152"/>
        <v>279172.77</v>
      </c>
      <c r="GD193" s="387">
        <f t="shared" si="152"/>
        <v>276069.16000000003</v>
      </c>
      <c r="GE193" s="387">
        <f t="shared" si="152"/>
        <v>274611.88</v>
      </c>
      <c r="GF193" s="387">
        <f t="shared" si="152"/>
        <v>287719.15999999997</v>
      </c>
      <c r="GG193" s="387">
        <f t="shared" si="152"/>
        <v>300751.56999999995</v>
      </c>
      <c r="GH193" s="387">
        <f t="shared" si="152"/>
        <v>343022.26999999996</v>
      </c>
      <c r="GI193" s="387">
        <f t="shared" si="152"/>
        <v>322577.15000000002</v>
      </c>
      <c r="GJ193" s="387">
        <f t="shared" si="152"/>
        <v>341694.27</v>
      </c>
      <c r="GK193" s="387">
        <f t="shared" si="152"/>
        <v>371451.51000000007</v>
      </c>
      <c r="GL193" s="387">
        <f t="shared" si="152"/>
        <v>390631.7300000001</v>
      </c>
      <c r="GM193" s="387">
        <f t="shared" si="152"/>
        <v>388023.16000000003</v>
      </c>
      <c r="GN193" s="988">
        <f t="shared" si="152"/>
        <v>325769.94</v>
      </c>
      <c r="GO193" s="1036">
        <f t="shared" si="153"/>
        <v>42024.789999999994</v>
      </c>
      <c r="GP193" s="387">
        <f t="shared" si="153"/>
        <v>43513.86</v>
      </c>
      <c r="GQ193" s="387">
        <f t="shared" si="153"/>
        <v>38891.879999999997</v>
      </c>
      <c r="GR193" s="387">
        <f t="shared" si="153"/>
        <v>38834.970000000008</v>
      </c>
      <c r="GS193" s="387">
        <f t="shared" si="153"/>
        <v>37960.11</v>
      </c>
      <c r="GT193" s="387">
        <f t="shared" si="153"/>
        <v>42227.799999999996</v>
      </c>
      <c r="GU193" s="387">
        <f t="shared" si="153"/>
        <v>31933.589999999997</v>
      </c>
      <c r="GV193" s="387">
        <f t="shared" si="153"/>
        <v>37724.5</v>
      </c>
      <c r="GW193" s="387">
        <f t="shared" si="153"/>
        <v>39248.590000000004</v>
      </c>
      <c r="GX193" s="387">
        <f t="shared" si="153"/>
        <v>39451.65</v>
      </c>
      <c r="GY193" s="387">
        <f t="shared" si="153"/>
        <v>35756.49</v>
      </c>
      <c r="GZ193" s="988">
        <f t="shared" si="153"/>
        <v>-1792.5599999999988</v>
      </c>
      <c r="HB193" s="387"/>
      <c r="HC193" s="387"/>
      <c r="HD193" s="387"/>
      <c r="HE193" s="387"/>
      <c r="HF193" s="387"/>
      <c r="HG193" s="387"/>
      <c r="HH193" s="387"/>
      <c r="HI193" s="387"/>
      <c r="HJ193" s="387"/>
      <c r="HK193" s="387"/>
      <c r="HL193" s="387"/>
      <c r="HM193" s="988"/>
    </row>
    <row r="194" spans="1:221">
      <c r="A194" s="326" t="s">
        <v>900</v>
      </c>
      <c r="B194" s="326" t="s">
        <v>901</v>
      </c>
      <c r="C194" s="326" t="s">
        <v>3220</v>
      </c>
      <c r="D194" s="1036">
        <v>34356.9</v>
      </c>
      <c r="E194" s="387">
        <v>37930.979999999996</v>
      </c>
      <c r="F194" s="387">
        <v>38475.090000000004</v>
      </c>
      <c r="G194" s="387">
        <v>38115.630000000005</v>
      </c>
      <c r="H194" s="387">
        <v>42515.85</v>
      </c>
      <c r="I194" s="387">
        <v>41163.779999999992</v>
      </c>
      <c r="J194" s="387">
        <v>38688.170000000006</v>
      </c>
      <c r="K194" s="387">
        <v>41575.700000000004</v>
      </c>
      <c r="L194" s="387">
        <v>37182.029999999992</v>
      </c>
      <c r="M194" s="387">
        <v>36016.769999999997</v>
      </c>
      <c r="N194" s="387">
        <v>40267.930000000008</v>
      </c>
      <c r="O194" s="988">
        <v>36466.92</v>
      </c>
      <c r="P194" s="387" t="s">
        <v>2154</v>
      </c>
      <c r="Q194" s="387" t="s">
        <v>2154</v>
      </c>
      <c r="R194" s="387" t="s">
        <v>2154</v>
      </c>
      <c r="S194" s="387" t="s">
        <v>2154</v>
      </c>
      <c r="T194" s="387" t="s">
        <v>2154</v>
      </c>
      <c r="U194" s="387" t="s">
        <v>2154</v>
      </c>
      <c r="V194" s="387" t="s">
        <v>2154</v>
      </c>
      <c r="W194" s="387" t="s">
        <v>2154</v>
      </c>
      <c r="X194" s="387" t="s">
        <v>2154</v>
      </c>
      <c r="Y194" s="387" t="s">
        <v>2154</v>
      </c>
      <c r="Z194" s="387" t="s">
        <v>2154</v>
      </c>
      <c r="AA194" s="988" t="s">
        <v>2154</v>
      </c>
      <c r="AB194" s="387"/>
      <c r="AC194" s="387"/>
      <c r="AD194" s="387"/>
      <c r="AE194" s="387"/>
      <c r="AF194" s="387"/>
      <c r="AG194" s="387"/>
      <c r="AH194" s="387"/>
      <c r="AI194" s="387"/>
      <c r="AJ194" s="387"/>
      <c r="AK194" s="387"/>
      <c r="AL194" s="387"/>
      <c r="AM194" s="988"/>
      <c r="AN194" s="387"/>
      <c r="AO194" s="387"/>
      <c r="AP194" s="387"/>
      <c r="AQ194" s="387"/>
      <c r="AR194" s="387"/>
      <c r="AS194" s="387"/>
      <c r="AT194" s="387"/>
      <c r="AU194" s="387"/>
      <c r="AV194" s="387"/>
      <c r="AW194" s="387"/>
      <c r="AX194" s="387"/>
      <c r="AY194" s="988"/>
      <c r="AZ194" s="387"/>
      <c r="BA194" s="387"/>
      <c r="BB194" s="387"/>
      <c r="BC194" s="387"/>
      <c r="BD194" s="387"/>
      <c r="BE194" s="387"/>
      <c r="BF194" s="387"/>
      <c r="BG194" s="387"/>
      <c r="BH194" s="387"/>
      <c r="BI194" s="387"/>
      <c r="BJ194" s="387"/>
      <c r="BK194" s="988"/>
      <c r="BL194" s="387"/>
      <c r="BM194" s="387"/>
      <c r="BN194" s="387"/>
      <c r="BO194" s="387"/>
      <c r="BP194" s="387"/>
      <c r="BQ194" s="387"/>
      <c r="BR194" s="387"/>
      <c r="BS194" s="387"/>
      <c r="BT194" s="387"/>
      <c r="BU194" s="387"/>
      <c r="BV194" s="387"/>
      <c r="BW194" s="988"/>
      <c r="BX194" s="387"/>
      <c r="BY194" s="387"/>
      <c r="BZ194" s="387"/>
      <c r="CA194" s="387"/>
      <c r="CB194" s="387"/>
      <c r="CC194" s="387"/>
      <c r="CD194" s="387"/>
      <c r="CE194" s="387"/>
      <c r="CF194" s="387"/>
      <c r="CG194" s="387"/>
      <c r="CH194" s="387"/>
      <c r="CI194" s="988"/>
      <c r="CJ194" s="387"/>
      <c r="CK194" s="387"/>
      <c r="CL194" s="387"/>
      <c r="CM194" s="387"/>
      <c r="CN194" s="387"/>
      <c r="CO194" s="387"/>
      <c r="CP194" s="387"/>
      <c r="CQ194" s="387"/>
      <c r="CR194" s="387"/>
      <c r="CS194" s="387"/>
      <c r="CT194" s="387"/>
      <c r="CU194" s="988"/>
      <c r="CV194" s="387"/>
      <c r="CW194" s="387"/>
      <c r="CX194" s="387"/>
      <c r="CY194" s="387"/>
      <c r="CZ194" s="387"/>
      <c r="DA194" s="387"/>
      <c r="DB194" s="387"/>
      <c r="DC194" s="387"/>
      <c r="DD194" s="387"/>
      <c r="DE194" s="387"/>
      <c r="DF194" s="387"/>
      <c r="DG194" s="988"/>
      <c r="DH194" s="387"/>
      <c r="DI194" s="387"/>
      <c r="DJ194" s="387"/>
      <c r="DK194" s="387"/>
      <c r="DL194" s="387"/>
      <c r="DM194" s="387"/>
      <c r="DN194" s="387"/>
      <c r="DO194" s="387"/>
      <c r="DP194" s="387"/>
      <c r="DQ194" s="387"/>
      <c r="DR194" s="387"/>
      <c r="DS194" s="988"/>
      <c r="DT194" s="387" t="s">
        <v>2154</v>
      </c>
      <c r="DU194" s="387" t="s">
        <v>2154</v>
      </c>
      <c r="DV194" s="387" t="s">
        <v>2154</v>
      </c>
      <c r="DW194" s="387" t="s">
        <v>2154</v>
      </c>
      <c r="DX194" s="387" t="s">
        <v>2154</v>
      </c>
      <c r="DY194" s="387" t="s">
        <v>2154</v>
      </c>
      <c r="DZ194" s="387" t="s">
        <v>2154</v>
      </c>
      <c r="EA194" s="387" t="s">
        <v>2154</v>
      </c>
      <c r="EB194" s="387" t="s">
        <v>2154</v>
      </c>
      <c r="EC194" s="387" t="s">
        <v>2154</v>
      </c>
      <c r="ED194" s="387" t="s">
        <v>2154</v>
      </c>
      <c r="EE194" s="988" t="s">
        <v>2154</v>
      </c>
      <c r="EF194" s="387"/>
      <c r="EG194" s="387"/>
      <c r="EH194" s="387"/>
      <c r="EI194" s="387"/>
      <c r="EJ194" s="387"/>
      <c r="EK194" s="387"/>
      <c r="EL194" s="387"/>
      <c r="EM194" s="387"/>
      <c r="EN194" s="387"/>
      <c r="EO194" s="387"/>
      <c r="EP194" s="387"/>
      <c r="EQ194" s="988"/>
      <c r="ER194" s="387"/>
      <c r="ES194" s="387"/>
      <c r="ET194" s="387"/>
      <c r="EU194" s="387"/>
      <c r="EV194" s="387"/>
      <c r="EW194" s="387"/>
      <c r="EX194" s="387"/>
      <c r="EY194" s="387"/>
      <c r="EZ194" s="387"/>
      <c r="FA194" s="387"/>
      <c r="FB194" s="387"/>
      <c r="FC194" s="988"/>
      <c r="FD194" s="387"/>
      <c r="FE194" s="387"/>
      <c r="FF194" s="387"/>
      <c r="FG194" s="387"/>
      <c r="FH194" s="387"/>
      <c r="FI194" s="387"/>
      <c r="FJ194" s="387"/>
      <c r="FK194" s="387"/>
      <c r="FL194" s="387"/>
      <c r="FM194" s="387"/>
      <c r="FN194" s="387"/>
      <c r="FO194" s="988"/>
      <c r="FP194" s="387"/>
      <c r="FQ194" s="387"/>
      <c r="FR194" s="387"/>
      <c r="FS194" s="387"/>
      <c r="FT194" s="387"/>
      <c r="FU194" s="387"/>
      <c r="FV194" s="387"/>
      <c r="FW194" s="387"/>
      <c r="FX194" s="387"/>
      <c r="FY194" s="387"/>
      <c r="FZ194" s="387"/>
      <c r="GA194" s="988"/>
      <c r="GB194" s="109"/>
      <c r="GC194" s="2214">
        <f t="shared" si="152"/>
        <v>34356.9</v>
      </c>
      <c r="GD194" s="387">
        <f t="shared" si="152"/>
        <v>37930.979999999996</v>
      </c>
      <c r="GE194" s="387">
        <f t="shared" si="152"/>
        <v>38475.090000000004</v>
      </c>
      <c r="GF194" s="387">
        <f t="shared" si="152"/>
        <v>38115.630000000005</v>
      </c>
      <c r="GG194" s="387">
        <f t="shared" si="152"/>
        <v>42515.85</v>
      </c>
      <c r="GH194" s="387">
        <f t="shared" si="152"/>
        <v>41163.779999999992</v>
      </c>
      <c r="GI194" s="387">
        <f t="shared" si="152"/>
        <v>38688.170000000006</v>
      </c>
      <c r="GJ194" s="387">
        <f t="shared" si="152"/>
        <v>41575.700000000004</v>
      </c>
      <c r="GK194" s="387">
        <f t="shared" si="152"/>
        <v>37182.029999999992</v>
      </c>
      <c r="GL194" s="387">
        <f t="shared" si="152"/>
        <v>36016.769999999997</v>
      </c>
      <c r="GM194" s="387">
        <f t="shared" si="152"/>
        <v>40267.930000000008</v>
      </c>
      <c r="GN194" s="988">
        <f t="shared" si="152"/>
        <v>36466.92</v>
      </c>
      <c r="GO194" s="1036">
        <f t="shared" si="153"/>
        <v>0</v>
      </c>
      <c r="GP194" s="387">
        <f t="shared" si="153"/>
        <v>0</v>
      </c>
      <c r="GQ194" s="387">
        <f t="shared" si="153"/>
        <v>0</v>
      </c>
      <c r="GR194" s="387">
        <f t="shared" si="153"/>
        <v>0</v>
      </c>
      <c r="GS194" s="387">
        <f t="shared" si="153"/>
        <v>0</v>
      </c>
      <c r="GT194" s="387">
        <f t="shared" si="153"/>
        <v>0</v>
      </c>
      <c r="GU194" s="387">
        <f t="shared" si="153"/>
        <v>0</v>
      </c>
      <c r="GV194" s="387">
        <f t="shared" si="153"/>
        <v>0</v>
      </c>
      <c r="GW194" s="387">
        <f t="shared" si="153"/>
        <v>0</v>
      </c>
      <c r="GX194" s="387">
        <f t="shared" si="153"/>
        <v>0</v>
      </c>
      <c r="GY194" s="387">
        <f t="shared" si="153"/>
        <v>0</v>
      </c>
      <c r="GZ194" s="988">
        <f t="shared" si="153"/>
        <v>0</v>
      </c>
      <c r="HB194" s="387"/>
      <c r="HC194" s="387"/>
      <c r="HD194" s="387"/>
      <c r="HE194" s="387"/>
      <c r="HF194" s="387"/>
      <c r="HG194" s="387"/>
      <c r="HH194" s="387"/>
      <c r="HI194" s="387"/>
      <c r="HJ194" s="387"/>
      <c r="HK194" s="387"/>
      <c r="HL194" s="387"/>
      <c r="HM194" s="988"/>
    </row>
    <row r="195" spans="1:221">
      <c r="A195" s="326" t="s">
        <v>900</v>
      </c>
      <c r="B195" s="326" t="s">
        <v>901</v>
      </c>
      <c r="C195" s="326" t="s">
        <v>3221</v>
      </c>
      <c r="D195" s="1036" t="s">
        <v>2154</v>
      </c>
      <c r="E195" s="387" t="s">
        <v>2154</v>
      </c>
      <c r="F195" s="387" t="s">
        <v>2154</v>
      </c>
      <c r="G195" s="387" t="s">
        <v>2154</v>
      </c>
      <c r="H195" s="387" t="s">
        <v>2154</v>
      </c>
      <c r="I195" s="387" t="s">
        <v>2154</v>
      </c>
      <c r="J195" s="387" t="s">
        <v>2154</v>
      </c>
      <c r="K195" s="387" t="s">
        <v>2154</v>
      </c>
      <c r="L195" s="387" t="s">
        <v>2154</v>
      </c>
      <c r="M195" s="387" t="s">
        <v>2154</v>
      </c>
      <c r="N195" s="387" t="s">
        <v>2154</v>
      </c>
      <c r="O195" s="988" t="s">
        <v>2154</v>
      </c>
      <c r="P195" s="387">
        <v>9965.4700000000012</v>
      </c>
      <c r="Q195" s="387">
        <v>10835.16</v>
      </c>
      <c r="R195" s="387">
        <v>5510.84</v>
      </c>
      <c r="S195" s="387">
        <v>7516.5199999999995</v>
      </c>
      <c r="T195" s="387">
        <v>7244.9</v>
      </c>
      <c r="U195" s="387">
        <v>7342.5599999999995</v>
      </c>
      <c r="V195" s="387">
        <v>6854.56</v>
      </c>
      <c r="W195" s="387">
        <v>8064.0399999999991</v>
      </c>
      <c r="X195" s="387">
        <v>10975.95</v>
      </c>
      <c r="Y195" s="387">
        <v>11191.32</v>
      </c>
      <c r="Z195" s="387">
        <v>12180.3</v>
      </c>
      <c r="AA195" s="988">
        <v>9319.14</v>
      </c>
      <c r="AB195" s="387"/>
      <c r="AC195" s="387"/>
      <c r="AD195" s="387"/>
      <c r="AE195" s="387"/>
      <c r="AF195" s="387"/>
      <c r="AG195" s="387"/>
      <c r="AH195" s="387"/>
      <c r="AI195" s="387"/>
      <c r="AJ195" s="387"/>
      <c r="AK195" s="387"/>
      <c r="AL195" s="387"/>
      <c r="AM195" s="988"/>
      <c r="AN195" s="387"/>
      <c r="AO195" s="387"/>
      <c r="AP195" s="387"/>
      <c r="AQ195" s="387"/>
      <c r="AR195" s="387"/>
      <c r="AS195" s="387"/>
      <c r="AT195" s="387"/>
      <c r="AU195" s="387"/>
      <c r="AV195" s="387"/>
      <c r="AW195" s="387"/>
      <c r="AX195" s="387"/>
      <c r="AY195" s="988"/>
      <c r="AZ195" s="387"/>
      <c r="BA195" s="387"/>
      <c r="BB195" s="387"/>
      <c r="BC195" s="387"/>
      <c r="BD195" s="387"/>
      <c r="BE195" s="387"/>
      <c r="BF195" s="387"/>
      <c r="BG195" s="387"/>
      <c r="BH195" s="387"/>
      <c r="BI195" s="387"/>
      <c r="BJ195" s="387"/>
      <c r="BK195" s="988"/>
      <c r="BL195" s="387"/>
      <c r="BM195" s="387"/>
      <c r="BN195" s="387"/>
      <c r="BO195" s="387"/>
      <c r="BP195" s="387"/>
      <c r="BQ195" s="387"/>
      <c r="BR195" s="386"/>
      <c r="BS195" s="386"/>
      <c r="BT195" s="386"/>
      <c r="BU195" s="386"/>
      <c r="BV195" s="386"/>
      <c r="BW195" s="987"/>
      <c r="BX195" s="387"/>
      <c r="BY195" s="386"/>
      <c r="BZ195" s="387"/>
      <c r="CA195" s="387"/>
      <c r="CB195" s="386"/>
      <c r="CC195" s="387"/>
      <c r="CD195" s="386"/>
      <c r="CE195" s="386"/>
      <c r="CF195" s="386"/>
      <c r="CG195" s="386"/>
      <c r="CH195" s="386"/>
      <c r="CI195" s="987"/>
      <c r="CJ195" s="387"/>
      <c r="CK195" s="386"/>
      <c r="CL195" s="387"/>
      <c r="CM195" s="387"/>
      <c r="CN195" s="386"/>
      <c r="CO195" s="387"/>
      <c r="CP195" s="386"/>
      <c r="CQ195" s="386"/>
      <c r="CR195" s="386"/>
      <c r="CS195" s="386"/>
      <c r="CT195" s="386"/>
      <c r="CU195" s="987"/>
      <c r="CV195" s="387"/>
      <c r="CW195" s="387"/>
      <c r="CX195" s="387"/>
      <c r="CY195" s="387"/>
      <c r="CZ195" s="387"/>
      <c r="DA195" s="387"/>
      <c r="DB195" s="387"/>
      <c r="DC195" s="387"/>
      <c r="DD195" s="387"/>
      <c r="DE195" s="387"/>
      <c r="DF195" s="387"/>
      <c r="DG195" s="988"/>
      <c r="DH195" s="387"/>
      <c r="DI195" s="386"/>
      <c r="DJ195" s="387"/>
      <c r="DK195" s="387"/>
      <c r="DL195" s="386"/>
      <c r="DM195" s="387"/>
      <c r="DN195" s="386"/>
      <c r="DO195" s="386"/>
      <c r="DP195" s="386"/>
      <c r="DQ195" s="386"/>
      <c r="DR195" s="386"/>
      <c r="DS195" s="987"/>
      <c r="DT195" s="387">
        <v>4842.3500000000004</v>
      </c>
      <c r="DU195" s="387">
        <v>5478.4899999999989</v>
      </c>
      <c r="DV195" s="387">
        <v>4029.5899999999997</v>
      </c>
      <c r="DW195" s="387">
        <v>4575.5499999999993</v>
      </c>
      <c r="DX195" s="387">
        <v>5598.1399999999994</v>
      </c>
      <c r="DY195" s="387">
        <v>5353.71</v>
      </c>
      <c r="DZ195" s="386">
        <v>4320.6099999999997</v>
      </c>
      <c r="EA195" s="386">
        <v>3918.4700000000003</v>
      </c>
      <c r="EB195" s="386">
        <v>4795.920000000001</v>
      </c>
      <c r="EC195" s="386">
        <v>5179.8599999999997</v>
      </c>
      <c r="ED195" s="386">
        <v>6368.31</v>
      </c>
      <c r="EE195" s="987">
        <v>6345.65</v>
      </c>
      <c r="EF195" s="387"/>
      <c r="EG195" s="386"/>
      <c r="EH195" s="387"/>
      <c r="EI195" s="387"/>
      <c r="EJ195" s="386"/>
      <c r="EK195" s="387"/>
      <c r="EL195" s="386"/>
      <c r="EM195" s="386"/>
      <c r="EN195" s="386"/>
      <c r="EO195" s="386"/>
      <c r="EP195" s="386"/>
      <c r="EQ195" s="987"/>
      <c r="ER195" s="387"/>
      <c r="ES195" s="386"/>
      <c r="ET195" s="387"/>
      <c r="EU195" s="387"/>
      <c r="EV195" s="386"/>
      <c r="EW195" s="387"/>
      <c r="EX195" s="386"/>
      <c r="EY195" s="386"/>
      <c r="EZ195" s="386"/>
      <c r="FA195" s="386"/>
      <c r="FB195" s="386"/>
      <c r="FC195" s="987"/>
      <c r="FD195" s="387"/>
      <c r="FE195" s="386"/>
      <c r="FF195" s="387"/>
      <c r="FG195" s="387"/>
      <c r="FH195" s="386"/>
      <c r="FI195" s="387"/>
      <c r="FJ195" s="386"/>
      <c r="FK195" s="386"/>
      <c r="FL195" s="386"/>
      <c r="FM195" s="386"/>
      <c r="FN195" s="386"/>
      <c r="FO195" s="987"/>
      <c r="FP195" s="387"/>
      <c r="FQ195" s="386"/>
      <c r="FR195" s="387"/>
      <c r="FS195" s="387"/>
      <c r="FT195" s="386"/>
      <c r="FU195" s="387"/>
      <c r="FV195" s="386"/>
      <c r="FW195" s="386"/>
      <c r="FX195" s="386"/>
      <c r="FY195" s="386"/>
      <c r="FZ195" s="386"/>
      <c r="GA195" s="987"/>
      <c r="GB195" s="109"/>
      <c r="GC195" s="2214">
        <f t="shared" ref="GC195:GN205" si="154">SUMPRODUCT(--($D$6:$GA$6=GC$6),$D195:$GA195,$D$278:$GA$278)</f>
        <v>14807.820000000002</v>
      </c>
      <c r="GD195" s="387">
        <f t="shared" si="154"/>
        <v>16313.649999999998</v>
      </c>
      <c r="GE195" s="387">
        <f t="shared" si="154"/>
        <v>9540.43</v>
      </c>
      <c r="GF195" s="387">
        <f t="shared" si="154"/>
        <v>12092.07</v>
      </c>
      <c r="GG195" s="387">
        <f t="shared" si="154"/>
        <v>12843.039999999999</v>
      </c>
      <c r="GH195" s="387">
        <f t="shared" si="154"/>
        <v>12696.27</v>
      </c>
      <c r="GI195" s="387">
        <f t="shared" si="154"/>
        <v>11175.17</v>
      </c>
      <c r="GJ195" s="387">
        <f t="shared" si="154"/>
        <v>11982.509999999998</v>
      </c>
      <c r="GK195" s="387">
        <f t="shared" si="154"/>
        <v>15771.870000000003</v>
      </c>
      <c r="GL195" s="387">
        <f t="shared" si="154"/>
        <v>16371.18</v>
      </c>
      <c r="GM195" s="387">
        <f t="shared" si="154"/>
        <v>18548.61</v>
      </c>
      <c r="GN195" s="988">
        <f t="shared" si="154"/>
        <v>15664.789999999999</v>
      </c>
      <c r="GO195" s="1036">
        <f t="shared" ref="GO195:GZ204" si="155">SUMPRODUCT(--($DT$6:$GA$6=GO$6),$DT195:$GA195,$DT$278:$GA$278)</f>
        <v>4842.3500000000004</v>
      </c>
      <c r="GP195" s="387">
        <f t="shared" si="155"/>
        <v>5478.4899999999989</v>
      </c>
      <c r="GQ195" s="387">
        <f t="shared" si="155"/>
        <v>4029.5899999999997</v>
      </c>
      <c r="GR195" s="387">
        <f t="shared" si="155"/>
        <v>4575.5499999999993</v>
      </c>
      <c r="GS195" s="387">
        <f t="shared" si="155"/>
        <v>5598.1399999999994</v>
      </c>
      <c r="GT195" s="387">
        <f t="shared" si="155"/>
        <v>5353.71</v>
      </c>
      <c r="GU195" s="387">
        <f t="shared" si="155"/>
        <v>4320.6099999999997</v>
      </c>
      <c r="GV195" s="387">
        <f t="shared" si="155"/>
        <v>3918.4700000000003</v>
      </c>
      <c r="GW195" s="387">
        <f t="shared" si="155"/>
        <v>4795.920000000001</v>
      </c>
      <c r="GX195" s="387">
        <f t="shared" si="155"/>
        <v>5179.8599999999997</v>
      </c>
      <c r="GY195" s="387">
        <f t="shared" si="155"/>
        <v>6368.31</v>
      </c>
      <c r="GZ195" s="988">
        <f t="shared" si="155"/>
        <v>6345.65</v>
      </c>
      <c r="HB195" s="387"/>
      <c r="HC195" s="386"/>
      <c r="HD195" s="387"/>
      <c r="HE195" s="387"/>
      <c r="HF195" s="386"/>
      <c r="HG195" s="387"/>
      <c r="HH195" s="386"/>
      <c r="HI195" s="386"/>
      <c r="HJ195" s="386"/>
      <c r="HK195" s="386"/>
      <c r="HL195" s="386"/>
      <c r="HM195" s="987"/>
    </row>
    <row r="196" spans="1:221">
      <c r="A196" s="326" t="s">
        <v>900</v>
      </c>
      <c r="B196" s="326" t="s">
        <v>901</v>
      </c>
      <c r="C196" s="326" t="s">
        <v>3222</v>
      </c>
      <c r="D196" s="1036" t="s">
        <v>2154</v>
      </c>
      <c r="E196" s="387" t="s">
        <v>2154</v>
      </c>
      <c r="F196" s="387" t="s">
        <v>2154</v>
      </c>
      <c r="G196" s="387" t="s">
        <v>2154</v>
      </c>
      <c r="H196" s="387" t="s">
        <v>2154</v>
      </c>
      <c r="I196" s="387" t="s">
        <v>2154</v>
      </c>
      <c r="J196" s="387" t="s">
        <v>2154</v>
      </c>
      <c r="K196" s="387" t="s">
        <v>2154</v>
      </c>
      <c r="L196" s="387" t="s">
        <v>2154</v>
      </c>
      <c r="M196" s="387" t="s">
        <v>2154</v>
      </c>
      <c r="N196" s="387" t="s">
        <v>2154</v>
      </c>
      <c r="O196" s="988" t="s">
        <v>2154</v>
      </c>
      <c r="P196" s="387" t="s">
        <v>2154</v>
      </c>
      <c r="Q196" s="387" t="s">
        <v>2154</v>
      </c>
      <c r="R196" s="387" t="s">
        <v>2154</v>
      </c>
      <c r="S196" s="387" t="s">
        <v>2154</v>
      </c>
      <c r="T196" s="387" t="s">
        <v>2154</v>
      </c>
      <c r="U196" s="387" t="s">
        <v>2154</v>
      </c>
      <c r="V196" s="387" t="s">
        <v>2154</v>
      </c>
      <c r="W196" s="387" t="s">
        <v>2154</v>
      </c>
      <c r="X196" s="387" t="s">
        <v>2154</v>
      </c>
      <c r="Y196" s="387" t="s">
        <v>2154</v>
      </c>
      <c r="Z196" s="387" t="s">
        <v>2154</v>
      </c>
      <c r="AA196" s="988" t="s">
        <v>2154</v>
      </c>
      <c r="AB196" s="387"/>
      <c r="AC196" s="387"/>
      <c r="AD196" s="387"/>
      <c r="AE196" s="387"/>
      <c r="AF196" s="387"/>
      <c r="AG196" s="387"/>
      <c r="AH196" s="387"/>
      <c r="AI196" s="387"/>
      <c r="AJ196" s="387"/>
      <c r="AK196" s="387"/>
      <c r="AL196" s="387"/>
      <c r="AM196" s="988"/>
      <c r="AN196" s="387"/>
      <c r="AO196" s="387"/>
      <c r="AP196" s="387"/>
      <c r="AQ196" s="387"/>
      <c r="AR196" s="387"/>
      <c r="AS196" s="387"/>
      <c r="AT196" s="387"/>
      <c r="AU196" s="387"/>
      <c r="AV196" s="387"/>
      <c r="AW196" s="387"/>
      <c r="AX196" s="387"/>
      <c r="AY196" s="988"/>
      <c r="AZ196" s="387"/>
      <c r="BA196" s="387"/>
      <c r="BB196" s="387"/>
      <c r="BC196" s="387"/>
      <c r="BD196" s="387"/>
      <c r="BE196" s="387"/>
      <c r="BF196" s="387"/>
      <c r="BG196" s="387"/>
      <c r="BH196" s="387"/>
      <c r="BI196" s="387"/>
      <c r="BJ196" s="387"/>
      <c r="BK196" s="988"/>
      <c r="BL196" s="387"/>
      <c r="BM196" s="387"/>
      <c r="BN196" s="387"/>
      <c r="BO196" s="387"/>
      <c r="BP196" s="387"/>
      <c r="BQ196" s="387"/>
      <c r="BR196" s="387"/>
      <c r="BS196" s="387"/>
      <c r="BT196" s="387"/>
      <c r="BU196" s="387"/>
      <c r="BV196" s="387"/>
      <c r="BW196" s="988"/>
      <c r="BX196" s="387"/>
      <c r="BY196" s="387"/>
      <c r="BZ196" s="387"/>
      <c r="CA196" s="387"/>
      <c r="CB196" s="387"/>
      <c r="CC196" s="387"/>
      <c r="CD196" s="387"/>
      <c r="CE196" s="387"/>
      <c r="CF196" s="387"/>
      <c r="CG196" s="387"/>
      <c r="CH196" s="387"/>
      <c r="CI196" s="988"/>
      <c r="CJ196" s="387"/>
      <c r="CK196" s="387"/>
      <c r="CL196" s="387"/>
      <c r="CM196" s="387"/>
      <c r="CN196" s="387"/>
      <c r="CO196" s="387"/>
      <c r="CP196" s="387"/>
      <c r="CQ196" s="387"/>
      <c r="CR196" s="387"/>
      <c r="CS196" s="387"/>
      <c r="CT196" s="387"/>
      <c r="CU196" s="988"/>
      <c r="CV196" s="387"/>
      <c r="CW196" s="387"/>
      <c r="CX196" s="387"/>
      <c r="CY196" s="387"/>
      <c r="CZ196" s="387"/>
      <c r="DA196" s="387"/>
      <c r="DB196" s="387"/>
      <c r="DC196" s="387"/>
      <c r="DD196" s="387"/>
      <c r="DE196" s="387"/>
      <c r="DF196" s="387"/>
      <c r="DG196" s="988"/>
      <c r="DH196" s="387"/>
      <c r="DI196" s="387"/>
      <c r="DJ196" s="387"/>
      <c r="DK196" s="387"/>
      <c r="DL196" s="387"/>
      <c r="DM196" s="387"/>
      <c r="DN196" s="387"/>
      <c r="DO196" s="387"/>
      <c r="DP196" s="387"/>
      <c r="DQ196" s="387"/>
      <c r="DR196" s="387"/>
      <c r="DS196" s="988"/>
      <c r="DT196" s="387" t="s">
        <v>2154</v>
      </c>
      <c r="DU196" s="387" t="s">
        <v>2154</v>
      </c>
      <c r="DV196" s="387" t="s">
        <v>2154</v>
      </c>
      <c r="DW196" s="387" t="s">
        <v>2154</v>
      </c>
      <c r="DX196" s="387" t="s">
        <v>2154</v>
      </c>
      <c r="DY196" s="387" t="s">
        <v>2154</v>
      </c>
      <c r="DZ196" s="387" t="s">
        <v>2154</v>
      </c>
      <c r="EA196" s="387" t="s">
        <v>2154</v>
      </c>
      <c r="EB196" s="387" t="s">
        <v>2154</v>
      </c>
      <c r="EC196" s="387" t="s">
        <v>2154</v>
      </c>
      <c r="ED196" s="387" t="s">
        <v>2154</v>
      </c>
      <c r="EE196" s="988" t="s">
        <v>2154</v>
      </c>
      <c r="EF196" s="387"/>
      <c r="EG196" s="387"/>
      <c r="EH196" s="387"/>
      <c r="EI196" s="387"/>
      <c r="EJ196" s="387"/>
      <c r="EK196" s="387"/>
      <c r="EL196" s="387"/>
      <c r="EM196" s="387"/>
      <c r="EN196" s="387"/>
      <c r="EO196" s="387"/>
      <c r="EP196" s="387"/>
      <c r="EQ196" s="988"/>
      <c r="ER196" s="387"/>
      <c r="ES196" s="387"/>
      <c r="ET196" s="387"/>
      <c r="EU196" s="387"/>
      <c r="EV196" s="387"/>
      <c r="EW196" s="387"/>
      <c r="EX196" s="387"/>
      <c r="EY196" s="387"/>
      <c r="EZ196" s="387"/>
      <c r="FA196" s="387"/>
      <c r="FB196" s="387"/>
      <c r="FC196" s="988"/>
      <c r="FD196" s="387"/>
      <c r="FE196" s="387"/>
      <c r="FF196" s="387"/>
      <c r="FG196" s="387"/>
      <c r="FH196" s="387"/>
      <c r="FI196" s="387"/>
      <c r="FJ196" s="387"/>
      <c r="FK196" s="387"/>
      <c r="FL196" s="387"/>
      <c r="FM196" s="387"/>
      <c r="FN196" s="387"/>
      <c r="FO196" s="988"/>
      <c r="FP196" s="387"/>
      <c r="FQ196" s="387"/>
      <c r="FR196" s="387"/>
      <c r="FS196" s="387"/>
      <c r="FT196" s="387"/>
      <c r="FU196" s="387"/>
      <c r="FV196" s="387"/>
      <c r="FW196" s="387"/>
      <c r="FX196" s="387"/>
      <c r="FY196" s="387"/>
      <c r="FZ196" s="387"/>
      <c r="GA196" s="988"/>
      <c r="GB196" s="109"/>
      <c r="GC196" s="2214">
        <f t="shared" si="154"/>
        <v>0</v>
      </c>
      <c r="GD196" s="387">
        <f t="shared" si="154"/>
        <v>0</v>
      </c>
      <c r="GE196" s="387">
        <f t="shared" si="154"/>
        <v>0</v>
      </c>
      <c r="GF196" s="387">
        <f t="shared" si="154"/>
        <v>0</v>
      </c>
      <c r="GG196" s="387">
        <f t="shared" si="154"/>
        <v>0</v>
      </c>
      <c r="GH196" s="387">
        <f t="shared" si="154"/>
        <v>0</v>
      </c>
      <c r="GI196" s="387">
        <f t="shared" si="154"/>
        <v>0</v>
      </c>
      <c r="GJ196" s="387">
        <f t="shared" si="154"/>
        <v>0</v>
      </c>
      <c r="GK196" s="387">
        <f t="shared" si="154"/>
        <v>0</v>
      </c>
      <c r="GL196" s="387">
        <f t="shared" si="154"/>
        <v>0</v>
      </c>
      <c r="GM196" s="387">
        <f t="shared" si="154"/>
        <v>0</v>
      </c>
      <c r="GN196" s="988">
        <f t="shared" si="154"/>
        <v>0</v>
      </c>
      <c r="GO196" s="1036">
        <f t="shared" si="155"/>
        <v>0</v>
      </c>
      <c r="GP196" s="387">
        <f t="shared" si="155"/>
        <v>0</v>
      </c>
      <c r="GQ196" s="387">
        <f t="shared" si="155"/>
        <v>0</v>
      </c>
      <c r="GR196" s="387">
        <f t="shared" si="155"/>
        <v>0</v>
      </c>
      <c r="GS196" s="387">
        <f t="shared" si="155"/>
        <v>0</v>
      </c>
      <c r="GT196" s="387">
        <f t="shared" si="155"/>
        <v>0</v>
      </c>
      <c r="GU196" s="387">
        <f t="shared" si="155"/>
        <v>0</v>
      </c>
      <c r="GV196" s="387">
        <f t="shared" si="155"/>
        <v>0</v>
      </c>
      <c r="GW196" s="387">
        <f t="shared" si="155"/>
        <v>0</v>
      </c>
      <c r="GX196" s="387">
        <f t="shared" si="155"/>
        <v>0</v>
      </c>
      <c r="GY196" s="387">
        <f t="shared" si="155"/>
        <v>0</v>
      </c>
      <c r="GZ196" s="988">
        <f t="shared" si="155"/>
        <v>0</v>
      </c>
      <c r="HB196" s="387"/>
      <c r="HC196" s="387"/>
      <c r="HD196" s="387"/>
      <c r="HE196" s="387"/>
      <c r="HF196" s="387"/>
      <c r="HG196" s="387"/>
      <c r="HH196" s="387"/>
      <c r="HI196" s="387"/>
      <c r="HJ196" s="387"/>
      <c r="HK196" s="387"/>
      <c r="HL196" s="387"/>
      <c r="HM196" s="988"/>
    </row>
    <row r="197" spans="1:221">
      <c r="A197" s="326" t="s">
        <v>900</v>
      </c>
      <c r="B197" s="326" t="s">
        <v>901</v>
      </c>
      <c r="C197" s="326" t="s">
        <v>3223</v>
      </c>
      <c r="D197" s="1036" t="s">
        <v>2154</v>
      </c>
      <c r="E197" s="387" t="s">
        <v>2154</v>
      </c>
      <c r="F197" s="387" t="s">
        <v>2154</v>
      </c>
      <c r="G197" s="387" t="s">
        <v>2154</v>
      </c>
      <c r="H197" s="387" t="s">
        <v>2154</v>
      </c>
      <c r="I197" s="387" t="s">
        <v>2154</v>
      </c>
      <c r="J197" s="387" t="s">
        <v>2154</v>
      </c>
      <c r="K197" s="387" t="s">
        <v>2154</v>
      </c>
      <c r="L197" s="387" t="s">
        <v>2154</v>
      </c>
      <c r="M197" s="387" t="s">
        <v>2154</v>
      </c>
      <c r="N197" s="387" t="s">
        <v>2154</v>
      </c>
      <c r="O197" s="988" t="s">
        <v>2154</v>
      </c>
      <c r="P197" s="387" t="s">
        <v>2154</v>
      </c>
      <c r="Q197" s="387" t="s">
        <v>2154</v>
      </c>
      <c r="R197" s="387" t="s">
        <v>2154</v>
      </c>
      <c r="S197" s="387" t="s">
        <v>2154</v>
      </c>
      <c r="T197" s="387" t="s">
        <v>2154</v>
      </c>
      <c r="U197" s="387" t="s">
        <v>2154</v>
      </c>
      <c r="V197" s="387" t="s">
        <v>2154</v>
      </c>
      <c r="W197" s="387" t="s">
        <v>2154</v>
      </c>
      <c r="X197" s="387" t="s">
        <v>2154</v>
      </c>
      <c r="Y197" s="387" t="s">
        <v>2154</v>
      </c>
      <c r="Z197" s="387" t="s">
        <v>2154</v>
      </c>
      <c r="AA197" s="988" t="s">
        <v>2154</v>
      </c>
      <c r="AB197" s="387"/>
      <c r="AC197" s="387"/>
      <c r="AD197" s="387"/>
      <c r="AE197" s="387"/>
      <c r="AF197" s="387"/>
      <c r="AG197" s="387"/>
      <c r="AH197" s="387"/>
      <c r="AI197" s="387"/>
      <c r="AJ197" s="387"/>
      <c r="AK197" s="387"/>
      <c r="AL197" s="387"/>
      <c r="AM197" s="988"/>
      <c r="AN197" s="387"/>
      <c r="AO197" s="387"/>
      <c r="AP197" s="387"/>
      <c r="AQ197" s="387"/>
      <c r="AR197" s="387"/>
      <c r="AS197" s="387"/>
      <c r="AT197" s="387"/>
      <c r="AU197" s="387"/>
      <c r="AV197" s="387"/>
      <c r="AW197" s="387"/>
      <c r="AX197" s="387"/>
      <c r="AY197" s="988"/>
      <c r="AZ197" s="387"/>
      <c r="BA197" s="387"/>
      <c r="BB197" s="387"/>
      <c r="BC197" s="387"/>
      <c r="BD197" s="387"/>
      <c r="BE197" s="387"/>
      <c r="BF197" s="387"/>
      <c r="BG197" s="387"/>
      <c r="BH197" s="387"/>
      <c r="BI197" s="387"/>
      <c r="BJ197" s="387"/>
      <c r="BK197" s="988"/>
      <c r="BL197" s="387"/>
      <c r="BM197" s="387"/>
      <c r="BN197" s="387"/>
      <c r="BO197" s="387"/>
      <c r="BP197" s="387"/>
      <c r="BQ197" s="387"/>
      <c r="BR197" s="387"/>
      <c r="BS197" s="387"/>
      <c r="BT197" s="387"/>
      <c r="BU197" s="387"/>
      <c r="BV197" s="387"/>
      <c r="BW197" s="988"/>
      <c r="BX197" s="387"/>
      <c r="BY197" s="387"/>
      <c r="BZ197" s="387"/>
      <c r="CA197" s="387"/>
      <c r="CB197" s="387"/>
      <c r="CC197" s="387"/>
      <c r="CD197" s="387"/>
      <c r="CE197" s="387"/>
      <c r="CF197" s="387"/>
      <c r="CG197" s="387"/>
      <c r="CH197" s="387"/>
      <c r="CI197" s="988"/>
      <c r="CJ197" s="387"/>
      <c r="CK197" s="387"/>
      <c r="CL197" s="387"/>
      <c r="CM197" s="387"/>
      <c r="CN197" s="387"/>
      <c r="CO197" s="387"/>
      <c r="CP197" s="387"/>
      <c r="CQ197" s="387"/>
      <c r="CR197" s="387"/>
      <c r="CS197" s="387"/>
      <c r="CT197" s="387"/>
      <c r="CU197" s="988"/>
      <c r="CV197" s="387"/>
      <c r="CW197" s="387"/>
      <c r="CX197" s="387"/>
      <c r="CY197" s="387"/>
      <c r="CZ197" s="387"/>
      <c r="DA197" s="387"/>
      <c r="DB197" s="387"/>
      <c r="DC197" s="387"/>
      <c r="DD197" s="387"/>
      <c r="DE197" s="387"/>
      <c r="DF197" s="387"/>
      <c r="DG197" s="988"/>
      <c r="DH197" s="387"/>
      <c r="DI197" s="387"/>
      <c r="DJ197" s="387"/>
      <c r="DK197" s="387"/>
      <c r="DL197" s="387"/>
      <c r="DM197" s="387"/>
      <c r="DN197" s="387"/>
      <c r="DO197" s="387"/>
      <c r="DP197" s="387"/>
      <c r="DQ197" s="387"/>
      <c r="DR197" s="387"/>
      <c r="DS197" s="988"/>
      <c r="DT197" s="387" t="s">
        <v>2154</v>
      </c>
      <c r="DU197" s="387" t="s">
        <v>2154</v>
      </c>
      <c r="DV197" s="387" t="s">
        <v>2154</v>
      </c>
      <c r="DW197" s="387" t="s">
        <v>2154</v>
      </c>
      <c r="DX197" s="387" t="s">
        <v>2154</v>
      </c>
      <c r="DY197" s="387" t="s">
        <v>2154</v>
      </c>
      <c r="DZ197" s="387" t="s">
        <v>2154</v>
      </c>
      <c r="EA197" s="387" t="s">
        <v>2154</v>
      </c>
      <c r="EB197" s="387" t="s">
        <v>2154</v>
      </c>
      <c r="EC197" s="387" t="s">
        <v>2154</v>
      </c>
      <c r="ED197" s="387" t="s">
        <v>2154</v>
      </c>
      <c r="EE197" s="988" t="s">
        <v>2154</v>
      </c>
      <c r="EF197" s="387"/>
      <c r="EG197" s="387"/>
      <c r="EH197" s="387"/>
      <c r="EI197" s="387"/>
      <c r="EJ197" s="387"/>
      <c r="EK197" s="387"/>
      <c r="EL197" s="387"/>
      <c r="EM197" s="387"/>
      <c r="EN197" s="387"/>
      <c r="EO197" s="387"/>
      <c r="EP197" s="387"/>
      <c r="EQ197" s="988"/>
      <c r="ER197" s="387"/>
      <c r="ES197" s="387"/>
      <c r="ET197" s="387"/>
      <c r="EU197" s="387"/>
      <c r="EV197" s="387"/>
      <c r="EW197" s="387"/>
      <c r="EX197" s="387"/>
      <c r="EY197" s="387"/>
      <c r="EZ197" s="387"/>
      <c r="FA197" s="387"/>
      <c r="FB197" s="387"/>
      <c r="FC197" s="988"/>
      <c r="FD197" s="387"/>
      <c r="FE197" s="387"/>
      <c r="FF197" s="387"/>
      <c r="FG197" s="387"/>
      <c r="FH197" s="387"/>
      <c r="FI197" s="387"/>
      <c r="FJ197" s="387"/>
      <c r="FK197" s="387"/>
      <c r="FL197" s="387"/>
      <c r="FM197" s="387"/>
      <c r="FN197" s="387"/>
      <c r="FO197" s="988"/>
      <c r="FP197" s="387"/>
      <c r="FQ197" s="387"/>
      <c r="FR197" s="387"/>
      <c r="FS197" s="387"/>
      <c r="FT197" s="387"/>
      <c r="FU197" s="387"/>
      <c r="FV197" s="387"/>
      <c r="FW197" s="387"/>
      <c r="FX197" s="387"/>
      <c r="FY197" s="387"/>
      <c r="FZ197" s="387"/>
      <c r="GA197" s="988"/>
      <c r="GB197" s="109"/>
      <c r="GC197" s="2214">
        <f t="shared" si="154"/>
        <v>0</v>
      </c>
      <c r="GD197" s="387">
        <f t="shared" si="154"/>
        <v>0</v>
      </c>
      <c r="GE197" s="387">
        <f t="shared" si="154"/>
        <v>0</v>
      </c>
      <c r="GF197" s="387">
        <f t="shared" si="154"/>
        <v>0</v>
      </c>
      <c r="GG197" s="387">
        <f t="shared" si="154"/>
        <v>0</v>
      </c>
      <c r="GH197" s="387">
        <f t="shared" si="154"/>
        <v>0</v>
      </c>
      <c r="GI197" s="387">
        <f t="shared" si="154"/>
        <v>0</v>
      </c>
      <c r="GJ197" s="387">
        <f t="shared" si="154"/>
        <v>0</v>
      </c>
      <c r="GK197" s="387">
        <f t="shared" si="154"/>
        <v>0</v>
      </c>
      <c r="GL197" s="387">
        <f t="shared" si="154"/>
        <v>0</v>
      </c>
      <c r="GM197" s="387">
        <f t="shared" si="154"/>
        <v>0</v>
      </c>
      <c r="GN197" s="988">
        <f t="shared" si="154"/>
        <v>0</v>
      </c>
      <c r="GO197" s="1036">
        <f t="shared" si="155"/>
        <v>0</v>
      </c>
      <c r="GP197" s="387">
        <f t="shared" si="155"/>
        <v>0</v>
      </c>
      <c r="GQ197" s="387">
        <f t="shared" si="155"/>
        <v>0</v>
      </c>
      <c r="GR197" s="387">
        <f t="shared" si="155"/>
        <v>0</v>
      </c>
      <c r="GS197" s="387">
        <f t="shared" si="155"/>
        <v>0</v>
      </c>
      <c r="GT197" s="387">
        <f t="shared" si="155"/>
        <v>0</v>
      </c>
      <c r="GU197" s="387">
        <f t="shared" si="155"/>
        <v>0</v>
      </c>
      <c r="GV197" s="387">
        <f t="shared" si="155"/>
        <v>0</v>
      </c>
      <c r="GW197" s="387">
        <f t="shared" si="155"/>
        <v>0</v>
      </c>
      <c r="GX197" s="387">
        <f t="shared" si="155"/>
        <v>0</v>
      </c>
      <c r="GY197" s="387">
        <f t="shared" si="155"/>
        <v>0</v>
      </c>
      <c r="GZ197" s="988">
        <f t="shared" si="155"/>
        <v>0</v>
      </c>
      <c r="HB197" s="387"/>
      <c r="HC197" s="387"/>
      <c r="HD197" s="387"/>
      <c r="HE197" s="387"/>
      <c r="HF197" s="387"/>
      <c r="HG197" s="387"/>
      <c r="HH197" s="387"/>
      <c r="HI197" s="387"/>
      <c r="HJ197" s="387"/>
      <c r="HK197" s="387"/>
      <c r="HL197" s="387"/>
      <c r="HM197" s="988"/>
    </row>
    <row r="198" spans="1:221">
      <c r="A198" s="326" t="s">
        <v>900</v>
      </c>
      <c r="B198" s="326" t="s">
        <v>901</v>
      </c>
      <c r="C198" s="326" t="s">
        <v>3224</v>
      </c>
      <c r="D198" s="1036" t="s">
        <v>2154</v>
      </c>
      <c r="E198" s="387" t="s">
        <v>2154</v>
      </c>
      <c r="F198" s="387" t="s">
        <v>2154</v>
      </c>
      <c r="G198" s="387" t="s">
        <v>2154</v>
      </c>
      <c r="H198" s="387" t="s">
        <v>2154</v>
      </c>
      <c r="I198" s="387" t="s">
        <v>2154</v>
      </c>
      <c r="J198" s="387" t="s">
        <v>2154</v>
      </c>
      <c r="K198" s="387" t="s">
        <v>2154</v>
      </c>
      <c r="L198" s="387" t="s">
        <v>2154</v>
      </c>
      <c r="M198" s="387" t="s">
        <v>2154</v>
      </c>
      <c r="N198" s="387" t="s">
        <v>2154</v>
      </c>
      <c r="O198" s="988" t="s">
        <v>2154</v>
      </c>
      <c r="P198" s="387" t="s">
        <v>2154</v>
      </c>
      <c r="Q198" s="387" t="s">
        <v>2154</v>
      </c>
      <c r="R198" s="387" t="s">
        <v>2154</v>
      </c>
      <c r="S198" s="387" t="s">
        <v>2154</v>
      </c>
      <c r="T198" s="387" t="s">
        <v>2154</v>
      </c>
      <c r="U198" s="387" t="s">
        <v>2154</v>
      </c>
      <c r="V198" s="387" t="s">
        <v>2154</v>
      </c>
      <c r="W198" s="387" t="s">
        <v>2154</v>
      </c>
      <c r="X198" s="387" t="s">
        <v>2154</v>
      </c>
      <c r="Y198" s="387" t="s">
        <v>2154</v>
      </c>
      <c r="Z198" s="387" t="s">
        <v>2154</v>
      </c>
      <c r="AA198" s="988" t="s">
        <v>2154</v>
      </c>
      <c r="AB198" s="387"/>
      <c r="AC198" s="387"/>
      <c r="AD198" s="387"/>
      <c r="AE198" s="387"/>
      <c r="AF198" s="387"/>
      <c r="AG198" s="387"/>
      <c r="AH198" s="387"/>
      <c r="AI198" s="387"/>
      <c r="AJ198" s="387"/>
      <c r="AK198" s="387"/>
      <c r="AL198" s="387"/>
      <c r="AM198" s="988"/>
      <c r="AN198" s="387"/>
      <c r="AO198" s="387"/>
      <c r="AP198" s="387"/>
      <c r="AQ198" s="387"/>
      <c r="AR198" s="387"/>
      <c r="AS198" s="387"/>
      <c r="AT198" s="387"/>
      <c r="AU198" s="387"/>
      <c r="AV198" s="387"/>
      <c r="AW198" s="387"/>
      <c r="AX198" s="387"/>
      <c r="AY198" s="988"/>
      <c r="AZ198" s="387"/>
      <c r="BA198" s="387"/>
      <c r="BB198" s="387"/>
      <c r="BC198" s="387"/>
      <c r="BD198" s="387"/>
      <c r="BE198" s="387"/>
      <c r="BF198" s="387"/>
      <c r="BG198" s="387"/>
      <c r="BH198" s="387"/>
      <c r="BI198" s="387"/>
      <c r="BJ198" s="387"/>
      <c r="BK198" s="988"/>
      <c r="BL198" s="387"/>
      <c r="BM198" s="387"/>
      <c r="BN198" s="387"/>
      <c r="BO198" s="387"/>
      <c r="BP198" s="387"/>
      <c r="BQ198" s="387"/>
      <c r="BR198" s="387"/>
      <c r="BS198" s="387"/>
      <c r="BT198" s="387"/>
      <c r="BU198" s="387"/>
      <c r="BV198" s="387"/>
      <c r="BW198" s="988"/>
      <c r="BX198" s="387"/>
      <c r="BY198" s="387"/>
      <c r="BZ198" s="387"/>
      <c r="CA198" s="387"/>
      <c r="CB198" s="387"/>
      <c r="CC198" s="387"/>
      <c r="CD198" s="387"/>
      <c r="CE198" s="387"/>
      <c r="CF198" s="387"/>
      <c r="CG198" s="387"/>
      <c r="CH198" s="387"/>
      <c r="CI198" s="988"/>
      <c r="CJ198" s="387"/>
      <c r="CK198" s="387"/>
      <c r="CL198" s="387"/>
      <c r="CM198" s="387"/>
      <c r="CN198" s="387"/>
      <c r="CO198" s="387"/>
      <c r="CP198" s="387"/>
      <c r="CQ198" s="387"/>
      <c r="CR198" s="387"/>
      <c r="CS198" s="387"/>
      <c r="CT198" s="387"/>
      <c r="CU198" s="988"/>
      <c r="CV198" s="387"/>
      <c r="CW198" s="387"/>
      <c r="CX198" s="387"/>
      <c r="CY198" s="387"/>
      <c r="CZ198" s="387"/>
      <c r="DA198" s="387"/>
      <c r="DB198" s="387"/>
      <c r="DC198" s="387"/>
      <c r="DD198" s="387"/>
      <c r="DE198" s="387"/>
      <c r="DF198" s="387"/>
      <c r="DG198" s="988"/>
      <c r="DH198" s="387"/>
      <c r="DI198" s="387"/>
      <c r="DJ198" s="387"/>
      <c r="DK198" s="387"/>
      <c r="DL198" s="387"/>
      <c r="DM198" s="387"/>
      <c r="DN198" s="387"/>
      <c r="DO198" s="387"/>
      <c r="DP198" s="387"/>
      <c r="DQ198" s="387"/>
      <c r="DR198" s="387"/>
      <c r="DS198" s="988"/>
      <c r="DT198" s="387" t="s">
        <v>2154</v>
      </c>
      <c r="DU198" s="387" t="s">
        <v>2154</v>
      </c>
      <c r="DV198" s="387" t="s">
        <v>2154</v>
      </c>
      <c r="DW198" s="387" t="s">
        <v>2154</v>
      </c>
      <c r="DX198" s="387" t="s">
        <v>2154</v>
      </c>
      <c r="DY198" s="387" t="s">
        <v>2154</v>
      </c>
      <c r="DZ198" s="387" t="s">
        <v>2154</v>
      </c>
      <c r="EA198" s="387" t="s">
        <v>2154</v>
      </c>
      <c r="EB198" s="387" t="s">
        <v>2154</v>
      </c>
      <c r="EC198" s="387" t="s">
        <v>2154</v>
      </c>
      <c r="ED198" s="387" t="s">
        <v>2154</v>
      </c>
      <c r="EE198" s="988" t="s">
        <v>2154</v>
      </c>
      <c r="EF198" s="387"/>
      <c r="EG198" s="387"/>
      <c r="EH198" s="387"/>
      <c r="EI198" s="387"/>
      <c r="EJ198" s="387"/>
      <c r="EK198" s="387"/>
      <c r="EL198" s="387"/>
      <c r="EM198" s="387"/>
      <c r="EN198" s="387"/>
      <c r="EO198" s="387"/>
      <c r="EP198" s="387"/>
      <c r="EQ198" s="988"/>
      <c r="ER198" s="387"/>
      <c r="ES198" s="387"/>
      <c r="ET198" s="387"/>
      <c r="EU198" s="387"/>
      <c r="EV198" s="387"/>
      <c r="EW198" s="387"/>
      <c r="EX198" s="387"/>
      <c r="EY198" s="387"/>
      <c r="EZ198" s="387"/>
      <c r="FA198" s="387"/>
      <c r="FB198" s="387"/>
      <c r="FC198" s="988"/>
      <c r="FD198" s="387"/>
      <c r="FE198" s="387"/>
      <c r="FF198" s="387"/>
      <c r="FG198" s="387"/>
      <c r="FH198" s="387"/>
      <c r="FI198" s="387"/>
      <c r="FJ198" s="387"/>
      <c r="FK198" s="387"/>
      <c r="FL198" s="387"/>
      <c r="FM198" s="387"/>
      <c r="FN198" s="387"/>
      <c r="FO198" s="988"/>
      <c r="FP198" s="387"/>
      <c r="FQ198" s="387"/>
      <c r="FR198" s="387"/>
      <c r="FS198" s="387"/>
      <c r="FT198" s="387"/>
      <c r="FU198" s="387"/>
      <c r="FV198" s="387"/>
      <c r="FW198" s="387"/>
      <c r="FX198" s="387"/>
      <c r="FY198" s="387"/>
      <c r="FZ198" s="387"/>
      <c r="GA198" s="988"/>
      <c r="GB198" s="109"/>
      <c r="GC198" s="2214">
        <f t="shared" si="154"/>
        <v>0</v>
      </c>
      <c r="GD198" s="387">
        <f t="shared" si="154"/>
        <v>0</v>
      </c>
      <c r="GE198" s="387">
        <f t="shared" si="154"/>
        <v>0</v>
      </c>
      <c r="GF198" s="387">
        <f t="shared" si="154"/>
        <v>0</v>
      </c>
      <c r="GG198" s="387">
        <f t="shared" si="154"/>
        <v>0</v>
      </c>
      <c r="GH198" s="387">
        <f t="shared" si="154"/>
        <v>0</v>
      </c>
      <c r="GI198" s="387">
        <f t="shared" si="154"/>
        <v>0</v>
      </c>
      <c r="GJ198" s="387">
        <f t="shared" si="154"/>
        <v>0</v>
      </c>
      <c r="GK198" s="387">
        <f t="shared" si="154"/>
        <v>0</v>
      </c>
      <c r="GL198" s="387">
        <f t="shared" si="154"/>
        <v>0</v>
      </c>
      <c r="GM198" s="387">
        <f t="shared" si="154"/>
        <v>0</v>
      </c>
      <c r="GN198" s="988">
        <f t="shared" si="154"/>
        <v>0</v>
      </c>
      <c r="GO198" s="1036">
        <f t="shared" si="155"/>
        <v>0</v>
      </c>
      <c r="GP198" s="387">
        <f t="shared" si="155"/>
        <v>0</v>
      </c>
      <c r="GQ198" s="387">
        <f t="shared" si="155"/>
        <v>0</v>
      </c>
      <c r="GR198" s="387">
        <f t="shared" si="155"/>
        <v>0</v>
      </c>
      <c r="GS198" s="387">
        <f t="shared" si="155"/>
        <v>0</v>
      </c>
      <c r="GT198" s="387">
        <f t="shared" si="155"/>
        <v>0</v>
      </c>
      <c r="GU198" s="387">
        <f t="shared" si="155"/>
        <v>0</v>
      </c>
      <c r="GV198" s="387">
        <f t="shared" si="155"/>
        <v>0</v>
      </c>
      <c r="GW198" s="387">
        <f t="shared" si="155"/>
        <v>0</v>
      </c>
      <c r="GX198" s="387">
        <f t="shared" si="155"/>
        <v>0</v>
      </c>
      <c r="GY198" s="387">
        <f t="shared" si="155"/>
        <v>0</v>
      </c>
      <c r="GZ198" s="988">
        <f t="shared" si="155"/>
        <v>0</v>
      </c>
      <c r="HB198" s="387"/>
      <c r="HC198" s="387"/>
      <c r="HD198" s="387"/>
      <c r="HE198" s="387"/>
      <c r="HF198" s="387"/>
      <c r="HG198" s="387"/>
      <c r="HH198" s="387"/>
      <c r="HI198" s="387"/>
      <c r="HJ198" s="387"/>
      <c r="HK198" s="387"/>
      <c r="HL198" s="387"/>
      <c r="HM198" s="988"/>
    </row>
    <row r="199" spans="1:221">
      <c r="A199" s="326" t="s">
        <v>900</v>
      </c>
      <c r="B199" s="326" t="s">
        <v>901</v>
      </c>
      <c r="C199" s="326" t="s">
        <v>3225</v>
      </c>
      <c r="D199" s="1036" t="s">
        <v>2154</v>
      </c>
      <c r="E199" s="387" t="s">
        <v>2154</v>
      </c>
      <c r="F199" s="387" t="s">
        <v>2154</v>
      </c>
      <c r="G199" s="387" t="s">
        <v>2154</v>
      </c>
      <c r="H199" s="387" t="s">
        <v>2154</v>
      </c>
      <c r="I199" s="387" t="s">
        <v>2154</v>
      </c>
      <c r="J199" s="387" t="s">
        <v>2154</v>
      </c>
      <c r="K199" s="387" t="s">
        <v>2154</v>
      </c>
      <c r="L199" s="387" t="s">
        <v>2154</v>
      </c>
      <c r="M199" s="387" t="s">
        <v>2154</v>
      </c>
      <c r="N199" s="387" t="s">
        <v>2154</v>
      </c>
      <c r="O199" s="988" t="s">
        <v>2154</v>
      </c>
      <c r="P199" s="387" t="s">
        <v>2154</v>
      </c>
      <c r="Q199" s="387" t="s">
        <v>2154</v>
      </c>
      <c r="R199" s="387" t="s">
        <v>2154</v>
      </c>
      <c r="S199" s="387" t="s">
        <v>2154</v>
      </c>
      <c r="T199" s="387" t="s">
        <v>2154</v>
      </c>
      <c r="U199" s="387" t="s">
        <v>2154</v>
      </c>
      <c r="V199" s="387" t="s">
        <v>2154</v>
      </c>
      <c r="W199" s="387" t="s">
        <v>2154</v>
      </c>
      <c r="X199" s="387" t="s">
        <v>2154</v>
      </c>
      <c r="Y199" s="387" t="s">
        <v>2154</v>
      </c>
      <c r="Z199" s="387" t="s">
        <v>2154</v>
      </c>
      <c r="AA199" s="988" t="s">
        <v>2154</v>
      </c>
      <c r="AB199" s="387"/>
      <c r="AC199" s="387"/>
      <c r="AD199" s="387"/>
      <c r="AE199" s="387"/>
      <c r="AF199" s="387"/>
      <c r="AG199" s="387"/>
      <c r="AH199" s="387"/>
      <c r="AI199" s="387"/>
      <c r="AJ199" s="387"/>
      <c r="AK199" s="387"/>
      <c r="AL199" s="387"/>
      <c r="AM199" s="988"/>
      <c r="AN199" s="387"/>
      <c r="AO199" s="387"/>
      <c r="AP199" s="387"/>
      <c r="AQ199" s="387"/>
      <c r="AR199" s="387"/>
      <c r="AS199" s="387"/>
      <c r="AT199" s="387"/>
      <c r="AU199" s="387"/>
      <c r="AV199" s="387"/>
      <c r="AW199" s="387"/>
      <c r="AX199" s="387"/>
      <c r="AY199" s="988"/>
      <c r="AZ199" s="387"/>
      <c r="BA199" s="387"/>
      <c r="BB199" s="387"/>
      <c r="BC199" s="387"/>
      <c r="BD199" s="387"/>
      <c r="BE199" s="387"/>
      <c r="BF199" s="387"/>
      <c r="BG199" s="387"/>
      <c r="BH199" s="387"/>
      <c r="BI199" s="387"/>
      <c r="BJ199" s="387"/>
      <c r="BK199" s="988"/>
      <c r="BL199" s="387"/>
      <c r="BM199" s="387"/>
      <c r="BN199" s="387"/>
      <c r="BO199" s="387"/>
      <c r="BP199" s="387"/>
      <c r="BQ199" s="387"/>
      <c r="BR199" s="387"/>
      <c r="BS199" s="387"/>
      <c r="BT199" s="387"/>
      <c r="BU199" s="387"/>
      <c r="BV199" s="387"/>
      <c r="BW199" s="988"/>
      <c r="BX199" s="387"/>
      <c r="BY199" s="387"/>
      <c r="BZ199" s="387"/>
      <c r="CA199" s="387"/>
      <c r="CB199" s="387"/>
      <c r="CC199" s="387"/>
      <c r="CD199" s="387"/>
      <c r="CE199" s="387"/>
      <c r="CF199" s="387"/>
      <c r="CG199" s="387"/>
      <c r="CH199" s="387"/>
      <c r="CI199" s="988"/>
      <c r="CJ199" s="387"/>
      <c r="CK199" s="387"/>
      <c r="CL199" s="387"/>
      <c r="CM199" s="387"/>
      <c r="CN199" s="387"/>
      <c r="CO199" s="387"/>
      <c r="CP199" s="387"/>
      <c r="CQ199" s="387"/>
      <c r="CR199" s="387"/>
      <c r="CS199" s="387"/>
      <c r="CT199" s="387"/>
      <c r="CU199" s="988"/>
      <c r="CV199" s="387"/>
      <c r="CW199" s="387"/>
      <c r="CX199" s="387"/>
      <c r="CY199" s="387"/>
      <c r="CZ199" s="387"/>
      <c r="DA199" s="387"/>
      <c r="DB199" s="387"/>
      <c r="DC199" s="387"/>
      <c r="DD199" s="387"/>
      <c r="DE199" s="387"/>
      <c r="DF199" s="387"/>
      <c r="DG199" s="988"/>
      <c r="DH199" s="387"/>
      <c r="DI199" s="387"/>
      <c r="DJ199" s="387"/>
      <c r="DK199" s="387"/>
      <c r="DL199" s="387"/>
      <c r="DM199" s="387"/>
      <c r="DN199" s="387"/>
      <c r="DO199" s="387"/>
      <c r="DP199" s="387"/>
      <c r="DQ199" s="387"/>
      <c r="DR199" s="387"/>
      <c r="DS199" s="988"/>
      <c r="DT199" s="387" t="s">
        <v>2154</v>
      </c>
      <c r="DU199" s="387" t="s">
        <v>2154</v>
      </c>
      <c r="DV199" s="387" t="s">
        <v>2154</v>
      </c>
      <c r="DW199" s="387" t="s">
        <v>2154</v>
      </c>
      <c r="DX199" s="387" t="s">
        <v>2154</v>
      </c>
      <c r="DY199" s="387" t="s">
        <v>2154</v>
      </c>
      <c r="DZ199" s="387" t="s">
        <v>2154</v>
      </c>
      <c r="EA199" s="387" t="s">
        <v>2154</v>
      </c>
      <c r="EB199" s="387" t="s">
        <v>2154</v>
      </c>
      <c r="EC199" s="387" t="s">
        <v>2154</v>
      </c>
      <c r="ED199" s="387" t="s">
        <v>2154</v>
      </c>
      <c r="EE199" s="988" t="s">
        <v>2154</v>
      </c>
      <c r="EF199" s="387"/>
      <c r="EG199" s="387"/>
      <c r="EH199" s="387"/>
      <c r="EI199" s="387"/>
      <c r="EJ199" s="387"/>
      <c r="EK199" s="387"/>
      <c r="EL199" s="387"/>
      <c r="EM199" s="387"/>
      <c r="EN199" s="387"/>
      <c r="EO199" s="387"/>
      <c r="EP199" s="387"/>
      <c r="EQ199" s="988"/>
      <c r="ER199" s="387"/>
      <c r="ES199" s="387"/>
      <c r="ET199" s="387"/>
      <c r="EU199" s="387"/>
      <c r="EV199" s="387"/>
      <c r="EW199" s="387"/>
      <c r="EX199" s="387"/>
      <c r="EY199" s="387"/>
      <c r="EZ199" s="387"/>
      <c r="FA199" s="387"/>
      <c r="FB199" s="387"/>
      <c r="FC199" s="988"/>
      <c r="FD199" s="387"/>
      <c r="FE199" s="387"/>
      <c r="FF199" s="387"/>
      <c r="FG199" s="387"/>
      <c r="FH199" s="387"/>
      <c r="FI199" s="387"/>
      <c r="FJ199" s="387"/>
      <c r="FK199" s="387"/>
      <c r="FL199" s="387"/>
      <c r="FM199" s="387"/>
      <c r="FN199" s="387"/>
      <c r="FO199" s="988"/>
      <c r="FP199" s="387"/>
      <c r="FQ199" s="387"/>
      <c r="FR199" s="387"/>
      <c r="FS199" s="387"/>
      <c r="FT199" s="387"/>
      <c r="FU199" s="387"/>
      <c r="FV199" s="387"/>
      <c r="FW199" s="387"/>
      <c r="FX199" s="387"/>
      <c r="FY199" s="387"/>
      <c r="FZ199" s="387"/>
      <c r="GA199" s="988"/>
      <c r="GB199" s="109"/>
      <c r="GC199" s="2214">
        <f t="shared" si="154"/>
        <v>0</v>
      </c>
      <c r="GD199" s="387">
        <f t="shared" si="154"/>
        <v>0</v>
      </c>
      <c r="GE199" s="387">
        <f t="shared" si="154"/>
        <v>0</v>
      </c>
      <c r="GF199" s="387">
        <f t="shared" si="154"/>
        <v>0</v>
      </c>
      <c r="GG199" s="387">
        <f t="shared" si="154"/>
        <v>0</v>
      </c>
      <c r="GH199" s="387">
        <f t="shared" si="154"/>
        <v>0</v>
      </c>
      <c r="GI199" s="387">
        <f t="shared" si="154"/>
        <v>0</v>
      </c>
      <c r="GJ199" s="387">
        <f t="shared" si="154"/>
        <v>0</v>
      </c>
      <c r="GK199" s="387">
        <f t="shared" si="154"/>
        <v>0</v>
      </c>
      <c r="GL199" s="387">
        <f t="shared" si="154"/>
        <v>0</v>
      </c>
      <c r="GM199" s="387">
        <f t="shared" si="154"/>
        <v>0</v>
      </c>
      <c r="GN199" s="988">
        <f t="shared" si="154"/>
        <v>0</v>
      </c>
      <c r="GO199" s="1036">
        <f t="shared" si="155"/>
        <v>0</v>
      </c>
      <c r="GP199" s="387">
        <f t="shared" si="155"/>
        <v>0</v>
      </c>
      <c r="GQ199" s="387">
        <f t="shared" si="155"/>
        <v>0</v>
      </c>
      <c r="GR199" s="387">
        <f t="shared" si="155"/>
        <v>0</v>
      </c>
      <c r="GS199" s="387">
        <f t="shared" si="155"/>
        <v>0</v>
      </c>
      <c r="GT199" s="387">
        <f t="shared" si="155"/>
        <v>0</v>
      </c>
      <c r="GU199" s="387">
        <f t="shared" si="155"/>
        <v>0</v>
      </c>
      <c r="GV199" s="387">
        <f t="shared" si="155"/>
        <v>0</v>
      </c>
      <c r="GW199" s="387">
        <f t="shared" si="155"/>
        <v>0</v>
      </c>
      <c r="GX199" s="387">
        <f t="shared" si="155"/>
        <v>0</v>
      </c>
      <c r="GY199" s="387">
        <f t="shared" si="155"/>
        <v>0</v>
      </c>
      <c r="GZ199" s="988">
        <f t="shared" si="155"/>
        <v>0</v>
      </c>
      <c r="HB199" s="387"/>
      <c r="HC199" s="387"/>
      <c r="HD199" s="387"/>
      <c r="HE199" s="387"/>
      <c r="HF199" s="387"/>
      <c r="HG199" s="387"/>
      <c r="HH199" s="387"/>
      <c r="HI199" s="387"/>
      <c r="HJ199" s="387"/>
      <c r="HK199" s="387"/>
      <c r="HL199" s="387"/>
      <c r="HM199" s="988"/>
    </row>
    <row r="200" spans="1:221">
      <c r="A200" s="326" t="s">
        <v>900</v>
      </c>
      <c r="B200" s="326" t="s">
        <v>901</v>
      </c>
      <c r="C200" s="326" t="s">
        <v>2399</v>
      </c>
      <c r="D200" s="1036" t="s">
        <v>2154</v>
      </c>
      <c r="E200" s="387" t="s">
        <v>2154</v>
      </c>
      <c r="F200" s="387" t="s">
        <v>2154</v>
      </c>
      <c r="G200" s="387" t="s">
        <v>2154</v>
      </c>
      <c r="H200" s="387" t="s">
        <v>2154</v>
      </c>
      <c r="I200" s="387" t="s">
        <v>2154</v>
      </c>
      <c r="J200" s="387" t="s">
        <v>2154</v>
      </c>
      <c r="K200" s="387" t="s">
        <v>2154</v>
      </c>
      <c r="L200" s="387" t="s">
        <v>2154</v>
      </c>
      <c r="M200" s="387" t="s">
        <v>2154</v>
      </c>
      <c r="N200" s="387" t="s">
        <v>2154</v>
      </c>
      <c r="O200" s="988" t="s">
        <v>2154</v>
      </c>
      <c r="P200" s="387" t="s">
        <v>2154</v>
      </c>
      <c r="Q200" s="387" t="s">
        <v>2154</v>
      </c>
      <c r="R200" s="387" t="s">
        <v>2154</v>
      </c>
      <c r="S200" s="387" t="s">
        <v>2154</v>
      </c>
      <c r="T200" s="387" t="s">
        <v>2154</v>
      </c>
      <c r="U200" s="387" t="s">
        <v>2154</v>
      </c>
      <c r="V200" s="387" t="s">
        <v>2154</v>
      </c>
      <c r="W200" s="387" t="s">
        <v>2154</v>
      </c>
      <c r="X200" s="387" t="s">
        <v>2154</v>
      </c>
      <c r="Y200" s="387" t="s">
        <v>2154</v>
      </c>
      <c r="Z200" s="387" t="s">
        <v>2154</v>
      </c>
      <c r="AA200" s="988" t="s">
        <v>2154</v>
      </c>
      <c r="AB200" s="387"/>
      <c r="AC200" s="387"/>
      <c r="AD200" s="387"/>
      <c r="AE200" s="387"/>
      <c r="AF200" s="387"/>
      <c r="AG200" s="387"/>
      <c r="AH200" s="387"/>
      <c r="AI200" s="387"/>
      <c r="AJ200" s="387"/>
      <c r="AK200" s="387"/>
      <c r="AL200" s="387"/>
      <c r="AM200" s="988"/>
      <c r="AN200" s="387"/>
      <c r="AO200" s="387"/>
      <c r="AP200" s="387"/>
      <c r="AQ200" s="387"/>
      <c r="AR200" s="387"/>
      <c r="AS200" s="387"/>
      <c r="AT200" s="387"/>
      <c r="AU200" s="387"/>
      <c r="AV200" s="387"/>
      <c r="AW200" s="387"/>
      <c r="AX200" s="387"/>
      <c r="AY200" s="988"/>
      <c r="AZ200" s="387"/>
      <c r="BA200" s="387"/>
      <c r="BB200" s="387"/>
      <c r="BC200" s="387"/>
      <c r="BD200" s="387"/>
      <c r="BE200" s="387"/>
      <c r="BF200" s="387"/>
      <c r="BG200" s="387"/>
      <c r="BH200" s="387"/>
      <c r="BI200" s="387"/>
      <c r="BJ200" s="387"/>
      <c r="BK200" s="988"/>
      <c r="BL200" s="387"/>
      <c r="BM200" s="387"/>
      <c r="BN200" s="387"/>
      <c r="BO200" s="387"/>
      <c r="BP200" s="387"/>
      <c r="BQ200" s="387"/>
      <c r="BR200" s="387"/>
      <c r="BS200" s="387"/>
      <c r="BT200" s="387"/>
      <c r="BU200" s="387"/>
      <c r="BV200" s="387"/>
      <c r="BW200" s="988"/>
      <c r="BX200" s="387"/>
      <c r="BY200" s="387"/>
      <c r="BZ200" s="387"/>
      <c r="CA200" s="387"/>
      <c r="CB200" s="387"/>
      <c r="CC200" s="387"/>
      <c r="CD200" s="387"/>
      <c r="CE200" s="387"/>
      <c r="CF200" s="387"/>
      <c r="CG200" s="387"/>
      <c r="CH200" s="387"/>
      <c r="CI200" s="988"/>
      <c r="CJ200" s="387"/>
      <c r="CK200" s="387"/>
      <c r="CL200" s="387"/>
      <c r="CM200" s="387"/>
      <c r="CN200" s="387"/>
      <c r="CO200" s="387"/>
      <c r="CP200" s="387"/>
      <c r="CQ200" s="387"/>
      <c r="CR200" s="387"/>
      <c r="CS200" s="387"/>
      <c r="CT200" s="387"/>
      <c r="CU200" s="988"/>
      <c r="CV200" s="387"/>
      <c r="CW200" s="387"/>
      <c r="CX200" s="387"/>
      <c r="CY200" s="387"/>
      <c r="CZ200" s="387"/>
      <c r="DA200" s="387"/>
      <c r="DB200" s="387"/>
      <c r="DC200" s="387"/>
      <c r="DD200" s="387"/>
      <c r="DE200" s="387"/>
      <c r="DF200" s="387"/>
      <c r="DG200" s="988"/>
      <c r="DH200" s="387"/>
      <c r="DI200" s="387"/>
      <c r="DJ200" s="387"/>
      <c r="DK200" s="387"/>
      <c r="DL200" s="387"/>
      <c r="DM200" s="387"/>
      <c r="DN200" s="387"/>
      <c r="DO200" s="387"/>
      <c r="DP200" s="387"/>
      <c r="DQ200" s="387"/>
      <c r="DR200" s="387"/>
      <c r="DS200" s="988"/>
      <c r="DT200" s="387" t="s">
        <v>2154</v>
      </c>
      <c r="DU200" s="387" t="s">
        <v>2154</v>
      </c>
      <c r="DV200" s="387" t="s">
        <v>2154</v>
      </c>
      <c r="DW200" s="387" t="s">
        <v>2154</v>
      </c>
      <c r="DX200" s="387" t="s">
        <v>2154</v>
      </c>
      <c r="DY200" s="387" t="s">
        <v>2154</v>
      </c>
      <c r="DZ200" s="387" t="s">
        <v>2154</v>
      </c>
      <c r="EA200" s="387" t="s">
        <v>2154</v>
      </c>
      <c r="EB200" s="387" t="s">
        <v>2154</v>
      </c>
      <c r="EC200" s="387" t="s">
        <v>2154</v>
      </c>
      <c r="ED200" s="387" t="s">
        <v>2154</v>
      </c>
      <c r="EE200" s="988" t="s">
        <v>2154</v>
      </c>
      <c r="EF200" s="387"/>
      <c r="EG200" s="387"/>
      <c r="EH200" s="387"/>
      <c r="EI200" s="387"/>
      <c r="EJ200" s="387"/>
      <c r="EK200" s="387"/>
      <c r="EL200" s="387"/>
      <c r="EM200" s="387"/>
      <c r="EN200" s="387"/>
      <c r="EO200" s="387"/>
      <c r="EP200" s="387"/>
      <c r="EQ200" s="988"/>
      <c r="ER200" s="387"/>
      <c r="ES200" s="387"/>
      <c r="ET200" s="387"/>
      <c r="EU200" s="387"/>
      <c r="EV200" s="387"/>
      <c r="EW200" s="387"/>
      <c r="EX200" s="387"/>
      <c r="EY200" s="387"/>
      <c r="EZ200" s="387"/>
      <c r="FA200" s="387"/>
      <c r="FB200" s="387"/>
      <c r="FC200" s="988"/>
      <c r="FD200" s="387"/>
      <c r="FE200" s="387"/>
      <c r="FF200" s="387"/>
      <c r="FG200" s="387"/>
      <c r="FH200" s="387"/>
      <c r="FI200" s="387"/>
      <c r="FJ200" s="387"/>
      <c r="FK200" s="387"/>
      <c r="FL200" s="387"/>
      <c r="FM200" s="387"/>
      <c r="FN200" s="387"/>
      <c r="FO200" s="988"/>
      <c r="FP200" s="387"/>
      <c r="FQ200" s="387"/>
      <c r="FR200" s="387"/>
      <c r="FS200" s="387"/>
      <c r="FT200" s="387"/>
      <c r="FU200" s="387"/>
      <c r="FV200" s="387"/>
      <c r="FW200" s="387"/>
      <c r="FX200" s="387"/>
      <c r="FY200" s="387"/>
      <c r="FZ200" s="387"/>
      <c r="GA200" s="988"/>
      <c r="GB200" s="109"/>
      <c r="GC200" s="2214">
        <f t="shared" si="154"/>
        <v>0</v>
      </c>
      <c r="GD200" s="387">
        <f t="shared" si="154"/>
        <v>0</v>
      </c>
      <c r="GE200" s="387">
        <f t="shared" si="154"/>
        <v>0</v>
      </c>
      <c r="GF200" s="387">
        <f t="shared" si="154"/>
        <v>0</v>
      </c>
      <c r="GG200" s="387">
        <f t="shared" si="154"/>
        <v>0</v>
      </c>
      <c r="GH200" s="387">
        <f t="shared" si="154"/>
        <v>0</v>
      </c>
      <c r="GI200" s="387">
        <f t="shared" si="154"/>
        <v>0</v>
      </c>
      <c r="GJ200" s="387">
        <f t="shared" si="154"/>
        <v>0</v>
      </c>
      <c r="GK200" s="387">
        <f t="shared" si="154"/>
        <v>0</v>
      </c>
      <c r="GL200" s="387">
        <f t="shared" si="154"/>
        <v>0</v>
      </c>
      <c r="GM200" s="387">
        <f t="shared" si="154"/>
        <v>0</v>
      </c>
      <c r="GN200" s="988">
        <f t="shared" si="154"/>
        <v>0</v>
      </c>
      <c r="GO200" s="1036">
        <f t="shared" si="155"/>
        <v>0</v>
      </c>
      <c r="GP200" s="387">
        <f t="shared" si="155"/>
        <v>0</v>
      </c>
      <c r="GQ200" s="387">
        <f t="shared" si="155"/>
        <v>0</v>
      </c>
      <c r="GR200" s="387">
        <f t="shared" si="155"/>
        <v>0</v>
      </c>
      <c r="GS200" s="387">
        <f t="shared" si="155"/>
        <v>0</v>
      </c>
      <c r="GT200" s="387">
        <f t="shared" si="155"/>
        <v>0</v>
      </c>
      <c r="GU200" s="387">
        <f t="shared" si="155"/>
        <v>0</v>
      </c>
      <c r="GV200" s="387">
        <f t="shared" si="155"/>
        <v>0</v>
      </c>
      <c r="GW200" s="387">
        <f t="shared" si="155"/>
        <v>0</v>
      </c>
      <c r="GX200" s="387">
        <f t="shared" si="155"/>
        <v>0</v>
      </c>
      <c r="GY200" s="387">
        <f t="shared" si="155"/>
        <v>0</v>
      </c>
      <c r="GZ200" s="988">
        <f t="shared" si="155"/>
        <v>0</v>
      </c>
      <c r="HB200" s="387"/>
      <c r="HC200" s="387"/>
      <c r="HD200" s="387"/>
      <c r="HE200" s="387"/>
      <c r="HF200" s="387"/>
      <c r="HG200" s="387"/>
      <c r="HH200" s="387"/>
      <c r="HI200" s="387"/>
      <c r="HJ200" s="387"/>
      <c r="HK200" s="387"/>
      <c r="HL200" s="387"/>
      <c r="HM200" s="988"/>
    </row>
    <row r="201" spans="1:221">
      <c r="A201" s="326" t="s">
        <v>900</v>
      </c>
      <c r="B201" s="326" t="s">
        <v>901</v>
      </c>
      <c r="C201" s="326" t="s">
        <v>2400</v>
      </c>
      <c r="D201" s="1036">
        <v>34356.9</v>
      </c>
      <c r="E201" s="387">
        <v>37930.979999999996</v>
      </c>
      <c r="F201" s="387">
        <v>38475.090000000004</v>
      </c>
      <c r="G201" s="387">
        <v>38115.630000000005</v>
      </c>
      <c r="H201" s="387">
        <v>42515.85</v>
      </c>
      <c r="I201" s="387">
        <v>41163.779999999992</v>
      </c>
      <c r="J201" s="387">
        <v>38688.170000000006</v>
      </c>
      <c r="K201" s="387">
        <v>41575.700000000004</v>
      </c>
      <c r="L201" s="387">
        <v>37182.029999999992</v>
      </c>
      <c r="M201" s="387">
        <v>36016.769999999997</v>
      </c>
      <c r="N201" s="387">
        <v>40267.930000000008</v>
      </c>
      <c r="O201" s="988">
        <v>36466.92</v>
      </c>
      <c r="P201" s="387">
        <v>9965.4700000000012</v>
      </c>
      <c r="Q201" s="386">
        <v>10835.16</v>
      </c>
      <c r="R201" s="387">
        <v>5510.84</v>
      </c>
      <c r="S201" s="387">
        <v>7516.5199999999995</v>
      </c>
      <c r="T201" s="386">
        <v>7244.9</v>
      </c>
      <c r="U201" s="387">
        <v>7342.5599999999995</v>
      </c>
      <c r="V201" s="386">
        <v>6854.56</v>
      </c>
      <c r="W201" s="386">
        <v>8064.0399999999991</v>
      </c>
      <c r="X201" s="386">
        <v>10975.95</v>
      </c>
      <c r="Y201" s="386">
        <v>11191.32</v>
      </c>
      <c r="Z201" s="386">
        <v>12180.3</v>
      </c>
      <c r="AA201" s="987">
        <v>9319.14</v>
      </c>
      <c r="AB201" s="387"/>
      <c r="AC201" s="386"/>
      <c r="AD201" s="387"/>
      <c r="AE201" s="387"/>
      <c r="AF201" s="386"/>
      <c r="AG201" s="387"/>
      <c r="AH201" s="386"/>
      <c r="AI201" s="386"/>
      <c r="AJ201" s="386"/>
      <c r="AK201" s="386"/>
      <c r="AL201" s="386"/>
      <c r="AM201" s="987"/>
      <c r="AN201" s="387"/>
      <c r="AO201" s="386"/>
      <c r="AP201" s="387"/>
      <c r="AQ201" s="387"/>
      <c r="AR201" s="386"/>
      <c r="AS201" s="387"/>
      <c r="AT201" s="386"/>
      <c r="AU201" s="386"/>
      <c r="AV201" s="386"/>
      <c r="AW201" s="386"/>
      <c r="AX201" s="386"/>
      <c r="AY201" s="987"/>
      <c r="AZ201" s="387"/>
      <c r="BA201" s="386"/>
      <c r="BB201" s="387"/>
      <c r="BC201" s="387"/>
      <c r="BD201" s="386"/>
      <c r="BE201" s="387"/>
      <c r="BF201" s="386"/>
      <c r="BG201" s="386"/>
      <c r="BH201" s="386"/>
      <c r="BI201" s="386"/>
      <c r="BJ201" s="386"/>
      <c r="BK201" s="987"/>
      <c r="BL201" s="387"/>
      <c r="BM201" s="386"/>
      <c r="BN201" s="387"/>
      <c r="BO201" s="387"/>
      <c r="BP201" s="386"/>
      <c r="BQ201" s="387"/>
      <c r="BR201" s="386"/>
      <c r="BS201" s="386"/>
      <c r="BT201" s="386"/>
      <c r="BU201" s="386"/>
      <c r="BV201" s="386"/>
      <c r="BW201" s="987"/>
      <c r="BX201" s="387"/>
      <c r="BY201" s="386"/>
      <c r="BZ201" s="387"/>
      <c r="CA201" s="387"/>
      <c r="CB201" s="386"/>
      <c r="CC201" s="387"/>
      <c r="CD201" s="386"/>
      <c r="CE201" s="386"/>
      <c r="CF201" s="386"/>
      <c r="CG201" s="386"/>
      <c r="CH201" s="386"/>
      <c r="CI201" s="987"/>
      <c r="CJ201" s="387"/>
      <c r="CK201" s="386"/>
      <c r="CL201" s="387"/>
      <c r="CM201" s="387"/>
      <c r="CN201" s="386"/>
      <c r="CO201" s="387"/>
      <c r="CP201" s="386"/>
      <c r="CQ201" s="386"/>
      <c r="CR201" s="386"/>
      <c r="CS201" s="386"/>
      <c r="CT201" s="386"/>
      <c r="CU201" s="987"/>
      <c r="CV201" s="387"/>
      <c r="CW201" s="386"/>
      <c r="CX201" s="387"/>
      <c r="CY201" s="387"/>
      <c r="CZ201" s="386"/>
      <c r="DA201" s="387"/>
      <c r="DB201" s="386"/>
      <c r="DC201" s="386"/>
      <c r="DD201" s="386"/>
      <c r="DE201" s="386"/>
      <c r="DF201" s="386"/>
      <c r="DG201" s="987"/>
      <c r="DH201" s="387"/>
      <c r="DI201" s="386"/>
      <c r="DJ201" s="387"/>
      <c r="DK201" s="387"/>
      <c r="DL201" s="386"/>
      <c r="DM201" s="387"/>
      <c r="DN201" s="386"/>
      <c r="DO201" s="386"/>
      <c r="DP201" s="386"/>
      <c r="DQ201" s="386"/>
      <c r="DR201" s="386"/>
      <c r="DS201" s="987"/>
      <c r="DT201" s="387">
        <v>4842.3500000000004</v>
      </c>
      <c r="DU201" s="387">
        <v>5478.4899999999989</v>
      </c>
      <c r="DV201" s="387">
        <v>4029.5899999999997</v>
      </c>
      <c r="DW201" s="387">
        <v>4575.5499999999993</v>
      </c>
      <c r="DX201" s="387">
        <v>5598.1399999999994</v>
      </c>
      <c r="DY201" s="387">
        <v>5353.71</v>
      </c>
      <c r="DZ201" s="386">
        <v>4320.6099999999997</v>
      </c>
      <c r="EA201" s="386">
        <v>3918.4700000000003</v>
      </c>
      <c r="EB201" s="386">
        <v>4795.920000000001</v>
      </c>
      <c r="EC201" s="386">
        <v>5179.8599999999997</v>
      </c>
      <c r="ED201" s="386">
        <v>6368.31</v>
      </c>
      <c r="EE201" s="987">
        <v>6345.65</v>
      </c>
      <c r="EF201" s="387"/>
      <c r="EG201" s="386"/>
      <c r="EH201" s="387"/>
      <c r="EI201" s="387"/>
      <c r="EJ201" s="386"/>
      <c r="EK201" s="387"/>
      <c r="EL201" s="386"/>
      <c r="EM201" s="386"/>
      <c r="EN201" s="386"/>
      <c r="EO201" s="386"/>
      <c r="EP201" s="386"/>
      <c r="EQ201" s="987"/>
      <c r="ER201" s="387"/>
      <c r="ES201" s="386"/>
      <c r="ET201" s="387"/>
      <c r="EU201" s="387"/>
      <c r="EV201" s="386"/>
      <c r="EW201" s="387"/>
      <c r="EX201" s="386"/>
      <c r="EY201" s="386"/>
      <c r="EZ201" s="386"/>
      <c r="FA201" s="386"/>
      <c r="FB201" s="386"/>
      <c r="FC201" s="987"/>
      <c r="FD201" s="387"/>
      <c r="FE201" s="386"/>
      <c r="FF201" s="387"/>
      <c r="FG201" s="387"/>
      <c r="FH201" s="386"/>
      <c r="FI201" s="387"/>
      <c r="FJ201" s="386"/>
      <c r="FK201" s="386"/>
      <c r="FL201" s="386"/>
      <c r="FM201" s="386"/>
      <c r="FN201" s="386"/>
      <c r="FO201" s="987"/>
      <c r="FP201" s="387"/>
      <c r="FQ201" s="386"/>
      <c r="FR201" s="387"/>
      <c r="FS201" s="387"/>
      <c r="FT201" s="386"/>
      <c r="FU201" s="387"/>
      <c r="FV201" s="386"/>
      <c r="FW201" s="386"/>
      <c r="FX201" s="386"/>
      <c r="FY201" s="386"/>
      <c r="FZ201" s="386"/>
      <c r="GA201" s="987"/>
      <c r="GB201" s="109"/>
      <c r="GC201" s="2214">
        <f t="shared" si="154"/>
        <v>49164.72</v>
      </c>
      <c r="GD201" s="387">
        <f t="shared" si="154"/>
        <v>54244.63</v>
      </c>
      <c r="GE201" s="387">
        <f t="shared" si="154"/>
        <v>48015.520000000004</v>
      </c>
      <c r="GF201" s="387">
        <f t="shared" si="154"/>
        <v>50207.7</v>
      </c>
      <c r="GG201" s="387">
        <f t="shared" si="154"/>
        <v>55358.89</v>
      </c>
      <c r="GH201" s="387">
        <f t="shared" si="154"/>
        <v>53860.049999999988</v>
      </c>
      <c r="GI201" s="386">
        <f t="shared" si="154"/>
        <v>49863.340000000004</v>
      </c>
      <c r="GJ201" s="386">
        <f t="shared" si="154"/>
        <v>53558.210000000006</v>
      </c>
      <c r="GK201" s="386">
        <f t="shared" si="154"/>
        <v>52953.899999999994</v>
      </c>
      <c r="GL201" s="386">
        <f t="shared" si="154"/>
        <v>52387.95</v>
      </c>
      <c r="GM201" s="386">
        <f t="shared" si="154"/>
        <v>58816.540000000008</v>
      </c>
      <c r="GN201" s="987">
        <f t="shared" si="154"/>
        <v>52131.71</v>
      </c>
      <c r="GO201" s="1036">
        <f t="shared" si="155"/>
        <v>4842.3500000000004</v>
      </c>
      <c r="GP201" s="387">
        <f t="shared" si="155"/>
        <v>5478.4899999999989</v>
      </c>
      <c r="GQ201" s="387">
        <f t="shared" si="155"/>
        <v>4029.5899999999997</v>
      </c>
      <c r="GR201" s="387">
        <f t="shared" si="155"/>
        <v>4575.5499999999993</v>
      </c>
      <c r="GS201" s="387">
        <f t="shared" si="155"/>
        <v>5598.1399999999994</v>
      </c>
      <c r="GT201" s="387">
        <f t="shared" si="155"/>
        <v>5353.71</v>
      </c>
      <c r="GU201" s="386">
        <f t="shared" si="155"/>
        <v>4320.6099999999997</v>
      </c>
      <c r="GV201" s="386">
        <f t="shared" si="155"/>
        <v>3918.4700000000003</v>
      </c>
      <c r="GW201" s="386">
        <f t="shared" si="155"/>
        <v>4795.920000000001</v>
      </c>
      <c r="GX201" s="386">
        <f t="shared" si="155"/>
        <v>5179.8599999999997</v>
      </c>
      <c r="GY201" s="386">
        <f t="shared" si="155"/>
        <v>6368.31</v>
      </c>
      <c r="GZ201" s="987">
        <f t="shared" si="155"/>
        <v>6345.65</v>
      </c>
      <c r="HB201" s="387"/>
      <c r="HC201" s="386"/>
      <c r="HD201" s="387"/>
      <c r="HE201" s="387"/>
      <c r="HF201" s="386"/>
      <c r="HG201" s="387"/>
      <c r="HH201" s="386"/>
      <c r="HI201" s="386"/>
      <c r="HJ201" s="386"/>
      <c r="HK201" s="386"/>
      <c r="HL201" s="386"/>
      <c r="HM201" s="987"/>
    </row>
    <row r="202" spans="1:221">
      <c r="A202" s="326" t="s">
        <v>900</v>
      </c>
      <c r="B202" s="326" t="s">
        <v>901</v>
      </c>
      <c r="C202" s="326" t="s">
        <v>2401</v>
      </c>
      <c r="D202" s="1036" t="s">
        <v>2154</v>
      </c>
      <c r="E202" s="387" t="s">
        <v>2154</v>
      </c>
      <c r="F202" s="387" t="s">
        <v>2154</v>
      </c>
      <c r="G202" s="387" t="s">
        <v>2154</v>
      </c>
      <c r="H202" s="387" t="s">
        <v>2154</v>
      </c>
      <c r="I202" s="387" t="s">
        <v>2154</v>
      </c>
      <c r="J202" s="387" t="s">
        <v>2154</v>
      </c>
      <c r="K202" s="387" t="s">
        <v>2154</v>
      </c>
      <c r="L202" s="387" t="s">
        <v>2154</v>
      </c>
      <c r="M202" s="387" t="s">
        <v>2154</v>
      </c>
      <c r="N202" s="387" t="s">
        <v>2154</v>
      </c>
      <c r="O202" s="988" t="s">
        <v>2154</v>
      </c>
      <c r="P202" s="387" t="s">
        <v>2154</v>
      </c>
      <c r="Q202" s="387" t="s">
        <v>2154</v>
      </c>
      <c r="R202" s="387" t="s">
        <v>2154</v>
      </c>
      <c r="S202" s="387" t="s">
        <v>2154</v>
      </c>
      <c r="T202" s="387" t="s">
        <v>2154</v>
      </c>
      <c r="U202" s="387" t="s">
        <v>2154</v>
      </c>
      <c r="V202" s="387" t="s">
        <v>2154</v>
      </c>
      <c r="W202" s="387" t="s">
        <v>2154</v>
      </c>
      <c r="X202" s="387" t="s">
        <v>2154</v>
      </c>
      <c r="Y202" s="387" t="s">
        <v>2154</v>
      </c>
      <c r="Z202" s="387" t="s">
        <v>2154</v>
      </c>
      <c r="AA202" s="988" t="s">
        <v>2154</v>
      </c>
      <c r="AB202" s="387"/>
      <c r="AC202" s="387"/>
      <c r="AD202" s="387"/>
      <c r="AE202" s="387"/>
      <c r="AF202" s="387"/>
      <c r="AG202" s="387"/>
      <c r="AH202" s="387"/>
      <c r="AI202" s="387"/>
      <c r="AJ202" s="387"/>
      <c r="AK202" s="387"/>
      <c r="AL202" s="387"/>
      <c r="AM202" s="988"/>
      <c r="AN202" s="387"/>
      <c r="AO202" s="387"/>
      <c r="AP202" s="387"/>
      <c r="AQ202" s="387"/>
      <c r="AR202" s="387"/>
      <c r="AS202" s="387"/>
      <c r="AT202" s="387"/>
      <c r="AU202" s="387"/>
      <c r="AV202" s="387"/>
      <c r="AW202" s="387"/>
      <c r="AX202" s="387"/>
      <c r="AY202" s="988"/>
      <c r="AZ202" s="387"/>
      <c r="BA202" s="387"/>
      <c r="BB202" s="387"/>
      <c r="BC202" s="387"/>
      <c r="BD202" s="387"/>
      <c r="BE202" s="387"/>
      <c r="BF202" s="387"/>
      <c r="BG202" s="387"/>
      <c r="BH202" s="387"/>
      <c r="BI202" s="387"/>
      <c r="BJ202" s="387"/>
      <c r="BK202" s="988"/>
      <c r="BL202" s="387"/>
      <c r="BM202" s="387"/>
      <c r="BN202" s="387"/>
      <c r="BO202" s="387"/>
      <c r="BP202" s="387"/>
      <c r="BQ202" s="387"/>
      <c r="BR202" s="387"/>
      <c r="BS202" s="387"/>
      <c r="BT202" s="387"/>
      <c r="BU202" s="387"/>
      <c r="BV202" s="387"/>
      <c r="BW202" s="988"/>
      <c r="BX202" s="387"/>
      <c r="BY202" s="387"/>
      <c r="BZ202" s="387"/>
      <c r="CA202" s="387"/>
      <c r="CB202" s="387"/>
      <c r="CC202" s="387"/>
      <c r="CD202" s="387"/>
      <c r="CE202" s="387"/>
      <c r="CF202" s="387"/>
      <c r="CG202" s="387"/>
      <c r="CH202" s="387"/>
      <c r="CI202" s="988"/>
      <c r="CJ202" s="387"/>
      <c r="CK202" s="387"/>
      <c r="CL202" s="387"/>
      <c r="CM202" s="387"/>
      <c r="CN202" s="387"/>
      <c r="CO202" s="387"/>
      <c r="CP202" s="387"/>
      <c r="CQ202" s="387"/>
      <c r="CR202" s="387"/>
      <c r="CS202" s="387"/>
      <c r="CT202" s="387"/>
      <c r="CU202" s="988"/>
      <c r="CV202" s="387"/>
      <c r="CW202" s="387"/>
      <c r="CX202" s="387"/>
      <c r="CY202" s="387"/>
      <c r="CZ202" s="387"/>
      <c r="DA202" s="387"/>
      <c r="DB202" s="387"/>
      <c r="DC202" s="387"/>
      <c r="DD202" s="387"/>
      <c r="DE202" s="387"/>
      <c r="DF202" s="387"/>
      <c r="DG202" s="988"/>
      <c r="DH202" s="387"/>
      <c r="DI202" s="387"/>
      <c r="DJ202" s="387"/>
      <c r="DK202" s="387"/>
      <c r="DL202" s="387"/>
      <c r="DM202" s="387"/>
      <c r="DN202" s="387"/>
      <c r="DO202" s="387"/>
      <c r="DP202" s="387"/>
      <c r="DQ202" s="387"/>
      <c r="DR202" s="387"/>
      <c r="DS202" s="988"/>
      <c r="DT202" s="387" t="s">
        <v>2154</v>
      </c>
      <c r="DU202" s="387" t="s">
        <v>2154</v>
      </c>
      <c r="DV202" s="387" t="s">
        <v>2154</v>
      </c>
      <c r="DW202" s="387" t="s">
        <v>2154</v>
      </c>
      <c r="DX202" s="387" t="s">
        <v>2154</v>
      </c>
      <c r="DY202" s="387" t="s">
        <v>2154</v>
      </c>
      <c r="DZ202" s="387" t="s">
        <v>2154</v>
      </c>
      <c r="EA202" s="387" t="s">
        <v>2154</v>
      </c>
      <c r="EB202" s="387" t="s">
        <v>2154</v>
      </c>
      <c r="EC202" s="387" t="s">
        <v>2154</v>
      </c>
      <c r="ED202" s="387" t="s">
        <v>2154</v>
      </c>
      <c r="EE202" s="988" t="s">
        <v>2154</v>
      </c>
      <c r="EF202" s="387"/>
      <c r="EG202" s="387"/>
      <c r="EH202" s="387"/>
      <c r="EI202" s="387"/>
      <c r="EJ202" s="387"/>
      <c r="EK202" s="387"/>
      <c r="EL202" s="387"/>
      <c r="EM202" s="387"/>
      <c r="EN202" s="387"/>
      <c r="EO202" s="387"/>
      <c r="EP202" s="387"/>
      <c r="EQ202" s="988"/>
      <c r="ER202" s="387"/>
      <c r="ES202" s="387"/>
      <c r="ET202" s="387"/>
      <c r="EU202" s="387"/>
      <c r="EV202" s="387"/>
      <c r="EW202" s="387"/>
      <c r="EX202" s="387"/>
      <c r="EY202" s="387"/>
      <c r="EZ202" s="387"/>
      <c r="FA202" s="387"/>
      <c r="FB202" s="387"/>
      <c r="FC202" s="988"/>
      <c r="FD202" s="387"/>
      <c r="FE202" s="387"/>
      <c r="FF202" s="387"/>
      <c r="FG202" s="387"/>
      <c r="FH202" s="387"/>
      <c r="FI202" s="387"/>
      <c r="FJ202" s="387"/>
      <c r="FK202" s="387"/>
      <c r="FL202" s="387"/>
      <c r="FM202" s="387"/>
      <c r="FN202" s="387"/>
      <c r="FO202" s="988"/>
      <c r="FP202" s="387"/>
      <c r="FQ202" s="387"/>
      <c r="FR202" s="387"/>
      <c r="FS202" s="387"/>
      <c r="FT202" s="387"/>
      <c r="FU202" s="387"/>
      <c r="FV202" s="387"/>
      <c r="FW202" s="387"/>
      <c r="FX202" s="387"/>
      <c r="FY202" s="387"/>
      <c r="FZ202" s="387"/>
      <c r="GA202" s="988"/>
      <c r="GB202" s="109"/>
      <c r="GC202" s="2214">
        <f t="shared" si="154"/>
        <v>0</v>
      </c>
      <c r="GD202" s="387">
        <f t="shared" si="154"/>
        <v>0</v>
      </c>
      <c r="GE202" s="387">
        <f t="shared" si="154"/>
        <v>0</v>
      </c>
      <c r="GF202" s="387">
        <f t="shared" si="154"/>
        <v>0</v>
      </c>
      <c r="GG202" s="387">
        <f t="shared" si="154"/>
        <v>0</v>
      </c>
      <c r="GH202" s="387">
        <f t="shared" si="154"/>
        <v>0</v>
      </c>
      <c r="GI202" s="387">
        <f t="shared" si="154"/>
        <v>0</v>
      </c>
      <c r="GJ202" s="387">
        <f t="shared" si="154"/>
        <v>0</v>
      </c>
      <c r="GK202" s="387">
        <f t="shared" si="154"/>
        <v>0</v>
      </c>
      <c r="GL202" s="387">
        <f t="shared" si="154"/>
        <v>0</v>
      </c>
      <c r="GM202" s="387">
        <f t="shared" si="154"/>
        <v>0</v>
      </c>
      <c r="GN202" s="988">
        <f t="shared" si="154"/>
        <v>0</v>
      </c>
      <c r="GO202" s="1036">
        <f t="shared" si="155"/>
        <v>0</v>
      </c>
      <c r="GP202" s="387">
        <f t="shared" si="155"/>
        <v>0</v>
      </c>
      <c r="GQ202" s="387">
        <f t="shared" si="155"/>
        <v>0</v>
      </c>
      <c r="GR202" s="387">
        <f t="shared" si="155"/>
        <v>0</v>
      </c>
      <c r="GS202" s="387">
        <f t="shared" si="155"/>
        <v>0</v>
      </c>
      <c r="GT202" s="387">
        <f t="shared" si="155"/>
        <v>0</v>
      </c>
      <c r="GU202" s="387">
        <f t="shared" si="155"/>
        <v>0</v>
      </c>
      <c r="GV202" s="387">
        <f t="shared" si="155"/>
        <v>0</v>
      </c>
      <c r="GW202" s="387">
        <f t="shared" si="155"/>
        <v>0</v>
      </c>
      <c r="GX202" s="387">
        <f t="shared" si="155"/>
        <v>0</v>
      </c>
      <c r="GY202" s="387">
        <f t="shared" si="155"/>
        <v>0</v>
      </c>
      <c r="GZ202" s="988">
        <f t="shared" si="155"/>
        <v>0</v>
      </c>
      <c r="HB202" s="387"/>
      <c r="HC202" s="387"/>
      <c r="HD202" s="387"/>
      <c r="HE202" s="387"/>
      <c r="HF202" s="387"/>
      <c r="HG202" s="387"/>
      <c r="HH202" s="387"/>
      <c r="HI202" s="387"/>
      <c r="HJ202" s="387"/>
      <c r="HK202" s="387"/>
      <c r="HL202" s="387"/>
      <c r="HM202" s="988"/>
    </row>
    <row r="203" spans="1:221">
      <c r="A203" s="326" t="s">
        <v>900</v>
      </c>
      <c r="B203" s="326" t="s">
        <v>901</v>
      </c>
      <c r="C203" s="326" t="s">
        <v>2402</v>
      </c>
      <c r="D203" s="1036">
        <v>34356.9</v>
      </c>
      <c r="E203" s="387">
        <v>37930.979999999996</v>
      </c>
      <c r="F203" s="387">
        <v>38475.090000000004</v>
      </c>
      <c r="G203" s="387">
        <v>38115.630000000005</v>
      </c>
      <c r="H203" s="387">
        <v>42515.85</v>
      </c>
      <c r="I203" s="387">
        <v>41163.779999999992</v>
      </c>
      <c r="J203" s="387">
        <v>38688.170000000006</v>
      </c>
      <c r="K203" s="387">
        <v>41575.700000000004</v>
      </c>
      <c r="L203" s="387">
        <v>37182.029999999992</v>
      </c>
      <c r="M203" s="387">
        <v>36016.769999999997</v>
      </c>
      <c r="N203" s="387">
        <v>40267.930000000008</v>
      </c>
      <c r="O203" s="988">
        <v>36466.92</v>
      </c>
      <c r="P203" s="387">
        <v>9965.4700000000012</v>
      </c>
      <c r="Q203" s="386">
        <v>10835.16</v>
      </c>
      <c r="R203" s="387">
        <v>5510.84</v>
      </c>
      <c r="S203" s="387">
        <v>7516.5199999999995</v>
      </c>
      <c r="T203" s="386">
        <v>7244.9</v>
      </c>
      <c r="U203" s="387">
        <v>7342.5599999999995</v>
      </c>
      <c r="V203" s="386">
        <v>6854.56</v>
      </c>
      <c r="W203" s="386">
        <v>8064.0399999999991</v>
      </c>
      <c r="X203" s="386">
        <v>10975.95</v>
      </c>
      <c r="Y203" s="386">
        <v>11191.32</v>
      </c>
      <c r="Z203" s="386">
        <v>12180.3</v>
      </c>
      <c r="AA203" s="987">
        <v>9319.14</v>
      </c>
      <c r="AB203" s="387"/>
      <c r="AC203" s="386"/>
      <c r="AD203" s="387"/>
      <c r="AE203" s="387"/>
      <c r="AF203" s="386"/>
      <c r="AG203" s="387"/>
      <c r="AH203" s="386"/>
      <c r="AI203" s="386"/>
      <c r="AJ203" s="386"/>
      <c r="AK203" s="386"/>
      <c r="AL203" s="386"/>
      <c r="AM203" s="987"/>
      <c r="AN203" s="387"/>
      <c r="AO203" s="386"/>
      <c r="AP203" s="387"/>
      <c r="AQ203" s="387"/>
      <c r="AR203" s="386"/>
      <c r="AS203" s="387"/>
      <c r="AT203" s="386"/>
      <c r="AU203" s="386"/>
      <c r="AV203" s="386"/>
      <c r="AW203" s="386"/>
      <c r="AX203" s="386"/>
      <c r="AY203" s="987"/>
      <c r="AZ203" s="387"/>
      <c r="BA203" s="386"/>
      <c r="BB203" s="387"/>
      <c r="BC203" s="387"/>
      <c r="BD203" s="386"/>
      <c r="BE203" s="387"/>
      <c r="BF203" s="386"/>
      <c r="BG203" s="386"/>
      <c r="BH203" s="386"/>
      <c r="BI203" s="386"/>
      <c r="BJ203" s="386"/>
      <c r="BK203" s="987"/>
      <c r="BL203" s="387"/>
      <c r="BM203" s="386"/>
      <c r="BN203" s="387"/>
      <c r="BO203" s="387"/>
      <c r="BP203" s="386"/>
      <c r="BQ203" s="387"/>
      <c r="BR203" s="386"/>
      <c r="BS203" s="386"/>
      <c r="BT203" s="386"/>
      <c r="BU203" s="386"/>
      <c r="BV203" s="386"/>
      <c r="BW203" s="987"/>
      <c r="BX203" s="387"/>
      <c r="BY203" s="386"/>
      <c r="BZ203" s="387"/>
      <c r="CA203" s="387"/>
      <c r="CB203" s="386"/>
      <c r="CC203" s="387"/>
      <c r="CD203" s="386"/>
      <c r="CE203" s="386"/>
      <c r="CF203" s="386"/>
      <c r="CG203" s="386"/>
      <c r="CH203" s="386"/>
      <c r="CI203" s="987"/>
      <c r="CJ203" s="387"/>
      <c r="CK203" s="386"/>
      <c r="CL203" s="387"/>
      <c r="CM203" s="387"/>
      <c r="CN203" s="386"/>
      <c r="CO203" s="387"/>
      <c r="CP203" s="386"/>
      <c r="CQ203" s="386"/>
      <c r="CR203" s="386"/>
      <c r="CS203" s="386"/>
      <c r="CT203" s="386"/>
      <c r="CU203" s="987"/>
      <c r="CV203" s="387"/>
      <c r="CW203" s="386"/>
      <c r="CX203" s="387"/>
      <c r="CY203" s="387"/>
      <c r="CZ203" s="386"/>
      <c r="DA203" s="387"/>
      <c r="DB203" s="386"/>
      <c r="DC203" s="386"/>
      <c r="DD203" s="386"/>
      <c r="DE203" s="386"/>
      <c r="DF203" s="386"/>
      <c r="DG203" s="987"/>
      <c r="DH203" s="387"/>
      <c r="DI203" s="386"/>
      <c r="DJ203" s="387"/>
      <c r="DK203" s="387"/>
      <c r="DL203" s="386"/>
      <c r="DM203" s="387"/>
      <c r="DN203" s="386"/>
      <c r="DO203" s="386"/>
      <c r="DP203" s="386"/>
      <c r="DQ203" s="386"/>
      <c r="DR203" s="386"/>
      <c r="DS203" s="987"/>
      <c r="DT203" s="387">
        <v>4842.3500000000004</v>
      </c>
      <c r="DU203" s="387">
        <v>5478.4899999999989</v>
      </c>
      <c r="DV203" s="387">
        <v>4029.5899999999997</v>
      </c>
      <c r="DW203" s="387">
        <v>4575.5499999999993</v>
      </c>
      <c r="DX203" s="387">
        <v>5598.1399999999994</v>
      </c>
      <c r="DY203" s="387">
        <v>5353.71</v>
      </c>
      <c r="DZ203" s="386">
        <v>4320.6099999999997</v>
      </c>
      <c r="EA203" s="386">
        <v>3918.4700000000003</v>
      </c>
      <c r="EB203" s="386">
        <v>4795.920000000001</v>
      </c>
      <c r="EC203" s="386">
        <v>5179.8599999999997</v>
      </c>
      <c r="ED203" s="386">
        <v>6368.31</v>
      </c>
      <c r="EE203" s="987">
        <v>6345.65</v>
      </c>
      <c r="EF203" s="387"/>
      <c r="EG203" s="386"/>
      <c r="EH203" s="387"/>
      <c r="EI203" s="387"/>
      <c r="EJ203" s="386"/>
      <c r="EK203" s="387"/>
      <c r="EL203" s="386"/>
      <c r="EM203" s="386"/>
      <c r="EN203" s="386"/>
      <c r="EO203" s="386"/>
      <c r="EP203" s="386"/>
      <c r="EQ203" s="987"/>
      <c r="ER203" s="387"/>
      <c r="ES203" s="386"/>
      <c r="ET203" s="387"/>
      <c r="EU203" s="387"/>
      <c r="EV203" s="386"/>
      <c r="EW203" s="387"/>
      <c r="EX203" s="386"/>
      <c r="EY203" s="386"/>
      <c r="EZ203" s="386"/>
      <c r="FA203" s="386"/>
      <c r="FB203" s="386"/>
      <c r="FC203" s="987"/>
      <c r="FD203" s="387"/>
      <c r="FE203" s="386"/>
      <c r="FF203" s="387"/>
      <c r="FG203" s="387"/>
      <c r="FH203" s="386"/>
      <c r="FI203" s="387"/>
      <c r="FJ203" s="386"/>
      <c r="FK203" s="386"/>
      <c r="FL203" s="386"/>
      <c r="FM203" s="386"/>
      <c r="FN203" s="386"/>
      <c r="FO203" s="987"/>
      <c r="FP203" s="387"/>
      <c r="FQ203" s="386"/>
      <c r="FR203" s="387"/>
      <c r="FS203" s="387"/>
      <c r="FT203" s="386"/>
      <c r="FU203" s="387"/>
      <c r="FV203" s="386"/>
      <c r="FW203" s="386"/>
      <c r="FX203" s="386"/>
      <c r="FY203" s="386"/>
      <c r="FZ203" s="386"/>
      <c r="GA203" s="987"/>
      <c r="GB203" s="109"/>
      <c r="GC203" s="2214">
        <f t="shared" si="154"/>
        <v>49164.72</v>
      </c>
      <c r="GD203" s="387">
        <f t="shared" si="154"/>
        <v>54244.63</v>
      </c>
      <c r="GE203" s="387">
        <f t="shared" si="154"/>
        <v>48015.520000000004</v>
      </c>
      <c r="GF203" s="387">
        <f t="shared" si="154"/>
        <v>50207.7</v>
      </c>
      <c r="GG203" s="387">
        <f t="shared" si="154"/>
        <v>55358.89</v>
      </c>
      <c r="GH203" s="387">
        <f t="shared" si="154"/>
        <v>53860.049999999988</v>
      </c>
      <c r="GI203" s="386">
        <f t="shared" si="154"/>
        <v>49863.340000000004</v>
      </c>
      <c r="GJ203" s="386">
        <f t="shared" si="154"/>
        <v>53558.210000000006</v>
      </c>
      <c r="GK203" s="386">
        <f t="shared" si="154"/>
        <v>52953.899999999994</v>
      </c>
      <c r="GL203" s="386">
        <f t="shared" si="154"/>
        <v>52387.95</v>
      </c>
      <c r="GM203" s="386">
        <f t="shared" si="154"/>
        <v>58816.540000000008</v>
      </c>
      <c r="GN203" s="987">
        <f t="shared" si="154"/>
        <v>52131.71</v>
      </c>
      <c r="GO203" s="1036">
        <f t="shared" si="155"/>
        <v>4842.3500000000004</v>
      </c>
      <c r="GP203" s="387">
        <f t="shared" si="155"/>
        <v>5478.4899999999989</v>
      </c>
      <c r="GQ203" s="387">
        <f t="shared" si="155"/>
        <v>4029.5899999999997</v>
      </c>
      <c r="GR203" s="387">
        <f t="shared" si="155"/>
        <v>4575.5499999999993</v>
      </c>
      <c r="GS203" s="387">
        <f t="shared" si="155"/>
        <v>5598.1399999999994</v>
      </c>
      <c r="GT203" s="387">
        <f t="shared" si="155"/>
        <v>5353.71</v>
      </c>
      <c r="GU203" s="386">
        <f t="shared" si="155"/>
        <v>4320.6099999999997</v>
      </c>
      <c r="GV203" s="386">
        <f t="shared" si="155"/>
        <v>3918.4700000000003</v>
      </c>
      <c r="GW203" s="386">
        <f t="shared" si="155"/>
        <v>4795.920000000001</v>
      </c>
      <c r="GX203" s="386">
        <f t="shared" si="155"/>
        <v>5179.8599999999997</v>
      </c>
      <c r="GY203" s="386">
        <f t="shared" si="155"/>
        <v>6368.31</v>
      </c>
      <c r="GZ203" s="987">
        <f t="shared" si="155"/>
        <v>6345.65</v>
      </c>
      <c r="HB203" s="387"/>
      <c r="HC203" s="386"/>
      <c r="HD203" s="387"/>
      <c r="HE203" s="387"/>
      <c r="HF203" s="386"/>
      <c r="HG203" s="387"/>
      <c r="HH203" s="386"/>
      <c r="HI203" s="386"/>
      <c r="HJ203" s="386"/>
      <c r="HK203" s="386"/>
      <c r="HL203" s="386"/>
      <c r="HM203" s="987"/>
    </row>
    <row r="204" spans="1:221">
      <c r="A204" s="326" t="s">
        <v>900</v>
      </c>
      <c r="B204" s="326" t="s">
        <v>901</v>
      </c>
      <c r="C204" s="326" t="s">
        <v>1099</v>
      </c>
      <c r="D204" s="1036">
        <v>21937.09</v>
      </c>
      <c r="E204" s="387">
        <v>15861.369999999999</v>
      </c>
      <c r="F204" s="387">
        <v>14887.76</v>
      </c>
      <c r="G204" s="387">
        <v>14404.98</v>
      </c>
      <c r="H204" s="387">
        <v>14985.560000000001</v>
      </c>
      <c r="I204" s="387">
        <v>15625.42</v>
      </c>
      <c r="J204" s="387">
        <v>20707.68</v>
      </c>
      <c r="K204" s="387">
        <v>18003.62</v>
      </c>
      <c r="L204" s="387">
        <v>13825.78</v>
      </c>
      <c r="M204" s="387">
        <v>13249.850000000002</v>
      </c>
      <c r="N204" s="387">
        <v>16443.09</v>
      </c>
      <c r="O204" s="988">
        <v>14085.68</v>
      </c>
      <c r="P204" s="387">
        <v>7584.33</v>
      </c>
      <c r="Q204" s="386">
        <v>4136.16</v>
      </c>
      <c r="R204" s="387">
        <v>3155.95</v>
      </c>
      <c r="S204" s="387">
        <v>16743.75</v>
      </c>
      <c r="T204" s="386">
        <v>1819.0500000000002</v>
      </c>
      <c r="U204" s="387">
        <v>1834.33</v>
      </c>
      <c r="V204" s="386">
        <v>2185.7800000000002</v>
      </c>
      <c r="W204" s="386">
        <v>2026.57</v>
      </c>
      <c r="X204" s="386">
        <v>2806.33</v>
      </c>
      <c r="Y204" s="386">
        <v>2286.89</v>
      </c>
      <c r="Z204" s="386">
        <v>3940.85</v>
      </c>
      <c r="AA204" s="987">
        <v>3050.67</v>
      </c>
      <c r="AB204" s="387"/>
      <c r="AC204" s="386"/>
      <c r="AD204" s="387"/>
      <c r="AE204" s="387"/>
      <c r="AF204" s="386"/>
      <c r="AG204" s="387"/>
      <c r="AH204" s="386"/>
      <c r="AI204" s="386"/>
      <c r="AJ204" s="386"/>
      <c r="AK204" s="386"/>
      <c r="AL204" s="386"/>
      <c r="AM204" s="987"/>
      <c r="AN204" s="387"/>
      <c r="AO204" s="386"/>
      <c r="AP204" s="387"/>
      <c r="AQ204" s="387"/>
      <c r="AR204" s="386"/>
      <c r="AS204" s="387"/>
      <c r="AT204" s="386"/>
      <c r="AU204" s="386"/>
      <c r="AV204" s="386"/>
      <c r="AW204" s="386"/>
      <c r="AX204" s="386"/>
      <c r="AY204" s="987"/>
      <c r="AZ204" s="387"/>
      <c r="BA204" s="386"/>
      <c r="BB204" s="387"/>
      <c r="BC204" s="387"/>
      <c r="BD204" s="386"/>
      <c r="BE204" s="387"/>
      <c r="BF204" s="386"/>
      <c r="BG204" s="386"/>
      <c r="BH204" s="386"/>
      <c r="BI204" s="386"/>
      <c r="BJ204" s="386"/>
      <c r="BK204" s="987"/>
      <c r="BL204" s="387"/>
      <c r="BM204" s="386"/>
      <c r="BN204" s="387"/>
      <c r="BO204" s="387"/>
      <c r="BP204" s="386"/>
      <c r="BQ204" s="387"/>
      <c r="BR204" s="386"/>
      <c r="BS204" s="386"/>
      <c r="BT204" s="386"/>
      <c r="BU204" s="386"/>
      <c r="BV204" s="386"/>
      <c r="BW204" s="987"/>
      <c r="BX204" s="387"/>
      <c r="BY204" s="386"/>
      <c r="BZ204" s="387"/>
      <c r="CA204" s="387"/>
      <c r="CB204" s="386"/>
      <c r="CC204" s="387"/>
      <c r="CD204" s="386"/>
      <c r="CE204" s="386"/>
      <c r="CF204" s="386"/>
      <c r="CG204" s="386"/>
      <c r="CH204" s="386"/>
      <c r="CI204" s="987"/>
      <c r="CJ204" s="387"/>
      <c r="CK204" s="386"/>
      <c r="CL204" s="387"/>
      <c r="CM204" s="387"/>
      <c r="CN204" s="386"/>
      <c r="CO204" s="387"/>
      <c r="CP204" s="386"/>
      <c r="CQ204" s="386"/>
      <c r="CR204" s="386"/>
      <c r="CS204" s="386"/>
      <c r="CT204" s="386"/>
      <c r="CU204" s="987"/>
      <c r="CV204" s="387"/>
      <c r="CW204" s="386"/>
      <c r="CX204" s="387"/>
      <c r="CY204" s="387"/>
      <c r="CZ204" s="386"/>
      <c r="DA204" s="387"/>
      <c r="DB204" s="386"/>
      <c r="DC204" s="386"/>
      <c r="DD204" s="386"/>
      <c r="DE204" s="386"/>
      <c r="DF204" s="386"/>
      <c r="DG204" s="987"/>
      <c r="DH204" s="387"/>
      <c r="DI204" s="386"/>
      <c r="DJ204" s="387"/>
      <c r="DK204" s="387"/>
      <c r="DL204" s="386"/>
      <c r="DM204" s="387"/>
      <c r="DN204" s="386"/>
      <c r="DO204" s="386"/>
      <c r="DP204" s="386"/>
      <c r="DQ204" s="386"/>
      <c r="DR204" s="386"/>
      <c r="DS204" s="987"/>
      <c r="DT204" s="387">
        <v>2538.59</v>
      </c>
      <c r="DU204" s="387">
        <v>1822.5</v>
      </c>
      <c r="DV204" s="387">
        <v>1453.29</v>
      </c>
      <c r="DW204" s="387">
        <v>1366.65</v>
      </c>
      <c r="DX204" s="387">
        <v>1497.53</v>
      </c>
      <c r="DY204" s="387">
        <v>1593.13</v>
      </c>
      <c r="DZ204" s="386">
        <v>1819.28</v>
      </c>
      <c r="EA204" s="386">
        <v>1550.7200000000003</v>
      </c>
      <c r="EB204" s="386">
        <v>1389.3</v>
      </c>
      <c r="EC204" s="386">
        <v>1303.3999999999999</v>
      </c>
      <c r="ED204" s="386">
        <v>1715.3899999999999</v>
      </c>
      <c r="EE204" s="987">
        <v>1746.41</v>
      </c>
      <c r="EF204" s="387"/>
      <c r="EG204" s="386"/>
      <c r="EH204" s="387"/>
      <c r="EI204" s="387"/>
      <c r="EJ204" s="386"/>
      <c r="EK204" s="387"/>
      <c r="EL204" s="386"/>
      <c r="EM204" s="386"/>
      <c r="EN204" s="386"/>
      <c r="EO204" s="386"/>
      <c r="EP204" s="386"/>
      <c r="EQ204" s="987"/>
      <c r="ER204" s="387"/>
      <c r="ES204" s="386"/>
      <c r="ET204" s="387"/>
      <c r="EU204" s="387"/>
      <c r="EV204" s="386"/>
      <c r="EW204" s="387"/>
      <c r="EX204" s="386"/>
      <c r="EY204" s="386"/>
      <c r="EZ204" s="386"/>
      <c r="FA204" s="386"/>
      <c r="FB204" s="386"/>
      <c r="FC204" s="987"/>
      <c r="FD204" s="387"/>
      <c r="FE204" s="386"/>
      <c r="FF204" s="387"/>
      <c r="FG204" s="387"/>
      <c r="FH204" s="386"/>
      <c r="FI204" s="387"/>
      <c r="FJ204" s="386"/>
      <c r="FK204" s="386"/>
      <c r="FL204" s="386"/>
      <c r="FM204" s="386"/>
      <c r="FN204" s="386"/>
      <c r="FO204" s="987"/>
      <c r="FP204" s="387"/>
      <c r="FQ204" s="386"/>
      <c r="FR204" s="387"/>
      <c r="FS204" s="387"/>
      <c r="FT204" s="386"/>
      <c r="FU204" s="387"/>
      <c r="FV204" s="386"/>
      <c r="FW204" s="386"/>
      <c r="FX204" s="386"/>
      <c r="FY204" s="386"/>
      <c r="FZ204" s="386"/>
      <c r="GA204" s="987"/>
      <c r="GB204" s="109"/>
      <c r="GC204" s="2214">
        <f t="shared" si="154"/>
        <v>32060.01</v>
      </c>
      <c r="GD204" s="387">
        <f t="shared" si="154"/>
        <v>21820.03</v>
      </c>
      <c r="GE204" s="387">
        <f t="shared" si="154"/>
        <v>19497</v>
      </c>
      <c r="GF204" s="387">
        <f t="shared" si="154"/>
        <v>32515.38</v>
      </c>
      <c r="GG204" s="387">
        <f t="shared" si="154"/>
        <v>18302.14</v>
      </c>
      <c r="GH204" s="387">
        <f t="shared" si="154"/>
        <v>19052.88</v>
      </c>
      <c r="GI204" s="386">
        <f t="shared" si="154"/>
        <v>24712.739999999998</v>
      </c>
      <c r="GJ204" s="386">
        <f t="shared" si="154"/>
        <v>21580.91</v>
      </c>
      <c r="GK204" s="386">
        <f t="shared" si="154"/>
        <v>18021.41</v>
      </c>
      <c r="GL204" s="386">
        <f t="shared" si="154"/>
        <v>16840.140000000003</v>
      </c>
      <c r="GM204" s="386">
        <f t="shared" si="154"/>
        <v>22099.329999999998</v>
      </c>
      <c r="GN204" s="987">
        <f t="shared" si="154"/>
        <v>18882.759999999998</v>
      </c>
      <c r="GO204" s="1036">
        <f t="shared" si="155"/>
        <v>2538.59</v>
      </c>
      <c r="GP204" s="387">
        <f t="shared" si="155"/>
        <v>1822.5</v>
      </c>
      <c r="GQ204" s="387">
        <f t="shared" si="155"/>
        <v>1453.29</v>
      </c>
      <c r="GR204" s="387">
        <f t="shared" si="155"/>
        <v>1366.65</v>
      </c>
      <c r="GS204" s="387">
        <f t="shared" si="155"/>
        <v>1497.53</v>
      </c>
      <c r="GT204" s="387">
        <f t="shared" si="155"/>
        <v>1593.13</v>
      </c>
      <c r="GU204" s="386">
        <f t="shared" si="155"/>
        <v>1819.28</v>
      </c>
      <c r="GV204" s="386">
        <f t="shared" si="155"/>
        <v>1550.7200000000003</v>
      </c>
      <c r="GW204" s="386">
        <f t="shared" si="155"/>
        <v>1389.3</v>
      </c>
      <c r="GX204" s="386">
        <f t="shared" si="155"/>
        <v>1303.3999999999999</v>
      </c>
      <c r="GY204" s="386">
        <f t="shared" si="155"/>
        <v>1715.3899999999999</v>
      </c>
      <c r="GZ204" s="987">
        <f t="shared" si="155"/>
        <v>1746.41</v>
      </c>
      <c r="HB204" s="387"/>
      <c r="HC204" s="386"/>
      <c r="HD204" s="387"/>
      <c r="HE204" s="387"/>
      <c r="HF204" s="386"/>
      <c r="HG204" s="387"/>
      <c r="HH204" s="386"/>
      <c r="HI204" s="386"/>
      <c r="HJ204" s="386"/>
      <c r="HK204" s="386"/>
      <c r="HL204" s="386"/>
      <c r="HM204" s="987"/>
    </row>
    <row r="205" spans="1:221">
      <c r="A205" s="326" t="s">
        <v>900</v>
      </c>
      <c r="B205" s="326" t="s">
        <v>901</v>
      </c>
      <c r="C205" s="326" t="s">
        <v>1422</v>
      </c>
      <c r="D205" s="1036">
        <v>56293.990000000005</v>
      </c>
      <c r="E205" s="387">
        <v>53792.349999999991</v>
      </c>
      <c r="F205" s="387">
        <v>53362.850000000006</v>
      </c>
      <c r="G205" s="387">
        <v>52520.61</v>
      </c>
      <c r="H205" s="387">
        <v>57501.41</v>
      </c>
      <c r="I205" s="387">
        <v>56789.19999999999</v>
      </c>
      <c r="J205" s="387">
        <v>59395.850000000006</v>
      </c>
      <c r="K205" s="387">
        <v>59579.320000000007</v>
      </c>
      <c r="L205" s="387">
        <v>51007.80999999999</v>
      </c>
      <c r="M205" s="387">
        <v>49266.619999999995</v>
      </c>
      <c r="N205" s="387">
        <v>56711.020000000004</v>
      </c>
      <c r="O205" s="988">
        <v>50552.6</v>
      </c>
      <c r="P205" s="387">
        <v>17549.800000000003</v>
      </c>
      <c r="Q205" s="386">
        <v>14971.32</v>
      </c>
      <c r="R205" s="387">
        <v>8666.7900000000009</v>
      </c>
      <c r="S205" s="387">
        <v>24260.27</v>
      </c>
      <c r="T205" s="386">
        <v>9063.9500000000007</v>
      </c>
      <c r="U205" s="387">
        <v>9176.89</v>
      </c>
      <c r="V205" s="386">
        <v>9040.34</v>
      </c>
      <c r="W205" s="386">
        <v>10090.609999999999</v>
      </c>
      <c r="X205" s="386">
        <v>13782.28</v>
      </c>
      <c r="Y205" s="386">
        <v>13478.21</v>
      </c>
      <c r="Z205" s="386">
        <v>16121.15</v>
      </c>
      <c r="AA205" s="987">
        <v>12369.81</v>
      </c>
      <c r="AB205" s="387"/>
      <c r="AC205" s="386"/>
      <c r="AD205" s="387"/>
      <c r="AE205" s="387"/>
      <c r="AF205" s="386"/>
      <c r="AG205" s="387"/>
      <c r="AH205" s="386"/>
      <c r="AI205" s="386"/>
      <c r="AJ205" s="386"/>
      <c r="AK205" s="386"/>
      <c r="AL205" s="386"/>
      <c r="AM205" s="987"/>
      <c r="AN205" s="387"/>
      <c r="AO205" s="386"/>
      <c r="AP205" s="387"/>
      <c r="AQ205" s="387"/>
      <c r="AR205" s="386"/>
      <c r="AS205" s="387"/>
      <c r="AT205" s="386"/>
      <c r="AU205" s="386"/>
      <c r="AV205" s="386"/>
      <c r="AW205" s="386"/>
      <c r="AX205" s="386"/>
      <c r="AY205" s="987"/>
      <c r="AZ205" s="387"/>
      <c r="BA205" s="386"/>
      <c r="BB205" s="387"/>
      <c r="BC205" s="387"/>
      <c r="BD205" s="386"/>
      <c r="BE205" s="387"/>
      <c r="BF205" s="386"/>
      <c r="BG205" s="386"/>
      <c r="BH205" s="386"/>
      <c r="BI205" s="386"/>
      <c r="BJ205" s="386"/>
      <c r="BK205" s="987"/>
      <c r="BL205" s="387"/>
      <c r="BM205" s="386"/>
      <c r="BN205" s="387"/>
      <c r="BO205" s="387"/>
      <c r="BP205" s="386"/>
      <c r="BQ205" s="387"/>
      <c r="BR205" s="386"/>
      <c r="BS205" s="386"/>
      <c r="BT205" s="386"/>
      <c r="BU205" s="386"/>
      <c r="BV205" s="386"/>
      <c r="BW205" s="987"/>
      <c r="BX205" s="387"/>
      <c r="BY205" s="386"/>
      <c r="BZ205" s="387"/>
      <c r="CA205" s="387"/>
      <c r="CB205" s="386"/>
      <c r="CC205" s="387"/>
      <c r="CD205" s="386"/>
      <c r="CE205" s="386"/>
      <c r="CF205" s="386"/>
      <c r="CG205" s="386"/>
      <c r="CH205" s="386"/>
      <c r="CI205" s="987"/>
      <c r="CJ205" s="387"/>
      <c r="CK205" s="386"/>
      <c r="CL205" s="387"/>
      <c r="CM205" s="387"/>
      <c r="CN205" s="386"/>
      <c r="CO205" s="387"/>
      <c r="CP205" s="386"/>
      <c r="CQ205" s="386"/>
      <c r="CR205" s="386"/>
      <c r="CS205" s="386"/>
      <c r="CT205" s="386"/>
      <c r="CU205" s="987"/>
      <c r="CV205" s="387"/>
      <c r="CW205" s="386"/>
      <c r="CX205" s="387"/>
      <c r="CY205" s="387"/>
      <c r="CZ205" s="386"/>
      <c r="DA205" s="387"/>
      <c r="DB205" s="386"/>
      <c r="DC205" s="386"/>
      <c r="DD205" s="386"/>
      <c r="DE205" s="386"/>
      <c r="DF205" s="386"/>
      <c r="DG205" s="987"/>
      <c r="DH205" s="387"/>
      <c r="DI205" s="386"/>
      <c r="DJ205" s="387"/>
      <c r="DK205" s="387"/>
      <c r="DL205" s="386"/>
      <c r="DM205" s="387"/>
      <c r="DN205" s="386"/>
      <c r="DO205" s="386"/>
      <c r="DP205" s="386"/>
      <c r="DQ205" s="386"/>
      <c r="DR205" s="386"/>
      <c r="DS205" s="987"/>
      <c r="DT205" s="387">
        <v>7380.9400000000005</v>
      </c>
      <c r="DU205" s="387">
        <v>7300.9899999999989</v>
      </c>
      <c r="DV205" s="387">
        <v>5482.8799999999992</v>
      </c>
      <c r="DW205" s="387">
        <v>5942.1999999999989</v>
      </c>
      <c r="DX205" s="387">
        <v>7095.6699999999992</v>
      </c>
      <c r="DY205" s="387">
        <v>6946.84</v>
      </c>
      <c r="DZ205" s="386">
        <v>6139.8899999999994</v>
      </c>
      <c r="EA205" s="386">
        <v>5469.1900000000005</v>
      </c>
      <c r="EB205" s="386">
        <v>6185.2200000000012</v>
      </c>
      <c r="EC205" s="386">
        <v>6483.2599999999993</v>
      </c>
      <c r="ED205" s="386">
        <v>8083.7000000000007</v>
      </c>
      <c r="EE205" s="987">
        <v>8092.0599999999995</v>
      </c>
      <c r="EF205" s="387"/>
      <c r="EG205" s="386"/>
      <c r="EH205" s="387"/>
      <c r="EI205" s="387"/>
      <c r="EJ205" s="386"/>
      <c r="EK205" s="387"/>
      <c r="EL205" s="386"/>
      <c r="EM205" s="386"/>
      <c r="EN205" s="386"/>
      <c r="EO205" s="386"/>
      <c r="EP205" s="386"/>
      <c r="EQ205" s="987"/>
      <c r="ER205" s="387"/>
      <c r="ES205" s="386"/>
      <c r="ET205" s="387"/>
      <c r="EU205" s="387"/>
      <c r="EV205" s="386"/>
      <c r="EW205" s="387"/>
      <c r="EX205" s="386"/>
      <c r="EY205" s="386"/>
      <c r="EZ205" s="386"/>
      <c r="FA205" s="386"/>
      <c r="FB205" s="386"/>
      <c r="FC205" s="987"/>
      <c r="FD205" s="387"/>
      <c r="FE205" s="386"/>
      <c r="FF205" s="387"/>
      <c r="FG205" s="387"/>
      <c r="FH205" s="386"/>
      <c r="FI205" s="387"/>
      <c r="FJ205" s="386"/>
      <c r="FK205" s="386"/>
      <c r="FL205" s="386"/>
      <c r="FM205" s="386"/>
      <c r="FN205" s="386"/>
      <c r="FO205" s="987"/>
      <c r="FP205" s="387"/>
      <c r="FQ205" s="386"/>
      <c r="FR205" s="387"/>
      <c r="FS205" s="387"/>
      <c r="FT205" s="386"/>
      <c r="FU205" s="387"/>
      <c r="FV205" s="386"/>
      <c r="FW205" s="386"/>
      <c r="FX205" s="386"/>
      <c r="FY205" s="386"/>
      <c r="FZ205" s="386"/>
      <c r="GA205" s="987"/>
      <c r="GB205" s="109"/>
      <c r="GC205" s="2214">
        <f t="shared" si="154"/>
        <v>81224.73000000001</v>
      </c>
      <c r="GD205" s="387">
        <f t="shared" si="154"/>
        <v>76064.659999999989</v>
      </c>
      <c r="GE205" s="387">
        <f t="shared" si="154"/>
        <v>67512.52</v>
      </c>
      <c r="GF205" s="387">
        <f t="shared" si="154"/>
        <v>82723.08</v>
      </c>
      <c r="GG205" s="387">
        <f t="shared" si="154"/>
        <v>73661.03</v>
      </c>
      <c r="GH205" s="387">
        <f t="shared" si="154"/>
        <v>72912.929999999993</v>
      </c>
      <c r="GI205" s="386">
        <f t="shared" si="154"/>
        <v>74576.08</v>
      </c>
      <c r="GJ205" s="386">
        <f t="shared" si="154"/>
        <v>75139.12000000001</v>
      </c>
      <c r="GK205" s="386">
        <f t="shared" si="154"/>
        <v>70975.31</v>
      </c>
      <c r="GL205" s="386">
        <f t="shared" si="154"/>
        <v>69228.09</v>
      </c>
      <c r="GM205" s="386">
        <f t="shared" si="154"/>
        <v>80915.87</v>
      </c>
      <c r="GN205" s="987">
        <f t="shared" si="154"/>
        <v>71014.47</v>
      </c>
      <c r="GO205" s="1036">
        <f t="shared" ref="GO205:GZ214" si="156">SUMPRODUCT(--($DT$6:$GA$6=GO$6),$DT205:$GA205,$DT$278:$GA$278)</f>
        <v>7380.9400000000005</v>
      </c>
      <c r="GP205" s="387">
        <f t="shared" si="156"/>
        <v>7300.9899999999989</v>
      </c>
      <c r="GQ205" s="387">
        <f t="shared" si="156"/>
        <v>5482.8799999999992</v>
      </c>
      <c r="GR205" s="387">
        <f t="shared" si="156"/>
        <v>5942.1999999999989</v>
      </c>
      <c r="GS205" s="387">
        <f t="shared" si="156"/>
        <v>7095.6699999999992</v>
      </c>
      <c r="GT205" s="387">
        <f t="shared" si="156"/>
        <v>6946.84</v>
      </c>
      <c r="GU205" s="386">
        <f t="shared" si="156"/>
        <v>6139.8899999999994</v>
      </c>
      <c r="GV205" s="386">
        <f t="shared" si="156"/>
        <v>5469.1900000000005</v>
      </c>
      <c r="GW205" s="386">
        <f t="shared" si="156"/>
        <v>6185.2200000000012</v>
      </c>
      <c r="GX205" s="386">
        <f t="shared" si="156"/>
        <v>6483.2599999999993</v>
      </c>
      <c r="GY205" s="386">
        <f t="shared" si="156"/>
        <v>8083.7000000000007</v>
      </c>
      <c r="GZ205" s="987">
        <f t="shared" si="156"/>
        <v>8092.0599999999995</v>
      </c>
      <c r="HB205" s="387"/>
      <c r="HC205" s="386"/>
      <c r="HD205" s="387"/>
      <c r="HE205" s="387"/>
      <c r="HF205" s="386"/>
      <c r="HG205" s="387"/>
      <c r="HH205" s="386"/>
      <c r="HI205" s="386"/>
      <c r="HJ205" s="386"/>
      <c r="HK205" s="386"/>
      <c r="HL205" s="386"/>
      <c r="HM205" s="987"/>
    </row>
    <row r="206" spans="1:221">
      <c r="A206" s="2239" t="s">
        <v>900</v>
      </c>
      <c r="B206" s="2239" t="s">
        <v>901</v>
      </c>
      <c r="C206" s="2239" t="s">
        <v>1423</v>
      </c>
      <c r="D206" s="1179">
        <v>25239.86</v>
      </c>
      <c r="E206" s="2240">
        <v>23212.14</v>
      </c>
      <c r="F206" s="2240">
        <v>19547.03</v>
      </c>
      <c r="G206" s="2240">
        <v>18716.189999999999</v>
      </c>
      <c r="H206" s="2240">
        <v>21660.62</v>
      </c>
      <c r="I206" s="2240">
        <v>23384.59</v>
      </c>
      <c r="J206" s="2240">
        <v>19658.36</v>
      </c>
      <c r="K206" s="2240">
        <v>24075.439999999999</v>
      </c>
      <c r="L206" s="2240">
        <v>27718.34</v>
      </c>
      <c r="M206" s="2240">
        <v>27833.69</v>
      </c>
      <c r="N206" s="2240">
        <v>23267.3</v>
      </c>
      <c r="O206" s="2241">
        <v>20651.330000000002</v>
      </c>
      <c r="P206" s="2240">
        <v>2274.02</v>
      </c>
      <c r="Q206" s="2240">
        <v>5475.48</v>
      </c>
      <c r="R206" s="2240">
        <v>244.34</v>
      </c>
      <c r="S206" s="2240">
        <v>3420.72</v>
      </c>
      <c r="T206" s="2240">
        <v>7574.54</v>
      </c>
      <c r="U206" s="2240">
        <v>2910.98</v>
      </c>
      <c r="V206" s="2240">
        <v>5892.38</v>
      </c>
      <c r="W206" s="2240">
        <v>5130.6000000000004</v>
      </c>
      <c r="X206" s="2240">
        <v>4874.09</v>
      </c>
      <c r="Y206" s="2240">
        <v>3434.9</v>
      </c>
      <c r="Z206" s="2240">
        <v>3691.43</v>
      </c>
      <c r="AA206" s="2241">
        <v>6231.73</v>
      </c>
      <c r="AB206" s="2240"/>
      <c r="AC206" s="2240"/>
      <c r="AD206" s="2240"/>
      <c r="AE206" s="2240"/>
      <c r="AF206" s="2240"/>
      <c r="AG206" s="2240"/>
      <c r="AH206" s="2240"/>
      <c r="AI206" s="2240"/>
      <c r="AJ206" s="2240"/>
      <c r="AK206" s="2240"/>
      <c r="AL206" s="2240"/>
      <c r="AM206" s="2241"/>
      <c r="AN206" s="2240"/>
      <c r="AO206" s="2240"/>
      <c r="AP206" s="2240"/>
      <c r="AQ206" s="2240"/>
      <c r="AR206" s="2240"/>
      <c r="AS206" s="2240"/>
      <c r="AT206" s="2240"/>
      <c r="AU206" s="2240"/>
      <c r="AV206" s="2240"/>
      <c r="AW206" s="2240"/>
      <c r="AX206" s="2240"/>
      <c r="AY206" s="2241"/>
      <c r="AZ206" s="2240"/>
      <c r="BA206" s="2240"/>
      <c r="BB206" s="2240"/>
      <c r="BC206" s="2240"/>
      <c r="BD206" s="2240"/>
      <c r="BE206" s="2240"/>
      <c r="BF206" s="2240"/>
      <c r="BG206" s="2240"/>
      <c r="BH206" s="2240"/>
      <c r="BI206" s="2240"/>
      <c r="BJ206" s="2240"/>
      <c r="BK206" s="2241"/>
      <c r="BL206" s="2240"/>
      <c r="BM206" s="2240"/>
      <c r="BN206" s="2240"/>
      <c r="BO206" s="2240"/>
      <c r="BP206" s="2240"/>
      <c r="BQ206" s="2240"/>
      <c r="BR206" s="2240"/>
      <c r="BS206" s="2240"/>
      <c r="BT206" s="2240"/>
      <c r="BU206" s="2240"/>
      <c r="BV206" s="2240"/>
      <c r="BW206" s="2241"/>
      <c r="BX206" s="2240"/>
      <c r="BY206" s="2240"/>
      <c r="BZ206" s="2240"/>
      <c r="CA206" s="2240"/>
      <c r="CB206" s="2240"/>
      <c r="CC206" s="2240"/>
      <c r="CD206" s="2240"/>
      <c r="CE206" s="2240"/>
      <c r="CF206" s="2240"/>
      <c r="CG206" s="2240"/>
      <c r="CH206" s="2240"/>
      <c r="CI206" s="2241"/>
      <c r="CJ206" s="2240"/>
      <c r="CK206" s="2240"/>
      <c r="CL206" s="2240"/>
      <c r="CM206" s="2240"/>
      <c r="CN206" s="2240"/>
      <c r="CO206" s="2240"/>
      <c r="CP206" s="2240"/>
      <c r="CQ206" s="2240"/>
      <c r="CR206" s="2240"/>
      <c r="CS206" s="2240"/>
      <c r="CT206" s="2240"/>
      <c r="CU206" s="2241"/>
      <c r="CV206" s="2240"/>
      <c r="CW206" s="2240"/>
      <c r="CX206" s="2240"/>
      <c r="CY206" s="2240"/>
      <c r="CZ206" s="2240"/>
      <c r="DA206" s="2240"/>
      <c r="DB206" s="2240"/>
      <c r="DC206" s="2240"/>
      <c r="DD206" s="2240"/>
      <c r="DE206" s="2240"/>
      <c r="DF206" s="2240"/>
      <c r="DG206" s="2241"/>
      <c r="DH206" s="2240"/>
      <c r="DI206" s="2240"/>
      <c r="DJ206" s="2240"/>
      <c r="DK206" s="2240"/>
      <c r="DL206" s="2240"/>
      <c r="DM206" s="2240"/>
      <c r="DN206" s="2240"/>
      <c r="DO206" s="2240"/>
      <c r="DP206" s="2240"/>
      <c r="DQ206" s="2240"/>
      <c r="DR206" s="2240"/>
      <c r="DS206" s="2241"/>
      <c r="DT206" s="2240">
        <v>9654.26</v>
      </c>
      <c r="DU206" s="2240">
        <v>8432.56</v>
      </c>
      <c r="DV206" s="2240">
        <v>9409.92</v>
      </c>
      <c r="DW206" s="2240">
        <v>2518.4</v>
      </c>
      <c r="DX206" s="2240">
        <v>5450.48</v>
      </c>
      <c r="DY206" s="2240">
        <v>5693.68</v>
      </c>
      <c r="DZ206" s="2240">
        <v>-5802.13</v>
      </c>
      <c r="EA206" s="2240">
        <v>5387.13</v>
      </c>
      <c r="EB206" s="2240">
        <v>6719.78</v>
      </c>
      <c r="EC206" s="2240">
        <v>6744.78</v>
      </c>
      <c r="ED206" s="2240">
        <v>2615.3000000000002</v>
      </c>
      <c r="EE206" s="2241">
        <v>7001.31</v>
      </c>
      <c r="EF206" s="2240"/>
      <c r="EG206" s="2240"/>
      <c r="EH206" s="2240"/>
      <c r="EI206" s="2240"/>
      <c r="EJ206" s="2240"/>
      <c r="EK206" s="2240"/>
      <c r="EL206" s="2240"/>
      <c r="EM206" s="2240"/>
      <c r="EN206" s="2240"/>
      <c r="EO206" s="2240"/>
      <c r="EP206" s="2240"/>
      <c r="EQ206" s="2241"/>
      <c r="ER206" s="2240"/>
      <c r="ES206" s="2240"/>
      <c r="ET206" s="2240"/>
      <c r="EU206" s="2240"/>
      <c r="EV206" s="2240"/>
      <c r="EW206" s="2240"/>
      <c r="EX206" s="2240"/>
      <c r="EY206" s="2240"/>
      <c r="EZ206" s="2240"/>
      <c r="FA206" s="2240"/>
      <c r="FB206" s="2240"/>
      <c r="FC206" s="2241"/>
      <c r="FD206" s="2240"/>
      <c r="FE206" s="2240"/>
      <c r="FF206" s="2240"/>
      <c r="FG206" s="2240"/>
      <c r="FH206" s="2240"/>
      <c r="FI206" s="2240"/>
      <c r="FJ206" s="2240"/>
      <c r="FK206" s="2240"/>
      <c r="FL206" s="2240"/>
      <c r="FM206" s="2240"/>
      <c r="FN206" s="2240"/>
      <c r="FO206" s="2241"/>
      <c r="FP206" s="2240"/>
      <c r="FQ206" s="2240"/>
      <c r="FR206" s="2240"/>
      <c r="FS206" s="2240"/>
      <c r="FT206" s="2240"/>
      <c r="FU206" s="2240"/>
      <c r="FV206" s="2240"/>
      <c r="FW206" s="2240"/>
      <c r="FX206" s="2240"/>
      <c r="FY206" s="2240"/>
      <c r="FZ206" s="2240"/>
      <c r="GA206" s="2241"/>
      <c r="GB206" s="376"/>
      <c r="GC206" s="2903">
        <f t="shared" ref="GC206:GN215" si="157">SUMPRODUCT(--($D$6:$DS$6=GC$6),$D206:$DS206,$D$278:$DS$278)</f>
        <v>27513.88</v>
      </c>
      <c r="GD206" s="2904">
        <f t="shared" si="157"/>
        <v>28687.62</v>
      </c>
      <c r="GE206" s="2904">
        <f t="shared" si="157"/>
        <v>19791.37</v>
      </c>
      <c r="GF206" s="2904">
        <f t="shared" si="157"/>
        <v>22136.91</v>
      </c>
      <c r="GG206" s="2904">
        <f t="shared" si="157"/>
        <v>29235.16</v>
      </c>
      <c r="GH206" s="2904">
        <f t="shared" si="157"/>
        <v>26295.57</v>
      </c>
      <c r="GI206" s="2904">
        <f t="shared" si="157"/>
        <v>25550.74</v>
      </c>
      <c r="GJ206" s="2904">
        <f t="shared" si="157"/>
        <v>29206.04</v>
      </c>
      <c r="GK206" s="2904">
        <f t="shared" si="157"/>
        <v>32592.43</v>
      </c>
      <c r="GL206" s="2904">
        <f t="shared" si="157"/>
        <v>31268.59</v>
      </c>
      <c r="GM206" s="2904">
        <f t="shared" si="157"/>
        <v>26958.73</v>
      </c>
      <c r="GN206" s="2905">
        <f t="shared" si="157"/>
        <v>26883.06</v>
      </c>
      <c r="GO206" s="1179">
        <f t="shared" si="156"/>
        <v>9654.26</v>
      </c>
      <c r="GP206" s="2240">
        <f t="shared" si="156"/>
        <v>8432.56</v>
      </c>
      <c r="GQ206" s="2240">
        <f t="shared" si="156"/>
        <v>9409.92</v>
      </c>
      <c r="GR206" s="2240">
        <f t="shared" si="156"/>
        <v>2518.4</v>
      </c>
      <c r="GS206" s="2240">
        <f t="shared" si="156"/>
        <v>5450.48</v>
      </c>
      <c r="GT206" s="2240">
        <f t="shared" si="156"/>
        <v>5693.68</v>
      </c>
      <c r="GU206" s="2240">
        <f t="shared" si="156"/>
        <v>-5802.13</v>
      </c>
      <c r="GV206" s="2240">
        <f t="shared" si="156"/>
        <v>5387.13</v>
      </c>
      <c r="GW206" s="2240">
        <f t="shared" si="156"/>
        <v>6719.78</v>
      </c>
      <c r="GX206" s="2240">
        <f t="shared" si="156"/>
        <v>6744.78</v>
      </c>
      <c r="GY206" s="2240">
        <f t="shared" si="156"/>
        <v>2615.3000000000002</v>
      </c>
      <c r="GZ206" s="2241">
        <f t="shared" si="156"/>
        <v>7001.31</v>
      </c>
      <c r="HB206" s="387"/>
      <c r="HC206" s="387"/>
      <c r="HD206" s="387"/>
      <c r="HE206" s="387"/>
      <c r="HF206" s="387"/>
      <c r="HG206" s="387"/>
      <c r="HH206" s="387"/>
      <c r="HI206" s="387"/>
      <c r="HJ206" s="387"/>
      <c r="HK206" s="387"/>
      <c r="HL206" s="387"/>
      <c r="HM206" s="988"/>
    </row>
    <row r="207" spans="1:221">
      <c r="A207" s="326" t="s">
        <v>900</v>
      </c>
      <c r="B207" s="326" t="s">
        <v>901</v>
      </c>
      <c r="C207" s="326" t="s">
        <v>1424</v>
      </c>
      <c r="D207" s="1036">
        <v>-5140.13</v>
      </c>
      <c r="E207" s="387">
        <v>-5161.79</v>
      </c>
      <c r="F207" s="387">
        <v>-4620.92</v>
      </c>
      <c r="G207" s="387">
        <v>-4424.51</v>
      </c>
      <c r="H207" s="387">
        <v>-5120.57</v>
      </c>
      <c r="I207" s="387">
        <v>-5528.08</v>
      </c>
      <c r="J207" s="387">
        <v>-5171.7800000000007</v>
      </c>
      <c r="K207" s="387">
        <v>-6589.45</v>
      </c>
      <c r="L207" s="387">
        <v>-7586.51</v>
      </c>
      <c r="M207" s="387">
        <v>-7618.07</v>
      </c>
      <c r="N207" s="387">
        <v>-6368.26</v>
      </c>
      <c r="O207" s="988">
        <v>-5652.15</v>
      </c>
      <c r="P207" s="387">
        <v>-446.83</v>
      </c>
      <c r="Q207" s="387">
        <v>-978.75</v>
      </c>
      <c r="R207" s="387">
        <v>-57.76</v>
      </c>
      <c r="S207" s="387">
        <v>-808.66</v>
      </c>
      <c r="T207" s="387">
        <v>-1790.62</v>
      </c>
      <c r="U207" s="387">
        <v>-646.77</v>
      </c>
      <c r="V207" s="387">
        <v>-1475.86</v>
      </c>
      <c r="W207" s="387">
        <v>-1404.25</v>
      </c>
      <c r="X207" s="387">
        <v>-1334.03</v>
      </c>
      <c r="Y207" s="387">
        <v>-912.75</v>
      </c>
      <c r="Z207" s="387">
        <v>-982.97</v>
      </c>
      <c r="AA207" s="988">
        <v>-1685.09</v>
      </c>
      <c r="AB207" s="387"/>
      <c r="AC207" s="387"/>
      <c r="AD207" s="387"/>
      <c r="AE207" s="387"/>
      <c r="AF207" s="387"/>
      <c r="AG207" s="387"/>
      <c r="AH207" s="387"/>
      <c r="AI207" s="387"/>
      <c r="AJ207" s="387"/>
      <c r="AK207" s="387"/>
      <c r="AL207" s="387"/>
      <c r="AM207" s="988"/>
      <c r="AN207" s="387"/>
      <c r="AO207" s="387"/>
      <c r="AP207" s="387"/>
      <c r="AQ207" s="387"/>
      <c r="AR207" s="387"/>
      <c r="AS207" s="387"/>
      <c r="AT207" s="387"/>
      <c r="AU207" s="387"/>
      <c r="AV207" s="387"/>
      <c r="AW207" s="387"/>
      <c r="AX207" s="387"/>
      <c r="AY207" s="988"/>
      <c r="AZ207" s="387"/>
      <c r="BA207" s="387"/>
      <c r="BB207" s="387"/>
      <c r="BC207" s="387"/>
      <c r="BD207" s="387"/>
      <c r="BE207" s="387"/>
      <c r="BF207" s="387"/>
      <c r="BG207" s="387"/>
      <c r="BH207" s="387"/>
      <c r="BI207" s="387"/>
      <c r="BJ207" s="387"/>
      <c r="BK207" s="988"/>
      <c r="BL207" s="387"/>
      <c r="BM207" s="387"/>
      <c r="BN207" s="387"/>
      <c r="BO207" s="387"/>
      <c r="BP207" s="387"/>
      <c r="BQ207" s="387"/>
      <c r="BR207" s="387"/>
      <c r="BS207" s="387"/>
      <c r="BT207" s="387"/>
      <c r="BU207" s="387"/>
      <c r="BV207" s="387"/>
      <c r="BW207" s="988"/>
      <c r="BX207" s="387"/>
      <c r="BY207" s="387"/>
      <c r="BZ207" s="387"/>
      <c r="CA207" s="387"/>
      <c r="CB207" s="387"/>
      <c r="CC207" s="387"/>
      <c r="CD207" s="387"/>
      <c r="CE207" s="387"/>
      <c r="CF207" s="387"/>
      <c r="CG207" s="387"/>
      <c r="CH207" s="387"/>
      <c r="CI207" s="988"/>
      <c r="CJ207" s="387"/>
      <c r="CK207" s="387"/>
      <c r="CL207" s="387"/>
      <c r="CM207" s="387"/>
      <c r="CN207" s="387"/>
      <c r="CO207" s="387"/>
      <c r="CP207" s="387"/>
      <c r="CQ207" s="387"/>
      <c r="CR207" s="387"/>
      <c r="CS207" s="387"/>
      <c r="CT207" s="387"/>
      <c r="CU207" s="988"/>
      <c r="CV207" s="387"/>
      <c r="CW207" s="387"/>
      <c r="CX207" s="387"/>
      <c r="CY207" s="387"/>
      <c r="CZ207" s="387"/>
      <c r="DA207" s="387"/>
      <c r="DB207" s="387"/>
      <c r="DC207" s="387"/>
      <c r="DD207" s="387"/>
      <c r="DE207" s="387"/>
      <c r="DF207" s="387"/>
      <c r="DG207" s="988"/>
      <c r="DH207" s="387"/>
      <c r="DI207" s="387"/>
      <c r="DJ207" s="387"/>
      <c r="DK207" s="387"/>
      <c r="DL207" s="387"/>
      <c r="DM207" s="387"/>
      <c r="DN207" s="387"/>
      <c r="DO207" s="387"/>
      <c r="DP207" s="387"/>
      <c r="DQ207" s="387"/>
      <c r="DR207" s="387"/>
      <c r="DS207" s="988"/>
      <c r="DT207" s="387">
        <v>-1944.93</v>
      </c>
      <c r="DU207" s="387">
        <v>-1940.22</v>
      </c>
      <c r="DV207" s="387">
        <v>-2194.94</v>
      </c>
      <c r="DW207" s="387">
        <v>-577.61</v>
      </c>
      <c r="DX207" s="387">
        <v>-1270.76</v>
      </c>
      <c r="DY207" s="387">
        <v>-1334.17</v>
      </c>
      <c r="DZ207" s="387">
        <v>1706.67</v>
      </c>
      <c r="EA207" s="387">
        <v>-1474.46</v>
      </c>
      <c r="EB207" s="387">
        <v>-1825.52</v>
      </c>
      <c r="EC207" s="387">
        <v>-1825.52</v>
      </c>
      <c r="ED207" s="387">
        <v>-702.12</v>
      </c>
      <c r="EE207" s="988">
        <v>-1895.73</v>
      </c>
      <c r="EF207" s="387"/>
      <c r="EG207" s="387"/>
      <c r="EH207" s="387"/>
      <c r="EI207" s="387"/>
      <c r="EJ207" s="387"/>
      <c r="EK207" s="387"/>
      <c r="EL207" s="387"/>
      <c r="EM207" s="387"/>
      <c r="EN207" s="387"/>
      <c r="EO207" s="387"/>
      <c r="EP207" s="387"/>
      <c r="EQ207" s="988"/>
      <c r="ER207" s="387"/>
      <c r="ES207" s="387"/>
      <c r="ET207" s="387"/>
      <c r="EU207" s="387"/>
      <c r="EV207" s="387"/>
      <c r="EW207" s="387"/>
      <c r="EX207" s="387"/>
      <c r="EY207" s="387"/>
      <c r="EZ207" s="387"/>
      <c r="FA207" s="387"/>
      <c r="FB207" s="387"/>
      <c r="FC207" s="988"/>
      <c r="FD207" s="387"/>
      <c r="FE207" s="387"/>
      <c r="FF207" s="387"/>
      <c r="FG207" s="387"/>
      <c r="FH207" s="387"/>
      <c r="FI207" s="387"/>
      <c r="FJ207" s="387"/>
      <c r="FK207" s="387"/>
      <c r="FL207" s="387"/>
      <c r="FM207" s="387"/>
      <c r="FN207" s="387"/>
      <c r="FO207" s="988"/>
      <c r="FP207" s="387"/>
      <c r="FQ207" s="387"/>
      <c r="FR207" s="387"/>
      <c r="FS207" s="387"/>
      <c r="FT207" s="387"/>
      <c r="FU207" s="387"/>
      <c r="FV207" s="387"/>
      <c r="FW207" s="387"/>
      <c r="FX207" s="387"/>
      <c r="FY207" s="387"/>
      <c r="FZ207" s="387"/>
      <c r="GA207" s="988"/>
      <c r="GB207" s="109"/>
      <c r="GC207" s="2454">
        <f t="shared" si="157"/>
        <v>-5586.96</v>
      </c>
      <c r="GD207" s="2455">
        <f t="shared" si="157"/>
        <v>-6140.54</v>
      </c>
      <c r="GE207" s="2455">
        <f t="shared" si="157"/>
        <v>-4678.68</v>
      </c>
      <c r="GF207" s="2455">
        <f t="shared" si="157"/>
        <v>-5233.17</v>
      </c>
      <c r="GG207" s="2455">
        <f t="shared" si="157"/>
        <v>-6911.19</v>
      </c>
      <c r="GH207" s="2455">
        <f t="shared" si="157"/>
        <v>-6174.85</v>
      </c>
      <c r="GI207" s="2455">
        <f t="shared" si="157"/>
        <v>-6647.64</v>
      </c>
      <c r="GJ207" s="2455">
        <f t="shared" si="157"/>
        <v>-7993.7</v>
      </c>
      <c r="GK207" s="2455">
        <f t="shared" si="157"/>
        <v>-8920.5400000000009</v>
      </c>
      <c r="GL207" s="2455">
        <f t="shared" si="157"/>
        <v>-8530.82</v>
      </c>
      <c r="GM207" s="2455">
        <f t="shared" si="157"/>
        <v>-7351.2300000000005</v>
      </c>
      <c r="GN207" s="2456">
        <f t="shared" si="157"/>
        <v>-7337.24</v>
      </c>
      <c r="GO207" s="1036">
        <f t="shared" si="156"/>
        <v>-1944.93</v>
      </c>
      <c r="GP207" s="387">
        <f t="shared" si="156"/>
        <v>-1940.22</v>
      </c>
      <c r="GQ207" s="387">
        <f t="shared" si="156"/>
        <v>-2194.94</v>
      </c>
      <c r="GR207" s="387">
        <f t="shared" si="156"/>
        <v>-577.61</v>
      </c>
      <c r="GS207" s="387">
        <f t="shared" si="156"/>
        <v>-1270.76</v>
      </c>
      <c r="GT207" s="387">
        <f t="shared" si="156"/>
        <v>-1334.17</v>
      </c>
      <c r="GU207" s="387">
        <f t="shared" si="156"/>
        <v>1706.67</v>
      </c>
      <c r="GV207" s="387">
        <f t="shared" si="156"/>
        <v>-1474.46</v>
      </c>
      <c r="GW207" s="387">
        <f t="shared" si="156"/>
        <v>-1825.52</v>
      </c>
      <c r="GX207" s="387">
        <f t="shared" si="156"/>
        <v>-1825.52</v>
      </c>
      <c r="GY207" s="387">
        <f t="shared" si="156"/>
        <v>-702.12</v>
      </c>
      <c r="GZ207" s="988">
        <f t="shared" si="156"/>
        <v>-1895.73</v>
      </c>
      <c r="HB207" s="387"/>
      <c r="HC207" s="387"/>
      <c r="HD207" s="387"/>
      <c r="HE207" s="387"/>
      <c r="HF207" s="387"/>
      <c r="HG207" s="387"/>
      <c r="HH207" s="387"/>
      <c r="HI207" s="387"/>
      <c r="HJ207" s="387"/>
      <c r="HK207" s="387"/>
      <c r="HL207" s="387"/>
      <c r="HM207" s="988"/>
    </row>
    <row r="208" spans="1:221">
      <c r="A208" s="326" t="s">
        <v>900</v>
      </c>
      <c r="B208" s="326" t="s">
        <v>901</v>
      </c>
      <c r="C208" s="326" t="s">
        <v>1425</v>
      </c>
      <c r="D208" s="1036" t="s">
        <v>2154</v>
      </c>
      <c r="E208" s="387" t="s">
        <v>2154</v>
      </c>
      <c r="F208" s="387" t="s">
        <v>2154</v>
      </c>
      <c r="G208" s="387" t="s">
        <v>2154</v>
      </c>
      <c r="H208" s="387" t="s">
        <v>2154</v>
      </c>
      <c r="I208" s="387" t="s">
        <v>2154</v>
      </c>
      <c r="J208" s="387" t="s">
        <v>2154</v>
      </c>
      <c r="K208" s="387" t="s">
        <v>2154</v>
      </c>
      <c r="L208" s="387" t="s">
        <v>2154</v>
      </c>
      <c r="M208" s="387" t="s">
        <v>2154</v>
      </c>
      <c r="N208" s="387" t="s">
        <v>2154</v>
      </c>
      <c r="O208" s="988" t="s">
        <v>2154</v>
      </c>
      <c r="P208" s="387" t="s">
        <v>2154</v>
      </c>
      <c r="Q208" s="387" t="s">
        <v>2154</v>
      </c>
      <c r="R208" s="387" t="s">
        <v>2154</v>
      </c>
      <c r="S208" s="387" t="s">
        <v>2154</v>
      </c>
      <c r="T208" s="387" t="s">
        <v>2154</v>
      </c>
      <c r="U208" s="387" t="s">
        <v>2154</v>
      </c>
      <c r="V208" s="387" t="s">
        <v>2154</v>
      </c>
      <c r="W208" s="387" t="s">
        <v>2154</v>
      </c>
      <c r="X208" s="387" t="s">
        <v>2154</v>
      </c>
      <c r="Y208" s="387" t="s">
        <v>2154</v>
      </c>
      <c r="Z208" s="387" t="s">
        <v>2154</v>
      </c>
      <c r="AA208" s="988" t="s">
        <v>2154</v>
      </c>
      <c r="AB208" s="387"/>
      <c r="AC208" s="387"/>
      <c r="AD208" s="387"/>
      <c r="AE208" s="387"/>
      <c r="AF208" s="387"/>
      <c r="AG208" s="387"/>
      <c r="AH208" s="387"/>
      <c r="AI208" s="387"/>
      <c r="AJ208" s="387"/>
      <c r="AK208" s="387"/>
      <c r="AL208" s="387"/>
      <c r="AM208" s="988"/>
      <c r="AN208" s="387"/>
      <c r="AO208" s="387"/>
      <c r="AP208" s="387"/>
      <c r="AQ208" s="387"/>
      <c r="AR208" s="387"/>
      <c r="AS208" s="387"/>
      <c r="AT208" s="387"/>
      <c r="AU208" s="387"/>
      <c r="AV208" s="387"/>
      <c r="AW208" s="387"/>
      <c r="AX208" s="387"/>
      <c r="AY208" s="988"/>
      <c r="AZ208" s="387"/>
      <c r="BA208" s="387"/>
      <c r="BB208" s="387"/>
      <c r="BC208" s="387"/>
      <c r="BD208" s="387"/>
      <c r="BE208" s="387"/>
      <c r="BF208" s="387"/>
      <c r="BG208" s="387"/>
      <c r="BH208" s="387"/>
      <c r="BI208" s="387"/>
      <c r="BJ208" s="387"/>
      <c r="BK208" s="988"/>
      <c r="BL208" s="387"/>
      <c r="BM208" s="387"/>
      <c r="BN208" s="387"/>
      <c r="BO208" s="387"/>
      <c r="BP208" s="387"/>
      <c r="BQ208" s="387"/>
      <c r="BR208" s="387"/>
      <c r="BS208" s="387"/>
      <c r="BT208" s="387"/>
      <c r="BU208" s="387"/>
      <c r="BV208" s="387"/>
      <c r="BW208" s="988"/>
      <c r="BX208" s="387"/>
      <c r="BY208" s="387"/>
      <c r="BZ208" s="387"/>
      <c r="CA208" s="387"/>
      <c r="CB208" s="387"/>
      <c r="CC208" s="387"/>
      <c r="CD208" s="387"/>
      <c r="CE208" s="387"/>
      <c r="CF208" s="387"/>
      <c r="CG208" s="387"/>
      <c r="CH208" s="387"/>
      <c r="CI208" s="988"/>
      <c r="CJ208" s="387"/>
      <c r="CK208" s="387"/>
      <c r="CL208" s="387"/>
      <c r="CM208" s="387"/>
      <c r="CN208" s="387"/>
      <c r="CO208" s="387"/>
      <c r="CP208" s="387"/>
      <c r="CQ208" s="387"/>
      <c r="CR208" s="387"/>
      <c r="CS208" s="387"/>
      <c r="CT208" s="387"/>
      <c r="CU208" s="988"/>
      <c r="CV208" s="387"/>
      <c r="CW208" s="387"/>
      <c r="CX208" s="387"/>
      <c r="CY208" s="387"/>
      <c r="CZ208" s="387"/>
      <c r="DA208" s="387"/>
      <c r="DB208" s="387"/>
      <c r="DC208" s="387"/>
      <c r="DD208" s="387"/>
      <c r="DE208" s="387"/>
      <c r="DF208" s="387"/>
      <c r="DG208" s="988"/>
      <c r="DH208" s="387"/>
      <c r="DI208" s="387"/>
      <c r="DJ208" s="387"/>
      <c r="DK208" s="387"/>
      <c r="DL208" s="387"/>
      <c r="DM208" s="387"/>
      <c r="DN208" s="387"/>
      <c r="DO208" s="387"/>
      <c r="DP208" s="387"/>
      <c r="DQ208" s="387"/>
      <c r="DR208" s="387"/>
      <c r="DS208" s="988"/>
      <c r="DT208" s="387" t="s">
        <v>2154</v>
      </c>
      <c r="DU208" s="387" t="s">
        <v>2154</v>
      </c>
      <c r="DV208" s="387" t="s">
        <v>2154</v>
      </c>
      <c r="DW208" s="387" t="s">
        <v>2154</v>
      </c>
      <c r="DX208" s="387" t="s">
        <v>2154</v>
      </c>
      <c r="DY208" s="387" t="s">
        <v>2154</v>
      </c>
      <c r="DZ208" s="387" t="s">
        <v>2154</v>
      </c>
      <c r="EA208" s="387" t="s">
        <v>2154</v>
      </c>
      <c r="EB208" s="387" t="s">
        <v>2154</v>
      </c>
      <c r="EC208" s="387" t="s">
        <v>2154</v>
      </c>
      <c r="ED208" s="387" t="s">
        <v>2154</v>
      </c>
      <c r="EE208" s="988" t="s">
        <v>2154</v>
      </c>
      <c r="EF208" s="387"/>
      <c r="EG208" s="387"/>
      <c r="EH208" s="387"/>
      <c r="EI208" s="387"/>
      <c r="EJ208" s="387"/>
      <c r="EK208" s="387"/>
      <c r="EL208" s="387"/>
      <c r="EM208" s="387"/>
      <c r="EN208" s="387"/>
      <c r="EO208" s="387"/>
      <c r="EP208" s="387"/>
      <c r="EQ208" s="988"/>
      <c r="ER208" s="387"/>
      <c r="ES208" s="387"/>
      <c r="ET208" s="387"/>
      <c r="EU208" s="387"/>
      <c r="EV208" s="387"/>
      <c r="EW208" s="387"/>
      <c r="EX208" s="387"/>
      <c r="EY208" s="387"/>
      <c r="EZ208" s="387"/>
      <c r="FA208" s="387"/>
      <c r="FB208" s="387"/>
      <c r="FC208" s="988"/>
      <c r="FD208" s="387"/>
      <c r="FE208" s="387"/>
      <c r="FF208" s="387"/>
      <c r="FG208" s="387"/>
      <c r="FH208" s="387"/>
      <c r="FI208" s="387"/>
      <c r="FJ208" s="387"/>
      <c r="FK208" s="387"/>
      <c r="FL208" s="387"/>
      <c r="FM208" s="387"/>
      <c r="FN208" s="387"/>
      <c r="FO208" s="988"/>
      <c r="FP208" s="387"/>
      <c r="FQ208" s="387"/>
      <c r="FR208" s="387"/>
      <c r="FS208" s="387"/>
      <c r="FT208" s="387"/>
      <c r="FU208" s="387"/>
      <c r="FV208" s="387"/>
      <c r="FW208" s="387"/>
      <c r="FX208" s="387"/>
      <c r="FY208" s="387"/>
      <c r="FZ208" s="387"/>
      <c r="GA208" s="988"/>
      <c r="GB208" s="109"/>
      <c r="GC208" s="2454">
        <f t="shared" si="157"/>
        <v>0</v>
      </c>
      <c r="GD208" s="2455">
        <f t="shared" si="157"/>
        <v>0</v>
      </c>
      <c r="GE208" s="2455">
        <f t="shared" si="157"/>
        <v>0</v>
      </c>
      <c r="GF208" s="2455">
        <f t="shared" si="157"/>
        <v>0</v>
      </c>
      <c r="GG208" s="2455">
        <f t="shared" si="157"/>
        <v>0</v>
      </c>
      <c r="GH208" s="2455">
        <f t="shared" si="157"/>
        <v>0</v>
      </c>
      <c r="GI208" s="2455">
        <f t="shared" si="157"/>
        <v>0</v>
      </c>
      <c r="GJ208" s="2455">
        <f t="shared" si="157"/>
        <v>0</v>
      </c>
      <c r="GK208" s="2455">
        <f t="shared" si="157"/>
        <v>0</v>
      </c>
      <c r="GL208" s="2455">
        <f t="shared" si="157"/>
        <v>0</v>
      </c>
      <c r="GM208" s="2455">
        <f t="shared" si="157"/>
        <v>0</v>
      </c>
      <c r="GN208" s="2456">
        <f t="shared" si="157"/>
        <v>0</v>
      </c>
      <c r="GO208" s="1036">
        <f t="shared" si="156"/>
        <v>0</v>
      </c>
      <c r="GP208" s="387">
        <f t="shared" si="156"/>
        <v>0</v>
      </c>
      <c r="GQ208" s="387">
        <f t="shared" si="156"/>
        <v>0</v>
      </c>
      <c r="GR208" s="387">
        <f t="shared" si="156"/>
        <v>0</v>
      </c>
      <c r="GS208" s="387">
        <f t="shared" si="156"/>
        <v>0</v>
      </c>
      <c r="GT208" s="387">
        <f t="shared" si="156"/>
        <v>0</v>
      </c>
      <c r="GU208" s="387">
        <f t="shared" si="156"/>
        <v>0</v>
      </c>
      <c r="GV208" s="387">
        <f t="shared" si="156"/>
        <v>0</v>
      </c>
      <c r="GW208" s="387">
        <f t="shared" si="156"/>
        <v>0</v>
      </c>
      <c r="GX208" s="387">
        <f t="shared" si="156"/>
        <v>0</v>
      </c>
      <c r="GY208" s="387">
        <f t="shared" si="156"/>
        <v>0</v>
      </c>
      <c r="GZ208" s="988">
        <f t="shared" si="156"/>
        <v>0</v>
      </c>
      <c r="HB208" s="387"/>
      <c r="HC208" s="387"/>
      <c r="HD208" s="387"/>
      <c r="HE208" s="387"/>
      <c r="HF208" s="387"/>
      <c r="HG208" s="387"/>
      <c r="HH208" s="387"/>
      <c r="HI208" s="387"/>
      <c r="HJ208" s="387"/>
      <c r="HK208" s="387"/>
      <c r="HL208" s="387"/>
      <c r="HM208" s="988"/>
    </row>
    <row r="209" spans="1:221">
      <c r="A209" s="326" t="s">
        <v>900</v>
      </c>
      <c r="B209" s="326" t="s">
        <v>901</v>
      </c>
      <c r="C209" s="326" t="s">
        <v>3360</v>
      </c>
      <c r="D209" s="1036" t="s">
        <v>2154</v>
      </c>
      <c r="E209" s="387" t="s">
        <v>2154</v>
      </c>
      <c r="F209" s="387" t="s">
        <v>2154</v>
      </c>
      <c r="G209" s="387" t="s">
        <v>2154</v>
      </c>
      <c r="H209" s="387" t="s">
        <v>2154</v>
      </c>
      <c r="I209" s="387" t="s">
        <v>2154</v>
      </c>
      <c r="J209" s="387" t="s">
        <v>2154</v>
      </c>
      <c r="K209" s="387" t="s">
        <v>2154</v>
      </c>
      <c r="L209" s="387" t="s">
        <v>2154</v>
      </c>
      <c r="M209" s="387" t="s">
        <v>2154</v>
      </c>
      <c r="N209" s="387" t="s">
        <v>2154</v>
      </c>
      <c r="O209" s="988" t="s">
        <v>2154</v>
      </c>
      <c r="P209" s="387" t="s">
        <v>2154</v>
      </c>
      <c r="Q209" s="387" t="s">
        <v>2154</v>
      </c>
      <c r="R209" s="387" t="s">
        <v>2154</v>
      </c>
      <c r="S209" s="387" t="s">
        <v>2154</v>
      </c>
      <c r="T209" s="387" t="s">
        <v>2154</v>
      </c>
      <c r="U209" s="387" t="s">
        <v>2154</v>
      </c>
      <c r="V209" s="387" t="s">
        <v>2154</v>
      </c>
      <c r="W209" s="387" t="s">
        <v>2154</v>
      </c>
      <c r="X209" s="387" t="s">
        <v>2154</v>
      </c>
      <c r="Y209" s="387" t="s">
        <v>2154</v>
      </c>
      <c r="Z209" s="387" t="s">
        <v>2154</v>
      </c>
      <c r="AA209" s="988" t="s">
        <v>2154</v>
      </c>
      <c r="AB209" s="387"/>
      <c r="AC209" s="387"/>
      <c r="AD209" s="387"/>
      <c r="AE209" s="387"/>
      <c r="AF209" s="387"/>
      <c r="AG209" s="387"/>
      <c r="AH209" s="387"/>
      <c r="AI209" s="387"/>
      <c r="AJ209" s="387"/>
      <c r="AK209" s="387"/>
      <c r="AL209" s="387"/>
      <c r="AM209" s="988"/>
      <c r="AN209" s="387"/>
      <c r="AO209" s="387"/>
      <c r="AP209" s="387"/>
      <c r="AQ209" s="387"/>
      <c r="AR209" s="387"/>
      <c r="AS209" s="387"/>
      <c r="AT209" s="387"/>
      <c r="AU209" s="387"/>
      <c r="AV209" s="387"/>
      <c r="AW209" s="387"/>
      <c r="AX209" s="387"/>
      <c r="AY209" s="988"/>
      <c r="AZ209" s="387"/>
      <c r="BA209" s="387"/>
      <c r="BB209" s="387"/>
      <c r="BC209" s="387"/>
      <c r="BD209" s="387"/>
      <c r="BE209" s="387"/>
      <c r="BF209" s="387"/>
      <c r="BG209" s="387"/>
      <c r="BH209" s="387"/>
      <c r="BI209" s="387"/>
      <c r="BJ209" s="387"/>
      <c r="BK209" s="988"/>
      <c r="BL209" s="387"/>
      <c r="BM209" s="387"/>
      <c r="BN209" s="387"/>
      <c r="BO209" s="387"/>
      <c r="BP209" s="387"/>
      <c r="BQ209" s="387"/>
      <c r="BR209" s="387"/>
      <c r="BS209" s="387"/>
      <c r="BT209" s="387"/>
      <c r="BU209" s="387"/>
      <c r="BV209" s="387"/>
      <c r="BW209" s="988"/>
      <c r="BX209" s="387"/>
      <c r="BY209" s="387"/>
      <c r="BZ209" s="387"/>
      <c r="CA209" s="387"/>
      <c r="CB209" s="387"/>
      <c r="CC209" s="387"/>
      <c r="CD209" s="387"/>
      <c r="CE209" s="387"/>
      <c r="CF209" s="387"/>
      <c r="CG209" s="387"/>
      <c r="CH209" s="387"/>
      <c r="CI209" s="988"/>
      <c r="CJ209" s="387"/>
      <c r="CK209" s="387"/>
      <c r="CL209" s="387"/>
      <c r="CM209" s="387"/>
      <c r="CN209" s="387"/>
      <c r="CO209" s="387"/>
      <c r="CP209" s="387"/>
      <c r="CQ209" s="387"/>
      <c r="CR209" s="387"/>
      <c r="CS209" s="387"/>
      <c r="CT209" s="387"/>
      <c r="CU209" s="988"/>
      <c r="CV209" s="387"/>
      <c r="CW209" s="387"/>
      <c r="CX209" s="387"/>
      <c r="CY209" s="387"/>
      <c r="CZ209" s="387"/>
      <c r="DA209" s="387"/>
      <c r="DB209" s="387"/>
      <c r="DC209" s="387"/>
      <c r="DD209" s="387"/>
      <c r="DE209" s="387"/>
      <c r="DF209" s="387"/>
      <c r="DG209" s="988"/>
      <c r="DH209" s="387"/>
      <c r="DI209" s="387"/>
      <c r="DJ209" s="387"/>
      <c r="DK209" s="387"/>
      <c r="DL209" s="387"/>
      <c r="DM209" s="387"/>
      <c r="DN209" s="387"/>
      <c r="DO209" s="387"/>
      <c r="DP209" s="387"/>
      <c r="DQ209" s="387"/>
      <c r="DR209" s="387"/>
      <c r="DS209" s="988"/>
      <c r="DT209" s="387" t="s">
        <v>2154</v>
      </c>
      <c r="DU209" s="387" t="s">
        <v>2154</v>
      </c>
      <c r="DV209" s="387" t="s">
        <v>2154</v>
      </c>
      <c r="DW209" s="387" t="s">
        <v>2154</v>
      </c>
      <c r="DX209" s="387" t="s">
        <v>2154</v>
      </c>
      <c r="DY209" s="387" t="s">
        <v>2154</v>
      </c>
      <c r="DZ209" s="387" t="s">
        <v>2154</v>
      </c>
      <c r="EA209" s="387" t="s">
        <v>2154</v>
      </c>
      <c r="EB209" s="387" t="s">
        <v>2154</v>
      </c>
      <c r="EC209" s="387" t="s">
        <v>2154</v>
      </c>
      <c r="ED209" s="387" t="s">
        <v>2154</v>
      </c>
      <c r="EE209" s="988" t="s">
        <v>2154</v>
      </c>
      <c r="EF209" s="387"/>
      <c r="EG209" s="387"/>
      <c r="EH209" s="387"/>
      <c r="EI209" s="387"/>
      <c r="EJ209" s="387"/>
      <c r="EK209" s="387"/>
      <c r="EL209" s="387"/>
      <c r="EM209" s="387"/>
      <c r="EN209" s="387"/>
      <c r="EO209" s="387"/>
      <c r="EP209" s="387"/>
      <c r="EQ209" s="988"/>
      <c r="ER209" s="387"/>
      <c r="ES209" s="387"/>
      <c r="ET209" s="387"/>
      <c r="EU209" s="387"/>
      <c r="EV209" s="387"/>
      <c r="EW209" s="387"/>
      <c r="EX209" s="387"/>
      <c r="EY209" s="387"/>
      <c r="EZ209" s="387"/>
      <c r="FA209" s="387"/>
      <c r="FB209" s="387"/>
      <c r="FC209" s="988"/>
      <c r="FD209" s="387"/>
      <c r="FE209" s="387"/>
      <c r="FF209" s="387"/>
      <c r="FG209" s="387"/>
      <c r="FH209" s="387"/>
      <c r="FI209" s="387"/>
      <c r="FJ209" s="387"/>
      <c r="FK209" s="387"/>
      <c r="FL209" s="387"/>
      <c r="FM209" s="387"/>
      <c r="FN209" s="387"/>
      <c r="FO209" s="988"/>
      <c r="FP209" s="387"/>
      <c r="FQ209" s="387"/>
      <c r="FR209" s="387"/>
      <c r="FS209" s="387"/>
      <c r="FT209" s="387"/>
      <c r="FU209" s="387"/>
      <c r="FV209" s="387"/>
      <c r="FW209" s="387"/>
      <c r="FX209" s="387"/>
      <c r="FY209" s="387"/>
      <c r="FZ209" s="387"/>
      <c r="GA209" s="988"/>
      <c r="GB209" s="109"/>
      <c r="GC209" s="2454">
        <f t="shared" si="157"/>
        <v>0</v>
      </c>
      <c r="GD209" s="2455">
        <f t="shared" si="157"/>
        <v>0</v>
      </c>
      <c r="GE209" s="2455">
        <f t="shared" si="157"/>
        <v>0</v>
      </c>
      <c r="GF209" s="2455">
        <f t="shared" si="157"/>
        <v>0</v>
      </c>
      <c r="GG209" s="2455">
        <f t="shared" si="157"/>
        <v>0</v>
      </c>
      <c r="GH209" s="2455">
        <f t="shared" si="157"/>
        <v>0</v>
      </c>
      <c r="GI209" s="2455">
        <f t="shared" si="157"/>
        <v>0</v>
      </c>
      <c r="GJ209" s="2455">
        <f t="shared" si="157"/>
        <v>0</v>
      </c>
      <c r="GK209" s="2455">
        <f t="shared" si="157"/>
        <v>0</v>
      </c>
      <c r="GL209" s="2455">
        <f t="shared" si="157"/>
        <v>0</v>
      </c>
      <c r="GM209" s="2455">
        <f t="shared" si="157"/>
        <v>0</v>
      </c>
      <c r="GN209" s="2456">
        <f t="shared" si="157"/>
        <v>0</v>
      </c>
      <c r="GO209" s="1036">
        <f t="shared" si="156"/>
        <v>0</v>
      </c>
      <c r="GP209" s="387">
        <f t="shared" si="156"/>
        <v>0</v>
      </c>
      <c r="GQ209" s="387">
        <f t="shared" si="156"/>
        <v>0</v>
      </c>
      <c r="GR209" s="387">
        <f t="shared" si="156"/>
        <v>0</v>
      </c>
      <c r="GS209" s="387">
        <f t="shared" si="156"/>
        <v>0</v>
      </c>
      <c r="GT209" s="387">
        <f t="shared" si="156"/>
        <v>0</v>
      </c>
      <c r="GU209" s="387">
        <f t="shared" si="156"/>
        <v>0</v>
      </c>
      <c r="GV209" s="387">
        <f t="shared" si="156"/>
        <v>0</v>
      </c>
      <c r="GW209" s="387">
        <f t="shared" si="156"/>
        <v>0</v>
      </c>
      <c r="GX209" s="387">
        <f t="shared" si="156"/>
        <v>0</v>
      </c>
      <c r="GY209" s="387">
        <f t="shared" si="156"/>
        <v>0</v>
      </c>
      <c r="GZ209" s="988">
        <f t="shared" si="156"/>
        <v>0</v>
      </c>
      <c r="HB209" s="387"/>
      <c r="HC209" s="387"/>
      <c r="HD209" s="387"/>
      <c r="HE209" s="387"/>
      <c r="HF209" s="387"/>
      <c r="HG209" s="387"/>
      <c r="HH209" s="387"/>
      <c r="HI209" s="387"/>
      <c r="HJ209" s="387"/>
      <c r="HK209" s="387"/>
      <c r="HL209" s="387"/>
      <c r="HM209" s="988"/>
    </row>
    <row r="210" spans="1:221">
      <c r="A210" s="326" t="s">
        <v>900</v>
      </c>
      <c r="B210" s="326" t="s">
        <v>901</v>
      </c>
      <c r="C210" s="326" t="s">
        <v>3361</v>
      </c>
      <c r="D210" s="1036" t="s">
        <v>2154</v>
      </c>
      <c r="E210" s="387" t="s">
        <v>2154</v>
      </c>
      <c r="F210" s="387" t="s">
        <v>2154</v>
      </c>
      <c r="G210" s="387" t="s">
        <v>2154</v>
      </c>
      <c r="H210" s="387" t="s">
        <v>2154</v>
      </c>
      <c r="I210" s="387" t="s">
        <v>2154</v>
      </c>
      <c r="J210" s="387" t="s">
        <v>2154</v>
      </c>
      <c r="K210" s="387" t="s">
        <v>2154</v>
      </c>
      <c r="L210" s="387" t="s">
        <v>2154</v>
      </c>
      <c r="M210" s="387" t="s">
        <v>2154</v>
      </c>
      <c r="N210" s="387" t="s">
        <v>2154</v>
      </c>
      <c r="O210" s="988" t="s">
        <v>2154</v>
      </c>
      <c r="P210" s="387" t="s">
        <v>2154</v>
      </c>
      <c r="Q210" s="387" t="s">
        <v>2154</v>
      </c>
      <c r="R210" s="387" t="s">
        <v>2154</v>
      </c>
      <c r="S210" s="387" t="s">
        <v>2154</v>
      </c>
      <c r="T210" s="387" t="s">
        <v>2154</v>
      </c>
      <c r="U210" s="387" t="s">
        <v>2154</v>
      </c>
      <c r="V210" s="387" t="s">
        <v>2154</v>
      </c>
      <c r="W210" s="387" t="s">
        <v>2154</v>
      </c>
      <c r="X210" s="387" t="s">
        <v>2154</v>
      </c>
      <c r="Y210" s="387" t="s">
        <v>2154</v>
      </c>
      <c r="Z210" s="387" t="s">
        <v>2154</v>
      </c>
      <c r="AA210" s="988" t="s">
        <v>2154</v>
      </c>
      <c r="AB210" s="387"/>
      <c r="AC210" s="387"/>
      <c r="AD210" s="387"/>
      <c r="AE210" s="387"/>
      <c r="AF210" s="387"/>
      <c r="AG210" s="387"/>
      <c r="AH210" s="387"/>
      <c r="AI210" s="387"/>
      <c r="AJ210" s="387"/>
      <c r="AK210" s="387"/>
      <c r="AL210" s="387"/>
      <c r="AM210" s="988"/>
      <c r="AN210" s="387"/>
      <c r="AO210" s="387"/>
      <c r="AP210" s="387"/>
      <c r="AQ210" s="387"/>
      <c r="AR210" s="387"/>
      <c r="AS210" s="387"/>
      <c r="AT210" s="387"/>
      <c r="AU210" s="387"/>
      <c r="AV210" s="387"/>
      <c r="AW210" s="387"/>
      <c r="AX210" s="387"/>
      <c r="AY210" s="988"/>
      <c r="AZ210" s="387"/>
      <c r="BA210" s="387"/>
      <c r="BB210" s="387"/>
      <c r="BC210" s="387"/>
      <c r="BD210" s="387"/>
      <c r="BE210" s="387"/>
      <c r="BF210" s="387"/>
      <c r="BG210" s="387"/>
      <c r="BH210" s="387"/>
      <c r="BI210" s="387"/>
      <c r="BJ210" s="387"/>
      <c r="BK210" s="988"/>
      <c r="BL210" s="387"/>
      <c r="BM210" s="387"/>
      <c r="BN210" s="387"/>
      <c r="BO210" s="387"/>
      <c r="BP210" s="387"/>
      <c r="BQ210" s="387"/>
      <c r="BR210" s="387"/>
      <c r="BS210" s="387"/>
      <c r="BT210" s="387"/>
      <c r="BU210" s="387"/>
      <c r="BV210" s="387"/>
      <c r="BW210" s="988"/>
      <c r="BX210" s="387"/>
      <c r="BY210" s="387"/>
      <c r="BZ210" s="387"/>
      <c r="CA210" s="387"/>
      <c r="CB210" s="387"/>
      <c r="CC210" s="387"/>
      <c r="CD210" s="387"/>
      <c r="CE210" s="387"/>
      <c r="CF210" s="387"/>
      <c r="CG210" s="387"/>
      <c r="CH210" s="387"/>
      <c r="CI210" s="988"/>
      <c r="CJ210" s="387"/>
      <c r="CK210" s="387"/>
      <c r="CL210" s="387"/>
      <c r="CM210" s="387"/>
      <c r="CN210" s="387"/>
      <c r="CO210" s="387"/>
      <c r="CP210" s="387"/>
      <c r="CQ210" s="387"/>
      <c r="CR210" s="387"/>
      <c r="CS210" s="387"/>
      <c r="CT210" s="387"/>
      <c r="CU210" s="988"/>
      <c r="CV210" s="387"/>
      <c r="CW210" s="387"/>
      <c r="CX210" s="387"/>
      <c r="CY210" s="387"/>
      <c r="CZ210" s="387"/>
      <c r="DA210" s="387"/>
      <c r="DB210" s="387"/>
      <c r="DC210" s="387"/>
      <c r="DD210" s="387"/>
      <c r="DE210" s="387"/>
      <c r="DF210" s="387"/>
      <c r="DG210" s="988"/>
      <c r="DH210" s="387"/>
      <c r="DI210" s="387"/>
      <c r="DJ210" s="387"/>
      <c r="DK210" s="387"/>
      <c r="DL210" s="387"/>
      <c r="DM210" s="387"/>
      <c r="DN210" s="387"/>
      <c r="DO210" s="387"/>
      <c r="DP210" s="387"/>
      <c r="DQ210" s="387"/>
      <c r="DR210" s="387"/>
      <c r="DS210" s="988"/>
      <c r="DT210" s="387" t="s">
        <v>2154</v>
      </c>
      <c r="DU210" s="387" t="s">
        <v>2154</v>
      </c>
      <c r="DV210" s="387" t="s">
        <v>2154</v>
      </c>
      <c r="DW210" s="387" t="s">
        <v>2154</v>
      </c>
      <c r="DX210" s="387" t="s">
        <v>2154</v>
      </c>
      <c r="DY210" s="387" t="s">
        <v>2154</v>
      </c>
      <c r="DZ210" s="387" t="s">
        <v>2154</v>
      </c>
      <c r="EA210" s="387" t="s">
        <v>2154</v>
      </c>
      <c r="EB210" s="387" t="s">
        <v>2154</v>
      </c>
      <c r="EC210" s="387" t="s">
        <v>2154</v>
      </c>
      <c r="ED210" s="387" t="s">
        <v>2154</v>
      </c>
      <c r="EE210" s="988" t="s">
        <v>2154</v>
      </c>
      <c r="EF210" s="387"/>
      <c r="EG210" s="387"/>
      <c r="EH210" s="387"/>
      <c r="EI210" s="387"/>
      <c r="EJ210" s="387"/>
      <c r="EK210" s="387"/>
      <c r="EL210" s="387"/>
      <c r="EM210" s="387"/>
      <c r="EN210" s="387"/>
      <c r="EO210" s="387"/>
      <c r="EP210" s="387"/>
      <c r="EQ210" s="988"/>
      <c r="ER210" s="387"/>
      <c r="ES210" s="387"/>
      <c r="ET210" s="387"/>
      <c r="EU210" s="387"/>
      <c r="EV210" s="387"/>
      <c r="EW210" s="387"/>
      <c r="EX210" s="387"/>
      <c r="EY210" s="387"/>
      <c r="EZ210" s="387"/>
      <c r="FA210" s="387"/>
      <c r="FB210" s="387"/>
      <c r="FC210" s="988"/>
      <c r="FD210" s="387"/>
      <c r="FE210" s="387"/>
      <c r="FF210" s="387"/>
      <c r="FG210" s="387"/>
      <c r="FH210" s="387"/>
      <c r="FI210" s="387"/>
      <c r="FJ210" s="387"/>
      <c r="FK210" s="387"/>
      <c r="FL210" s="387"/>
      <c r="FM210" s="387"/>
      <c r="FN210" s="387"/>
      <c r="FO210" s="988"/>
      <c r="FP210" s="387"/>
      <c r="FQ210" s="387"/>
      <c r="FR210" s="387"/>
      <c r="FS210" s="387"/>
      <c r="FT210" s="387"/>
      <c r="FU210" s="387"/>
      <c r="FV210" s="387"/>
      <c r="FW210" s="387"/>
      <c r="FX210" s="387"/>
      <c r="FY210" s="387"/>
      <c r="FZ210" s="387"/>
      <c r="GA210" s="988"/>
      <c r="GB210" s="109"/>
      <c r="GC210" s="2454">
        <f t="shared" si="157"/>
        <v>0</v>
      </c>
      <c r="GD210" s="2455">
        <f t="shared" si="157"/>
        <v>0</v>
      </c>
      <c r="GE210" s="2455">
        <f t="shared" si="157"/>
        <v>0</v>
      </c>
      <c r="GF210" s="2455">
        <f t="shared" si="157"/>
        <v>0</v>
      </c>
      <c r="GG210" s="2455">
        <f t="shared" si="157"/>
        <v>0</v>
      </c>
      <c r="GH210" s="2455">
        <f t="shared" si="157"/>
        <v>0</v>
      </c>
      <c r="GI210" s="2455">
        <f t="shared" si="157"/>
        <v>0</v>
      </c>
      <c r="GJ210" s="2455">
        <f t="shared" si="157"/>
        <v>0</v>
      </c>
      <c r="GK210" s="2455">
        <f t="shared" si="157"/>
        <v>0</v>
      </c>
      <c r="GL210" s="2455">
        <f t="shared" si="157"/>
        <v>0</v>
      </c>
      <c r="GM210" s="2455">
        <f t="shared" si="157"/>
        <v>0</v>
      </c>
      <c r="GN210" s="2456">
        <f t="shared" si="157"/>
        <v>0</v>
      </c>
      <c r="GO210" s="1036">
        <f t="shared" si="156"/>
        <v>0</v>
      </c>
      <c r="GP210" s="387">
        <f t="shared" si="156"/>
        <v>0</v>
      </c>
      <c r="GQ210" s="387">
        <f t="shared" si="156"/>
        <v>0</v>
      </c>
      <c r="GR210" s="387">
        <f t="shared" si="156"/>
        <v>0</v>
      </c>
      <c r="GS210" s="387">
        <f t="shared" si="156"/>
        <v>0</v>
      </c>
      <c r="GT210" s="387">
        <f t="shared" si="156"/>
        <v>0</v>
      </c>
      <c r="GU210" s="387">
        <f t="shared" si="156"/>
        <v>0</v>
      </c>
      <c r="GV210" s="387">
        <f t="shared" si="156"/>
        <v>0</v>
      </c>
      <c r="GW210" s="387">
        <f t="shared" si="156"/>
        <v>0</v>
      </c>
      <c r="GX210" s="387">
        <f t="shared" si="156"/>
        <v>0</v>
      </c>
      <c r="GY210" s="387">
        <f t="shared" si="156"/>
        <v>0</v>
      </c>
      <c r="GZ210" s="988">
        <f t="shared" si="156"/>
        <v>0</v>
      </c>
      <c r="HB210" s="387"/>
      <c r="HC210" s="387"/>
      <c r="HD210" s="387"/>
      <c r="HE210" s="387"/>
      <c r="HF210" s="387"/>
      <c r="HG210" s="387"/>
      <c r="HH210" s="387"/>
      <c r="HI210" s="387"/>
      <c r="HJ210" s="387"/>
      <c r="HK210" s="387"/>
      <c r="HL210" s="387"/>
      <c r="HM210" s="988"/>
    </row>
    <row r="211" spans="1:221">
      <c r="A211" s="326" t="s">
        <v>900</v>
      </c>
      <c r="B211" s="326" t="s">
        <v>901</v>
      </c>
      <c r="C211" s="326" t="s">
        <v>3362</v>
      </c>
      <c r="D211" s="1036" t="s">
        <v>2154</v>
      </c>
      <c r="E211" s="387" t="s">
        <v>2154</v>
      </c>
      <c r="F211" s="387" t="s">
        <v>2154</v>
      </c>
      <c r="G211" s="387" t="s">
        <v>2154</v>
      </c>
      <c r="H211" s="387" t="s">
        <v>2154</v>
      </c>
      <c r="I211" s="387" t="s">
        <v>2154</v>
      </c>
      <c r="J211" s="387" t="s">
        <v>2154</v>
      </c>
      <c r="K211" s="387" t="s">
        <v>2154</v>
      </c>
      <c r="L211" s="387" t="s">
        <v>2154</v>
      </c>
      <c r="M211" s="387" t="s">
        <v>2154</v>
      </c>
      <c r="N211" s="387" t="s">
        <v>2154</v>
      </c>
      <c r="O211" s="988" t="s">
        <v>2154</v>
      </c>
      <c r="P211" s="387" t="s">
        <v>2154</v>
      </c>
      <c r="Q211" s="387" t="s">
        <v>2154</v>
      </c>
      <c r="R211" s="387" t="s">
        <v>2154</v>
      </c>
      <c r="S211" s="387" t="s">
        <v>2154</v>
      </c>
      <c r="T211" s="387" t="s">
        <v>2154</v>
      </c>
      <c r="U211" s="387" t="s">
        <v>2154</v>
      </c>
      <c r="V211" s="387" t="s">
        <v>2154</v>
      </c>
      <c r="W211" s="387" t="s">
        <v>2154</v>
      </c>
      <c r="X211" s="387" t="s">
        <v>2154</v>
      </c>
      <c r="Y211" s="387" t="s">
        <v>2154</v>
      </c>
      <c r="Z211" s="387" t="s">
        <v>2154</v>
      </c>
      <c r="AA211" s="988" t="s">
        <v>2154</v>
      </c>
      <c r="AB211" s="387"/>
      <c r="AC211" s="387"/>
      <c r="AD211" s="387"/>
      <c r="AE211" s="387"/>
      <c r="AF211" s="387"/>
      <c r="AG211" s="387"/>
      <c r="AH211" s="387"/>
      <c r="AI211" s="387"/>
      <c r="AJ211" s="387"/>
      <c r="AK211" s="387"/>
      <c r="AL211" s="387"/>
      <c r="AM211" s="988"/>
      <c r="AN211" s="387"/>
      <c r="AO211" s="387"/>
      <c r="AP211" s="387"/>
      <c r="AQ211" s="387"/>
      <c r="AR211" s="387"/>
      <c r="AS211" s="387"/>
      <c r="AT211" s="387"/>
      <c r="AU211" s="387"/>
      <c r="AV211" s="387"/>
      <c r="AW211" s="387"/>
      <c r="AX211" s="387"/>
      <c r="AY211" s="988"/>
      <c r="AZ211" s="387"/>
      <c r="BA211" s="387"/>
      <c r="BB211" s="387"/>
      <c r="BC211" s="387"/>
      <c r="BD211" s="387"/>
      <c r="BE211" s="387"/>
      <c r="BF211" s="387"/>
      <c r="BG211" s="387"/>
      <c r="BH211" s="387"/>
      <c r="BI211" s="387"/>
      <c r="BJ211" s="387"/>
      <c r="BK211" s="988"/>
      <c r="BL211" s="387"/>
      <c r="BM211" s="387"/>
      <c r="BN211" s="387"/>
      <c r="BO211" s="387"/>
      <c r="BP211" s="387"/>
      <c r="BQ211" s="387"/>
      <c r="BR211" s="387"/>
      <c r="BS211" s="387"/>
      <c r="BT211" s="387"/>
      <c r="BU211" s="387"/>
      <c r="BV211" s="387"/>
      <c r="BW211" s="988"/>
      <c r="BX211" s="387"/>
      <c r="BY211" s="387"/>
      <c r="BZ211" s="387"/>
      <c r="CA211" s="387"/>
      <c r="CB211" s="387"/>
      <c r="CC211" s="387"/>
      <c r="CD211" s="387"/>
      <c r="CE211" s="387"/>
      <c r="CF211" s="387"/>
      <c r="CG211" s="387"/>
      <c r="CH211" s="387"/>
      <c r="CI211" s="988"/>
      <c r="CJ211" s="387"/>
      <c r="CK211" s="387"/>
      <c r="CL211" s="387"/>
      <c r="CM211" s="387"/>
      <c r="CN211" s="387"/>
      <c r="CO211" s="387"/>
      <c r="CP211" s="387"/>
      <c r="CQ211" s="387"/>
      <c r="CR211" s="387"/>
      <c r="CS211" s="387"/>
      <c r="CT211" s="387"/>
      <c r="CU211" s="988"/>
      <c r="CV211" s="387"/>
      <c r="CW211" s="387"/>
      <c r="CX211" s="387"/>
      <c r="CY211" s="387"/>
      <c r="CZ211" s="387"/>
      <c r="DA211" s="387"/>
      <c r="DB211" s="387"/>
      <c r="DC211" s="387"/>
      <c r="DD211" s="387"/>
      <c r="DE211" s="387"/>
      <c r="DF211" s="387"/>
      <c r="DG211" s="988"/>
      <c r="DH211" s="387"/>
      <c r="DI211" s="387"/>
      <c r="DJ211" s="387"/>
      <c r="DK211" s="387"/>
      <c r="DL211" s="387"/>
      <c r="DM211" s="387"/>
      <c r="DN211" s="387"/>
      <c r="DO211" s="387"/>
      <c r="DP211" s="387"/>
      <c r="DQ211" s="387"/>
      <c r="DR211" s="387"/>
      <c r="DS211" s="988"/>
      <c r="DT211" s="387" t="s">
        <v>2154</v>
      </c>
      <c r="DU211" s="387" t="s">
        <v>2154</v>
      </c>
      <c r="DV211" s="387" t="s">
        <v>2154</v>
      </c>
      <c r="DW211" s="387" t="s">
        <v>2154</v>
      </c>
      <c r="DX211" s="387" t="s">
        <v>2154</v>
      </c>
      <c r="DY211" s="387" t="s">
        <v>2154</v>
      </c>
      <c r="DZ211" s="387" t="s">
        <v>2154</v>
      </c>
      <c r="EA211" s="387" t="s">
        <v>2154</v>
      </c>
      <c r="EB211" s="387" t="s">
        <v>2154</v>
      </c>
      <c r="EC211" s="387" t="s">
        <v>2154</v>
      </c>
      <c r="ED211" s="387" t="s">
        <v>2154</v>
      </c>
      <c r="EE211" s="988" t="s">
        <v>2154</v>
      </c>
      <c r="EF211" s="387"/>
      <c r="EG211" s="387"/>
      <c r="EH211" s="387"/>
      <c r="EI211" s="387"/>
      <c r="EJ211" s="387"/>
      <c r="EK211" s="387"/>
      <c r="EL211" s="387"/>
      <c r="EM211" s="387"/>
      <c r="EN211" s="387"/>
      <c r="EO211" s="387"/>
      <c r="EP211" s="387"/>
      <c r="EQ211" s="988"/>
      <c r="ER211" s="387"/>
      <c r="ES211" s="387"/>
      <c r="ET211" s="387"/>
      <c r="EU211" s="387"/>
      <c r="EV211" s="387"/>
      <c r="EW211" s="387"/>
      <c r="EX211" s="387"/>
      <c r="EY211" s="387"/>
      <c r="EZ211" s="387"/>
      <c r="FA211" s="387"/>
      <c r="FB211" s="387"/>
      <c r="FC211" s="988"/>
      <c r="FD211" s="387"/>
      <c r="FE211" s="387"/>
      <c r="FF211" s="387"/>
      <c r="FG211" s="387"/>
      <c r="FH211" s="387"/>
      <c r="FI211" s="387"/>
      <c r="FJ211" s="387"/>
      <c r="FK211" s="387"/>
      <c r="FL211" s="387"/>
      <c r="FM211" s="387"/>
      <c r="FN211" s="387"/>
      <c r="FO211" s="988"/>
      <c r="FP211" s="387"/>
      <c r="FQ211" s="387"/>
      <c r="FR211" s="387"/>
      <c r="FS211" s="387"/>
      <c r="FT211" s="387"/>
      <c r="FU211" s="387"/>
      <c r="FV211" s="387"/>
      <c r="FW211" s="387"/>
      <c r="FX211" s="387"/>
      <c r="FY211" s="387"/>
      <c r="FZ211" s="387"/>
      <c r="GA211" s="988"/>
      <c r="GB211" s="109"/>
      <c r="GC211" s="2454">
        <f t="shared" si="157"/>
        <v>0</v>
      </c>
      <c r="GD211" s="2455">
        <f t="shared" si="157"/>
        <v>0</v>
      </c>
      <c r="GE211" s="2455">
        <f t="shared" si="157"/>
        <v>0</v>
      </c>
      <c r="GF211" s="2455">
        <f t="shared" si="157"/>
        <v>0</v>
      </c>
      <c r="GG211" s="2455">
        <f t="shared" si="157"/>
        <v>0</v>
      </c>
      <c r="GH211" s="2455">
        <f t="shared" si="157"/>
        <v>0</v>
      </c>
      <c r="GI211" s="2455">
        <f t="shared" si="157"/>
        <v>0</v>
      </c>
      <c r="GJ211" s="2455">
        <f t="shared" si="157"/>
        <v>0</v>
      </c>
      <c r="GK211" s="2455">
        <f t="shared" si="157"/>
        <v>0</v>
      </c>
      <c r="GL211" s="2455">
        <f t="shared" si="157"/>
        <v>0</v>
      </c>
      <c r="GM211" s="2455">
        <f t="shared" si="157"/>
        <v>0</v>
      </c>
      <c r="GN211" s="2456">
        <f t="shared" si="157"/>
        <v>0</v>
      </c>
      <c r="GO211" s="1036">
        <f t="shared" si="156"/>
        <v>0</v>
      </c>
      <c r="GP211" s="387">
        <f t="shared" si="156"/>
        <v>0</v>
      </c>
      <c r="GQ211" s="387">
        <f t="shared" si="156"/>
        <v>0</v>
      </c>
      <c r="GR211" s="387">
        <f t="shared" si="156"/>
        <v>0</v>
      </c>
      <c r="GS211" s="387">
        <f t="shared" si="156"/>
        <v>0</v>
      </c>
      <c r="GT211" s="387">
        <f t="shared" si="156"/>
        <v>0</v>
      </c>
      <c r="GU211" s="387">
        <f t="shared" si="156"/>
        <v>0</v>
      </c>
      <c r="GV211" s="387">
        <f t="shared" si="156"/>
        <v>0</v>
      </c>
      <c r="GW211" s="387">
        <f t="shared" si="156"/>
        <v>0</v>
      </c>
      <c r="GX211" s="387">
        <f t="shared" si="156"/>
        <v>0</v>
      </c>
      <c r="GY211" s="387">
        <f t="shared" si="156"/>
        <v>0</v>
      </c>
      <c r="GZ211" s="988">
        <f t="shared" si="156"/>
        <v>0</v>
      </c>
      <c r="HB211" s="387"/>
      <c r="HC211" s="387"/>
      <c r="HD211" s="387"/>
      <c r="HE211" s="387"/>
      <c r="HF211" s="387"/>
      <c r="HG211" s="387"/>
      <c r="HH211" s="387"/>
      <c r="HI211" s="387"/>
      <c r="HJ211" s="387"/>
      <c r="HK211" s="387"/>
      <c r="HL211" s="387"/>
      <c r="HM211" s="988"/>
    </row>
    <row r="212" spans="1:221">
      <c r="A212" s="326" t="s">
        <v>900</v>
      </c>
      <c r="B212" s="326" t="s">
        <v>901</v>
      </c>
      <c r="C212" s="326" t="s">
        <v>3363</v>
      </c>
      <c r="D212" s="1036" t="s">
        <v>2154</v>
      </c>
      <c r="E212" s="387" t="s">
        <v>2154</v>
      </c>
      <c r="F212" s="387" t="s">
        <v>2154</v>
      </c>
      <c r="G212" s="387" t="s">
        <v>2154</v>
      </c>
      <c r="H212" s="387" t="s">
        <v>2154</v>
      </c>
      <c r="I212" s="387" t="s">
        <v>2154</v>
      </c>
      <c r="J212" s="387" t="s">
        <v>2154</v>
      </c>
      <c r="K212" s="387" t="s">
        <v>2154</v>
      </c>
      <c r="L212" s="387" t="s">
        <v>2154</v>
      </c>
      <c r="M212" s="387" t="s">
        <v>2154</v>
      </c>
      <c r="N212" s="387" t="s">
        <v>2154</v>
      </c>
      <c r="O212" s="988" t="s">
        <v>2154</v>
      </c>
      <c r="P212" s="387" t="s">
        <v>2154</v>
      </c>
      <c r="Q212" s="387" t="s">
        <v>2154</v>
      </c>
      <c r="R212" s="387" t="s">
        <v>2154</v>
      </c>
      <c r="S212" s="387" t="s">
        <v>2154</v>
      </c>
      <c r="T212" s="387" t="s">
        <v>2154</v>
      </c>
      <c r="U212" s="387" t="s">
        <v>2154</v>
      </c>
      <c r="V212" s="387" t="s">
        <v>2154</v>
      </c>
      <c r="W212" s="387" t="s">
        <v>2154</v>
      </c>
      <c r="X212" s="387" t="s">
        <v>2154</v>
      </c>
      <c r="Y212" s="387" t="s">
        <v>2154</v>
      </c>
      <c r="Z212" s="387" t="s">
        <v>2154</v>
      </c>
      <c r="AA212" s="988" t="s">
        <v>2154</v>
      </c>
      <c r="AB212" s="387"/>
      <c r="AC212" s="387"/>
      <c r="AD212" s="387"/>
      <c r="AE212" s="387"/>
      <c r="AF212" s="387"/>
      <c r="AG212" s="387"/>
      <c r="AH212" s="387"/>
      <c r="AI212" s="387"/>
      <c r="AJ212" s="387"/>
      <c r="AK212" s="387"/>
      <c r="AL212" s="387"/>
      <c r="AM212" s="988"/>
      <c r="AN212" s="387"/>
      <c r="AO212" s="387"/>
      <c r="AP212" s="387"/>
      <c r="AQ212" s="387"/>
      <c r="AR212" s="387"/>
      <c r="AS212" s="387"/>
      <c r="AT212" s="387"/>
      <c r="AU212" s="387"/>
      <c r="AV212" s="387"/>
      <c r="AW212" s="387"/>
      <c r="AX212" s="387"/>
      <c r="AY212" s="988"/>
      <c r="AZ212" s="387"/>
      <c r="BA212" s="387"/>
      <c r="BB212" s="387"/>
      <c r="BC212" s="387"/>
      <c r="BD212" s="387"/>
      <c r="BE212" s="387"/>
      <c r="BF212" s="387"/>
      <c r="BG212" s="387"/>
      <c r="BH212" s="387"/>
      <c r="BI212" s="387"/>
      <c r="BJ212" s="387"/>
      <c r="BK212" s="988"/>
      <c r="BL212" s="387"/>
      <c r="BM212" s="387"/>
      <c r="BN212" s="387"/>
      <c r="BO212" s="387"/>
      <c r="BP212" s="387"/>
      <c r="BQ212" s="387"/>
      <c r="BR212" s="387"/>
      <c r="BS212" s="387"/>
      <c r="BT212" s="387"/>
      <c r="BU212" s="387"/>
      <c r="BV212" s="387"/>
      <c r="BW212" s="988"/>
      <c r="BX212" s="387"/>
      <c r="BY212" s="387"/>
      <c r="BZ212" s="387"/>
      <c r="CA212" s="387"/>
      <c r="CB212" s="387"/>
      <c r="CC212" s="387"/>
      <c r="CD212" s="387"/>
      <c r="CE212" s="387"/>
      <c r="CF212" s="387"/>
      <c r="CG212" s="387"/>
      <c r="CH212" s="387"/>
      <c r="CI212" s="988"/>
      <c r="CJ212" s="387"/>
      <c r="CK212" s="387"/>
      <c r="CL212" s="387"/>
      <c r="CM212" s="387"/>
      <c r="CN212" s="387"/>
      <c r="CO212" s="387"/>
      <c r="CP212" s="387"/>
      <c r="CQ212" s="387"/>
      <c r="CR212" s="387"/>
      <c r="CS212" s="387"/>
      <c r="CT212" s="387"/>
      <c r="CU212" s="988"/>
      <c r="CV212" s="387"/>
      <c r="CW212" s="387"/>
      <c r="CX212" s="387"/>
      <c r="CY212" s="387"/>
      <c r="CZ212" s="387"/>
      <c r="DA212" s="387"/>
      <c r="DB212" s="387"/>
      <c r="DC212" s="387"/>
      <c r="DD212" s="387"/>
      <c r="DE212" s="387"/>
      <c r="DF212" s="387"/>
      <c r="DG212" s="988"/>
      <c r="DH212" s="387"/>
      <c r="DI212" s="387"/>
      <c r="DJ212" s="387"/>
      <c r="DK212" s="387"/>
      <c r="DL212" s="387"/>
      <c r="DM212" s="387"/>
      <c r="DN212" s="387"/>
      <c r="DO212" s="387"/>
      <c r="DP212" s="387"/>
      <c r="DQ212" s="387"/>
      <c r="DR212" s="387"/>
      <c r="DS212" s="988"/>
      <c r="DT212" s="387" t="s">
        <v>2154</v>
      </c>
      <c r="DU212" s="387" t="s">
        <v>2154</v>
      </c>
      <c r="DV212" s="387" t="s">
        <v>2154</v>
      </c>
      <c r="DW212" s="387" t="s">
        <v>2154</v>
      </c>
      <c r="DX212" s="387" t="s">
        <v>2154</v>
      </c>
      <c r="DY212" s="387" t="s">
        <v>2154</v>
      </c>
      <c r="DZ212" s="387" t="s">
        <v>2154</v>
      </c>
      <c r="EA212" s="387" t="s">
        <v>2154</v>
      </c>
      <c r="EB212" s="387" t="s">
        <v>2154</v>
      </c>
      <c r="EC212" s="387" t="s">
        <v>2154</v>
      </c>
      <c r="ED212" s="387" t="s">
        <v>2154</v>
      </c>
      <c r="EE212" s="988" t="s">
        <v>2154</v>
      </c>
      <c r="EF212" s="387"/>
      <c r="EG212" s="387"/>
      <c r="EH212" s="387"/>
      <c r="EI212" s="387"/>
      <c r="EJ212" s="387"/>
      <c r="EK212" s="387"/>
      <c r="EL212" s="387"/>
      <c r="EM212" s="387"/>
      <c r="EN212" s="387"/>
      <c r="EO212" s="387"/>
      <c r="EP212" s="387"/>
      <c r="EQ212" s="988"/>
      <c r="ER212" s="387"/>
      <c r="ES212" s="387"/>
      <c r="ET212" s="387"/>
      <c r="EU212" s="387"/>
      <c r="EV212" s="387"/>
      <c r="EW212" s="387"/>
      <c r="EX212" s="387"/>
      <c r="EY212" s="387"/>
      <c r="EZ212" s="387"/>
      <c r="FA212" s="387"/>
      <c r="FB212" s="387"/>
      <c r="FC212" s="988"/>
      <c r="FD212" s="387"/>
      <c r="FE212" s="387"/>
      <c r="FF212" s="387"/>
      <c r="FG212" s="387"/>
      <c r="FH212" s="387"/>
      <c r="FI212" s="387"/>
      <c r="FJ212" s="387"/>
      <c r="FK212" s="387"/>
      <c r="FL212" s="387"/>
      <c r="FM212" s="387"/>
      <c r="FN212" s="387"/>
      <c r="FO212" s="988"/>
      <c r="FP212" s="387"/>
      <c r="FQ212" s="387"/>
      <c r="FR212" s="387"/>
      <c r="FS212" s="387"/>
      <c r="FT212" s="387"/>
      <c r="FU212" s="387"/>
      <c r="FV212" s="387"/>
      <c r="FW212" s="387"/>
      <c r="FX212" s="387"/>
      <c r="FY212" s="387"/>
      <c r="FZ212" s="387"/>
      <c r="GA212" s="988"/>
      <c r="GB212" s="109"/>
      <c r="GC212" s="2454">
        <f t="shared" si="157"/>
        <v>0</v>
      </c>
      <c r="GD212" s="2455">
        <f t="shared" si="157"/>
        <v>0</v>
      </c>
      <c r="GE212" s="2455">
        <f t="shared" si="157"/>
        <v>0</v>
      </c>
      <c r="GF212" s="2455">
        <f t="shared" si="157"/>
        <v>0</v>
      </c>
      <c r="GG212" s="2455">
        <f t="shared" si="157"/>
        <v>0</v>
      </c>
      <c r="GH212" s="2455">
        <f t="shared" si="157"/>
        <v>0</v>
      </c>
      <c r="GI212" s="2455">
        <f t="shared" si="157"/>
        <v>0</v>
      </c>
      <c r="GJ212" s="2455">
        <f t="shared" si="157"/>
        <v>0</v>
      </c>
      <c r="GK212" s="2455">
        <f t="shared" si="157"/>
        <v>0</v>
      </c>
      <c r="GL212" s="2455">
        <f t="shared" si="157"/>
        <v>0</v>
      </c>
      <c r="GM212" s="2455">
        <f t="shared" si="157"/>
        <v>0</v>
      </c>
      <c r="GN212" s="2456">
        <f t="shared" si="157"/>
        <v>0</v>
      </c>
      <c r="GO212" s="1036">
        <f t="shared" si="156"/>
        <v>0</v>
      </c>
      <c r="GP212" s="387">
        <f t="shared" si="156"/>
        <v>0</v>
      </c>
      <c r="GQ212" s="387">
        <f t="shared" si="156"/>
        <v>0</v>
      </c>
      <c r="GR212" s="387">
        <f t="shared" si="156"/>
        <v>0</v>
      </c>
      <c r="GS212" s="387">
        <f t="shared" si="156"/>
        <v>0</v>
      </c>
      <c r="GT212" s="387">
        <f t="shared" si="156"/>
        <v>0</v>
      </c>
      <c r="GU212" s="387">
        <f t="shared" si="156"/>
        <v>0</v>
      </c>
      <c r="GV212" s="387">
        <f t="shared" si="156"/>
        <v>0</v>
      </c>
      <c r="GW212" s="387">
        <f t="shared" si="156"/>
        <v>0</v>
      </c>
      <c r="GX212" s="387">
        <f t="shared" si="156"/>
        <v>0</v>
      </c>
      <c r="GY212" s="387">
        <f t="shared" si="156"/>
        <v>0</v>
      </c>
      <c r="GZ212" s="988">
        <f t="shared" si="156"/>
        <v>0</v>
      </c>
      <c r="HB212" s="387"/>
      <c r="HC212" s="387"/>
      <c r="HD212" s="387"/>
      <c r="HE212" s="387"/>
      <c r="HF212" s="387"/>
      <c r="HG212" s="387"/>
      <c r="HH212" s="387"/>
      <c r="HI212" s="387"/>
      <c r="HJ212" s="387"/>
      <c r="HK212" s="387"/>
      <c r="HL212" s="387"/>
      <c r="HM212" s="988"/>
    </row>
    <row r="213" spans="1:221">
      <c r="A213" s="326" t="s">
        <v>900</v>
      </c>
      <c r="B213" s="326" t="s">
        <v>901</v>
      </c>
      <c r="C213" s="326" t="s">
        <v>3364</v>
      </c>
      <c r="D213" s="1036">
        <v>1985.91</v>
      </c>
      <c r="E213" s="387">
        <v>1182.3899999999999</v>
      </c>
      <c r="F213" s="387">
        <v>1088.45</v>
      </c>
      <c r="G213" s="387">
        <v>780.64</v>
      </c>
      <c r="H213" s="387">
        <v>1287.42</v>
      </c>
      <c r="I213" s="387">
        <v>972.45</v>
      </c>
      <c r="J213" s="387">
        <v>917.7</v>
      </c>
      <c r="K213" s="387">
        <v>1143.5999999999999</v>
      </c>
      <c r="L213" s="387">
        <v>1129.8499999999999</v>
      </c>
      <c r="M213" s="387">
        <v>986.17</v>
      </c>
      <c r="N213" s="387">
        <v>1520.16</v>
      </c>
      <c r="O213" s="988">
        <v>1034.1500000000001</v>
      </c>
      <c r="P213" s="387">
        <v>164.4</v>
      </c>
      <c r="Q213" s="387">
        <v>117.33000000000001</v>
      </c>
      <c r="R213" s="387">
        <v>150.25</v>
      </c>
      <c r="S213" s="387">
        <v>109.6</v>
      </c>
      <c r="T213" s="387">
        <v>136.91</v>
      </c>
      <c r="U213" s="387">
        <v>137</v>
      </c>
      <c r="V213" s="387">
        <v>273.91000000000003</v>
      </c>
      <c r="W213" s="387">
        <v>191.8</v>
      </c>
      <c r="X213" s="387">
        <v>82.11</v>
      </c>
      <c r="Y213" s="387">
        <v>164.4</v>
      </c>
      <c r="Z213" s="387">
        <v>589.01</v>
      </c>
      <c r="AA213" s="988">
        <v>219.11</v>
      </c>
      <c r="AB213" s="387"/>
      <c r="AC213" s="387"/>
      <c r="AD213" s="387"/>
      <c r="AE213" s="387"/>
      <c r="AF213" s="387"/>
      <c r="AG213" s="387"/>
      <c r="AH213" s="387"/>
      <c r="AI213" s="387"/>
      <c r="AJ213" s="387"/>
      <c r="AK213" s="387"/>
      <c r="AL213" s="387"/>
      <c r="AM213" s="988"/>
      <c r="AN213" s="387"/>
      <c r="AO213" s="387"/>
      <c r="AP213" s="387"/>
      <c r="AQ213" s="387"/>
      <c r="AR213" s="387"/>
      <c r="AS213" s="387"/>
      <c r="AT213" s="387"/>
      <c r="AU213" s="387"/>
      <c r="AV213" s="387"/>
      <c r="AW213" s="387"/>
      <c r="AX213" s="387"/>
      <c r="AY213" s="988"/>
      <c r="AZ213" s="387"/>
      <c r="BA213" s="387"/>
      <c r="BB213" s="387"/>
      <c r="BC213" s="387"/>
      <c r="BD213" s="387"/>
      <c r="BE213" s="387"/>
      <c r="BF213" s="387"/>
      <c r="BG213" s="387"/>
      <c r="BH213" s="387"/>
      <c r="BI213" s="387"/>
      <c r="BJ213" s="387"/>
      <c r="BK213" s="988"/>
      <c r="BL213" s="387"/>
      <c r="BM213" s="387"/>
      <c r="BN213" s="387"/>
      <c r="BO213" s="387"/>
      <c r="BP213" s="387"/>
      <c r="BQ213" s="387"/>
      <c r="BR213" s="387"/>
      <c r="BS213" s="387"/>
      <c r="BT213" s="387"/>
      <c r="BU213" s="387"/>
      <c r="BV213" s="387"/>
      <c r="BW213" s="988"/>
      <c r="BX213" s="387"/>
      <c r="BY213" s="387"/>
      <c r="BZ213" s="387"/>
      <c r="CA213" s="387"/>
      <c r="CB213" s="387"/>
      <c r="CC213" s="387"/>
      <c r="CD213" s="387"/>
      <c r="CE213" s="387"/>
      <c r="CF213" s="387"/>
      <c r="CG213" s="387"/>
      <c r="CH213" s="387"/>
      <c r="CI213" s="988"/>
      <c r="CJ213" s="387"/>
      <c r="CK213" s="387"/>
      <c r="CL213" s="387"/>
      <c r="CM213" s="387"/>
      <c r="CN213" s="387"/>
      <c r="CO213" s="387"/>
      <c r="CP213" s="387"/>
      <c r="CQ213" s="387"/>
      <c r="CR213" s="387"/>
      <c r="CS213" s="387"/>
      <c r="CT213" s="387"/>
      <c r="CU213" s="988"/>
      <c r="CV213" s="387"/>
      <c r="CW213" s="387"/>
      <c r="CX213" s="387"/>
      <c r="CY213" s="387"/>
      <c r="CZ213" s="387"/>
      <c r="DA213" s="387"/>
      <c r="DB213" s="387"/>
      <c r="DC213" s="387"/>
      <c r="DD213" s="387"/>
      <c r="DE213" s="387"/>
      <c r="DF213" s="387"/>
      <c r="DG213" s="988"/>
      <c r="DH213" s="387"/>
      <c r="DI213" s="387"/>
      <c r="DJ213" s="387"/>
      <c r="DK213" s="387"/>
      <c r="DL213" s="387"/>
      <c r="DM213" s="387"/>
      <c r="DN213" s="387"/>
      <c r="DO213" s="387"/>
      <c r="DP213" s="387"/>
      <c r="DQ213" s="387"/>
      <c r="DR213" s="387"/>
      <c r="DS213" s="988"/>
      <c r="DT213" s="387">
        <v>219.12</v>
      </c>
      <c r="DU213" s="387">
        <v>373.38</v>
      </c>
      <c r="DV213" s="387">
        <v>232.81</v>
      </c>
      <c r="DW213" s="387">
        <v>246.51</v>
      </c>
      <c r="DX213" s="387">
        <v>219.2</v>
      </c>
      <c r="DY213" s="387">
        <v>219.11</v>
      </c>
      <c r="DZ213" s="387">
        <v>123.3</v>
      </c>
      <c r="EA213" s="387" t="s">
        <v>2154</v>
      </c>
      <c r="EB213" s="387">
        <v>27.4</v>
      </c>
      <c r="EC213" s="387" t="s">
        <v>2154</v>
      </c>
      <c r="ED213" s="387">
        <v>82.2</v>
      </c>
      <c r="EE213" s="988">
        <v>82.2</v>
      </c>
      <c r="EF213" s="387"/>
      <c r="EG213" s="387"/>
      <c r="EH213" s="387"/>
      <c r="EI213" s="387"/>
      <c r="EJ213" s="387"/>
      <c r="EK213" s="387"/>
      <c r="EL213" s="387"/>
      <c r="EM213" s="387"/>
      <c r="EN213" s="387"/>
      <c r="EO213" s="387"/>
      <c r="EP213" s="387"/>
      <c r="EQ213" s="988"/>
      <c r="ER213" s="387"/>
      <c r="ES213" s="387"/>
      <c r="ET213" s="387"/>
      <c r="EU213" s="387"/>
      <c r="EV213" s="387"/>
      <c r="EW213" s="387"/>
      <c r="EX213" s="387"/>
      <c r="EY213" s="387"/>
      <c r="EZ213" s="387"/>
      <c r="FA213" s="387"/>
      <c r="FB213" s="387"/>
      <c r="FC213" s="988"/>
      <c r="FD213" s="387"/>
      <c r="FE213" s="387"/>
      <c r="FF213" s="387"/>
      <c r="FG213" s="387"/>
      <c r="FH213" s="387"/>
      <c r="FI213" s="387"/>
      <c r="FJ213" s="387"/>
      <c r="FK213" s="387"/>
      <c r="FL213" s="387"/>
      <c r="FM213" s="387"/>
      <c r="FN213" s="387"/>
      <c r="FO213" s="988"/>
      <c r="FP213" s="387"/>
      <c r="FQ213" s="387"/>
      <c r="FR213" s="387"/>
      <c r="FS213" s="387"/>
      <c r="FT213" s="387"/>
      <c r="FU213" s="387"/>
      <c r="FV213" s="387"/>
      <c r="FW213" s="387"/>
      <c r="FX213" s="387"/>
      <c r="FY213" s="387"/>
      <c r="FZ213" s="387"/>
      <c r="GA213" s="988"/>
      <c r="GB213" s="109"/>
      <c r="GC213" s="2454">
        <f t="shared" si="157"/>
        <v>2150.31</v>
      </c>
      <c r="GD213" s="2455">
        <f t="shared" si="157"/>
        <v>1299.7199999999998</v>
      </c>
      <c r="GE213" s="2455">
        <f t="shared" si="157"/>
        <v>1238.7</v>
      </c>
      <c r="GF213" s="2455">
        <f t="shared" si="157"/>
        <v>890.24</v>
      </c>
      <c r="GG213" s="2455">
        <f t="shared" si="157"/>
        <v>1424.3300000000002</v>
      </c>
      <c r="GH213" s="2455">
        <f t="shared" si="157"/>
        <v>1109.45</v>
      </c>
      <c r="GI213" s="2455">
        <f t="shared" si="157"/>
        <v>1191.6100000000001</v>
      </c>
      <c r="GJ213" s="2455">
        <f t="shared" si="157"/>
        <v>1335.3999999999999</v>
      </c>
      <c r="GK213" s="2455">
        <f t="shared" si="157"/>
        <v>1211.9599999999998</v>
      </c>
      <c r="GL213" s="2455">
        <f t="shared" si="157"/>
        <v>1150.57</v>
      </c>
      <c r="GM213" s="2455">
        <f t="shared" si="157"/>
        <v>2109.17</v>
      </c>
      <c r="GN213" s="2456">
        <f t="shared" si="157"/>
        <v>1253.2600000000002</v>
      </c>
      <c r="GO213" s="1036">
        <f t="shared" si="156"/>
        <v>219.12</v>
      </c>
      <c r="GP213" s="387">
        <f t="shared" si="156"/>
        <v>373.38</v>
      </c>
      <c r="GQ213" s="387">
        <f t="shared" si="156"/>
        <v>232.81</v>
      </c>
      <c r="GR213" s="387">
        <f t="shared" si="156"/>
        <v>246.51</v>
      </c>
      <c r="GS213" s="387">
        <f t="shared" si="156"/>
        <v>219.2</v>
      </c>
      <c r="GT213" s="387">
        <f t="shared" si="156"/>
        <v>219.11</v>
      </c>
      <c r="GU213" s="387">
        <f t="shared" si="156"/>
        <v>123.3</v>
      </c>
      <c r="GV213" s="387">
        <f t="shared" si="156"/>
        <v>0</v>
      </c>
      <c r="GW213" s="387">
        <f t="shared" si="156"/>
        <v>27.4</v>
      </c>
      <c r="GX213" s="387">
        <f t="shared" si="156"/>
        <v>0</v>
      </c>
      <c r="GY213" s="387">
        <f t="shared" si="156"/>
        <v>82.2</v>
      </c>
      <c r="GZ213" s="988">
        <f t="shared" si="156"/>
        <v>82.2</v>
      </c>
      <c r="HB213" s="387"/>
      <c r="HC213" s="387"/>
      <c r="HD213" s="387"/>
      <c r="HE213" s="387"/>
      <c r="HF213" s="387"/>
      <c r="HG213" s="387"/>
      <c r="HH213" s="387"/>
      <c r="HI213" s="387"/>
      <c r="HJ213" s="387"/>
      <c r="HK213" s="387"/>
      <c r="HL213" s="387"/>
      <c r="HM213" s="988"/>
    </row>
    <row r="214" spans="1:221">
      <c r="A214" s="326" t="s">
        <v>900</v>
      </c>
      <c r="B214" s="326" t="s">
        <v>901</v>
      </c>
      <c r="C214" s="326" t="s">
        <v>3365</v>
      </c>
      <c r="D214" s="1036">
        <v>-1170.83</v>
      </c>
      <c r="E214" s="387">
        <v>-40.229999999999997</v>
      </c>
      <c r="F214" s="387" t="s">
        <v>2154</v>
      </c>
      <c r="G214" s="387" t="s">
        <v>2154</v>
      </c>
      <c r="H214" s="387" t="s">
        <v>2154</v>
      </c>
      <c r="I214" s="387" t="s">
        <v>2154</v>
      </c>
      <c r="J214" s="387" t="s">
        <v>2154</v>
      </c>
      <c r="K214" s="387" t="s">
        <v>2154</v>
      </c>
      <c r="L214" s="387" t="s">
        <v>2154</v>
      </c>
      <c r="M214" s="387" t="s">
        <v>2154</v>
      </c>
      <c r="N214" s="387" t="s">
        <v>2154</v>
      </c>
      <c r="O214" s="988" t="s">
        <v>2154</v>
      </c>
      <c r="P214" s="387">
        <v>-197.67000000000002</v>
      </c>
      <c r="Q214" s="387">
        <v>-3.94</v>
      </c>
      <c r="R214" s="387" t="s">
        <v>2154</v>
      </c>
      <c r="S214" s="387" t="s">
        <v>2154</v>
      </c>
      <c r="T214" s="387" t="s">
        <v>2154</v>
      </c>
      <c r="U214" s="387" t="s">
        <v>2154</v>
      </c>
      <c r="V214" s="387" t="s">
        <v>2154</v>
      </c>
      <c r="W214" s="387" t="s">
        <v>2154</v>
      </c>
      <c r="X214" s="387" t="s">
        <v>2154</v>
      </c>
      <c r="Y214" s="387" t="s">
        <v>2154</v>
      </c>
      <c r="Z214" s="387" t="s">
        <v>2154</v>
      </c>
      <c r="AA214" s="988" t="s">
        <v>2154</v>
      </c>
      <c r="AB214" s="387"/>
      <c r="AC214" s="387"/>
      <c r="AD214" s="387"/>
      <c r="AE214" s="387"/>
      <c r="AF214" s="387"/>
      <c r="AG214" s="387"/>
      <c r="AH214" s="387"/>
      <c r="AI214" s="387"/>
      <c r="AJ214" s="387"/>
      <c r="AK214" s="387"/>
      <c r="AL214" s="387"/>
      <c r="AM214" s="988"/>
      <c r="AN214" s="387"/>
      <c r="AO214" s="387"/>
      <c r="AP214" s="387"/>
      <c r="AQ214" s="387"/>
      <c r="AR214" s="387"/>
      <c r="AS214" s="387"/>
      <c r="AT214" s="387"/>
      <c r="AU214" s="387"/>
      <c r="AV214" s="387"/>
      <c r="AW214" s="387"/>
      <c r="AX214" s="387"/>
      <c r="AY214" s="988"/>
      <c r="AZ214" s="387"/>
      <c r="BA214" s="387"/>
      <c r="BB214" s="387"/>
      <c r="BC214" s="387"/>
      <c r="BD214" s="387"/>
      <c r="BE214" s="387"/>
      <c r="BF214" s="387"/>
      <c r="BG214" s="387"/>
      <c r="BH214" s="387"/>
      <c r="BI214" s="387"/>
      <c r="BJ214" s="387"/>
      <c r="BK214" s="988"/>
      <c r="BL214" s="387"/>
      <c r="BM214" s="387"/>
      <c r="BN214" s="387"/>
      <c r="BO214" s="387"/>
      <c r="BP214" s="387"/>
      <c r="BQ214" s="387"/>
      <c r="BR214" s="387"/>
      <c r="BS214" s="387"/>
      <c r="BT214" s="387"/>
      <c r="BU214" s="387"/>
      <c r="BV214" s="387"/>
      <c r="BW214" s="988"/>
      <c r="BX214" s="387"/>
      <c r="BY214" s="387"/>
      <c r="BZ214" s="387"/>
      <c r="CA214" s="387"/>
      <c r="CB214" s="387"/>
      <c r="CC214" s="387"/>
      <c r="CD214" s="387"/>
      <c r="CE214" s="387"/>
      <c r="CF214" s="387"/>
      <c r="CG214" s="387"/>
      <c r="CH214" s="387"/>
      <c r="CI214" s="988"/>
      <c r="CJ214" s="387"/>
      <c r="CK214" s="387"/>
      <c r="CL214" s="387"/>
      <c r="CM214" s="387"/>
      <c r="CN214" s="387"/>
      <c r="CO214" s="387"/>
      <c r="CP214" s="387"/>
      <c r="CQ214" s="387"/>
      <c r="CR214" s="387"/>
      <c r="CS214" s="387"/>
      <c r="CT214" s="387"/>
      <c r="CU214" s="988"/>
      <c r="CV214" s="387"/>
      <c r="CW214" s="387"/>
      <c r="CX214" s="387"/>
      <c r="CY214" s="387"/>
      <c r="CZ214" s="387"/>
      <c r="DA214" s="387"/>
      <c r="DB214" s="387"/>
      <c r="DC214" s="387"/>
      <c r="DD214" s="387"/>
      <c r="DE214" s="387"/>
      <c r="DF214" s="387"/>
      <c r="DG214" s="988"/>
      <c r="DH214" s="387"/>
      <c r="DI214" s="387"/>
      <c r="DJ214" s="387"/>
      <c r="DK214" s="387"/>
      <c r="DL214" s="387"/>
      <c r="DM214" s="387"/>
      <c r="DN214" s="387"/>
      <c r="DO214" s="387"/>
      <c r="DP214" s="387"/>
      <c r="DQ214" s="387"/>
      <c r="DR214" s="387"/>
      <c r="DS214" s="988"/>
      <c r="DT214" s="387">
        <v>-62.72</v>
      </c>
      <c r="DU214" s="387" t="s">
        <v>2154</v>
      </c>
      <c r="DV214" s="387" t="s">
        <v>2154</v>
      </c>
      <c r="DW214" s="387" t="s">
        <v>2154</v>
      </c>
      <c r="DX214" s="387" t="s">
        <v>2154</v>
      </c>
      <c r="DY214" s="387" t="s">
        <v>2154</v>
      </c>
      <c r="DZ214" s="387" t="s">
        <v>2154</v>
      </c>
      <c r="EA214" s="387" t="s">
        <v>2154</v>
      </c>
      <c r="EB214" s="387" t="s">
        <v>2154</v>
      </c>
      <c r="EC214" s="387" t="s">
        <v>2154</v>
      </c>
      <c r="ED214" s="387" t="s">
        <v>2154</v>
      </c>
      <c r="EE214" s="988" t="s">
        <v>2154</v>
      </c>
      <c r="EF214" s="387"/>
      <c r="EG214" s="387"/>
      <c r="EH214" s="387"/>
      <c r="EI214" s="387"/>
      <c r="EJ214" s="387"/>
      <c r="EK214" s="387"/>
      <c r="EL214" s="387"/>
      <c r="EM214" s="387"/>
      <c r="EN214" s="387"/>
      <c r="EO214" s="387"/>
      <c r="EP214" s="387"/>
      <c r="EQ214" s="988"/>
      <c r="ER214" s="387"/>
      <c r="ES214" s="387"/>
      <c r="ET214" s="387"/>
      <c r="EU214" s="387"/>
      <c r="EV214" s="387"/>
      <c r="EW214" s="387"/>
      <c r="EX214" s="387"/>
      <c r="EY214" s="387"/>
      <c r="EZ214" s="387"/>
      <c r="FA214" s="387"/>
      <c r="FB214" s="387"/>
      <c r="FC214" s="988"/>
      <c r="FD214" s="387"/>
      <c r="FE214" s="387"/>
      <c r="FF214" s="387"/>
      <c r="FG214" s="387"/>
      <c r="FH214" s="387"/>
      <c r="FI214" s="387"/>
      <c r="FJ214" s="387"/>
      <c r="FK214" s="387"/>
      <c r="FL214" s="387"/>
      <c r="FM214" s="387"/>
      <c r="FN214" s="387"/>
      <c r="FO214" s="988"/>
      <c r="FP214" s="387"/>
      <c r="FQ214" s="387"/>
      <c r="FR214" s="387"/>
      <c r="FS214" s="387"/>
      <c r="FT214" s="387"/>
      <c r="FU214" s="387"/>
      <c r="FV214" s="387"/>
      <c r="FW214" s="387"/>
      <c r="FX214" s="387"/>
      <c r="FY214" s="387"/>
      <c r="FZ214" s="387"/>
      <c r="GA214" s="988"/>
      <c r="GB214" s="109"/>
      <c r="GC214" s="2454">
        <f t="shared" si="157"/>
        <v>-1368.5</v>
      </c>
      <c r="GD214" s="2455">
        <f t="shared" si="157"/>
        <v>-44.169999999999995</v>
      </c>
      <c r="GE214" s="2455">
        <f t="shared" si="157"/>
        <v>0</v>
      </c>
      <c r="GF214" s="2455">
        <f t="shared" si="157"/>
        <v>0</v>
      </c>
      <c r="GG214" s="2455">
        <f t="shared" si="157"/>
        <v>0</v>
      </c>
      <c r="GH214" s="2455">
        <f t="shared" si="157"/>
        <v>0</v>
      </c>
      <c r="GI214" s="2455">
        <f t="shared" si="157"/>
        <v>0</v>
      </c>
      <c r="GJ214" s="2455">
        <f t="shared" si="157"/>
        <v>0</v>
      </c>
      <c r="GK214" s="2455">
        <f t="shared" si="157"/>
        <v>0</v>
      </c>
      <c r="GL214" s="2455">
        <f t="shared" si="157"/>
        <v>0</v>
      </c>
      <c r="GM214" s="2455">
        <f t="shared" si="157"/>
        <v>0</v>
      </c>
      <c r="GN214" s="2456">
        <f t="shared" si="157"/>
        <v>0</v>
      </c>
      <c r="GO214" s="1036">
        <f t="shared" si="156"/>
        <v>-62.72</v>
      </c>
      <c r="GP214" s="387">
        <f t="shared" si="156"/>
        <v>0</v>
      </c>
      <c r="GQ214" s="387">
        <f t="shared" si="156"/>
        <v>0</v>
      </c>
      <c r="GR214" s="387">
        <f t="shared" si="156"/>
        <v>0</v>
      </c>
      <c r="GS214" s="387">
        <f t="shared" si="156"/>
        <v>0</v>
      </c>
      <c r="GT214" s="387">
        <f t="shared" si="156"/>
        <v>0</v>
      </c>
      <c r="GU214" s="387">
        <f t="shared" si="156"/>
        <v>0</v>
      </c>
      <c r="GV214" s="387">
        <f t="shared" si="156"/>
        <v>0</v>
      </c>
      <c r="GW214" s="387">
        <f t="shared" si="156"/>
        <v>0</v>
      </c>
      <c r="GX214" s="387">
        <f t="shared" si="156"/>
        <v>0</v>
      </c>
      <c r="GY214" s="387">
        <f t="shared" si="156"/>
        <v>0</v>
      </c>
      <c r="GZ214" s="988">
        <f t="shared" si="156"/>
        <v>0</v>
      </c>
      <c r="HB214" s="387"/>
      <c r="HC214" s="387"/>
      <c r="HD214" s="387"/>
      <c r="HE214" s="387"/>
      <c r="HF214" s="387"/>
      <c r="HG214" s="387"/>
      <c r="HH214" s="387"/>
      <c r="HI214" s="387"/>
      <c r="HJ214" s="387"/>
      <c r="HK214" s="387"/>
      <c r="HL214" s="387"/>
      <c r="HM214" s="988"/>
    </row>
    <row r="215" spans="1:221">
      <c r="A215" s="326" t="s">
        <v>900</v>
      </c>
      <c r="B215" s="326" t="s">
        <v>901</v>
      </c>
      <c r="C215" s="326" t="s">
        <v>3366</v>
      </c>
      <c r="D215" s="1036" t="s">
        <v>2154</v>
      </c>
      <c r="E215" s="387" t="s">
        <v>2154</v>
      </c>
      <c r="F215" s="387" t="s">
        <v>2154</v>
      </c>
      <c r="G215" s="387" t="s">
        <v>2154</v>
      </c>
      <c r="H215" s="387" t="s">
        <v>2154</v>
      </c>
      <c r="I215" s="387" t="s">
        <v>2154</v>
      </c>
      <c r="J215" s="387" t="s">
        <v>2154</v>
      </c>
      <c r="K215" s="387" t="s">
        <v>2154</v>
      </c>
      <c r="L215" s="387" t="s">
        <v>2154</v>
      </c>
      <c r="M215" s="387" t="s">
        <v>2154</v>
      </c>
      <c r="N215" s="387" t="s">
        <v>2154</v>
      </c>
      <c r="O215" s="988" t="s">
        <v>2154</v>
      </c>
      <c r="P215" s="387" t="s">
        <v>2154</v>
      </c>
      <c r="Q215" s="387" t="s">
        <v>2154</v>
      </c>
      <c r="R215" s="387" t="s">
        <v>2154</v>
      </c>
      <c r="S215" s="387" t="s">
        <v>2154</v>
      </c>
      <c r="T215" s="387" t="s">
        <v>2154</v>
      </c>
      <c r="U215" s="387" t="s">
        <v>2154</v>
      </c>
      <c r="V215" s="387" t="s">
        <v>2154</v>
      </c>
      <c r="W215" s="387" t="s">
        <v>2154</v>
      </c>
      <c r="X215" s="387" t="s">
        <v>2154</v>
      </c>
      <c r="Y215" s="387" t="s">
        <v>2154</v>
      </c>
      <c r="Z215" s="387" t="s">
        <v>2154</v>
      </c>
      <c r="AA215" s="988" t="s">
        <v>2154</v>
      </c>
      <c r="AB215" s="387"/>
      <c r="AC215" s="387"/>
      <c r="AD215" s="387"/>
      <c r="AE215" s="387"/>
      <c r="AF215" s="387"/>
      <c r="AG215" s="387"/>
      <c r="AH215" s="387"/>
      <c r="AI215" s="387"/>
      <c r="AJ215" s="387"/>
      <c r="AK215" s="387"/>
      <c r="AL215" s="387"/>
      <c r="AM215" s="988"/>
      <c r="AN215" s="387"/>
      <c r="AO215" s="387"/>
      <c r="AP215" s="387"/>
      <c r="AQ215" s="387"/>
      <c r="AR215" s="387"/>
      <c r="AS215" s="387"/>
      <c r="AT215" s="387"/>
      <c r="AU215" s="387"/>
      <c r="AV215" s="387"/>
      <c r="AW215" s="387"/>
      <c r="AX215" s="387"/>
      <c r="AY215" s="988"/>
      <c r="AZ215" s="387"/>
      <c r="BA215" s="387"/>
      <c r="BB215" s="387"/>
      <c r="BC215" s="387"/>
      <c r="BD215" s="387"/>
      <c r="BE215" s="387"/>
      <c r="BF215" s="387"/>
      <c r="BG215" s="387"/>
      <c r="BH215" s="387"/>
      <c r="BI215" s="387"/>
      <c r="BJ215" s="387"/>
      <c r="BK215" s="988"/>
      <c r="BL215" s="387"/>
      <c r="BM215" s="387"/>
      <c r="BN215" s="387"/>
      <c r="BO215" s="387"/>
      <c r="BP215" s="387"/>
      <c r="BQ215" s="387"/>
      <c r="BR215" s="387"/>
      <c r="BS215" s="387"/>
      <c r="BT215" s="387"/>
      <c r="BU215" s="387"/>
      <c r="BV215" s="387"/>
      <c r="BW215" s="988"/>
      <c r="BX215" s="387"/>
      <c r="BY215" s="387"/>
      <c r="BZ215" s="387"/>
      <c r="CA215" s="387"/>
      <c r="CB215" s="387"/>
      <c r="CC215" s="387"/>
      <c r="CD215" s="387"/>
      <c r="CE215" s="387"/>
      <c r="CF215" s="387"/>
      <c r="CG215" s="387"/>
      <c r="CH215" s="387"/>
      <c r="CI215" s="988"/>
      <c r="CJ215" s="387"/>
      <c r="CK215" s="387"/>
      <c r="CL215" s="387"/>
      <c r="CM215" s="387"/>
      <c r="CN215" s="387"/>
      <c r="CO215" s="387"/>
      <c r="CP215" s="387"/>
      <c r="CQ215" s="387"/>
      <c r="CR215" s="387"/>
      <c r="CS215" s="387"/>
      <c r="CT215" s="387"/>
      <c r="CU215" s="988"/>
      <c r="CV215" s="387"/>
      <c r="CW215" s="387"/>
      <c r="CX215" s="387"/>
      <c r="CY215" s="387"/>
      <c r="CZ215" s="387"/>
      <c r="DA215" s="387"/>
      <c r="DB215" s="387"/>
      <c r="DC215" s="387"/>
      <c r="DD215" s="387"/>
      <c r="DE215" s="387"/>
      <c r="DF215" s="387"/>
      <c r="DG215" s="988"/>
      <c r="DH215" s="387"/>
      <c r="DI215" s="387"/>
      <c r="DJ215" s="387"/>
      <c r="DK215" s="387"/>
      <c r="DL215" s="387"/>
      <c r="DM215" s="387"/>
      <c r="DN215" s="387"/>
      <c r="DO215" s="387"/>
      <c r="DP215" s="387"/>
      <c r="DQ215" s="387"/>
      <c r="DR215" s="387"/>
      <c r="DS215" s="988"/>
      <c r="DT215" s="387" t="s">
        <v>2154</v>
      </c>
      <c r="DU215" s="387" t="s">
        <v>2154</v>
      </c>
      <c r="DV215" s="387" t="s">
        <v>2154</v>
      </c>
      <c r="DW215" s="387" t="s">
        <v>2154</v>
      </c>
      <c r="DX215" s="387" t="s">
        <v>2154</v>
      </c>
      <c r="DY215" s="387" t="s">
        <v>2154</v>
      </c>
      <c r="DZ215" s="387" t="s">
        <v>2154</v>
      </c>
      <c r="EA215" s="387" t="s">
        <v>2154</v>
      </c>
      <c r="EB215" s="387" t="s">
        <v>2154</v>
      </c>
      <c r="EC215" s="387" t="s">
        <v>2154</v>
      </c>
      <c r="ED215" s="387" t="s">
        <v>2154</v>
      </c>
      <c r="EE215" s="988" t="s">
        <v>2154</v>
      </c>
      <c r="EF215" s="387"/>
      <c r="EG215" s="387"/>
      <c r="EH215" s="387"/>
      <c r="EI215" s="387"/>
      <c r="EJ215" s="387"/>
      <c r="EK215" s="387"/>
      <c r="EL215" s="387"/>
      <c r="EM215" s="387"/>
      <c r="EN215" s="387"/>
      <c r="EO215" s="387"/>
      <c r="EP215" s="387"/>
      <c r="EQ215" s="988"/>
      <c r="ER215" s="387"/>
      <c r="ES215" s="387"/>
      <c r="ET215" s="387"/>
      <c r="EU215" s="387"/>
      <c r="EV215" s="387"/>
      <c r="EW215" s="387"/>
      <c r="EX215" s="387"/>
      <c r="EY215" s="387"/>
      <c r="EZ215" s="387"/>
      <c r="FA215" s="387"/>
      <c r="FB215" s="387"/>
      <c r="FC215" s="988"/>
      <c r="FD215" s="387"/>
      <c r="FE215" s="387"/>
      <c r="FF215" s="387"/>
      <c r="FG215" s="387"/>
      <c r="FH215" s="387"/>
      <c r="FI215" s="387"/>
      <c r="FJ215" s="387"/>
      <c r="FK215" s="387"/>
      <c r="FL215" s="387"/>
      <c r="FM215" s="387"/>
      <c r="FN215" s="387"/>
      <c r="FO215" s="988"/>
      <c r="FP215" s="387"/>
      <c r="FQ215" s="387"/>
      <c r="FR215" s="387"/>
      <c r="FS215" s="387"/>
      <c r="FT215" s="387"/>
      <c r="FU215" s="387"/>
      <c r="FV215" s="387"/>
      <c r="FW215" s="387"/>
      <c r="FX215" s="387"/>
      <c r="FY215" s="387"/>
      <c r="FZ215" s="387"/>
      <c r="GA215" s="988"/>
      <c r="GB215" s="109"/>
      <c r="GC215" s="2454">
        <f t="shared" si="157"/>
        <v>0</v>
      </c>
      <c r="GD215" s="2455">
        <f t="shared" si="157"/>
        <v>0</v>
      </c>
      <c r="GE215" s="2455">
        <f t="shared" si="157"/>
        <v>0</v>
      </c>
      <c r="GF215" s="2455">
        <f t="shared" si="157"/>
        <v>0</v>
      </c>
      <c r="GG215" s="2455">
        <f t="shared" si="157"/>
        <v>0</v>
      </c>
      <c r="GH215" s="2455">
        <f t="shared" si="157"/>
        <v>0</v>
      </c>
      <c r="GI215" s="2455">
        <f t="shared" si="157"/>
        <v>0</v>
      </c>
      <c r="GJ215" s="2455">
        <f t="shared" si="157"/>
        <v>0</v>
      </c>
      <c r="GK215" s="2455">
        <f t="shared" si="157"/>
        <v>0</v>
      </c>
      <c r="GL215" s="2455">
        <f t="shared" si="157"/>
        <v>0</v>
      </c>
      <c r="GM215" s="2455">
        <f t="shared" si="157"/>
        <v>0</v>
      </c>
      <c r="GN215" s="2456">
        <f t="shared" si="157"/>
        <v>0</v>
      </c>
      <c r="GO215" s="1036">
        <f t="shared" ref="GO215:GZ224" si="158">SUMPRODUCT(--($DT$6:$GA$6=GO$6),$DT215:$GA215,$DT$278:$GA$278)</f>
        <v>0</v>
      </c>
      <c r="GP215" s="387">
        <f t="shared" si="158"/>
        <v>0</v>
      </c>
      <c r="GQ215" s="387">
        <f t="shared" si="158"/>
        <v>0</v>
      </c>
      <c r="GR215" s="387">
        <f t="shared" si="158"/>
        <v>0</v>
      </c>
      <c r="GS215" s="387">
        <f t="shared" si="158"/>
        <v>0</v>
      </c>
      <c r="GT215" s="387">
        <f t="shared" si="158"/>
        <v>0</v>
      </c>
      <c r="GU215" s="387">
        <f t="shared" si="158"/>
        <v>0</v>
      </c>
      <c r="GV215" s="387">
        <f t="shared" si="158"/>
        <v>0</v>
      </c>
      <c r="GW215" s="387">
        <f t="shared" si="158"/>
        <v>0</v>
      </c>
      <c r="GX215" s="387">
        <f t="shared" si="158"/>
        <v>0</v>
      </c>
      <c r="GY215" s="387">
        <f t="shared" si="158"/>
        <v>0</v>
      </c>
      <c r="GZ215" s="988">
        <f t="shared" si="158"/>
        <v>0</v>
      </c>
      <c r="HB215" s="387"/>
      <c r="HC215" s="387"/>
      <c r="HD215" s="387"/>
      <c r="HE215" s="387"/>
      <c r="HF215" s="387"/>
      <c r="HG215" s="387"/>
      <c r="HH215" s="387"/>
      <c r="HI215" s="387"/>
      <c r="HJ215" s="387"/>
      <c r="HK215" s="387"/>
      <c r="HL215" s="387"/>
      <c r="HM215" s="988"/>
    </row>
    <row r="216" spans="1:221">
      <c r="A216" s="326" t="s">
        <v>900</v>
      </c>
      <c r="B216" s="326" t="s">
        <v>901</v>
      </c>
      <c r="C216" s="326" t="s">
        <v>3367</v>
      </c>
      <c r="D216" s="1036" t="s">
        <v>2154</v>
      </c>
      <c r="E216" s="387" t="s">
        <v>2154</v>
      </c>
      <c r="F216" s="387" t="s">
        <v>2154</v>
      </c>
      <c r="G216" s="387" t="s">
        <v>2154</v>
      </c>
      <c r="H216" s="387" t="s">
        <v>2154</v>
      </c>
      <c r="I216" s="387" t="s">
        <v>2154</v>
      </c>
      <c r="J216" s="387" t="s">
        <v>2154</v>
      </c>
      <c r="K216" s="387" t="s">
        <v>2154</v>
      </c>
      <c r="L216" s="387" t="s">
        <v>2154</v>
      </c>
      <c r="M216" s="387" t="s">
        <v>2154</v>
      </c>
      <c r="N216" s="387" t="s">
        <v>2154</v>
      </c>
      <c r="O216" s="988" t="s">
        <v>2154</v>
      </c>
      <c r="P216" s="387" t="s">
        <v>2154</v>
      </c>
      <c r="Q216" s="387" t="s">
        <v>2154</v>
      </c>
      <c r="R216" s="387" t="s">
        <v>2154</v>
      </c>
      <c r="S216" s="387" t="s">
        <v>2154</v>
      </c>
      <c r="T216" s="387" t="s">
        <v>2154</v>
      </c>
      <c r="U216" s="387" t="s">
        <v>2154</v>
      </c>
      <c r="V216" s="387" t="s">
        <v>2154</v>
      </c>
      <c r="W216" s="387" t="s">
        <v>2154</v>
      </c>
      <c r="X216" s="387" t="s">
        <v>2154</v>
      </c>
      <c r="Y216" s="387" t="s">
        <v>2154</v>
      </c>
      <c r="Z216" s="387" t="s">
        <v>2154</v>
      </c>
      <c r="AA216" s="988" t="s">
        <v>2154</v>
      </c>
      <c r="AB216" s="387"/>
      <c r="AC216" s="387"/>
      <c r="AD216" s="387"/>
      <c r="AE216" s="387"/>
      <c r="AF216" s="387"/>
      <c r="AG216" s="387"/>
      <c r="AH216" s="387"/>
      <c r="AI216" s="387"/>
      <c r="AJ216" s="387"/>
      <c r="AK216" s="387"/>
      <c r="AL216" s="387"/>
      <c r="AM216" s="988"/>
      <c r="AN216" s="387"/>
      <c r="AO216" s="387"/>
      <c r="AP216" s="387"/>
      <c r="AQ216" s="387"/>
      <c r="AR216" s="387"/>
      <c r="AS216" s="387"/>
      <c r="AT216" s="387"/>
      <c r="AU216" s="387"/>
      <c r="AV216" s="387"/>
      <c r="AW216" s="387"/>
      <c r="AX216" s="387"/>
      <c r="AY216" s="988"/>
      <c r="AZ216" s="387"/>
      <c r="BA216" s="387"/>
      <c r="BB216" s="387"/>
      <c r="BC216" s="387"/>
      <c r="BD216" s="387"/>
      <c r="BE216" s="387"/>
      <c r="BF216" s="387"/>
      <c r="BG216" s="387"/>
      <c r="BH216" s="387"/>
      <c r="BI216" s="387"/>
      <c r="BJ216" s="387"/>
      <c r="BK216" s="988"/>
      <c r="BL216" s="387"/>
      <c r="BM216" s="387"/>
      <c r="BN216" s="387"/>
      <c r="BO216" s="387"/>
      <c r="BP216" s="387"/>
      <c r="BQ216" s="387"/>
      <c r="BR216" s="387"/>
      <c r="BS216" s="387"/>
      <c r="BT216" s="387"/>
      <c r="BU216" s="387"/>
      <c r="BV216" s="387"/>
      <c r="BW216" s="988"/>
      <c r="BX216" s="387"/>
      <c r="BY216" s="387"/>
      <c r="BZ216" s="387"/>
      <c r="CA216" s="387"/>
      <c r="CB216" s="387"/>
      <c r="CC216" s="387"/>
      <c r="CD216" s="387"/>
      <c r="CE216" s="387"/>
      <c r="CF216" s="387"/>
      <c r="CG216" s="387"/>
      <c r="CH216" s="387"/>
      <c r="CI216" s="988"/>
      <c r="CJ216" s="387"/>
      <c r="CK216" s="387"/>
      <c r="CL216" s="387"/>
      <c r="CM216" s="387"/>
      <c r="CN216" s="387"/>
      <c r="CO216" s="387"/>
      <c r="CP216" s="387"/>
      <c r="CQ216" s="387"/>
      <c r="CR216" s="387"/>
      <c r="CS216" s="387"/>
      <c r="CT216" s="387"/>
      <c r="CU216" s="988"/>
      <c r="CV216" s="387"/>
      <c r="CW216" s="387"/>
      <c r="CX216" s="387"/>
      <c r="CY216" s="387"/>
      <c r="CZ216" s="387"/>
      <c r="DA216" s="387"/>
      <c r="DB216" s="387"/>
      <c r="DC216" s="387"/>
      <c r="DD216" s="387"/>
      <c r="DE216" s="387"/>
      <c r="DF216" s="387"/>
      <c r="DG216" s="988"/>
      <c r="DH216" s="387"/>
      <c r="DI216" s="387"/>
      <c r="DJ216" s="387"/>
      <c r="DK216" s="387"/>
      <c r="DL216" s="387"/>
      <c r="DM216" s="387"/>
      <c r="DN216" s="387"/>
      <c r="DO216" s="387"/>
      <c r="DP216" s="387"/>
      <c r="DQ216" s="387"/>
      <c r="DR216" s="387"/>
      <c r="DS216" s="988"/>
      <c r="DT216" s="387" t="s">
        <v>2154</v>
      </c>
      <c r="DU216" s="387" t="s">
        <v>2154</v>
      </c>
      <c r="DV216" s="387" t="s">
        <v>2154</v>
      </c>
      <c r="DW216" s="387" t="s">
        <v>2154</v>
      </c>
      <c r="DX216" s="387" t="s">
        <v>2154</v>
      </c>
      <c r="DY216" s="387" t="s">
        <v>2154</v>
      </c>
      <c r="DZ216" s="387" t="s">
        <v>2154</v>
      </c>
      <c r="EA216" s="387" t="s">
        <v>2154</v>
      </c>
      <c r="EB216" s="387" t="s">
        <v>2154</v>
      </c>
      <c r="EC216" s="387" t="s">
        <v>2154</v>
      </c>
      <c r="ED216" s="387" t="s">
        <v>2154</v>
      </c>
      <c r="EE216" s="988" t="s">
        <v>2154</v>
      </c>
      <c r="EF216" s="387"/>
      <c r="EG216" s="387"/>
      <c r="EH216" s="387"/>
      <c r="EI216" s="387"/>
      <c r="EJ216" s="387"/>
      <c r="EK216" s="387"/>
      <c r="EL216" s="387"/>
      <c r="EM216" s="387"/>
      <c r="EN216" s="387"/>
      <c r="EO216" s="387"/>
      <c r="EP216" s="387"/>
      <c r="EQ216" s="988"/>
      <c r="ER216" s="387"/>
      <c r="ES216" s="387"/>
      <c r="ET216" s="387"/>
      <c r="EU216" s="387"/>
      <c r="EV216" s="387"/>
      <c r="EW216" s="387"/>
      <c r="EX216" s="387"/>
      <c r="EY216" s="387"/>
      <c r="EZ216" s="387"/>
      <c r="FA216" s="387"/>
      <c r="FB216" s="387"/>
      <c r="FC216" s="988"/>
      <c r="FD216" s="387"/>
      <c r="FE216" s="387"/>
      <c r="FF216" s="387"/>
      <c r="FG216" s="387"/>
      <c r="FH216" s="387"/>
      <c r="FI216" s="387"/>
      <c r="FJ216" s="387"/>
      <c r="FK216" s="387"/>
      <c r="FL216" s="387"/>
      <c r="FM216" s="387"/>
      <c r="FN216" s="387"/>
      <c r="FO216" s="988"/>
      <c r="FP216" s="387"/>
      <c r="FQ216" s="387"/>
      <c r="FR216" s="387"/>
      <c r="FS216" s="387"/>
      <c r="FT216" s="387"/>
      <c r="FU216" s="387"/>
      <c r="FV216" s="387"/>
      <c r="FW216" s="387"/>
      <c r="FX216" s="387"/>
      <c r="FY216" s="387"/>
      <c r="FZ216" s="387"/>
      <c r="GA216" s="988"/>
      <c r="GB216" s="109"/>
      <c r="GC216" s="2454">
        <f t="shared" ref="GC216:GN229" si="159">SUMPRODUCT(--($D$6:$DS$6=GC$6),$D216:$DS216,$D$278:$DS$278)</f>
        <v>0</v>
      </c>
      <c r="GD216" s="2455">
        <f t="shared" si="159"/>
        <v>0</v>
      </c>
      <c r="GE216" s="2455">
        <f t="shared" si="159"/>
        <v>0</v>
      </c>
      <c r="GF216" s="2455">
        <f t="shared" si="159"/>
        <v>0</v>
      </c>
      <c r="GG216" s="2455">
        <f t="shared" si="159"/>
        <v>0</v>
      </c>
      <c r="GH216" s="2455">
        <f t="shared" si="159"/>
        <v>0</v>
      </c>
      <c r="GI216" s="2455">
        <f t="shared" si="159"/>
        <v>0</v>
      </c>
      <c r="GJ216" s="2455">
        <f t="shared" si="159"/>
        <v>0</v>
      </c>
      <c r="GK216" s="2455">
        <f t="shared" si="159"/>
        <v>0</v>
      </c>
      <c r="GL216" s="2455">
        <f t="shared" si="159"/>
        <v>0</v>
      </c>
      <c r="GM216" s="2455">
        <f t="shared" si="159"/>
        <v>0</v>
      </c>
      <c r="GN216" s="2456">
        <f t="shared" si="159"/>
        <v>0</v>
      </c>
      <c r="GO216" s="1036">
        <f t="shared" si="158"/>
        <v>0</v>
      </c>
      <c r="GP216" s="387">
        <f t="shared" si="158"/>
        <v>0</v>
      </c>
      <c r="GQ216" s="387">
        <f t="shared" si="158"/>
        <v>0</v>
      </c>
      <c r="GR216" s="387">
        <f t="shared" si="158"/>
        <v>0</v>
      </c>
      <c r="GS216" s="387">
        <f t="shared" si="158"/>
        <v>0</v>
      </c>
      <c r="GT216" s="387">
        <f t="shared" si="158"/>
        <v>0</v>
      </c>
      <c r="GU216" s="387">
        <f t="shared" si="158"/>
        <v>0</v>
      </c>
      <c r="GV216" s="387">
        <f t="shared" si="158"/>
        <v>0</v>
      </c>
      <c r="GW216" s="387">
        <f t="shared" si="158"/>
        <v>0</v>
      </c>
      <c r="GX216" s="387">
        <f t="shared" si="158"/>
        <v>0</v>
      </c>
      <c r="GY216" s="387">
        <f t="shared" si="158"/>
        <v>0</v>
      </c>
      <c r="GZ216" s="988">
        <f t="shared" si="158"/>
        <v>0</v>
      </c>
      <c r="HB216" s="387"/>
      <c r="HC216" s="387"/>
      <c r="HD216" s="387"/>
      <c r="HE216" s="387"/>
      <c r="HF216" s="387"/>
      <c r="HG216" s="387"/>
      <c r="HH216" s="387"/>
      <c r="HI216" s="387"/>
      <c r="HJ216" s="387"/>
      <c r="HK216" s="387"/>
      <c r="HL216" s="387"/>
      <c r="HM216" s="988"/>
    </row>
    <row r="217" spans="1:221">
      <c r="A217" s="326" t="s">
        <v>900</v>
      </c>
      <c r="B217" s="326" t="s">
        <v>901</v>
      </c>
      <c r="C217" s="326" t="s">
        <v>1632</v>
      </c>
      <c r="D217" s="1036">
        <v>2062.56</v>
      </c>
      <c r="E217" s="387">
        <v>1998.89</v>
      </c>
      <c r="F217" s="387">
        <v>1861.31</v>
      </c>
      <c r="G217" s="387">
        <v>2111.77</v>
      </c>
      <c r="H217" s="387">
        <v>2166.25</v>
      </c>
      <c r="I217" s="387">
        <v>2047.83</v>
      </c>
      <c r="J217" s="387">
        <v>1787.55</v>
      </c>
      <c r="K217" s="387">
        <v>1733.59</v>
      </c>
      <c r="L217" s="387">
        <v>1625.63</v>
      </c>
      <c r="M217" s="387">
        <v>1478.11</v>
      </c>
      <c r="N217" s="387">
        <v>1566.71</v>
      </c>
      <c r="O217" s="988">
        <v>1453.74</v>
      </c>
      <c r="P217" s="387" t="s">
        <v>2154</v>
      </c>
      <c r="Q217" s="387" t="s">
        <v>2154</v>
      </c>
      <c r="R217" s="387" t="s">
        <v>2154</v>
      </c>
      <c r="S217" s="387" t="s">
        <v>2154</v>
      </c>
      <c r="T217" s="387" t="s">
        <v>2154</v>
      </c>
      <c r="U217" s="387" t="s">
        <v>2154</v>
      </c>
      <c r="V217" s="387" t="s">
        <v>2154</v>
      </c>
      <c r="W217" s="387" t="s">
        <v>2154</v>
      </c>
      <c r="X217" s="387" t="s">
        <v>2154</v>
      </c>
      <c r="Y217" s="387" t="s">
        <v>2154</v>
      </c>
      <c r="Z217" s="387" t="s">
        <v>2154</v>
      </c>
      <c r="AA217" s="988" t="s">
        <v>2154</v>
      </c>
      <c r="AB217" s="387"/>
      <c r="AC217" s="387"/>
      <c r="AD217" s="387"/>
      <c r="AE217" s="387"/>
      <c r="AF217" s="387"/>
      <c r="AG217" s="387"/>
      <c r="AH217" s="387"/>
      <c r="AI217" s="387"/>
      <c r="AJ217" s="387"/>
      <c r="AK217" s="387"/>
      <c r="AL217" s="387"/>
      <c r="AM217" s="988"/>
      <c r="AN217" s="387"/>
      <c r="AO217" s="387"/>
      <c r="AP217" s="387"/>
      <c r="AQ217" s="387"/>
      <c r="AR217" s="387"/>
      <c r="AS217" s="387"/>
      <c r="AT217" s="387"/>
      <c r="AU217" s="387"/>
      <c r="AV217" s="387"/>
      <c r="AW217" s="387"/>
      <c r="AX217" s="387"/>
      <c r="AY217" s="988"/>
      <c r="AZ217" s="387"/>
      <c r="BA217" s="387"/>
      <c r="BB217" s="387"/>
      <c r="BC217" s="387"/>
      <c r="BD217" s="387"/>
      <c r="BE217" s="387"/>
      <c r="BF217" s="387"/>
      <c r="BG217" s="387"/>
      <c r="BH217" s="387"/>
      <c r="BI217" s="387"/>
      <c r="BJ217" s="387"/>
      <c r="BK217" s="988"/>
      <c r="BL217" s="387"/>
      <c r="BM217" s="387"/>
      <c r="BN217" s="387"/>
      <c r="BO217" s="387"/>
      <c r="BP217" s="387"/>
      <c r="BQ217" s="387"/>
      <c r="BR217" s="387"/>
      <c r="BS217" s="387"/>
      <c r="BT217" s="387"/>
      <c r="BU217" s="387"/>
      <c r="BV217" s="387"/>
      <c r="BW217" s="988"/>
      <c r="BX217" s="387"/>
      <c r="BY217" s="387"/>
      <c r="BZ217" s="387"/>
      <c r="CA217" s="387"/>
      <c r="CB217" s="387"/>
      <c r="CC217" s="387"/>
      <c r="CD217" s="387"/>
      <c r="CE217" s="387"/>
      <c r="CF217" s="387"/>
      <c r="CG217" s="387"/>
      <c r="CH217" s="387"/>
      <c r="CI217" s="988"/>
      <c r="CJ217" s="387"/>
      <c r="CK217" s="387"/>
      <c r="CL217" s="387"/>
      <c r="CM217" s="387"/>
      <c r="CN217" s="387"/>
      <c r="CO217" s="387"/>
      <c r="CP217" s="387"/>
      <c r="CQ217" s="387"/>
      <c r="CR217" s="387"/>
      <c r="CS217" s="387"/>
      <c r="CT217" s="387"/>
      <c r="CU217" s="988"/>
      <c r="CV217" s="387"/>
      <c r="CW217" s="387"/>
      <c r="CX217" s="387"/>
      <c r="CY217" s="387"/>
      <c r="CZ217" s="387"/>
      <c r="DA217" s="387"/>
      <c r="DB217" s="387"/>
      <c r="DC217" s="387"/>
      <c r="DD217" s="387"/>
      <c r="DE217" s="387"/>
      <c r="DF217" s="387"/>
      <c r="DG217" s="988"/>
      <c r="DH217" s="387"/>
      <c r="DI217" s="387"/>
      <c r="DJ217" s="387"/>
      <c r="DK217" s="387"/>
      <c r="DL217" s="387"/>
      <c r="DM217" s="387"/>
      <c r="DN217" s="387"/>
      <c r="DO217" s="387"/>
      <c r="DP217" s="387"/>
      <c r="DQ217" s="387"/>
      <c r="DR217" s="387"/>
      <c r="DS217" s="988"/>
      <c r="DT217" s="387" t="s">
        <v>2154</v>
      </c>
      <c r="DU217" s="387" t="s">
        <v>2154</v>
      </c>
      <c r="DV217" s="387" t="s">
        <v>2154</v>
      </c>
      <c r="DW217" s="387" t="s">
        <v>2154</v>
      </c>
      <c r="DX217" s="387" t="s">
        <v>2154</v>
      </c>
      <c r="DY217" s="387" t="s">
        <v>2154</v>
      </c>
      <c r="DZ217" s="387" t="s">
        <v>2154</v>
      </c>
      <c r="EA217" s="387" t="s">
        <v>2154</v>
      </c>
      <c r="EB217" s="387" t="s">
        <v>2154</v>
      </c>
      <c r="EC217" s="387" t="s">
        <v>2154</v>
      </c>
      <c r="ED217" s="387" t="s">
        <v>2154</v>
      </c>
      <c r="EE217" s="988" t="s">
        <v>2154</v>
      </c>
      <c r="EF217" s="387"/>
      <c r="EG217" s="387"/>
      <c r="EH217" s="387"/>
      <c r="EI217" s="387"/>
      <c r="EJ217" s="387"/>
      <c r="EK217" s="387"/>
      <c r="EL217" s="387"/>
      <c r="EM217" s="387"/>
      <c r="EN217" s="387"/>
      <c r="EO217" s="387"/>
      <c r="EP217" s="387"/>
      <c r="EQ217" s="988"/>
      <c r="ER217" s="387"/>
      <c r="ES217" s="387"/>
      <c r="ET217" s="387"/>
      <c r="EU217" s="387"/>
      <c r="EV217" s="387"/>
      <c r="EW217" s="387"/>
      <c r="EX217" s="387"/>
      <c r="EY217" s="387"/>
      <c r="EZ217" s="387"/>
      <c r="FA217" s="387"/>
      <c r="FB217" s="387"/>
      <c r="FC217" s="988"/>
      <c r="FD217" s="387"/>
      <c r="FE217" s="387"/>
      <c r="FF217" s="387"/>
      <c r="FG217" s="387"/>
      <c r="FH217" s="387"/>
      <c r="FI217" s="387"/>
      <c r="FJ217" s="387"/>
      <c r="FK217" s="387"/>
      <c r="FL217" s="387"/>
      <c r="FM217" s="387"/>
      <c r="FN217" s="387"/>
      <c r="FO217" s="988"/>
      <c r="FP217" s="387"/>
      <c r="FQ217" s="387"/>
      <c r="FR217" s="387"/>
      <c r="FS217" s="387"/>
      <c r="FT217" s="387"/>
      <c r="FU217" s="387"/>
      <c r="FV217" s="387"/>
      <c r="FW217" s="387"/>
      <c r="FX217" s="387"/>
      <c r="FY217" s="387"/>
      <c r="FZ217" s="387"/>
      <c r="GA217" s="988"/>
      <c r="GB217" s="109"/>
      <c r="GC217" s="2454">
        <f t="shared" si="159"/>
        <v>2062.56</v>
      </c>
      <c r="GD217" s="2455">
        <f t="shared" si="159"/>
        <v>1998.89</v>
      </c>
      <c r="GE217" s="2455">
        <f t="shared" si="159"/>
        <v>1861.31</v>
      </c>
      <c r="GF217" s="2455">
        <f t="shared" si="159"/>
        <v>2111.77</v>
      </c>
      <c r="GG217" s="2455">
        <f t="shared" si="159"/>
        <v>2166.25</v>
      </c>
      <c r="GH217" s="2455">
        <f t="shared" si="159"/>
        <v>2047.83</v>
      </c>
      <c r="GI217" s="2455">
        <f t="shared" si="159"/>
        <v>1787.55</v>
      </c>
      <c r="GJ217" s="2455">
        <f t="shared" si="159"/>
        <v>1733.59</v>
      </c>
      <c r="GK217" s="2455">
        <f t="shared" si="159"/>
        <v>1625.63</v>
      </c>
      <c r="GL217" s="2455">
        <f t="shared" si="159"/>
        <v>1478.11</v>
      </c>
      <c r="GM217" s="2455">
        <f t="shared" si="159"/>
        <v>1566.71</v>
      </c>
      <c r="GN217" s="2456">
        <f t="shared" si="159"/>
        <v>1453.74</v>
      </c>
      <c r="GO217" s="1036">
        <f t="shared" si="158"/>
        <v>0</v>
      </c>
      <c r="GP217" s="387">
        <f t="shared" si="158"/>
        <v>0</v>
      </c>
      <c r="GQ217" s="387">
        <f t="shared" si="158"/>
        <v>0</v>
      </c>
      <c r="GR217" s="387">
        <f t="shared" si="158"/>
        <v>0</v>
      </c>
      <c r="GS217" s="387">
        <f t="shared" si="158"/>
        <v>0</v>
      </c>
      <c r="GT217" s="387">
        <f t="shared" si="158"/>
        <v>0</v>
      </c>
      <c r="GU217" s="387">
        <f t="shared" si="158"/>
        <v>0</v>
      </c>
      <c r="GV217" s="387">
        <f t="shared" si="158"/>
        <v>0</v>
      </c>
      <c r="GW217" s="387">
        <f t="shared" si="158"/>
        <v>0</v>
      </c>
      <c r="GX217" s="387">
        <f t="shared" si="158"/>
        <v>0</v>
      </c>
      <c r="GY217" s="387">
        <f t="shared" si="158"/>
        <v>0</v>
      </c>
      <c r="GZ217" s="988">
        <f t="shared" si="158"/>
        <v>0</v>
      </c>
      <c r="HB217" s="387"/>
      <c r="HC217" s="387"/>
      <c r="HD217" s="387"/>
      <c r="HE217" s="387"/>
      <c r="HF217" s="387"/>
      <c r="HG217" s="387"/>
      <c r="HH217" s="387"/>
      <c r="HI217" s="387"/>
      <c r="HJ217" s="387"/>
      <c r="HK217" s="387"/>
      <c r="HL217" s="387"/>
      <c r="HM217" s="988"/>
    </row>
    <row r="218" spans="1:221">
      <c r="A218" s="326" t="s">
        <v>900</v>
      </c>
      <c r="B218" s="326" t="s">
        <v>901</v>
      </c>
      <c r="C218" s="326" t="s">
        <v>1633</v>
      </c>
      <c r="D218" s="1036">
        <v>-632.58000000000004</v>
      </c>
      <c r="E218" s="387">
        <v>-613.05999999999995</v>
      </c>
      <c r="F218" s="387">
        <v>-570.86</v>
      </c>
      <c r="G218" s="387">
        <v>-647.66999999999996</v>
      </c>
      <c r="H218" s="387">
        <v>-664.26</v>
      </c>
      <c r="I218" s="387">
        <v>-628.05999999999995</v>
      </c>
      <c r="J218" s="387">
        <v>-548.23</v>
      </c>
      <c r="K218" s="387">
        <v>-531.69000000000005</v>
      </c>
      <c r="L218" s="387">
        <v>-498.57</v>
      </c>
      <c r="M218" s="387">
        <v>-453.34</v>
      </c>
      <c r="N218" s="387">
        <v>-480.5</v>
      </c>
      <c r="O218" s="988">
        <v>-567.89</v>
      </c>
      <c r="P218" s="387" t="s">
        <v>2154</v>
      </c>
      <c r="Q218" s="387" t="s">
        <v>2154</v>
      </c>
      <c r="R218" s="387" t="s">
        <v>2154</v>
      </c>
      <c r="S218" s="387" t="s">
        <v>2154</v>
      </c>
      <c r="T218" s="387" t="s">
        <v>2154</v>
      </c>
      <c r="U218" s="387" t="s">
        <v>2154</v>
      </c>
      <c r="V218" s="387" t="s">
        <v>2154</v>
      </c>
      <c r="W218" s="387" t="s">
        <v>2154</v>
      </c>
      <c r="X218" s="387" t="s">
        <v>2154</v>
      </c>
      <c r="Y218" s="387" t="s">
        <v>2154</v>
      </c>
      <c r="Z218" s="387" t="s">
        <v>2154</v>
      </c>
      <c r="AA218" s="988" t="s">
        <v>2154</v>
      </c>
      <c r="AB218" s="387"/>
      <c r="AC218" s="387"/>
      <c r="AD218" s="387"/>
      <c r="AE218" s="387"/>
      <c r="AF218" s="387"/>
      <c r="AG218" s="387"/>
      <c r="AH218" s="387"/>
      <c r="AI218" s="387"/>
      <c r="AJ218" s="387"/>
      <c r="AK218" s="387"/>
      <c r="AL218" s="387"/>
      <c r="AM218" s="988"/>
      <c r="AN218" s="387"/>
      <c r="AO218" s="387"/>
      <c r="AP218" s="387"/>
      <c r="AQ218" s="387"/>
      <c r="AR218" s="387"/>
      <c r="AS218" s="387"/>
      <c r="AT218" s="387"/>
      <c r="AU218" s="387"/>
      <c r="AV218" s="387"/>
      <c r="AW218" s="387"/>
      <c r="AX218" s="387"/>
      <c r="AY218" s="988"/>
      <c r="AZ218" s="387"/>
      <c r="BA218" s="387"/>
      <c r="BB218" s="387"/>
      <c r="BC218" s="387"/>
      <c r="BD218" s="387"/>
      <c r="BE218" s="387"/>
      <c r="BF218" s="387"/>
      <c r="BG218" s="387"/>
      <c r="BH218" s="387"/>
      <c r="BI218" s="387"/>
      <c r="BJ218" s="387"/>
      <c r="BK218" s="988"/>
      <c r="BL218" s="387"/>
      <c r="BM218" s="387"/>
      <c r="BN218" s="387"/>
      <c r="BO218" s="387"/>
      <c r="BP218" s="387"/>
      <c r="BQ218" s="387"/>
      <c r="BR218" s="387"/>
      <c r="BS218" s="387"/>
      <c r="BT218" s="387"/>
      <c r="BU218" s="387"/>
      <c r="BV218" s="387"/>
      <c r="BW218" s="988"/>
      <c r="BX218" s="387"/>
      <c r="BY218" s="387"/>
      <c r="BZ218" s="387"/>
      <c r="CA218" s="387"/>
      <c r="CB218" s="387"/>
      <c r="CC218" s="387"/>
      <c r="CD218" s="387"/>
      <c r="CE218" s="387"/>
      <c r="CF218" s="387"/>
      <c r="CG218" s="387"/>
      <c r="CH218" s="387"/>
      <c r="CI218" s="988"/>
      <c r="CJ218" s="387"/>
      <c r="CK218" s="387"/>
      <c r="CL218" s="387"/>
      <c r="CM218" s="387"/>
      <c r="CN218" s="387"/>
      <c r="CO218" s="387"/>
      <c r="CP218" s="387"/>
      <c r="CQ218" s="387"/>
      <c r="CR218" s="387"/>
      <c r="CS218" s="387"/>
      <c r="CT218" s="387"/>
      <c r="CU218" s="988"/>
      <c r="CV218" s="387"/>
      <c r="CW218" s="387"/>
      <c r="CX218" s="387"/>
      <c r="CY218" s="387"/>
      <c r="CZ218" s="387"/>
      <c r="DA218" s="387"/>
      <c r="DB218" s="387"/>
      <c r="DC218" s="387"/>
      <c r="DD218" s="387"/>
      <c r="DE218" s="387"/>
      <c r="DF218" s="387"/>
      <c r="DG218" s="988"/>
      <c r="DH218" s="387"/>
      <c r="DI218" s="387"/>
      <c r="DJ218" s="387"/>
      <c r="DK218" s="387"/>
      <c r="DL218" s="387"/>
      <c r="DM218" s="387"/>
      <c r="DN218" s="387"/>
      <c r="DO218" s="387"/>
      <c r="DP218" s="387"/>
      <c r="DQ218" s="387"/>
      <c r="DR218" s="387"/>
      <c r="DS218" s="988"/>
      <c r="DT218" s="387" t="s">
        <v>2154</v>
      </c>
      <c r="DU218" s="387" t="s">
        <v>2154</v>
      </c>
      <c r="DV218" s="387" t="s">
        <v>2154</v>
      </c>
      <c r="DW218" s="387" t="s">
        <v>2154</v>
      </c>
      <c r="DX218" s="387" t="s">
        <v>2154</v>
      </c>
      <c r="DY218" s="387" t="s">
        <v>2154</v>
      </c>
      <c r="DZ218" s="387" t="s">
        <v>2154</v>
      </c>
      <c r="EA218" s="387" t="s">
        <v>2154</v>
      </c>
      <c r="EB218" s="387" t="s">
        <v>2154</v>
      </c>
      <c r="EC218" s="387" t="s">
        <v>2154</v>
      </c>
      <c r="ED218" s="387" t="s">
        <v>2154</v>
      </c>
      <c r="EE218" s="988" t="s">
        <v>2154</v>
      </c>
      <c r="EF218" s="387"/>
      <c r="EG218" s="387"/>
      <c r="EH218" s="387"/>
      <c r="EI218" s="387"/>
      <c r="EJ218" s="387"/>
      <c r="EK218" s="387"/>
      <c r="EL218" s="387"/>
      <c r="EM218" s="387"/>
      <c r="EN218" s="387"/>
      <c r="EO218" s="387"/>
      <c r="EP218" s="387"/>
      <c r="EQ218" s="988"/>
      <c r="ER218" s="387"/>
      <c r="ES218" s="387"/>
      <c r="ET218" s="387"/>
      <c r="EU218" s="387"/>
      <c r="EV218" s="387"/>
      <c r="EW218" s="387"/>
      <c r="EX218" s="387"/>
      <c r="EY218" s="387"/>
      <c r="EZ218" s="387"/>
      <c r="FA218" s="387"/>
      <c r="FB218" s="387"/>
      <c r="FC218" s="988"/>
      <c r="FD218" s="387"/>
      <c r="FE218" s="387"/>
      <c r="FF218" s="387"/>
      <c r="FG218" s="387"/>
      <c r="FH218" s="387"/>
      <c r="FI218" s="387"/>
      <c r="FJ218" s="387"/>
      <c r="FK218" s="387"/>
      <c r="FL218" s="387"/>
      <c r="FM218" s="387"/>
      <c r="FN218" s="387"/>
      <c r="FO218" s="988"/>
      <c r="FP218" s="387"/>
      <c r="FQ218" s="387"/>
      <c r="FR218" s="387"/>
      <c r="FS218" s="387"/>
      <c r="FT218" s="387"/>
      <c r="FU218" s="387"/>
      <c r="FV218" s="387"/>
      <c r="FW218" s="387"/>
      <c r="FX218" s="387"/>
      <c r="FY218" s="387"/>
      <c r="FZ218" s="387"/>
      <c r="GA218" s="988"/>
      <c r="GB218" s="109"/>
      <c r="GC218" s="2454">
        <f t="shared" si="159"/>
        <v>-632.58000000000004</v>
      </c>
      <c r="GD218" s="2455">
        <f t="shared" si="159"/>
        <v>-613.05999999999995</v>
      </c>
      <c r="GE218" s="2455">
        <f t="shared" si="159"/>
        <v>-570.86</v>
      </c>
      <c r="GF218" s="2455">
        <f t="shared" si="159"/>
        <v>-647.66999999999996</v>
      </c>
      <c r="GG218" s="2455">
        <f t="shared" si="159"/>
        <v>-664.26</v>
      </c>
      <c r="GH218" s="2455">
        <f t="shared" si="159"/>
        <v>-628.05999999999995</v>
      </c>
      <c r="GI218" s="2455">
        <f t="shared" si="159"/>
        <v>-548.23</v>
      </c>
      <c r="GJ218" s="2455">
        <f t="shared" si="159"/>
        <v>-531.69000000000005</v>
      </c>
      <c r="GK218" s="2455">
        <f t="shared" si="159"/>
        <v>-498.57</v>
      </c>
      <c r="GL218" s="2455">
        <f t="shared" si="159"/>
        <v>-453.34</v>
      </c>
      <c r="GM218" s="2455">
        <f t="shared" si="159"/>
        <v>-480.5</v>
      </c>
      <c r="GN218" s="2456">
        <f t="shared" si="159"/>
        <v>-567.89</v>
      </c>
      <c r="GO218" s="1036">
        <f t="shared" si="158"/>
        <v>0</v>
      </c>
      <c r="GP218" s="387">
        <f t="shared" si="158"/>
        <v>0</v>
      </c>
      <c r="GQ218" s="387">
        <f t="shared" si="158"/>
        <v>0</v>
      </c>
      <c r="GR218" s="387">
        <f t="shared" si="158"/>
        <v>0</v>
      </c>
      <c r="GS218" s="387">
        <f t="shared" si="158"/>
        <v>0</v>
      </c>
      <c r="GT218" s="387">
        <f t="shared" si="158"/>
        <v>0</v>
      </c>
      <c r="GU218" s="387">
        <f t="shared" si="158"/>
        <v>0</v>
      </c>
      <c r="GV218" s="387">
        <f t="shared" si="158"/>
        <v>0</v>
      </c>
      <c r="GW218" s="387">
        <f t="shared" si="158"/>
        <v>0</v>
      </c>
      <c r="GX218" s="387">
        <f t="shared" si="158"/>
        <v>0</v>
      </c>
      <c r="GY218" s="387">
        <f t="shared" si="158"/>
        <v>0</v>
      </c>
      <c r="GZ218" s="988">
        <f t="shared" si="158"/>
        <v>0</v>
      </c>
      <c r="HB218" s="387"/>
      <c r="HC218" s="387"/>
      <c r="HD218" s="387"/>
      <c r="HE218" s="387"/>
      <c r="HF218" s="387"/>
      <c r="HG218" s="387"/>
      <c r="HH218" s="387"/>
      <c r="HI218" s="387"/>
      <c r="HJ218" s="387"/>
      <c r="HK218" s="387"/>
      <c r="HL218" s="387"/>
      <c r="HM218" s="988"/>
    </row>
    <row r="219" spans="1:221">
      <c r="A219" s="326" t="s">
        <v>900</v>
      </c>
      <c r="B219" s="326" t="s">
        <v>901</v>
      </c>
      <c r="C219" s="326" t="s">
        <v>1634</v>
      </c>
      <c r="D219" s="1036" t="s">
        <v>2154</v>
      </c>
      <c r="E219" s="387" t="s">
        <v>2154</v>
      </c>
      <c r="F219" s="387" t="s">
        <v>2154</v>
      </c>
      <c r="G219" s="387" t="s">
        <v>2154</v>
      </c>
      <c r="H219" s="387" t="s">
        <v>2154</v>
      </c>
      <c r="I219" s="387" t="s">
        <v>2154</v>
      </c>
      <c r="J219" s="387" t="s">
        <v>2154</v>
      </c>
      <c r="K219" s="387" t="s">
        <v>2154</v>
      </c>
      <c r="L219" s="387" t="s">
        <v>2154</v>
      </c>
      <c r="M219" s="387" t="s">
        <v>2154</v>
      </c>
      <c r="N219" s="387" t="s">
        <v>2154</v>
      </c>
      <c r="O219" s="988" t="s">
        <v>2154</v>
      </c>
      <c r="P219" s="387">
        <v>64.739999999999995</v>
      </c>
      <c r="Q219" s="387">
        <v>201.39</v>
      </c>
      <c r="R219" s="387">
        <v>126.39</v>
      </c>
      <c r="S219" s="387">
        <v>94.13</v>
      </c>
      <c r="T219" s="387">
        <v>94.13</v>
      </c>
      <c r="U219" s="387">
        <v>114.36</v>
      </c>
      <c r="V219" s="387">
        <v>73.900000000000006</v>
      </c>
      <c r="W219" s="387">
        <v>144.91999999999999</v>
      </c>
      <c r="X219" s="387">
        <v>50.79</v>
      </c>
      <c r="Y219" s="387">
        <v>124.69</v>
      </c>
      <c r="Z219" s="387">
        <v>124.69</v>
      </c>
      <c r="AA219" s="988">
        <v>124.69</v>
      </c>
      <c r="AB219" s="387"/>
      <c r="AC219" s="387"/>
      <c r="AD219" s="387"/>
      <c r="AE219" s="387"/>
      <c r="AF219" s="387"/>
      <c r="AG219" s="387"/>
      <c r="AH219" s="387"/>
      <c r="AI219" s="387"/>
      <c r="AJ219" s="387"/>
      <c r="AK219" s="387"/>
      <c r="AL219" s="387"/>
      <c r="AM219" s="988"/>
      <c r="AN219" s="387"/>
      <c r="AO219" s="387"/>
      <c r="AP219" s="387"/>
      <c r="AQ219" s="387"/>
      <c r="AR219" s="387"/>
      <c r="AS219" s="387"/>
      <c r="AT219" s="387"/>
      <c r="AU219" s="387"/>
      <c r="AV219" s="387"/>
      <c r="AW219" s="387"/>
      <c r="AX219" s="387"/>
      <c r="AY219" s="988"/>
      <c r="AZ219" s="387"/>
      <c r="BA219" s="387"/>
      <c r="BB219" s="387"/>
      <c r="BC219" s="387"/>
      <c r="BD219" s="387"/>
      <c r="BE219" s="387"/>
      <c r="BF219" s="387"/>
      <c r="BG219" s="387"/>
      <c r="BH219" s="387"/>
      <c r="BI219" s="387"/>
      <c r="BJ219" s="387"/>
      <c r="BK219" s="988"/>
      <c r="BL219" s="387"/>
      <c r="BM219" s="387"/>
      <c r="BN219" s="387"/>
      <c r="BO219" s="387"/>
      <c r="BP219" s="387"/>
      <c r="BQ219" s="387"/>
      <c r="BR219" s="387"/>
      <c r="BS219" s="387"/>
      <c r="BT219" s="387"/>
      <c r="BU219" s="387"/>
      <c r="BV219" s="387"/>
      <c r="BW219" s="988"/>
      <c r="BX219" s="387"/>
      <c r="BY219" s="387"/>
      <c r="BZ219" s="387"/>
      <c r="CA219" s="387"/>
      <c r="CB219" s="387"/>
      <c r="CC219" s="387"/>
      <c r="CD219" s="387"/>
      <c r="CE219" s="387"/>
      <c r="CF219" s="387"/>
      <c r="CG219" s="387"/>
      <c r="CH219" s="387"/>
      <c r="CI219" s="988"/>
      <c r="CJ219" s="387"/>
      <c r="CK219" s="387"/>
      <c r="CL219" s="387"/>
      <c r="CM219" s="387"/>
      <c r="CN219" s="387"/>
      <c r="CO219" s="387"/>
      <c r="CP219" s="387"/>
      <c r="CQ219" s="387"/>
      <c r="CR219" s="387"/>
      <c r="CS219" s="387"/>
      <c r="CT219" s="387"/>
      <c r="CU219" s="988"/>
      <c r="CV219" s="387"/>
      <c r="CW219" s="387"/>
      <c r="CX219" s="387"/>
      <c r="CY219" s="387"/>
      <c r="CZ219" s="387"/>
      <c r="DA219" s="387"/>
      <c r="DB219" s="387"/>
      <c r="DC219" s="387"/>
      <c r="DD219" s="387"/>
      <c r="DE219" s="387"/>
      <c r="DF219" s="387"/>
      <c r="DG219" s="988"/>
      <c r="DH219" s="387"/>
      <c r="DI219" s="387"/>
      <c r="DJ219" s="387"/>
      <c r="DK219" s="387"/>
      <c r="DL219" s="387"/>
      <c r="DM219" s="387"/>
      <c r="DN219" s="387"/>
      <c r="DO219" s="387"/>
      <c r="DP219" s="387"/>
      <c r="DQ219" s="387"/>
      <c r="DR219" s="387"/>
      <c r="DS219" s="988"/>
      <c r="DT219" s="387">
        <v>181.95</v>
      </c>
      <c r="DU219" s="387">
        <v>196.05</v>
      </c>
      <c r="DV219" s="387" t="s">
        <v>2154</v>
      </c>
      <c r="DW219" s="387">
        <v>20.81</v>
      </c>
      <c r="DX219" s="387">
        <v>20.81</v>
      </c>
      <c r="DY219" s="387">
        <v>51.37</v>
      </c>
      <c r="DZ219" s="387">
        <v>30.56</v>
      </c>
      <c r="EA219" s="387">
        <v>30.56</v>
      </c>
      <c r="EB219" s="387">
        <v>30.56</v>
      </c>
      <c r="EC219" s="387">
        <v>30.56</v>
      </c>
      <c r="ED219" s="387">
        <v>30.56</v>
      </c>
      <c r="EE219" s="988">
        <v>30.56</v>
      </c>
      <c r="EF219" s="387"/>
      <c r="EG219" s="387"/>
      <c r="EH219" s="387"/>
      <c r="EI219" s="387"/>
      <c r="EJ219" s="387"/>
      <c r="EK219" s="387"/>
      <c r="EL219" s="387"/>
      <c r="EM219" s="387"/>
      <c r="EN219" s="387"/>
      <c r="EO219" s="387"/>
      <c r="EP219" s="387"/>
      <c r="EQ219" s="988"/>
      <c r="ER219" s="387"/>
      <c r="ES219" s="387"/>
      <c r="ET219" s="387"/>
      <c r="EU219" s="387"/>
      <c r="EV219" s="387"/>
      <c r="EW219" s="387"/>
      <c r="EX219" s="387"/>
      <c r="EY219" s="387"/>
      <c r="EZ219" s="387"/>
      <c r="FA219" s="387"/>
      <c r="FB219" s="387"/>
      <c r="FC219" s="988"/>
      <c r="FD219" s="387"/>
      <c r="FE219" s="387"/>
      <c r="FF219" s="387"/>
      <c r="FG219" s="387"/>
      <c r="FH219" s="387"/>
      <c r="FI219" s="387"/>
      <c r="FJ219" s="387"/>
      <c r="FK219" s="387"/>
      <c r="FL219" s="387"/>
      <c r="FM219" s="387"/>
      <c r="FN219" s="387"/>
      <c r="FO219" s="988"/>
      <c r="FP219" s="387"/>
      <c r="FQ219" s="387"/>
      <c r="FR219" s="387"/>
      <c r="FS219" s="387"/>
      <c r="FT219" s="387"/>
      <c r="FU219" s="387"/>
      <c r="FV219" s="387"/>
      <c r="FW219" s="387"/>
      <c r="FX219" s="387"/>
      <c r="FY219" s="387"/>
      <c r="FZ219" s="387"/>
      <c r="GA219" s="988"/>
      <c r="GB219" s="109"/>
      <c r="GC219" s="2454">
        <f t="shared" si="159"/>
        <v>64.739999999999995</v>
      </c>
      <c r="GD219" s="2455">
        <f t="shared" si="159"/>
        <v>201.39</v>
      </c>
      <c r="GE219" s="2455">
        <f t="shared" si="159"/>
        <v>126.39</v>
      </c>
      <c r="GF219" s="2455">
        <f t="shared" si="159"/>
        <v>94.13</v>
      </c>
      <c r="GG219" s="2455">
        <f t="shared" si="159"/>
        <v>94.13</v>
      </c>
      <c r="GH219" s="2455">
        <f t="shared" si="159"/>
        <v>114.36</v>
      </c>
      <c r="GI219" s="2455">
        <f t="shared" si="159"/>
        <v>73.900000000000006</v>
      </c>
      <c r="GJ219" s="2455">
        <f t="shared" si="159"/>
        <v>144.91999999999999</v>
      </c>
      <c r="GK219" s="2455">
        <f t="shared" si="159"/>
        <v>50.79</v>
      </c>
      <c r="GL219" s="2455">
        <f t="shared" si="159"/>
        <v>124.69</v>
      </c>
      <c r="GM219" s="2455">
        <f t="shared" si="159"/>
        <v>124.69</v>
      </c>
      <c r="GN219" s="2456">
        <f t="shared" si="159"/>
        <v>124.69</v>
      </c>
      <c r="GO219" s="1036">
        <f t="shared" si="158"/>
        <v>181.95</v>
      </c>
      <c r="GP219" s="387">
        <f t="shared" si="158"/>
        <v>196.05</v>
      </c>
      <c r="GQ219" s="387">
        <f t="shared" si="158"/>
        <v>0</v>
      </c>
      <c r="GR219" s="387">
        <f t="shared" si="158"/>
        <v>20.81</v>
      </c>
      <c r="GS219" s="387">
        <f t="shared" si="158"/>
        <v>20.81</v>
      </c>
      <c r="GT219" s="387">
        <f t="shared" si="158"/>
        <v>51.37</v>
      </c>
      <c r="GU219" s="387">
        <f t="shared" si="158"/>
        <v>30.56</v>
      </c>
      <c r="GV219" s="387">
        <f t="shared" si="158"/>
        <v>30.56</v>
      </c>
      <c r="GW219" s="387">
        <f t="shared" si="158"/>
        <v>30.56</v>
      </c>
      <c r="GX219" s="387">
        <f t="shared" si="158"/>
        <v>30.56</v>
      </c>
      <c r="GY219" s="387">
        <f t="shared" si="158"/>
        <v>30.56</v>
      </c>
      <c r="GZ219" s="988">
        <f t="shared" si="158"/>
        <v>30.56</v>
      </c>
      <c r="HB219" s="387"/>
      <c r="HC219" s="387"/>
      <c r="HD219" s="387"/>
      <c r="HE219" s="387"/>
      <c r="HF219" s="387"/>
      <c r="HG219" s="387"/>
      <c r="HH219" s="387"/>
      <c r="HI219" s="387"/>
      <c r="HJ219" s="387"/>
      <c r="HK219" s="387"/>
      <c r="HL219" s="387"/>
      <c r="HM219" s="988"/>
    </row>
    <row r="220" spans="1:221">
      <c r="A220" s="326" t="s">
        <v>900</v>
      </c>
      <c r="B220" s="326" t="s">
        <v>901</v>
      </c>
      <c r="C220" s="326" t="s">
        <v>3691</v>
      </c>
      <c r="D220" s="1036">
        <v>2194.2000000000003</v>
      </c>
      <c r="E220" s="387">
        <v>1516.62</v>
      </c>
      <c r="F220" s="387">
        <v>1703.3899999999999</v>
      </c>
      <c r="G220" s="387">
        <v>1585.2399999999998</v>
      </c>
      <c r="H220" s="387">
        <v>350.55</v>
      </c>
      <c r="I220" s="387">
        <v>761.86</v>
      </c>
      <c r="J220" s="387">
        <v>1102.46</v>
      </c>
      <c r="K220" s="387">
        <v>754.90000000000009</v>
      </c>
      <c r="L220" s="387">
        <v>2159.37</v>
      </c>
      <c r="M220" s="387">
        <v>1325.3400000000001</v>
      </c>
      <c r="N220" s="387">
        <v>1536.65</v>
      </c>
      <c r="O220" s="988">
        <v>991.58999999999992</v>
      </c>
      <c r="P220" s="387">
        <v>774.61999999999989</v>
      </c>
      <c r="Q220" s="387">
        <v>60.65</v>
      </c>
      <c r="R220" s="387">
        <v>60.65</v>
      </c>
      <c r="S220" s="387">
        <v>184.54</v>
      </c>
      <c r="T220" s="387">
        <v>1349.29</v>
      </c>
      <c r="U220" s="387">
        <v>234.57000000000002</v>
      </c>
      <c r="V220" s="387">
        <v>52.99</v>
      </c>
      <c r="W220" s="387">
        <v>138.06</v>
      </c>
      <c r="X220" s="387">
        <v>-517.65000000000009</v>
      </c>
      <c r="Y220" s="387">
        <v>129</v>
      </c>
      <c r="Z220" s="387">
        <v>236.70999999999998</v>
      </c>
      <c r="AA220" s="988">
        <v>148.67000000000002</v>
      </c>
      <c r="AB220" s="387"/>
      <c r="AC220" s="387"/>
      <c r="AD220" s="387"/>
      <c r="AE220" s="387"/>
      <c r="AF220" s="387"/>
      <c r="AG220" s="387"/>
      <c r="AH220" s="387"/>
      <c r="AI220" s="387"/>
      <c r="AJ220" s="387"/>
      <c r="AK220" s="387"/>
      <c r="AL220" s="387"/>
      <c r="AM220" s="988"/>
      <c r="AN220" s="387"/>
      <c r="AO220" s="387"/>
      <c r="AP220" s="387"/>
      <c r="AQ220" s="387"/>
      <c r="AR220" s="387"/>
      <c r="AS220" s="387"/>
      <c r="AT220" s="387"/>
      <c r="AU220" s="387"/>
      <c r="AV220" s="387"/>
      <c r="AW220" s="387"/>
      <c r="AX220" s="387"/>
      <c r="AY220" s="988"/>
      <c r="AZ220" s="387"/>
      <c r="BA220" s="387"/>
      <c r="BB220" s="387"/>
      <c r="BC220" s="387"/>
      <c r="BD220" s="387"/>
      <c r="BE220" s="387"/>
      <c r="BF220" s="387"/>
      <c r="BG220" s="387"/>
      <c r="BH220" s="387"/>
      <c r="BI220" s="387"/>
      <c r="BJ220" s="387"/>
      <c r="BK220" s="988"/>
      <c r="BL220" s="387"/>
      <c r="BM220" s="387"/>
      <c r="BN220" s="387"/>
      <c r="BO220" s="387"/>
      <c r="BP220" s="387"/>
      <c r="BQ220" s="387"/>
      <c r="BR220" s="387"/>
      <c r="BS220" s="387"/>
      <c r="BT220" s="387"/>
      <c r="BU220" s="387"/>
      <c r="BV220" s="387"/>
      <c r="BW220" s="988"/>
      <c r="BX220" s="387"/>
      <c r="BY220" s="387"/>
      <c r="BZ220" s="387"/>
      <c r="CA220" s="387"/>
      <c r="CB220" s="387"/>
      <c r="CC220" s="387"/>
      <c r="CD220" s="387"/>
      <c r="CE220" s="387"/>
      <c r="CF220" s="387"/>
      <c r="CG220" s="387"/>
      <c r="CH220" s="387"/>
      <c r="CI220" s="988"/>
      <c r="CJ220" s="387"/>
      <c r="CK220" s="387"/>
      <c r="CL220" s="387"/>
      <c r="CM220" s="387"/>
      <c r="CN220" s="387"/>
      <c r="CO220" s="387"/>
      <c r="CP220" s="387"/>
      <c r="CQ220" s="387"/>
      <c r="CR220" s="387"/>
      <c r="CS220" s="387"/>
      <c r="CT220" s="387"/>
      <c r="CU220" s="988"/>
      <c r="CV220" s="387"/>
      <c r="CW220" s="387"/>
      <c r="CX220" s="387"/>
      <c r="CY220" s="387"/>
      <c r="CZ220" s="387"/>
      <c r="DA220" s="387"/>
      <c r="DB220" s="387"/>
      <c r="DC220" s="387"/>
      <c r="DD220" s="387"/>
      <c r="DE220" s="387"/>
      <c r="DF220" s="387"/>
      <c r="DG220" s="988"/>
      <c r="DH220" s="387"/>
      <c r="DI220" s="387"/>
      <c r="DJ220" s="387"/>
      <c r="DK220" s="387"/>
      <c r="DL220" s="387"/>
      <c r="DM220" s="387"/>
      <c r="DN220" s="387"/>
      <c r="DO220" s="387"/>
      <c r="DP220" s="387"/>
      <c r="DQ220" s="387"/>
      <c r="DR220" s="387"/>
      <c r="DS220" s="988"/>
      <c r="DT220" s="387" t="s">
        <v>2154</v>
      </c>
      <c r="DU220" s="387">
        <v>32.74</v>
      </c>
      <c r="DV220" s="387">
        <v>95.429999999999993</v>
      </c>
      <c r="DW220" s="387">
        <v>47.87</v>
      </c>
      <c r="DX220" s="387">
        <v>95.74</v>
      </c>
      <c r="DY220" s="387" t="s">
        <v>2154</v>
      </c>
      <c r="DZ220" s="387" t="s">
        <v>2154</v>
      </c>
      <c r="EA220" s="387">
        <v>95.74</v>
      </c>
      <c r="EB220" s="387">
        <v>-48.06</v>
      </c>
      <c r="EC220" s="387" t="s">
        <v>2154</v>
      </c>
      <c r="ED220" s="387" t="s">
        <v>2154</v>
      </c>
      <c r="EE220" s="988" t="s">
        <v>2154</v>
      </c>
      <c r="EF220" s="387"/>
      <c r="EG220" s="387"/>
      <c r="EH220" s="387"/>
      <c r="EI220" s="387"/>
      <c r="EJ220" s="387"/>
      <c r="EK220" s="387"/>
      <c r="EL220" s="387"/>
      <c r="EM220" s="387"/>
      <c r="EN220" s="387"/>
      <c r="EO220" s="387"/>
      <c r="EP220" s="387"/>
      <c r="EQ220" s="988"/>
      <c r="ER220" s="387"/>
      <c r="ES220" s="387"/>
      <c r="ET220" s="387"/>
      <c r="EU220" s="387"/>
      <c r="EV220" s="387"/>
      <c r="EW220" s="387"/>
      <c r="EX220" s="387"/>
      <c r="EY220" s="387"/>
      <c r="EZ220" s="387"/>
      <c r="FA220" s="387"/>
      <c r="FB220" s="387"/>
      <c r="FC220" s="988"/>
      <c r="FD220" s="387"/>
      <c r="FE220" s="387"/>
      <c r="FF220" s="387"/>
      <c r="FG220" s="387"/>
      <c r="FH220" s="387"/>
      <c r="FI220" s="387"/>
      <c r="FJ220" s="387"/>
      <c r="FK220" s="387"/>
      <c r="FL220" s="387"/>
      <c r="FM220" s="387"/>
      <c r="FN220" s="387"/>
      <c r="FO220" s="988"/>
      <c r="FP220" s="387"/>
      <c r="FQ220" s="387"/>
      <c r="FR220" s="387"/>
      <c r="FS220" s="387"/>
      <c r="FT220" s="387"/>
      <c r="FU220" s="387"/>
      <c r="FV220" s="387"/>
      <c r="FW220" s="387"/>
      <c r="FX220" s="387"/>
      <c r="FY220" s="387"/>
      <c r="FZ220" s="387"/>
      <c r="GA220" s="988"/>
      <c r="GB220" s="109"/>
      <c r="GC220" s="2454">
        <f t="shared" si="159"/>
        <v>2968.82</v>
      </c>
      <c r="GD220" s="2455">
        <f t="shared" si="159"/>
        <v>1577.27</v>
      </c>
      <c r="GE220" s="2455">
        <f t="shared" si="159"/>
        <v>1764.04</v>
      </c>
      <c r="GF220" s="2455">
        <f t="shared" si="159"/>
        <v>1769.7799999999997</v>
      </c>
      <c r="GG220" s="2455">
        <f t="shared" si="159"/>
        <v>1699.84</v>
      </c>
      <c r="GH220" s="2455">
        <f t="shared" si="159"/>
        <v>996.43000000000006</v>
      </c>
      <c r="GI220" s="2455">
        <f t="shared" si="159"/>
        <v>1155.45</v>
      </c>
      <c r="GJ220" s="2455">
        <f t="shared" si="159"/>
        <v>892.96</v>
      </c>
      <c r="GK220" s="2455">
        <f t="shared" si="159"/>
        <v>1641.7199999999998</v>
      </c>
      <c r="GL220" s="2455">
        <f t="shared" si="159"/>
        <v>1454.3400000000001</v>
      </c>
      <c r="GM220" s="2455">
        <f t="shared" si="159"/>
        <v>1773.3600000000001</v>
      </c>
      <c r="GN220" s="2456">
        <f t="shared" si="159"/>
        <v>1140.26</v>
      </c>
      <c r="GO220" s="1036">
        <f t="shared" si="158"/>
        <v>0</v>
      </c>
      <c r="GP220" s="387">
        <f t="shared" si="158"/>
        <v>32.74</v>
      </c>
      <c r="GQ220" s="387">
        <f t="shared" si="158"/>
        <v>95.429999999999993</v>
      </c>
      <c r="GR220" s="387">
        <f t="shared" si="158"/>
        <v>47.87</v>
      </c>
      <c r="GS220" s="387">
        <f t="shared" si="158"/>
        <v>95.74</v>
      </c>
      <c r="GT220" s="387">
        <f t="shared" si="158"/>
        <v>0</v>
      </c>
      <c r="GU220" s="387">
        <f t="shared" si="158"/>
        <v>0</v>
      </c>
      <c r="GV220" s="387">
        <f t="shared" si="158"/>
        <v>95.74</v>
      </c>
      <c r="GW220" s="387">
        <f t="shared" si="158"/>
        <v>-48.06</v>
      </c>
      <c r="GX220" s="387">
        <f t="shared" si="158"/>
        <v>0</v>
      </c>
      <c r="GY220" s="387">
        <f t="shared" si="158"/>
        <v>0</v>
      </c>
      <c r="GZ220" s="988">
        <f t="shared" si="158"/>
        <v>0</v>
      </c>
      <c r="HB220" s="387"/>
      <c r="HC220" s="387"/>
      <c r="HD220" s="387"/>
      <c r="HE220" s="387"/>
      <c r="HF220" s="387"/>
      <c r="HG220" s="387"/>
      <c r="HH220" s="387"/>
      <c r="HI220" s="387"/>
      <c r="HJ220" s="387"/>
      <c r="HK220" s="387"/>
      <c r="HL220" s="387"/>
      <c r="HM220" s="988"/>
    </row>
    <row r="221" spans="1:221">
      <c r="A221" s="326" t="s">
        <v>900</v>
      </c>
      <c r="B221" s="326" t="s">
        <v>901</v>
      </c>
      <c r="C221" s="326" t="s">
        <v>2297</v>
      </c>
      <c r="D221" s="1036">
        <v>7381.9699999999993</v>
      </c>
      <c r="E221" s="387">
        <v>7507.93</v>
      </c>
      <c r="F221" s="387">
        <v>6639.9699999999993</v>
      </c>
      <c r="G221" s="387">
        <v>6294.26</v>
      </c>
      <c r="H221" s="387">
        <v>7894.6100000000006</v>
      </c>
      <c r="I221" s="387">
        <v>8746.93</v>
      </c>
      <c r="J221" s="387">
        <v>6937.63</v>
      </c>
      <c r="K221" s="387">
        <v>7486.4400000000014</v>
      </c>
      <c r="L221" s="387">
        <v>8150.57</v>
      </c>
      <c r="M221" s="387">
        <v>6539.7299999999987</v>
      </c>
      <c r="N221" s="387">
        <v>8534.67</v>
      </c>
      <c r="O221" s="988">
        <v>6519.81</v>
      </c>
      <c r="P221" s="387">
        <v>13072.400000000001</v>
      </c>
      <c r="Q221" s="387">
        <v>13550.94</v>
      </c>
      <c r="R221" s="387">
        <v>12205.75</v>
      </c>
      <c r="S221" s="387">
        <v>12271.53</v>
      </c>
      <c r="T221" s="387">
        <v>15662.27</v>
      </c>
      <c r="U221" s="387">
        <v>17373.259999999998</v>
      </c>
      <c r="V221" s="387">
        <v>15978.13</v>
      </c>
      <c r="W221" s="387">
        <v>14113.929999999998</v>
      </c>
      <c r="X221" s="387">
        <v>18015.25</v>
      </c>
      <c r="Y221" s="387">
        <v>13397.339999999998</v>
      </c>
      <c r="Z221" s="387">
        <v>16917.919999999998</v>
      </c>
      <c r="AA221" s="988">
        <v>18127.490000000002</v>
      </c>
      <c r="AB221" s="387"/>
      <c r="AC221" s="387"/>
      <c r="AD221" s="387"/>
      <c r="AE221" s="387"/>
      <c r="AF221" s="387"/>
      <c r="AG221" s="387"/>
      <c r="AH221" s="387"/>
      <c r="AI221" s="387"/>
      <c r="AJ221" s="387"/>
      <c r="AK221" s="387"/>
      <c r="AL221" s="387"/>
      <c r="AM221" s="988"/>
      <c r="AN221" s="387"/>
      <c r="AO221" s="387"/>
      <c r="AP221" s="387"/>
      <c r="AQ221" s="387"/>
      <c r="AR221" s="387"/>
      <c r="AS221" s="387"/>
      <c r="AT221" s="387"/>
      <c r="AU221" s="387"/>
      <c r="AV221" s="387"/>
      <c r="AW221" s="387"/>
      <c r="AX221" s="387"/>
      <c r="AY221" s="988"/>
      <c r="AZ221" s="387"/>
      <c r="BA221" s="387"/>
      <c r="BB221" s="387"/>
      <c r="BC221" s="387"/>
      <c r="BD221" s="387"/>
      <c r="BE221" s="387"/>
      <c r="BF221" s="387"/>
      <c r="BG221" s="387"/>
      <c r="BH221" s="387"/>
      <c r="BI221" s="387"/>
      <c r="BJ221" s="387"/>
      <c r="BK221" s="988"/>
      <c r="BL221" s="387"/>
      <c r="BM221" s="387"/>
      <c r="BN221" s="387"/>
      <c r="BO221" s="387"/>
      <c r="BP221" s="387"/>
      <c r="BQ221" s="387"/>
      <c r="BR221" s="387"/>
      <c r="BS221" s="387"/>
      <c r="BT221" s="387"/>
      <c r="BU221" s="387"/>
      <c r="BV221" s="387"/>
      <c r="BW221" s="988"/>
      <c r="BX221" s="387"/>
      <c r="BY221" s="387"/>
      <c r="BZ221" s="387"/>
      <c r="CA221" s="387"/>
      <c r="CB221" s="387"/>
      <c r="CC221" s="387"/>
      <c r="CD221" s="387"/>
      <c r="CE221" s="387"/>
      <c r="CF221" s="387"/>
      <c r="CG221" s="387"/>
      <c r="CH221" s="387"/>
      <c r="CI221" s="988"/>
      <c r="CJ221" s="387"/>
      <c r="CK221" s="387"/>
      <c r="CL221" s="387"/>
      <c r="CM221" s="387"/>
      <c r="CN221" s="387"/>
      <c r="CO221" s="387"/>
      <c r="CP221" s="387"/>
      <c r="CQ221" s="387"/>
      <c r="CR221" s="387"/>
      <c r="CS221" s="387"/>
      <c r="CT221" s="387"/>
      <c r="CU221" s="988"/>
      <c r="CV221" s="387"/>
      <c r="CW221" s="387"/>
      <c r="CX221" s="387"/>
      <c r="CY221" s="387"/>
      <c r="CZ221" s="387"/>
      <c r="DA221" s="387"/>
      <c r="DB221" s="387"/>
      <c r="DC221" s="387"/>
      <c r="DD221" s="387"/>
      <c r="DE221" s="387"/>
      <c r="DF221" s="387"/>
      <c r="DG221" s="988"/>
      <c r="DH221" s="387"/>
      <c r="DI221" s="387"/>
      <c r="DJ221" s="387"/>
      <c r="DK221" s="387"/>
      <c r="DL221" s="387"/>
      <c r="DM221" s="387"/>
      <c r="DN221" s="387"/>
      <c r="DO221" s="387"/>
      <c r="DP221" s="387"/>
      <c r="DQ221" s="387"/>
      <c r="DR221" s="387"/>
      <c r="DS221" s="988"/>
      <c r="DT221" s="387">
        <v>8288.73</v>
      </c>
      <c r="DU221" s="387">
        <v>1595.38</v>
      </c>
      <c r="DV221" s="387">
        <v>8909.2999999999993</v>
      </c>
      <c r="DW221" s="387">
        <v>6873.16</v>
      </c>
      <c r="DX221" s="387">
        <v>5175.33</v>
      </c>
      <c r="DY221" s="387">
        <v>5519.05</v>
      </c>
      <c r="DZ221" s="387">
        <v>4101.7299999999996</v>
      </c>
      <c r="EA221" s="387">
        <v>6355.61</v>
      </c>
      <c r="EB221" s="387">
        <v>4790.3500000000004</v>
      </c>
      <c r="EC221" s="387">
        <v>5475.32</v>
      </c>
      <c r="ED221" s="387">
        <v>5271.56</v>
      </c>
      <c r="EE221" s="988">
        <v>4835.07</v>
      </c>
      <c r="EF221" s="387"/>
      <c r="EG221" s="387"/>
      <c r="EH221" s="387"/>
      <c r="EI221" s="387"/>
      <c r="EJ221" s="387"/>
      <c r="EK221" s="387"/>
      <c r="EL221" s="387"/>
      <c r="EM221" s="387"/>
      <c r="EN221" s="387"/>
      <c r="EO221" s="387"/>
      <c r="EP221" s="387"/>
      <c r="EQ221" s="988"/>
      <c r="ER221" s="387"/>
      <c r="ES221" s="387"/>
      <c r="ET221" s="387"/>
      <c r="EU221" s="387"/>
      <c r="EV221" s="387"/>
      <c r="EW221" s="387"/>
      <c r="EX221" s="387"/>
      <c r="EY221" s="387"/>
      <c r="EZ221" s="387"/>
      <c r="FA221" s="387"/>
      <c r="FB221" s="387"/>
      <c r="FC221" s="988"/>
      <c r="FD221" s="387"/>
      <c r="FE221" s="387"/>
      <c r="FF221" s="387"/>
      <c r="FG221" s="387"/>
      <c r="FH221" s="387"/>
      <c r="FI221" s="387"/>
      <c r="FJ221" s="387"/>
      <c r="FK221" s="387"/>
      <c r="FL221" s="387"/>
      <c r="FM221" s="387"/>
      <c r="FN221" s="387"/>
      <c r="FO221" s="988"/>
      <c r="FP221" s="387"/>
      <c r="FQ221" s="387"/>
      <c r="FR221" s="387"/>
      <c r="FS221" s="387"/>
      <c r="FT221" s="387"/>
      <c r="FU221" s="387"/>
      <c r="FV221" s="387"/>
      <c r="FW221" s="387"/>
      <c r="FX221" s="387"/>
      <c r="FY221" s="387"/>
      <c r="FZ221" s="387"/>
      <c r="GA221" s="988"/>
      <c r="GB221" s="109"/>
      <c r="GC221" s="2454">
        <f t="shared" si="159"/>
        <v>20454.370000000003</v>
      </c>
      <c r="GD221" s="2455">
        <f t="shared" si="159"/>
        <v>21058.870000000003</v>
      </c>
      <c r="GE221" s="2455">
        <f t="shared" si="159"/>
        <v>18845.72</v>
      </c>
      <c r="GF221" s="2455">
        <f t="shared" si="159"/>
        <v>18565.79</v>
      </c>
      <c r="GG221" s="2455">
        <f t="shared" si="159"/>
        <v>23556.880000000001</v>
      </c>
      <c r="GH221" s="2455">
        <f t="shared" si="159"/>
        <v>26120.19</v>
      </c>
      <c r="GI221" s="2455">
        <f t="shared" si="159"/>
        <v>22915.759999999998</v>
      </c>
      <c r="GJ221" s="2455">
        <f t="shared" si="159"/>
        <v>21600.37</v>
      </c>
      <c r="GK221" s="2455">
        <f t="shared" si="159"/>
        <v>26165.82</v>
      </c>
      <c r="GL221" s="2455">
        <f t="shared" si="159"/>
        <v>19937.069999999996</v>
      </c>
      <c r="GM221" s="2455">
        <f t="shared" si="159"/>
        <v>25452.589999999997</v>
      </c>
      <c r="GN221" s="2456">
        <f t="shared" si="159"/>
        <v>24647.300000000003</v>
      </c>
      <c r="GO221" s="1036">
        <f t="shared" si="158"/>
        <v>8288.73</v>
      </c>
      <c r="GP221" s="387">
        <f t="shared" si="158"/>
        <v>1595.38</v>
      </c>
      <c r="GQ221" s="387">
        <f t="shared" si="158"/>
        <v>8909.2999999999993</v>
      </c>
      <c r="GR221" s="387">
        <f t="shared" si="158"/>
        <v>6873.16</v>
      </c>
      <c r="GS221" s="387">
        <f t="shared" si="158"/>
        <v>5175.33</v>
      </c>
      <c r="GT221" s="387">
        <f t="shared" si="158"/>
        <v>5519.05</v>
      </c>
      <c r="GU221" s="387">
        <f t="shared" si="158"/>
        <v>4101.7299999999996</v>
      </c>
      <c r="GV221" s="387">
        <f t="shared" si="158"/>
        <v>6355.61</v>
      </c>
      <c r="GW221" s="387">
        <f t="shared" si="158"/>
        <v>4790.3500000000004</v>
      </c>
      <c r="GX221" s="387">
        <f t="shared" si="158"/>
        <v>5475.32</v>
      </c>
      <c r="GY221" s="387">
        <f t="shared" si="158"/>
        <v>5271.56</v>
      </c>
      <c r="GZ221" s="988">
        <f t="shared" si="158"/>
        <v>4835.07</v>
      </c>
      <c r="HB221" s="387"/>
      <c r="HC221" s="387"/>
      <c r="HD221" s="387"/>
      <c r="HE221" s="387"/>
      <c r="HF221" s="387"/>
      <c r="HG221" s="387"/>
      <c r="HH221" s="387"/>
      <c r="HI221" s="387"/>
      <c r="HJ221" s="387"/>
      <c r="HK221" s="387"/>
      <c r="HL221" s="387"/>
      <c r="HM221" s="988"/>
    </row>
    <row r="222" spans="1:221">
      <c r="A222" s="326" t="s">
        <v>900</v>
      </c>
      <c r="B222" s="326" t="s">
        <v>901</v>
      </c>
      <c r="C222" s="326" t="s">
        <v>2298</v>
      </c>
      <c r="D222" s="1036">
        <v>5505.12</v>
      </c>
      <c r="E222" s="387">
        <v>5760.2800000000007</v>
      </c>
      <c r="F222" s="387">
        <v>4953.3600000000006</v>
      </c>
      <c r="G222" s="387">
        <v>5452.24</v>
      </c>
      <c r="H222" s="387">
        <v>5485.3600000000006</v>
      </c>
      <c r="I222" s="387">
        <v>5093.66</v>
      </c>
      <c r="J222" s="387">
        <v>4971</v>
      </c>
      <c r="K222" s="387">
        <v>5137.26</v>
      </c>
      <c r="L222" s="387">
        <v>4526.5200000000004</v>
      </c>
      <c r="M222" s="387">
        <v>5179.51</v>
      </c>
      <c r="N222" s="387">
        <v>4992.8999999999996</v>
      </c>
      <c r="O222" s="988">
        <v>4861.7</v>
      </c>
      <c r="P222" s="387" t="s">
        <v>2154</v>
      </c>
      <c r="Q222" s="387" t="s">
        <v>2154</v>
      </c>
      <c r="R222" s="387" t="s">
        <v>2154</v>
      </c>
      <c r="S222" s="387" t="s">
        <v>2154</v>
      </c>
      <c r="T222" s="387" t="s">
        <v>2154</v>
      </c>
      <c r="U222" s="387" t="s">
        <v>2154</v>
      </c>
      <c r="V222" s="387" t="s">
        <v>2154</v>
      </c>
      <c r="W222" s="387" t="s">
        <v>2154</v>
      </c>
      <c r="X222" s="387" t="s">
        <v>2154</v>
      </c>
      <c r="Y222" s="387" t="s">
        <v>2154</v>
      </c>
      <c r="Z222" s="387" t="s">
        <v>2154</v>
      </c>
      <c r="AA222" s="988" t="s">
        <v>2154</v>
      </c>
      <c r="AB222" s="387"/>
      <c r="AC222" s="387"/>
      <c r="AD222" s="387"/>
      <c r="AE222" s="387"/>
      <c r="AF222" s="387"/>
      <c r="AG222" s="387"/>
      <c r="AH222" s="387"/>
      <c r="AI222" s="387"/>
      <c r="AJ222" s="387"/>
      <c r="AK222" s="387"/>
      <c r="AL222" s="387"/>
      <c r="AM222" s="988"/>
      <c r="AN222" s="387"/>
      <c r="AO222" s="387"/>
      <c r="AP222" s="387"/>
      <c r="AQ222" s="387"/>
      <c r="AR222" s="387"/>
      <c r="AS222" s="387"/>
      <c r="AT222" s="387"/>
      <c r="AU222" s="387"/>
      <c r="AV222" s="387"/>
      <c r="AW222" s="387"/>
      <c r="AX222" s="387"/>
      <c r="AY222" s="988"/>
      <c r="AZ222" s="387"/>
      <c r="BA222" s="387"/>
      <c r="BB222" s="387"/>
      <c r="BC222" s="387"/>
      <c r="BD222" s="387"/>
      <c r="BE222" s="387"/>
      <c r="BF222" s="387"/>
      <c r="BG222" s="387"/>
      <c r="BH222" s="387"/>
      <c r="BI222" s="387"/>
      <c r="BJ222" s="387"/>
      <c r="BK222" s="988"/>
      <c r="BL222" s="387"/>
      <c r="BM222" s="387"/>
      <c r="BN222" s="387"/>
      <c r="BO222" s="387"/>
      <c r="BP222" s="387"/>
      <c r="BQ222" s="387"/>
      <c r="BR222" s="387"/>
      <c r="BS222" s="387"/>
      <c r="BT222" s="387"/>
      <c r="BU222" s="387"/>
      <c r="BV222" s="387"/>
      <c r="BW222" s="988"/>
      <c r="BX222" s="387"/>
      <c r="BY222" s="387"/>
      <c r="BZ222" s="387"/>
      <c r="CA222" s="387"/>
      <c r="CB222" s="387"/>
      <c r="CC222" s="387"/>
      <c r="CD222" s="387"/>
      <c r="CE222" s="387"/>
      <c r="CF222" s="387"/>
      <c r="CG222" s="387"/>
      <c r="CH222" s="387"/>
      <c r="CI222" s="988"/>
      <c r="CJ222" s="387"/>
      <c r="CK222" s="387"/>
      <c r="CL222" s="387"/>
      <c r="CM222" s="387"/>
      <c r="CN222" s="387"/>
      <c r="CO222" s="387"/>
      <c r="CP222" s="387"/>
      <c r="CQ222" s="387"/>
      <c r="CR222" s="387"/>
      <c r="CS222" s="387"/>
      <c r="CT222" s="387"/>
      <c r="CU222" s="988"/>
      <c r="CV222" s="387"/>
      <c r="CW222" s="387"/>
      <c r="CX222" s="387"/>
      <c r="CY222" s="387"/>
      <c r="CZ222" s="387"/>
      <c r="DA222" s="387"/>
      <c r="DB222" s="387"/>
      <c r="DC222" s="387"/>
      <c r="DD222" s="387"/>
      <c r="DE222" s="387"/>
      <c r="DF222" s="387"/>
      <c r="DG222" s="988"/>
      <c r="DH222" s="387"/>
      <c r="DI222" s="387"/>
      <c r="DJ222" s="387"/>
      <c r="DK222" s="387"/>
      <c r="DL222" s="387"/>
      <c r="DM222" s="387"/>
      <c r="DN222" s="387"/>
      <c r="DO222" s="387"/>
      <c r="DP222" s="387"/>
      <c r="DQ222" s="387"/>
      <c r="DR222" s="387"/>
      <c r="DS222" s="988"/>
      <c r="DT222" s="387" t="s">
        <v>2154</v>
      </c>
      <c r="DU222" s="387" t="s">
        <v>2154</v>
      </c>
      <c r="DV222" s="387" t="s">
        <v>2154</v>
      </c>
      <c r="DW222" s="387" t="s">
        <v>2154</v>
      </c>
      <c r="DX222" s="387" t="s">
        <v>2154</v>
      </c>
      <c r="DY222" s="387" t="s">
        <v>2154</v>
      </c>
      <c r="DZ222" s="387" t="s">
        <v>2154</v>
      </c>
      <c r="EA222" s="387" t="s">
        <v>2154</v>
      </c>
      <c r="EB222" s="387" t="s">
        <v>2154</v>
      </c>
      <c r="EC222" s="387" t="s">
        <v>2154</v>
      </c>
      <c r="ED222" s="387" t="s">
        <v>2154</v>
      </c>
      <c r="EE222" s="988" t="s">
        <v>2154</v>
      </c>
      <c r="EF222" s="387"/>
      <c r="EG222" s="387"/>
      <c r="EH222" s="387"/>
      <c r="EI222" s="387"/>
      <c r="EJ222" s="387"/>
      <c r="EK222" s="387"/>
      <c r="EL222" s="387"/>
      <c r="EM222" s="387"/>
      <c r="EN222" s="387"/>
      <c r="EO222" s="387"/>
      <c r="EP222" s="387"/>
      <c r="EQ222" s="988"/>
      <c r="ER222" s="387"/>
      <c r="ES222" s="387"/>
      <c r="ET222" s="387"/>
      <c r="EU222" s="387"/>
      <c r="EV222" s="387"/>
      <c r="EW222" s="387"/>
      <c r="EX222" s="387"/>
      <c r="EY222" s="387"/>
      <c r="EZ222" s="387"/>
      <c r="FA222" s="387"/>
      <c r="FB222" s="387"/>
      <c r="FC222" s="988"/>
      <c r="FD222" s="387"/>
      <c r="FE222" s="387"/>
      <c r="FF222" s="387"/>
      <c r="FG222" s="387"/>
      <c r="FH222" s="387"/>
      <c r="FI222" s="387"/>
      <c r="FJ222" s="387"/>
      <c r="FK222" s="387"/>
      <c r="FL222" s="387"/>
      <c r="FM222" s="387"/>
      <c r="FN222" s="387"/>
      <c r="FO222" s="988"/>
      <c r="FP222" s="387"/>
      <c r="FQ222" s="387"/>
      <c r="FR222" s="387"/>
      <c r="FS222" s="387"/>
      <c r="FT222" s="387"/>
      <c r="FU222" s="387"/>
      <c r="FV222" s="387"/>
      <c r="FW222" s="387"/>
      <c r="FX222" s="387"/>
      <c r="FY222" s="387"/>
      <c r="FZ222" s="387"/>
      <c r="GA222" s="988"/>
      <c r="GB222" s="109"/>
      <c r="GC222" s="2454">
        <f t="shared" si="159"/>
        <v>5505.12</v>
      </c>
      <c r="GD222" s="2455">
        <f t="shared" si="159"/>
        <v>5760.2800000000007</v>
      </c>
      <c r="GE222" s="2455">
        <f t="shared" si="159"/>
        <v>4953.3600000000006</v>
      </c>
      <c r="GF222" s="2455">
        <f t="shared" si="159"/>
        <v>5452.24</v>
      </c>
      <c r="GG222" s="2455">
        <f t="shared" si="159"/>
        <v>5485.3600000000006</v>
      </c>
      <c r="GH222" s="2455">
        <f t="shared" si="159"/>
        <v>5093.66</v>
      </c>
      <c r="GI222" s="2455">
        <f t="shared" si="159"/>
        <v>4971</v>
      </c>
      <c r="GJ222" s="2455">
        <f t="shared" si="159"/>
        <v>5137.26</v>
      </c>
      <c r="GK222" s="2455">
        <f t="shared" si="159"/>
        <v>4526.5200000000004</v>
      </c>
      <c r="GL222" s="2455">
        <f t="shared" si="159"/>
        <v>5179.51</v>
      </c>
      <c r="GM222" s="2455">
        <f t="shared" si="159"/>
        <v>4992.8999999999996</v>
      </c>
      <c r="GN222" s="2456">
        <f t="shared" si="159"/>
        <v>4861.7</v>
      </c>
      <c r="GO222" s="1036">
        <f t="shared" si="158"/>
        <v>0</v>
      </c>
      <c r="GP222" s="387">
        <f t="shared" si="158"/>
        <v>0</v>
      </c>
      <c r="GQ222" s="387">
        <f t="shared" si="158"/>
        <v>0</v>
      </c>
      <c r="GR222" s="387">
        <f t="shared" si="158"/>
        <v>0</v>
      </c>
      <c r="GS222" s="387">
        <f t="shared" si="158"/>
        <v>0</v>
      </c>
      <c r="GT222" s="387">
        <f t="shared" si="158"/>
        <v>0</v>
      </c>
      <c r="GU222" s="387">
        <f t="shared" si="158"/>
        <v>0</v>
      </c>
      <c r="GV222" s="387">
        <f t="shared" si="158"/>
        <v>0</v>
      </c>
      <c r="GW222" s="387">
        <f t="shared" si="158"/>
        <v>0</v>
      </c>
      <c r="GX222" s="387">
        <f t="shared" si="158"/>
        <v>0</v>
      </c>
      <c r="GY222" s="387">
        <f t="shared" si="158"/>
        <v>0</v>
      </c>
      <c r="GZ222" s="988">
        <f t="shared" si="158"/>
        <v>0</v>
      </c>
      <c r="HB222" s="387"/>
      <c r="HC222" s="387"/>
      <c r="HD222" s="387"/>
      <c r="HE222" s="387"/>
      <c r="HF222" s="387"/>
      <c r="HG222" s="387"/>
      <c r="HH222" s="387"/>
      <c r="HI222" s="387"/>
      <c r="HJ222" s="387"/>
      <c r="HK222" s="387"/>
      <c r="HL222" s="387"/>
      <c r="HM222" s="988"/>
    </row>
    <row r="223" spans="1:221">
      <c r="A223" s="326" t="s">
        <v>900</v>
      </c>
      <c r="B223" s="326" t="s">
        <v>901</v>
      </c>
      <c r="C223" s="326" t="s">
        <v>2299</v>
      </c>
      <c r="D223" s="1036" t="s">
        <v>2154</v>
      </c>
      <c r="E223" s="387" t="s">
        <v>2154</v>
      </c>
      <c r="F223" s="387" t="s">
        <v>2154</v>
      </c>
      <c r="G223" s="387" t="s">
        <v>2154</v>
      </c>
      <c r="H223" s="387" t="s">
        <v>2154</v>
      </c>
      <c r="I223" s="387" t="s">
        <v>2154</v>
      </c>
      <c r="J223" s="387" t="s">
        <v>2154</v>
      </c>
      <c r="K223" s="387" t="s">
        <v>2154</v>
      </c>
      <c r="L223" s="387" t="s">
        <v>2154</v>
      </c>
      <c r="M223" s="387" t="s">
        <v>2154</v>
      </c>
      <c r="N223" s="387" t="s">
        <v>2154</v>
      </c>
      <c r="O223" s="988" t="s">
        <v>2154</v>
      </c>
      <c r="P223" s="387" t="s">
        <v>2154</v>
      </c>
      <c r="Q223" s="387" t="s">
        <v>2154</v>
      </c>
      <c r="R223" s="387" t="s">
        <v>2154</v>
      </c>
      <c r="S223" s="387" t="s">
        <v>2154</v>
      </c>
      <c r="T223" s="387" t="s">
        <v>2154</v>
      </c>
      <c r="U223" s="387" t="s">
        <v>2154</v>
      </c>
      <c r="V223" s="387" t="s">
        <v>2154</v>
      </c>
      <c r="W223" s="387" t="s">
        <v>2154</v>
      </c>
      <c r="X223" s="387" t="s">
        <v>2154</v>
      </c>
      <c r="Y223" s="387" t="s">
        <v>2154</v>
      </c>
      <c r="Z223" s="387" t="s">
        <v>2154</v>
      </c>
      <c r="AA223" s="988" t="s">
        <v>2154</v>
      </c>
      <c r="AB223" s="387"/>
      <c r="AC223" s="387"/>
      <c r="AD223" s="387"/>
      <c r="AE223" s="387"/>
      <c r="AF223" s="387"/>
      <c r="AG223" s="387"/>
      <c r="AH223" s="387"/>
      <c r="AI223" s="387"/>
      <c r="AJ223" s="387"/>
      <c r="AK223" s="387"/>
      <c r="AL223" s="387"/>
      <c r="AM223" s="988"/>
      <c r="AN223" s="387"/>
      <c r="AO223" s="387"/>
      <c r="AP223" s="387"/>
      <c r="AQ223" s="387"/>
      <c r="AR223" s="387"/>
      <c r="AS223" s="387"/>
      <c r="AT223" s="387"/>
      <c r="AU223" s="387"/>
      <c r="AV223" s="387"/>
      <c r="AW223" s="387"/>
      <c r="AX223" s="387"/>
      <c r="AY223" s="988"/>
      <c r="AZ223" s="387"/>
      <c r="BA223" s="387"/>
      <c r="BB223" s="387"/>
      <c r="BC223" s="387"/>
      <c r="BD223" s="387"/>
      <c r="BE223" s="387"/>
      <c r="BF223" s="387"/>
      <c r="BG223" s="387"/>
      <c r="BH223" s="387"/>
      <c r="BI223" s="387"/>
      <c r="BJ223" s="387"/>
      <c r="BK223" s="988"/>
      <c r="BL223" s="387"/>
      <c r="BM223" s="387"/>
      <c r="BN223" s="387"/>
      <c r="BO223" s="387"/>
      <c r="BP223" s="387"/>
      <c r="BQ223" s="387"/>
      <c r="BR223" s="387"/>
      <c r="BS223" s="387"/>
      <c r="BT223" s="387"/>
      <c r="BU223" s="387"/>
      <c r="BV223" s="387"/>
      <c r="BW223" s="988"/>
      <c r="BX223" s="387"/>
      <c r="BY223" s="387"/>
      <c r="BZ223" s="387"/>
      <c r="CA223" s="387"/>
      <c r="CB223" s="387"/>
      <c r="CC223" s="387"/>
      <c r="CD223" s="387"/>
      <c r="CE223" s="387"/>
      <c r="CF223" s="387"/>
      <c r="CG223" s="387"/>
      <c r="CH223" s="387"/>
      <c r="CI223" s="988"/>
      <c r="CJ223" s="387"/>
      <c r="CK223" s="387"/>
      <c r="CL223" s="387"/>
      <c r="CM223" s="387"/>
      <c r="CN223" s="387"/>
      <c r="CO223" s="387"/>
      <c r="CP223" s="387"/>
      <c r="CQ223" s="387"/>
      <c r="CR223" s="387"/>
      <c r="CS223" s="387"/>
      <c r="CT223" s="387"/>
      <c r="CU223" s="988"/>
      <c r="CV223" s="387"/>
      <c r="CW223" s="387"/>
      <c r="CX223" s="387"/>
      <c r="CY223" s="387"/>
      <c r="CZ223" s="387"/>
      <c r="DA223" s="387"/>
      <c r="DB223" s="387"/>
      <c r="DC223" s="387"/>
      <c r="DD223" s="387"/>
      <c r="DE223" s="387"/>
      <c r="DF223" s="387"/>
      <c r="DG223" s="988"/>
      <c r="DH223" s="387"/>
      <c r="DI223" s="387"/>
      <c r="DJ223" s="387"/>
      <c r="DK223" s="387"/>
      <c r="DL223" s="387"/>
      <c r="DM223" s="387"/>
      <c r="DN223" s="387"/>
      <c r="DO223" s="387"/>
      <c r="DP223" s="387"/>
      <c r="DQ223" s="387"/>
      <c r="DR223" s="387"/>
      <c r="DS223" s="988"/>
      <c r="DT223" s="387" t="s">
        <v>2154</v>
      </c>
      <c r="DU223" s="387" t="s">
        <v>2154</v>
      </c>
      <c r="DV223" s="387" t="s">
        <v>2154</v>
      </c>
      <c r="DW223" s="387" t="s">
        <v>2154</v>
      </c>
      <c r="DX223" s="387" t="s">
        <v>2154</v>
      </c>
      <c r="DY223" s="387" t="s">
        <v>2154</v>
      </c>
      <c r="DZ223" s="387" t="s">
        <v>2154</v>
      </c>
      <c r="EA223" s="387" t="s">
        <v>2154</v>
      </c>
      <c r="EB223" s="387" t="s">
        <v>2154</v>
      </c>
      <c r="EC223" s="387" t="s">
        <v>2154</v>
      </c>
      <c r="ED223" s="387" t="s">
        <v>2154</v>
      </c>
      <c r="EE223" s="988" t="s">
        <v>2154</v>
      </c>
      <c r="EF223" s="387"/>
      <c r="EG223" s="387"/>
      <c r="EH223" s="387"/>
      <c r="EI223" s="387"/>
      <c r="EJ223" s="387"/>
      <c r="EK223" s="387"/>
      <c r="EL223" s="387"/>
      <c r="EM223" s="387"/>
      <c r="EN223" s="387"/>
      <c r="EO223" s="387"/>
      <c r="EP223" s="387"/>
      <c r="EQ223" s="988"/>
      <c r="ER223" s="387"/>
      <c r="ES223" s="387"/>
      <c r="ET223" s="387"/>
      <c r="EU223" s="387"/>
      <c r="EV223" s="387"/>
      <c r="EW223" s="387"/>
      <c r="EX223" s="387"/>
      <c r="EY223" s="387"/>
      <c r="EZ223" s="387"/>
      <c r="FA223" s="387"/>
      <c r="FB223" s="387"/>
      <c r="FC223" s="988"/>
      <c r="FD223" s="387"/>
      <c r="FE223" s="387"/>
      <c r="FF223" s="387"/>
      <c r="FG223" s="387"/>
      <c r="FH223" s="387"/>
      <c r="FI223" s="387"/>
      <c r="FJ223" s="387"/>
      <c r="FK223" s="387"/>
      <c r="FL223" s="387"/>
      <c r="FM223" s="387"/>
      <c r="FN223" s="387"/>
      <c r="FO223" s="988"/>
      <c r="FP223" s="387"/>
      <c r="FQ223" s="387"/>
      <c r="FR223" s="387"/>
      <c r="FS223" s="387"/>
      <c r="FT223" s="387"/>
      <c r="FU223" s="387"/>
      <c r="FV223" s="387"/>
      <c r="FW223" s="387"/>
      <c r="FX223" s="387"/>
      <c r="FY223" s="387"/>
      <c r="FZ223" s="387"/>
      <c r="GA223" s="988"/>
      <c r="GB223" s="109"/>
      <c r="GC223" s="2454">
        <f t="shared" si="159"/>
        <v>0</v>
      </c>
      <c r="GD223" s="2455">
        <f t="shared" si="159"/>
        <v>0</v>
      </c>
      <c r="GE223" s="2455">
        <f t="shared" si="159"/>
        <v>0</v>
      </c>
      <c r="GF223" s="2455">
        <f t="shared" si="159"/>
        <v>0</v>
      </c>
      <c r="GG223" s="2455">
        <f t="shared" si="159"/>
        <v>0</v>
      </c>
      <c r="GH223" s="2455">
        <f t="shared" si="159"/>
        <v>0</v>
      </c>
      <c r="GI223" s="2455">
        <f t="shared" si="159"/>
        <v>0</v>
      </c>
      <c r="GJ223" s="2455">
        <f t="shared" si="159"/>
        <v>0</v>
      </c>
      <c r="GK223" s="2455">
        <f t="shared" si="159"/>
        <v>0</v>
      </c>
      <c r="GL223" s="2455">
        <f t="shared" si="159"/>
        <v>0</v>
      </c>
      <c r="GM223" s="2455">
        <f t="shared" si="159"/>
        <v>0</v>
      </c>
      <c r="GN223" s="2456">
        <f t="shared" si="159"/>
        <v>0</v>
      </c>
      <c r="GO223" s="1036">
        <f t="shared" si="158"/>
        <v>0</v>
      </c>
      <c r="GP223" s="387">
        <f t="shared" si="158"/>
        <v>0</v>
      </c>
      <c r="GQ223" s="387">
        <f t="shared" si="158"/>
        <v>0</v>
      </c>
      <c r="GR223" s="387">
        <f t="shared" si="158"/>
        <v>0</v>
      </c>
      <c r="GS223" s="387">
        <f t="shared" si="158"/>
        <v>0</v>
      </c>
      <c r="GT223" s="387">
        <f t="shared" si="158"/>
        <v>0</v>
      </c>
      <c r="GU223" s="387">
        <f t="shared" si="158"/>
        <v>0</v>
      </c>
      <c r="GV223" s="387">
        <f t="shared" si="158"/>
        <v>0</v>
      </c>
      <c r="GW223" s="387">
        <f t="shared" si="158"/>
        <v>0</v>
      </c>
      <c r="GX223" s="387">
        <f t="shared" si="158"/>
        <v>0</v>
      </c>
      <c r="GY223" s="387">
        <f t="shared" si="158"/>
        <v>0</v>
      </c>
      <c r="GZ223" s="988">
        <f t="shared" si="158"/>
        <v>0</v>
      </c>
      <c r="HB223" s="387"/>
      <c r="HC223" s="387"/>
      <c r="HD223" s="387"/>
      <c r="HE223" s="387"/>
      <c r="HF223" s="387"/>
      <c r="HG223" s="387"/>
      <c r="HH223" s="387"/>
      <c r="HI223" s="387"/>
      <c r="HJ223" s="387"/>
      <c r="HK223" s="387"/>
      <c r="HL223" s="387"/>
      <c r="HM223" s="988"/>
    </row>
    <row r="224" spans="1:221">
      <c r="A224" s="326" t="s">
        <v>900</v>
      </c>
      <c r="B224" s="326" t="s">
        <v>901</v>
      </c>
      <c r="C224" s="326" t="s">
        <v>2205</v>
      </c>
      <c r="D224" s="1036">
        <v>-159.16</v>
      </c>
      <c r="E224" s="387" t="s">
        <v>2154</v>
      </c>
      <c r="F224" s="387">
        <v>-92.99</v>
      </c>
      <c r="G224" s="387">
        <v>-73.290000000000006</v>
      </c>
      <c r="H224" s="387" t="s">
        <v>2154</v>
      </c>
      <c r="I224" s="387" t="s">
        <v>2154</v>
      </c>
      <c r="J224" s="387">
        <v>-73.290000000000006</v>
      </c>
      <c r="K224" s="387">
        <v>-73.290000000000006</v>
      </c>
      <c r="L224" s="387">
        <v>-73.290000000000006</v>
      </c>
      <c r="M224" s="387" t="s">
        <v>2154</v>
      </c>
      <c r="N224" s="387" t="s">
        <v>2154</v>
      </c>
      <c r="O224" s="988" t="s">
        <v>2154</v>
      </c>
      <c r="P224" s="387">
        <v>-79.58</v>
      </c>
      <c r="Q224" s="387" t="s">
        <v>2154</v>
      </c>
      <c r="R224" s="387">
        <v>-0.56999999999999995</v>
      </c>
      <c r="S224" s="387" t="s">
        <v>2154</v>
      </c>
      <c r="T224" s="387">
        <v>-146.58000000000001</v>
      </c>
      <c r="U224" s="387" t="s">
        <v>2154</v>
      </c>
      <c r="V224" s="387" t="s">
        <v>2154</v>
      </c>
      <c r="W224" s="387" t="s">
        <v>2154</v>
      </c>
      <c r="X224" s="387">
        <v>-73.290000000000006</v>
      </c>
      <c r="Y224" s="387" t="s">
        <v>2154</v>
      </c>
      <c r="Z224" s="387" t="s">
        <v>2154</v>
      </c>
      <c r="AA224" s="988" t="s">
        <v>2154</v>
      </c>
      <c r="AB224" s="387"/>
      <c r="AC224" s="387"/>
      <c r="AD224" s="387"/>
      <c r="AE224" s="387"/>
      <c r="AF224" s="387"/>
      <c r="AG224" s="387"/>
      <c r="AH224" s="387"/>
      <c r="AI224" s="387"/>
      <c r="AJ224" s="387"/>
      <c r="AK224" s="387"/>
      <c r="AL224" s="387"/>
      <c r="AM224" s="988"/>
      <c r="AN224" s="387"/>
      <c r="AO224" s="387"/>
      <c r="AP224" s="387"/>
      <c r="AQ224" s="387"/>
      <c r="AR224" s="387"/>
      <c r="AS224" s="387"/>
      <c r="AT224" s="387"/>
      <c r="AU224" s="387"/>
      <c r="AV224" s="387"/>
      <c r="AW224" s="387"/>
      <c r="AX224" s="387"/>
      <c r="AY224" s="988"/>
      <c r="AZ224" s="387"/>
      <c r="BA224" s="387"/>
      <c r="BB224" s="387"/>
      <c r="BC224" s="387"/>
      <c r="BD224" s="387"/>
      <c r="BE224" s="387"/>
      <c r="BF224" s="387"/>
      <c r="BG224" s="387"/>
      <c r="BH224" s="387"/>
      <c r="BI224" s="387"/>
      <c r="BJ224" s="387"/>
      <c r="BK224" s="988"/>
      <c r="BL224" s="387"/>
      <c r="BM224" s="387"/>
      <c r="BN224" s="387"/>
      <c r="BO224" s="387"/>
      <c r="BP224" s="387"/>
      <c r="BQ224" s="387"/>
      <c r="BR224" s="387"/>
      <c r="BS224" s="387"/>
      <c r="BT224" s="387"/>
      <c r="BU224" s="387"/>
      <c r="BV224" s="387"/>
      <c r="BW224" s="988"/>
      <c r="BX224" s="387"/>
      <c r="BY224" s="387"/>
      <c r="BZ224" s="387"/>
      <c r="CA224" s="387"/>
      <c r="CB224" s="387"/>
      <c r="CC224" s="387"/>
      <c r="CD224" s="387"/>
      <c r="CE224" s="387"/>
      <c r="CF224" s="387"/>
      <c r="CG224" s="387"/>
      <c r="CH224" s="387"/>
      <c r="CI224" s="988"/>
      <c r="CJ224" s="387"/>
      <c r="CK224" s="387"/>
      <c r="CL224" s="387"/>
      <c r="CM224" s="387"/>
      <c r="CN224" s="387"/>
      <c r="CO224" s="387"/>
      <c r="CP224" s="387"/>
      <c r="CQ224" s="387"/>
      <c r="CR224" s="387"/>
      <c r="CS224" s="387"/>
      <c r="CT224" s="387"/>
      <c r="CU224" s="988"/>
      <c r="CV224" s="387"/>
      <c r="CW224" s="387"/>
      <c r="CX224" s="387"/>
      <c r="CY224" s="387"/>
      <c r="CZ224" s="387"/>
      <c r="DA224" s="387"/>
      <c r="DB224" s="387"/>
      <c r="DC224" s="387"/>
      <c r="DD224" s="387"/>
      <c r="DE224" s="387"/>
      <c r="DF224" s="387"/>
      <c r="DG224" s="988"/>
      <c r="DH224" s="387"/>
      <c r="DI224" s="387"/>
      <c r="DJ224" s="387"/>
      <c r="DK224" s="387"/>
      <c r="DL224" s="387"/>
      <c r="DM224" s="387"/>
      <c r="DN224" s="387"/>
      <c r="DO224" s="387"/>
      <c r="DP224" s="387"/>
      <c r="DQ224" s="387"/>
      <c r="DR224" s="387"/>
      <c r="DS224" s="988"/>
      <c r="DT224" s="387" t="s">
        <v>2154</v>
      </c>
      <c r="DU224" s="387" t="s">
        <v>2154</v>
      </c>
      <c r="DV224" s="387" t="s">
        <v>2154</v>
      </c>
      <c r="DW224" s="387">
        <v>-7.33</v>
      </c>
      <c r="DX224" s="387" t="s">
        <v>2154</v>
      </c>
      <c r="DY224" s="387" t="s">
        <v>2154</v>
      </c>
      <c r="DZ224" s="387" t="s">
        <v>2154</v>
      </c>
      <c r="EA224" s="387" t="s">
        <v>2154</v>
      </c>
      <c r="EB224" s="387" t="s">
        <v>2154</v>
      </c>
      <c r="EC224" s="387" t="s">
        <v>2154</v>
      </c>
      <c r="ED224" s="387" t="s">
        <v>2154</v>
      </c>
      <c r="EE224" s="988" t="s">
        <v>2154</v>
      </c>
      <c r="EF224" s="387"/>
      <c r="EG224" s="387"/>
      <c r="EH224" s="387"/>
      <c r="EI224" s="387"/>
      <c r="EJ224" s="387"/>
      <c r="EK224" s="387"/>
      <c r="EL224" s="387"/>
      <c r="EM224" s="387"/>
      <c r="EN224" s="387"/>
      <c r="EO224" s="387"/>
      <c r="EP224" s="387"/>
      <c r="EQ224" s="988"/>
      <c r="ER224" s="387"/>
      <c r="ES224" s="387"/>
      <c r="ET224" s="387"/>
      <c r="EU224" s="387"/>
      <c r="EV224" s="387"/>
      <c r="EW224" s="387"/>
      <c r="EX224" s="387"/>
      <c r="EY224" s="387"/>
      <c r="EZ224" s="387"/>
      <c r="FA224" s="387"/>
      <c r="FB224" s="387"/>
      <c r="FC224" s="988"/>
      <c r="FD224" s="387"/>
      <c r="FE224" s="387"/>
      <c r="FF224" s="387"/>
      <c r="FG224" s="387"/>
      <c r="FH224" s="387"/>
      <c r="FI224" s="387"/>
      <c r="FJ224" s="387"/>
      <c r="FK224" s="387"/>
      <c r="FL224" s="387"/>
      <c r="FM224" s="387"/>
      <c r="FN224" s="387"/>
      <c r="FO224" s="988"/>
      <c r="FP224" s="387"/>
      <c r="FQ224" s="387"/>
      <c r="FR224" s="387"/>
      <c r="FS224" s="387"/>
      <c r="FT224" s="387"/>
      <c r="FU224" s="387"/>
      <c r="FV224" s="387"/>
      <c r="FW224" s="387"/>
      <c r="FX224" s="387"/>
      <c r="FY224" s="387"/>
      <c r="FZ224" s="387"/>
      <c r="GA224" s="988"/>
      <c r="GB224" s="109"/>
      <c r="GC224" s="2454">
        <f t="shared" si="159"/>
        <v>-238.74</v>
      </c>
      <c r="GD224" s="2455">
        <f t="shared" si="159"/>
        <v>0</v>
      </c>
      <c r="GE224" s="2455">
        <f t="shared" si="159"/>
        <v>-93.559999999999988</v>
      </c>
      <c r="GF224" s="2455">
        <f t="shared" si="159"/>
        <v>-73.290000000000006</v>
      </c>
      <c r="GG224" s="2455">
        <f t="shared" si="159"/>
        <v>-146.58000000000001</v>
      </c>
      <c r="GH224" s="2455">
        <f t="shared" si="159"/>
        <v>0</v>
      </c>
      <c r="GI224" s="2455">
        <f t="shared" si="159"/>
        <v>-73.290000000000006</v>
      </c>
      <c r="GJ224" s="2455">
        <f t="shared" si="159"/>
        <v>-73.290000000000006</v>
      </c>
      <c r="GK224" s="2455">
        <f t="shared" si="159"/>
        <v>-146.58000000000001</v>
      </c>
      <c r="GL224" s="2455">
        <f t="shared" si="159"/>
        <v>0</v>
      </c>
      <c r="GM224" s="2455">
        <f t="shared" si="159"/>
        <v>0</v>
      </c>
      <c r="GN224" s="2456">
        <f t="shared" si="159"/>
        <v>0</v>
      </c>
      <c r="GO224" s="1036">
        <f t="shared" si="158"/>
        <v>0</v>
      </c>
      <c r="GP224" s="387">
        <f t="shared" si="158"/>
        <v>0</v>
      </c>
      <c r="GQ224" s="387">
        <f t="shared" si="158"/>
        <v>0</v>
      </c>
      <c r="GR224" s="387">
        <f t="shared" si="158"/>
        <v>-7.33</v>
      </c>
      <c r="GS224" s="387">
        <f t="shared" si="158"/>
        <v>0</v>
      </c>
      <c r="GT224" s="387">
        <f t="shared" si="158"/>
        <v>0</v>
      </c>
      <c r="GU224" s="387">
        <f t="shared" si="158"/>
        <v>0</v>
      </c>
      <c r="GV224" s="387">
        <f t="shared" si="158"/>
        <v>0</v>
      </c>
      <c r="GW224" s="387">
        <f t="shared" si="158"/>
        <v>0</v>
      </c>
      <c r="GX224" s="387">
        <f t="shared" si="158"/>
        <v>0</v>
      </c>
      <c r="GY224" s="387">
        <f t="shared" si="158"/>
        <v>0</v>
      </c>
      <c r="GZ224" s="988">
        <f t="shared" si="158"/>
        <v>0</v>
      </c>
      <c r="HB224" s="387"/>
      <c r="HC224" s="387"/>
      <c r="HD224" s="387"/>
      <c r="HE224" s="387"/>
      <c r="HF224" s="387"/>
      <c r="HG224" s="387"/>
      <c r="HH224" s="387"/>
      <c r="HI224" s="387"/>
      <c r="HJ224" s="387"/>
      <c r="HK224" s="387"/>
      <c r="HL224" s="387"/>
      <c r="HM224" s="988"/>
    </row>
    <row r="225" spans="1:221">
      <c r="A225" s="326" t="s">
        <v>900</v>
      </c>
      <c r="B225" s="326" t="s">
        <v>901</v>
      </c>
      <c r="C225" s="326" t="s">
        <v>2206</v>
      </c>
      <c r="D225" s="1036" t="s">
        <v>2154</v>
      </c>
      <c r="E225" s="387" t="s">
        <v>2154</v>
      </c>
      <c r="F225" s="387" t="s">
        <v>2154</v>
      </c>
      <c r="G225" s="387" t="s">
        <v>2154</v>
      </c>
      <c r="H225" s="387" t="s">
        <v>2154</v>
      </c>
      <c r="I225" s="387" t="s">
        <v>2154</v>
      </c>
      <c r="J225" s="387" t="s">
        <v>2154</v>
      </c>
      <c r="K225" s="387" t="s">
        <v>2154</v>
      </c>
      <c r="L225" s="387" t="s">
        <v>2154</v>
      </c>
      <c r="M225" s="387" t="s">
        <v>2154</v>
      </c>
      <c r="N225" s="387" t="s">
        <v>2154</v>
      </c>
      <c r="O225" s="988" t="s">
        <v>2154</v>
      </c>
      <c r="P225" s="387" t="s">
        <v>2154</v>
      </c>
      <c r="Q225" s="387" t="s">
        <v>2154</v>
      </c>
      <c r="R225" s="387" t="s">
        <v>2154</v>
      </c>
      <c r="S225" s="387" t="s">
        <v>2154</v>
      </c>
      <c r="T225" s="387" t="s">
        <v>2154</v>
      </c>
      <c r="U225" s="387" t="s">
        <v>2154</v>
      </c>
      <c r="V225" s="387" t="s">
        <v>2154</v>
      </c>
      <c r="W225" s="387" t="s">
        <v>2154</v>
      </c>
      <c r="X225" s="387" t="s">
        <v>2154</v>
      </c>
      <c r="Y225" s="387" t="s">
        <v>2154</v>
      </c>
      <c r="Z225" s="387" t="s">
        <v>2154</v>
      </c>
      <c r="AA225" s="988" t="s">
        <v>2154</v>
      </c>
      <c r="AB225" s="387"/>
      <c r="AC225" s="387"/>
      <c r="AD225" s="387"/>
      <c r="AE225" s="387"/>
      <c r="AF225" s="387"/>
      <c r="AG225" s="387"/>
      <c r="AH225" s="387"/>
      <c r="AI225" s="387"/>
      <c r="AJ225" s="387"/>
      <c r="AK225" s="387"/>
      <c r="AL225" s="387"/>
      <c r="AM225" s="988"/>
      <c r="AN225" s="387"/>
      <c r="AO225" s="387"/>
      <c r="AP225" s="387"/>
      <c r="AQ225" s="387"/>
      <c r="AR225" s="387"/>
      <c r="AS225" s="387"/>
      <c r="AT225" s="387"/>
      <c r="AU225" s="387"/>
      <c r="AV225" s="387"/>
      <c r="AW225" s="387"/>
      <c r="AX225" s="387"/>
      <c r="AY225" s="988"/>
      <c r="AZ225" s="387"/>
      <c r="BA225" s="387"/>
      <c r="BB225" s="387"/>
      <c r="BC225" s="387"/>
      <c r="BD225" s="387"/>
      <c r="BE225" s="387"/>
      <c r="BF225" s="387"/>
      <c r="BG225" s="387"/>
      <c r="BH225" s="387"/>
      <c r="BI225" s="387"/>
      <c r="BJ225" s="387"/>
      <c r="BK225" s="988"/>
      <c r="BL225" s="387"/>
      <c r="BM225" s="387"/>
      <c r="BN225" s="387"/>
      <c r="BO225" s="387"/>
      <c r="BP225" s="387"/>
      <c r="BQ225" s="387"/>
      <c r="BR225" s="387"/>
      <c r="BS225" s="387"/>
      <c r="BT225" s="387"/>
      <c r="BU225" s="387"/>
      <c r="BV225" s="387"/>
      <c r="BW225" s="988"/>
      <c r="BX225" s="387"/>
      <c r="BY225" s="387"/>
      <c r="BZ225" s="387"/>
      <c r="CA225" s="387"/>
      <c r="CB225" s="387"/>
      <c r="CC225" s="387"/>
      <c r="CD225" s="387"/>
      <c r="CE225" s="387"/>
      <c r="CF225" s="387"/>
      <c r="CG225" s="387"/>
      <c r="CH225" s="387"/>
      <c r="CI225" s="988"/>
      <c r="CJ225" s="387"/>
      <c r="CK225" s="387"/>
      <c r="CL225" s="387"/>
      <c r="CM225" s="387"/>
      <c r="CN225" s="387"/>
      <c r="CO225" s="387"/>
      <c r="CP225" s="387"/>
      <c r="CQ225" s="387"/>
      <c r="CR225" s="387"/>
      <c r="CS225" s="387"/>
      <c r="CT225" s="387"/>
      <c r="CU225" s="988"/>
      <c r="CV225" s="387"/>
      <c r="CW225" s="387"/>
      <c r="CX225" s="387"/>
      <c r="CY225" s="387"/>
      <c r="CZ225" s="387"/>
      <c r="DA225" s="387"/>
      <c r="DB225" s="387"/>
      <c r="DC225" s="387"/>
      <c r="DD225" s="387"/>
      <c r="DE225" s="387"/>
      <c r="DF225" s="387"/>
      <c r="DG225" s="988"/>
      <c r="DH225" s="387"/>
      <c r="DI225" s="387"/>
      <c r="DJ225" s="387"/>
      <c r="DK225" s="387"/>
      <c r="DL225" s="387"/>
      <c r="DM225" s="387"/>
      <c r="DN225" s="387"/>
      <c r="DO225" s="387"/>
      <c r="DP225" s="387"/>
      <c r="DQ225" s="387"/>
      <c r="DR225" s="387"/>
      <c r="DS225" s="988"/>
      <c r="DT225" s="387" t="s">
        <v>2154</v>
      </c>
      <c r="DU225" s="387" t="s">
        <v>2154</v>
      </c>
      <c r="DV225" s="387" t="s">
        <v>2154</v>
      </c>
      <c r="DW225" s="387" t="s">
        <v>2154</v>
      </c>
      <c r="DX225" s="387" t="s">
        <v>2154</v>
      </c>
      <c r="DY225" s="387" t="s">
        <v>2154</v>
      </c>
      <c r="DZ225" s="387" t="s">
        <v>2154</v>
      </c>
      <c r="EA225" s="387" t="s">
        <v>2154</v>
      </c>
      <c r="EB225" s="387" t="s">
        <v>2154</v>
      </c>
      <c r="EC225" s="387" t="s">
        <v>2154</v>
      </c>
      <c r="ED225" s="387" t="s">
        <v>2154</v>
      </c>
      <c r="EE225" s="988" t="s">
        <v>2154</v>
      </c>
      <c r="EF225" s="387"/>
      <c r="EG225" s="387"/>
      <c r="EH225" s="387"/>
      <c r="EI225" s="387"/>
      <c r="EJ225" s="387"/>
      <c r="EK225" s="387"/>
      <c r="EL225" s="387"/>
      <c r="EM225" s="387"/>
      <c r="EN225" s="387"/>
      <c r="EO225" s="387"/>
      <c r="EP225" s="387"/>
      <c r="EQ225" s="988"/>
      <c r="ER225" s="387"/>
      <c r="ES225" s="387"/>
      <c r="ET225" s="387"/>
      <c r="EU225" s="387"/>
      <c r="EV225" s="387"/>
      <c r="EW225" s="387"/>
      <c r="EX225" s="387"/>
      <c r="EY225" s="387"/>
      <c r="EZ225" s="387"/>
      <c r="FA225" s="387"/>
      <c r="FB225" s="387"/>
      <c r="FC225" s="988"/>
      <c r="FD225" s="387"/>
      <c r="FE225" s="387"/>
      <c r="FF225" s="387"/>
      <c r="FG225" s="387"/>
      <c r="FH225" s="387"/>
      <c r="FI225" s="387"/>
      <c r="FJ225" s="387"/>
      <c r="FK225" s="387"/>
      <c r="FL225" s="387"/>
      <c r="FM225" s="387"/>
      <c r="FN225" s="387"/>
      <c r="FO225" s="988"/>
      <c r="FP225" s="387"/>
      <c r="FQ225" s="387"/>
      <c r="FR225" s="387"/>
      <c r="FS225" s="387"/>
      <c r="FT225" s="387"/>
      <c r="FU225" s="387"/>
      <c r="FV225" s="387"/>
      <c r="FW225" s="387"/>
      <c r="FX225" s="387"/>
      <c r="FY225" s="387"/>
      <c r="FZ225" s="387"/>
      <c r="GA225" s="988"/>
      <c r="GB225" s="109"/>
      <c r="GC225" s="2454">
        <f t="shared" si="159"/>
        <v>0</v>
      </c>
      <c r="GD225" s="2455">
        <f t="shared" si="159"/>
        <v>0</v>
      </c>
      <c r="GE225" s="2455">
        <f t="shared" si="159"/>
        <v>0</v>
      </c>
      <c r="GF225" s="2455">
        <f t="shared" si="159"/>
        <v>0</v>
      </c>
      <c r="GG225" s="2455">
        <f t="shared" si="159"/>
        <v>0</v>
      </c>
      <c r="GH225" s="2455">
        <f t="shared" si="159"/>
        <v>0</v>
      </c>
      <c r="GI225" s="2455">
        <f t="shared" si="159"/>
        <v>0</v>
      </c>
      <c r="GJ225" s="2455">
        <f t="shared" si="159"/>
        <v>0</v>
      </c>
      <c r="GK225" s="2455">
        <f t="shared" si="159"/>
        <v>0</v>
      </c>
      <c r="GL225" s="2455">
        <f t="shared" si="159"/>
        <v>0</v>
      </c>
      <c r="GM225" s="2455">
        <f t="shared" si="159"/>
        <v>0</v>
      </c>
      <c r="GN225" s="2456">
        <f t="shared" si="159"/>
        <v>0</v>
      </c>
      <c r="GO225" s="1036">
        <f t="shared" ref="GO225:GZ230" si="160">SUMPRODUCT(--($DT$6:$GA$6=GO$6),$DT225:$GA225,$DT$278:$GA$278)</f>
        <v>0</v>
      </c>
      <c r="GP225" s="387">
        <f t="shared" si="160"/>
        <v>0</v>
      </c>
      <c r="GQ225" s="387">
        <f t="shared" si="160"/>
        <v>0</v>
      </c>
      <c r="GR225" s="387">
        <f t="shared" si="160"/>
        <v>0</v>
      </c>
      <c r="GS225" s="387">
        <f t="shared" si="160"/>
        <v>0</v>
      </c>
      <c r="GT225" s="387">
        <f t="shared" si="160"/>
        <v>0</v>
      </c>
      <c r="GU225" s="387">
        <f t="shared" si="160"/>
        <v>0</v>
      </c>
      <c r="GV225" s="387">
        <f t="shared" si="160"/>
        <v>0</v>
      </c>
      <c r="GW225" s="387">
        <f t="shared" si="160"/>
        <v>0</v>
      </c>
      <c r="GX225" s="387">
        <f t="shared" si="160"/>
        <v>0</v>
      </c>
      <c r="GY225" s="387">
        <f t="shared" si="160"/>
        <v>0</v>
      </c>
      <c r="GZ225" s="988">
        <f t="shared" si="160"/>
        <v>0</v>
      </c>
      <c r="HB225" s="387"/>
      <c r="HC225" s="387"/>
      <c r="HD225" s="387"/>
      <c r="HE225" s="387"/>
      <c r="HF225" s="387"/>
      <c r="HG225" s="387"/>
      <c r="HH225" s="387"/>
      <c r="HI225" s="387"/>
      <c r="HJ225" s="387"/>
      <c r="HK225" s="387"/>
      <c r="HL225" s="387"/>
      <c r="HM225" s="988"/>
    </row>
    <row r="226" spans="1:221">
      <c r="A226" s="326" t="s">
        <v>900</v>
      </c>
      <c r="B226" s="326" t="s">
        <v>901</v>
      </c>
      <c r="C226" s="326" t="s">
        <v>2207</v>
      </c>
      <c r="D226" s="1036" t="s">
        <v>2154</v>
      </c>
      <c r="E226" s="387" t="s">
        <v>2154</v>
      </c>
      <c r="F226" s="387" t="s">
        <v>2154</v>
      </c>
      <c r="G226" s="387" t="s">
        <v>2154</v>
      </c>
      <c r="H226" s="387" t="s">
        <v>2154</v>
      </c>
      <c r="I226" s="387" t="s">
        <v>2154</v>
      </c>
      <c r="J226" s="387" t="s">
        <v>2154</v>
      </c>
      <c r="K226" s="387" t="s">
        <v>2154</v>
      </c>
      <c r="L226" s="387" t="s">
        <v>2154</v>
      </c>
      <c r="M226" s="387" t="s">
        <v>2154</v>
      </c>
      <c r="N226" s="387" t="s">
        <v>2154</v>
      </c>
      <c r="O226" s="988" t="s">
        <v>2154</v>
      </c>
      <c r="P226" s="387" t="s">
        <v>2154</v>
      </c>
      <c r="Q226" s="387" t="s">
        <v>2154</v>
      </c>
      <c r="R226" s="387" t="s">
        <v>2154</v>
      </c>
      <c r="S226" s="387" t="s">
        <v>2154</v>
      </c>
      <c r="T226" s="387" t="s">
        <v>2154</v>
      </c>
      <c r="U226" s="387" t="s">
        <v>2154</v>
      </c>
      <c r="V226" s="387" t="s">
        <v>2154</v>
      </c>
      <c r="W226" s="387" t="s">
        <v>2154</v>
      </c>
      <c r="X226" s="387" t="s">
        <v>2154</v>
      </c>
      <c r="Y226" s="387" t="s">
        <v>2154</v>
      </c>
      <c r="Z226" s="387" t="s">
        <v>2154</v>
      </c>
      <c r="AA226" s="988" t="s">
        <v>2154</v>
      </c>
      <c r="AB226" s="387"/>
      <c r="AC226" s="387"/>
      <c r="AD226" s="387"/>
      <c r="AE226" s="387"/>
      <c r="AF226" s="387"/>
      <c r="AG226" s="387"/>
      <c r="AH226" s="387"/>
      <c r="AI226" s="387"/>
      <c r="AJ226" s="387"/>
      <c r="AK226" s="387"/>
      <c r="AL226" s="387"/>
      <c r="AM226" s="988"/>
      <c r="AN226" s="387"/>
      <c r="AO226" s="387"/>
      <c r="AP226" s="387"/>
      <c r="AQ226" s="387"/>
      <c r="AR226" s="387"/>
      <c r="AS226" s="387"/>
      <c r="AT226" s="387"/>
      <c r="AU226" s="387"/>
      <c r="AV226" s="387"/>
      <c r="AW226" s="387"/>
      <c r="AX226" s="387"/>
      <c r="AY226" s="988"/>
      <c r="AZ226" s="387"/>
      <c r="BA226" s="387"/>
      <c r="BB226" s="387"/>
      <c r="BC226" s="387"/>
      <c r="BD226" s="387"/>
      <c r="BE226" s="387"/>
      <c r="BF226" s="387"/>
      <c r="BG226" s="387"/>
      <c r="BH226" s="387"/>
      <c r="BI226" s="387"/>
      <c r="BJ226" s="387"/>
      <c r="BK226" s="988"/>
      <c r="BL226" s="387"/>
      <c r="BM226" s="387"/>
      <c r="BN226" s="387"/>
      <c r="BO226" s="387"/>
      <c r="BP226" s="387"/>
      <c r="BQ226" s="387"/>
      <c r="BR226" s="387"/>
      <c r="BS226" s="387"/>
      <c r="BT226" s="387"/>
      <c r="BU226" s="387"/>
      <c r="BV226" s="387"/>
      <c r="BW226" s="988"/>
      <c r="BX226" s="387"/>
      <c r="BY226" s="387"/>
      <c r="BZ226" s="387"/>
      <c r="CA226" s="387"/>
      <c r="CB226" s="387"/>
      <c r="CC226" s="387"/>
      <c r="CD226" s="387"/>
      <c r="CE226" s="387"/>
      <c r="CF226" s="387"/>
      <c r="CG226" s="387"/>
      <c r="CH226" s="387"/>
      <c r="CI226" s="988"/>
      <c r="CJ226" s="387"/>
      <c r="CK226" s="387"/>
      <c r="CL226" s="387"/>
      <c r="CM226" s="387"/>
      <c r="CN226" s="387"/>
      <c r="CO226" s="387"/>
      <c r="CP226" s="387"/>
      <c r="CQ226" s="387"/>
      <c r="CR226" s="387"/>
      <c r="CS226" s="387"/>
      <c r="CT226" s="387"/>
      <c r="CU226" s="988"/>
      <c r="CV226" s="387"/>
      <c r="CW226" s="387"/>
      <c r="CX226" s="387"/>
      <c r="CY226" s="387"/>
      <c r="CZ226" s="387"/>
      <c r="DA226" s="387"/>
      <c r="DB226" s="387"/>
      <c r="DC226" s="387"/>
      <c r="DD226" s="387"/>
      <c r="DE226" s="387"/>
      <c r="DF226" s="387"/>
      <c r="DG226" s="988"/>
      <c r="DH226" s="387"/>
      <c r="DI226" s="387"/>
      <c r="DJ226" s="387"/>
      <c r="DK226" s="387"/>
      <c r="DL226" s="387"/>
      <c r="DM226" s="387"/>
      <c r="DN226" s="387"/>
      <c r="DO226" s="387"/>
      <c r="DP226" s="387"/>
      <c r="DQ226" s="387"/>
      <c r="DR226" s="387"/>
      <c r="DS226" s="988"/>
      <c r="DT226" s="387" t="s">
        <v>2154</v>
      </c>
      <c r="DU226" s="387" t="s">
        <v>2154</v>
      </c>
      <c r="DV226" s="387" t="s">
        <v>2154</v>
      </c>
      <c r="DW226" s="387" t="s">
        <v>2154</v>
      </c>
      <c r="DX226" s="387" t="s">
        <v>2154</v>
      </c>
      <c r="DY226" s="387" t="s">
        <v>2154</v>
      </c>
      <c r="DZ226" s="387" t="s">
        <v>2154</v>
      </c>
      <c r="EA226" s="387" t="s">
        <v>2154</v>
      </c>
      <c r="EB226" s="387" t="s">
        <v>2154</v>
      </c>
      <c r="EC226" s="387" t="s">
        <v>2154</v>
      </c>
      <c r="ED226" s="387" t="s">
        <v>2154</v>
      </c>
      <c r="EE226" s="988" t="s">
        <v>2154</v>
      </c>
      <c r="EF226" s="387"/>
      <c r="EG226" s="387"/>
      <c r="EH226" s="387"/>
      <c r="EI226" s="387"/>
      <c r="EJ226" s="387"/>
      <c r="EK226" s="387"/>
      <c r="EL226" s="387"/>
      <c r="EM226" s="387"/>
      <c r="EN226" s="387"/>
      <c r="EO226" s="387"/>
      <c r="EP226" s="387"/>
      <c r="EQ226" s="988"/>
      <c r="ER226" s="387"/>
      <c r="ES226" s="387"/>
      <c r="ET226" s="387"/>
      <c r="EU226" s="387"/>
      <c r="EV226" s="387"/>
      <c r="EW226" s="387"/>
      <c r="EX226" s="387"/>
      <c r="EY226" s="387"/>
      <c r="EZ226" s="387"/>
      <c r="FA226" s="387"/>
      <c r="FB226" s="387"/>
      <c r="FC226" s="988"/>
      <c r="FD226" s="387"/>
      <c r="FE226" s="387"/>
      <c r="FF226" s="387"/>
      <c r="FG226" s="387"/>
      <c r="FH226" s="387"/>
      <c r="FI226" s="387"/>
      <c r="FJ226" s="387"/>
      <c r="FK226" s="387"/>
      <c r="FL226" s="387"/>
      <c r="FM226" s="387"/>
      <c r="FN226" s="387"/>
      <c r="FO226" s="988"/>
      <c r="FP226" s="387"/>
      <c r="FQ226" s="387"/>
      <c r="FR226" s="387"/>
      <c r="FS226" s="387"/>
      <c r="FT226" s="387"/>
      <c r="FU226" s="387"/>
      <c r="FV226" s="387"/>
      <c r="FW226" s="387"/>
      <c r="FX226" s="387"/>
      <c r="FY226" s="387"/>
      <c r="FZ226" s="387"/>
      <c r="GA226" s="988"/>
      <c r="GB226" s="109"/>
      <c r="GC226" s="2454">
        <f t="shared" si="159"/>
        <v>0</v>
      </c>
      <c r="GD226" s="2455">
        <f t="shared" si="159"/>
        <v>0</v>
      </c>
      <c r="GE226" s="2455">
        <f t="shared" si="159"/>
        <v>0</v>
      </c>
      <c r="GF226" s="2455">
        <f t="shared" si="159"/>
        <v>0</v>
      </c>
      <c r="GG226" s="2455">
        <f t="shared" si="159"/>
        <v>0</v>
      </c>
      <c r="GH226" s="2455">
        <f t="shared" si="159"/>
        <v>0</v>
      </c>
      <c r="GI226" s="2455">
        <f t="shared" si="159"/>
        <v>0</v>
      </c>
      <c r="GJ226" s="2455">
        <f t="shared" si="159"/>
        <v>0</v>
      </c>
      <c r="GK226" s="2455">
        <f t="shared" si="159"/>
        <v>0</v>
      </c>
      <c r="GL226" s="2455">
        <f t="shared" si="159"/>
        <v>0</v>
      </c>
      <c r="GM226" s="2455">
        <f t="shared" si="159"/>
        <v>0</v>
      </c>
      <c r="GN226" s="2456">
        <f t="shared" si="159"/>
        <v>0</v>
      </c>
      <c r="GO226" s="1036">
        <f t="shared" si="160"/>
        <v>0</v>
      </c>
      <c r="GP226" s="387">
        <f t="shared" si="160"/>
        <v>0</v>
      </c>
      <c r="GQ226" s="387">
        <f t="shared" si="160"/>
        <v>0</v>
      </c>
      <c r="GR226" s="387">
        <f t="shared" si="160"/>
        <v>0</v>
      </c>
      <c r="GS226" s="387">
        <f t="shared" si="160"/>
        <v>0</v>
      </c>
      <c r="GT226" s="387">
        <f t="shared" si="160"/>
        <v>0</v>
      </c>
      <c r="GU226" s="387">
        <f t="shared" si="160"/>
        <v>0</v>
      </c>
      <c r="GV226" s="387">
        <f t="shared" si="160"/>
        <v>0</v>
      </c>
      <c r="GW226" s="387">
        <f t="shared" si="160"/>
        <v>0</v>
      </c>
      <c r="GX226" s="387">
        <f t="shared" si="160"/>
        <v>0</v>
      </c>
      <c r="GY226" s="387">
        <f t="shared" si="160"/>
        <v>0</v>
      </c>
      <c r="GZ226" s="988">
        <f t="shared" si="160"/>
        <v>0</v>
      </c>
      <c r="HB226" s="387"/>
      <c r="HC226" s="387"/>
      <c r="HD226" s="387"/>
      <c r="HE226" s="387"/>
      <c r="HF226" s="387"/>
      <c r="HG226" s="387"/>
      <c r="HH226" s="387"/>
      <c r="HI226" s="387"/>
      <c r="HJ226" s="387"/>
      <c r="HK226" s="387"/>
      <c r="HL226" s="387"/>
      <c r="HM226" s="988"/>
    </row>
    <row r="227" spans="1:221">
      <c r="A227" s="326" t="s">
        <v>900</v>
      </c>
      <c r="B227" s="326" t="s">
        <v>901</v>
      </c>
      <c r="C227" s="326" t="s">
        <v>1635</v>
      </c>
      <c r="D227" s="1036" t="s">
        <v>2154</v>
      </c>
      <c r="E227" s="387" t="s">
        <v>2154</v>
      </c>
      <c r="F227" s="387" t="s">
        <v>2154</v>
      </c>
      <c r="G227" s="387" t="s">
        <v>2154</v>
      </c>
      <c r="H227" s="387" t="s">
        <v>2154</v>
      </c>
      <c r="I227" s="387" t="s">
        <v>2154</v>
      </c>
      <c r="J227" s="387" t="s">
        <v>2154</v>
      </c>
      <c r="K227" s="387" t="s">
        <v>2154</v>
      </c>
      <c r="L227" s="387" t="s">
        <v>2154</v>
      </c>
      <c r="M227" s="387" t="s">
        <v>2154</v>
      </c>
      <c r="N227" s="387" t="s">
        <v>2154</v>
      </c>
      <c r="O227" s="988" t="s">
        <v>2154</v>
      </c>
      <c r="P227" s="387" t="s">
        <v>2154</v>
      </c>
      <c r="Q227" s="387" t="s">
        <v>2154</v>
      </c>
      <c r="R227" s="387" t="s">
        <v>2154</v>
      </c>
      <c r="S227" s="387" t="s">
        <v>2154</v>
      </c>
      <c r="T227" s="387" t="s">
        <v>2154</v>
      </c>
      <c r="U227" s="387" t="s">
        <v>2154</v>
      </c>
      <c r="V227" s="387" t="s">
        <v>2154</v>
      </c>
      <c r="W227" s="387" t="s">
        <v>2154</v>
      </c>
      <c r="X227" s="387" t="s">
        <v>2154</v>
      </c>
      <c r="Y227" s="387" t="s">
        <v>2154</v>
      </c>
      <c r="Z227" s="387" t="s">
        <v>2154</v>
      </c>
      <c r="AA227" s="988" t="s">
        <v>2154</v>
      </c>
      <c r="AB227" s="387"/>
      <c r="AC227" s="387"/>
      <c r="AD227" s="387"/>
      <c r="AE227" s="387"/>
      <c r="AF227" s="387"/>
      <c r="AG227" s="387"/>
      <c r="AH227" s="387"/>
      <c r="AI227" s="387"/>
      <c r="AJ227" s="387"/>
      <c r="AK227" s="387"/>
      <c r="AL227" s="387"/>
      <c r="AM227" s="988"/>
      <c r="AN227" s="387"/>
      <c r="AO227" s="387"/>
      <c r="AP227" s="387"/>
      <c r="AQ227" s="387"/>
      <c r="AR227" s="387"/>
      <c r="AS227" s="387"/>
      <c r="AT227" s="387"/>
      <c r="AU227" s="387"/>
      <c r="AV227" s="387"/>
      <c r="AW227" s="387"/>
      <c r="AX227" s="387"/>
      <c r="AY227" s="988"/>
      <c r="AZ227" s="387"/>
      <c r="BA227" s="387"/>
      <c r="BB227" s="387"/>
      <c r="BC227" s="387"/>
      <c r="BD227" s="387"/>
      <c r="BE227" s="387"/>
      <c r="BF227" s="387"/>
      <c r="BG227" s="387"/>
      <c r="BH227" s="387"/>
      <c r="BI227" s="387"/>
      <c r="BJ227" s="387"/>
      <c r="BK227" s="988"/>
      <c r="BL227" s="387"/>
      <c r="BM227" s="387"/>
      <c r="BN227" s="387"/>
      <c r="BO227" s="387"/>
      <c r="BP227" s="387"/>
      <c r="BQ227" s="387"/>
      <c r="BR227" s="387"/>
      <c r="BS227" s="387"/>
      <c r="BT227" s="387"/>
      <c r="BU227" s="387"/>
      <c r="BV227" s="387"/>
      <c r="BW227" s="988"/>
      <c r="BX227" s="387"/>
      <c r="BY227" s="387"/>
      <c r="BZ227" s="387"/>
      <c r="CA227" s="387"/>
      <c r="CB227" s="387"/>
      <c r="CC227" s="387"/>
      <c r="CD227" s="387"/>
      <c r="CE227" s="387"/>
      <c r="CF227" s="387"/>
      <c r="CG227" s="387"/>
      <c r="CH227" s="387"/>
      <c r="CI227" s="988"/>
      <c r="CJ227" s="387"/>
      <c r="CK227" s="387"/>
      <c r="CL227" s="387"/>
      <c r="CM227" s="387"/>
      <c r="CN227" s="387"/>
      <c r="CO227" s="387"/>
      <c r="CP227" s="387"/>
      <c r="CQ227" s="387"/>
      <c r="CR227" s="387"/>
      <c r="CS227" s="387"/>
      <c r="CT227" s="387"/>
      <c r="CU227" s="988"/>
      <c r="CV227" s="387"/>
      <c r="CW227" s="387"/>
      <c r="CX227" s="387"/>
      <c r="CY227" s="387"/>
      <c r="CZ227" s="387"/>
      <c r="DA227" s="387"/>
      <c r="DB227" s="387"/>
      <c r="DC227" s="387"/>
      <c r="DD227" s="387"/>
      <c r="DE227" s="387"/>
      <c r="DF227" s="387"/>
      <c r="DG227" s="988"/>
      <c r="DH227" s="387"/>
      <c r="DI227" s="387"/>
      <c r="DJ227" s="387"/>
      <c r="DK227" s="387"/>
      <c r="DL227" s="387"/>
      <c r="DM227" s="387"/>
      <c r="DN227" s="387"/>
      <c r="DO227" s="387"/>
      <c r="DP227" s="387"/>
      <c r="DQ227" s="387"/>
      <c r="DR227" s="387"/>
      <c r="DS227" s="988"/>
      <c r="DT227" s="387" t="s">
        <v>2154</v>
      </c>
      <c r="DU227" s="387" t="s">
        <v>2154</v>
      </c>
      <c r="DV227" s="387" t="s">
        <v>2154</v>
      </c>
      <c r="DW227" s="387" t="s">
        <v>2154</v>
      </c>
      <c r="DX227" s="387" t="s">
        <v>2154</v>
      </c>
      <c r="DY227" s="387" t="s">
        <v>2154</v>
      </c>
      <c r="DZ227" s="387" t="s">
        <v>2154</v>
      </c>
      <c r="EA227" s="387" t="s">
        <v>2154</v>
      </c>
      <c r="EB227" s="387" t="s">
        <v>2154</v>
      </c>
      <c r="EC227" s="387" t="s">
        <v>2154</v>
      </c>
      <c r="ED227" s="387" t="s">
        <v>2154</v>
      </c>
      <c r="EE227" s="988" t="s">
        <v>2154</v>
      </c>
      <c r="EF227" s="387"/>
      <c r="EG227" s="387"/>
      <c r="EH227" s="387"/>
      <c r="EI227" s="387"/>
      <c r="EJ227" s="387"/>
      <c r="EK227" s="387"/>
      <c r="EL227" s="387"/>
      <c r="EM227" s="387"/>
      <c r="EN227" s="387"/>
      <c r="EO227" s="387"/>
      <c r="EP227" s="387"/>
      <c r="EQ227" s="988"/>
      <c r="ER227" s="387"/>
      <c r="ES227" s="387"/>
      <c r="ET227" s="387"/>
      <c r="EU227" s="387"/>
      <c r="EV227" s="387"/>
      <c r="EW227" s="387"/>
      <c r="EX227" s="387"/>
      <c r="EY227" s="387"/>
      <c r="EZ227" s="387"/>
      <c r="FA227" s="387"/>
      <c r="FB227" s="387"/>
      <c r="FC227" s="988"/>
      <c r="FD227" s="387"/>
      <c r="FE227" s="387"/>
      <c r="FF227" s="387"/>
      <c r="FG227" s="387"/>
      <c r="FH227" s="387"/>
      <c r="FI227" s="387"/>
      <c r="FJ227" s="387"/>
      <c r="FK227" s="387"/>
      <c r="FL227" s="387"/>
      <c r="FM227" s="387"/>
      <c r="FN227" s="387"/>
      <c r="FO227" s="988"/>
      <c r="FP227" s="387"/>
      <c r="FQ227" s="387"/>
      <c r="FR227" s="387"/>
      <c r="FS227" s="387"/>
      <c r="FT227" s="387"/>
      <c r="FU227" s="387"/>
      <c r="FV227" s="387"/>
      <c r="FW227" s="387"/>
      <c r="FX227" s="387"/>
      <c r="FY227" s="387"/>
      <c r="FZ227" s="387"/>
      <c r="GA227" s="988"/>
      <c r="GB227" s="109"/>
      <c r="GC227" s="2454">
        <f t="shared" si="159"/>
        <v>0</v>
      </c>
      <c r="GD227" s="2455">
        <f t="shared" si="159"/>
        <v>0</v>
      </c>
      <c r="GE227" s="2455">
        <f t="shared" si="159"/>
        <v>0</v>
      </c>
      <c r="GF227" s="2455">
        <f t="shared" si="159"/>
        <v>0</v>
      </c>
      <c r="GG227" s="2455">
        <f t="shared" si="159"/>
        <v>0</v>
      </c>
      <c r="GH227" s="2455">
        <f t="shared" si="159"/>
        <v>0</v>
      </c>
      <c r="GI227" s="2455">
        <f t="shared" si="159"/>
        <v>0</v>
      </c>
      <c r="GJ227" s="2455">
        <f t="shared" si="159"/>
        <v>0</v>
      </c>
      <c r="GK227" s="2455">
        <f t="shared" si="159"/>
        <v>0</v>
      </c>
      <c r="GL227" s="2455">
        <f t="shared" si="159"/>
        <v>0</v>
      </c>
      <c r="GM227" s="2455">
        <f t="shared" si="159"/>
        <v>0</v>
      </c>
      <c r="GN227" s="2456">
        <f t="shared" si="159"/>
        <v>0</v>
      </c>
      <c r="GO227" s="1036">
        <f t="shared" si="160"/>
        <v>0</v>
      </c>
      <c r="GP227" s="387">
        <f t="shared" si="160"/>
        <v>0</v>
      </c>
      <c r="GQ227" s="387">
        <f t="shared" si="160"/>
        <v>0</v>
      </c>
      <c r="GR227" s="387">
        <f t="shared" si="160"/>
        <v>0</v>
      </c>
      <c r="GS227" s="387">
        <f t="shared" si="160"/>
        <v>0</v>
      </c>
      <c r="GT227" s="387">
        <f t="shared" si="160"/>
        <v>0</v>
      </c>
      <c r="GU227" s="387">
        <f t="shared" si="160"/>
        <v>0</v>
      </c>
      <c r="GV227" s="387">
        <f t="shared" si="160"/>
        <v>0</v>
      </c>
      <c r="GW227" s="387">
        <f t="shared" si="160"/>
        <v>0</v>
      </c>
      <c r="GX227" s="387">
        <f t="shared" si="160"/>
        <v>0</v>
      </c>
      <c r="GY227" s="387">
        <f t="shared" si="160"/>
        <v>0</v>
      </c>
      <c r="GZ227" s="988">
        <f t="shared" si="160"/>
        <v>0</v>
      </c>
      <c r="HB227" s="387"/>
      <c r="HC227" s="387"/>
      <c r="HD227" s="387"/>
      <c r="HE227" s="387"/>
      <c r="HF227" s="387"/>
      <c r="HG227" s="387"/>
      <c r="HH227" s="387"/>
      <c r="HI227" s="387"/>
      <c r="HJ227" s="387"/>
      <c r="HK227" s="387"/>
      <c r="HL227" s="387"/>
      <c r="HM227" s="988"/>
    </row>
    <row r="228" spans="1:221">
      <c r="A228" s="326" t="s">
        <v>900</v>
      </c>
      <c r="B228" s="326" t="s">
        <v>901</v>
      </c>
      <c r="C228" s="326" t="s">
        <v>2208</v>
      </c>
      <c r="D228" s="1036" t="s">
        <v>2154</v>
      </c>
      <c r="E228" s="387" t="s">
        <v>2154</v>
      </c>
      <c r="F228" s="387" t="s">
        <v>2154</v>
      </c>
      <c r="G228" s="387" t="s">
        <v>2154</v>
      </c>
      <c r="H228" s="387" t="s">
        <v>2154</v>
      </c>
      <c r="I228" s="387" t="s">
        <v>2154</v>
      </c>
      <c r="J228" s="387" t="s">
        <v>2154</v>
      </c>
      <c r="K228" s="387" t="s">
        <v>2154</v>
      </c>
      <c r="L228" s="387" t="s">
        <v>2154</v>
      </c>
      <c r="M228" s="387" t="s">
        <v>2154</v>
      </c>
      <c r="N228" s="387" t="s">
        <v>2154</v>
      </c>
      <c r="O228" s="988" t="s">
        <v>2154</v>
      </c>
      <c r="P228" s="387" t="s">
        <v>2154</v>
      </c>
      <c r="Q228" s="387" t="s">
        <v>2154</v>
      </c>
      <c r="R228" s="387" t="s">
        <v>2154</v>
      </c>
      <c r="S228" s="387" t="s">
        <v>2154</v>
      </c>
      <c r="T228" s="387" t="s">
        <v>2154</v>
      </c>
      <c r="U228" s="387" t="s">
        <v>2154</v>
      </c>
      <c r="V228" s="387" t="s">
        <v>2154</v>
      </c>
      <c r="W228" s="387" t="s">
        <v>2154</v>
      </c>
      <c r="X228" s="387" t="s">
        <v>2154</v>
      </c>
      <c r="Y228" s="387" t="s">
        <v>2154</v>
      </c>
      <c r="Z228" s="387" t="s">
        <v>2154</v>
      </c>
      <c r="AA228" s="988" t="s">
        <v>2154</v>
      </c>
      <c r="AB228" s="387"/>
      <c r="AC228" s="387"/>
      <c r="AD228" s="387"/>
      <c r="AE228" s="387"/>
      <c r="AF228" s="387"/>
      <c r="AG228" s="387"/>
      <c r="AH228" s="387"/>
      <c r="AI228" s="387"/>
      <c r="AJ228" s="387"/>
      <c r="AK228" s="387"/>
      <c r="AL228" s="387"/>
      <c r="AM228" s="988"/>
      <c r="AN228" s="387"/>
      <c r="AO228" s="387"/>
      <c r="AP228" s="387"/>
      <c r="AQ228" s="387"/>
      <c r="AR228" s="387"/>
      <c r="AS228" s="387"/>
      <c r="AT228" s="387"/>
      <c r="AU228" s="387"/>
      <c r="AV228" s="387"/>
      <c r="AW228" s="387"/>
      <c r="AX228" s="387"/>
      <c r="AY228" s="988"/>
      <c r="AZ228" s="387"/>
      <c r="BA228" s="387"/>
      <c r="BB228" s="387"/>
      <c r="BC228" s="387"/>
      <c r="BD228" s="387"/>
      <c r="BE228" s="387"/>
      <c r="BF228" s="387"/>
      <c r="BG228" s="387"/>
      <c r="BH228" s="387"/>
      <c r="BI228" s="387"/>
      <c r="BJ228" s="387"/>
      <c r="BK228" s="988"/>
      <c r="BL228" s="387"/>
      <c r="BM228" s="387"/>
      <c r="BN228" s="387"/>
      <c r="BO228" s="387"/>
      <c r="BP228" s="387"/>
      <c r="BQ228" s="387"/>
      <c r="BR228" s="387"/>
      <c r="BS228" s="387"/>
      <c r="BT228" s="387"/>
      <c r="BU228" s="387"/>
      <c r="BV228" s="387"/>
      <c r="BW228" s="988"/>
      <c r="BX228" s="387"/>
      <c r="BY228" s="387"/>
      <c r="BZ228" s="387"/>
      <c r="CA228" s="387"/>
      <c r="CB228" s="387"/>
      <c r="CC228" s="387"/>
      <c r="CD228" s="387"/>
      <c r="CE228" s="387"/>
      <c r="CF228" s="387"/>
      <c r="CG228" s="387"/>
      <c r="CH228" s="387"/>
      <c r="CI228" s="988"/>
      <c r="CJ228" s="387"/>
      <c r="CK228" s="387"/>
      <c r="CL228" s="387"/>
      <c r="CM228" s="387"/>
      <c r="CN228" s="387"/>
      <c r="CO228" s="387"/>
      <c r="CP228" s="387"/>
      <c r="CQ228" s="387"/>
      <c r="CR228" s="387"/>
      <c r="CS228" s="387"/>
      <c r="CT228" s="387"/>
      <c r="CU228" s="988"/>
      <c r="CV228" s="387"/>
      <c r="CW228" s="387"/>
      <c r="CX228" s="387"/>
      <c r="CY228" s="387"/>
      <c r="CZ228" s="387"/>
      <c r="DA228" s="387"/>
      <c r="DB228" s="387"/>
      <c r="DC228" s="387"/>
      <c r="DD228" s="387"/>
      <c r="DE228" s="387"/>
      <c r="DF228" s="387"/>
      <c r="DG228" s="988"/>
      <c r="DH228" s="387"/>
      <c r="DI228" s="387"/>
      <c r="DJ228" s="387"/>
      <c r="DK228" s="387"/>
      <c r="DL228" s="387"/>
      <c r="DM228" s="387"/>
      <c r="DN228" s="387"/>
      <c r="DO228" s="387"/>
      <c r="DP228" s="387"/>
      <c r="DQ228" s="387"/>
      <c r="DR228" s="387"/>
      <c r="DS228" s="988"/>
      <c r="DT228" s="387" t="s">
        <v>2154</v>
      </c>
      <c r="DU228" s="387" t="s">
        <v>2154</v>
      </c>
      <c r="DV228" s="387" t="s">
        <v>2154</v>
      </c>
      <c r="DW228" s="387" t="s">
        <v>2154</v>
      </c>
      <c r="DX228" s="387" t="s">
        <v>2154</v>
      </c>
      <c r="DY228" s="387" t="s">
        <v>2154</v>
      </c>
      <c r="DZ228" s="387" t="s">
        <v>2154</v>
      </c>
      <c r="EA228" s="387" t="s">
        <v>2154</v>
      </c>
      <c r="EB228" s="387" t="s">
        <v>2154</v>
      </c>
      <c r="EC228" s="387" t="s">
        <v>2154</v>
      </c>
      <c r="ED228" s="387" t="s">
        <v>2154</v>
      </c>
      <c r="EE228" s="988" t="s">
        <v>2154</v>
      </c>
      <c r="EF228" s="387"/>
      <c r="EG228" s="387"/>
      <c r="EH228" s="387"/>
      <c r="EI228" s="387"/>
      <c r="EJ228" s="387"/>
      <c r="EK228" s="387"/>
      <c r="EL228" s="387"/>
      <c r="EM228" s="387"/>
      <c r="EN228" s="387"/>
      <c r="EO228" s="387"/>
      <c r="EP228" s="387"/>
      <c r="EQ228" s="988"/>
      <c r="ER228" s="387"/>
      <c r="ES228" s="387"/>
      <c r="ET228" s="387"/>
      <c r="EU228" s="387"/>
      <c r="EV228" s="387"/>
      <c r="EW228" s="387"/>
      <c r="EX228" s="387"/>
      <c r="EY228" s="387"/>
      <c r="EZ228" s="387"/>
      <c r="FA228" s="387"/>
      <c r="FB228" s="387"/>
      <c r="FC228" s="988"/>
      <c r="FD228" s="387"/>
      <c r="FE228" s="387"/>
      <c r="FF228" s="387"/>
      <c r="FG228" s="387"/>
      <c r="FH228" s="387"/>
      <c r="FI228" s="387"/>
      <c r="FJ228" s="387"/>
      <c r="FK228" s="387"/>
      <c r="FL228" s="387"/>
      <c r="FM228" s="387"/>
      <c r="FN228" s="387"/>
      <c r="FO228" s="988"/>
      <c r="FP228" s="387"/>
      <c r="FQ228" s="387"/>
      <c r="FR228" s="387"/>
      <c r="FS228" s="387"/>
      <c r="FT228" s="387"/>
      <c r="FU228" s="387"/>
      <c r="FV228" s="387"/>
      <c r="FW228" s="387"/>
      <c r="FX228" s="387"/>
      <c r="FY228" s="387"/>
      <c r="FZ228" s="387"/>
      <c r="GA228" s="988"/>
      <c r="GB228" s="109"/>
      <c r="GC228" s="2454">
        <f t="shared" si="159"/>
        <v>0</v>
      </c>
      <c r="GD228" s="2455">
        <f t="shared" si="159"/>
        <v>0</v>
      </c>
      <c r="GE228" s="2455">
        <f t="shared" si="159"/>
        <v>0</v>
      </c>
      <c r="GF228" s="2455">
        <f t="shared" si="159"/>
        <v>0</v>
      </c>
      <c r="GG228" s="2455">
        <f t="shared" si="159"/>
        <v>0</v>
      </c>
      <c r="GH228" s="2455">
        <f t="shared" si="159"/>
        <v>0</v>
      </c>
      <c r="GI228" s="2455">
        <f t="shared" si="159"/>
        <v>0</v>
      </c>
      <c r="GJ228" s="2455">
        <f t="shared" si="159"/>
        <v>0</v>
      </c>
      <c r="GK228" s="2455">
        <f t="shared" si="159"/>
        <v>0</v>
      </c>
      <c r="GL228" s="2455">
        <f t="shared" si="159"/>
        <v>0</v>
      </c>
      <c r="GM228" s="2455">
        <f t="shared" si="159"/>
        <v>0</v>
      </c>
      <c r="GN228" s="2456">
        <f t="shared" si="159"/>
        <v>0</v>
      </c>
      <c r="GO228" s="1036">
        <f t="shared" si="160"/>
        <v>0</v>
      </c>
      <c r="GP228" s="387">
        <f t="shared" si="160"/>
        <v>0</v>
      </c>
      <c r="GQ228" s="387">
        <f t="shared" si="160"/>
        <v>0</v>
      </c>
      <c r="GR228" s="387">
        <f t="shared" si="160"/>
        <v>0</v>
      </c>
      <c r="GS228" s="387">
        <f t="shared" si="160"/>
        <v>0</v>
      </c>
      <c r="GT228" s="387">
        <f t="shared" si="160"/>
        <v>0</v>
      </c>
      <c r="GU228" s="387">
        <f t="shared" si="160"/>
        <v>0</v>
      </c>
      <c r="GV228" s="387">
        <f t="shared" si="160"/>
        <v>0</v>
      </c>
      <c r="GW228" s="387">
        <f t="shared" si="160"/>
        <v>0</v>
      </c>
      <c r="GX228" s="387">
        <f t="shared" si="160"/>
        <v>0</v>
      </c>
      <c r="GY228" s="387">
        <f t="shared" si="160"/>
        <v>0</v>
      </c>
      <c r="GZ228" s="988">
        <f t="shared" si="160"/>
        <v>0</v>
      </c>
      <c r="HB228" s="387"/>
      <c r="HC228" s="387"/>
      <c r="HD228" s="387"/>
      <c r="HE228" s="387"/>
      <c r="HF228" s="387"/>
      <c r="HG228" s="387"/>
      <c r="HH228" s="387"/>
      <c r="HI228" s="387"/>
      <c r="HJ228" s="387"/>
      <c r="HK228" s="387"/>
      <c r="HL228" s="387"/>
      <c r="HM228" s="988"/>
    </row>
    <row r="229" spans="1:221">
      <c r="A229" s="326" t="s">
        <v>900</v>
      </c>
      <c r="B229" s="326" t="s">
        <v>901</v>
      </c>
      <c r="C229" s="326" t="s">
        <v>2209</v>
      </c>
      <c r="D229" s="1036">
        <v>14922.130000000001</v>
      </c>
      <c r="E229" s="387">
        <v>14784.83</v>
      </c>
      <c r="F229" s="387">
        <v>13203.73</v>
      </c>
      <c r="G229" s="387">
        <v>13258.449999999999</v>
      </c>
      <c r="H229" s="387">
        <v>13730.52</v>
      </c>
      <c r="I229" s="387">
        <v>14602.45</v>
      </c>
      <c r="J229" s="387">
        <v>12937.8</v>
      </c>
      <c r="K229" s="387">
        <v>13305.310000000001</v>
      </c>
      <c r="L229" s="387">
        <v>14763.169999999998</v>
      </c>
      <c r="M229" s="387">
        <v>13044.579999999998</v>
      </c>
      <c r="N229" s="387">
        <v>15064.22</v>
      </c>
      <c r="O229" s="988">
        <v>12373.1</v>
      </c>
      <c r="P229" s="387">
        <v>13767.44</v>
      </c>
      <c r="Q229" s="387">
        <v>13611.59</v>
      </c>
      <c r="R229" s="387">
        <v>12265.83</v>
      </c>
      <c r="S229" s="387">
        <v>12456.070000000002</v>
      </c>
      <c r="T229" s="387">
        <v>16864.98</v>
      </c>
      <c r="U229" s="387">
        <v>17607.829999999998</v>
      </c>
      <c r="V229" s="387">
        <v>16031.119999999999</v>
      </c>
      <c r="W229" s="387">
        <v>14251.989999999998</v>
      </c>
      <c r="X229" s="387">
        <v>17424.309999999998</v>
      </c>
      <c r="Y229" s="387">
        <v>13526.339999999998</v>
      </c>
      <c r="Z229" s="387">
        <v>17154.629999999997</v>
      </c>
      <c r="AA229" s="988">
        <v>18276.16</v>
      </c>
      <c r="AB229" s="387"/>
      <c r="AC229" s="387"/>
      <c r="AD229" s="387"/>
      <c r="AE229" s="387"/>
      <c r="AF229" s="387"/>
      <c r="AG229" s="387"/>
      <c r="AH229" s="387"/>
      <c r="AI229" s="387"/>
      <c r="AJ229" s="387"/>
      <c r="AK229" s="387"/>
      <c r="AL229" s="387"/>
      <c r="AM229" s="988"/>
      <c r="AN229" s="387"/>
      <c r="AO229" s="387"/>
      <c r="AP229" s="387"/>
      <c r="AQ229" s="387"/>
      <c r="AR229" s="387"/>
      <c r="AS229" s="387"/>
      <c r="AT229" s="387"/>
      <c r="AU229" s="387"/>
      <c r="AV229" s="387"/>
      <c r="AW229" s="387"/>
      <c r="AX229" s="387"/>
      <c r="AY229" s="988"/>
      <c r="AZ229" s="387"/>
      <c r="BA229" s="387"/>
      <c r="BB229" s="387"/>
      <c r="BC229" s="387"/>
      <c r="BD229" s="387"/>
      <c r="BE229" s="387"/>
      <c r="BF229" s="387"/>
      <c r="BG229" s="387"/>
      <c r="BH229" s="387"/>
      <c r="BI229" s="387"/>
      <c r="BJ229" s="387"/>
      <c r="BK229" s="988"/>
      <c r="BL229" s="387"/>
      <c r="BM229" s="387"/>
      <c r="BN229" s="387"/>
      <c r="BO229" s="387"/>
      <c r="BP229" s="387"/>
      <c r="BQ229" s="387"/>
      <c r="BR229" s="387"/>
      <c r="BS229" s="387"/>
      <c r="BT229" s="387"/>
      <c r="BU229" s="387"/>
      <c r="BV229" s="387"/>
      <c r="BW229" s="988"/>
      <c r="BX229" s="387"/>
      <c r="BY229" s="387"/>
      <c r="BZ229" s="387"/>
      <c r="CA229" s="387"/>
      <c r="CB229" s="387"/>
      <c r="CC229" s="387"/>
      <c r="CD229" s="387"/>
      <c r="CE229" s="387"/>
      <c r="CF229" s="387"/>
      <c r="CG229" s="387"/>
      <c r="CH229" s="387"/>
      <c r="CI229" s="988"/>
      <c r="CJ229" s="387"/>
      <c r="CK229" s="387"/>
      <c r="CL229" s="387"/>
      <c r="CM229" s="387"/>
      <c r="CN229" s="387"/>
      <c r="CO229" s="387"/>
      <c r="CP229" s="387"/>
      <c r="CQ229" s="387"/>
      <c r="CR229" s="387"/>
      <c r="CS229" s="387"/>
      <c r="CT229" s="387"/>
      <c r="CU229" s="988"/>
      <c r="CV229" s="387"/>
      <c r="CW229" s="387"/>
      <c r="CX229" s="387"/>
      <c r="CY229" s="387"/>
      <c r="CZ229" s="387"/>
      <c r="DA229" s="387"/>
      <c r="DB229" s="387"/>
      <c r="DC229" s="387"/>
      <c r="DD229" s="387"/>
      <c r="DE229" s="387"/>
      <c r="DF229" s="387"/>
      <c r="DG229" s="988"/>
      <c r="DH229" s="387"/>
      <c r="DI229" s="387"/>
      <c r="DJ229" s="387"/>
      <c r="DK229" s="387"/>
      <c r="DL229" s="387"/>
      <c r="DM229" s="387"/>
      <c r="DN229" s="387"/>
      <c r="DO229" s="387"/>
      <c r="DP229" s="387"/>
      <c r="DQ229" s="387"/>
      <c r="DR229" s="387"/>
      <c r="DS229" s="988"/>
      <c r="DT229" s="387">
        <v>8288.73</v>
      </c>
      <c r="DU229" s="387">
        <v>1628.1200000000001</v>
      </c>
      <c r="DV229" s="387">
        <v>9004.73</v>
      </c>
      <c r="DW229" s="387">
        <v>6913.7</v>
      </c>
      <c r="DX229" s="387">
        <v>5271.07</v>
      </c>
      <c r="DY229" s="387">
        <v>5519.05</v>
      </c>
      <c r="DZ229" s="387">
        <v>4101.7299999999996</v>
      </c>
      <c r="EA229" s="387">
        <v>6451.3499999999995</v>
      </c>
      <c r="EB229" s="387">
        <v>4742.29</v>
      </c>
      <c r="EC229" s="387">
        <v>5475.32</v>
      </c>
      <c r="ED229" s="387">
        <v>5271.56</v>
      </c>
      <c r="EE229" s="988">
        <v>4835.07</v>
      </c>
      <c r="EF229" s="387"/>
      <c r="EG229" s="387"/>
      <c r="EH229" s="387"/>
      <c r="EI229" s="387"/>
      <c r="EJ229" s="387"/>
      <c r="EK229" s="387"/>
      <c r="EL229" s="387"/>
      <c r="EM229" s="387"/>
      <c r="EN229" s="387"/>
      <c r="EO229" s="387"/>
      <c r="EP229" s="387"/>
      <c r="EQ229" s="988"/>
      <c r="ER229" s="387"/>
      <c r="ES229" s="387"/>
      <c r="ET229" s="387"/>
      <c r="EU229" s="387"/>
      <c r="EV229" s="387"/>
      <c r="EW229" s="387"/>
      <c r="EX229" s="387"/>
      <c r="EY229" s="387"/>
      <c r="EZ229" s="387"/>
      <c r="FA229" s="387"/>
      <c r="FB229" s="387"/>
      <c r="FC229" s="988"/>
      <c r="FD229" s="387"/>
      <c r="FE229" s="387"/>
      <c r="FF229" s="387"/>
      <c r="FG229" s="387"/>
      <c r="FH229" s="387"/>
      <c r="FI229" s="387"/>
      <c r="FJ229" s="387"/>
      <c r="FK229" s="387"/>
      <c r="FL229" s="387"/>
      <c r="FM229" s="387"/>
      <c r="FN229" s="387"/>
      <c r="FO229" s="988"/>
      <c r="FP229" s="387"/>
      <c r="FQ229" s="387"/>
      <c r="FR229" s="387"/>
      <c r="FS229" s="387"/>
      <c r="FT229" s="387"/>
      <c r="FU229" s="387"/>
      <c r="FV229" s="387"/>
      <c r="FW229" s="387"/>
      <c r="FX229" s="387"/>
      <c r="FY229" s="387"/>
      <c r="FZ229" s="387"/>
      <c r="GA229" s="988"/>
      <c r="GB229" s="109"/>
      <c r="GC229" s="2454">
        <f t="shared" si="159"/>
        <v>28689.57</v>
      </c>
      <c r="GD229" s="2455">
        <f t="shared" si="159"/>
        <v>28396.42</v>
      </c>
      <c r="GE229" s="2455">
        <f t="shared" si="159"/>
        <v>25469.559999999998</v>
      </c>
      <c r="GF229" s="2455">
        <f t="shared" si="159"/>
        <v>25714.52</v>
      </c>
      <c r="GG229" s="2455">
        <f t="shared" si="159"/>
        <v>30595.5</v>
      </c>
      <c r="GH229" s="2455">
        <f t="shared" si="159"/>
        <v>32210.28</v>
      </c>
      <c r="GI229" s="2455">
        <f t="shared" si="159"/>
        <v>28968.92</v>
      </c>
      <c r="GJ229" s="2455">
        <f t="shared" si="159"/>
        <v>27557.3</v>
      </c>
      <c r="GK229" s="2455">
        <f t="shared" si="159"/>
        <v>32187.479999999996</v>
      </c>
      <c r="GL229" s="2455">
        <f t="shared" si="159"/>
        <v>26570.92</v>
      </c>
      <c r="GM229" s="2455">
        <f t="shared" si="159"/>
        <v>32218.85</v>
      </c>
      <c r="GN229" s="2456">
        <f t="shared" si="159"/>
        <v>30649.260000000002</v>
      </c>
      <c r="GO229" s="1036">
        <f t="shared" si="160"/>
        <v>8288.73</v>
      </c>
      <c r="GP229" s="387">
        <f t="shared" si="160"/>
        <v>1628.1200000000001</v>
      </c>
      <c r="GQ229" s="387">
        <f t="shared" si="160"/>
        <v>9004.73</v>
      </c>
      <c r="GR229" s="387">
        <f t="shared" si="160"/>
        <v>6913.7</v>
      </c>
      <c r="GS229" s="387">
        <f t="shared" si="160"/>
        <v>5271.07</v>
      </c>
      <c r="GT229" s="387">
        <f t="shared" si="160"/>
        <v>5519.05</v>
      </c>
      <c r="GU229" s="387">
        <f t="shared" si="160"/>
        <v>4101.7299999999996</v>
      </c>
      <c r="GV229" s="387">
        <f t="shared" si="160"/>
        <v>6451.3499999999995</v>
      </c>
      <c r="GW229" s="387">
        <f t="shared" si="160"/>
        <v>4742.29</v>
      </c>
      <c r="GX229" s="387">
        <f t="shared" si="160"/>
        <v>5475.32</v>
      </c>
      <c r="GY229" s="387">
        <f t="shared" si="160"/>
        <v>5271.56</v>
      </c>
      <c r="GZ229" s="988">
        <f t="shared" si="160"/>
        <v>4835.07</v>
      </c>
      <c r="HB229" s="387"/>
      <c r="HC229" s="387"/>
      <c r="HD229" s="387"/>
      <c r="HE229" s="387"/>
      <c r="HF229" s="387"/>
      <c r="HG229" s="387"/>
      <c r="HH229" s="387"/>
      <c r="HI229" s="387"/>
      <c r="HJ229" s="387"/>
      <c r="HK229" s="387"/>
      <c r="HL229" s="387"/>
      <c r="HM229" s="988"/>
    </row>
    <row r="230" spans="1:221" s="1731" customFormat="1">
      <c r="A230" s="1725" t="s">
        <v>900</v>
      </c>
      <c r="B230" s="1725" t="s">
        <v>901</v>
      </c>
      <c r="C230" s="1725" t="s">
        <v>1101</v>
      </c>
      <c r="D230" s="1726">
        <v>37266.92</v>
      </c>
      <c r="E230" s="1727">
        <v>35363.17</v>
      </c>
      <c r="F230" s="1727">
        <v>30508.739999999998</v>
      </c>
      <c r="G230" s="1727">
        <v>29794.869999999995</v>
      </c>
      <c r="H230" s="1727">
        <v>33059.980000000003</v>
      </c>
      <c r="I230" s="1727">
        <v>34851.18</v>
      </c>
      <c r="J230" s="1727">
        <v>29581.4</v>
      </c>
      <c r="K230" s="1727">
        <v>33136.800000000003</v>
      </c>
      <c r="L230" s="1727">
        <v>37151.910000000003</v>
      </c>
      <c r="M230" s="1727">
        <v>35271.14</v>
      </c>
      <c r="N230" s="1727">
        <v>34569.629999999997</v>
      </c>
      <c r="O230" s="1728">
        <v>29292.280000000006</v>
      </c>
      <c r="P230" s="1727">
        <v>15626.1</v>
      </c>
      <c r="Q230" s="1727">
        <v>18423.099999999999</v>
      </c>
      <c r="R230" s="1727">
        <v>12729.05</v>
      </c>
      <c r="S230" s="1727">
        <v>15271.86</v>
      </c>
      <c r="T230" s="1727">
        <v>22879.94</v>
      </c>
      <c r="U230" s="1727">
        <v>20123.399999999998</v>
      </c>
      <c r="V230" s="1727">
        <v>20795.449999999997</v>
      </c>
      <c r="W230" s="1727">
        <v>18315.059999999998</v>
      </c>
      <c r="X230" s="1727">
        <v>21097.269999999997</v>
      </c>
      <c r="Y230" s="1727">
        <v>16337.579999999998</v>
      </c>
      <c r="Z230" s="1727">
        <v>20576.789999999997</v>
      </c>
      <c r="AA230" s="1728">
        <v>23166.6</v>
      </c>
      <c r="AB230" s="1727"/>
      <c r="AC230" s="1727"/>
      <c r="AD230" s="1727"/>
      <c r="AE230" s="1727"/>
      <c r="AF230" s="1727"/>
      <c r="AG230" s="1727"/>
      <c r="AH230" s="1727"/>
      <c r="AI230" s="1727"/>
      <c r="AJ230" s="1727"/>
      <c r="AK230" s="1727"/>
      <c r="AL230" s="1727"/>
      <c r="AM230" s="1728"/>
      <c r="AN230" s="1727"/>
      <c r="AO230" s="1727"/>
      <c r="AP230" s="1727"/>
      <c r="AQ230" s="1727"/>
      <c r="AR230" s="1727"/>
      <c r="AS230" s="1727"/>
      <c r="AT230" s="1727"/>
      <c r="AU230" s="1727"/>
      <c r="AV230" s="1727"/>
      <c r="AW230" s="1727"/>
      <c r="AX230" s="1727"/>
      <c r="AY230" s="1728"/>
      <c r="AZ230" s="1727"/>
      <c r="BA230" s="1727"/>
      <c r="BB230" s="1727"/>
      <c r="BC230" s="1727"/>
      <c r="BD230" s="1727"/>
      <c r="BE230" s="1727"/>
      <c r="BF230" s="1727"/>
      <c r="BG230" s="1727"/>
      <c r="BH230" s="1727"/>
      <c r="BI230" s="1727"/>
      <c r="BJ230" s="1727"/>
      <c r="BK230" s="1728"/>
      <c r="BL230" s="1727"/>
      <c r="BM230" s="1727"/>
      <c r="BN230" s="1727"/>
      <c r="BO230" s="1727"/>
      <c r="BP230" s="1727"/>
      <c r="BQ230" s="1727"/>
      <c r="BR230" s="1727"/>
      <c r="BS230" s="1727"/>
      <c r="BT230" s="1727"/>
      <c r="BU230" s="1727"/>
      <c r="BV230" s="1727"/>
      <c r="BW230" s="1728"/>
      <c r="BX230" s="1727"/>
      <c r="BY230" s="1727"/>
      <c r="BZ230" s="1727"/>
      <c r="CA230" s="1727"/>
      <c r="CB230" s="1727"/>
      <c r="CC230" s="1727"/>
      <c r="CD230" s="1727"/>
      <c r="CE230" s="1727"/>
      <c r="CF230" s="1727"/>
      <c r="CG230" s="1727"/>
      <c r="CH230" s="1727"/>
      <c r="CI230" s="1728"/>
      <c r="CJ230" s="1727"/>
      <c r="CK230" s="1727"/>
      <c r="CL230" s="1727"/>
      <c r="CM230" s="1727"/>
      <c r="CN230" s="1727"/>
      <c r="CO230" s="1727"/>
      <c r="CP230" s="1727"/>
      <c r="CQ230" s="1727"/>
      <c r="CR230" s="1727"/>
      <c r="CS230" s="1727"/>
      <c r="CT230" s="1727"/>
      <c r="CU230" s="1728"/>
      <c r="CV230" s="1727"/>
      <c r="CW230" s="1727"/>
      <c r="CX230" s="1727"/>
      <c r="CY230" s="1727"/>
      <c r="CZ230" s="1727"/>
      <c r="DA230" s="1727"/>
      <c r="DB230" s="1727"/>
      <c r="DC230" s="1727"/>
      <c r="DD230" s="1727"/>
      <c r="DE230" s="1727"/>
      <c r="DF230" s="1727"/>
      <c r="DG230" s="1728"/>
      <c r="DH230" s="1727"/>
      <c r="DI230" s="1727"/>
      <c r="DJ230" s="1727"/>
      <c r="DK230" s="1727"/>
      <c r="DL230" s="1727"/>
      <c r="DM230" s="1727"/>
      <c r="DN230" s="1727"/>
      <c r="DO230" s="1727"/>
      <c r="DP230" s="1727"/>
      <c r="DQ230" s="1727"/>
      <c r="DR230" s="1727"/>
      <c r="DS230" s="1728"/>
      <c r="DT230" s="1727">
        <v>16336.41</v>
      </c>
      <c r="DU230" s="1727">
        <v>8689.89</v>
      </c>
      <c r="DV230" s="1727">
        <v>16452.52</v>
      </c>
      <c r="DW230" s="1727">
        <v>9121.81</v>
      </c>
      <c r="DX230" s="1727">
        <v>9690.7999999999993</v>
      </c>
      <c r="DY230" s="1727">
        <v>10149.040000000001</v>
      </c>
      <c r="DZ230" s="1727">
        <v>160.12999999999965</v>
      </c>
      <c r="EA230" s="1727">
        <v>10394.58</v>
      </c>
      <c r="EB230" s="1727">
        <v>9694.51</v>
      </c>
      <c r="EC230" s="1727">
        <v>10425.14</v>
      </c>
      <c r="ED230" s="1727">
        <v>7297.5000000000009</v>
      </c>
      <c r="EE230" s="1728">
        <v>10053.41</v>
      </c>
      <c r="EF230" s="1727"/>
      <c r="EG230" s="1727"/>
      <c r="EH230" s="1727"/>
      <c r="EI230" s="1727"/>
      <c r="EJ230" s="1727"/>
      <c r="EK230" s="1727"/>
      <c r="EL230" s="1727"/>
      <c r="EM230" s="1727"/>
      <c r="EN230" s="1727"/>
      <c r="EO230" s="1727"/>
      <c r="EP230" s="1727"/>
      <c r="EQ230" s="1728"/>
      <c r="ER230" s="1727"/>
      <c r="ES230" s="1727"/>
      <c r="ET230" s="1727"/>
      <c r="EU230" s="1727"/>
      <c r="EV230" s="1727"/>
      <c r="EW230" s="1727"/>
      <c r="EX230" s="1727"/>
      <c r="EY230" s="1727"/>
      <c r="EZ230" s="1727"/>
      <c r="FA230" s="1727"/>
      <c r="FB230" s="1727"/>
      <c r="FC230" s="1728"/>
      <c r="FD230" s="1727"/>
      <c r="FE230" s="1727"/>
      <c r="FF230" s="1727"/>
      <c r="FG230" s="1727"/>
      <c r="FH230" s="1727"/>
      <c r="FI230" s="1727"/>
      <c r="FJ230" s="1727"/>
      <c r="FK230" s="1727"/>
      <c r="FL230" s="1727"/>
      <c r="FM230" s="1727"/>
      <c r="FN230" s="1727"/>
      <c r="FO230" s="1728"/>
      <c r="FP230" s="1727"/>
      <c r="FQ230" s="1727"/>
      <c r="FR230" s="1727"/>
      <c r="FS230" s="1727"/>
      <c r="FT230" s="1727"/>
      <c r="FU230" s="1727"/>
      <c r="FV230" s="1727"/>
      <c r="FW230" s="1727"/>
      <c r="FX230" s="1727"/>
      <c r="FY230" s="1727"/>
      <c r="FZ230" s="1727"/>
      <c r="GA230" s="1728"/>
      <c r="GB230" s="374"/>
      <c r="GC230" s="2216">
        <f t="shared" ref="GC230:GN230" si="161">SUMPRODUCT(--($D$6:$GA$6=GC$6),$D230:$GA230,$D$278:$GA$278)</f>
        <v>69229.429999999993</v>
      </c>
      <c r="GD230" s="1727">
        <f t="shared" si="161"/>
        <v>62476.159999999996</v>
      </c>
      <c r="GE230" s="1727">
        <f t="shared" si="161"/>
        <v>59690.31</v>
      </c>
      <c r="GF230" s="1727">
        <f t="shared" si="161"/>
        <v>54188.539999999994</v>
      </c>
      <c r="GG230" s="1727">
        <f t="shared" si="161"/>
        <v>65630.720000000001</v>
      </c>
      <c r="GH230" s="1727">
        <f t="shared" si="161"/>
        <v>65123.62</v>
      </c>
      <c r="GI230" s="1727">
        <f t="shared" si="161"/>
        <v>50536.979999999996</v>
      </c>
      <c r="GJ230" s="1727">
        <f t="shared" si="161"/>
        <v>61846.44</v>
      </c>
      <c r="GK230" s="1727">
        <f t="shared" si="161"/>
        <v>67943.69</v>
      </c>
      <c r="GL230" s="1727">
        <f t="shared" si="161"/>
        <v>62033.86</v>
      </c>
      <c r="GM230" s="1727">
        <f t="shared" si="161"/>
        <v>62443.92</v>
      </c>
      <c r="GN230" s="1728">
        <f t="shared" si="161"/>
        <v>62512.290000000008</v>
      </c>
      <c r="GO230" s="1726">
        <f t="shared" si="160"/>
        <v>16336.41</v>
      </c>
      <c r="GP230" s="1727">
        <f t="shared" si="160"/>
        <v>8689.89</v>
      </c>
      <c r="GQ230" s="1727">
        <f t="shared" si="160"/>
        <v>16452.52</v>
      </c>
      <c r="GR230" s="1727">
        <f t="shared" si="160"/>
        <v>9121.81</v>
      </c>
      <c r="GS230" s="1727">
        <f t="shared" si="160"/>
        <v>9690.7999999999993</v>
      </c>
      <c r="GT230" s="1727">
        <f t="shared" si="160"/>
        <v>10149.040000000001</v>
      </c>
      <c r="GU230" s="1727">
        <f t="shared" si="160"/>
        <v>160.12999999999965</v>
      </c>
      <c r="GV230" s="1727">
        <f t="shared" si="160"/>
        <v>10394.58</v>
      </c>
      <c r="GW230" s="1727">
        <f t="shared" si="160"/>
        <v>9694.51</v>
      </c>
      <c r="GX230" s="1727">
        <f t="shared" si="160"/>
        <v>10425.14</v>
      </c>
      <c r="GY230" s="1727">
        <f t="shared" si="160"/>
        <v>7297.5000000000009</v>
      </c>
      <c r="GZ230" s="1728">
        <f t="shared" si="160"/>
        <v>10053.41</v>
      </c>
      <c r="HB230" s="1727"/>
      <c r="HC230" s="1727"/>
      <c r="HD230" s="1727"/>
      <c r="HE230" s="1727"/>
      <c r="HF230" s="1727"/>
      <c r="HG230" s="1727"/>
      <c r="HH230" s="1727"/>
      <c r="HI230" s="1727"/>
      <c r="HJ230" s="1727"/>
      <c r="HK230" s="1727"/>
      <c r="HL230" s="1727"/>
      <c r="HM230" s="1728"/>
    </row>
    <row r="231" spans="1:221" s="1731" customFormat="1">
      <c r="A231" s="1725"/>
      <c r="B231" s="1725"/>
      <c r="C231" s="1725"/>
      <c r="D231" s="1726"/>
      <c r="E231" s="1727"/>
      <c r="F231" s="1727"/>
      <c r="G231" s="1727"/>
      <c r="H231" s="1727"/>
      <c r="I231" s="1727"/>
      <c r="J231" s="1727"/>
      <c r="K231" s="1727"/>
      <c r="L231" s="1727"/>
      <c r="M231" s="1727"/>
      <c r="N231" s="1727"/>
      <c r="O231" s="1728"/>
      <c r="P231" s="1727"/>
      <c r="Q231" s="1727"/>
      <c r="R231" s="1727"/>
      <c r="S231" s="1727"/>
      <c r="T231" s="1727"/>
      <c r="U231" s="1727"/>
      <c r="V231" s="1727"/>
      <c r="W231" s="1727"/>
      <c r="X231" s="1727"/>
      <c r="Y231" s="1727"/>
      <c r="Z231" s="1727"/>
      <c r="AA231" s="1728"/>
      <c r="AB231" s="1727"/>
      <c r="AC231" s="1727"/>
      <c r="AD231" s="1727"/>
      <c r="AE231" s="1727"/>
      <c r="AF231" s="1727"/>
      <c r="AG231" s="1727"/>
      <c r="AH231" s="1727"/>
      <c r="AI231" s="1727"/>
      <c r="AJ231" s="1727"/>
      <c r="AK231" s="1727"/>
      <c r="AL231" s="1727"/>
      <c r="AM231" s="1728"/>
      <c r="AN231" s="1727"/>
      <c r="AO231" s="1727"/>
      <c r="AP231" s="1727"/>
      <c r="AQ231" s="1727"/>
      <c r="AR231" s="1727"/>
      <c r="AS231" s="1727"/>
      <c r="AT231" s="1727"/>
      <c r="AU231" s="1727"/>
      <c r="AV231" s="1727"/>
      <c r="AW231" s="1727"/>
      <c r="AX231" s="1727"/>
      <c r="AY231" s="1728"/>
      <c r="AZ231" s="1727"/>
      <c r="BA231" s="1727"/>
      <c r="BB231" s="1727"/>
      <c r="BC231" s="1727"/>
      <c r="BD231" s="1727"/>
      <c r="BE231" s="1727"/>
      <c r="BF231" s="1727"/>
      <c r="BG231" s="1727"/>
      <c r="BH231" s="1727"/>
      <c r="BI231" s="1727"/>
      <c r="BJ231" s="1727"/>
      <c r="BK231" s="1728"/>
      <c r="BL231" s="1727"/>
      <c r="BM231" s="1727"/>
      <c r="BN231" s="1727"/>
      <c r="BO231" s="1727"/>
      <c r="BP231" s="1727"/>
      <c r="BQ231" s="1727"/>
      <c r="BR231" s="1727"/>
      <c r="BS231" s="1727"/>
      <c r="BT231" s="1727"/>
      <c r="BU231" s="1727"/>
      <c r="BV231" s="1727"/>
      <c r="BW231" s="1728"/>
      <c r="BX231" s="1727"/>
      <c r="BY231" s="1727"/>
      <c r="BZ231" s="1727"/>
      <c r="CA231" s="1727"/>
      <c r="CB231" s="1727"/>
      <c r="CC231" s="1727"/>
      <c r="CD231" s="1727"/>
      <c r="CE231" s="1727"/>
      <c r="CF231" s="1727"/>
      <c r="CG231" s="1727"/>
      <c r="CH231" s="1727"/>
      <c r="CI231" s="1728"/>
      <c r="CJ231" s="1727"/>
      <c r="CK231" s="1727"/>
      <c r="CL231" s="1727"/>
      <c r="CM231" s="1727"/>
      <c r="CN231" s="1727"/>
      <c r="CO231" s="1727"/>
      <c r="CP231" s="1727"/>
      <c r="CQ231" s="1727"/>
      <c r="CR231" s="1727"/>
      <c r="CS231" s="1727"/>
      <c r="CT231" s="1727"/>
      <c r="CU231" s="1728"/>
      <c r="CV231" s="1727"/>
      <c r="CW231" s="1727"/>
      <c r="CX231" s="1727"/>
      <c r="CY231" s="1727"/>
      <c r="CZ231" s="1727"/>
      <c r="DA231" s="1727"/>
      <c r="DB231" s="1727"/>
      <c r="DC231" s="1727"/>
      <c r="DD231" s="1727"/>
      <c r="DE231" s="1727"/>
      <c r="DF231" s="1727"/>
      <c r="DG231" s="1728"/>
      <c r="DH231" s="1727"/>
      <c r="DI231" s="1727"/>
      <c r="DJ231" s="1727"/>
      <c r="DK231" s="1727"/>
      <c r="DL231" s="1727"/>
      <c r="DM231" s="1727"/>
      <c r="DN231" s="1727"/>
      <c r="DO231" s="1727"/>
      <c r="DP231" s="1727"/>
      <c r="DQ231" s="1727"/>
      <c r="DR231" s="1727"/>
      <c r="DS231" s="1728"/>
      <c r="DT231" s="1727"/>
      <c r="DU231" s="1727"/>
      <c r="DV231" s="1727"/>
      <c r="DW231" s="1727"/>
      <c r="DX231" s="1727"/>
      <c r="DY231" s="1727"/>
      <c r="DZ231" s="1727"/>
      <c r="EA231" s="1727"/>
      <c r="EB231" s="1727"/>
      <c r="EC231" s="1727"/>
      <c r="ED231" s="1727"/>
      <c r="EE231" s="1728"/>
      <c r="EF231" s="1727"/>
      <c r="EG231" s="1727"/>
      <c r="EH231" s="1727"/>
      <c r="EI231" s="1727"/>
      <c r="EJ231" s="1727"/>
      <c r="EK231" s="1727"/>
      <c r="EL231" s="1727"/>
      <c r="EM231" s="1727"/>
      <c r="EN231" s="1727"/>
      <c r="EO231" s="1727"/>
      <c r="EP231" s="1727"/>
      <c r="EQ231" s="1728"/>
      <c r="ER231" s="1727"/>
      <c r="ES231" s="1727"/>
      <c r="ET231" s="1727"/>
      <c r="EU231" s="1727"/>
      <c r="EV231" s="1727"/>
      <c r="EW231" s="1727"/>
      <c r="EX231" s="1727"/>
      <c r="EY231" s="1727"/>
      <c r="EZ231" s="1727"/>
      <c r="FA231" s="1727"/>
      <c r="FB231" s="1727"/>
      <c r="FC231" s="1728"/>
      <c r="FD231" s="1727"/>
      <c r="FE231" s="1727"/>
      <c r="FF231" s="1727"/>
      <c r="FG231" s="1727"/>
      <c r="FH231" s="1727"/>
      <c r="FI231" s="1727"/>
      <c r="FJ231" s="1727"/>
      <c r="FK231" s="1727"/>
      <c r="FL231" s="1727"/>
      <c r="FM231" s="1727"/>
      <c r="FN231" s="1727"/>
      <c r="FO231" s="1728"/>
      <c r="FP231" s="1727"/>
      <c r="FQ231" s="1727"/>
      <c r="FR231" s="1727"/>
      <c r="FS231" s="1727"/>
      <c r="FT231" s="1727"/>
      <c r="FU231" s="1727"/>
      <c r="FV231" s="1727"/>
      <c r="FW231" s="1727"/>
      <c r="FX231" s="1727"/>
      <c r="FY231" s="1727"/>
      <c r="FZ231" s="1727"/>
      <c r="GA231" s="1728"/>
      <c r="GB231" s="374"/>
      <c r="GC231" s="2216">
        <f t="shared" ref="GC231:GZ231" si="162">IF(SUM(GC56,GC58,GC87:GC88)=0,0,SUM(GC206:GC220)/SUM(GC56,GC58,GC87:GC88))</f>
        <v>30.624036387055231</v>
      </c>
      <c r="GD231" s="1727">
        <f t="shared" si="162"/>
        <v>32.109175029766966</v>
      </c>
      <c r="GE231" s="1727">
        <f t="shared" si="162"/>
        <v>25.494292373671453</v>
      </c>
      <c r="GF231" s="1727">
        <f t="shared" si="162"/>
        <v>24.51972305140962</v>
      </c>
      <c r="GG231" s="1727">
        <f t="shared" si="162"/>
        <v>29.70497724776401</v>
      </c>
      <c r="GH231" s="1727">
        <f t="shared" si="162"/>
        <v>25.596354262850106</v>
      </c>
      <c r="GI231" s="1727">
        <f t="shared" si="162"/>
        <v>26.621213551323113</v>
      </c>
      <c r="GJ231" s="1727">
        <f t="shared" si="162"/>
        <v>28.090114942528739</v>
      </c>
      <c r="GK231" s="1727">
        <f t="shared" si="162"/>
        <v>31.36912649627952</v>
      </c>
      <c r="GL231" s="1727">
        <f t="shared" si="162"/>
        <v>32.482918199334385</v>
      </c>
      <c r="GM231" s="1727">
        <f t="shared" si="162"/>
        <v>27.61202650910252</v>
      </c>
      <c r="GN231" s="1728">
        <f t="shared" si="162"/>
        <v>27.602948453608249</v>
      </c>
      <c r="GO231" s="1726">
        <f t="shared" si="162"/>
        <v>0</v>
      </c>
      <c r="GP231" s="1727">
        <f t="shared" si="162"/>
        <v>0</v>
      </c>
      <c r="GQ231" s="1727">
        <f t="shared" si="162"/>
        <v>0</v>
      </c>
      <c r="GR231" s="1727">
        <f t="shared" si="162"/>
        <v>0</v>
      </c>
      <c r="GS231" s="1727">
        <f t="shared" si="162"/>
        <v>0</v>
      </c>
      <c r="GT231" s="1727">
        <f t="shared" si="162"/>
        <v>0</v>
      </c>
      <c r="GU231" s="1727">
        <f t="shared" si="162"/>
        <v>0</v>
      </c>
      <c r="GV231" s="1727">
        <f t="shared" si="162"/>
        <v>0</v>
      </c>
      <c r="GW231" s="1727">
        <f t="shared" si="162"/>
        <v>0</v>
      </c>
      <c r="GX231" s="1727">
        <f t="shared" si="162"/>
        <v>0</v>
      </c>
      <c r="GY231" s="1727">
        <f t="shared" si="162"/>
        <v>0</v>
      </c>
      <c r="GZ231" s="1728">
        <f t="shared" si="162"/>
        <v>0</v>
      </c>
      <c r="HB231" s="1727"/>
      <c r="HC231" s="1727"/>
      <c r="HD231" s="1727"/>
      <c r="HE231" s="1727"/>
      <c r="HF231" s="1727"/>
      <c r="HG231" s="1727"/>
      <c r="HH231" s="1727"/>
      <c r="HI231" s="1727"/>
      <c r="HJ231" s="1727"/>
      <c r="HK231" s="1727"/>
      <c r="HL231" s="1727"/>
      <c r="HM231" s="1728"/>
    </row>
    <row r="232" spans="1:221" s="1731" customFormat="1">
      <c r="A232" s="1725"/>
      <c r="B232" s="1725"/>
      <c r="C232" s="1725"/>
      <c r="D232" s="1726"/>
      <c r="E232" s="1727"/>
      <c r="F232" s="1727"/>
      <c r="G232" s="1727"/>
      <c r="H232" s="1727"/>
      <c r="I232" s="1727"/>
      <c r="J232" s="1727"/>
      <c r="K232" s="1727"/>
      <c r="L232" s="1727"/>
      <c r="M232" s="1727"/>
      <c r="N232" s="1727"/>
      <c r="O232" s="1728"/>
      <c r="P232" s="1727"/>
      <c r="Q232" s="1727"/>
      <c r="R232" s="1727"/>
      <c r="S232" s="1727"/>
      <c r="T232" s="1727"/>
      <c r="U232" s="1727"/>
      <c r="V232" s="1727"/>
      <c r="W232" s="1727"/>
      <c r="X232" s="1727"/>
      <c r="Y232" s="1727"/>
      <c r="Z232" s="1727"/>
      <c r="AA232" s="1728"/>
      <c r="AB232" s="1727"/>
      <c r="AC232" s="1727"/>
      <c r="AD232" s="1727"/>
      <c r="AE232" s="1727"/>
      <c r="AF232" s="1727"/>
      <c r="AG232" s="1727"/>
      <c r="AH232" s="1727"/>
      <c r="AI232" s="1727"/>
      <c r="AJ232" s="1727"/>
      <c r="AK232" s="1727"/>
      <c r="AL232" s="1727"/>
      <c r="AM232" s="1728"/>
      <c r="AN232" s="1727"/>
      <c r="AO232" s="1727"/>
      <c r="AP232" s="1727"/>
      <c r="AQ232" s="1727"/>
      <c r="AR232" s="1727"/>
      <c r="AS232" s="1727"/>
      <c r="AT232" s="1727"/>
      <c r="AU232" s="1727"/>
      <c r="AV232" s="1727"/>
      <c r="AW232" s="1727"/>
      <c r="AX232" s="1727"/>
      <c r="AY232" s="1728"/>
      <c r="AZ232" s="1727"/>
      <c r="BA232" s="1727"/>
      <c r="BB232" s="1727"/>
      <c r="BC232" s="1727"/>
      <c r="BD232" s="1727"/>
      <c r="BE232" s="1727"/>
      <c r="BF232" s="1727"/>
      <c r="BG232" s="1727"/>
      <c r="BH232" s="1727"/>
      <c r="BI232" s="1727"/>
      <c r="BJ232" s="1727"/>
      <c r="BK232" s="1728"/>
      <c r="BL232" s="1727"/>
      <c r="BM232" s="1727"/>
      <c r="BN232" s="1727"/>
      <c r="BO232" s="1727"/>
      <c r="BP232" s="1727"/>
      <c r="BQ232" s="1727"/>
      <c r="BR232" s="1727"/>
      <c r="BS232" s="1727"/>
      <c r="BT232" s="1727"/>
      <c r="BU232" s="1727"/>
      <c r="BV232" s="1727"/>
      <c r="BW232" s="1728"/>
      <c r="BX232" s="1727"/>
      <c r="BY232" s="1727"/>
      <c r="BZ232" s="1727"/>
      <c r="CA232" s="1727"/>
      <c r="CB232" s="1727"/>
      <c r="CC232" s="1727"/>
      <c r="CD232" s="1727"/>
      <c r="CE232" s="1727"/>
      <c r="CF232" s="1727"/>
      <c r="CG232" s="1727"/>
      <c r="CH232" s="1727"/>
      <c r="CI232" s="1728"/>
      <c r="CJ232" s="1727"/>
      <c r="CK232" s="1727"/>
      <c r="CL232" s="1727"/>
      <c r="CM232" s="1727"/>
      <c r="CN232" s="1727"/>
      <c r="CO232" s="1727"/>
      <c r="CP232" s="1727"/>
      <c r="CQ232" s="1727"/>
      <c r="CR232" s="1727"/>
      <c r="CS232" s="1727"/>
      <c r="CT232" s="1727"/>
      <c r="CU232" s="1728"/>
      <c r="CV232" s="1727"/>
      <c r="CW232" s="1727"/>
      <c r="CX232" s="1727"/>
      <c r="CY232" s="1727"/>
      <c r="CZ232" s="1727"/>
      <c r="DA232" s="1727"/>
      <c r="DB232" s="1727"/>
      <c r="DC232" s="1727"/>
      <c r="DD232" s="1727"/>
      <c r="DE232" s="1727"/>
      <c r="DF232" s="1727"/>
      <c r="DG232" s="1728"/>
      <c r="DH232" s="1727"/>
      <c r="DI232" s="1727"/>
      <c r="DJ232" s="1727"/>
      <c r="DK232" s="1727"/>
      <c r="DL232" s="1727"/>
      <c r="DM232" s="1727"/>
      <c r="DN232" s="1727"/>
      <c r="DO232" s="1727"/>
      <c r="DP232" s="1727"/>
      <c r="DQ232" s="1727"/>
      <c r="DR232" s="1727"/>
      <c r="DS232" s="1728"/>
      <c r="DT232" s="1727"/>
      <c r="DU232" s="1727"/>
      <c r="DV232" s="1727"/>
      <c r="DW232" s="1727"/>
      <c r="DX232" s="1727"/>
      <c r="DY232" s="1727"/>
      <c r="DZ232" s="1727"/>
      <c r="EA232" s="1727"/>
      <c r="EB232" s="1727"/>
      <c r="EC232" s="1727"/>
      <c r="ED232" s="1727"/>
      <c r="EE232" s="1728"/>
      <c r="EF232" s="1727"/>
      <c r="EG232" s="1727"/>
      <c r="EH232" s="1727"/>
      <c r="EI232" s="1727"/>
      <c r="EJ232" s="1727"/>
      <c r="EK232" s="1727"/>
      <c r="EL232" s="1727"/>
      <c r="EM232" s="1727"/>
      <c r="EN232" s="1727"/>
      <c r="EO232" s="1727"/>
      <c r="EP232" s="1727"/>
      <c r="EQ232" s="1728"/>
      <c r="ER232" s="1727"/>
      <c r="ES232" s="1727"/>
      <c r="ET232" s="1727"/>
      <c r="EU232" s="1727"/>
      <c r="EV232" s="1727"/>
      <c r="EW232" s="1727"/>
      <c r="EX232" s="1727"/>
      <c r="EY232" s="1727"/>
      <c r="EZ232" s="1727"/>
      <c r="FA232" s="1727"/>
      <c r="FB232" s="1727"/>
      <c r="FC232" s="1728"/>
      <c r="FD232" s="1727"/>
      <c r="FE232" s="1727"/>
      <c r="FF232" s="1727"/>
      <c r="FG232" s="1727"/>
      <c r="FH232" s="1727"/>
      <c r="FI232" s="1727"/>
      <c r="FJ232" s="1727"/>
      <c r="FK232" s="1727"/>
      <c r="FL232" s="1727"/>
      <c r="FM232" s="1727"/>
      <c r="FN232" s="1727"/>
      <c r="FO232" s="1728"/>
      <c r="FP232" s="1727"/>
      <c r="FQ232" s="1727"/>
      <c r="FR232" s="1727"/>
      <c r="FS232" s="1727"/>
      <c r="FT232" s="1727"/>
      <c r="FU232" s="1727"/>
      <c r="FV232" s="1727"/>
      <c r="FW232" s="1727"/>
      <c r="FX232" s="1727"/>
      <c r="FY232" s="1727"/>
      <c r="FZ232" s="1727"/>
      <c r="GA232" s="1728"/>
      <c r="GB232" s="374"/>
      <c r="GC232" s="2216">
        <f t="shared" ref="GC232:GZ232" si="163">IF(SUM(GC56,GC58,GC87:GC88)=0,0,SUM(GC221:GC228)/SUM(GC56,GC58,GC87:GC88))</f>
        <v>28.988125905651266</v>
      </c>
      <c r="GD232" s="1727">
        <f t="shared" si="163"/>
        <v>31.932990304473556</v>
      </c>
      <c r="GE232" s="1727">
        <f t="shared" si="163"/>
        <v>30.941383553980984</v>
      </c>
      <c r="GF232" s="1727">
        <f t="shared" si="163"/>
        <v>27.796547263681589</v>
      </c>
      <c r="GG232" s="1727">
        <f t="shared" si="163"/>
        <v>31.738525027459595</v>
      </c>
      <c r="GH232" s="1727">
        <f t="shared" si="163"/>
        <v>33.625261618959676</v>
      </c>
      <c r="GI232" s="1727">
        <f t="shared" si="163"/>
        <v>32.815487948761167</v>
      </c>
      <c r="GJ232" s="1727">
        <f t="shared" si="163"/>
        <v>30.216995305164318</v>
      </c>
      <c r="GK232" s="1727">
        <f t="shared" si="163"/>
        <v>34.587563895179549</v>
      </c>
      <c r="GL232" s="1727">
        <f t="shared" si="163"/>
        <v>30.796297074794179</v>
      </c>
      <c r="GM232" s="1727">
        <f t="shared" si="163"/>
        <v>34.033604279782814</v>
      </c>
      <c r="GN232" s="1728">
        <f t="shared" si="163"/>
        <v>35.491924398625436</v>
      </c>
      <c r="GO232" s="1726">
        <f t="shared" si="163"/>
        <v>0</v>
      </c>
      <c r="GP232" s="1727">
        <f t="shared" si="163"/>
        <v>0</v>
      </c>
      <c r="GQ232" s="1727">
        <f t="shared" si="163"/>
        <v>0</v>
      </c>
      <c r="GR232" s="1727">
        <f t="shared" si="163"/>
        <v>0</v>
      </c>
      <c r="GS232" s="1727">
        <f t="shared" si="163"/>
        <v>0</v>
      </c>
      <c r="GT232" s="1727">
        <f t="shared" si="163"/>
        <v>0</v>
      </c>
      <c r="GU232" s="1727">
        <f t="shared" si="163"/>
        <v>0</v>
      </c>
      <c r="GV232" s="1727">
        <f t="shared" si="163"/>
        <v>0</v>
      </c>
      <c r="GW232" s="1727">
        <f t="shared" si="163"/>
        <v>0</v>
      </c>
      <c r="GX232" s="1727">
        <f t="shared" si="163"/>
        <v>0</v>
      </c>
      <c r="GY232" s="1727">
        <f t="shared" si="163"/>
        <v>0</v>
      </c>
      <c r="GZ232" s="1728">
        <f t="shared" si="163"/>
        <v>0</v>
      </c>
      <c r="HB232" s="1727"/>
      <c r="HC232" s="1727"/>
      <c r="HD232" s="1727"/>
      <c r="HE232" s="1727"/>
      <c r="HF232" s="1727"/>
      <c r="HG232" s="1727"/>
      <c r="HH232" s="1727"/>
      <c r="HI232" s="1727"/>
      <c r="HJ232" s="1727"/>
      <c r="HK232" s="1727"/>
      <c r="HL232" s="1727"/>
      <c r="HM232" s="1728"/>
    </row>
    <row r="233" spans="1:221">
      <c r="A233" s="2239" t="s">
        <v>900</v>
      </c>
      <c r="B233" s="2239" t="s">
        <v>901</v>
      </c>
      <c r="C233" s="2239" t="s">
        <v>2210</v>
      </c>
      <c r="D233" s="1179">
        <v>649.27</v>
      </c>
      <c r="E233" s="2240">
        <v>1299.6100000000001</v>
      </c>
      <c r="F233" s="2240">
        <v>592.66000000000008</v>
      </c>
      <c r="G233" s="2240">
        <v>1202.5</v>
      </c>
      <c r="H233" s="2240">
        <v>990.72</v>
      </c>
      <c r="I233" s="2240">
        <v>2730.25</v>
      </c>
      <c r="J233" s="2240">
        <v>1805.77</v>
      </c>
      <c r="K233" s="2240">
        <v>1143.44</v>
      </c>
      <c r="L233" s="2240">
        <v>2370.66</v>
      </c>
      <c r="M233" s="2240">
        <v>1778.65</v>
      </c>
      <c r="N233" s="2240">
        <v>2477.54</v>
      </c>
      <c r="O233" s="2241">
        <v>3565.75</v>
      </c>
      <c r="P233" s="2240" t="s">
        <v>2154</v>
      </c>
      <c r="Q233" s="2240" t="s">
        <v>2154</v>
      </c>
      <c r="R233" s="2240" t="s">
        <v>2154</v>
      </c>
      <c r="S233" s="2240" t="s">
        <v>2154</v>
      </c>
      <c r="T233" s="2240" t="s">
        <v>2154</v>
      </c>
      <c r="U233" s="2240" t="s">
        <v>2154</v>
      </c>
      <c r="V233" s="2240" t="s">
        <v>2154</v>
      </c>
      <c r="W233" s="2240" t="s">
        <v>2154</v>
      </c>
      <c r="X233" s="2240" t="s">
        <v>2154</v>
      </c>
      <c r="Y233" s="2240" t="s">
        <v>2154</v>
      </c>
      <c r="Z233" s="2240" t="s">
        <v>2154</v>
      </c>
      <c r="AA233" s="2241" t="s">
        <v>2154</v>
      </c>
      <c r="AB233" s="2240"/>
      <c r="AC233" s="2240"/>
      <c r="AD233" s="2240"/>
      <c r="AE233" s="2240"/>
      <c r="AF233" s="2240"/>
      <c r="AG233" s="2240"/>
      <c r="AH233" s="2240"/>
      <c r="AI233" s="2240"/>
      <c r="AJ233" s="2240"/>
      <c r="AK233" s="2240"/>
      <c r="AL233" s="2240"/>
      <c r="AM233" s="2241"/>
      <c r="AN233" s="2240"/>
      <c r="AO233" s="2240"/>
      <c r="AP233" s="2240"/>
      <c r="AQ233" s="2240"/>
      <c r="AR233" s="2240"/>
      <c r="AS233" s="2240"/>
      <c r="AT233" s="2240"/>
      <c r="AU233" s="2240"/>
      <c r="AV233" s="2240"/>
      <c r="AW233" s="2240"/>
      <c r="AX233" s="2240"/>
      <c r="AY233" s="2241"/>
      <c r="AZ233" s="2240"/>
      <c r="BA233" s="2240"/>
      <c r="BB233" s="2240"/>
      <c r="BC233" s="2240"/>
      <c r="BD233" s="2240"/>
      <c r="BE233" s="2240"/>
      <c r="BF233" s="2240"/>
      <c r="BG233" s="2240"/>
      <c r="BH233" s="2240"/>
      <c r="BI233" s="2240"/>
      <c r="BJ233" s="2240"/>
      <c r="BK233" s="2241"/>
      <c r="BL233" s="2240"/>
      <c r="BM233" s="2240"/>
      <c r="BN233" s="2240"/>
      <c r="BO233" s="2240"/>
      <c r="BP233" s="2240"/>
      <c r="BQ233" s="2240"/>
      <c r="BR233" s="2240"/>
      <c r="BS233" s="2240"/>
      <c r="BT233" s="2240"/>
      <c r="BU233" s="2240"/>
      <c r="BV233" s="2240"/>
      <c r="BW233" s="2241"/>
      <c r="BX233" s="2240"/>
      <c r="BY233" s="2240"/>
      <c r="BZ233" s="2240"/>
      <c r="CA233" s="2240"/>
      <c r="CB233" s="2240"/>
      <c r="CC233" s="2240"/>
      <c r="CD233" s="2240"/>
      <c r="CE233" s="2240"/>
      <c r="CF233" s="2240"/>
      <c r="CG233" s="2240"/>
      <c r="CH233" s="2240"/>
      <c r="CI233" s="2241"/>
      <c r="CJ233" s="2240"/>
      <c r="CK233" s="2240"/>
      <c r="CL233" s="2240"/>
      <c r="CM233" s="2240"/>
      <c r="CN233" s="2240"/>
      <c r="CO233" s="2240"/>
      <c r="CP233" s="2240"/>
      <c r="CQ233" s="2240"/>
      <c r="CR233" s="2240"/>
      <c r="CS233" s="2240"/>
      <c r="CT233" s="2240"/>
      <c r="CU233" s="2241"/>
      <c r="CV233" s="2240"/>
      <c r="CW233" s="2240"/>
      <c r="CX233" s="2240"/>
      <c r="CY233" s="2240"/>
      <c r="CZ233" s="2240"/>
      <c r="DA233" s="2240"/>
      <c r="DB233" s="2240"/>
      <c r="DC233" s="2240"/>
      <c r="DD233" s="2240"/>
      <c r="DE233" s="2240"/>
      <c r="DF233" s="2240"/>
      <c r="DG233" s="2241"/>
      <c r="DH233" s="2240"/>
      <c r="DI233" s="2240"/>
      <c r="DJ233" s="2240"/>
      <c r="DK233" s="2240"/>
      <c r="DL233" s="2240"/>
      <c r="DM233" s="2240"/>
      <c r="DN233" s="2240"/>
      <c r="DO233" s="2240"/>
      <c r="DP233" s="2240"/>
      <c r="DQ233" s="2240"/>
      <c r="DR233" s="2240"/>
      <c r="DS233" s="2241"/>
      <c r="DT233" s="2240">
        <v>337.5</v>
      </c>
      <c r="DU233" s="2240">
        <v>337.5</v>
      </c>
      <c r="DV233" s="2240">
        <v>140</v>
      </c>
      <c r="DW233" s="2240">
        <v>157.5</v>
      </c>
      <c r="DX233" s="2240">
        <v>112.5</v>
      </c>
      <c r="DY233" s="2240">
        <v>112.5</v>
      </c>
      <c r="DZ233" s="2240">
        <v>112.5</v>
      </c>
      <c r="EA233" s="2240">
        <v>135</v>
      </c>
      <c r="EB233" s="2240">
        <v>270</v>
      </c>
      <c r="EC233" s="2240">
        <v>112.5</v>
      </c>
      <c r="ED233" s="2240">
        <v>247.5</v>
      </c>
      <c r="EE233" s="2241">
        <v>247.5</v>
      </c>
      <c r="EF233" s="2240"/>
      <c r="EG233" s="2240"/>
      <c r="EH233" s="2240"/>
      <c r="EI233" s="2240"/>
      <c r="EJ233" s="2240"/>
      <c r="EK233" s="2240"/>
      <c r="EL233" s="2240"/>
      <c r="EM233" s="2240"/>
      <c r="EN233" s="2240"/>
      <c r="EO233" s="2240"/>
      <c r="EP233" s="2240"/>
      <c r="EQ233" s="2241"/>
      <c r="ER233" s="2240"/>
      <c r="ES233" s="2240"/>
      <c r="ET233" s="2240"/>
      <c r="EU233" s="2240"/>
      <c r="EV233" s="2240"/>
      <c r="EW233" s="2240"/>
      <c r="EX233" s="2240"/>
      <c r="EY233" s="2240"/>
      <c r="EZ233" s="2240"/>
      <c r="FA233" s="2240"/>
      <c r="FB233" s="2240"/>
      <c r="FC233" s="2241"/>
      <c r="FD233" s="2240"/>
      <c r="FE233" s="2240"/>
      <c r="FF233" s="2240"/>
      <c r="FG233" s="2240"/>
      <c r="FH233" s="2240"/>
      <c r="FI233" s="2240"/>
      <c r="FJ233" s="2240"/>
      <c r="FK233" s="2240"/>
      <c r="FL233" s="2240"/>
      <c r="FM233" s="2240"/>
      <c r="FN233" s="2240"/>
      <c r="FO233" s="2241"/>
      <c r="FP233" s="2240"/>
      <c r="FQ233" s="2240"/>
      <c r="FR233" s="2240"/>
      <c r="FS233" s="2240"/>
      <c r="FT233" s="2240"/>
      <c r="FU233" s="2240"/>
      <c r="FV233" s="2240"/>
      <c r="FW233" s="2240"/>
      <c r="FX233" s="2240"/>
      <c r="FY233" s="2240"/>
      <c r="FZ233" s="2240"/>
      <c r="GA233" s="2241"/>
      <c r="GB233" s="376"/>
      <c r="GC233" s="2242">
        <f t="shared" ref="GC233:GN242" si="164">SUMPRODUCT(--($D$6:$GA$6=GC$6),$D233:$GA233,$D$278:$GA$278)</f>
        <v>986.77</v>
      </c>
      <c r="GD233" s="2240">
        <f t="shared" si="164"/>
        <v>1637.1100000000001</v>
      </c>
      <c r="GE233" s="2240">
        <f t="shared" si="164"/>
        <v>732.66000000000008</v>
      </c>
      <c r="GF233" s="2240">
        <f t="shared" si="164"/>
        <v>1360</v>
      </c>
      <c r="GG233" s="2240">
        <f t="shared" si="164"/>
        <v>1103.22</v>
      </c>
      <c r="GH233" s="2240">
        <f t="shared" si="164"/>
        <v>2842.75</v>
      </c>
      <c r="GI233" s="2240">
        <f t="shared" si="164"/>
        <v>1918.27</v>
      </c>
      <c r="GJ233" s="2240">
        <f t="shared" si="164"/>
        <v>1278.44</v>
      </c>
      <c r="GK233" s="2240">
        <f t="shared" si="164"/>
        <v>2640.66</v>
      </c>
      <c r="GL233" s="2240">
        <f t="shared" si="164"/>
        <v>1891.15</v>
      </c>
      <c r="GM233" s="2240">
        <f t="shared" si="164"/>
        <v>2725.04</v>
      </c>
      <c r="GN233" s="2241">
        <f t="shared" si="164"/>
        <v>3813.25</v>
      </c>
      <c r="GO233" s="1179">
        <f t="shared" ref="GO233:GZ242" si="165">SUMPRODUCT(--($DT$6:$GA$6=GO$6),$DT233:$GA233,$DT$278:$GA$278)</f>
        <v>337.5</v>
      </c>
      <c r="GP233" s="2240">
        <f t="shared" si="165"/>
        <v>337.5</v>
      </c>
      <c r="GQ233" s="2240">
        <f t="shared" si="165"/>
        <v>140</v>
      </c>
      <c r="GR233" s="2240">
        <f t="shared" si="165"/>
        <v>157.5</v>
      </c>
      <c r="GS233" s="2240">
        <f t="shared" si="165"/>
        <v>112.5</v>
      </c>
      <c r="GT233" s="2240">
        <f t="shared" si="165"/>
        <v>112.5</v>
      </c>
      <c r="GU233" s="2240">
        <f t="shared" si="165"/>
        <v>112.5</v>
      </c>
      <c r="GV233" s="2240">
        <f t="shared" si="165"/>
        <v>135</v>
      </c>
      <c r="GW233" s="2240">
        <f t="shared" si="165"/>
        <v>270</v>
      </c>
      <c r="GX233" s="2240">
        <f t="shared" si="165"/>
        <v>112.5</v>
      </c>
      <c r="GY233" s="2240">
        <f t="shared" si="165"/>
        <v>247.5</v>
      </c>
      <c r="GZ233" s="2241">
        <f t="shared" si="165"/>
        <v>247.5</v>
      </c>
      <c r="HB233" s="387"/>
      <c r="HC233" s="387"/>
      <c r="HD233" s="387"/>
      <c r="HE233" s="387"/>
      <c r="HF233" s="387"/>
      <c r="HG233" s="387"/>
      <c r="HH233" s="387"/>
      <c r="HI233" s="387"/>
      <c r="HJ233" s="387"/>
      <c r="HK233" s="387"/>
      <c r="HL233" s="387"/>
      <c r="HM233" s="988"/>
    </row>
    <row r="234" spans="1:221">
      <c r="A234" s="326" t="s">
        <v>900</v>
      </c>
      <c r="B234" s="326" t="s">
        <v>901</v>
      </c>
      <c r="C234" s="326" t="s">
        <v>2211</v>
      </c>
      <c r="D234" s="1036">
        <v>354.56</v>
      </c>
      <c r="E234" s="387">
        <v>1061.1500000000001</v>
      </c>
      <c r="F234" s="387">
        <v>188.94</v>
      </c>
      <c r="G234" s="387">
        <v>411.51</v>
      </c>
      <c r="H234" s="387">
        <v>540.01</v>
      </c>
      <c r="I234" s="387">
        <v>890.49</v>
      </c>
      <c r="J234" s="387">
        <v>861.49</v>
      </c>
      <c r="K234" s="387">
        <v>630.51</v>
      </c>
      <c r="L234" s="387">
        <v>1319.51</v>
      </c>
      <c r="M234" s="387">
        <v>671.94</v>
      </c>
      <c r="N234" s="387">
        <v>448.8</v>
      </c>
      <c r="O234" s="988">
        <v>595.46</v>
      </c>
      <c r="P234" s="387" t="s">
        <v>2154</v>
      </c>
      <c r="Q234" s="387" t="s">
        <v>2154</v>
      </c>
      <c r="R234" s="387" t="s">
        <v>2154</v>
      </c>
      <c r="S234" s="387" t="s">
        <v>2154</v>
      </c>
      <c r="T234" s="387" t="s">
        <v>2154</v>
      </c>
      <c r="U234" s="387" t="s">
        <v>2154</v>
      </c>
      <c r="V234" s="387" t="s">
        <v>2154</v>
      </c>
      <c r="W234" s="387" t="s">
        <v>2154</v>
      </c>
      <c r="X234" s="387" t="s">
        <v>2154</v>
      </c>
      <c r="Y234" s="387" t="s">
        <v>2154</v>
      </c>
      <c r="Z234" s="387" t="s">
        <v>2154</v>
      </c>
      <c r="AA234" s="988" t="s">
        <v>2154</v>
      </c>
      <c r="AB234" s="387"/>
      <c r="AC234" s="387"/>
      <c r="AD234" s="387"/>
      <c r="AE234" s="387"/>
      <c r="AF234" s="387"/>
      <c r="AG234" s="387"/>
      <c r="AH234" s="387"/>
      <c r="AI234" s="387"/>
      <c r="AJ234" s="387"/>
      <c r="AK234" s="387"/>
      <c r="AL234" s="387"/>
      <c r="AM234" s="988"/>
      <c r="AN234" s="387"/>
      <c r="AO234" s="387"/>
      <c r="AP234" s="387"/>
      <c r="AQ234" s="387"/>
      <c r="AR234" s="387"/>
      <c r="AS234" s="387"/>
      <c r="AT234" s="387"/>
      <c r="AU234" s="387"/>
      <c r="AV234" s="387"/>
      <c r="AW234" s="387"/>
      <c r="AX234" s="387"/>
      <c r="AY234" s="988"/>
      <c r="AZ234" s="387"/>
      <c r="BA234" s="387"/>
      <c r="BB234" s="387"/>
      <c r="BC234" s="387"/>
      <c r="BD234" s="387"/>
      <c r="BE234" s="387"/>
      <c r="BF234" s="387"/>
      <c r="BG234" s="387"/>
      <c r="BH234" s="387"/>
      <c r="BI234" s="387"/>
      <c r="BJ234" s="387"/>
      <c r="BK234" s="988"/>
      <c r="BL234" s="387"/>
      <c r="BM234" s="387"/>
      <c r="BN234" s="387"/>
      <c r="BO234" s="387"/>
      <c r="BP234" s="387"/>
      <c r="BQ234" s="387"/>
      <c r="BR234" s="387"/>
      <c r="BS234" s="387"/>
      <c r="BT234" s="387"/>
      <c r="BU234" s="387"/>
      <c r="BV234" s="387"/>
      <c r="BW234" s="988"/>
      <c r="BX234" s="387"/>
      <c r="BY234" s="387"/>
      <c r="BZ234" s="387"/>
      <c r="CA234" s="387"/>
      <c r="CB234" s="387"/>
      <c r="CC234" s="387"/>
      <c r="CD234" s="387"/>
      <c r="CE234" s="387"/>
      <c r="CF234" s="387"/>
      <c r="CG234" s="387"/>
      <c r="CH234" s="387"/>
      <c r="CI234" s="988"/>
      <c r="CJ234" s="387"/>
      <c r="CK234" s="387"/>
      <c r="CL234" s="387"/>
      <c r="CM234" s="387"/>
      <c r="CN234" s="387"/>
      <c r="CO234" s="387"/>
      <c r="CP234" s="387"/>
      <c r="CQ234" s="387"/>
      <c r="CR234" s="387"/>
      <c r="CS234" s="387"/>
      <c r="CT234" s="387"/>
      <c r="CU234" s="988"/>
      <c r="CV234" s="387"/>
      <c r="CW234" s="387"/>
      <c r="CX234" s="387"/>
      <c r="CY234" s="387"/>
      <c r="CZ234" s="387"/>
      <c r="DA234" s="387"/>
      <c r="DB234" s="387"/>
      <c r="DC234" s="387"/>
      <c r="DD234" s="387"/>
      <c r="DE234" s="387"/>
      <c r="DF234" s="387"/>
      <c r="DG234" s="988"/>
      <c r="DH234" s="387"/>
      <c r="DI234" s="387"/>
      <c r="DJ234" s="387"/>
      <c r="DK234" s="387"/>
      <c r="DL234" s="387"/>
      <c r="DM234" s="387"/>
      <c r="DN234" s="387"/>
      <c r="DO234" s="387"/>
      <c r="DP234" s="387"/>
      <c r="DQ234" s="387"/>
      <c r="DR234" s="387"/>
      <c r="DS234" s="988"/>
      <c r="DT234" s="387">
        <v>-0.8</v>
      </c>
      <c r="DU234" s="387">
        <v>85.17</v>
      </c>
      <c r="DV234" s="387">
        <v>-0.8</v>
      </c>
      <c r="DW234" s="387" t="s">
        <v>2154</v>
      </c>
      <c r="DX234" s="387" t="s">
        <v>2154</v>
      </c>
      <c r="DY234" s="387" t="s">
        <v>2154</v>
      </c>
      <c r="DZ234" s="387" t="s">
        <v>2154</v>
      </c>
      <c r="EA234" s="387" t="s">
        <v>2154</v>
      </c>
      <c r="EB234" s="387" t="s">
        <v>2154</v>
      </c>
      <c r="EC234" s="387" t="s">
        <v>2154</v>
      </c>
      <c r="ED234" s="387" t="s">
        <v>2154</v>
      </c>
      <c r="EE234" s="988" t="s">
        <v>2154</v>
      </c>
      <c r="EF234" s="387"/>
      <c r="EG234" s="387"/>
      <c r="EH234" s="387"/>
      <c r="EI234" s="387"/>
      <c r="EJ234" s="387"/>
      <c r="EK234" s="387"/>
      <c r="EL234" s="387"/>
      <c r="EM234" s="387"/>
      <c r="EN234" s="387"/>
      <c r="EO234" s="387"/>
      <c r="EP234" s="387"/>
      <c r="EQ234" s="988"/>
      <c r="ER234" s="387"/>
      <c r="ES234" s="387"/>
      <c r="ET234" s="387"/>
      <c r="EU234" s="387"/>
      <c r="EV234" s="387"/>
      <c r="EW234" s="387"/>
      <c r="EX234" s="387"/>
      <c r="EY234" s="387"/>
      <c r="EZ234" s="387"/>
      <c r="FA234" s="387"/>
      <c r="FB234" s="387"/>
      <c r="FC234" s="988"/>
      <c r="FD234" s="387"/>
      <c r="FE234" s="387"/>
      <c r="FF234" s="387"/>
      <c r="FG234" s="387"/>
      <c r="FH234" s="387"/>
      <c r="FI234" s="387"/>
      <c r="FJ234" s="387"/>
      <c r="FK234" s="387"/>
      <c r="FL234" s="387"/>
      <c r="FM234" s="387"/>
      <c r="FN234" s="387"/>
      <c r="FO234" s="988"/>
      <c r="FP234" s="387"/>
      <c r="FQ234" s="387"/>
      <c r="FR234" s="387"/>
      <c r="FS234" s="387"/>
      <c r="FT234" s="387"/>
      <c r="FU234" s="387"/>
      <c r="FV234" s="387"/>
      <c r="FW234" s="387"/>
      <c r="FX234" s="387"/>
      <c r="FY234" s="387"/>
      <c r="FZ234" s="387"/>
      <c r="GA234" s="988"/>
      <c r="GB234" s="109"/>
      <c r="GC234" s="2214">
        <f t="shared" si="164"/>
        <v>353.76</v>
      </c>
      <c r="GD234" s="387">
        <f t="shared" si="164"/>
        <v>1146.3200000000002</v>
      </c>
      <c r="GE234" s="387">
        <f t="shared" si="164"/>
        <v>188.14</v>
      </c>
      <c r="GF234" s="387">
        <f t="shared" si="164"/>
        <v>411.51</v>
      </c>
      <c r="GG234" s="387">
        <f t="shared" si="164"/>
        <v>540.01</v>
      </c>
      <c r="GH234" s="387">
        <f t="shared" si="164"/>
        <v>890.49</v>
      </c>
      <c r="GI234" s="387">
        <f t="shared" si="164"/>
        <v>861.49</v>
      </c>
      <c r="GJ234" s="387">
        <f t="shared" si="164"/>
        <v>630.51</v>
      </c>
      <c r="GK234" s="387">
        <f t="shared" si="164"/>
        <v>1319.51</v>
      </c>
      <c r="GL234" s="387">
        <f t="shared" si="164"/>
        <v>671.94</v>
      </c>
      <c r="GM234" s="387">
        <f t="shared" si="164"/>
        <v>448.8</v>
      </c>
      <c r="GN234" s="988">
        <f t="shared" si="164"/>
        <v>595.46</v>
      </c>
      <c r="GO234" s="1036">
        <f t="shared" si="165"/>
        <v>-0.8</v>
      </c>
      <c r="GP234" s="387">
        <f t="shared" si="165"/>
        <v>85.17</v>
      </c>
      <c r="GQ234" s="387">
        <f t="shared" si="165"/>
        <v>-0.8</v>
      </c>
      <c r="GR234" s="387">
        <f t="shared" si="165"/>
        <v>0</v>
      </c>
      <c r="GS234" s="387">
        <f t="shared" si="165"/>
        <v>0</v>
      </c>
      <c r="GT234" s="387">
        <f t="shared" si="165"/>
        <v>0</v>
      </c>
      <c r="GU234" s="387">
        <f t="shared" si="165"/>
        <v>0</v>
      </c>
      <c r="GV234" s="387">
        <f t="shared" si="165"/>
        <v>0</v>
      </c>
      <c r="GW234" s="387">
        <f t="shared" si="165"/>
        <v>0</v>
      </c>
      <c r="GX234" s="387">
        <f t="shared" si="165"/>
        <v>0</v>
      </c>
      <c r="GY234" s="387">
        <f t="shared" si="165"/>
        <v>0</v>
      </c>
      <c r="GZ234" s="988">
        <f t="shared" si="165"/>
        <v>0</v>
      </c>
      <c r="HB234" s="387"/>
      <c r="HC234" s="387"/>
      <c r="HD234" s="387"/>
      <c r="HE234" s="387"/>
      <c r="HF234" s="387"/>
      <c r="HG234" s="387"/>
      <c r="HH234" s="387"/>
      <c r="HI234" s="387"/>
      <c r="HJ234" s="387"/>
      <c r="HK234" s="387"/>
      <c r="HL234" s="387"/>
      <c r="HM234" s="988"/>
    </row>
    <row r="235" spans="1:221">
      <c r="A235" s="326" t="s">
        <v>900</v>
      </c>
      <c r="B235" s="326" t="s">
        <v>901</v>
      </c>
      <c r="C235" s="326" t="s">
        <v>2212</v>
      </c>
      <c r="D235" s="1036">
        <v>37.61</v>
      </c>
      <c r="E235" s="387">
        <v>326.52</v>
      </c>
      <c r="F235" s="387">
        <v>62.38</v>
      </c>
      <c r="G235" s="387">
        <v>62.38</v>
      </c>
      <c r="H235" s="387">
        <v>62.38</v>
      </c>
      <c r="I235" s="387">
        <v>37.61</v>
      </c>
      <c r="J235" s="387">
        <v>62.38</v>
      </c>
      <c r="K235" s="387">
        <v>304.91000000000003</v>
      </c>
      <c r="L235" s="387">
        <v>601.14</v>
      </c>
      <c r="M235" s="387">
        <v>62.38</v>
      </c>
      <c r="N235" s="387">
        <v>35.47</v>
      </c>
      <c r="O235" s="988">
        <v>60.24</v>
      </c>
      <c r="P235" s="387" t="s">
        <v>2154</v>
      </c>
      <c r="Q235" s="387" t="s">
        <v>2154</v>
      </c>
      <c r="R235" s="387" t="s">
        <v>2154</v>
      </c>
      <c r="S235" s="387" t="s">
        <v>2154</v>
      </c>
      <c r="T235" s="387" t="s">
        <v>2154</v>
      </c>
      <c r="U235" s="387" t="s">
        <v>2154</v>
      </c>
      <c r="V235" s="387" t="s">
        <v>2154</v>
      </c>
      <c r="W235" s="387" t="s">
        <v>2154</v>
      </c>
      <c r="X235" s="387" t="s">
        <v>2154</v>
      </c>
      <c r="Y235" s="387" t="s">
        <v>2154</v>
      </c>
      <c r="Z235" s="387" t="s">
        <v>2154</v>
      </c>
      <c r="AA235" s="988" t="s">
        <v>2154</v>
      </c>
      <c r="AB235" s="387"/>
      <c r="AC235" s="387"/>
      <c r="AD235" s="387"/>
      <c r="AE235" s="387"/>
      <c r="AF235" s="387"/>
      <c r="AG235" s="387"/>
      <c r="AH235" s="387"/>
      <c r="AI235" s="387"/>
      <c r="AJ235" s="387"/>
      <c r="AK235" s="387"/>
      <c r="AL235" s="387"/>
      <c r="AM235" s="988"/>
      <c r="AN235" s="387"/>
      <c r="AO235" s="387"/>
      <c r="AP235" s="387"/>
      <c r="AQ235" s="387"/>
      <c r="AR235" s="387"/>
      <c r="AS235" s="387"/>
      <c r="AT235" s="387"/>
      <c r="AU235" s="387"/>
      <c r="AV235" s="387"/>
      <c r="AW235" s="387"/>
      <c r="AX235" s="387"/>
      <c r="AY235" s="988"/>
      <c r="AZ235" s="387"/>
      <c r="BA235" s="387"/>
      <c r="BB235" s="387"/>
      <c r="BC235" s="387"/>
      <c r="BD235" s="387"/>
      <c r="BE235" s="387"/>
      <c r="BF235" s="387"/>
      <c r="BG235" s="387"/>
      <c r="BH235" s="387"/>
      <c r="BI235" s="387"/>
      <c r="BJ235" s="387"/>
      <c r="BK235" s="988"/>
      <c r="BL235" s="387"/>
      <c r="BM235" s="387"/>
      <c r="BN235" s="387"/>
      <c r="BO235" s="387"/>
      <c r="BP235" s="387"/>
      <c r="BQ235" s="387"/>
      <c r="BR235" s="387"/>
      <c r="BS235" s="387"/>
      <c r="BT235" s="387"/>
      <c r="BU235" s="387"/>
      <c r="BV235" s="387"/>
      <c r="BW235" s="988"/>
      <c r="BX235" s="387"/>
      <c r="BY235" s="387"/>
      <c r="BZ235" s="387"/>
      <c r="CA235" s="387"/>
      <c r="CB235" s="387"/>
      <c r="CC235" s="387"/>
      <c r="CD235" s="387"/>
      <c r="CE235" s="387"/>
      <c r="CF235" s="387"/>
      <c r="CG235" s="387"/>
      <c r="CH235" s="387"/>
      <c r="CI235" s="988"/>
      <c r="CJ235" s="387"/>
      <c r="CK235" s="387"/>
      <c r="CL235" s="387"/>
      <c r="CM235" s="387"/>
      <c r="CN235" s="387"/>
      <c r="CO235" s="387"/>
      <c r="CP235" s="387"/>
      <c r="CQ235" s="387"/>
      <c r="CR235" s="387"/>
      <c r="CS235" s="387"/>
      <c r="CT235" s="387"/>
      <c r="CU235" s="988"/>
      <c r="CV235" s="387"/>
      <c r="CW235" s="387"/>
      <c r="CX235" s="387"/>
      <c r="CY235" s="387"/>
      <c r="CZ235" s="387"/>
      <c r="DA235" s="387"/>
      <c r="DB235" s="387"/>
      <c r="DC235" s="387"/>
      <c r="DD235" s="387"/>
      <c r="DE235" s="387"/>
      <c r="DF235" s="387"/>
      <c r="DG235" s="988"/>
      <c r="DH235" s="387"/>
      <c r="DI235" s="387"/>
      <c r="DJ235" s="387"/>
      <c r="DK235" s="387"/>
      <c r="DL235" s="387"/>
      <c r="DM235" s="387"/>
      <c r="DN235" s="387"/>
      <c r="DO235" s="387"/>
      <c r="DP235" s="387"/>
      <c r="DQ235" s="387"/>
      <c r="DR235" s="387"/>
      <c r="DS235" s="988"/>
      <c r="DT235" s="387" t="s">
        <v>2154</v>
      </c>
      <c r="DU235" s="387" t="s">
        <v>2154</v>
      </c>
      <c r="DV235" s="387" t="s">
        <v>2154</v>
      </c>
      <c r="DW235" s="387" t="s">
        <v>2154</v>
      </c>
      <c r="DX235" s="387" t="s">
        <v>2154</v>
      </c>
      <c r="DY235" s="387" t="s">
        <v>2154</v>
      </c>
      <c r="DZ235" s="387" t="s">
        <v>2154</v>
      </c>
      <c r="EA235" s="387" t="s">
        <v>2154</v>
      </c>
      <c r="EB235" s="387" t="s">
        <v>2154</v>
      </c>
      <c r="EC235" s="387" t="s">
        <v>2154</v>
      </c>
      <c r="ED235" s="387" t="s">
        <v>2154</v>
      </c>
      <c r="EE235" s="988" t="s">
        <v>2154</v>
      </c>
      <c r="EF235" s="387"/>
      <c r="EG235" s="387"/>
      <c r="EH235" s="387"/>
      <c r="EI235" s="387"/>
      <c r="EJ235" s="387"/>
      <c r="EK235" s="387"/>
      <c r="EL235" s="387"/>
      <c r="EM235" s="387"/>
      <c r="EN235" s="387"/>
      <c r="EO235" s="387"/>
      <c r="EP235" s="387"/>
      <c r="EQ235" s="988"/>
      <c r="ER235" s="387"/>
      <c r="ES235" s="387"/>
      <c r="ET235" s="387"/>
      <c r="EU235" s="387"/>
      <c r="EV235" s="387"/>
      <c r="EW235" s="387"/>
      <c r="EX235" s="387"/>
      <c r="EY235" s="387"/>
      <c r="EZ235" s="387"/>
      <c r="FA235" s="387"/>
      <c r="FB235" s="387"/>
      <c r="FC235" s="988"/>
      <c r="FD235" s="387"/>
      <c r="FE235" s="387"/>
      <c r="FF235" s="387"/>
      <c r="FG235" s="387"/>
      <c r="FH235" s="387"/>
      <c r="FI235" s="387"/>
      <c r="FJ235" s="387"/>
      <c r="FK235" s="387"/>
      <c r="FL235" s="387"/>
      <c r="FM235" s="387"/>
      <c r="FN235" s="387"/>
      <c r="FO235" s="988"/>
      <c r="FP235" s="387"/>
      <c r="FQ235" s="387"/>
      <c r="FR235" s="387"/>
      <c r="FS235" s="387"/>
      <c r="FT235" s="387"/>
      <c r="FU235" s="387"/>
      <c r="FV235" s="387"/>
      <c r="FW235" s="387"/>
      <c r="FX235" s="387"/>
      <c r="FY235" s="387"/>
      <c r="FZ235" s="387"/>
      <c r="GA235" s="988"/>
      <c r="GB235" s="109"/>
      <c r="GC235" s="2214">
        <f t="shared" si="164"/>
        <v>37.61</v>
      </c>
      <c r="GD235" s="387">
        <f t="shared" si="164"/>
        <v>326.52</v>
      </c>
      <c r="GE235" s="387">
        <f t="shared" si="164"/>
        <v>62.38</v>
      </c>
      <c r="GF235" s="387">
        <f t="shared" si="164"/>
        <v>62.38</v>
      </c>
      <c r="GG235" s="387">
        <f t="shared" si="164"/>
        <v>62.38</v>
      </c>
      <c r="GH235" s="387">
        <f t="shared" si="164"/>
        <v>37.61</v>
      </c>
      <c r="GI235" s="387">
        <f t="shared" si="164"/>
        <v>62.38</v>
      </c>
      <c r="GJ235" s="387">
        <f t="shared" si="164"/>
        <v>304.91000000000003</v>
      </c>
      <c r="GK235" s="387">
        <f t="shared" si="164"/>
        <v>601.14</v>
      </c>
      <c r="GL235" s="387">
        <f t="shared" si="164"/>
        <v>62.38</v>
      </c>
      <c r="GM235" s="387">
        <f t="shared" si="164"/>
        <v>35.47</v>
      </c>
      <c r="GN235" s="988">
        <f t="shared" si="164"/>
        <v>60.24</v>
      </c>
      <c r="GO235" s="1036">
        <f t="shared" si="165"/>
        <v>0</v>
      </c>
      <c r="GP235" s="387">
        <f t="shared" si="165"/>
        <v>0</v>
      </c>
      <c r="GQ235" s="387">
        <f t="shared" si="165"/>
        <v>0</v>
      </c>
      <c r="GR235" s="387">
        <f t="shared" si="165"/>
        <v>0</v>
      </c>
      <c r="GS235" s="387">
        <f t="shared" si="165"/>
        <v>0</v>
      </c>
      <c r="GT235" s="387">
        <f t="shared" si="165"/>
        <v>0</v>
      </c>
      <c r="GU235" s="387">
        <f t="shared" si="165"/>
        <v>0</v>
      </c>
      <c r="GV235" s="387">
        <f t="shared" si="165"/>
        <v>0</v>
      </c>
      <c r="GW235" s="387">
        <f t="shared" si="165"/>
        <v>0</v>
      </c>
      <c r="GX235" s="387">
        <f t="shared" si="165"/>
        <v>0</v>
      </c>
      <c r="GY235" s="387">
        <f t="shared" si="165"/>
        <v>0</v>
      </c>
      <c r="GZ235" s="988">
        <f t="shared" si="165"/>
        <v>0</v>
      </c>
      <c r="HB235" s="387"/>
      <c r="HC235" s="387"/>
      <c r="HD235" s="387"/>
      <c r="HE235" s="387"/>
      <c r="HF235" s="387"/>
      <c r="HG235" s="387"/>
      <c r="HH235" s="387"/>
      <c r="HI235" s="387"/>
      <c r="HJ235" s="387"/>
      <c r="HK235" s="387"/>
      <c r="HL235" s="387"/>
      <c r="HM235" s="988"/>
    </row>
    <row r="236" spans="1:221">
      <c r="A236" s="326" t="s">
        <v>900</v>
      </c>
      <c r="B236" s="326" t="s">
        <v>901</v>
      </c>
      <c r="C236" s="326" t="s">
        <v>2213</v>
      </c>
      <c r="D236" s="1036">
        <v>1041.4399999999998</v>
      </c>
      <c r="E236" s="387">
        <v>2687.28</v>
      </c>
      <c r="F236" s="387">
        <v>843.98000000000013</v>
      </c>
      <c r="G236" s="387">
        <v>1676.39</v>
      </c>
      <c r="H236" s="387">
        <v>1593.1100000000001</v>
      </c>
      <c r="I236" s="387">
        <v>3658.35</v>
      </c>
      <c r="J236" s="387">
        <v>2729.6400000000003</v>
      </c>
      <c r="K236" s="387">
        <v>2078.86</v>
      </c>
      <c r="L236" s="387">
        <v>4291.3100000000004</v>
      </c>
      <c r="M236" s="387">
        <v>2512.9700000000003</v>
      </c>
      <c r="N236" s="387">
        <v>2961.81</v>
      </c>
      <c r="O236" s="988">
        <v>4221.45</v>
      </c>
      <c r="P236" s="387" t="s">
        <v>2154</v>
      </c>
      <c r="Q236" s="387" t="s">
        <v>2154</v>
      </c>
      <c r="R236" s="387" t="s">
        <v>2154</v>
      </c>
      <c r="S236" s="387" t="s">
        <v>2154</v>
      </c>
      <c r="T236" s="387" t="s">
        <v>2154</v>
      </c>
      <c r="U236" s="387" t="s">
        <v>2154</v>
      </c>
      <c r="V236" s="387" t="s">
        <v>2154</v>
      </c>
      <c r="W236" s="387" t="s">
        <v>2154</v>
      </c>
      <c r="X236" s="387" t="s">
        <v>2154</v>
      </c>
      <c r="Y236" s="387" t="s">
        <v>2154</v>
      </c>
      <c r="Z236" s="387" t="s">
        <v>2154</v>
      </c>
      <c r="AA236" s="988" t="s">
        <v>2154</v>
      </c>
      <c r="AB236" s="387"/>
      <c r="AC236" s="387"/>
      <c r="AD236" s="387"/>
      <c r="AE236" s="387"/>
      <c r="AF236" s="387"/>
      <c r="AG236" s="387"/>
      <c r="AH236" s="387"/>
      <c r="AI236" s="387"/>
      <c r="AJ236" s="387"/>
      <c r="AK236" s="387"/>
      <c r="AL236" s="387"/>
      <c r="AM236" s="988"/>
      <c r="AN236" s="387"/>
      <c r="AO236" s="387"/>
      <c r="AP236" s="387"/>
      <c r="AQ236" s="387"/>
      <c r="AR236" s="387"/>
      <c r="AS236" s="387"/>
      <c r="AT236" s="387"/>
      <c r="AU236" s="387"/>
      <c r="AV236" s="387"/>
      <c r="AW236" s="387"/>
      <c r="AX236" s="387"/>
      <c r="AY236" s="988"/>
      <c r="AZ236" s="387"/>
      <c r="BA236" s="387"/>
      <c r="BB236" s="387"/>
      <c r="BC236" s="387"/>
      <c r="BD236" s="387"/>
      <c r="BE236" s="387"/>
      <c r="BF236" s="387"/>
      <c r="BG236" s="387"/>
      <c r="BH236" s="387"/>
      <c r="BI236" s="387"/>
      <c r="BJ236" s="387"/>
      <c r="BK236" s="988"/>
      <c r="BL236" s="387"/>
      <c r="BM236" s="387"/>
      <c r="BN236" s="387"/>
      <c r="BO236" s="387"/>
      <c r="BP236" s="387"/>
      <c r="BQ236" s="387"/>
      <c r="BR236" s="387"/>
      <c r="BS236" s="387"/>
      <c r="BT236" s="387"/>
      <c r="BU236" s="387"/>
      <c r="BV236" s="387"/>
      <c r="BW236" s="988"/>
      <c r="BX236" s="387"/>
      <c r="BY236" s="387"/>
      <c r="BZ236" s="387"/>
      <c r="CA236" s="387"/>
      <c r="CB236" s="387"/>
      <c r="CC236" s="387"/>
      <c r="CD236" s="387"/>
      <c r="CE236" s="387"/>
      <c r="CF236" s="387"/>
      <c r="CG236" s="387"/>
      <c r="CH236" s="387"/>
      <c r="CI236" s="988"/>
      <c r="CJ236" s="387"/>
      <c r="CK236" s="387"/>
      <c r="CL236" s="387"/>
      <c r="CM236" s="387"/>
      <c r="CN236" s="387"/>
      <c r="CO236" s="387"/>
      <c r="CP236" s="387"/>
      <c r="CQ236" s="387"/>
      <c r="CR236" s="387"/>
      <c r="CS236" s="387"/>
      <c r="CT236" s="387"/>
      <c r="CU236" s="988"/>
      <c r="CV236" s="387"/>
      <c r="CW236" s="387"/>
      <c r="CX236" s="387"/>
      <c r="CY236" s="387"/>
      <c r="CZ236" s="387"/>
      <c r="DA236" s="387"/>
      <c r="DB236" s="387"/>
      <c r="DC236" s="387"/>
      <c r="DD236" s="387"/>
      <c r="DE236" s="387"/>
      <c r="DF236" s="387"/>
      <c r="DG236" s="988"/>
      <c r="DH236" s="387"/>
      <c r="DI236" s="387"/>
      <c r="DJ236" s="387"/>
      <c r="DK236" s="387"/>
      <c r="DL236" s="387"/>
      <c r="DM236" s="387"/>
      <c r="DN236" s="387"/>
      <c r="DO236" s="387"/>
      <c r="DP236" s="387"/>
      <c r="DQ236" s="387"/>
      <c r="DR236" s="387"/>
      <c r="DS236" s="988"/>
      <c r="DT236" s="387">
        <v>336.7</v>
      </c>
      <c r="DU236" s="387">
        <v>422.67</v>
      </c>
      <c r="DV236" s="387">
        <v>139.19999999999999</v>
      </c>
      <c r="DW236" s="387">
        <v>157.5</v>
      </c>
      <c r="DX236" s="387">
        <v>112.5</v>
      </c>
      <c r="DY236" s="387">
        <v>112.5</v>
      </c>
      <c r="DZ236" s="387">
        <v>112.5</v>
      </c>
      <c r="EA236" s="387">
        <v>135</v>
      </c>
      <c r="EB236" s="387">
        <v>270</v>
      </c>
      <c r="EC236" s="387">
        <v>112.5</v>
      </c>
      <c r="ED236" s="387">
        <v>247.5</v>
      </c>
      <c r="EE236" s="988">
        <v>247.5</v>
      </c>
      <c r="EF236" s="387"/>
      <c r="EG236" s="387"/>
      <c r="EH236" s="387"/>
      <c r="EI236" s="387"/>
      <c r="EJ236" s="387"/>
      <c r="EK236" s="387"/>
      <c r="EL236" s="387"/>
      <c r="EM236" s="387"/>
      <c r="EN236" s="387"/>
      <c r="EO236" s="387"/>
      <c r="EP236" s="387"/>
      <c r="EQ236" s="988"/>
      <c r="ER236" s="387"/>
      <c r="ES236" s="387"/>
      <c r="ET236" s="387"/>
      <c r="EU236" s="387"/>
      <c r="EV236" s="387"/>
      <c r="EW236" s="387"/>
      <c r="EX236" s="387"/>
      <c r="EY236" s="387"/>
      <c r="EZ236" s="387"/>
      <c r="FA236" s="387"/>
      <c r="FB236" s="387"/>
      <c r="FC236" s="988"/>
      <c r="FD236" s="387"/>
      <c r="FE236" s="387"/>
      <c r="FF236" s="387"/>
      <c r="FG236" s="387"/>
      <c r="FH236" s="387"/>
      <c r="FI236" s="387"/>
      <c r="FJ236" s="387"/>
      <c r="FK236" s="387"/>
      <c r="FL236" s="387"/>
      <c r="FM236" s="387"/>
      <c r="FN236" s="387"/>
      <c r="FO236" s="988"/>
      <c r="FP236" s="387"/>
      <c r="FQ236" s="387"/>
      <c r="FR236" s="387"/>
      <c r="FS236" s="387"/>
      <c r="FT236" s="387"/>
      <c r="FU236" s="387"/>
      <c r="FV236" s="387"/>
      <c r="FW236" s="387"/>
      <c r="FX236" s="387"/>
      <c r="FY236" s="387"/>
      <c r="FZ236" s="387"/>
      <c r="GA236" s="988"/>
      <c r="GB236" s="109"/>
      <c r="GC236" s="2214">
        <f t="shared" si="164"/>
        <v>1378.1399999999999</v>
      </c>
      <c r="GD236" s="387">
        <f t="shared" si="164"/>
        <v>3109.9500000000003</v>
      </c>
      <c r="GE236" s="387">
        <f t="shared" si="164"/>
        <v>983.18000000000006</v>
      </c>
      <c r="GF236" s="387">
        <f t="shared" si="164"/>
        <v>1833.89</v>
      </c>
      <c r="GG236" s="387">
        <f t="shared" si="164"/>
        <v>1705.6100000000001</v>
      </c>
      <c r="GH236" s="387">
        <f t="shared" si="164"/>
        <v>3770.85</v>
      </c>
      <c r="GI236" s="387">
        <f t="shared" si="164"/>
        <v>2842.1400000000003</v>
      </c>
      <c r="GJ236" s="387">
        <f t="shared" si="164"/>
        <v>2213.86</v>
      </c>
      <c r="GK236" s="387">
        <f t="shared" si="164"/>
        <v>4561.3100000000004</v>
      </c>
      <c r="GL236" s="387">
        <f t="shared" si="164"/>
        <v>2625.4700000000003</v>
      </c>
      <c r="GM236" s="387">
        <f t="shared" si="164"/>
        <v>3209.31</v>
      </c>
      <c r="GN236" s="988">
        <f t="shared" si="164"/>
        <v>4468.95</v>
      </c>
      <c r="GO236" s="1036">
        <f t="shared" si="165"/>
        <v>336.7</v>
      </c>
      <c r="GP236" s="387">
        <f t="shared" si="165"/>
        <v>422.67</v>
      </c>
      <c r="GQ236" s="387">
        <f t="shared" si="165"/>
        <v>139.19999999999999</v>
      </c>
      <c r="GR236" s="387">
        <f t="shared" si="165"/>
        <v>157.5</v>
      </c>
      <c r="GS236" s="387">
        <f t="shared" si="165"/>
        <v>112.5</v>
      </c>
      <c r="GT236" s="387">
        <f t="shared" si="165"/>
        <v>112.5</v>
      </c>
      <c r="GU236" s="387">
        <f t="shared" si="165"/>
        <v>112.5</v>
      </c>
      <c r="GV236" s="387">
        <f t="shared" si="165"/>
        <v>135</v>
      </c>
      <c r="GW236" s="387">
        <f t="shared" si="165"/>
        <v>270</v>
      </c>
      <c r="GX236" s="387">
        <f t="shared" si="165"/>
        <v>112.5</v>
      </c>
      <c r="GY236" s="387">
        <f t="shared" si="165"/>
        <v>247.5</v>
      </c>
      <c r="GZ236" s="988">
        <f t="shared" si="165"/>
        <v>247.5</v>
      </c>
      <c r="HB236" s="387"/>
      <c r="HC236" s="387"/>
      <c r="HD236" s="387"/>
      <c r="HE236" s="387"/>
      <c r="HF236" s="387"/>
      <c r="HG236" s="387"/>
      <c r="HH236" s="387"/>
      <c r="HI236" s="387"/>
      <c r="HJ236" s="387"/>
      <c r="HK236" s="387"/>
      <c r="HL236" s="387"/>
      <c r="HM236" s="988"/>
    </row>
    <row r="237" spans="1:221">
      <c r="A237" s="326" t="s">
        <v>900</v>
      </c>
      <c r="B237" s="326" t="s">
        <v>901</v>
      </c>
      <c r="C237" s="326" t="s">
        <v>2214</v>
      </c>
      <c r="D237" s="1036">
        <v>7105.9400000000005</v>
      </c>
      <c r="E237" s="387">
        <v>2560.7200000000003</v>
      </c>
      <c r="F237" s="387">
        <v>3132.98</v>
      </c>
      <c r="G237" s="387">
        <v>2506</v>
      </c>
      <c r="H237" s="387">
        <v>2713.98</v>
      </c>
      <c r="I237" s="387">
        <v>5800.07</v>
      </c>
      <c r="J237" s="387">
        <v>2392.62</v>
      </c>
      <c r="K237" s="387">
        <v>4376.5</v>
      </c>
      <c r="L237" s="387">
        <v>2047.2</v>
      </c>
      <c r="M237" s="387">
        <v>3892.71</v>
      </c>
      <c r="N237" s="387">
        <v>2667.01</v>
      </c>
      <c r="O237" s="988">
        <v>7957.4900000000007</v>
      </c>
      <c r="P237" s="387">
        <v>9.64</v>
      </c>
      <c r="Q237" s="387" t="s">
        <v>2154</v>
      </c>
      <c r="R237" s="387" t="s">
        <v>2154</v>
      </c>
      <c r="S237" s="387" t="s">
        <v>2154</v>
      </c>
      <c r="T237" s="387" t="s">
        <v>2154</v>
      </c>
      <c r="U237" s="387" t="s">
        <v>2154</v>
      </c>
      <c r="V237" s="387" t="s">
        <v>2154</v>
      </c>
      <c r="W237" s="387" t="s">
        <v>2154</v>
      </c>
      <c r="X237" s="387" t="s">
        <v>2154</v>
      </c>
      <c r="Y237" s="387" t="s">
        <v>2154</v>
      </c>
      <c r="Z237" s="387" t="s">
        <v>2154</v>
      </c>
      <c r="AA237" s="988">
        <v>21.75</v>
      </c>
      <c r="AB237" s="387"/>
      <c r="AC237" s="387"/>
      <c r="AD237" s="387"/>
      <c r="AE237" s="387"/>
      <c r="AF237" s="387"/>
      <c r="AG237" s="387"/>
      <c r="AH237" s="387"/>
      <c r="AI237" s="387"/>
      <c r="AJ237" s="387"/>
      <c r="AK237" s="387"/>
      <c r="AL237" s="387"/>
      <c r="AM237" s="988"/>
      <c r="AN237" s="387"/>
      <c r="AO237" s="387"/>
      <c r="AP237" s="387"/>
      <c r="AQ237" s="387"/>
      <c r="AR237" s="387"/>
      <c r="AS237" s="387"/>
      <c r="AT237" s="387"/>
      <c r="AU237" s="387"/>
      <c r="AV237" s="387"/>
      <c r="AW237" s="387"/>
      <c r="AX237" s="387"/>
      <c r="AY237" s="988"/>
      <c r="AZ237" s="387"/>
      <c r="BA237" s="387"/>
      <c r="BB237" s="387"/>
      <c r="BC237" s="387"/>
      <c r="BD237" s="387"/>
      <c r="BE237" s="387"/>
      <c r="BF237" s="387"/>
      <c r="BG237" s="387"/>
      <c r="BH237" s="387"/>
      <c r="BI237" s="387"/>
      <c r="BJ237" s="387"/>
      <c r="BK237" s="988"/>
      <c r="BL237" s="387"/>
      <c r="BM237" s="387"/>
      <c r="BN237" s="387"/>
      <c r="BO237" s="387"/>
      <c r="BP237" s="387"/>
      <c r="BQ237" s="387"/>
      <c r="BR237" s="387"/>
      <c r="BS237" s="387"/>
      <c r="BT237" s="387"/>
      <c r="BU237" s="387"/>
      <c r="BV237" s="387"/>
      <c r="BW237" s="988"/>
      <c r="BX237" s="387"/>
      <c r="BY237" s="387"/>
      <c r="BZ237" s="387"/>
      <c r="CA237" s="387"/>
      <c r="CB237" s="387"/>
      <c r="CC237" s="387"/>
      <c r="CD237" s="387"/>
      <c r="CE237" s="387"/>
      <c r="CF237" s="387"/>
      <c r="CG237" s="387"/>
      <c r="CH237" s="387"/>
      <c r="CI237" s="988"/>
      <c r="CJ237" s="387"/>
      <c r="CK237" s="387"/>
      <c r="CL237" s="387"/>
      <c r="CM237" s="387"/>
      <c r="CN237" s="387"/>
      <c r="CO237" s="387"/>
      <c r="CP237" s="387"/>
      <c r="CQ237" s="387"/>
      <c r="CR237" s="387"/>
      <c r="CS237" s="387"/>
      <c r="CT237" s="387"/>
      <c r="CU237" s="988"/>
      <c r="CV237" s="387"/>
      <c r="CW237" s="387"/>
      <c r="CX237" s="387"/>
      <c r="CY237" s="387"/>
      <c r="CZ237" s="387"/>
      <c r="DA237" s="387"/>
      <c r="DB237" s="387"/>
      <c r="DC237" s="387"/>
      <c r="DD237" s="387"/>
      <c r="DE237" s="387"/>
      <c r="DF237" s="387"/>
      <c r="DG237" s="988"/>
      <c r="DH237" s="387"/>
      <c r="DI237" s="387"/>
      <c r="DJ237" s="387"/>
      <c r="DK237" s="387"/>
      <c r="DL237" s="387"/>
      <c r="DM237" s="387"/>
      <c r="DN237" s="387"/>
      <c r="DO237" s="387"/>
      <c r="DP237" s="387"/>
      <c r="DQ237" s="387"/>
      <c r="DR237" s="387"/>
      <c r="DS237" s="988"/>
      <c r="DT237" s="387" t="s">
        <v>2154</v>
      </c>
      <c r="DU237" s="387" t="s">
        <v>2154</v>
      </c>
      <c r="DV237" s="387" t="s">
        <v>2154</v>
      </c>
      <c r="DW237" s="387" t="s">
        <v>2154</v>
      </c>
      <c r="DX237" s="387" t="s">
        <v>2154</v>
      </c>
      <c r="DY237" s="387" t="s">
        <v>2154</v>
      </c>
      <c r="DZ237" s="387" t="s">
        <v>2154</v>
      </c>
      <c r="EA237" s="387" t="s">
        <v>2154</v>
      </c>
      <c r="EB237" s="387" t="s">
        <v>2154</v>
      </c>
      <c r="EC237" s="387" t="s">
        <v>2154</v>
      </c>
      <c r="ED237" s="387" t="s">
        <v>2154</v>
      </c>
      <c r="EE237" s="988" t="s">
        <v>2154</v>
      </c>
      <c r="EF237" s="387"/>
      <c r="EG237" s="387"/>
      <c r="EH237" s="387"/>
      <c r="EI237" s="387"/>
      <c r="EJ237" s="387"/>
      <c r="EK237" s="387"/>
      <c r="EL237" s="387"/>
      <c r="EM237" s="387"/>
      <c r="EN237" s="387"/>
      <c r="EO237" s="387"/>
      <c r="EP237" s="387"/>
      <c r="EQ237" s="988"/>
      <c r="ER237" s="387"/>
      <c r="ES237" s="387"/>
      <c r="ET237" s="387"/>
      <c r="EU237" s="387"/>
      <c r="EV237" s="387"/>
      <c r="EW237" s="387"/>
      <c r="EX237" s="387"/>
      <c r="EY237" s="387"/>
      <c r="EZ237" s="387"/>
      <c r="FA237" s="387"/>
      <c r="FB237" s="387"/>
      <c r="FC237" s="988"/>
      <c r="FD237" s="387"/>
      <c r="FE237" s="387"/>
      <c r="FF237" s="387"/>
      <c r="FG237" s="387"/>
      <c r="FH237" s="387"/>
      <c r="FI237" s="387"/>
      <c r="FJ237" s="387"/>
      <c r="FK237" s="387"/>
      <c r="FL237" s="387"/>
      <c r="FM237" s="387"/>
      <c r="FN237" s="387"/>
      <c r="FO237" s="988"/>
      <c r="FP237" s="387"/>
      <c r="FQ237" s="387"/>
      <c r="FR237" s="387"/>
      <c r="FS237" s="387"/>
      <c r="FT237" s="387"/>
      <c r="FU237" s="387"/>
      <c r="FV237" s="387"/>
      <c r="FW237" s="387"/>
      <c r="FX237" s="387"/>
      <c r="FY237" s="387"/>
      <c r="FZ237" s="387"/>
      <c r="GA237" s="988"/>
      <c r="GB237" s="109"/>
      <c r="GC237" s="2214">
        <f t="shared" si="164"/>
        <v>7115.5800000000008</v>
      </c>
      <c r="GD237" s="387">
        <f t="shared" si="164"/>
        <v>2560.7200000000003</v>
      </c>
      <c r="GE237" s="387">
        <f t="shared" si="164"/>
        <v>3132.98</v>
      </c>
      <c r="GF237" s="387">
        <f t="shared" si="164"/>
        <v>2506</v>
      </c>
      <c r="GG237" s="387">
        <f t="shared" si="164"/>
        <v>2713.98</v>
      </c>
      <c r="GH237" s="387">
        <f t="shared" si="164"/>
        <v>5800.07</v>
      </c>
      <c r="GI237" s="387">
        <f t="shared" si="164"/>
        <v>2392.62</v>
      </c>
      <c r="GJ237" s="387">
        <f t="shared" si="164"/>
        <v>4376.5</v>
      </c>
      <c r="GK237" s="387">
        <f t="shared" si="164"/>
        <v>2047.2</v>
      </c>
      <c r="GL237" s="387">
        <f t="shared" si="164"/>
        <v>3892.71</v>
      </c>
      <c r="GM237" s="387">
        <f t="shared" si="164"/>
        <v>2667.01</v>
      </c>
      <c r="GN237" s="988">
        <f t="shared" si="164"/>
        <v>7979.2400000000007</v>
      </c>
      <c r="GO237" s="1036">
        <f t="shared" si="165"/>
        <v>0</v>
      </c>
      <c r="GP237" s="387">
        <f t="shared" si="165"/>
        <v>0</v>
      </c>
      <c r="GQ237" s="387">
        <f t="shared" si="165"/>
        <v>0</v>
      </c>
      <c r="GR237" s="387">
        <f t="shared" si="165"/>
        <v>0</v>
      </c>
      <c r="GS237" s="387">
        <f t="shared" si="165"/>
        <v>0</v>
      </c>
      <c r="GT237" s="387">
        <f t="shared" si="165"/>
        <v>0</v>
      </c>
      <c r="GU237" s="387">
        <f t="shared" si="165"/>
        <v>0</v>
      </c>
      <c r="GV237" s="387">
        <f t="shared" si="165"/>
        <v>0</v>
      </c>
      <c r="GW237" s="387">
        <f t="shared" si="165"/>
        <v>0</v>
      </c>
      <c r="GX237" s="387">
        <f t="shared" si="165"/>
        <v>0</v>
      </c>
      <c r="GY237" s="387">
        <f t="shared" si="165"/>
        <v>0</v>
      </c>
      <c r="GZ237" s="988">
        <f t="shared" si="165"/>
        <v>0</v>
      </c>
      <c r="HB237" s="387"/>
      <c r="HC237" s="387"/>
      <c r="HD237" s="387"/>
      <c r="HE237" s="387"/>
      <c r="HF237" s="387"/>
      <c r="HG237" s="387"/>
      <c r="HH237" s="387"/>
      <c r="HI237" s="387"/>
      <c r="HJ237" s="387"/>
      <c r="HK237" s="387"/>
      <c r="HL237" s="387"/>
      <c r="HM237" s="988"/>
    </row>
    <row r="238" spans="1:221">
      <c r="A238" s="326" t="s">
        <v>900</v>
      </c>
      <c r="B238" s="326" t="s">
        <v>901</v>
      </c>
      <c r="C238" s="326" t="s">
        <v>2215</v>
      </c>
      <c r="D238" s="1036">
        <v>5988.6100000000006</v>
      </c>
      <c r="E238" s="387">
        <v>4526.84</v>
      </c>
      <c r="F238" s="387">
        <v>5148.0200000000004</v>
      </c>
      <c r="G238" s="387">
        <v>4751.71</v>
      </c>
      <c r="H238" s="387">
        <v>5448.42</v>
      </c>
      <c r="I238" s="387">
        <v>4015.05</v>
      </c>
      <c r="J238" s="387">
        <v>4826.0300000000007</v>
      </c>
      <c r="K238" s="387">
        <v>4542.6099999999997</v>
      </c>
      <c r="L238" s="387">
        <v>4733.2</v>
      </c>
      <c r="M238" s="387">
        <v>4699.5200000000004</v>
      </c>
      <c r="N238" s="387">
        <v>5317.59</v>
      </c>
      <c r="O238" s="988">
        <v>4271.0599999999995</v>
      </c>
      <c r="P238" s="387" t="s">
        <v>2154</v>
      </c>
      <c r="Q238" s="387" t="s">
        <v>2154</v>
      </c>
      <c r="R238" s="387" t="s">
        <v>2154</v>
      </c>
      <c r="S238" s="387" t="s">
        <v>2154</v>
      </c>
      <c r="T238" s="387" t="s">
        <v>2154</v>
      </c>
      <c r="U238" s="387" t="s">
        <v>2154</v>
      </c>
      <c r="V238" s="387" t="s">
        <v>2154</v>
      </c>
      <c r="W238" s="387" t="s">
        <v>2154</v>
      </c>
      <c r="X238" s="387" t="s">
        <v>2154</v>
      </c>
      <c r="Y238" s="387" t="s">
        <v>2154</v>
      </c>
      <c r="Z238" s="387" t="s">
        <v>2154</v>
      </c>
      <c r="AA238" s="988" t="s">
        <v>2154</v>
      </c>
      <c r="AB238" s="387"/>
      <c r="AC238" s="387"/>
      <c r="AD238" s="387"/>
      <c r="AE238" s="387"/>
      <c r="AF238" s="387"/>
      <c r="AG238" s="387"/>
      <c r="AH238" s="387"/>
      <c r="AI238" s="387"/>
      <c r="AJ238" s="387"/>
      <c r="AK238" s="387"/>
      <c r="AL238" s="387"/>
      <c r="AM238" s="988"/>
      <c r="AN238" s="387"/>
      <c r="AO238" s="387"/>
      <c r="AP238" s="387"/>
      <c r="AQ238" s="387"/>
      <c r="AR238" s="387"/>
      <c r="AS238" s="387"/>
      <c r="AT238" s="387"/>
      <c r="AU238" s="387"/>
      <c r="AV238" s="387"/>
      <c r="AW238" s="387"/>
      <c r="AX238" s="387"/>
      <c r="AY238" s="988"/>
      <c r="AZ238" s="387"/>
      <c r="BA238" s="387"/>
      <c r="BB238" s="387"/>
      <c r="BC238" s="387"/>
      <c r="BD238" s="387"/>
      <c r="BE238" s="387"/>
      <c r="BF238" s="387"/>
      <c r="BG238" s="387"/>
      <c r="BH238" s="387"/>
      <c r="BI238" s="387"/>
      <c r="BJ238" s="387"/>
      <c r="BK238" s="988"/>
      <c r="BL238" s="387"/>
      <c r="BM238" s="387"/>
      <c r="BN238" s="387"/>
      <c r="BO238" s="387"/>
      <c r="BP238" s="387"/>
      <c r="BQ238" s="387"/>
      <c r="BR238" s="387"/>
      <c r="BS238" s="387"/>
      <c r="BT238" s="387"/>
      <c r="BU238" s="387"/>
      <c r="BV238" s="387"/>
      <c r="BW238" s="988"/>
      <c r="BX238" s="387"/>
      <c r="BY238" s="387"/>
      <c r="BZ238" s="387"/>
      <c r="CA238" s="387"/>
      <c r="CB238" s="387"/>
      <c r="CC238" s="387"/>
      <c r="CD238" s="387"/>
      <c r="CE238" s="387"/>
      <c r="CF238" s="387"/>
      <c r="CG238" s="387"/>
      <c r="CH238" s="387"/>
      <c r="CI238" s="988"/>
      <c r="CJ238" s="387"/>
      <c r="CK238" s="387"/>
      <c r="CL238" s="387"/>
      <c r="CM238" s="387"/>
      <c r="CN238" s="387"/>
      <c r="CO238" s="387"/>
      <c r="CP238" s="387"/>
      <c r="CQ238" s="387"/>
      <c r="CR238" s="387"/>
      <c r="CS238" s="387"/>
      <c r="CT238" s="387"/>
      <c r="CU238" s="988"/>
      <c r="CV238" s="387"/>
      <c r="CW238" s="387"/>
      <c r="CX238" s="387"/>
      <c r="CY238" s="387"/>
      <c r="CZ238" s="387"/>
      <c r="DA238" s="387"/>
      <c r="DB238" s="387"/>
      <c r="DC238" s="387"/>
      <c r="DD238" s="387"/>
      <c r="DE238" s="387"/>
      <c r="DF238" s="387"/>
      <c r="DG238" s="988"/>
      <c r="DH238" s="387"/>
      <c r="DI238" s="387"/>
      <c r="DJ238" s="387"/>
      <c r="DK238" s="387"/>
      <c r="DL238" s="387"/>
      <c r="DM238" s="387"/>
      <c r="DN238" s="387"/>
      <c r="DO238" s="387"/>
      <c r="DP238" s="387"/>
      <c r="DQ238" s="387"/>
      <c r="DR238" s="387"/>
      <c r="DS238" s="988"/>
      <c r="DT238" s="387" t="s">
        <v>2154</v>
      </c>
      <c r="DU238" s="387" t="s">
        <v>2154</v>
      </c>
      <c r="DV238" s="387" t="s">
        <v>2154</v>
      </c>
      <c r="DW238" s="387" t="s">
        <v>2154</v>
      </c>
      <c r="DX238" s="387" t="s">
        <v>2154</v>
      </c>
      <c r="DY238" s="387" t="s">
        <v>2154</v>
      </c>
      <c r="DZ238" s="387" t="s">
        <v>2154</v>
      </c>
      <c r="EA238" s="387" t="s">
        <v>2154</v>
      </c>
      <c r="EB238" s="387" t="s">
        <v>2154</v>
      </c>
      <c r="EC238" s="387" t="s">
        <v>2154</v>
      </c>
      <c r="ED238" s="387" t="s">
        <v>2154</v>
      </c>
      <c r="EE238" s="988" t="s">
        <v>2154</v>
      </c>
      <c r="EF238" s="387"/>
      <c r="EG238" s="387"/>
      <c r="EH238" s="387"/>
      <c r="EI238" s="387"/>
      <c r="EJ238" s="387"/>
      <c r="EK238" s="387"/>
      <c r="EL238" s="387"/>
      <c r="EM238" s="387"/>
      <c r="EN238" s="387"/>
      <c r="EO238" s="387"/>
      <c r="EP238" s="387"/>
      <c r="EQ238" s="988"/>
      <c r="ER238" s="387"/>
      <c r="ES238" s="387"/>
      <c r="ET238" s="387"/>
      <c r="EU238" s="387"/>
      <c r="EV238" s="387"/>
      <c r="EW238" s="387"/>
      <c r="EX238" s="387"/>
      <c r="EY238" s="387"/>
      <c r="EZ238" s="387"/>
      <c r="FA238" s="387"/>
      <c r="FB238" s="387"/>
      <c r="FC238" s="988"/>
      <c r="FD238" s="387"/>
      <c r="FE238" s="387"/>
      <c r="FF238" s="387"/>
      <c r="FG238" s="387"/>
      <c r="FH238" s="387"/>
      <c r="FI238" s="387"/>
      <c r="FJ238" s="387"/>
      <c r="FK238" s="387"/>
      <c r="FL238" s="387"/>
      <c r="FM238" s="387"/>
      <c r="FN238" s="387"/>
      <c r="FO238" s="988"/>
      <c r="FP238" s="387"/>
      <c r="FQ238" s="387"/>
      <c r="FR238" s="387"/>
      <c r="FS238" s="387"/>
      <c r="FT238" s="387"/>
      <c r="FU238" s="387"/>
      <c r="FV238" s="387"/>
      <c r="FW238" s="387"/>
      <c r="FX238" s="387"/>
      <c r="FY238" s="387"/>
      <c r="FZ238" s="387"/>
      <c r="GA238" s="988"/>
      <c r="GB238" s="109"/>
      <c r="GC238" s="2214">
        <f t="shared" si="164"/>
        <v>5988.6100000000006</v>
      </c>
      <c r="GD238" s="387">
        <f t="shared" si="164"/>
        <v>4526.84</v>
      </c>
      <c r="GE238" s="387">
        <f t="shared" si="164"/>
        <v>5148.0200000000004</v>
      </c>
      <c r="GF238" s="387">
        <f t="shared" si="164"/>
        <v>4751.71</v>
      </c>
      <c r="GG238" s="387">
        <f t="shared" si="164"/>
        <v>5448.42</v>
      </c>
      <c r="GH238" s="387">
        <f t="shared" si="164"/>
        <v>4015.05</v>
      </c>
      <c r="GI238" s="387">
        <f t="shared" si="164"/>
        <v>4826.0300000000007</v>
      </c>
      <c r="GJ238" s="387">
        <f t="shared" si="164"/>
        <v>4542.6099999999997</v>
      </c>
      <c r="GK238" s="387">
        <f t="shared" si="164"/>
        <v>4733.2</v>
      </c>
      <c r="GL238" s="387">
        <f t="shared" si="164"/>
        <v>4699.5200000000004</v>
      </c>
      <c r="GM238" s="387">
        <f t="shared" si="164"/>
        <v>5317.59</v>
      </c>
      <c r="GN238" s="988">
        <f t="shared" si="164"/>
        <v>4271.0599999999995</v>
      </c>
      <c r="GO238" s="1036">
        <f t="shared" si="165"/>
        <v>0</v>
      </c>
      <c r="GP238" s="387">
        <f t="shared" si="165"/>
        <v>0</v>
      </c>
      <c r="GQ238" s="387">
        <f t="shared" si="165"/>
        <v>0</v>
      </c>
      <c r="GR238" s="387">
        <f t="shared" si="165"/>
        <v>0</v>
      </c>
      <c r="GS238" s="387">
        <f t="shared" si="165"/>
        <v>0</v>
      </c>
      <c r="GT238" s="387">
        <f t="shared" si="165"/>
        <v>0</v>
      </c>
      <c r="GU238" s="387">
        <f t="shared" si="165"/>
        <v>0</v>
      </c>
      <c r="GV238" s="387">
        <f t="shared" si="165"/>
        <v>0</v>
      </c>
      <c r="GW238" s="387">
        <f t="shared" si="165"/>
        <v>0</v>
      </c>
      <c r="GX238" s="387">
        <f t="shared" si="165"/>
        <v>0</v>
      </c>
      <c r="GY238" s="387">
        <f t="shared" si="165"/>
        <v>0</v>
      </c>
      <c r="GZ238" s="988">
        <f t="shared" si="165"/>
        <v>0</v>
      </c>
      <c r="HB238" s="387"/>
      <c r="HC238" s="387"/>
      <c r="HD238" s="387"/>
      <c r="HE238" s="387"/>
      <c r="HF238" s="387"/>
      <c r="HG238" s="387"/>
      <c r="HH238" s="387"/>
      <c r="HI238" s="387"/>
      <c r="HJ238" s="387"/>
      <c r="HK238" s="387"/>
      <c r="HL238" s="387"/>
      <c r="HM238" s="988"/>
    </row>
    <row r="239" spans="1:221">
      <c r="A239" s="326" t="s">
        <v>900</v>
      </c>
      <c r="B239" s="326" t="s">
        <v>901</v>
      </c>
      <c r="C239" s="326" t="s">
        <v>2216</v>
      </c>
      <c r="D239" s="1036">
        <v>1655.3899999999999</v>
      </c>
      <c r="E239" s="387">
        <v>1683.19</v>
      </c>
      <c r="F239" s="387">
        <v>1759.27</v>
      </c>
      <c r="G239" s="387">
        <v>1801.1200000000001</v>
      </c>
      <c r="H239" s="387">
        <v>1807.89</v>
      </c>
      <c r="I239" s="387">
        <v>1927.6</v>
      </c>
      <c r="J239" s="387">
        <v>1812.06</v>
      </c>
      <c r="K239" s="387">
        <v>1806.1</v>
      </c>
      <c r="L239" s="387">
        <v>1802.0099999999998</v>
      </c>
      <c r="M239" s="387">
        <v>1801.24</v>
      </c>
      <c r="N239" s="387">
        <v>1822.43</v>
      </c>
      <c r="O239" s="988">
        <v>1769.5</v>
      </c>
      <c r="P239" s="387">
        <v>204.79000000000002</v>
      </c>
      <c r="Q239" s="387">
        <v>71.12</v>
      </c>
      <c r="R239" s="387">
        <v>202.06</v>
      </c>
      <c r="S239" s="387">
        <v>66.92</v>
      </c>
      <c r="T239" s="387" t="s">
        <v>2154</v>
      </c>
      <c r="U239" s="387">
        <v>90</v>
      </c>
      <c r="V239" s="387" t="s">
        <v>2154</v>
      </c>
      <c r="W239" s="387">
        <v>45</v>
      </c>
      <c r="X239" s="387" t="s">
        <v>2154</v>
      </c>
      <c r="Y239" s="387" t="s">
        <v>2154</v>
      </c>
      <c r="Z239" s="387">
        <v>191.63</v>
      </c>
      <c r="AA239" s="988">
        <v>45</v>
      </c>
      <c r="AB239" s="387"/>
      <c r="AC239" s="387"/>
      <c r="AD239" s="387"/>
      <c r="AE239" s="387"/>
      <c r="AF239" s="387"/>
      <c r="AG239" s="387"/>
      <c r="AH239" s="387"/>
      <c r="AI239" s="387"/>
      <c r="AJ239" s="387"/>
      <c r="AK239" s="387"/>
      <c r="AL239" s="387"/>
      <c r="AM239" s="988"/>
      <c r="AN239" s="387"/>
      <c r="AO239" s="387"/>
      <c r="AP239" s="387"/>
      <c r="AQ239" s="387"/>
      <c r="AR239" s="387"/>
      <c r="AS239" s="387"/>
      <c r="AT239" s="387"/>
      <c r="AU239" s="387"/>
      <c r="AV239" s="387"/>
      <c r="AW239" s="387"/>
      <c r="AX239" s="387"/>
      <c r="AY239" s="988"/>
      <c r="AZ239" s="387"/>
      <c r="BA239" s="387"/>
      <c r="BB239" s="387"/>
      <c r="BC239" s="387"/>
      <c r="BD239" s="387"/>
      <c r="BE239" s="387"/>
      <c r="BF239" s="387"/>
      <c r="BG239" s="387"/>
      <c r="BH239" s="387"/>
      <c r="BI239" s="387"/>
      <c r="BJ239" s="387"/>
      <c r="BK239" s="988"/>
      <c r="BL239" s="387"/>
      <c r="BM239" s="387"/>
      <c r="BN239" s="387"/>
      <c r="BO239" s="387"/>
      <c r="BP239" s="387"/>
      <c r="BQ239" s="387"/>
      <c r="BR239" s="387"/>
      <c r="BS239" s="387"/>
      <c r="BT239" s="387"/>
      <c r="BU239" s="387"/>
      <c r="BV239" s="387"/>
      <c r="BW239" s="988"/>
      <c r="BX239" s="387"/>
      <c r="BY239" s="387"/>
      <c r="BZ239" s="387"/>
      <c r="CA239" s="387"/>
      <c r="CB239" s="387"/>
      <c r="CC239" s="387"/>
      <c r="CD239" s="387"/>
      <c r="CE239" s="387"/>
      <c r="CF239" s="387"/>
      <c r="CG239" s="387"/>
      <c r="CH239" s="387"/>
      <c r="CI239" s="988"/>
      <c r="CJ239" s="387"/>
      <c r="CK239" s="387"/>
      <c r="CL239" s="387"/>
      <c r="CM239" s="387"/>
      <c r="CN239" s="387"/>
      <c r="CO239" s="387"/>
      <c r="CP239" s="387"/>
      <c r="CQ239" s="387"/>
      <c r="CR239" s="387"/>
      <c r="CS239" s="387"/>
      <c r="CT239" s="387"/>
      <c r="CU239" s="988"/>
      <c r="CV239" s="387"/>
      <c r="CW239" s="387"/>
      <c r="CX239" s="387"/>
      <c r="CY239" s="387"/>
      <c r="CZ239" s="387"/>
      <c r="DA239" s="387"/>
      <c r="DB239" s="387"/>
      <c r="DC239" s="387"/>
      <c r="DD239" s="387"/>
      <c r="DE239" s="387"/>
      <c r="DF239" s="387"/>
      <c r="DG239" s="988"/>
      <c r="DH239" s="387"/>
      <c r="DI239" s="387"/>
      <c r="DJ239" s="387"/>
      <c r="DK239" s="387"/>
      <c r="DL239" s="387"/>
      <c r="DM239" s="387"/>
      <c r="DN239" s="387"/>
      <c r="DO239" s="387"/>
      <c r="DP239" s="387"/>
      <c r="DQ239" s="387"/>
      <c r="DR239" s="387"/>
      <c r="DS239" s="988"/>
      <c r="DT239" s="387">
        <v>58.76</v>
      </c>
      <c r="DU239" s="387">
        <v>36.159999999999997</v>
      </c>
      <c r="DV239" s="387">
        <v>81.16</v>
      </c>
      <c r="DW239" s="387">
        <v>171.16</v>
      </c>
      <c r="DX239" s="387">
        <v>81.16</v>
      </c>
      <c r="DY239" s="387">
        <v>81.16</v>
      </c>
      <c r="DZ239" s="387">
        <v>81.16</v>
      </c>
      <c r="EA239" s="387">
        <v>36.159999999999997</v>
      </c>
      <c r="EB239" s="387">
        <v>81.209999999999994</v>
      </c>
      <c r="EC239" s="387">
        <v>80.400000000000006</v>
      </c>
      <c r="ED239" s="387">
        <v>36.21</v>
      </c>
      <c r="EE239" s="988">
        <v>170.2</v>
      </c>
      <c r="EF239" s="387"/>
      <c r="EG239" s="387"/>
      <c r="EH239" s="387"/>
      <c r="EI239" s="387"/>
      <c r="EJ239" s="387"/>
      <c r="EK239" s="387"/>
      <c r="EL239" s="387"/>
      <c r="EM239" s="387"/>
      <c r="EN239" s="387"/>
      <c r="EO239" s="387"/>
      <c r="EP239" s="387"/>
      <c r="EQ239" s="988"/>
      <c r="ER239" s="387"/>
      <c r="ES239" s="387"/>
      <c r="ET239" s="387"/>
      <c r="EU239" s="387"/>
      <c r="EV239" s="387"/>
      <c r="EW239" s="387"/>
      <c r="EX239" s="387"/>
      <c r="EY239" s="387"/>
      <c r="EZ239" s="387"/>
      <c r="FA239" s="387"/>
      <c r="FB239" s="387"/>
      <c r="FC239" s="988"/>
      <c r="FD239" s="387"/>
      <c r="FE239" s="387"/>
      <c r="FF239" s="387"/>
      <c r="FG239" s="387"/>
      <c r="FH239" s="387"/>
      <c r="FI239" s="387"/>
      <c r="FJ239" s="387"/>
      <c r="FK239" s="387"/>
      <c r="FL239" s="387"/>
      <c r="FM239" s="387"/>
      <c r="FN239" s="387"/>
      <c r="FO239" s="988"/>
      <c r="FP239" s="387"/>
      <c r="FQ239" s="387"/>
      <c r="FR239" s="387"/>
      <c r="FS239" s="387"/>
      <c r="FT239" s="387"/>
      <c r="FU239" s="387"/>
      <c r="FV239" s="387"/>
      <c r="FW239" s="387"/>
      <c r="FX239" s="387"/>
      <c r="FY239" s="387"/>
      <c r="FZ239" s="387"/>
      <c r="GA239" s="988"/>
      <c r="GB239" s="109"/>
      <c r="GC239" s="2214">
        <f t="shared" si="164"/>
        <v>1918.9399999999998</v>
      </c>
      <c r="GD239" s="387">
        <f t="shared" si="164"/>
        <v>1790.47</v>
      </c>
      <c r="GE239" s="387">
        <f t="shared" si="164"/>
        <v>2042.49</v>
      </c>
      <c r="GF239" s="387">
        <f t="shared" si="164"/>
        <v>2039.2000000000003</v>
      </c>
      <c r="GG239" s="387">
        <f t="shared" si="164"/>
        <v>1889.0500000000002</v>
      </c>
      <c r="GH239" s="387">
        <f t="shared" si="164"/>
        <v>2098.7599999999998</v>
      </c>
      <c r="GI239" s="387">
        <f t="shared" si="164"/>
        <v>1893.22</v>
      </c>
      <c r="GJ239" s="387">
        <f t="shared" si="164"/>
        <v>1887.26</v>
      </c>
      <c r="GK239" s="387">
        <f t="shared" si="164"/>
        <v>1883.2199999999998</v>
      </c>
      <c r="GL239" s="387">
        <f t="shared" si="164"/>
        <v>1881.64</v>
      </c>
      <c r="GM239" s="387">
        <f t="shared" si="164"/>
        <v>2050.27</v>
      </c>
      <c r="GN239" s="988">
        <f t="shared" si="164"/>
        <v>1984.7</v>
      </c>
      <c r="GO239" s="1036">
        <f t="shared" si="165"/>
        <v>58.76</v>
      </c>
      <c r="GP239" s="387">
        <f t="shared" si="165"/>
        <v>36.159999999999997</v>
      </c>
      <c r="GQ239" s="387">
        <f t="shared" si="165"/>
        <v>81.16</v>
      </c>
      <c r="GR239" s="387">
        <f t="shared" si="165"/>
        <v>171.16</v>
      </c>
      <c r="GS239" s="387">
        <f t="shared" si="165"/>
        <v>81.16</v>
      </c>
      <c r="GT239" s="387">
        <f t="shared" si="165"/>
        <v>81.16</v>
      </c>
      <c r="GU239" s="387">
        <f t="shared" si="165"/>
        <v>81.16</v>
      </c>
      <c r="GV239" s="387">
        <f t="shared" si="165"/>
        <v>36.159999999999997</v>
      </c>
      <c r="GW239" s="387">
        <f t="shared" si="165"/>
        <v>81.209999999999994</v>
      </c>
      <c r="GX239" s="387">
        <f t="shared" si="165"/>
        <v>80.400000000000006</v>
      </c>
      <c r="GY239" s="387">
        <f t="shared" si="165"/>
        <v>36.21</v>
      </c>
      <c r="GZ239" s="988">
        <f t="shared" si="165"/>
        <v>170.2</v>
      </c>
      <c r="HB239" s="387"/>
      <c r="HC239" s="387"/>
      <c r="HD239" s="387"/>
      <c r="HE239" s="387"/>
      <c r="HF239" s="387"/>
      <c r="HG239" s="387"/>
      <c r="HH239" s="387"/>
      <c r="HI239" s="387"/>
      <c r="HJ239" s="387"/>
      <c r="HK239" s="387"/>
      <c r="HL239" s="387"/>
      <c r="HM239" s="988"/>
    </row>
    <row r="240" spans="1:221">
      <c r="A240" s="326" t="s">
        <v>900</v>
      </c>
      <c r="B240" s="326" t="s">
        <v>901</v>
      </c>
      <c r="C240" s="326" t="s">
        <v>2218</v>
      </c>
      <c r="D240" s="1036">
        <v>547.01</v>
      </c>
      <c r="E240" s="387">
        <v>765.57999999999993</v>
      </c>
      <c r="F240" s="387">
        <v>463.8</v>
      </c>
      <c r="G240" s="387">
        <v>512.96</v>
      </c>
      <c r="H240" s="387">
        <v>593.70000000000005</v>
      </c>
      <c r="I240" s="387">
        <v>2042.8200000000002</v>
      </c>
      <c r="J240" s="387">
        <v>399.19999999999993</v>
      </c>
      <c r="K240" s="387">
        <v>838.3599999999999</v>
      </c>
      <c r="L240" s="387">
        <v>1098.3700000000001</v>
      </c>
      <c r="M240" s="387">
        <v>549.04999999999995</v>
      </c>
      <c r="N240" s="387">
        <v>641</v>
      </c>
      <c r="O240" s="988">
        <v>315.99</v>
      </c>
      <c r="P240" s="387">
        <v>182.87</v>
      </c>
      <c r="Q240" s="387">
        <v>60.879999999999995</v>
      </c>
      <c r="R240" s="387" t="s">
        <v>2154</v>
      </c>
      <c r="S240" s="387">
        <v>41.23</v>
      </c>
      <c r="T240" s="387" t="s">
        <v>2154</v>
      </c>
      <c r="U240" s="387">
        <v>4.12</v>
      </c>
      <c r="V240" s="387" t="s">
        <v>2154</v>
      </c>
      <c r="W240" s="387">
        <v>153.91</v>
      </c>
      <c r="X240" s="387" t="s">
        <v>2154</v>
      </c>
      <c r="Y240" s="387">
        <v>559.18999999999994</v>
      </c>
      <c r="Z240" s="387" t="s">
        <v>2154</v>
      </c>
      <c r="AA240" s="988" t="s">
        <v>2154</v>
      </c>
      <c r="AB240" s="387"/>
      <c r="AC240" s="387"/>
      <c r="AD240" s="387"/>
      <c r="AE240" s="387"/>
      <c r="AF240" s="387"/>
      <c r="AG240" s="387"/>
      <c r="AH240" s="387"/>
      <c r="AI240" s="387"/>
      <c r="AJ240" s="387"/>
      <c r="AK240" s="387"/>
      <c r="AL240" s="387"/>
      <c r="AM240" s="988"/>
      <c r="AN240" s="387"/>
      <c r="AO240" s="387"/>
      <c r="AP240" s="387"/>
      <c r="AQ240" s="387"/>
      <c r="AR240" s="387"/>
      <c r="AS240" s="387"/>
      <c r="AT240" s="387"/>
      <c r="AU240" s="387"/>
      <c r="AV240" s="387"/>
      <c r="AW240" s="387"/>
      <c r="AX240" s="387"/>
      <c r="AY240" s="988"/>
      <c r="AZ240" s="387"/>
      <c r="BA240" s="387"/>
      <c r="BB240" s="387"/>
      <c r="BC240" s="387"/>
      <c r="BD240" s="387"/>
      <c r="BE240" s="387"/>
      <c r="BF240" s="387"/>
      <c r="BG240" s="387"/>
      <c r="BH240" s="387"/>
      <c r="BI240" s="387"/>
      <c r="BJ240" s="387"/>
      <c r="BK240" s="988"/>
      <c r="BL240" s="387"/>
      <c r="BM240" s="387"/>
      <c r="BN240" s="387"/>
      <c r="BO240" s="387"/>
      <c r="BP240" s="387"/>
      <c r="BQ240" s="387"/>
      <c r="BR240" s="387"/>
      <c r="BS240" s="387"/>
      <c r="BT240" s="387"/>
      <c r="BU240" s="387"/>
      <c r="BV240" s="387"/>
      <c r="BW240" s="988"/>
      <c r="BX240" s="387"/>
      <c r="BY240" s="387"/>
      <c r="BZ240" s="387"/>
      <c r="CA240" s="387"/>
      <c r="CB240" s="387"/>
      <c r="CC240" s="387"/>
      <c r="CD240" s="387"/>
      <c r="CE240" s="387"/>
      <c r="CF240" s="387"/>
      <c r="CG240" s="387"/>
      <c r="CH240" s="387"/>
      <c r="CI240" s="988"/>
      <c r="CJ240" s="387"/>
      <c r="CK240" s="387"/>
      <c r="CL240" s="387"/>
      <c r="CM240" s="387"/>
      <c r="CN240" s="387"/>
      <c r="CO240" s="387"/>
      <c r="CP240" s="387"/>
      <c r="CQ240" s="387"/>
      <c r="CR240" s="387"/>
      <c r="CS240" s="387"/>
      <c r="CT240" s="387"/>
      <c r="CU240" s="988"/>
      <c r="CV240" s="387"/>
      <c r="CW240" s="387"/>
      <c r="CX240" s="387"/>
      <c r="CY240" s="387"/>
      <c r="CZ240" s="387"/>
      <c r="DA240" s="387"/>
      <c r="DB240" s="387"/>
      <c r="DC240" s="387"/>
      <c r="DD240" s="387"/>
      <c r="DE240" s="387"/>
      <c r="DF240" s="387"/>
      <c r="DG240" s="988"/>
      <c r="DH240" s="387"/>
      <c r="DI240" s="387"/>
      <c r="DJ240" s="387"/>
      <c r="DK240" s="387"/>
      <c r="DL240" s="387"/>
      <c r="DM240" s="387"/>
      <c r="DN240" s="387"/>
      <c r="DO240" s="387"/>
      <c r="DP240" s="387"/>
      <c r="DQ240" s="387"/>
      <c r="DR240" s="387"/>
      <c r="DS240" s="988"/>
      <c r="DT240" s="387" t="s">
        <v>2154</v>
      </c>
      <c r="DU240" s="387" t="s">
        <v>2154</v>
      </c>
      <c r="DV240" s="387">
        <v>422.32</v>
      </c>
      <c r="DW240" s="387" t="s">
        <v>2154</v>
      </c>
      <c r="DX240" s="387">
        <v>74.52</v>
      </c>
      <c r="DY240" s="387">
        <v>25</v>
      </c>
      <c r="DZ240" s="387" t="s">
        <v>2154</v>
      </c>
      <c r="EA240" s="387">
        <v>30.8</v>
      </c>
      <c r="EB240" s="387">
        <v>9.1999999999999993</v>
      </c>
      <c r="EC240" s="387">
        <v>92.41</v>
      </c>
      <c r="ED240" s="387" t="s">
        <v>2154</v>
      </c>
      <c r="EE240" s="988">
        <v>27</v>
      </c>
      <c r="EF240" s="387"/>
      <c r="EG240" s="387"/>
      <c r="EH240" s="387"/>
      <c r="EI240" s="387"/>
      <c r="EJ240" s="387"/>
      <c r="EK240" s="387"/>
      <c r="EL240" s="387"/>
      <c r="EM240" s="387"/>
      <c r="EN240" s="387"/>
      <c r="EO240" s="387"/>
      <c r="EP240" s="387"/>
      <c r="EQ240" s="988"/>
      <c r="ER240" s="387"/>
      <c r="ES240" s="387"/>
      <c r="ET240" s="387"/>
      <c r="EU240" s="387"/>
      <c r="EV240" s="387"/>
      <c r="EW240" s="387"/>
      <c r="EX240" s="387"/>
      <c r="EY240" s="387"/>
      <c r="EZ240" s="387"/>
      <c r="FA240" s="387"/>
      <c r="FB240" s="387"/>
      <c r="FC240" s="988"/>
      <c r="FD240" s="387"/>
      <c r="FE240" s="387"/>
      <c r="FF240" s="387"/>
      <c r="FG240" s="387"/>
      <c r="FH240" s="387"/>
      <c r="FI240" s="387"/>
      <c r="FJ240" s="387"/>
      <c r="FK240" s="387"/>
      <c r="FL240" s="387"/>
      <c r="FM240" s="387"/>
      <c r="FN240" s="387"/>
      <c r="FO240" s="988"/>
      <c r="FP240" s="387"/>
      <c r="FQ240" s="387"/>
      <c r="FR240" s="387"/>
      <c r="FS240" s="387"/>
      <c r="FT240" s="387"/>
      <c r="FU240" s="387"/>
      <c r="FV240" s="387"/>
      <c r="FW240" s="387"/>
      <c r="FX240" s="387"/>
      <c r="FY240" s="387"/>
      <c r="FZ240" s="387"/>
      <c r="GA240" s="988"/>
      <c r="GB240" s="109"/>
      <c r="GC240" s="2214">
        <f t="shared" si="164"/>
        <v>729.88</v>
      </c>
      <c r="GD240" s="387">
        <f t="shared" si="164"/>
        <v>826.45999999999992</v>
      </c>
      <c r="GE240" s="387">
        <f t="shared" si="164"/>
        <v>886.12</v>
      </c>
      <c r="GF240" s="387">
        <f t="shared" si="164"/>
        <v>554.19000000000005</v>
      </c>
      <c r="GG240" s="387">
        <f t="shared" si="164"/>
        <v>668.22</v>
      </c>
      <c r="GH240" s="387">
        <f t="shared" si="164"/>
        <v>2071.94</v>
      </c>
      <c r="GI240" s="387">
        <f t="shared" si="164"/>
        <v>399.19999999999993</v>
      </c>
      <c r="GJ240" s="387">
        <f t="shared" si="164"/>
        <v>1023.0699999999998</v>
      </c>
      <c r="GK240" s="387">
        <f t="shared" si="164"/>
        <v>1107.5700000000002</v>
      </c>
      <c r="GL240" s="387">
        <f t="shared" si="164"/>
        <v>1200.6499999999999</v>
      </c>
      <c r="GM240" s="387">
        <f t="shared" si="164"/>
        <v>641</v>
      </c>
      <c r="GN240" s="988">
        <f t="shared" si="164"/>
        <v>342.99</v>
      </c>
      <c r="GO240" s="1036">
        <f t="shared" si="165"/>
        <v>0</v>
      </c>
      <c r="GP240" s="387">
        <f t="shared" si="165"/>
        <v>0</v>
      </c>
      <c r="GQ240" s="387">
        <f t="shared" si="165"/>
        <v>422.32</v>
      </c>
      <c r="GR240" s="387">
        <f t="shared" si="165"/>
        <v>0</v>
      </c>
      <c r="GS240" s="387">
        <f t="shared" si="165"/>
        <v>74.52</v>
      </c>
      <c r="GT240" s="387">
        <f t="shared" si="165"/>
        <v>25</v>
      </c>
      <c r="GU240" s="387">
        <f t="shared" si="165"/>
        <v>0</v>
      </c>
      <c r="GV240" s="387">
        <f t="shared" si="165"/>
        <v>30.8</v>
      </c>
      <c r="GW240" s="387">
        <f t="shared" si="165"/>
        <v>9.1999999999999993</v>
      </c>
      <c r="GX240" s="387">
        <f t="shared" si="165"/>
        <v>92.41</v>
      </c>
      <c r="GY240" s="387">
        <f t="shared" si="165"/>
        <v>0</v>
      </c>
      <c r="GZ240" s="988">
        <f t="shared" si="165"/>
        <v>27</v>
      </c>
      <c r="HB240" s="387"/>
      <c r="HC240" s="387"/>
      <c r="HD240" s="387"/>
      <c r="HE240" s="387"/>
      <c r="HF240" s="387"/>
      <c r="HG240" s="387"/>
      <c r="HH240" s="387"/>
      <c r="HI240" s="387"/>
      <c r="HJ240" s="387"/>
      <c r="HK240" s="387"/>
      <c r="HL240" s="387"/>
      <c r="HM240" s="988"/>
    </row>
    <row r="241" spans="1:221">
      <c r="A241" s="326" t="s">
        <v>900</v>
      </c>
      <c r="B241" s="326" t="s">
        <v>901</v>
      </c>
      <c r="C241" s="326" t="s">
        <v>2217</v>
      </c>
      <c r="D241" s="1036">
        <v>1629.94</v>
      </c>
      <c r="E241" s="387">
        <v>86.08</v>
      </c>
      <c r="F241" s="387">
        <v>33.72</v>
      </c>
      <c r="G241" s="387">
        <v>3.68</v>
      </c>
      <c r="H241" s="387">
        <v>1416.01</v>
      </c>
      <c r="I241" s="387">
        <v>110.61</v>
      </c>
      <c r="J241" s="387">
        <v>1599.7</v>
      </c>
      <c r="K241" s="387">
        <v>439.74</v>
      </c>
      <c r="L241" s="387">
        <v>1299.0299999999997</v>
      </c>
      <c r="M241" s="387">
        <v>142.69999999999999</v>
      </c>
      <c r="N241" s="387">
        <v>290.05</v>
      </c>
      <c r="O241" s="988">
        <v>112.7</v>
      </c>
      <c r="P241" s="387">
        <v>158.88</v>
      </c>
      <c r="Q241" s="387">
        <v>98.45</v>
      </c>
      <c r="R241" s="387">
        <v>101.58</v>
      </c>
      <c r="S241" s="387">
        <v>3.68</v>
      </c>
      <c r="T241" s="387">
        <v>105.6</v>
      </c>
      <c r="U241" s="387">
        <v>98.78</v>
      </c>
      <c r="V241" s="387">
        <v>210.22</v>
      </c>
      <c r="W241" s="387">
        <v>308.07000000000005</v>
      </c>
      <c r="X241" s="387">
        <v>177.60000000000002</v>
      </c>
      <c r="Y241" s="387">
        <v>52.74</v>
      </c>
      <c r="Z241" s="387">
        <v>97.99</v>
      </c>
      <c r="AA241" s="988">
        <v>94.8</v>
      </c>
      <c r="AB241" s="387"/>
      <c r="AC241" s="387"/>
      <c r="AD241" s="387"/>
      <c r="AE241" s="387"/>
      <c r="AF241" s="387"/>
      <c r="AG241" s="387"/>
      <c r="AH241" s="387"/>
      <c r="AI241" s="387"/>
      <c r="AJ241" s="387"/>
      <c r="AK241" s="387"/>
      <c r="AL241" s="387"/>
      <c r="AM241" s="988"/>
      <c r="AN241" s="387"/>
      <c r="AO241" s="387"/>
      <c r="AP241" s="387"/>
      <c r="AQ241" s="387"/>
      <c r="AR241" s="387"/>
      <c r="AS241" s="387"/>
      <c r="AT241" s="387"/>
      <c r="AU241" s="387"/>
      <c r="AV241" s="387"/>
      <c r="AW241" s="387"/>
      <c r="AX241" s="387"/>
      <c r="AY241" s="988"/>
      <c r="AZ241" s="387"/>
      <c r="BA241" s="387"/>
      <c r="BB241" s="387"/>
      <c r="BC241" s="387"/>
      <c r="BD241" s="387"/>
      <c r="BE241" s="387"/>
      <c r="BF241" s="387"/>
      <c r="BG241" s="387"/>
      <c r="BH241" s="387"/>
      <c r="BI241" s="387"/>
      <c r="BJ241" s="387"/>
      <c r="BK241" s="988"/>
      <c r="BL241" s="387"/>
      <c r="BM241" s="387"/>
      <c r="BN241" s="387"/>
      <c r="BO241" s="387"/>
      <c r="BP241" s="387"/>
      <c r="BQ241" s="387"/>
      <c r="BR241" s="387"/>
      <c r="BS241" s="387"/>
      <c r="BT241" s="387"/>
      <c r="BU241" s="387"/>
      <c r="BV241" s="387"/>
      <c r="BW241" s="988"/>
      <c r="BX241" s="387"/>
      <c r="BY241" s="387"/>
      <c r="BZ241" s="387"/>
      <c r="CA241" s="387"/>
      <c r="CB241" s="387"/>
      <c r="CC241" s="387"/>
      <c r="CD241" s="387"/>
      <c r="CE241" s="387"/>
      <c r="CF241" s="387"/>
      <c r="CG241" s="387"/>
      <c r="CH241" s="387"/>
      <c r="CI241" s="988"/>
      <c r="CJ241" s="387"/>
      <c r="CK241" s="387"/>
      <c r="CL241" s="387"/>
      <c r="CM241" s="387"/>
      <c r="CN241" s="387"/>
      <c r="CO241" s="387"/>
      <c r="CP241" s="387"/>
      <c r="CQ241" s="387"/>
      <c r="CR241" s="387"/>
      <c r="CS241" s="387"/>
      <c r="CT241" s="387"/>
      <c r="CU241" s="988"/>
      <c r="CV241" s="387"/>
      <c r="CW241" s="387"/>
      <c r="CX241" s="387"/>
      <c r="CY241" s="387"/>
      <c r="CZ241" s="387"/>
      <c r="DA241" s="387"/>
      <c r="DB241" s="387"/>
      <c r="DC241" s="387"/>
      <c r="DD241" s="387"/>
      <c r="DE241" s="387"/>
      <c r="DF241" s="387"/>
      <c r="DG241" s="988"/>
      <c r="DH241" s="387"/>
      <c r="DI241" s="387"/>
      <c r="DJ241" s="387"/>
      <c r="DK241" s="387"/>
      <c r="DL241" s="387"/>
      <c r="DM241" s="387"/>
      <c r="DN241" s="387"/>
      <c r="DO241" s="387"/>
      <c r="DP241" s="387"/>
      <c r="DQ241" s="387"/>
      <c r="DR241" s="387"/>
      <c r="DS241" s="988"/>
      <c r="DT241" s="387">
        <v>668.93</v>
      </c>
      <c r="DU241" s="387">
        <v>3.73</v>
      </c>
      <c r="DV241" s="387">
        <v>3.73</v>
      </c>
      <c r="DW241" s="387">
        <v>3.68</v>
      </c>
      <c r="DX241" s="387">
        <v>757.75</v>
      </c>
      <c r="DY241" s="387" t="s">
        <v>2154</v>
      </c>
      <c r="DZ241" s="387">
        <v>15.34</v>
      </c>
      <c r="EA241" s="387">
        <v>7.6</v>
      </c>
      <c r="EB241" s="387" t="s">
        <v>2154</v>
      </c>
      <c r="EC241" s="387">
        <v>9.1</v>
      </c>
      <c r="ED241" s="387" t="s">
        <v>2154</v>
      </c>
      <c r="EE241" s="988" t="s">
        <v>2154</v>
      </c>
      <c r="EF241" s="387"/>
      <c r="EG241" s="387"/>
      <c r="EH241" s="387"/>
      <c r="EI241" s="387"/>
      <c r="EJ241" s="387"/>
      <c r="EK241" s="387"/>
      <c r="EL241" s="387"/>
      <c r="EM241" s="387"/>
      <c r="EN241" s="387"/>
      <c r="EO241" s="387"/>
      <c r="EP241" s="387"/>
      <c r="EQ241" s="988"/>
      <c r="ER241" s="387"/>
      <c r="ES241" s="387"/>
      <c r="ET241" s="387"/>
      <c r="EU241" s="387"/>
      <c r="EV241" s="387"/>
      <c r="EW241" s="387"/>
      <c r="EX241" s="387"/>
      <c r="EY241" s="387"/>
      <c r="EZ241" s="387"/>
      <c r="FA241" s="387"/>
      <c r="FB241" s="387"/>
      <c r="FC241" s="988"/>
      <c r="FD241" s="387"/>
      <c r="FE241" s="387"/>
      <c r="FF241" s="387"/>
      <c r="FG241" s="387"/>
      <c r="FH241" s="387"/>
      <c r="FI241" s="387"/>
      <c r="FJ241" s="387"/>
      <c r="FK241" s="387"/>
      <c r="FL241" s="387"/>
      <c r="FM241" s="387"/>
      <c r="FN241" s="387"/>
      <c r="FO241" s="988"/>
      <c r="FP241" s="387"/>
      <c r="FQ241" s="387"/>
      <c r="FR241" s="387"/>
      <c r="FS241" s="387"/>
      <c r="FT241" s="387"/>
      <c r="FU241" s="387"/>
      <c r="FV241" s="387"/>
      <c r="FW241" s="387"/>
      <c r="FX241" s="387"/>
      <c r="FY241" s="387"/>
      <c r="FZ241" s="387"/>
      <c r="GA241" s="988"/>
      <c r="GB241" s="109"/>
      <c r="GC241" s="2214">
        <f t="shared" si="164"/>
        <v>2457.75</v>
      </c>
      <c r="GD241" s="387">
        <f t="shared" si="164"/>
        <v>188.26</v>
      </c>
      <c r="GE241" s="387">
        <f t="shared" si="164"/>
        <v>139.03</v>
      </c>
      <c r="GF241" s="387">
        <f t="shared" si="164"/>
        <v>11.040000000000001</v>
      </c>
      <c r="GG241" s="387">
        <f t="shared" si="164"/>
        <v>2279.3599999999997</v>
      </c>
      <c r="GH241" s="387">
        <f t="shared" si="164"/>
        <v>209.39</v>
      </c>
      <c r="GI241" s="387">
        <f t="shared" si="164"/>
        <v>1825.26</v>
      </c>
      <c r="GJ241" s="387">
        <f t="shared" si="164"/>
        <v>755.41000000000008</v>
      </c>
      <c r="GK241" s="387">
        <f t="shared" si="164"/>
        <v>1476.6299999999997</v>
      </c>
      <c r="GL241" s="387">
        <f t="shared" si="164"/>
        <v>204.54</v>
      </c>
      <c r="GM241" s="387">
        <f t="shared" si="164"/>
        <v>388.04</v>
      </c>
      <c r="GN241" s="988">
        <f t="shared" si="164"/>
        <v>207.5</v>
      </c>
      <c r="GO241" s="1036">
        <f t="shared" si="165"/>
        <v>668.93</v>
      </c>
      <c r="GP241" s="387">
        <f t="shared" si="165"/>
        <v>3.73</v>
      </c>
      <c r="GQ241" s="387">
        <f t="shared" si="165"/>
        <v>3.73</v>
      </c>
      <c r="GR241" s="387">
        <f t="shared" si="165"/>
        <v>3.68</v>
      </c>
      <c r="GS241" s="387">
        <f t="shared" si="165"/>
        <v>757.75</v>
      </c>
      <c r="GT241" s="387">
        <f t="shared" si="165"/>
        <v>0</v>
      </c>
      <c r="GU241" s="387">
        <f t="shared" si="165"/>
        <v>15.34</v>
      </c>
      <c r="GV241" s="387">
        <f t="shared" si="165"/>
        <v>7.6</v>
      </c>
      <c r="GW241" s="387">
        <f t="shared" si="165"/>
        <v>0</v>
      </c>
      <c r="GX241" s="387">
        <f t="shared" si="165"/>
        <v>9.1</v>
      </c>
      <c r="GY241" s="387">
        <f t="shared" si="165"/>
        <v>0</v>
      </c>
      <c r="GZ241" s="988">
        <f t="shared" si="165"/>
        <v>0</v>
      </c>
      <c r="HB241" s="387"/>
      <c r="HC241" s="387"/>
      <c r="HD241" s="387"/>
      <c r="HE241" s="387"/>
      <c r="HF241" s="387"/>
      <c r="HG241" s="387"/>
      <c r="HH241" s="387"/>
      <c r="HI241" s="387"/>
      <c r="HJ241" s="387"/>
      <c r="HK241" s="387"/>
      <c r="HL241" s="387"/>
      <c r="HM241" s="988"/>
    </row>
    <row r="242" spans="1:221">
      <c r="A242" s="326" t="s">
        <v>900</v>
      </c>
      <c r="B242" s="326" t="s">
        <v>901</v>
      </c>
      <c r="C242" s="326" t="s">
        <v>2219</v>
      </c>
      <c r="D242" s="1036">
        <v>220.7</v>
      </c>
      <c r="E242" s="387">
        <v>492.18</v>
      </c>
      <c r="F242" s="387">
        <v>695.47</v>
      </c>
      <c r="G242" s="387">
        <v>330.21</v>
      </c>
      <c r="H242" s="387">
        <v>317.73</v>
      </c>
      <c r="I242" s="387">
        <v>707.17000000000007</v>
      </c>
      <c r="J242" s="387">
        <v>233.1</v>
      </c>
      <c r="K242" s="387">
        <v>1343.9099999999999</v>
      </c>
      <c r="L242" s="387">
        <v>784.8900000000001</v>
      </c>
      <c r="M242" s="387">
        <v>463.61999999999995</v>
      </c>
      <c r="N242" s="387">
        <v>446.78999999999996</v>
      </c>
      <c r="O242" s="988">
        <v>499.33</v>
      </c>
      <c r="P242" s="387">
        <v>314.51</v>
      </c>
      <c r="Q242" s="387" t="s">
        <v>2154</v>
      </c>
      <c r="R242" s="387" t="s">
        <v>2154</v>
      </c>
      <c r="S242" s="387">
        <v>300.59999999999997</v>
      </c>
      <c r="T242" s="387">
        <v>22.88</v>
      </c>
      <c r="U242" s="387">
        <v>221.78</v>
      </c>
      <c r="V242" s="387" t="s">
        <v>2154</v>
      </c>
      <c r="W242" s="387">
        <v>43.16</v>
      </c>
      <c r="X242" s="387" t="s">
        <v>2154</v>
      </c>
      <c r="Y242" s="387">
        <v>644.56000000000006</v>
      </c>
      <c r="Z242" s="387">
        <v>538.75</v>
      </c>
      <c r="AA242" s="988">
        <v>128.12</v>
      </c>
      <c r="AB242" s="387"/>
      <c r="AC242" s="387"/>
      <c r="AD242" s="387"/>
      <c r="AE242" s="387"/>
      <c r="AF242" s="387"/>
      <c r="AG242" s="387"/>
      <c r="AH242" s="387"/>
      <c r="AI242" s="387"/>
      <c r="AJ242" s="387"/>
      <c r="AK242" s="387"/>
      <c r="AL242" s="387"/>
      <c r="AM242" s="988"/>
      <c r="AN242" s="387"/>
      <c r="AO242" s="387"/>
      <c r="AP242" s="387"/>
      <c r="AQ242" s="387"/>
      <c r="AR242" s="387"/>
      <c r="AS242" s="387"/>
      <c r="AT242" s="387"/>
      <c r="AU242" s="387"/>
      <c r="AV242" s="387"/>
      <c r="AW242" s="387"/>
      <c r="AX242" s="387"/>
      <c r="AY242" s="988"/>
      <c r="AZ242" s="387"/>
      <c r="BA242" s="387"/>
      <c r="BB242" s="387"/>
      <c r="BC242" s="387"/>
      <c r="BD242" s="387"/>
      <c r="BE242" s="387"/>
      <c r="BF242" s="387"/>
      <c r="BG242" s="387"/>
      <c r="BH242" s="387"/>
      <c r="BI242" s="387"/>
      <c r="BJ242" s="387"/>
      <c r="BK242" s="988"/>
      <c r="BL242" s="387"/>
      <c r="BM242" s="387"/>
      <c r="BN242" s="387"/>
      <c r="BO242" s="387"/>
      <c r="BP242" s="387"/>
      <c r="BQ242" s="387"/>
      <c r="BR242" s="387"/>
      <c r="BS242" s="387"/>
      <c r="BT242" s="387"/>
      <c r="BU242" s="387"/>
      <c r="BV242" s="387"/>
      <c r="BW242" s="988"/>
      <c r="BX242" s="387"/>
      <c r="BY242" s="387"/>
      <c r="BZ242" s="387"/>
      <c r="CA242" s="387"/>
      <c r="CB242" s="387"/>
      <c r="CC242" s="387"/>
      <c r="CD242" s="387"/>
      <c r="CE242" s="387"/>
      <c r="CF242" s="387"/>
      <c r="CG242" s="387"/>
      <c r="CH242" s="387"/>
      <c r="CI242" s="988"/>
      <c r="CJ242" s="387"/>
      <c r="CK242" s="387"/>
      <c r="CL242" s="387"/>
      <c r="CM242" s="387"/>
      <c r="CN242" s="387"/>
      <c r="CO242" s="387"/>
      <c r="CP242" s="387"/>
      <c r="CQ242" s="387"/>
      <c r="CR242" s="387"/>
      <c r="CS242" s="387"/>
      <c r="CT242" s="387"/>
      <c r="CU242" s="988"/>
      <c r="CV242" s="387"/>
      <c r="CW242" s="387"/>
      <c r="CX242" s="387"/>
      <c r="CY242" s="387"/>
      <c r="CZ242" s="387"/>
      <c r="DA242" s="387"/>
      <c r="DB242" s="387"/>
      <c r="DC242" s="387"/>
      <c r="DD242" s="387"/>
      <c r="DE242" s="387"/>
      <c r="DF242" s="387"/>
      <c r="DG242" s="988"/>
      <c r="DH242" s="387"/>
      <c r="DI242" s="387"/>
      <c r="DJ242" s="387"/>
      <c r="DK242" s="387"/>
      <c r="DL242" s="387"/>
      <c r="DM242" s="387"/>
      <c r="DN242" s="387"/>
      <c r="DO242" s="387"/>
      <c r="DP242" s="387"/>
      <c r="DQ242" s="387"/>
      <c r="DR242" s="387"/>
      <c r="DS242" s="988"/>
      <c r="DT242" s="387">
        <v>131.44</v>
      </c>
      <c r="DU242" s="387">
        <v>55.12</v>
      </c>
      <c r="DV242" s="387" t="s">
        <v>2154</v>
      </c>
      <c r="DW242" s="387">
        <v>307.81</v>
      </c>
      <c r="DX242" s="387">
        <v>66.78</v>
      </c>
      <c r="DY242" s="387">
        <v>40.28</v>
      </c>
      <c r="DZ242" s="387">
        <v>328.64</v>
      </c>
      <c r="EA242" s="387" t="s">
        <v>2154</v>
      </c>
      <c r="EB242" s="387">
        <v>230.88</v>
      </c>
      <c r="EC242" s="387">
        <v>426.88</v>
      </c>
      <c r="ED242" s="387">
        <v>132.22</v>
      </c>
      <c r="EE242" s="988">
        <v>888.29</v>
      </c>
      <c r="EF242" s="387"/>
      <c r="EG242" s="387"/>
      <c r="EH242" s="387"/>
      <c r="EI242" s="387"/>
      <c r="EJ242" s="387"/>
      <c r="EK242" s="387"/>
      <c r="EL242" s="387"/>
      <c r="EM242" s="387"/>
      <c r="EN242" s="387"/>
      <c r="EO242" s="387"/>
      <c r="EP242" s="387"/>
      <c r="EQ242" s="988"/>
      <c r="ER242" s="387"/>
      <c r="ES242" s="387"/>
      <c r="ET242" s="387"/>
      <c r="EU242" s="387"/>
      <c r="EV242" s="387"/>
      <c r="EW242" s="387"/>
      <c r="EX242" s="387"/>
      <c r="EY242" s="387"/>
      <c r="EZ242" s="387"/>
      <c r="FA242" s="387"/>
      <c r="FB242" s="387"/>
      <c r="FC242" s="988"/>
      <c r="FD242" s="387"/>
      <c r="FE242" s="387"/>
      <c r="FF242" s="387"/>
      <c r="FG242" s="387"/>
      <c r="FH242" s="387"/>
      <c r="FI242" s="387"/>
      <c r="FJ242" s="387"/>
      <c r="FK242" s="387"/>
      <c r="FL242" s="387"/>
      <c r="FM242" s="387"/>
      <c r="FN242" s="387"/>
      <c r="FO242" s="988"/>
      <c r="FP242" s="387"/>
      <c r="FQ242" s="387"/>
      <c r="FR242" s="387"/>
      <c r="FS242" s="387"/>
      <c r="FT242" s="387"/>
      <c r="FU242" s="387"/>
      <c r="FV242" s="387"/>
      <c r="FW242" s="387"/>
      <c r="FX242" s="387"/>
      <c r="FY242" s="387"/>
      <c r="FZ242" s="387"/>
      <c r="GA242" s="988"/>
      <c r="GB242" s="109"/>
      <c r="GC242" s="2214">
        <f t="shared" si="164"/>
        <v>666.65000000000009</v>
      </c>
      <c r="GD242" s="387">
        <f t="shared" si="164"/>
        <v>547.29999999999995</v>
      </c>
      <c r="GE242" s="387">
        <f t="shared" si="164"/>
        <v>695.47</v>
      </c>
      <c r="GF242" s="387">
        <f t="shared" si="164"/>
        <v>938.61999999999989</v>
      </c>
      <c r="GG242" s="387">
        <f t="shared" si="164"/>
        <v>407.39</v>
      </c>
      <c r="GH242" s="387">
        <f t="shared" si="164"/>
        <v>969.23</v>
      </c>
      <c r="GI242" s="387">
        <f t="shared" si="164"/>
        <v>561.74</v>
      </c>
      <c r="GJ242" s="387">
        <f t="shared" si="164"/>
        <v>1387.07</v>
      </c>
      <c r="GK242" s="387">
        <f t="shared" si="164"/>
        <v>1015.7700000000001</v>
      </c>
      <c r="GL242" s="387">
        <f t="shared" si="164"/>
        <v>1535.06</v>
      </c>
      <c r="GM242" s="387">
        <f t="shared" si="164"/>
        <v>1117.76</v>
      </c>
      <c r="GN242" s="988">
        <f t="shared" si="164"/>
        <v>1515.74</v>
      </c>
      <c r="GO242" s="1036">
        <f t="shared" si="165"/>
        <v>131.44</v>
      </c>
      <c r="GP242" s="387">
        <f t="shared" si="165"/>
        <v>55.12</v>
      </c>
      <c r="GQ242" s="387">
        <f t="shared" si="165"/>
        <v>0</v>
      </c>
      <c r="GR242" s="387">
        <f t="shared" si="165"/>
        <v>307.81</v>
      </c>
      <c r="GS242" s="387">
        <f t="shared" si="165"/>
        <v>66.78</v>
      </c>
      <c r="GT242" s="387">
        <f t="shared" si="165"/>
        <v>40.28</v>
      </c>
      <c r="GU242" s="387">
        <f t="shared" si="165"/>
        <v>328.64</v>
      </c>
      <c r="GV242" s="387">
        <f t="shared" si="165"/>
        <v>0</v>
      </c>
      <c r="GW242" s="387">
        <f t="shared" si="165"/>
        <v>230.88</v>
      </c>
      <c r="GX242" s="387">
        <f t="shared" si="165"/>
        <v>426.88</v>
      </c>
      <c r="GY242" s="387">
        <f t="shared" si="165"/>
        <v>132.22</v>
      </c>
      <c r="GZ242" s="988">
        <f t="shared" si="165"/>
        <v>888.29</v>
      </c>
      <c r="HB242" s="387"/>
      <c r="HC242" s="387"/>
      <c r="HD242" s="387"/>
      <c r="HE242" s="387"/>
      <c r="HF242" s="387"/>
      <c r="HG242" s="387"/>
      <c r="HH242" s="387"/>
      <c r="HI242" s="387"/>
      <c r="HJ242" s="387"/>
      <c r="HK242" s="387"/>
      <c r="HL242" s="387"/>
      <c r="HM242" s="988"/>
    </row>
    <row r="243" spans="1:221">
      <c r="A243" s="326" t="s">
        <v>900</v>
      </c>
      <c r="B243" s="326" t="s">
        <v>901</v>
      </c>
      <c r="C243" s="326" t="s">
        <v>2220</v>
      </c>
      <c r="D243" s="1036">
        <v>82.2</v>
      </c>
      <c r="E243" s="387">
        <v>18.47</v>
      </c>
      <c r="F243" s="387">
        <v>65.52</v>
      </c>
      <c r="G243" s="387">
        <v>55.32</v>
      </c>
      <c r="H243" s="387">
        <v>18.170000000000002</v>
      </c>
      <c r="I243" s="387">
        <v>32.450000000000003</v>
      </c>
      <c r="J243" s="387">
        <v>48.14</v>
      </c>
      <c r="K243" s="387">
        <v>43.81</v>
      </c>
      <c r="L243" s="387">
        <v>45.97</v>
      </c>
      <c r="M243" s="387">
        <v>228.21</v>
      </c>
      <c r="N243" s="387">
        <v>97.81</v>
      </c>
      <c r="O243" s="988" t="s">
        <v>2154</v>
      </c>
      <c r="P243" s="387" t="s">
        <v>2154</v>
      </c>
      <c r="Q243" s="387" t="s">
        <v>2154</v>
      </c>
      <c r="R243" s="387" t="s">
        <v>2154</v>
      </c>
      <c r="S243" s="387">
        <v>5.12</v>
      </c>
      <c r="T243" s="387" t="s">
        <v>2154</v>
      </c>
      <c r="U243" s="387" t="s">
        <v>2154</v>
      </c>
      <c r="V243" s="387" t="s">
        <v>2154</v>
      </c>
      <c r="W243" s="387" t="s">
        <v>2154</v>
      </c>
      <c r="X243" s="387" t="s">
        <v>2154</v>
      </c>
      <c r="Y243" s="387">
        <v>10.24</v>
      </c>
      <c r="Z243" s="387" t="s">
        <v>2154</v>
      </c>
      <c r="AA243" s="988" t="s">
        <v>2154</v>
      </c>
      <c r="AB243" s="387"/>
      <c r="AC243" s="387"/>
      <c r="AD243" s="387"/>
      <c r="AE243" s="387"/>
      <c r="AF243" s="387"/>
      <c r="AG243" s="387"/>
      <c r="AH243" s="387"/>
      <c r="AI243" s="387"/>
      <c r="AJ243" s="387"/>
      <c r="AK243" s="387"/>
      <c r="AL243" s="387"/>
      <c r="AM243" s="988"/>
      <c r="AN243" s="387"/>
      <c r="AO243" s="387"/>
      <c r="AP243" s="387"/>
      <c r="AQ243" s="387"/>
      <c r="AR243" s="387"/>
      <c r="AS243" s="387"/>
      <c r="AT243" s="387"/>
      <c r="AU243" s="387"/>
      <c r="AV243" s="387"/>
      <c r="AW243" s="387"/>
      <c r="AX243" s="387"/>
      <c r="AY243" s="988"/>
      <c r="AZ243" s="387"/>
      <c r="BA243" s="387"/>
      <c r="BB243" s="387"/>
      <c r="BC243" s="387"/>
      <c r="BD243" s="387"/>
      <c r="BE243" s="387"/>
      <c r="BF243" s="387"/>
      <c r="BG243" s="387"/>
      <c r="BH243" s="387"/>
      <c r="BI243" s="387"/>
      <c r="BJ243" s="387"/>
      <c r="BK243" s="988"/>
      <c r="BL243" s="387"/>
      <c r="BM243" s="387"/>
      <c r="BN243" s="387"/>
      <c r="BO243" s="387"/>
      <c r="BP243" s="387"/>
      <c r="BQ243" s="387"/>
      <c r="BR243" s="387"/>
      <c r="BS243" s="387"/>
      <c r="BT243" s="387"/>
      <c r="BU243" s="387"/>
      <c r="BV243" s="387"/>
      <c r="BW243" s="988"/>
      <c r="BX243" s="387"/>
      <c r="BY243" s="387"/>
      <c r="BZ243" s="387"/>
      <c r="CA243" s="387"/>
      <c r="CB243" s="387"/>
      <c r="CC243" s="387"/>
      <c r="CD243" s="387"/>
      <c r="CE243" s="387"/>
      <c r="CF243" s="387"/>
      <c r="CG243" s="387"/>
      <c r="CH243" s="387"/>
      <c r="CI243" s="988"/>
      <c r="CJ243" s="387"/>
      <c r="CK243" s="387"/>
      <c r="CL243" s="387"/>
      <c r="CM243" s="387"/>
      <c r="CN243" s="387"/>
      <c r="CO243" s="387"/>
      <c r="CP243" s="387"/>
      <c r="CQ243" s="387"/>
      <c r="CR243" s="387"/>
      <c r="CS243" s="387"/>
      <c r="CT243" s="387"/>
      <c r="CU243" s="988"/>
      <c r="CV243" s="387"/>
      <c r="CW243" s="387"/>
      <c r="CX243" s="387"/>
      <c r="CY243" s="387"/>
      <c r="CZ243" s="387"/>
      <c r="DA243" s="387"/>
      <c r="DB243" s="387"/>
      <c r="DC243" s="387"/>
      <c r="DD243" s="387"/>
      <c r="DE243" s="387"/>
      <c r="DF243" s="387"/>
      <c r="DG243" s="988"/>
      <c r="DH243" s="387"/>
      <c r="DI243" s="387"/>
      <c r="DJ243" s="387"/>
      <c r="DK243" s="387"/>
      <c r="DL243" s="387"/>
      <c r="DM243" s="387"/>
      <c r="DN243" s="387"/>
      <c r="DO243" s="387"/>
      <c r="DP243" s="387"/>
      <c r="DQ243" s="387"/>
      <c r="DR243" s="387"/>
      <c r="DS243" s="988"/>
      <c r="DT243" s="387" t="s">
        <v>2154</v>
      </c>
      <c r="DU243" s="387" t="s">
        <v>2154</v>
      </c>
      <c r="DV243" s="387" t="s">
        <v>2154</v>
      </c>
      <c r="DW243" s="387" t="s">
        <v>2154</v>
      </c>
      <c r="DX243" s="387" t="s">
        <v>2154</v>
      </c>
      <c r="DY243" s="387" t="s">
        <v>2154</v>
      </c>
      <c r="DZ243" s="387" t="s">
        <v>2154</v>
      </c>
      <c r="EA243" s="387" t="s">
        <v>2154</v>
      </c>
      <c r="EB243" s="387" t="s">
        <v>2154</v>
      </c>
      <c r="EC243" s="387" t="s">
        <v>2154</v>
      </c>
      <c r="ED243" s="387" t="s">
        <v>2154</v>
      </c>
      <c r="EE243" s="988" t="s">
        <v>2154</v>
      </c>
      <c r="EF243" s="387"/>
      <c r="EG243" s="387"/>
      <c r="EH243" s="387"/>
      <c r="EI243" s="387"/>
      <c r="EJ243" s="387"/>
      <c r="EK243" s="387"/>
      <c r="EL243" s="387"/>
      <c r="EM243" s="387"/>
      <c r="EN243" s="387"/>
      <c r="EO243" s="387"/>
      <c r="EP243" s="387"/>
      <c r="EQ243" s="988"/>
      <c r="ER243" s="387"/>
      <c r="ES243" s="387"/>
      <c r="ET243" s="387"/>
      <c r="EU243" s="387"/>
      <c r="EV243" s="387"/>
      <c r="EW243" s="387"/>
      <c r="EX243" s="387"/>
      <c r="EY243" s="387"/>
      <c r="EZ243" s="387"/>
      <c r="FA243" s="387"/>
      <c r="FB243" s="387"/>
      <c r="FC243" s="988"/>
      <c r="FD243" s="387"/>
      <c r="FE243" s="387"/>
      <c r="FF243" s="387"/>
      <c r="FG243" s="387"/>
      <c r="FH243" s="387"/>
      <c r="FI243" s="387"/>
      <c r="FJ243" s="387"/>
      <c r="FK243" s="387"/>
      <c r="FL243" s="387"/>
      <c r="FM243" s="387"/>
      <c r="FN243" s="387"/>
      <c r="FO243" s="988"/>
      <c r="FP243" s="387"/>
      <c r="FQ243" s="387"/>
      <c r="FR243" s="387"/>
      <c r="FS243" s="387"/>
      <c r="FT243" s="387"/>
      <c r="FU243" s="387"/>
      <c r="FV243" s="387"/>
      <c r="FW243" s="387"/>
      <c r="FX243" s="387"/>
      <c r="FY243" s="387"/>
      <c r="FZ243" s="387"/>
      <c r="GA243" s="988"/>
      <c r="GB243" s="109"/>
      <c r="GC243" s="2214">
        <f t="shared" ref="GC243:GN252" si="166">SUMPRODUCT(--($D$6:$GA$6=GC$6),$D243:$GA243,$D$278:$GA$278)</f>
        <v>82.2</v>
      </c>
      <c r="GD243" s="387">
        <f t="shared" si="166"/>
        <v>18.47</v>
      </c>
      <c r="GE243" s="387">
        <f t="shared" si="166"/>
        <v>65.52</v>
      </c>
      <c r="GF243" s="387">
        <f t="shared" si="166"/>
        <v>60.44</v>
      </c>
      <c r="GG243" s="387">
        <f t="shared" si="166"/>
        <v>18.170000000000002</v>
      </c>
      <c r="GH243" s="387">
        <f t="shared" si="166"/>
        <v>32.450000000000003</v>
      </c>
      <c r="GI243" s="387">
        <f t="shared" si="166"/>
        <v>48.14</v>
      </c>
      <c r="GJ243" s="387">
        <f t="shared" si="166"/>
        <v>43.81</v>
      </c>
      <c r="GK243" s="387">
        <f t="shared" si="166"/>
        <v>45.97</v>
      </c>
      <c r="GL243" s="387">
        <f t="shared" si="166"/>
        <v>238.45000000000002</v>
      </c>
      <c r="GM243" s="387">
        <f t="shared" si="166"/>
        <v>97.81</v>
      </c>
      <c r="GN243" s="988">
        <f t="shared" si="166"/>
        <v>0</v>
      </c>
      <c r="GO243" s="1036">
        <f t="shared" ref="GO243:GZ252" si="167">SUMPRODUCT(--($DT$6:$GA$6=GO$6),$DT243:$GA243,$DT$278:$GA$278)</f>
        <v>0</v>
      </c>
      <c r="GP243" s="387">
        <f t="shared" si="167"/>
        <v>0</v>
      </c>
      <c r="GQ243" s="387">
        <f t="shared" si="167"/>
        <v>0</v>
      </c>
      <c r="GR243" s="387">
        <f t="shared" si="167"/>
        <v>0</v>
      </c>
      <c r="GS243" s="387">
        <f t="shared" si="167"/>
        <v>0</v>
      </c>
      <c r="GT243" s="387">
        <f t="shared" si="167"/>
        <v>0</v>
      </c>
      <c r="GU243" s="387">
        <f t="shared" si="167"/>
        <v>0</v>
      </c>
      <c r="GV243" s="387">
        <f t="shared" si="167"/>
        <v>0</v>
      </c>
      <c r="GW243" s="387">
        <f t="shared" si="167"/>
        <v>0</v>
      </c>
      <c r="GX243" s="387">
        <f t="shared" si="167"/>
        <v>0</v>
      </c>
      <c r="GY243" s="387">
        <f t="shared" si="167"/>
        <v>0</v>
      </c>
      <c r="GZ243" s="988">
        <f t="shared" si="167"/>
        <v>0</v>
      </c>
      <c r="HB243" s="387"/>
      <c r="HC243" s="387"/>
      <c r="HD243" s="387"/>
      <c r="HE243" s="387"/>
      <c r="HF243" s="387"/>
      <c r="HG243" s="387"/>
      <c r="HH243" s="387"/>
      <c r="HI243" s="387"/>
      <c r="HJ243" s="387"/>
      <c r="HK243" s="387"/>
      <c r="HL243" s="387"/>
      <c r="HM243" s="988"/>
    </row>
    <row r="244" spans="1:221">
      <c r="A244" s="326" t="s">
        <v>900</v>
      </c>
      <c r="B244" s="326" t="s">
        <v>901</v>
      </c>
      <c r="C244" s="326" t="s">
        <v>2221</v>
      </c>
      <c r="D244" s="1036" t="s">
        <v>2154</v>
      </c>
      <c r="E244" s="387" t="s">
        <v>2154</v>
      </c>
      <c r="F244" s="387" t="s">
        <v>2154</v>
      </c>
      <c r="G244" s="387">
        <v>666.09</v>
      </c>
      <c r="H244" s="387" t="s">
        <v>2154</v>
      </c>
      <c r="I244" s="387">
        <v>526.98</v>
      </c>
      <c r="J244" s="387" t="s">
        <v>2154</v>
      </c>
      <c r="K244" s="387" t="s">
        <v>2154</v>
      </c>
      <c r="L244" s="387">
        <v>170.13</v>
      </c>
      <c r="M244" s="387" t="s">
        <v>2154</v>
      </c>
      <c r="N244" s="387">
        <v>12.84</v>
      </c>
      <c r="O244" s="988">
        <v>182.97</v>
      </c>
      <c r="P244" s="387" t="s">
        <v>2154</v>
      </c>
      <c r="Q244" s="387" t="s">
        <v>2154</v>
      </c>
      <c r="R244" s="387" t="s">
        <v>2154</v>
      </c>
      <c r="S244" s="387" t="s">
        <v>2154</v>
      </c>
      <c r="T244" s="387" t="s">
        <v>2154</v>
      </c>
      <c r="U244" s="387" t="s">
        <v>2154</v>
      </c>
      <c r="V244" s="387" t="s">
        <v>2154</v>
      </c>
      <c r="W244" s="387" t="s">
        <v>2154</v>
      </c>
      <c r="X244" s="387" t="s">
        <v>2154</v>
      </c>
      <c r="Y244" s="387" t="s">
        <v>2154</v>
      </c>
      <c r="Z244" s="387" t="s">
        <v>2154</v>
      </c>
      <c r="AA244" s="988" t="s">
        <v>2154</v>
      </c>
      <c r="AB244" s="387"/>
      <c r="AC244" s="387"/>
      <c r="AD244" s="387"/>
      <c r="AE244" s="387"/>
      <c r="AF244" s="387"/>
      <c r="AG244" s="387"/>
      <c r="AH244" s="387"/>
      <c r="AI244" s="387"/>
      <c r="AJ244" s="387"/>
      <c r="AK244" s="387"/>
      <c r="AL244" s="387"/>
      <c r="AM244" s="988"/>
      <c r="AN244" s="387"/>
      <c r="AO244" s="387"/>
      <c r="AP244" s="387"/>
      <c r="AQ244" s="387"/>
      <c r="AR244" s="387"/>
      <c r="AS244" s="387"/>
      <c r="AT244" s="387"/>
      <c r="AU244" s="387"/>
      <c r="AV244" s="387"/>
      <c r="AW244" s="387"/>
      <c r="AX244" s="387"/>
      <c r="AY244" s="988"/>
      <c r="AZ244" s="387"/>
      <c r="BA244" s="387"/>
      <c r="BB244" s="387"/>
      <c r="BC244" s="387"/>
      <c r="BD244" s="387"/>
      <c r="BE244" s="387"/>
      <c r="BF244" s="387"/>
      <c r="BG244" s="387"/>
      <c r="BH244" s="387"/>
      <c r="BI244" s="387"/>
      <c r="BJ244" s="387"/>
      <c r="BK244" s="988"/>
      <c r="BL244" s="387"/>
      <c r="BM244" s="387"/>
      <c r="BN244" s="387"/>
      <c r="BO244" s="387"/>
      <c r="BP244" s="387"/>
      <c r="BQ244" s="387"/>
      <c r="BR244" s="387"/>
      <c r="BS244" s="387"/>
      <c r="BT244" s="387"/>
      <c r="BU244" s="387"/>
      <c r="BV244" s="387"/>
      <c r="BW244" s="988"/>
      <c r="BX244" s="387"/>
      <c r="BY244" s="387"/>
      <c r="BZ244" s="387"/>
      <c r="CA244" s="387"/>
      <c r="CB244" s="387"/>
      <c r="CC244" s="387"/>
      <c r="CD244" s="387"/>
      <c r="CE244" s="387"/>
      <c r="CF244" s="387"/>
      <c r="CG244" s="387"/>
      <c r="CH244" s="387"/>
      <c r="CI244" s="988"/>
      <c r="CJ244" s="387"/>
      <c r="CK244" s="387"/>
      <c r="CL244" s="387"/>
      <c r="CM244" s="387"/>
      <c r="CN244" s="387"/>
      <c r="CO244" s="387"/>
      <c r="CP244" s="387"/>
      <c r="CQ244" s="387"/>
      <c r="CR244" s="387"/>
      <c r="CS244" s="387"/>
      <c r="CT244" s="387"/>
      <c r="CU244" s="988"/>
      <c r="CV244" s="387"/>
      <c r="CW244" s="387"/>
      <c r="CX244" s="387"/>
      <c r="CY244" s="387"/>
      <c r="CZ244" s="387"/>
      <c r="DA244" s="387"/>
      <c r="DB244" s="387"/>
      <c r="DC244" s="387"/>
      <c r="DD244" s="387"/>
      <c r="DE244" s="387"/>
      <c r="DF244" s="387"/>
      <c r="DG244" s="988"/>
      <c r="DH244" s="387"/>
      <c r="DI244" s="387"/>
      <c r="DJ244" s="387"/>
      <c r="DK244" s="387"/>
      <c r="DL244" s="387"/>
      <c r="DM244" s="387"/>
      <c r="DN244" s="387"/>
      <c r="DO244" s="387"/>
      <c r="DP244" s="387"/>
      <c r="DQ244" s="387"/>
      <c r="DR244" s="387"/>
      <c r="DS244" s="988"/>
      <c r="DT244" s="387" t="s">
        <v>2154</v>
      </c>
      <c r="DU244" s="387" t="s">
        <v>2154</v>
      </c>
      <c r="DV244" s="387" t="s">
        <v>2154</v>
      </c>
      <c r="DW244" s="387" t="s">
        <v>2154</v>
      </c>
      <c r="DX244" s="387" t="s">
        <v>2154</v>
      </c>
      <c r="DY244" s="387" t="s">
        <v>2154</v>
      </c>
      <c r="DZ244" s="387" t="s">
        <v>2154</v>
      </c>
      <c r="EA244" s="387" t="s">
        <v>2154</v>
      </c>
      <c r="EB244" s="387" t="s">
        <v>2154</v>
      </c>
      <c r="EC244" s="387" t="s">
        <v>2154</v>
      </c>
      <c r="ED244" s="387" t="s">
        <v>2154</v>
      </c>
      <c r="EE244" s="988" t="s">
        <v>2154</v>
      </c>
      <c r="EF244" s="387"/>
      <c r="EG244" s="387"/>
      <c r="EH244" s="387"/>
      <c r="EI244" s="387"/>
      <c r="EJ244" s="387"/>
      <c r="EK244" s="387"/>
      <c r="EL244" s="387"/>
      <c r="EM244" s="387"/>
      <c r="EN244" s="387"/>
      <c r="EO244" s="387"/>
      <c r="EP244" s="387"/>
      <c r="EQ244" s="988"/>
      <c r="ER244" s="387"/>
      <c r="ES244" s="387"/>
      <c r="ET244" s="387"/>
      <c r="EU244" s="387"/>
      <c r="EV244" s="387"/>
      <c r="EW244" s="387"/>
      <c r="EX244" s="387"/>
      <c r="EY244" s="387"/>
      <c r="EZ244" s="387"/>
      <c r="FA244" s="387"/>
      <c r="FB244" s="387"/>
      <c r="FC244" s="988"/>
      <c r="FD244" s="387"/>
      <c r="FE244" s="387"/>
      <c r="FF244" s="387"/>
      <c r="FG244" s="387"/>
      <c r="FH244" s="387"/>
      <c r="FI244" s="387"/>
      <c r="FJ244" s="387"/>
      <c r="FK244" s="387"/>
      <c r="FL244" s="387"/>
      <c r="FM244" s="387"/>
      <c r="FN244" s="387"/>
      <c r="FO244" s="988"/>
      <c r="FP244" s="387"/>
      <c r="FQ244" s="387"/>
      <c r="FR244" s="387"/>
      <c r="FS244" s="387"/>
      <c r="FT244" s="387"/>
      <c r="FU244" s="387"/>
      <c r="FV244" s="387"/>
      <c r="FW244" s="387"/>
      <c r="FX244" s="387"/>
      <c r="FY244" s="387"/>
      <c r="FZ244" s="387"/>
      <c r="GA244" s="988"/>
      <c r="GB244" s="109"/>
      <c r="GC244" s="2214">
        <f t="shared" si="166"/>
        <v>0</v>
      </c>
      <c r="GD244" s="387">
        <f t="shared" si="166"/>
        <v>0</v>
      </c>
      <c r="GE244" s="387">
        <f t="shared" si="166"/>
        <v>0</v>
      </c>
      <c r="GF244" s="387">
        <f t="shared" si="166"/>
        <v>666.09</v>
      </c>
      <c r="GG244" s="387">
        <f t="shared" si="166"/>
        <v>0</v>
      </c>
      <c r="GH244" s="387">
        <f t="shared" si="166"/>
        <v>526.98</v>
      </c>
      <c r="GI244" s="387">
        <f t="shared" si="166"/>
        <v>0</v>
      </c>
      <c r="GJ244" s="387">
        <f t="shared" si="166"/>
        <v>0</v>
      </c>
      <c r="GK244" s="387">
        <f t="shared" si="166"/>
        <v>170.13</v>
      </c>
      <c r="GL244" s="387">
        <f t="shared" si="166"/>
        <v>0</v>
      </c>
      <c r="GM244" s="387">
        <f t="shared" si="166"/>
        <v>12.84</v>
      </c>
      <c r="GN244" s="988">
        <f t="shared" si="166"/>
        <v>182.97</v>
      </c>
      <c r="GO244" s="1036">
        <f t="shared" si="167"/>
        <v>0</v>
      </c>
      <c r="GP244" s="387">
        <f t="shared" si="167"/>
        <v>0</v>
      </c>
      <c r="GQ244" s="387">
        <f t="shared" si="167"/>
        <v>0</v>
      </c>
      <c r="GR244" s="387">
        <f t="shared" si="167"/>
        <v>0</v>
      </c>
      <c r="GS244" s="387">
        <f t="shared" si="167"/>
        <v>0</v>
      </c>
      <c r="GT244" s="387">
        <f t="shared" si="167"/>
        <v>0</v>
      </c>
      <c r="GU244" s="387">
        <f t="shared" si="167"/>
        <v>0</v>
      </c>
      <c r="GV244" s="387">
        <f t="shared" si="167"/>
        <v>0</v>
      </c>
      <c r="GW244" s="387">
        <f t="shared" si="167"/>
        <v>0</v>
      </c>
      <c r="GX244" s="387">
        <f t="shared" si="167"/>
        <v>0</v>
      </c>
      <c r="GY244" s="387">
        <f t="shared" si="167"/>
        <v>0</v>
      </c>
      <c r="GZ244" s="988">
        <f t="shared" si="167"/>
        <v>0</v>
      </c>
      <c r="HB244" s="387"/>
      <c r="HC244" s="387"/>
      <c r="HD244" s="387"/>
      <c r="HE244" s="387"/>
      <c r="HF244" s="387"/>
      <c r="HG244" s="387"/>
      <c r="HH244" s="387"/>
      <c r="HI244" s="387"/>
      <c r="HJ244" s="387"/>
      <c r="HK244" s="387"/>
      <c r="HL244" s="387"/>
      <c r="HM244" s="988"/>
    </row>
    <row r="245" spans="1:221">
      <c r="A245" s="326" t="s">
        <v>900</v>
      </c>
      <c r="B245" s="326" t="s">
        <v>901</v>
      </c>
      <c r="C245" s="326" t="s">
        <v>2871</v>
      </c>
      <c r="D245" s="1036">
        <v>82.74</v>
      </c>
      <c r="E245" s="387">
        <v>124.11</v>
      </c>
      <c r="F245" s="387">
        <v>84.88</v>
      </c>
      <c r="G245" s="387">
        <v>87.02</v>
      </c>
      <c r="H245" s="387">
        <v>87.02</v>
      </c>
      <c r="I245" s="387">
        <v>87.02</v>
      </c>
      <c r="J245" s="387">
        <v>87.02</v>
      </c>
      <c r="K245" s="387">
        <v>87.02</v>
      </c>
      <c r="L245" s="387">
        <v>130.53</v>
      </c>
      <c r="M245" s="387">
        <v>87.02</v>
      </c>
      <c r="N245" s="387">
        <v>87.02</v>
      </c>
      <c r="O245" s="988">
        <v>87.02</v>
      </c>
      <c r="P245" s="387" t="s">
        <v>2154</v>
      </c>
      <c r="Q245" s="387" t="s">
        <v>2154</v>
      </c>
      <c r="R245" s="387" t="s">
        <v>2154</v>
      </c>
      <c r="S245" s="387" t="s">
        <v>2154</v>
      </c>
      <c r="T245" s="387" t="s">
        <v>2154</v>
      </c>
      <c r="U245" s="387" t="s">
        <v>2154</v>
      </c>
      <c r="V245" s="387" t="s">
        <v>2154</v>
      </c>
      <c r="W245" s="387" t="s">
        <v>2154</v>
      </c>
      <c r="X245" s="387" t="s">
        <v>2154</v>
      </c>
      <c r="Y245" s="387" t="s">
        <v>2154</v>
      </c>
      <c r="Z245" s="387" t="s">
        <v>2154</v>
      </c>
      <c r="AA245" s="988" t="s">
        <v>2154</v>
      </c>
      <c r="AB245" s="387"/>
      <c r="AC245" s="387"/>
      <c r="AD245" s="387"/>
      <c r="AE245" s="387"/>
      <c r="AF245" s="387"/>
      <c r="AG245" s="387"/>
      <c r="AH245" s="387"/>
      <c r="AI245" s="387"/>
      <c r="AJ245" s="387"/>
      <c r="AK245" s="387"/>
      <c r="AL245" s="387"/>
      <c r="AM245" s="988"/>
      <c r="AN245" s="387"/>
      <c r="AO245" s="387"/>
      <c r="AP245" s="387"/>
      <c r="AQ245" s="387"/>
      <c r="AR245" s="387"/>
      <c r="AS245" s="387"/>
      <c r="AT245" s="387"/>
      <c r="AU245" s="387"/>
      <c r="AV245" s="387"/>
      <c r="AW245" s="387"/>
      <c r="AX245" s="387"/>
      <c r="AY245" s="988"/>
      <c r="AZ245" s="387"/>
      <c r="BA245" s="387"/>
      <c r="BB245" s="387"/>
      <c r="BC245" s="387"/>
      <c r="BD245" s="387"/>
      <c r="BE245" s="387"/>
      <c r="BF245" s="387"/>
      <c r="BG245" s="387"/>
      <c r="BH245" s="387"/>
      <c r="BI245" s="387"/>
      <c r="BJ245" s="387"/>
      <c r="BK245" s="988"/>
      <c r="BL245" s="387"/>
      <c r="BM245" s="387"/>
      <c r="BN245" s="387"/>
      <c r="BO245" s="387"/>
      <c r="BP245" s="387"/>
      <c r="BQ245" s="387"/>
      <c r="BR245" s="387"/>
      <c r="BS245" s="387"/>
      <c r="BT245" s="387"/>
      <c r="BU245" s="387"/>
      <c r="BV245" s="387"/>
      <c r="BW245" s="988"/>
      <c r="BX245" s="387"/>
      <c r="BY245" s="387"/>
      <c r="BZ245" s="387"/>
      <c r="CA245" s="387"/>
      <c r="CB245" s="387"/>
      <c r="CC245" s="387"/>
      <c r="CD245" s="387"/>
      <c r="CE245" s="387"/>
      <c r="CF245" s="387"/>
      <c r="CG245" s="387"/>
      <c r="CH245" s="387"/>
      <c r="CI245" s="988"/>
      <c r="CJ245" s="387"/>
      <c r="CK245" s="387"/>
      <c r="CL245" s="387"/>
      <c r="CM245" s="387"/>
      <c r="CN245" s="387"/>
      <c r="CO245" s="387"/>
      <c r="CP245" s="387"/>
      <c r="CQ245" s="387"/>
      <c r="CR245" s="387"/>
      <c r="CS245" s="387"/>
      <c r="CT245" s="387"/>
      <c r="CU245" s="988"/>
      <c r="CV245" s="387"/>
      <c r="CW245" s="387"/>
      <c r="CX245" s="387"/>
      <c r="CY245" s="387"/>
      <c r="CZ245" s="387"/>
      <c r="DA245" s="387"/>
      <c r="DB245" s="387"/>
      <c r="DC245" s="387"/>
      <c r="DD245" s="387"/>
      <c r="DE245" s="387"/>
      <c r="DF245" s="387"/>
      <c r="DG245" s="988"/>
      <c r="DH245" s="387"/>
      <c r="DI245" s="387"/>
      <c r="DJ245" s="387"/>
      <c r="DK245" s="387"/>
      <c r="DL245" s="387"/>
      <c r="DM245" s="387"/>
      <c r="DN245" s="387"/>
      <c r="DO245" s="387"/>
      <c r="DP245" s="387"/>
      <c r="DQ245" s="387"/>
      <c r="DR245" s="387"/>
      <c r="DS245" s="988"/>
      <c r="DT245" s="387" t="s">
        <v>2154</v>
      </c>
      <c r="DU245" s="387" t="s">
        <v>2154</v>
      </c>
      <c r="DV245" s="387" t="s">
        <v>2154</v>
      </c>
      <c r="DW245" s="387" t="s">
        <v>2154</v>
      </c>
      <c r="DX245" s="387" t="s">
        <v>2154</v>
      </c>
      <c r="DY245" s="387" t="s">
        <v>2154</v>
      </c>
      <c r="DZ245" s="387" t="s">
        <v>2154</v>
      </c>
      <c r="EA245" s="387" t="s">
        <v>2154</v>
      </c>
      <c r="EB245" s="387" t="s">
        <v>2154</v>
      </c>
      <c r="EC245" s="387" t="s">
        <v>2154</v>
      </c>
      <c r="ED245" s="387" t="s">
        <v>2154</v>
      </c>
      <c r="EE245" s="988" t="s">
        <v>2154</v>
      </c>
      <c r="EF245" s="387"/>
      <c r="EG245" s="387"/>
      <c r="EH245" s="387"/>
      <c r="EI245" s="387"/>
      <c r="EJ245" s="387"/>
      <c r="EK245" s="387"/>
      <c r="EL245" s="387"/>
      <c r="EM245" s="387"/>
      <c r="EN245" s="387"/>
      <c r="EO245" s="387"/>
      <c r="EP245" s="387"/>
      <c r="EQ245" s="988"/>
      <c r="ER245" s="387"/>
      <c r="ES245" s="387"/>
      <c r="ET245" s="387"/>
      <c r="EU245" s="387"/>
      <c r="EV245" s="387"/>
      <c r="EW245" s="387"/>
      <c r="EX245" s="387"/>
      <c r="EY245" s="387"/>
      <c r="EZ245" s="387"/>
      <c r="FA245" s="387"/>
      <c r="FB245" s="387"/>
      <c r="FC245" s="988"/>
      <c r="FD245" s="387"/>
      <c r="FE245" s="387"/>
      <c r="FF245" s="387"/>
      <c r="FG245" s="387"/>
      <c r="FH245" s="387"/>
      <c r="FI245" s="387"/>
      <c r="FJ245" s="387"/>
      <c r="FK245" s="387"/>
      <c r="FL245" s="387"/>
      <c r="FM245" s="387"/>
      <c r="FN245" s="387"/>
      <c r="FO245" s="988"/>
      <c r="FP245" s="387"/>
      <c r="FQ245" s="387"/>
      <c r="FR245" s="387"/>
      <c r="FS245" s="387"/>
      <c r="FT245" s="387"/>
      <c r="FU245" s="387"/>
      <c r="FV245" s="387"/>
      <c r="FW245" s="387"/>
      <c r="FX245" s="387"/>
      <c r="FY245" s="387"/>
      <c r="FZ245" s="387"/>
      <c r="GA245" s="988"/>
      <c r="GB245" s="109"/>
      <c r="GC245" s="2214">
        <f t="shared" si="166"/>
        <v>82.74</v>
      </c>
      <c r="GD245" s="387">
        <f t="shared" si="166"/>
        <v>124.11</v>
      </c>
      <c r="GE245" s="387">
        <f t="shared" si="166"/>
        <v>84.88</v>
      </c>
      <c r="GF245" s="387">
        <f t="shared" si="166"/>
        <v>87.02</v>
      </c>
      <c r="GG245" s="387">
        <f t="shared" si="166"/>
        <v>87.02</v>
      </c>
      <c r="GH245" s="387">
        <f t="shared" si="166"/>
        <v>87.02</v>
      </c>
      <c r="GI245" s="387">
        <f t="shared" si="166"/>
        <v>87.02</v>
      </c>
      <c r="GJ245" s="387">
        <f t="shared" si="166"/>
        <v>87.02</v>
      </c>
      <c r="GK245" s="387">
        <f t="shared" si="166"/>
        <v>130.53</v>
      </c>
      <c r="GL245" s="387">
        <f t="shared" si="166"/>
        <v>87.02</v>
      </c>
      <c r="GM245" s="387">
        <f t="shared" si="166"/>
        <v>87.02</v>
      </c>
      <c r="GN245" s="988">
        <f t="shared" si="166"/>
        <v>87.02</v>
      </c>
      <c r="GO245" s="1036">
        <f t="shared" si="167"/>
        <v>0</v>
      </c>
      <c r="GP245" s="387">
        <f t="shared" si="167"/>
        <v>0</v>
      </c>
      <c r="GQ245" s="387">
        <f t="shared" si="167"/>
        <v>0</v>
      </c>
      <c r="GR245" s="387">
        <f t="shared" si="167"/>
        <v>0</v>
      </c>
      <c r="GS245" s="387">
        <f t="shared" si="167"/>
        <v>0</v>
      </c>
      <c r="GT245" s="387">
        <f t="shared" si="167"/>
        <v>0</v>
      </c>
      <c r="GU245" s="387">
        <f t="shared" si="167"/>
        <v>0</v>
      </c>
      <c r="GV245" s="387">
        <f t="shared" si="167"/>
        <v>0</v>
      </c>
      <c r="GW245" s="387">
        <f t="shared" si="167"/>
        <v>0</v>
      </c>
      <c r="GX245" s="387">
        <f t="shared" si="167"/>
        <v>0</v>
      </c>
      <c r="GY245" s="387">
        <f t="shared" si="167"/>
        <v>0</v>
      </c>
      <c r="GZ245" s="988">
        <f t="shared" si="167"/>
        <v>0</v>
      </c>
      <c r="HB245" s="387"/>
      <c r="HC245" s="387"/>
      <c r="HD245" s="387"/>
      <c r="HE245" s="387"/>
      <c r="HF245" s="387"/>
      <c r="HG245" s="387"/>
      <c r="HH245" s="387"/>
      <c r="HI245" s="387"/>
      <c r="HJ245" s="387"/>
      <c r="HK245" s="387"/>
      <c r="HL245" s="387"/>
      <c r="HM245" s="988"/>
    </row>
    <row r="246" spans="1:221">
      <c r="A246" s="326" t="s">
        <v>900</v>
      </c>
      <c r="B246" s="326" t="s">
        <v>901</v>
      </c>
      <c r="C246" s="326" t="s">
        <v>2872</v>
      </c>
      <c r="D246" s="1036" t="s">
        <v>2154</v>
      </c>
      <c r="E246" s="387" t="s">
        <v>2154</v>
      </c>
      <c r="F246" s="387" t="s">
        <v>2154</v>
      </c>
      <c r="G246" s="387" t="s">
        <v>2154</v>
      </c>
      <c r="H246" s="387" t="s">
        <v>2154</v>
      </c>
      <c r="I246" s="387" t="s">
        <v>2154</v>
      </c>
      <c r="J246" s="387" t="s">
        <v>2154</v>
      </c>
      <c r="K246" s="387" t="s">
        <v>2154</v>
      </c>
      <c r="L246" s="387" t="s">
        <v>2154</v>
      </c>
      <c r="M246" s="387" t="s">
        <v>2154</v>
      </c>
      <c r="N246" s="387" t="s">
        <v>2154</v>
      </c>
      <c r="O246" s="988" t="s">
        <v>2154</v>
      </c>
      <c r="P246" s="387" t="s">
        <v>2154</v>
      </c>
      <c r="Q246" s="387" t="s">
        <v>2154</v>
      </c>
      <c r="R246" s="387" t="s">
        <v>2154</v>
      </c>
      <c r="S246" s="387" t="s">
        <v>2154</v>
      </c>
      <c r="T246" s="387" t="s">
        <v>2154</v>
      </c>
      <c r="U246" s="387" t="s">
        <v>2154</v>
      </c>
      <c r="V246" s="387" t="s">
        <v>2154</v>
      </c>
      <c r="W246" s="387" t="s">
        <v>2154</v>
      </c>
      <c r="X246" s="387" t="s">
        <v>2154</v>
      </c>
      <c r="Y246" s="387" t="s">
        <v>2154</v>
      </c>
      <c r="Z246" s="387" t="s">
        <v>2154</v>
      </c>
      <c r="AA246" s="988" t="s">
        <v>2154</v>
      </c>
      <c r="AB246" s="387"/>
      <c r="AC246" s="387"/>
      <c r="AD246" s="387"/>
      <c r="AE246" s="387"/>
      <c r="AF246" s="387"/>
      <c r="AG246" s="387"/>
      <c r="AH246" s="387"/>
      <c r="AI246" s="387"/>
      <c r="AJ246" s="387"/>
      <c r="AK246" s="387"/>
      <c r="AL246" s="387"/>
      <c r="AM246" s="988"/>
      <c r="AN246" s="387"/>
      <c r="AO246" s="387"/>
      <c r="AP246" s="387"/>
      <c r="AQ246" s="387"/>
      <c r="AR246" s="387"/>
      <c r="AS246" s="387"/>
      <c r="AT246" s="387"/>
      <c r="AU246" s="387"/>
      <c r="AV246" s="387"/>
      <c r="AW246" s="387"/>
      <c r="AX246" s="387"/>
      <c r="AY246" s="988"/>
      <c r="AZ246" s="387"/>
      <c r="BA246" s="387"/>
      <c r="BB246" s="387"/>
      <c r="BC246" s="387"/>
      <c r="BD246" s="387"/>
      <c r="BE246" s="387"/>
      <c r="BF246" s="387"/>
      <c r="BG246" s="387"/>
      <c r="BH246" s="387"/>
      <c r="BI246" s="387"/>
      <c r="BJ246" s="387"/>
      <c r="BK246" s="988"/>
      <c r="BL246" s="387"/>
      <c r="BM246" s="387"/>
      <c r="BN246" s="387"/>
      <c r="BO246" s="387"/>
      <c r="BP246" s="387"/>
      <c r="BQ246" s="387"/>
      <c r="BR246" s="387"/>
      <c r="BS246" s="387"/>
      <c r="BT246" s="387"/>
      <c r="BU246" s="387"/>
      <c r="BV246" s="387"/>
      <c r="BW246" s="988"/>
      <c r="BX246" s="387"/>
      <c r="BY246" s="387"/>
      <c r="BZ246" s="387"/>
      <c r="CA246" s="387"/>
      <c r="CB246" s="387"/>
      <c r="CC246" s="387"/>
      <c r="CD246" s="387"/>
      <c r="CE246" s="387"/>
      <c r="CF246" s="387"/>
      <c r="CG246" s="387"/>
      <c r="CH246" s="387"/>
      <c r="CI246" s="988"/>
      <c r="CJ246" s="387"/>
      <c r="CK246" s="387"/>
      <c r="CL246" s="387"/>
      <c r="CM246" s="387"/>
      <c r="CN246" s="387"/>
      <c r="CO246" s="387"/>
      <c r="CP246" s="387"/>
      <c r="CQ246" s="387"/>
      <c r="CR246" s="387"/>
      <c r="CS246" s="387"/>
      <c r="CT246" s="387"/>
      <c r="CU246" s="988"/>
      <c r="CV246" s="387"/>
      <c r="CW246" s="387"/>
      <c r="CX246" s="387"/>
      <c r="CY246" s="387"/>
      <c r="CZ246" s="387"/>
      <c r="DA246" s="387"/>
      <c r="DB246" s="387"/>
      <c r="DC246" s="387"/>
      <c r="DD246" s="387"/>
      <c r="DE246" s="387"/>
      <c r="DF246" s="387"/>
      <c r="DG246" s="988"/>
      <c r="DH246" s="387"/>
      <c r="DI246" s="387"/>
      <c r="DJ246" s="387"/>
      <c r="DK246" s="387"/>
      <c r="DL246" s="387"/>
      <c r="DM246" s="387"/>
      <c r="DN246" s="387"/>
      <c r="DO246" s="387"/>
      <c r="DP246" s="387"/>
      <c r="DQ246" s="387"/>
      <c r="DR246" s="387"/>
      <c r="DS246" s="988"/>
      <c r="DT246" s="387" t="s">
        <v>2154</v>
      </c>
      <c r="DU246" s="387" t="s">
        <v>2154</v>
      </c>
      <c r="DV246" s="387" t="s">
        <v>2154</v>
      </c>
      <c r="DW246" s="387" t="s">
        <v>2154</v>
      </c>
      <c r="DX246" s="387" t="s">
        <v>2154</v>
      </c>
      <c r="DY246" s="387" t="s">
        <v>2154</v>
      </c>
      <c r="DZ246" s="387" t="s">
        <v>2154</v>
      </c>
      <c r="EA246" s="387" t="s">
        <v>2154</v>
      </c>
      <c r="EB246" s="387" t="s">
        <v>2154</v>
      </c>
      <c r="EC246" s="387" t="s">
        <v>2154</v>
      </c>
      <c r="ED246" s="387" t="s">
        <v>2154</v>
      </c>
      <c r="EE246" s="988" t="s">
        <v>2154</v>
      </c>
      <c r="EF246" s="387"/>
      <c r="EG246" s="387"/>
      <c r="EH246" s="387"/>
      <c r="EI246" s="387"/>
      <c r="EJ246" s="387"/>
      <c r="EK246" s="387"/>
      <c r="EL246" s="387"/>
      <c r="EM246" s="387"/>
      <c r="EN246" s="387"/>
      <c r="EO246" s="387"/>
      <c r="EP246" s="387"/>
      <c r="EQ246" s="988"/>
      <c r="ER246" s="387"/>
      <c r="ES246" s="387"/>
      <c r="ET246" s="387"/>
      <c r="EU246" s="387"/>
      <c r="EV246" s="387"/>
      <c r="EW246" s="387"/>
      <c r="EX246" s="387"/>
      <c r="EY246" s="387"/>
      <c r="EZ246" s="387"/>
      <c r="FA246" s="387"/>
      <c r="FB246" s="387"/>
      <c r="FC246" s="988"/>
      <c r="FD246" s="387"/>
      <c r="FE246" s="387"/>
      <c r="FF246" s="387"/>
      <c r="FG246" s="387"/>
      <c r="FH246" s="387"/>
      <c r="FI246" s="387"/>
      <c r="FJ246" s="387"/>
      <c r="FK246" s="387"/>
      <c r="FL246" s="387"/>
      <c r="FM246" s="387"/>
      <c r="FN246" s="387"/>
      <c r="FO246" s="988"/>
      <c r="FP246" s="387"/>
      <c r="FQ246" s="387"/>
      <c r="FR246" s="387"/>
      <c r="FS246" s="387"/>
      <c r="FT246" s="387"/>
      <c r="FU246" s="387"/>
      <c r="FV246" s="387"/>
      <c r="FW246" s="387"/>
      <c r="FX246" s="387"/>
      <c r="FY246" s="387"/>
      <c r="FZ246" s="387"/>
      <c r="GA246" s="988"/>
      <c r="GB246" s="109"/>
      <c r="GC246" s="2214">
        <f t="shared" si="166"/>
        <v>0</v>
      </c>
      <c r="GD246" s="387">
        <f t="shared" si="166"/>
        <v>0</v>
      </c>
      <c r="GE246" s="387">
        <f t="shared" si="166"/>
        <v>0</v>
      </c>
      <c r="GF246" s="387">
        <f t="shared" si="166"/>
        <v>0</v>
      </c>
      <c r="GG246" s="387">
        <f t="shared" si="166"/>
        <v>0</v>
      </c>
      <c r="GH246" s="387">
        <f t="shared" si="166"/>
        <v>0</v>
      </c>
      <c r="GI246" s="387">
        <f t="shared" si="166"/>
        <v>0</v>
      </c>
      <c r="GJ246" s="387">
        <f t="shared" si="166"/>
        <v>0</v>
      </c>
      <c r="GK246" s="387">
        <f t="shared" si="166"/>
        <v>0</v>
      </c>
      <c r="GL246" s="387">
        <f t="shared" si="166"/>
        <v>0</v>
      </c>
      <c r="GM246" s="387">
        <f t="shared" si="166"/>
        <v>0</v>
      </c>
      <c r="GN246" s="988">
        <f t="shared" si="166"/>
        <v>0</v>
      </c>
      <c r="GO246" s="1036">
        <f t="shared" si="167"/>
        <v>0</v>
      </c>
      <c r="GP246" s="387">
        <f t="shared" si="167"/>
        <v>0</v>
      </c>
      <c r="GQ246" s="387">
        <f t="shared" si="167"/>
        <v>0</v>
      </c>
      <c r="GR246" s="387">
        <f t="shared" si="167"/>
        <v>0</v>
      </c>
      <c r="GS246" s="387">
        <f t="shared" si="167"/>
        <v>0</v>
      </c>
      <c r="GT246" s="387">
        <f t="shared" si="167"/>
        <v>0</v>
      </c>
      <c r="GU246" s="387">
        <f t="shared" si="167"/>
        <v>0</v>
      </c>
      <c r="GV246" s="387">
        <f t="shared" si="167"/>
        <v>0</v>
      </c>
      <c r="GW246" s="387">
        <f t="shared" si="167"/>
        <v>0</v>
      </c>
      <c r="GX246" s="387">
        <f t="shared" si="167"/>
        <v>0</v>
      </c>
      <c r="GY246" s="387">
        <f t="shared" si="167"/>
        <v>0</v>
      </c>
      <c r="GZ246" s="988">
        <f t="shared" si="167"/>
        <v>0</v>
      </c>
      <c r="HB246" s="387"/>
      <c r="HC246" s="387"/>
      <c r="HD246" s="387"/>
      <c r="HE246" s="387"/>
      <c r="HF246" s="387"/>
      <c r="HG246" s="387"/>
      <c r="HH246" s="387"/>
      <c r="HI246" s="387"/>
      <c r="HJ246" s="387"/>
      <c r="HK246" s="387"/>
      <c r="HL246" s="387"/>
      <c r="HM246" s="988"/>
    </row>
    <row r="247" spans="1:221">
      <c r="A247" s="326" t="s">
        <v>900</v>
      </c>
      <c r="B247" s="326" t="s">
        <v>901</v>
      </c>
      <c r="C247" s="326" t="s">
        <v>2873</v>
      </c>
      <c r="D247" s="1036">
        <v>30.46</v>
      </c>
      <c r="E247" s="387">
        <v>30.46</v>
      </c>
      <c r="F247" s="387">
        <v>30.46</v>
      </c>
      <c r="G247" s="387" t="s">
        <v>2154</v>
      </c>
      <c r="H247" s="387">
        <v>60.92</v>
      </c>
      <c r="I247" s="387">
        <v>30.46</v>
      </c>
      <c r="J247" s="387" t="s">
        <v>2154</v>
      </c>
      <c r="K247" s="387">
        <v>60.92</v>
      </c>
      <c r="L247" s="387" t="s">
        <v>2154</v>
      </c>
      <c r="M247" s="387">
        <v>30.46</v>
      </c>
      <c r="N247" s="387">
        <v>30.46</v>
      </c>
      <c r="O247" s="988">
        <v>30.46</v>
      </c>
      <c r="P247" s="387" t="s">
        <v>2154</v>
      </c>
      <c r="Q247" s="387" t="s">
        <v>2154</v>
      </c>
      <c r="R247" s="387" t="s">
        <v>2154</v>
      </c>
      <c r="S247" s="387" t="s">
        <v>2154</v>
      </c>
      <c r="T247" s="387" t="s">
        <v>2154</v>
      </c>
      <c r="U247" s="387" t="s">
        <v>2154</v>
      </c>
      <c r="V247" s="387" t="s">
        <v>2154</v>
      </c>
      <c r="W247" s="387" t="s">
        <v>2154</v>
      </c>
      <c r="X247" s="387" t="s">
        <v>2154</v>
      </c>
      <c r="Y247" s="387" t="s">
        <v>2154</v>
      </c>
      <c r="Z247" s="387" t="s">
        <v>2154</v>
      </c>
      <c r="AA247" s="988" t="s">
        <v>2154</v>
      </c>
      <c r="AB247" s="387"/>
      <c r="AC247" s="387"/>
      <c r="AD247" s="387"/>
      <c r="AE247" s="387"/>
      <c r="AF247" s="387"/>
      <c r="AG247" s="387"/>
      <c r="AH247" s="387"/>
      <c r="AI247" s="387"/>
      <c r="AJ247" s="387"/>
      <c r="AK247" s="387"/>
      <c r="AL247" s="387"/>
      <c r="AM247" s="988"/>
      <c r="AN247" s="387"/>
      <c r="AO247" s="387"/>
      <c r="AP247" s="387"/>
      <c r="AQ247" s="387"/>
      <c r="AR247" s="387"/>
      <c r="AS247" s="387"/>
      <c r="AT247" s="387"/>
      <c r="AU247" s="387"/>
      <c r="AV247" s="387"/>
      <c r="AW247" s="387"/>
      <c r="AX247" s="387"/>
      <c r="AY247" s="988"/>
      <c r="AZ247" s="387"/>
      <c r="BA247" s="387"/>
      <c r="BB247" s="387"/>
      <c r="BC247" s="387"/>
      <c r="BD247" s="387"/>
      <c r="BE247" s="387"/>
      <c r="BF247" s="387"/>
      <c r="BG247" s="387"/>
      <c r="BH247" s="387"/>
      <c r="BI247" s="387"/>
      <c r="BJ247" s="387"/>
      <c r="BK247" s="988"/>
      <c r="BL247" s="387"/>
      <c r="BM247" s="387"/>
      <c r="BN247" s="387"/>
      <c r="BO247" s="387"/>
      <c r="BP247" s="387"/>
      <c r="BQ247" s="387"/>
      <c r="BR247" s="387"/>
      <c r="BS247" s="387"/>
      <c r="BT247" s="387"/>
      <c r="BU247" s="387"/>
      <c r="BV247" s="387"/>
      <c r="BW247" s="988"/>
      <c r="BX247" s="387"/>
      <c r="BY247" s="387"/>
      <c r="BZ247" s="387"/>
      <c r="CA247" s="387"/>
      <c r="CB247" s="387"/>
      <c r="CC247" s="387"/>
      <c r="CD247" s="387"/>
      <c r="CE247" s="387"/>
      <c r="CF247" s="387"/>
      <c r="CG247" s="387"/>
      <c r="CH247" s="387"/>
      <c r="CI247" s="988"/>
      <c r="CJ247" s="387"/>
      <c r="CK247" s="387"/>
      <c r="CL247" s="387"/>
      <c r="CM247" s="387"/>
      <c r="CN247" s="387"/>
      <c r="CO247" s="387"/>
      <c r="CP247" s="387"/>
      <c r="CQ247" s="387"/>
      <c r="CR247" s="387"/>
      <c r="CS247" s="387"/>
      <c r="CT247" s="387"/>
      <c r="CU247" s="988"/>
      <c r="CV247" s="387"/>
      <c r="CW247" s="387"/>
      <c r="CX247" s="387"/>
      <c r="CY247" s="387"/>
      <c r="CZ247" s="387"/>
      <c r="DA247" s="387"/>
      <c r="DB247" s="387"/>
      <c r="DC247" s="387"/>
      <c r="DD247" s="387"/>
      <c r="DE247" s="387"/>
      <c r="DF247" s="387"/>
      <c r="DG247" s="988"/>
      <c r="DH247" s="387"/>
      <c r="DI247" s="387"/>
      <c r="DJ247" s="387"/>
      <c r="DK247" s="387"/>
      <c r="DL247" s="387"/>
      <c r="DM247" s="387"/>
      <c r="DN247" s="387"/>
      <c r="DO247" s="387"/>
      <c r="DP247" s="387"/>
      <c r="DQ247" s="387"/>
      <c r="DR247" s="387"/>
      <c r="DS247" s="988"/>
      <c r="DT247" s="387" t="s">
        <v>2154</v>
      </c>
      <c r="DU247" s="387" t="s">
        <v>2154</v>
      </c>
      <c r="DV247" s="387" t="s">
        <v>2154</v>
      </c>
      <c r="DW247" s="387" t="s">
        <v>2154</v>
      </c>
      <c r="DX247" s="387" t="s">
        <v>2154</v>
      </c>
      <c r="DY247" s="387" t="s">
        <v>2154</v>
      </c>
      <c r="DZ247" s="387" t="s">
        <v>2154</v>
      </c>
      <c r="EA247" s="387" t="s">
        <v>2154</v>
      </c>
      <c r="EB247" s="387" t="s">
        <v>2154</v>
      </c>
      <c r="EC247" s="387" t="s">
        <v>2154</v>
      </c>
      <c r="ED247" s="387" t="s">
        <v>2154</v>
      </c>
      <c r="EE247" s="988" t="s">
        <v>2154</v>
      </c>
      <c r="EF247" s="387"/>
      <c r="EG247" s="387"/>
      <c r="EH247" s="387"/>
      <c r="EI247" s="387"/>
      <c r="EJ247" s="387"/>
      <c r="EK247" s="387"/>
      <c r="EL247" s="387"/>
      <c r="EM247" s="387"/>
      <c r="EN247" s="387"/>
      <c r="EO247" s="387"/>
      <c r="EP247" s="387"/>
      <c r="EQ247" s="988"/>
      <c r="ER247" s="387"/>
      <c r="ES247" s="387"/>
      <c r="ET247" s="387"/>
      <c r="EU247" s="387"/>
      <c r="EV247" s="387"/>
      <c r="EW247" s="387"/>
      <c r="EX247" s="387"/>
      <c r="EY247" s="387"/>
      <c r="EZ247" s="387"/>
      <c r="FA247" s="387"/>
      <c r="FB247" s="387"/>
      <c r="FC247" s="988"/>
      <c r="FD247" s="387"/>
      <c r="FE247" s="387"/>
      <c r="FF247" s="387"/>
      <c r="FG247" s="387"/>
      <c r="FH247" s="387"/>
      <c r="FI247" s="387"/>
      <c r="FJ247" s="387"/>
      <c r="FK247" s="387"/>
      <c r="FL247" s="387"/>
      <c r="FM247" s="387"/>
      <c r="FN247" s="387"/>
      <c r="FO247" s="988"/>
      <c r="FP247" s="387"/>
      <c r="FQ247" s="387"/>
      <c r="FR247" s="387"/>
      <c r="FS247" s="387"/>
      <c r="FT247" s="387"/>
      <c r="FU247" s="387"/>
      <c r="FV247" s="387"/>
      <c r="FW247" s="387"/>
      <c r="FX247" s="387"/>
      <c r="FY247" s="387"/>
      <c r="FZ247" s="387"/>
      <c r="GA247" s="988"/>
      <c r="GB247" s="109"/>
      <c r="GC247" s="2214">
        <f t="shared" si="166"/>
        <v>30.46</v>
      </c>
      <c r="GD247" s="387">
        <f t="shared" si="166"/>
        <v>30.46</v>
      </c>
      <c r="GE247" s="387">
        <f t="shared" si="166"/>
        <v>30.46</v>
      </c>
      <c r="GF247" s="387">
        <f t="shared" si="166"/>
        <v>0</v>
      </c>
      <c r="GG247" s="387">
        <f t="shared" si="166"/>
        <v>60.92</v>
      </c>
      <c r="GH247" s="387">
        <f t="shared" si="166"/>
        <v>30.46</v>
      </c>
      <c r="GI247" s="387">
        <f t="shared" si="166"/>
        <v>0</v>
      </c>
      <c r="GJ247" s="387">
        <f t="shared" si="166"/>
        <v>60.92</v>
      </c>
      <c r="GK247" s="387">
        <f t="shared" si="166"/>
        <v>0</v>
      </c>
      <c r="GL247" s="387">
        <f t="shared" si="166"/>
        <v>30.46</v>
      </c>
      <c r="GM247" s="387">
        <f t="shared" si="166"/>
        <v>30.46</v>
      </c>
      <c r="GN247" s="988">
        <f t="shared" si="166"/>
        <v>30.46</v>
      </c>
      <c r="GO247" s="1036">
        <f t="shared" si="167"/>
        <v>0</v>
      </c>
      <c r="GP247" s="387">
        <f t="shared" si="167"/>
        <v>0</v>
      </c>
      <c r="GQ247" s="387">
        <f t="shared" si="167"/>
        <v>0</v>
      </c>
      <c r="GR247" s="387">
        <f t="shared" si="167"/>
        <v>0</v>
      </c>
      <c r="GS247" s="387">
        <f t="shared" si="167"/>
        <v>0</v>
      </c>
      <c r="GT247" s="387">
        <f t="shared" si="167"/>
        <v>0</v>
      </c>
      <c r="GU247" s="387">
        <f t="shared" si="167"/>
        <v>0</v>
      </c>
      <c r="GV247" s="387">
        <f t="shared" si="167"/>
        <v>0</v>
      </c>
      <c r="GW247" s="387">
        <f t="shared" si="167"/>
        <v>0</v>
      </c>
      <c r="GX247" s="387">
        <f t="shared" si="167"/>
        <v>0</v>
      </c>
      <c r="GY247" s="387">
        <f t="shared" si="167"/>
        <v>0</v>
      </c>
      <c r="GZ247" s="988">
        <f t="shared" si="167"/>
        <v>0</v>
      </c>
      <c r="HB247" s="387"/>
      <c r="HC247" s="387"/>
      <c r="HD247" s="387"/>
      <c r="HE247" s="387"/>
      <c r="HF247" s="387"/>
      <c r="HG247" s="387"/>
      <c r="HH247" s="387"/>
      <c r="HI247" s="387"/>
      <c r="HJ247" s="387"/>
      <c r="HK247" s="387"/>
      <c r="HL247" s="387"/>
      <c r="HM247" s="988"/>
    </row>
    <row r="248" spans="1:221">
      <c r="A248" s="326" t="s">
        <v>900</v>
      </c>
      <c r="B248" s="326" t="s">
        <v>901</v>
      </c>
      <c r="C248" s="326" t="s">
        <v>2874</v>
      </c>
      <c r="D248" s="1036">
        <v>-2511.91</v>
      </c>
      <c r="E248" s="387">
        <v>2201.1</v>
      </c>
      <c r="F248" s="387">
        <v>2131.8000000000002</v>
      </c>
      <c r="G248" s="387">
        <v>1953.6</v>
      </c>
      <c r="H248" s="387">
        <v>2161.5</v>
      </c>
      <c r="I248" s="387">
        <v>2270.4</v>
      </c>
      <c r="J248" s="387">
        <v>2326.5</v>
      </c>
      <c r="K248" s="387">
        <v>2065.8000000000002</v>
      </c>
      <c r="L248" s="387">
        <v>2154.9</v>
      </c>
      <c r="M248" s="387">
        <v>2079</v>
      </c>
      <c r="N248" s="387">
        <v>1930.5</v>
      </c>
      <c r="O248" s="988">
        <v>2141.6999999999998</v>
      </c>
      <c r="P248" s="387">
        <v>-682.13000000000011</v>
      </c>
      <c r="Q248" s="387">
        <v>726</v>
      </c>
      <c r="R248" s="387">
        <v>640.20000000000005</v>
      </c>
      <c r="S248" s="387">
        <v>574.20000000000005</v>
      </c>
      <c r="T248" s="387">
        <v>679.8</v>
      </c>
      <c r="U248" s="387">
        <v>732.6</v>
      </c>
      <c r="V248" s="387">
        <v>735.9</v>
      </c>
      <c r="W248" s="387">
        <v>732.6</v>
      </c>
      <c r="X248" s="387">
        <v>755.7</v>
      </c>
      <c r="Y248" s="387">
        <v>834.9</v>
      </c>
      <c r="Z248" s="387">
        <v>762.3</v>
      </c>
      <c r="AA248" s="988">
        <v>811.8</v>
      </c>
      <c r="AB248" s="387"/>
      <c r="AC248" s="387"/>
      <c r="AD248" s="387"/>
      <c r="AE248" s="387"/>
      <c r="AF248" s="387"/>
      <c r="AG248" s="387"/>
      <c r="AH248" s="387"/>
      <c r="AI248" s="387"/>
      <c r="AJ248" s="387"/>
      <c r="AK248" s="387"/>
      <c r="AL248" s="387"/>
      <c r="AM248" s="988"/>
      <c r="AN248" s="387"/>
      <c r="AO248" s="387"/>
      <c r="AP248" s="387"/>
      <c r="AQ248" s="387"/>
      <c r="AR248" s="387"/>
      <c r="AS248" s="387"/>
      <c r="AT248" s="387"/>
      <c r="AU248" s="387"/>
      <c r="AV248" s="387"/>
      <c r="AW248" s="387"/>
      <c r="AX248" s="387"/>
      <c r="AY248" s="988"/>
      <c r="AZ248" s="387"/>
      <c r="BA248" s="387"/>
      <c r="BB248" s="387"/>
      <c r="BC248" s="387"/>
      <c r="BD248" s="387"/>
      <c r="BE248" s="387"/>
      <c r="BF248" s="387"/>
      <c r="BG248" s="387"/>
      <c r="BH248" s="387"/>
      <c r="BI248" s="387"/>
      <c r="BJ248" s="387"/>
      <c r="BK248" s="988"/>
      <c r="BL248" s="387"/>
      <c r="BM248" s="387"/>
      <c r="BN248" s="387"/>
      <c r="BO248" s="387"/>
      <c r="BP248" s="387"/>
      <c r="BQ248" s="387"/>
      <c r="BR248" s="387"/>
      <c r="BS248" s="387"/>
      <c r="BT248" s="387"/>
      <c r="BU248" s="387"/>
      <c r="BV248" s="387"/>
      <c r="BW248" s="988"/>
      <c r="BX248" s="387"/>
      <c r="BY248" s="387"/>
      <c r="BZ248" s="387"/>
      <c r="CA248" s="387"/>
      <c r="CB248" s="387"/>
      <c r="CC248" s="387"/>
      <c r="CD248" s="387"/>
      <c r="CE248" s="387"/>
      <c r="CF248" s="387"/>
      <c r="CG248" s="387"/>
      <c r="CH248" s="387"/>
      <c r="CI248" s="988"/>
      <c r="CJ248" s="387"/>
      <c r="CK248" s="387"/>
      <c r="CL248" s="387"/>
      <c r="CM248" s="387"/>
      <c r="CN248" s="387"/>
      <c r="CO248" s="387"/>
      <c r="CP248" s="387"/>
      <c r="CQ248" s="387"/>
      <c r="CR248" s="387"/>
      <c r="CS248" s="387"/>
      <c r="CT248" s="387"/>
      <c r="CU248" s="988"/>
      <c r="CV248" s="387"/>
      <c r="CW248" s="387"/>
      <c r="CX248" s="387"/>
      <c r="CY248" s="387"/>
      <c r="CZ248" s="387"/>
      <c r="DA248" s="387"/>
      <c r="DB248" s="387"/>
      <c r="DC248" s="387"/>
      <c r="DD248" s="387"/>
      <c r="DE248" s="387"/>
      <c r="DF248" s="387"/>
      <c r="DG248" s="988"/>
      <c r="DH248" s="387"/>
      <c r="DI248" s="387"/>
      <c r="DJ248" s="387"/>
      <c r="DK248" s="387"/>
      <c r="DL248" s="387"/>
      <c r="DM248" s="387"/>
      <c r="DN248" s="387"/>
      <c r="DO248" s="387"/>
      <c r="DP248" s="387"/>
      <c r="DQ248" s="387"/>
      <c r="DR248" s="387"/>
      <c r="DS248" s="988"/>
      <c r="DT248" s="387">
        <v>-146.10999999999996</v>
      </c>
      <c r="DU248" s="387">
        <v>419.1</v>
      </c>
      <c r="DV248" s="387">
        <v>399.3</v>
      </c>
      <c r="DW248" s="387">
        <v>356.4</v>
      </c>
      <c r="DX248" s="387">
        <v>323.39999999999998</v>
      </c>
      <c r="DY248" s="387">
        <v>277.2</v>
      </c>
      <c r="DZ248" s="387">
        <v>303.60000000000002</v>
      </c>
      <c r="EA248" s="387">
        <v>240.9</v>
      </c>
      <c r="EB248" s="387">
        <v>306.89999999999998</v>
      </c>
      <c r="EC248" s="387">
        <v>277.2</v>
      </c>
      <c r="ED248" s="387">
        <v>280.5</v>
      </c>
      <c r="EE248" s="988">
        <v>290.39999999999998</v>
      </c>
      <c r="EF248" s="387"/>
      <c r="EG248" s="387"/>
      <c r="EH248" s="387"/>
      <c r="EI248" s="387"/>
      <c r="EJ248" s="387"/>
      <c r="EK248" s="387"/>
      <c r="EL248" s="387"/>
      <c r="EM248" s="387"/>
      <c r="EN248" s="387"/>
      <c r="EO248" s="387"/>
      <c r="EP248" s="387"/>
      <c r="EQ248" s="988"/>
      <c r="ER248" s="387"/>
      <c r="ES248" s="387"/>
      <c r="ET248" s="387"/>
      <c r="EU248" s="387"/>
      <c r="EV248" s="387"/>
      <c r="EW248" s="387"/>
      <c r="EX248" s="387"/>
      <c r="EY248" s="387"/>
      <c r="EZ248" s="387"/>
      <c r="FA248" s="387"/>
      <c r="FB248" s="387"/>
      <c r="FC248" s="988"/>
      <c r="FD248" s="387"/>
      <c r="FE248" s="387"/>
      <c r="FF248" s="387"/>
      <c r="FG248" s="387"/>
      <c r="FH248" s="387"/>
      <c r="FI248" s="387"/>
      <c r="FJ248" s="387"/>
      <c r="FK248" s="387"/>
      <c r="FL248" s="387"/>
      <c r="FM248" s="387"/>
      <c r="FN248" s="387"/>
      <c r="FO248" s="988"/>
      <c r="FP248" s="387"/>
      <c r="FQ248" s="387"/>
      <c r="FR248" s="387"/>
      <c r="FS248" s="387"/>
      <c r="FT248" s="387"/>
      <c r="FU248" s="387"/>
      <c r="FV248" s="387"/>
      <c r="FW248" s="387"/>
      <c r="FX248" s="387"/>
      <c r="FY248" s="387"/>
      <c r="FZ248" s="387"/>
      <c r="GA248" s="988"/>
      <c r="GB248" s="109"/>
      <c r="GC248" s="2214">
        <f t="shared" si="166"/>
        <v>-3340.15</v>
      </c>
      <c r="GD248" s="387">
        <f t="shared" si="166"/>
        <v>3346.2</v>
      </c>
      <c r="GE248" s="387">
        <f t="shared" si="166"/>
        <v>3171.3</v>
      </c>
      <c r="GF248" s="387">
        <f t="shared" si="166"/>
        <v>2884.2000000000003</v>
      </c>
      <c r="GG248" s="387">
        <f t="shared" si="166"/>
        <v>3164.7000000000003</v>
      </c>
      <c r="GH248" s="387">
        <f t="shared" si="166"/>
        <v>3280.2</v>
      </c>
      <c r="GI248" s="387">
        <f t="shared" si="166"/>
        <v>3366</v>
      </c>
      <c r="GJ248" s="387">
        <f t="shared" si="166"/>
        <v>3039.3</v>
      </c>
      <c r="GK248" s="387">
        <f t="shared" si="166"/>
        <v>3217.5000000000005</v>
      </c>
      <c r="GL248" s="387">
        <f t="shared" si="166"/>
        <v>3191.1</v>
      </c>
      <c r="GM248" s="387">
        <f t="shared" si="166"/>
        <v>2973.3</v>
      </c>
      <c r="GN248" s="988">
        <f t="shared" si="166"/>
        <v>3243.9</v>
      </c>
      <c r="GO248" s="1036">
        <f t="shared" si="167"/>
        <v>-146.10999999999996</v>
      </c>
      <c r="GP248" s="387">
        <f t="shared" si="167"/>
        <v>419.1</v>
      </c>
      <c r="GQ248" s="387">
        <f t="shared" si="167"/>
        <v>399.3</v>
      </c>
      <c r="GR248" s="387">
        <f t="shared" si="167"/>
        <v>356.4</v>
      </c>
      <c r="GS248" s="387">
        <f t="shared" si="167"/>
        <v>323.39999999999998</v>
      </c>
      <c r="GT248" s="387">
        <f t="shared" si="167"/>
        <v>277.2</v>
      </c>
      <c r="GU248" s="387">
        <f t="shared" si="167"/>
        <v>303.60000000000002</v>
      </c>
      <c r="GV248" s="387">
        <f t="shared" si="167"/>
        <v>240.9</v>
      </c>
      <c r="GW248" s="387">
        <f t="shared" si="167"/>
        <v>306.89999999999998</v>
      </c>
      <c r="GX248" s="387">
        <f t="shared" si="167"/>
        <v>277.2</v>
      </c>
      <c r="GY248" s="387">
        <f t="shared" si="167"/>
        <v>280.5</v>
      </c>
      <c r="GZ248" s="988">
        <f t="shared" si="167"/>
        <v>290.39999999999998</v>
      </c>
      <c r="HB248" s="387"/>
      <c r="HC248" s="387"/>
      <c r="HD248" s="387"/>
      <c r="HE248" s="387"/>
      <c r="HF248" s="387"/>
      <c r="HG248" s="387"/>
      <c r="HH248" s="387"/>
      <c r="HI248" s="387"/>
      <c r="HJ248" s="387"/>
      <c r="HK248" s="387"/>
      <c r="HL248" s="387"/>
      <c r="HM248" s="988"/>
    </row>
    <row r="249" spans="1:221">
      <c r="A249" s="326" t="s">
        <v>900</v>
      </c>
      <c r="B249" s="326" t="s">
        <v>901</v>
      </c>
      <c r="C249" s="326" t="s">
        <v>2875</v>
      </c>
      <c r="D249" s="1036" t="s">
        <v>2154</v>
      </c>
      <c r="E249" s="387" t="s">
        <v>2154</v>
      </c>
      <c r="F249" s="387" t="s">
        <v>2154</v>
      </c>
      <c r="G249" s="387" t="s">
        <v>2154</v>
      </c>
      <c r="H249" s="387" t="s">
        <v>2154</v>
      </c>
      <c r="I249" s="387" t="s">
        <v>2154</v>
      </c>
      <c r="J249" s="387" t="s">
        <v>2154</v>
      </c>
      <c r="K249" s="387" t="s">
        <v>2154</v>
      </c>
      <c r="L249" s="387" t="s">
        <v>2154</v>
      </c>
      <c r="M249" s="387" t="s">
        <v>2154</v>
      </c>
      <c r="N249" s="387" t="s">
        <v>2154</v>
      </c>
      <c r="O249" s="988" t="s">
        <v>2154</v>
      </c>
      <c r="P249" s="387" t="s">
        <v>2154</v>
      </c>
      <c r="Q249" s="387" t="s">
        <v>2154</v>
      </c>
      <c r="R249" s="387" t="s">
        <v>2154</v>
      </c>
      <c r="S249" s="387" t="s">
        <v>2154</v>
      </c>
      <c r="T249" s="387" t="s">
        <v>2154</v>
      </c>
      <c r="U249" s="387" t="s">
        <v>2154</v>
      </c>
      <c r="V249" s="387" t="s">
        <v>2154</v>
      </c>
      <c r="W249" s="387" t="s">
        <v>2154</v>
      </c>
      <c r="X249" s="387" t="s">
        <v>2154</v>
      </c>
      <c r="Y249" s="387" t="s">
        <v>2154</v>
      </c>
      <c r="Z249" s="387" t="s">
        <v>2154</v>
      </c>
      <c r="AA249" s="988" t="s">
        <v>2154</v>
      </c>
      <c r="AB249" s="387"/>
      <c r="AC249" s="387"/>
      <c r="AD249" s="387"/>
      <c r="AE249" s="387"/>
      <c r="AF249" s="387"/>
      <c r="AG249" s="387"/>
      <c r="AH249" s="387"/>
      <c r="AI249" s="387"/>
      <c r="AJ249" s="387"/>
      <c r="AK249" s="387"/>
      <c r="AL249" s="387"/>
      <c r="AM249" s="988"/>
      <c r="AN249" s="387"/>
      <c r="AO249" s="387"/>
      <c r="AP249" s="387"/>
      <c r="AQ249" s="387"/>
      <c r="AR249" s="387"/>
      <c r="AS249" s="387"/>
      <c r="AT249" s="387"/>
      <c r="AU249" s="387"/>
      <c r="AV249" s="387"/>
      <c r="AW249" s="387"/>
      <c r="AX249" s="387"/>
      <c r="AY249" s="988"/>
      <c r="AZ249" s="387"/>
      <c r="BA249" s="387"/>
      <c r="BB249" s="387"/>
      <c r="BC249" s="387"/>
      <c r="BD249" s="387"/>
      <c r="BE249" s="387"/>
      <c r="BF249" s="387"/>
      <c r="BG249" s="387"/>
      <c r="BH249" s="387"/>
      <c r="BI249" s="387"/>
      <c r="BJ249" s="387"/>
      <c r="BK249" s="988"/>
      <c r="BL249" s="387"/>
      <c r="BM249" s="387"/>
      <c r="BN249" s="387"/>
      <c r="BO249" s="387"/>
      <c r="BP249" s="387"/>
      <c r="BQ249" s="387"/>
      <c r="BR249" s="387"/>
      <c r="BS249" s="387"/>
      <c r="BT249" s="387"/>
      <c r="BU249" s="387"/>
      <c r="BV249" s="387"/>
      <c r="BW249" s="988"/>
      <c r="BX249" s="387"/>
      <c r="BY249" s="387"/>
      <c r="BZ249" s="387"/>
      <c r="CA249" s="387"/>
      <c r="CB249" s="387"/>
      <c r="CC249" s="387"/>
      <c r="CD249" s="387"/>
      <c r="CE249" s="387"/>
      <c r="CF249" s="387"/>
      <c r="CG249" s="387"/>
      <c r="CH249" s="387"/>
      <c r="CI249" s="988"/>
      <c r="CJ249" s="387"/>
      <c r="CK249" s="387"/>
      <c r="CL249" s="387"/>
      <c r="CM249" s="387"/>
      <c r="CN249" s="387"/>
      <c r="CO249" s="387"/>
      <c r="CP249" s="387"/>
      <c r="CQ249" s="387"/>
      <c r="CR249" s="387"/>
      <c r="CS249" s="387"/>
      <c r="CT249" s="387"/>
      <c r="CU249" s="988"/>
      <c r="CV249" s="387"/>
      <c r="CW249" s="387"/>
      <c r="CX249" s="387"/>
      <c r="CY249" s="387"/>
      <c r="CZ249" s="387"/>
      <c r="DA249" s="387"/>
      <c r="DB249" s="387"/>
      <c r="DC249" s="387"/>
      <c r="DD249" s="387"/>
      <c r="DE249" s="387"/>
      <c r="DF249" s="387"/>
      <c r="DG249" s="988"/>
      <c r="DH249" s="387"/>
      <c r="DI249" s="387"/>
      <c r="DJ249" s="387"/>
      <c r="DK249" s="387"/>
      <c r="DL249" s="387"/>
      <c r="DM249" s="387"/>
      <c r="DN249" s="387"/>
      <c r="DO249" s="387"/>
      <c r="DP249" s="387"/>
      <c r="DQ249" s="387"/>
      <c r="DR249" s="387"/>
      <c r="DS249" s="988"/>
      <c r="DT249" s="387" t="s">
        <v>2154</v>
      </c>
      <c r="DU249" s="387" t="s">
        <v>2154</v>
      </c>
      <c r="DV249" s="387" t="s">
        <v>2154</v>
      </c>
      <c r="DW249" s="387" t="s">
        <v>2154</v>
      </c>
      <c r="DX249" s="387" t="s">
        <v>2154</v>
      </c>
      <c r="DY249" s="387" t="s">
        <v>2154</v>
      </c>
      <c r="DZ249" s="387" t="s">
        <v>2154</v>
      </c>
      <c r="EA249" s="387" t="s">
        <v>2154</v>
      </c>
      <c r="EB249" s="387" t="s">
        <v>2154</v>
      </c>
      <c r="EC249" s="387" t="s">
        <v>2154</v>
      </c>
      <c r="ED249" s="387" t="s">
        <v>2154</v>
      </c>
      <c r="EE249" s="988" t="s">
        <v>2154</v>
      </c>
      <c r="EF249" s="387"/>
      <c r="EG249" s="387"/>
      <c r="EH249" s="387"/>
      <c r="EI249" s="387"/>
      <c r="EJ249" s="387"/>
      <c r="EK249" s="387"/>
      <c r="EL249" s="387"/>
      <c r="EM249" s="387"/>
      <c r="EN249" s="387"/>
      <c r="EO249" s="387"/>
      <c r="EP249" s="387"/>
      <c r="EQ249" s="988"/>
      <c r="ER249" s="387"/>
      <c r="ES249" s="387"/>
      <c r="ET249" s="387"/>
      <c r="EU249" s="387"/>
      <c r="EV249" s="387"/>
      <c r="EW249" s="387"/>
      <c r="EX249" s="387"/>
      <c r="EY249" s="387"/>
      <c r="EZ249" s="387"/>
      <c r="FA249" s="387"/>
      <c r="FB249" s="387"/>
      <c r="FC249" s="988"/>
      <c r="FD249" s="387"/>
      <c r="FE249" s="387"/>
      <c r="FF249" s="387"/>
      <c r="FG249" s="387"/>
      <c r="FH249" s="387"/>
      <c r="FI249" s="387"/>
      <c r="FJ249" s="387"/>
      <c r="FK249" s="387"/>
      <c r="FL249" s="387"/>
      <c r="FM249" s="387"/>
      <c r="FN249" s="387"/>
      <c r="FO249" s="988"/>
      <c r="FP249" s="387"/>
      <c r="FQ249" s="387"/>
      <c r="FR249" s="387"/>
      <c r="FS249" s="387"/>
      <c r="FT249" s="387"/>
      <c r="FU249" s="387"/>
      <c r="FV249" s="387"/>
      <c r="FW249" s="387"/>
      <c r="FX249" s="387"/>
      <c r="FY249" s="387"/>
      <c r="FZ249" s="387"/>
      <c r="GA249" s="988"/>
      <c r="GB249" s="109"/>
      <c r="GC249" s="2214">
        <f t="shared" si="166"/>
        <v>0</v>
      </c>
      <c r="GD249" s="387">
        <f t="shared" si="166"/>
        <v>0</v>
      </c>
      <c r="GE249" s="387">
        <f t="shared" si="166"/>
        <v>0</v>
      </c>
      <c r="GF249" s="387">
        <f t="shared" si="166"/>
        <v>0</v>
      </c>
      <c r="GG249" s="387">
        <f t="shared" si="166"/>
        <v>0</v>
      </c>
      <c r="GH249" s="387">
        <f t="shared" si="166"/>
        <v>0</v>
      </c>
      <c r="GI249" s="387">
        <f t="shared" si="166"/>
        <v>0</v>
      </c>
      <c r="GJ249" s="387">
        <f t="shared" si="166"/>
        <v>0</v>
      </c>
      <c r="GK249" s="387">
        <f t="shared" si="166"/>
        <v>0</v>
      </c>
      <c r="GL249" s="387">
        <f t="shared" si="166"/>
        <v>0</v>
      </c>
      <c r="GM249" s="387">
        <f t="shared" si="166"/>
        <v>0</v>
      </c>
      <c r="GN249" s="988">
        <f t="shared" si="166"/>
        <v>0</v>
      </c>
      <c r="GO249" s="1036">
        <f t="shared" si="167"/>
        <v>0</v>
      </c>
      <c r="GP249" s="387">
        <f t="shared" si="167"/>
        <v>0</v>
      </c>
      <c r="GQ249" s="387">
        <f t="shared" si="167"/>
        <v>0</v>
      </c>
      <c r="GR249" s="387">
        <f t="shared" si="167"/>
        <v>0</v>
      </c>
      <c r="GS249" s="387">
        <f t="shared" si="167"/>
        <v>0</v>
      </c>
      <c r="GT249" s="387">
        <f t="shared" si="167"/>
        <v>0</v>
      </c>
      <c r="GU249" s="387">
        <f t="shared" si="167"/>
        <v>0</v>
      </c>
      <c r="GV249" s="387">
        <f t="shared" si="167"/>
        <v>0</v>
      </c>
      <c r="GW249" s="387">
        <f t="shared" si="167"/>
        <v>0</v>
      </c>
      <c r="GX249" s="387">
        <f t="shared" si="167"/>
        <v>0</v>
      </c>
      <c r="GY249" s="387">
        <f t="shared" si="167"/>
        <v>0</v>
      </c>
      <c r="GZ249" s="988">
        <f t="shared" si="167"/>
        <v>0</v>
      </c>
      <c r="HB249" s="387"/>
      <c r="HC249" s="387"/>
      <c r="HD249" s="387"/>
      <c r="HE249" s="387"/>
      <c r="HF249" s="387"/>
      <c r="HG249" s="387"/>
      <c r="HH249" s="387"/>
      <c r="HI249" s="387"/>
      <c r="HJ249" s="387"/>
      <c r="HK249" s="387"/>
      <c r="HL249" s="387"/>
      <c r="HM249" s="988"/>
    </row>
    <row r="250" spans="1:221">
      <c r="A250" s="326" t="s">
        <v>900</v>
      </c>
      <c r="B250" s="326" t="s">
        <v>901</v>
      </c>
      <c r="C250" s="326" t="s">
        <v>1686</v>
      </c>
      <c r="D250" s="1036" t="s">
        <v>2154</v>
      </c>
      <c r="E250" s="387" t="s">
        <v>2154</v>
      </c>
      <c r="F250" s="387" t="s">
        <v>2154</v>
      </c>
      <c r="G250" s="387" t="s">
        <v>2154</v>
      </c>
      <c r="H250" s="387" t="s">
        <v>2154</v>
      </c>
      <c r="I250" s="387" t="s">
        <v>2154</v>
      </c>
      <c r="J250" s="387" t="s">
        <v>2154</v>
      </c>
      <c r="K250" s="387" t="s">
        <v>2154</v>
      </c>
      <c r="L250" s="387" t="s">
        <v>2154</v>
      </c>
      <c r="M250" s="387" t="s">
        <v>2154</v>
      </c>
      <c r="N250" s="387" t="s">
        <v>2154</v>
      </c>
      <c r="O250" s="988" t="s">
        <v>2154</v>
      </c>
      <c r="P250" s="387" t="s">
        <v>2154</v>
      </c>
      <c r="Q250" s="387" t="s">
        <v>2154</v>
      </c>
      <c r="R250" s="387" t="s">
        <v>2154</v>
      </c>
      <c r="S250" s="387" t="s">
        <v>2154</v>
      </c>
      <c r="T250" s="387" t="s">
        <v>2154</v>
      </c>
      <c r="U250" s="387" t="s">
        <v>2154</v>
      </c>
      <c r="V250" s="387" t="s">
        <v>2154</v>
      </c>
      <c r="W250" s="387" t="s">
        <v>2154</v>
      </c>
      <c r="X250" s="387" t="s">
        <v>2154</v>
      </c>
      <c r="Y250" s="387" t="s">
        <v>2154</v>
      </c>
      <c r="Z250" s="387" t="s">
        <v>2154</v>
      </c>
      <c r="AA250" s="988" t="s">
        <v>2154</v>
      </c>
      <c r="AB250" s="387"/>
      <c r="AC250" s="387"/>
      <c r="AD250" s="387"/>
      <c r="AE250" s="387"/>
      <c r="AF250" s="387"/>
      <c r="AG250" s="387"/>
      <c r="AH250" s="387"/>
      <c r="AI250" s="387"/>
      <c r="AJ250" s="387"/>
      <c r="AK250" s="387"/>
      <c r="AL250" s="387"/>
      <c r="AM250" s="988"/>
      <c r="AN250" s="387"/>
      <c r="AO250" s="387"/>
      <c r="AP250" s="387"/>
      <c r="AQ250" s="387"/>
      <c r="AR250" s="387"/>
      <c r="AS250" s="387"/>
      <c r="AT250" s="387"/>
      <c r="AU250" s="387"/>
      <c r="AV250" s="387"/>
      <c r="AW250" s="387"/>
      <c r="AX250" s="387"/>
      <c r="AY250" s="988"/>
      <c r="AZ250" s="387"/>
      <c r="BA250" s="387"/>
      <c r="BB250" s="387"/>
      <c r="BC250" s="387"/>
      <c r="BD250" s="387"/>
      <c r="BE250" s="387"/>
      <c r="BF250" s="387"/>
      <c r="BG250" s="387"/>
      <c r="BH250" s="387"/>
      <c r="BI250" s="387"/>
      <c r="BJ250" s="387"/>
      <c r="BK250" s="988"/>
      <c r="BL250" s="387"/>
      <c r="BM250" s="387"/>
      <c r="BN250" s="387"/>
      <c r="BO250" s="387"/>
      <c r="BP250" s="387"/>
      <c r="BQ250" s="387"/>
      <c r="BR250" s="387"/>
      <c r="BS250" s="387"/>
      <c r="BT250" s="387"/>
      <c r="BU250" s="387"/>
      <c r="BV250" s="387"/>
      <c r="BW250" s="988"/>
      <c r="BX250" s="387"/>
      <c r="BY250" s="387"/>
      <c r="BZ250" s="387"/>
      <c r="CA250" s="387"/>
      <c r="CB250" s="387"/>
      <c r="CC250" s="387"/>
      <c r="CD250" s="387"/>
      <c r="CE250" s="387"/>
      <c r="CF250" s="387"/>
      <c r="CG250" s="387"/>
      <c r="CH250" s="387"/>
      <c r="CI250" s="988"/>
      <c r="CJ250" s="387"/>
      <c r="CK250" s="387"/>
      <c r="CL250" s="387"/>
      <c r="CM250" s="387"/>
      <c r="CN250" s="387"/>
      <c r="CO250" s="387"/>
      <c r="CP250" s="387"/>
      <c r="CQ250" s="387"/>
      <c r="CR250" s="387"/>
      <c r="CS250" s="387"/>
      <c r="CT250" s="387"/>
      <c r="CU250" s="988"/>
      <c r="CV250" s="387"/>
      <c r="CW250" s="387"/>
      <c r="CX250" s="387"/>
      <c r="CY250" s="387"/>
      <c r="CZ250" s="387"/>
      <c r="DA250" s="387"/>
      <c r="DB250" s="387"/>
      <c r="DC250" s="387"/>
      <c r="DD250" s="387"/>
      <c r="DE250" s="387"/>
      <c r="DF250" s="387"/>
      <c r="DG250" s="988"/>
      <c r="DH250" s="387"/>
      <c r="DI250" s="387"/>
      <c r="DJ250" s="387"/>
      <c r="DK250" s="387"/>
      <c r="DL250" s="387"/>
      <c r="DM250" s="387"/>
      <c r="DN250" s="387"/>
      <c r="DO250" s="387"/>
      <c r="DP250" s="387"/>
      <c r="DQ250" s="387"/>
      <c r="DR250" s="387"/>
      <c r="DS250" s="988"/>
      <c r="DT250" s="387" t="s">
        <v>2154</v>
      </c>
      <c r="DU250" s="387" t="s">
        <v>2154</v>
      </c>
      <c r="DV250" s="387" t="s">
        <v>2154</v>
      </c>
      <c r="DW250" s="387" t="s">
        <v>2154</v>
      </c>
      <c r="DX250" s="387" t="s">
        <v>2154</v>
      </c>
      <c r="DY250" s="387" t="s">
        <v>2154</v>
      </c>
      <c r="DZ250" s="387" t="s">
        <v>2154</v>
      </c>
      <c r="EA250" s="387" t="s">
        <v>2154</v>
      </c>
      <c r="EB250" s="387" t="s">
        <v>2154</v>
      </c>
      <c r="EC250" s="387" t="s">
        <v>2154</v>
      </c>
      <c r="ED250" s="387" t="s">
        <v>2154</v>
      </c>
      <c r="EE250" s="988" t="s">
        <v>2154</v>
      </c>
      <c r="EF250" s="387"/>
      <c r="EG250" s="387"/>
      <c r="EH250" s="387"/>
      <c r="EI250" s="387"/>
      <c r="EJ250" s="387"/>
      <c r="EK250" s="387"/>
      <c r="EL250" s="387"/>
      <c r="EM250" s="387"/>
      <c r="EN250" s="387"/>
      <c r="EO250" s="387"/>
      <c r="EP250" s="387"/>
      <c r="EQ250" s="988"/>
      <c r="ER250" s="387"/>
      <c r="ES250" s="387"/>
      <c r="ET250" s="387"/>
      <c r="EU250" s="387"/>
      <c r="EV250" s="387"/>
      <c r="EW250" s="387"/>
      <c r="EX250" s="387"/>
      <c r="EY250" s="387"/>
      <c r="EZ250" s="387"/>
      <c r="FA250" s="387"/>
      <c r="FB250" s="387"/>
      <c r="FC250" s="988"/>
      <c r="FD250" s="387"/>
      <c r="FE250" s="387"/>
      <c r="FF250" s="387"/>
      <c r="FG250" s="387"/>
      <c r="FH250" s="387"/>
      <c r="FI250" s="387"/>
      <c r="FJ250" s="387"/>
      <c r="FK250" s="387"/>
      <c r="FL250" s="387"/>
      <c r="FM250" s="387"/>
      <c r="FN250" s="387"/>
      <c r="FO250" s="988"/>
      <c r="FP250" s="387"/>
      <c r="FQ250" s="387"/>
      <c r="FR250" s="387"/>
      <c r="FS250" s="387"/>
      <c r="FT250" s="387"/>
      <c r="FU250" s="387"/>
      <c r="FV250" s="387"/>
      <c r="FW250" s="387"/>
      <c r="FX250" s="387"/>
      <c r="FY250" s="387"/>
      <c r="FZ250" s="387"/>
      <c r="GA250" s="988"/>
      <c r="GB250" s="109"/>
      <c r="GC250" s="2214">
        <f t="shared" si="166"/>
        <v>0</v>
      </c>
      <c r="GD250" s="387">
        <f t="shared" si="166"/>
        <v>0</v>
      </c>
      <c r="GE250" s="387">
        <f t="shared" si="166"/>
        <v>0</v>
      </c>
      <c r="GF250" s="387">
        <f t="shared" si="166"/>
        <v>0</v>
      </c>
      <c r="GG250" s="387">
        <f t="shared" si="166"/>
        <v>0</v>
      </c>
      <c r="GH250" s="387">
        <f t="shared" si="166"/>
        <v>0</v>
      </c>
      <c r="GI250" s="387">
        <f t="shared" si="166"/>
        <v>0</v>
      </c>
      <c r="GJ250" s="387">
        <f t="shared" si="166"/>
        <v>0</v>
      </c>
      <c r="GK250" s="387">
        <f t="shared" si="166"/>
        <v>0</v>
      </c>
      <c r="GL250" s="387">
        <f t="shared" si="166"/>
        <v>0</v>
      </c>
      <c r="GM250" s="387">
        <f t="shared" si="166"/>
        <v>0</v>
      </c>
      <c r="GN250" s="988">
        <f t="shared" si="166"/>
        <v>0</v>
      </c>
      <c r="GO250" s="1036">
        <f t="shared" si="167"/>
        <v>0</v>
      </c>
      <c r="GP250" s="387">
        <f t="shared" si="167"/>
        <v>0</v>
      </c>
      <c r="GQ250" s="387">
        <f t="shared" si="167"/>
        <v>0</v>
      </c>
      <c r="GR250" s="387">
        <f t="shared" si="167"/>
        <v>0</v>
      </c>
      <c r="GS250" s="387">
        <f t="shared" si="167"/>
        <v>0</v>
      </c>
      <c r="GT250" s="387">
        <f t="shared" si="167"/>
        <v>0</v>
      </c>
      <c r="GU250" s="387">
        <f t="shared" si="167"/>
        <v>0</v>
      </c>
      <c r="GV250" s="387">
        <f t="shared" si="167"/>
        <v>0</v>
      </c>
      <c r="GW250" s="387">
        <f t="shared" si="167"/>
        <v>0</v>
      </c>
      <c r="GX250" s="387">
        <f t="shared" si="167"/>
        <v>0</v>
      </c>
      <c r="GY250" s="387">
        <f t="shared" si="167"/>
        <v>0</v>
      </c>
      <c r="GZ250" s="988">
        <f t="shared" si="167"/>
        <v>0</v>
      </c>
      <c r="HB250" s="387"/>
      <c r="HC250" s="387"/>
      <c r="HD250" s="387"/>
      <c r="HE250" s="387"/>
      <c r="HF250" s="387"/>
      <c r="HG250" s="387"/>
      <c r="HH250" s="387"/>
      <c r="HI250" s="387"/>
      <c r="HJ250" s="387"/>
      <c r="HK250" s="387"/>
      <c r="HL250" s="387"/>
      <c r="HM250" s="988"/>
    </row>
    <row r="251" spans="1:221">
      <c r="A251" s="326" t="s">
        <v>900</v>
      </c>
      <c r="B251" s="326" t="s">
        <v>901</v>
      </c>
      <c r="C251" s="326" t="s">
        <v>1687</v>
      </c>
      <c r="D251" s="1036" t="s">
        <v>2154</v>
      </c>
      <c r="E251" s="387">
        <v>-2375</v>
      </c>
      <c r="F251" s="387">
        <v>-646</v>
      </c>
      <c r="G251" s="387">
        <v>-2527</v>
      </c>
      <c r="H251" s="387">
        <v>-1140</v>
      </c>
      <c r="I251" s="387">
        <v>-988</v>
      </c>
      <c r="J251" s="387">
        <v>-532</v>
      </c>
      <c r="K251" s="387">
        <v>-494</v>
      </c>
      <c r="L251" s="387">
        <v>-114</v>
      </c>
      <c r="M251" s="387">
        <v>-228</v>
      </c>
      <c r="N251" s="387">
        <v>-76</v>
      </c>
      <c r="O251" s="988">
        <v>-38</v>
      </c>
      <c r="P251" s="387" t="s">
        <v>2154</v>
      </c>
      <c r="Q251" s="387" t="s">
        <v>2154</v>
      </c>
      <c r="R251" s="387" t="s">
        <v>2154</v>
      </c>
      <c r="S251" s="387" t="s">
        <v>2154</v>
      </c>
      <c r="T251" s="387" t="s">
        <v>2154</v>
      </c>
      <c r="U251" s="387" t="s">
        <v>2154</v>
      </c>
      <c r="V251" s="387" t="s">
        <v>2154</v>
      </c>
      <c r="W251" s="387" t="s">
        <v>2154</v>
      </c>
      <c r="X251" s="387" t="s">
        <v>2154</v>
      </c>
      <c r="Y251" s="387" t="s">
        <v>2154</v>
      </c>
      <c r="Z251" s="387" t="s">
        <v>2154</v>
      </c>
      <c r="AA251" s="988" t="s">
        <v>2154</v>
      </c>
      <c r="AB251" s="387"/>
      <c r="AC251" s="387"/>
      <c r="AD251" s="387"/>
      <c r="AE251" s="387"/>
      <c r="AF251" s="387"/>
      <c r="AG251" s="387"/>
      <c r="AH251" s="387"/>
      <c r="AI251" s="387"/>
      <c r="AJ251" s="387"/>
      <c r="AK251" s="387"/>
      <c r="AL251" s="387"/>
      <c r="AM251" s="988"/>
      <c r="AN251" s="387"/>
      <c r="AO251" s="387"/>
      <c r="AP251" s="387"/>
      <c r="AQ251" s="387"/>
      <c r="AR251" s="387"/>
      <c r="AS251" s="387"/>
      <c r="AT251" s="387"/>
      <c r="AU251" s="387"/>
      <c r="AV251" s="387"/>
      <c r="AW251" s="387"/>
      <c r="AX251" s="387"/>
      <c r="AY251" s="988"/>
      <c r="AZ251" s="387"/>
      <c r="BA251" s="387"/>
      <c r="BB251" s="387"/>
      <c r="BC251" s="387"/>
      <c r="BD251" s="387"/>
      <c r="BE251" s="387"/>
      <c r="BF251" s="387"/>
      <c r="BG251" s="387"/>
      <c r="BH251" s="387"/>
      <c r="BI251" s="387"/>
      <c r="BJ251" s="387"/>
      <c r="BK251" s="988"/>
      <c r="BL251" s="387"/>
      <c r="BM251" s="387"/>
      <c r="BN251" s="387"/>
      <c r="BO251" s="387"/>
      <c r="BP251" s="387"/>
      <c r="BQ251" s="387"/>
      <c r="BR251" s="387"/>
      <c r="BS251" s="387"/>
      <c r="BT251" s="387"/>
      <c r="BU251" s="387"/>
      <c r="BV251" s="387"/>
      <c r="BW251" s="988"/>
      <c r="BX251" s="387"/>
      <c r="BY251" s="387"/>
      <c r="BZ251" s="387"/>
      <c r="CA251" s="387"/>
      <c r="CB251" s="387"/>
      <c r="CC251" s="387"/>
      <c r="CD251" s="387"/>
      <c r="CE251" s="387"/>
      <c r="CF251" s="387"/>
      <c r="CG251" s="387"/>
      <c r="CH251" s="387"/>
      <c r="CI251" s="988"/>
      <c r="CJ251" s="387"/>
      <c r="CK251" s="387"/>
      <c r="CL251" s="387"/>
      <c r="CM251" s="387"/>
      <c r="CN251" s="387"/>
      <c r="CO251" s="387"/>
      <c r="CP251" s="387"/>
      <c r="CQ251" s="387"/>
      <c r="CR251" s="387"/>
      <c r="CS251" s="387"/>
      <c r="CT251" s="387"/>
      <c r="CU251" s="988"/>
      <c r="CV251" s="387"/>
      <c r="CW251" s="387"/>
      <c r="CX251" s="387"/>
      <c r="CY251" s="387"/>
      <c r="CZ251" s="387"/>
      <c r="DA251" s="387"/>
      <c r="DB251" s="387"/>
      <c r="DC251" s="387"/>
      <c r="DD251" s="387"/>
      <c r="DE251" s="387"/>
      <c r="DF251" s="387"/>
      <c r="DG251" s="988"/>
      <c r="DH251" s="387"/>
      <c r="DI251" s="387"/>
      <c r="DJ251" s="387"/>
      <c r="DK251" s="387"/>
      <c r="DL251" s="387"/>
      <c r="DM251" s="387"/>
      <c r="DN251" s="387"/>
      <c r="DO251" s="387"/>
      <c r="DP251" s="387"/>
      <c r="DQ251" s="387"/>
      <c r="DR251" s="387"/>
      <c r="DS251" s="988"/>
      <c r="DT251" s="387" t="s">
        <v>2154</v>
      </c>
      <c r="DU251" s="387" t="s">
        <v>2154</v>
      </c>
      <c r="DV251" s="387" t="s">
        <v>2154</v>
      </c>
      <c r="DW251" s="387" t="s">
        <v>2154</v>
      </c>
      <c r="DX251" s="387" t="s">
        <v>2154</v>
      </c>
      <c r="DY251" s="387" t="s">
        <v>2154</v>
      </c>
      <c r="DZ251" s="387" t="s">
        <v>2154</v>
      </c>
      <c r="EA251" s="387" t="s">
        <v>2154</v>
      </c>
      <c r="EB251" s="387" t="s">
        <v>2154</v>
      </c>
      <c r="EC251" s="387" t="s">
        <v>2154</v>
      </c>
      <c r="ED251" s="387" t="s">
        <v>2154</v>
      </c>
      <c r="EE251" s="988" t="s">
        <v>2154</v>
      </c>
      <c r="EF251" s="387"/>
      <c r="EG251" s="387"/>
      <c r="EH251" s="387"/>
      <c r="EI251" s="387"/>
      <c r="EJ251" s="387"/>
      <c r="EK251" s="387"/>
      <c r="EL251" s="387"/>
      <c r="EM251" s="387"/>
      <c r="EN251" s="387"/>
      <c r="EO251" s="387"/>
      <c r="EP251" s="387"/>
      <c r="EQ251" s="988"/>
      <c r="ER251" s="387"/>
      <c r="ES251" s="387"/>
      <c r="ET251" s="387"/>
      <c r="EU251" s="387"/>
      <c r="EV251" s="387"/>
      <c r="EW251" s="387"/>
      <c r="EX251" s="387"/>
      <c r="EY251" s="387"/>
      <c r="EZ251" s="387"/>
      <c r="FA251" s="387"/>
      <c r="FB251" s="387"/>
      <c r="FC251" s="988"/>
      <c r="FD251" s="387"/>
      <c r="FE251" s="387"/>
      <c r="FF251" s="387"/>
      <c r="FG251" s="387"/>
      <c r="FH251" s="387"/>
      <c r="FI251" s="387"/>
      <c r="FJ251" s="387"/>
      <c r="FK251" s="387"/>
      <c r="FL251" s="387"/>
      <c r="FM251" s="387"/>
      <c r="FN251" s="387"/>
      <c r="FO251" s="988"/>
      <c r="FP251" s="387"/>
      <c r="FQ251" s="387"/>
      <c r="FR251" s="387"/>
      <c r="FS251" s="387"/>
      <c r="FT251" s="387"/>
      <c r="FU251" s="387"/>
      <c r="FV251" s="387"/>
      <c r="FW251" s="387"/>
      <c r="FX251" s="387"/>
      <c r="FY251" s="387"/>
      <c r="FZ251" s="387"/>
      <c r="GA251" s="988"/>
      <c r="GB251" s="109"/>
      <c r="GC251" s="2214">
        <f t="shared" si="166"/>
        <v>0</v>
      </c>
      <c r="GD251" s="387">
        <f t="shared" si="166"/>
        <v>-2375</v>
      </c>
      <c r="GE251" s="387">
        <f t="shared" si="166"/>
        <v>-646</v>
      </c>
      <c r="GF251" s="387">
        <f t="shared" si="166"/>
        <v>-2527</v>
      </c>
      <c r="GG251" s="387">
        <f t="shared" si="166"/>
        <v>-1140</v>
      </c>
      <c r="GH251" s="387">
        <f t="shared" si="166"/>
        <v>-988</v>
      </c>
      <c r="GI251" s="387">
        <f t="shared" si="166"/>
        <v>-532</v>
      </c>
      <c r="GJ251" s="387">
        <f t="shared" si="166"/>
        <v>-494</v>
      </c>
      <c r="GK251" s="387">
        <f t="shared" si="166"/>
        <v>-114</v>
      </c>
      <c r="GL251" s="387">
        <f t="shared" si="166"/>
        <v>-228</v>
      </c>
      <c r="GM251" s="387">
        <f t="shared" si="166"/>
        <v>-76</v>
      </c>
      <c r="GN251" s="988">
        <f t="shared" si="166"/>
        <v>-38</v>
      </c>
      <c r="GO251" s="1036">
        <f t="shared" si="167"/>
        <v>0</v>
      </c>
      <c r="GP251" s="387">
        <f t="shared" si="167"/>
        <v>0</v>
      </c>
      <c r="GQ251" s="387">
        <f t="shared" si="167"/>
        <v>0</v>
      </c>
      <c r="GR251" s="387">
        <f t="shared" si="167"/>
        <v>0</v>
      </c>
      <c r="GS251" s="387">
        <f t="shared" si="167"/>
        <v>0</v>
      </c>
      <c r="GT251" s="387">
        <f t="shared" si="167"/>
        <v>0</v>
      </c>
      <c r="GU251" s="387">
        <f t="shared" si="167"/>
        <v>0</v>
      </c>
      <c r="GV251" s="387">
        <f t="shared" si="167"/>
        <v>0</v>
      </c>
      <c r="GW251" s="387">
        <f t="shared" si="167"/>
        <v>0</v>
      </c>
      <c r="GX251" s="387">
        <f t="shared" si="167"/>
        <v>0</v>
      </c>
      <c r="GY251" s="387">
        <f t="shared" si="167"/>
        <v>0</v>
      </c>
      <c r="GZ251" s="988">
        <f t="shared" si="167"/>
        <v>0</v>
      </c>
      <c r="HB251" s="387"/>
      <c r="HC251" s="387"/>
      <c r="HD251" s="387"/>
      <c r="HE251" s="387"/>
      <c r="HF251" s="387"/>
      <c r="HG251" s="387"/>
      <c r="HH251" s="387"/>
      <c r="HI251" s="387"/>
      <c r="HJ251" s="387"/>
      <c r="HK251" s="387"/>
      <c r="HL251" s="387"/>
      <c r="HM251" s="988"/>
    </row>
    <row r="252" spans="1:221">
      <c r="A252" s="326" t="s">
        <v>900</v>
      </c>
      <c r="B252" s="326" t="s">
        <v>901</v>
      </c>
      <c r="C252" s="326" t="s">
        <v>3807</v>
      </c>
      <c r="D252" s="1036">
        <v>15872.52</v>
      </c>
      <c r="E252" s="387">
        <v>12801.01</v>
      </c>
      <c r="F252" s="387">
        <v>13743.899999999998</v>
      </c>
      <c r="G252" s="387">
        <v>11817.1</v>
      </c>
      <c r="H252" s="387">
        <v>15078.45</v>
      </c>
      <c r="I252" s="387">
        <v>20220.980000000007</v>
      </c>
      <c r="J252" s="387">
        <v>15922.010000000002</v>
      </c>
      <c r="K252" s="387">
        <v>17189.63</v>
      </c>
      <c r="L252" s="387">
        <v>18443.54</v>
      </c>
      <c r="M252" s="387">
        <v>16258.5</v>
      </c>
      <c r="N252" s="387">
        <v>16229.31</v>
      </c>
      <c r="O252" s="988">
        <v>21551.670000000006</v>
      </c>
      <c r="P252" s="387">
        <v>188.55999999999995</v>
      </c>
      <c r="Q252" s="387">
        <v>956.45</v>
      </c>
      <c r="R252" s="387">
        <v>943.84</v>
      </c>
      <c r="S252" s="387">
        <v>991.75</v>
      </c>
      <c r="T252" s="387">
        <v>808.28</v>
      </c>
      <c r="U252" s="387">
        <v>1147.28</v>
      </c>
      <c r="V252" s="387">
        <v>946.12</v>
      </c>
      <c r="W252" s="387">
        <v>1282.74</v>
      </c>
      <c r="X252" s="387">
        <v>933.30000000000007</v>
      </c>
      <c r="Y252" s="387">
        <v>2101.63</v>
      </c>
      <c r="Z252" s="387">
        <v>1590.67</v>
      </c>
      <c r="AA252" s="988">
        <v>1101.47</v>
      </c>
      <c r="AB252" s="387"/>
      <c r="AC252" s="387"/>
      <c r="AD252" s="387"/>
      <c r="AE252" s="387"/>
      <c r="AF252" s="387"/>
      <c r="AG252" s="387"/>
      <c r="AH252" s="387"/>
      <c r="AI252" s="387"/>
      <c r="AJ252" s="387"/>
      <c r="AK252" s="387"/>
      <c r="AL252" s="387"/>
      <c r="AM252" s="988"/>
      <c r="AN252" s="387"/>
      <c r="AO252" s="387"/>
      <c r="AP252" s="387"/>
      <c r="AQ252" s="387"/>
      <c r="AR252" s="387"/>
      <c r="AS252" s="387"/>
      <c r="AT252" s="387"/>
      <c r="AU252" s="387"/>
      <c r="AV252" s="387"/>
      <c r="AW252" s="387"/>
      <c r="AX252" s="387"/>
      <c r="AY252" s="988"/>
      <c r="AZ252" s="387"/>
      <c r="BA252" s="387"/>
      <c r="BB252" s="387"/>
      <c r="BC252" s="387"/>
      <c r="BD252" s="387"/>
      <c r="BE252" s="387"/>
      <c r="BF252" s="387"/>
      <c r="BG252" s="387"/>
      <c r="BH252" s="387"/>
      <c r="BI252" s="387"/>
      <c r="BJ252" s="387"/>
      <c r="BK252" s="988"/>
      <c r="BL252" s="387"/>
      <c r="BM252" s="387"/>
      <c r="BN252" s="387"/>
      <c r="BO252" s="387"/>
      <c r="BP252" s="387"/>
      <c r="BQ252" s="387"/>
      <c r="BR252" s="387"/>
      <c r="BS252" s="387"/>
      <c r="BT252" s="387"/>
      <c r="BU252" s="387"/>
      <c r="BV252" s="387"/>
      <c r="BW252" s="988"/>
      <c r="BX252" s="387"/>
      <c r="BY252" s="387"/>
      <c r="BZ252" s="387"/>
      <c r="CA252" s="387"/>
      <c r="CB252" s="387"/>
      <c r="CC252" s="387"/>
      <c r="CD252" s="387"/>
      <c r="CE252" s="387"/>
      <c r="CF252" s="387"/>
      <c r="CG252" s="387"/>
      <c r="CH252" s="387"/>
      <c r="CI252" s="988"/>
      <c r="CJ252" s="387"/>
      <c r="CK252" s="387"/>
      <c r="CL252" s="387"/>
      <c r="CM252" s="387"/>
      <c r="CN252" s="387"/>
      <c r="CO252" s="387"/>
      <c r="CP252" s="387"/>
      <c r="CQ252" s="387"/>
      <c r="CR252" s="387"/>
      <c r="CS252" s="387"/>
      <c r="CT252" s="387"/>
      <c r="CU252" s="988"/>
      <c r="CV252" s="387"/>
      <c r="CW252" s="387"/>
      <c r="CX252" s="387"/>
      <c r="CY252" s="387"/>
      <c r="CZ252" s="387"/>
      <c r="DA252" s="387"/>
      <c r="DB252" s="387"/>
      <c r="DC252" s="387"/>
      <c r="DD252" s="387"/>
      <c r="DE252" s="387"/>
      <c r="DF252" s="387"/>
      <c r="DG252" s="988"/>
      <c r="DH252" s="387"/>
      <c r="DI252" s="387"/>
      <c r="DJ252" s="387"/>
      <c r="DK252" s="387"/>
      <c r="DL252" s="387"/>
      <c r="DM252" s="387"/>
      <c r="DN252" s="387"/>
      <c r="DO252" s="387"/>
      <c r="DP252" s="387"/>
      <c r="DQ252" s="387"/>
      <c r="DR252" s="387"/>
      <c r="DS252" s="988"/>
      <c r="DT252" s="387">
        <v>1049.72</v>
      </c>
      <c r="DU252" s="387">
        <v>936.78000000000009</v>
      </c>
      <c r="DV252" s="387">
        <v>1045.71</v>
      </c>
      <c r="DW252" s="387">
        <v>996.55</v>
      </c>
      <c r="DX252" s="387">
        <v>1416.1100000000001</v>
      </c>
      <c r="DY252" s="387">
        <v>536.14</v>
      </c>
      <c r="DZ252" s="387">
        <v>841.24</v>
      </c>
      <c r="EA252" s="387">
        <v>450.46000000000004</v>
      </c>
      <c r="EB252" s="387">
        <v>898.18999999999994</v>
      </c>
      <c r="EC252" s="387">
        <v>998.49</v>
      </c>
      <c r="ED252" s="387">
        <v>696.43</v>
      </c>
      <c r="EE252" s="988">
        <v>1623.3899999999999</v>
      </c>
      <c r="EF252" s="387"/>
      <c r="EG252" s="387"/>
      <c r="EH252" s="387"/>
      <c r="EI252" s="387"/>
      <c r="EJ252" s="387"/>
      <c r="EK252" s="387"/>
      <c r="EL252" s="387"/>
      <c r="EM252" s="387"/>
      <c r="EN252" s="387"/>
      <c r="EO252" s="387"/>
      <c r="EP252" s="387"/>
      <c r="EQ252" s="988"/>
      <c r="ER252" s="387"/>
      <c r="ES252" s="387"/>
      <c r="ET252" s="387"/>
      <c r="EU252" s="387"/>
      <c r="EV252" s="387"/>
      <c r="EW252" s="387"/>
      <c r="EX252" s="387"/>
      <c r="EY252" s="387"/>
      <c r="EZ252" s="387"/>
      <c r="FA252" s="387"/>
      <c r="FB252" s="387"/>
      <c r="FC252" s="988"/>
      <c r="FD252" s="387"/>
      <c r="FE252" s="387"/>
      <c r="FF252" s="387"/>
      <c r="FG252" s="387"/>
      <c r="FH252" s="387"/>
      <c r="FI252" s="387"/>
      <c r="FJ252" s="387"/>
      <c r="FK252" s="387"/>
      <c r="FL252" s="387"/>
      <c r="FM252" s="387"/>
      <c r="FN252" s="387"/>
      <c r="FO252" s="988"/>
      <c r="FP252" s="387"/>
      <c r="FQ252" s="387"/>
      <c r="FR252" s="387"/>
      <c r="FS252" s="387"/>
      <c r="FT252" s="387"/>
      <c r="FU252" s="387"/>
      <c r="FV252" s="387"/>
      <c r="FW252" s="387"/>
      <c r="FX252" s="387"/>
      <c r="FY252" s="387"/>
      <c r="FZ252" s="387"/>
      <c r="GA252" s="988"/>
      <c r="GB252" s="109"/>
      <c r="GC252" s="2214">
        <f t="shared" si="166"/>
        <v>17110.8</v>
      </c>
      <c r="GD252" s="387">
        <f t="shared" si="166"/>
        <v>14694.240000000002</v>
      </c>
      <c r="GE252" s="387">
        <f t="shared" si="166"/>
        <v>15733.449999999997</v>
      </c>
      <c r="GF252" s="387">
        <f t="shared" si="166"/>
        <v>13805.4</v>
      </c>
      <c r="GG252" s="387">
        <f t="shared" si="166"/>
        <v>17302.84</v>
      </c>
      <c r="GH252" s="387">
        <f t="shared" si="166"/>
        <v>21904.400000000005</v>
      </c>
      <c r="GI252" s="387">
        <f t="shared" si="166"/>
        <v>17709.370000000003</v>
      </c>
      <c r="GJ252" s="387">
        <f t="shared" si="166"/>
        <v>18922.830000000002</v>
      </c>
      <c r="GK252" s="387">
        <f t="shared" si="166"/>
        <v>20275.03</v>
      </c>
      <c r="GL252" s="387">
        <f t="shared" si="166"/>
        <v>19358.620000000003</v>
      </c>
      <c r="GM252" s="387">
        <f t="shared" si="166"/>
        <v>18516.41</v>
      </c>
      <c r="GN252" s="988">
        <f t="shared" si="166"/>
        <v>24276.530000000006</v>
      </c>
      <c r="GO252" s="1036">
        <f t="shared" si="167"/>
        <v>1049.72</v>
      </c>
      <c r="GP252" s="387">
        <f t="shared" si="167"/>
        <v>936.78000000000009</v>
      </c>
      <c r="GQ252" s="387">
        <f t="shared" si="167"/>
        <v>1045.71</v>
      </c>
      <c r="GR252" s="387">
        <f t="shared" si="167"/>
        <v>996.55</v>
      </c>
      <c r="GS252" s="387">
        <f t="shared" si="167"/>
        <v>1416.1100000000001</v>
      </c>
      <c r="GT252" s="387">
        <f t="shared" si="167"/>
        <v>536.14</v>
      </c>
      <c r="GU252" s="387">
        <f t="shared" si="167"/>
        <v>841.24</v>
      </c>
      <c r="GV252" s="387">
        <f t="shared" si="167"/>
        <v>450.46000000000004</v>
      </c>
      <c r="GW252" s="387">
        <f t="shared" si="167"/>
        <v>898.18999999999994</v>
      </c>
      <c r="GX252" s="387">
        <f t="shared" si="167"/>
        <v>998.49</v>
      </c>
      <c r="GY252" s="387">
        <f t="shared" si="167"/>
        <v>696.43</v>
      </c>
      <c r="GZ252" s="988">
        <f t="shared" si="167"/>
        <v>1623.3899999999999</v>
      </c>
      <c r="HB252" s="387"/>
      <c r="HC252" s="387"/>
      <c r="HD252" s="387"/>
      <c r="HE252" s="387"/>
      <c r="HF252" s="387"/>
      <c r="HG252" s="387"/>
      <c r="HH252" s="387"/>
      <c r="HI252" s="387"/>
      <c r="HJ252" s="387"/>
      <c r="HK252" s="387"/>
      <c r="HL252" s="387"/>
      <c r="HM252" s="988"/>
    </row>
    <row r="253" spans="1:221">
      <c r="A253" s="326" t="s">
        <v>900</v>
      </c>
      <c r="B253" s="326" t="s">
        <v>901</v>
      </c>
      <c r="C253" s="326" t="s">
        <v>2161</v>
      </c>
      <c r="D253" s="1036">
        <v>10093.460000000003</v>
      </c>
      <c r="E253" s="387">
        <v>18828.18</v>
      </c>
      <c r="F253" s="387">
        <v>14392.010000000002</v>
      </c>
      <c r="G253" s="387">
        <v>22021.559999999998</v>
      </c>
      <c r="H253" s="387">
        <v>12975.31</v>
      </c>
      <c r="I253" s="387">
        <v>8793.59</v>
      </c>
      <c r="J253" s="387">
        <v>29663.69</v>
      </c>
      <c r="K253" s="387">
        <v>26770.899999999998</v>
      </c>
      <c r="L253" s="387">
        <v>4944.2099999999982</v>
      </c>
      <c r="M253" s="387">
        <v>18548.29</v>
      </c>
      <c r="N253" s="387">
        <v>22477.39</v>
      </c>
      <c r="O253" s="988">
        <v>19780.710000000003</v>
      </c>
      <c r="P253" s="387">
        <v>7332.3600000000006</v>
      </c>
      <c r="Q253" s="387">
        <v>7012.79</v>
      </c>
      <c r="R253" s="387">
        <v>8910.57</v>
      </c>
      <c r="S253" s="387">
        <v>9334.7300000000014</v>
      </c>
      <c r="T253" s="387">
        <v>12980.769999999997</v>
      </c>
      <c r="U253" s="387">
        <v>-3462.14</v>
      </c>
      <c r="V253" s="387">
        <v>6601.579999999999</v>
      </c>
      <c r="W253" s="387">
        <v>7894.96</v>
      </c>
      <c r="X253" s="387">
        <v>4949.369999999999</v>
      </c>
      <c r="Y253" s="387">
        <v>-1063.25</v>
      </c>
      <c r="Z253" s="387">
        <v>21283.079999999994</v>
      </c>
      <c r="AA253" s="988">
        <v>7675.1999999999971</v>
      </c>
      <c r="AB253" s="387"/>
      <c r="AC253" s="387"/>
      <c r="AD253" s="387"/>
      <c r="AE253" s="387"/>
      <c r="AF253" s="387"/>
      <c r="AG253" s="387"/>
      <c r="AH253" s="387"/>
      <c r="AI253" s="387"/>
      <c r="AJ253" s="387"/>
      <c r="AK253" s="387"/>
      <c r="AL253" s="387"/>
      <c r="AM253" s="988"/>
      <c r="AN253" s="387"/>
      <c r="AO253" s="387"/>
      <c r="AP253" s="387"/>
      <c r="AQ253" s="387"/>
      <c r="AR253" s="387"/>
      <c r="AS253" s="387"/>
      <c r="AT253" s="387"/>
      <c r="AU253" s="387"/>
      <c r="AV253" s="387"/>
      <c r="AW253" s="387"/>
      <c r="AX253" s="387"/>
      <c r="AY253" s="988"/>
      <c r="AZ253" s="387"/>
      <c r="BA253" s="387"/>
      <c r="BB253" s="387"/>
      <c r="BC253" s="387"/>
      <c r="BD253" s="387"/>
      <c r="BE253" s="387"/>
      <c r="BF253" s="387"/>
      <c r="BG253" s="387"/>
      <c r="BH253" s="387"/>
      <c r="BI253" s="387"/>
      <c r="BJ253" s="387"/>
      <c r="BK253" s="988"/>
      <c r="BL253" s="387"/>
      <c r="BM253" s="387"/>
      <c r="BN253" s="387"/>
      <c r="BO253" s="387"/>
      <c r="BP253" s="387"/>
      <c r="BQ253" s="387"/>
      <c r="BR253" s="387"/>
      <c r="BS253" s="387"/>
      <c r="BT253" s="387"/>
      <c r="BU253" s="387"/>
      <c r="BV253" s="387"/>
      <c r="BW253" s="988"/>
      <c r="BX253" s="387"/>
      <c r="BY253" s="387"/>
      <c r="BZ253" s="387"/>
      <c r="CA253" s="387"/>
      <c r="CB253" s="387"/>
      <c r="CC253" s="387"/>
      <c r="CD253" s="387"/>
      <c r="CE253" s="387"/>
      <c r="CF253" s="387"/>
      <c r="CG253" s="387"/>
      <c r="CH253" s="387"/>
      <c r="CI253" s="988"/>
      <c r="CJ253" s="387"/>
      <c r="CK253" s="387"/>
      <c r="CL253" s="387"/>
      <c r="CM253" s="387"/>
      <c r="CN253" s="387"/>
      <c r="CO253" s="387"/>
      <c r="CP253" s="387"/>
      <c r="CQ253" s="387"/>
      <c r="CR253" s="387"/>
      <c r="CS253" s="387"/>
      <c r="CT253" s="387"/>
      <c r="CU253" s="988"/>
      <c r="CV253" s="387"/>
      <c r="CW253" s="387"/>
      <c r="CX253" s="387"/>
      <c r="CY253" s="387"/>
      <c r="CZ253" s="387"/>
      <c r="DA253" s="387"/>
      <c r="DB253" s="387"/>
      <c r="DC253" s="387"/>
      <c r="DD253" s="387"/>
      <c r="DE253" s="387"/>
      <c r="DF253" s="387"/>
      <c r="DG253" s="988"/>
      <c r="DH253" s="387"/>
      <c r="DI253" s="387"/>
      <c r="DJ253" s="387"/>
      <c r="DK253" s="387"/>
      <c r="DL253" s="387"/>
      <c r="DM253" s="387"/>
      <c r="DN253" s="387"/>
      <c r="DO253" s="387"/>
      <c r="DP253" s="387"/>
      <c r="DQ253" s="387"/>
      <c r="DR253" s="387"/>
      <c r="DS253" s="988"/>
      <c r="DT253" s="387">
        <v>853.35999999999967</v>
      </c>
      <c r="DU253" s="387">
        <v>1805.9299999999998</v>
      </c>
      <c r="DV253" s="387">
        <v>1112.58</v>
      </c>
      <c r="DW253" s="387">
        <v>1243.3199999999997</v>
      </c>
      <c r="DX253" s="387">
        <v>3616.17</v>
      </c>
      <c r="DY253" s="387">
        <v>996.32</v>
      </c>
      <c r="DZ253" s="387">
        <v>1001.06</v>
      </c>
      <c r="EA253" s="387">
        <v>1893.0500000000002</v>
      </c>
      <c r="EB253" s="387">
        <v>-1138.52</v>
      </c>
      <c r="EC253" s="387">
        <v>6228.72</v>
      </c>
      <c r="ED253" s="387">
        <v>1186.3899999999999</v>
      </c>
      <c r="EE253" s="988">
        <v>-292.17000000000007</v>
      </c>
      <c r="EF253" s="387"/>
      <c r="EG253" s="387"/>
      <c r="EH253" s="387"/>
      <c r="EI253" s="387"/>
      <c r="EJ253" s="387"/>
      <c r="EK253" s="387"/>
      <c r="EL253" s="387"/>
      <c r="EM253" s="387"/>
      <c r="EN253" s="387"/>
      <c r="EO253" s="387"/>
      <c r="EP253" s="387"/>
      <c r="EQ253" s="988"/>
      <c r="ER253" s="387"/>
      <c r="ES253" s="387"/>
      <c r="ET253" s="387"/>
      <c r="EU253" s="387"/>
      <c r="EV253" s="387"/>
      <c r="EW253" s="387"/>
      <c r="EX253" s="387"/>
      <c r="EY253" s="387"/>
      <c r="EZ253" s="387"/>
      <c r="FA253" s="387"/>
      <c r="FB253" s="387"/>
      <c r="FC253" s="988"/>
      <c r="FD253" s="387"/>
      <c r="FE253" s="387"/>
      <c r="FF253" s="387"/>
      <c r="FG253" s="387"/>
      <c r="FH253" s="387"/>
      <c r="FI253" s="387"/>
      <c r="FJ253" s="387"/>
      <c r="FK253" s="387"/>
      <c r="FL253" s="387"/>
      <c r="FM253" s="387"/>
      <c r="FN253" s="387"/>
      <c r="FO253" s="988"/>
      <c r="FP253" s="387"/>
      <c r="FQ253" s="387"/>
      <c r="FR253" s="387"/>
      <c r="FS253" s="387"/>
      <c r="FT253" s="387"/>
      <c r="FU253" s="387"/>
      <c r="FV253" s="387"/>
      <c r="FW253" s="387"/>
      <c r="FX253" s="387"/>
      <c r="FY253" s="387"/>
      <c r="FZ253" s="387"/>
      <c r="GA253" s="988"/>
      <c r="GB253" s="109"/>
      <c r="GC253" s="2214">
        <f t="shared" ref="GC253:GN262" si="168">SUMPRODUCT(--($D$6:$GA$6=GC$6),$D253:$GA253,$D$278:$GA$278)</f>
        <v>18279.180000000004</v>
      </c>
      <c r="GD253" s="387">
        <f t="shared" si="168"/>
        <v>27646.9</v>
      </c>
      <c r="GE253" s="387">
        <f t="shared" si="168"/>
        <v>24415.160000000003</v>
      </c>
      <c r="GF253" s="387">
        <f t="shared" si="168"/>
        <v>32599.61</v>
      </c>
      <c r="GG253" s="387">
        <f t="shared" si="168"/>
        <v>29572.249999999993</v>
      </c>
      <c r="GH253" s="387">
        <f t="shared" si="168"/>
        <v>6327.77</v>
      </c>
      <c r="GI253" s="387">
        <f t="shared" si="168"/>
        <v>37266.329999999994</v>
      </c>
      <c r="GJ253" s="387">
        <f t="shared" si="168"/>
        <v>36558.910000000003</v>
      </c>
      <c r="GK253" s="387">
        <f t="shared" si="168"/>
        <v>8755.0599999999977</v>
      </c>
      <c r="GL253" s="387">
        <f t="shared" si="168"/>
        <v>23713.760000000002</v>
      </c>
      <c r="GM253" s="387">
        <f t="shared" si="168"/>
        <v>44946.859999999993</v>
      </c>
      <c r="GN253" s="988">
        <f t="shared" si="168"/>
        <v>27163.739999999998</v>
      </c>
      <c r="GO253" s="1036">
        <f t="shared" ref="GO253:GZ262" si="169">SUMPRODUCT(--($DT$6:$GA$6=GO$6),$DT253:$GA253,$DT$278:$GA$278)</f>
        <v>853.35999999999967</v>
      </c>
      <c r="GP253" s="387">
        <f t="shared" si="169"/>
        <v>1805.9299999999998</v>
      </c>
      <c r="GQ253" s="387">
        <f t="shared" si="169"/>
        <v>1112.58</v>
      </c>
      <c r="GR253" s="387">
        <f t="shared" si="169"/>
        <v>1243.3199999999997</v>
      </c>
      <c r="GS253" s="387">
        <f t="shared" si="169"/>
        <v>3616.17</v>
      </c>
      <c r="GT253" s="387">
        <f t="shared" si="169"/>
        <v>996.32</v>
      </c>
      <c r="GU253" s="387">
        <f t="shared" si="169"/>
        <v>1001.06</v>
      </c>
      <c r="GV253" s="387">
        <f t="shared" si="169"/>
        <v>1893.0500000000002</v>
      </c>
      <c r="GW253" s="387">
        <f t="shared" si="169"/>
        <v>-1138.52</v>
      </c>
      <c r="GX253" s="387">
        <f t="shared" si="169"/>
        <v>6228.72</v>
      </c>
      <c r="GY253" s="387">
        <f t="shared" si="169"/>
        <v>1186.3899999999999</v>
      </c>
      <c r="GZ253" s="988">
        <f t="shared" si="169"/>
        <v>-292.17000000000007</v>
      </c>
      <c r="HB253" s="387"/>
      <c r="HC253" s="387"/>
      <c r="HD253" s="387"/>
      <c r="HE253" s="387"/>
      <c r="HF253" s="387"/>
      <c r="HG253" s="387"/>
      <c r="HH253" s="387"/>
      <c r="HI253" s="387"/>
      <c r="HJ253" s="387"/>
      <c r="HK253" s="387"/>
      <c r="HL253" s="387"/>
      <c r="HM253" s="988"/>
    </row>
    <row r="254" spans="1:221">
      <c r="A254" s="326" t="s">
        <v>900</v>
      </c>
      <c r="B254" s="326" t="s">
        <v>901</v>
      </c>
      <c r="C254" s="326" t="s">
        <v>2162</v>
      </c>
      <c r="D254" s="1036">
        <v>15769.580000000002</v>
      </c>
      <c r="E254" s="387">
        <v>15769.580000000002</v>
      </c>
      <c r="F254" s="387">
        <v>15769.580000000002</v>
      </c>
      <c r="G254" s="387">
        <v>15769.59</v>
      </c>
      <c r="H254" s="387">
        <v>15769.579999999998</v>
      </c>
      <c r="I254" s="387">
        <v>15769.579999999998</v>
      </c>
      <c r="J254" s="387">
        <v>15769.579999999998</v>
      </c>
      <c r="K254" s="387">
        <v>15769.579999999998</v>
      </c>
      <c r="L254" s="387">
        <v>15769.579999999998</v>
      </c>
      <c r="M254" s="387">
        <v>15716.929999999998</v>
      </c>
      <c r="N254" s="387">
        <v>15716.929999999998</v>
      </c>
      <c r="O254" s="988">
        <v>15716.929999999998</v>
      </c>
      <c r="P254" s="387">
        <v>758.06000000000006</v>
      </c>
      <c r="Q254" s="387">
        <v>758.06000000000006</v>
      </c>
      <c r="R254" s="387">
        <v>758.06000000000006</v>
      </c>
      <c r="S254" s="387">
        <v>758.05</v>
      </c>
      <c r="T254" s="387">
        <v>758.06000000000006</v>
      </c>
      <c r="U254" s="387">
        <v>758.06000000000006</v>
      </c>
      <c r="V254" s="387">
        <v>758.06000000000006</v>
      </c>
      <c r="W254" s="387">
        <v>758.06000000000006</v>
      </c>
      <c r="X254" s="387">
        <v>758.06000000000006</v>
      </c>
      <c r="Y254" s="387">
        <v>758.06000000000006</v>
      </c>
      <c r="Z254" s="387">
        <v>758.06000000000006</v>
      </c>
      <c r="AA254" s="988">
        <v>758.06000000000006</v>
      </c>
      <c r="AB254" s="387"/>
      <c r="AC254" s="387"/>
      <c r="AD254" s="387"/>
      <c r="AE254" s="387"/>
      <c r="AF254" s="387"/>
      <c r="AG254" s="387"/>
      <c r="AH254" s="387"/>
      <c r="AI254" s="387"/>
      <c r="AJ254" s="387"/>
      <c r="AK254" s="387"/>
      <c r="AL254" s="387"/>
      <c r="AM254" s="988"/>
      <c r="AN254" s="387"/>
      <c r="AO254" s="387"/>
      <c r="AP254" s="387"/>
      <c r="AQ254" s="387"/>
      <c r="AR254" s="387"/>
      <c r="AS254" s="387"/>
      <c r="AT254" s="387"/>
      <c r="AU254" s="387"/>
      <c r="AV254" s="387"/>
      <c r="AW254" s="387"/>
      <c r="AX254" s="387"/>
      <c r="AY254" s="988"/>
      <c r="AZ254" s="387"/>
      <c r="BA254" s="387"/>
      <c r="BB254" s="387"/>
      <c r="BC254" s="387"/>
      <c r="BD254" s="387"/>
      <c r="BE254" s="387"/>
      <c r="BF254" s="387"/>
      <c r="BG254" s="387"/>
      <c r="BH254" s="387"/>
      <c r="BI254" s="387"/>
      <c r="BJ254" s="387"/>
      <c r="BK254" s="988"/>
      <c r="BL254" s="387"/>
      <c r="BM254" s="387"/>
      <c r="BN254" s="387"/>
      <c r="BO254" s="387"/>
      <c r="BP254" s="387"/>
      <c r="BQ254" s="387"/>
      <c r="BR254" s="387"/>
      <c r="BS254" s="387"/>
      <c r="BT254" s="387"/>
      <c r="BU254" s="387"/>
      <c r="BV254" s="387"/>
      <c r="BW254" s="988"/>
      <c r="BX254" s="387"/>
      <c r="BY254" s="387"/>
      <c r="BZ254" s="387"/>
      <c r="CA254" s="387"/>
      <c r="CB254" s="387"/>
      <c r="CC254" s="387"/>
      <c r="CD254" s="387"/>
      <c r="CE254" s="387"/>
      <c r="CF254" s="387"/>
      <c r="CG254" s="387"/>
      <c r="CH254" s="387"/>
      <c r="CI254" s="988"/>
      <c r="CJ254" s="387"/>
      <c r="CK254" s="387"/>
      <c r="CL254" s="387"/>
      <c r="CM254" s="387"/>
      <c r="CN254" s="387"/>
      <c r="CO254" s="387"/>
      <c r="CP254" s="387"/>
      <c r="CQ254" s="387"/>
      <c r="CR254" s="387"/>
      <c r="CS254" s="387"/>
      <c r="CT254" s="387"/>
      <c r="CU254" s="988"/>
      <c r="CV254" s="387"/>
      <c r="CW254" s="387"/>
      <c r="CX254" s="387"/>
      <c r="CY254" s="387"/>
      <c r="CZ254" s="387"/>
      <c r="DA254" s="387"/>
      <c r="DB254" s="387"/>
      <c r="DC254" s="387"/>
      <c r="DD254" s="387"/>
      <c r="DE254" s="387"/>
      <c r="DF254" s="387"/>
      <c r="DG254" s="988"/>
      <c r="DH254" s="387"/>
      <c r="DI254" s="387"/>
      <c r="DJ254" s="387"/>
      <c r="DK254" s="387"/>
      <c r="DL254" s="387"/>
      <c r="DM254" s="387"/>
      <c r="DN254" s="387"/>
      <c r="DO254" s="387"/>
      <c r="DP254" s="387"/>
      <c r="DQ254" s="387"/>
      <c r="DR254" s="387"/>
      <c r="DS254" s="988"/>
      <c r="DT254" s="387" t="s">
        <v>2154</v>
      </c>
      <c r="DU254" s="387" t="s">
        <v>2154</v>
      </c>
      <c r="DV254" s="387" t="s">
        <v>2154</v>
      </c>
      <c r="DW254" s="387" t="s">
        <v>2154</v>
      </c>
      <c r="DX254" s="387" t="s">
        <v>2154</v>
      </c>
      <c r="DY254" s="387" t="s">
        <v>2154</v>
      </c>
      <c r="DZ254" s="387" t="s">
        <v>2154</v>
      </c>
      <c r="EA254" s="387" t="s">
        <v>2154</v>
      </c>
      <c r="EB254" s="387" t="s">
        <v>2154</v>
      </c>
      <c r="EC254" s="387" t="s">
        <v>2154</v>
      </c>
      <c r="ED254" s="387" t="s">
        <v>2154</v>
      </c>
      <c r="EE254" s="988" t="s">
        <v>2154</v>
      </c>
      <c r="EF254" s="387"/>
      <c r="EG254" s="387"/>
      <c r="EH254" s="387"/>
      <c r="EI254" s="387"/>
      <c r="EJ254" s="387"/>
      <c r="EK254" s="387"/>
      <c r="EL254" s="387"/>
      <c r="EM254" s="387"/>
      <c r="EN254" s="387"/>
      <c r="EO254" s="387"/>
      <c r="EP254" s="387"/>
      <c r="EQ254" s="988"/>
      <c r="ER254" s="387"/>
      <c r="ES254" s="387"/>
      <c r="ET254" s="387"/>
      <c r="EU254" s="387"/>
      <c r="EV254" s="387"/>
      <c r="EW254" s="387"/>
      <c r="EX254" s="387"/>
      <c r="EY254" s="387"/>
      <c r="EZ254" s="387"/>
      <c r="FA254" s="387"/>
      <c r="FB254" s="387"/>
      <c r="FC254" s="988"/>
      <c r="FD254" s="387"/>
      <c r="FE254" s="387"/>
      <c r="FF254" s="387"/>
      <c r="FG254" s="387"/>
      <c r="FH254" s="387"/>
      <c r="FI254" s="387"/>
      <c r="FJ254" s="387"/>
      <c r="FK254" s="387"/>
      <c r="FL254" s="387"/>
      <c r="FM254" s="387"/>
      <c r="FN254" s="387"/>
      <c r="FO254" s="988"/>
      <c r="FP254" s="387"/>
      <c r="FQ254" s="387"/>
      <c r="FR254" s="387"/>
      <c r="FS254" s="387"/>
      <c r="FT254" s="387"/>
      <c r="FU254" s="387"/>
      <c r="FV254" s="387"/>
      <c r="FW254" s="387"/>
      <c r="FX254" s="387"/>
      <c r="FY254" s="387"/>
      <c r="FZ254" s="387"/>
      <c r="GA254" s="988"/>
      <c r="GB254" s="109"/>
      <c r="GC254" s="2214">
        <f t="shared" si="168"/>
        <v>16527.640000000003</v>
      </c>
      <c r="GD254" s="387">
        <f t="shared" si="168"/>
        <v>16527.640000000003</v>
      </c>
      <c r="GE254" s="387">
        <f t="shared" si="168"/>
        <v>16527.640000000003</v>
      </c>
      <c r="GF254" s="387">
        <f t="shared" si="168"/>
        <v>16527.64</v>
      </c>
      <c r="GG254" s="387">
        <f t="shared" si="168"/>
        <v>16527.64</v>
      </c>
      <c r="GH254" s="387">
        <f t="shared" si="168"/>
        <v>16527.64</v>
      </c>
      <c r="GI254" s="387">
        <f t="shared" si="168"/>
        <v>16527.64</v>
      </c>
      <c r="GJ254" s="387">
        <f t="shared" si="168"/>
        <v>16527.64</v>
      </c>
      <c r="GK254" s="387">
        <f t="shared" si="168"/>
        <v>16527.64</v>
      </c>
      <c r="GL254" s="387">
        <f t="shared" si="168"/>
        <v>16474.989999999998</v>
      </c>
      <c r="GM254" s="387">
        <f t="shared" si="168"/>
        <v>16474.989999999998</v>
      </c>
      <c r="GN254" s="988">
        <f t="shared" si="168"/>
        <v>16474.989999999998</v>
      </c>
      <c r="GO254" s="1036">
        <f t="shared" si="169"/>
        <v>0</v>
      </c>
      <c r="GP254" s="387">
        <f t="shared" si="169"/>
        <v>0</v>
      </c>
      <c r="GQ254" s="387">
        <f t="shared" si="169"/>
        <v>0</v>
      </c>
      <c r="GR254" s="387">
        <f t="shared" si="169"/>
        <v>0</v>
      </c>
      <c r="GS254" s="387">
        <f t="shared" si="169"/>
        <v>0</v>
      </c>
      <c r="GT254" s="387">
        <f t="shared" si="169"/>
        <v>0</v>
      </c>
      <c r="GU254" s="387">
        <f t="shared" si="169"/>
        <v>0</v>
      </c>
      <c r="GV254" s="387">
        <f t="shared" si="169"/>
        <v>0</v>
      </c>
      <c r="GW254" s="387">
        <f t="shared" si="169"/>
        <v>0</v>
      </c>
      <c r="GX254" s="387">
        <f t="shared" si="169"/>
        <v>0</v>
      </c>
      <c r="GY254" s="387">
        <f t="shared" si="169"/>
        <v>0</v>
      </c>
      <c r="GZ254" s="988">
        <f t="shared" si="169"/>
        <v>0</v>
      </c>
      <c r="HB254" s="387"/>
      <c r="HC254" s="387"/>
      <c r="HD254" s="387"/>
      <c r="HE254" s="387"/>
      <c r="HF254" s="387"/>
      <c r="HG254" s="387"/>
      <c r="HH254" s="387"/>
      <c r="HI254" s="387"/>
      <c r="HJ254" s="387"/>
      <c r="HK254" s="387"/>
      <c r="HL254" s="387"/>
      <c r="HM254" s="988"/>
    </row>
    <row r="255" spans="1:221">
      <c r="A255" s="326" t="s">
        <v>900</v>
      </c>
      <c r="B255" s="326" t="s">
        <v>901</v>
      </c>
      <c r="C255" s="326" t="s">
        <v>157</v>
      </c>
      <c r="D255" s="1036">
        <v>9583.33</v>
      </c>
      <c r="E255" s="387">
        <v>9583.33</v>
      </c>
      <c r="F255" s="387">
        <v>9583.33</v>
      </c>
      <c r="G255" s="387">
        <v>9583.33</v>
      </c>
      <c r="H255" s="387">
        <v>9583.33</v>
      </c>
      <c r="I255" s="387">
        <v>9583.33</v>
      </c>
      <c r="J255" s="387">
        <v>9583.33</v>
      </c>
      <c r="K255" s="387">
        <v>9583.33</v>
      </c>
      <c r="L255" s="387">
        <v>9583.33</v>
      </c>
      <c r="M255" s="387">
        <v>9583.33</v>
      </c>
      <c r="N255" s="387">
        <v>9583.33</v>
      </c>
      <c r="O255" s="988">
        <v>9583.33</v>
      </c>
      <c r="P255" s="387">
        <v>4166.66</v>
      </c>
      <c r="Q255" s="387">
        <v>4166.66</v>
      </c>
      <c r="R255" s="387">
        <v>4166.66</v>
      </c>
      <c r="S255" s="387">
        <v>4166.66</v>
      </c>
      <c r="T255" s="387">
        <v>4166.66</v>
      </c>
      <c r="U255" s="387">
        <v>4166.66</v>
      </c>
      <c r="V255" s="387">
        <v>4166.66</v>
      </c>
      <c r="W255" s="387">
        <v>4166.66</v>
      </c>
      <c r="X255" s="387">
        <v>4166.66</v>
      </c>
      <c r="Y255" s="387">
        <v>4166.66</v>
      </c>
      <c r="Z255" s="387">
        <v>4166.66</v>
      </c>
      <c r="AA255" s="988">
        <v>4166.66</v>
      </c>
      <c r="AB255" s="387"/>
      <c r="AC255" s="387"/>
      <c r="AD255" s="387"/>
      <c r="AE255" s="387"/>
      <c r="AF255" s="387"/>
      <c r="AG255" s="387"/>
      <c r="AH255" s="387"/>
      <c r="AI255" s="387"/>
      <c r="AJ255" s="387"/>
      <c r="AK255" s="387"/>
      <c r="AL255" s="387"/>
      <c r="AM255" s="988"/>
      <c r="AN255" s="387"/>
      <c r="AO255" s="387"/>
      <c r="AP255" s="387"/>
      <c r="AQ255" s="387"/>
      <c r="AR255" s="387"/>
      <c r="AS255" s="387"/>
      <c r="AT255" s="387"/>
      <c r="AU255" s="387"/>
      <c r="AV255" s="387"/>
      <c r="AW255" s="387"/>
      <c r="AX255" s="387"/>
      <c r="AY255" s="988"/>
      <c r="AZ255" s="387"/>
      <c r="BA255" s="387"/>
      <c r="BB255" s="387"/>
      <c r="BC255" s="387"/>
      <c r="BD255" s="387"/>
      <c r="BE255" s="387"/>
      <c r="BF255" s="387"/>
      <c r="BG255" s="387"/>
      <c r="BH255" s="387"/>
      <c r="BI255" s="387"/>
      <c r="BJ255" s="387"/>
      <c r="BK255" s="988"/>
      <c r="BL255" s="387"/>
      <c r="BM255" s="387"/>
      <c r="BN255" s="387"/>
      <c r="BO255" s="387"/>
      <c r="BP255" s="387"/>
      <c r="BQ255" s="387"/>
      <c r="BR255" s="387"/>
      <c r="BS255" s="387"/>
      <c r="BT255" s="387"/>
      <c r="BU255" s="387"/>
      <c r="BV255" s="387"/>
      <c r="BW255" s="988"/>
      <c r="BX255" s="387"/>
      <c r="BY255" s="387"/>
      <c r="BZ255" s="387"/>
      <c r="CA255" s="387"/>
      <c r="CB255" s="387"/>
      <c r="CC255" s="387"/>
      <c r="CD255" s="387"/>
      <c r="CE255" s="387"/>
      <c r="CF255" s="387"/>
      <c r="CG255" s="387"/>
      <c r="CH255" s="387"/>
      <c r="CI255" s="988"/>
      <c r="CJ255" s="387"/>
      <c r="CK255" s="387"/>
      <c r="CL255" s="387"/>
      <c r="CM255" s="387"/>
      <c r="CN255" s="387"/>
      <c r="CO255" s="387"/>
      <c r="CP255" s="387"/>
      <c r="CQ255" s="387"/>
      <c r="CR255" s="387"/>
      <c r="CS255" s="387"/>
      <c r="CT255" s="387"/>
      <c r="CU255" s="988"/>
      <c r="CV255" s="387"/>
      <c r="CW255" s="387"/>
      <c r="CX255" s="387"/>
      <c r="CY255" s="387"/>
      <c r="CZ255" s="387"/>
      <c r="DA255" s="387"/>
      <c r="DB255" s="387"/>
      <c r="DC255" s="387"/>
      <c r="DD255" s="387"/>
      <c r="DE255" s="387"/>
      <c r="DF255" s="387"/>
      <c r="DG255" s="988"/>
      <c r="DH255" s="387"/>
      <c r="DI255" s="387"/>
      <c r="DJ255" s="387"/>
      <c r="DK255" s="387"/>
      <c r="DL255" s="387"/>
      <c r="DM255" s="387"/>
      <c r="DN255" s="387"/>
      <c r="DO255" s="387"/>
      <c r="DP255" s="387"/>
      <c r="DQ255" s="387"/>
      <c r="DR255" s="387"/>
      <c r="DS255" s="988"/>
      <c r="DT255" s="387">
        <v>2083.33</v>
      </c>
      <c r="DU255" s="387">
        <v>2083.33</v>
      </c>
      <c r="DV255" s="387">
        <v>2083.33</v>
      </c>
      <c r="DW255" s="387">
        <v>2083.33</v>
      </c>
      <c r="DX255" s="387">
        <v>2083.33</v>
      </c>
      <c r="DY255" s="387">
        <v>2083.33</v>
      </c>
      <c r="DZ255" s="387">
        <v>2083.33</v>
      </c>
      <c r="EA255" s="387">
        <v>2083.33</v>
      </c>
      <c r="EB255" s="387">
        <v>2083.33</v>
      </c>
      <c r="EC255" s="387">
        <v>2083.33</v>
      </c>
      <c r="ED255" s="387">
        <v>2083.33</v>
      </c>
      <c r="EE255" s="988">
        <v>2083.33</v>
      </c>
      <c r="EF255" s="387"/>
      <c r="EG255" s="387"/>
      <c r="EH255" s="387"/>
      <c r="EI255" s="387"/>
      <c r="EJ255" s="387"/>
      <c r="EK255" s="387"/>
      <c r="EL255" s="387"/>
      <c r="EM255" s="387"/>
      <c r="EN255" s="387"/>
      <c r="EO255" s="387"/>
      <c r="EP255" s="387"/>
      <c r="EQ255" s="988"/>
      <c r="ER255" s="387"/>
      <c r="ES255" s="387"/>
      <c r="ET255" s="387"/>
      <c r="EU255" s="387"/>
      <c r="EV255" s="387"/>
      <c r="EW255" s="387"/>
      <c r="EX255" s="387"/>
      <c r="EY255" s="387"/>
      <c r="EZ255" s="387"/>
      <c r="FA255" s="387"/>
      <c r="FB255" s="387"/>
      <c r="FC255" s="988"/>
      <c r="FD255" s="387"/>
      <c r="FE255" s="387"/>
      <c r="FF255" s="387"/>
      <c r="FG255" s="387"/>
      <c r="FH255" s="387"/>
      <c r="FI255" s="387"/>
      <c r="FJ255" s="387"/>
      <c r="FK255" s="387"/>
      <c r="FL255" s="387"/>
      <c r="FM255" s="387"/>
      <c r="FN255" s="387"/>
      <c r="FO255" s="988"/>
      <c r="FP255" s="387"/>
      <c r="FQ255" s="387"/>
      <c r="FR255" s="387"/>
      <c r="FS255" s="387"/>
      <c r="FT255" s="387"/>
      <c r="FU255" s="387"/>
      <c r="FV255" s="387"/>
      <c r="FW255" s="387"/>
      <c r="FX255" s="387"/>
      <c r="FY255" s="387"/>
      <c r="FZ255" s="387"/>
      <c r="GA255" s="988"/>
      <c r="GB255" s="109"/>
      <c r="GC255" s="2214">
        <f t="shared" si="168"/>
        <v>15833.32</v>
      </c>
      <c r="GD255" s="387">
        <f t="shared" si="168"/>
        <v>15833.32</v>
      </c>
      <c r="GE255" s="387">
        <f t="shared" si="168"/>
        <v>15833.32</v>
      </c>
      <c r="GF255" s="387">
        <f t="shared" si="168"/>
        <v>15833.32</v>
      </c>
      <c r="GG255" s="387">
        <f t="shared" si="168"/>
        <v>15833.32</v>
      </c>
      <c r="GH255" s="387">
        <f t="shared" si="168"/>
        <v>15833.32</v>
      </c>
      <c r="GI255" s="387">
        <f t="shared" si="168"/>
        <v>15833.32</v>
      </c>
      <c r="GJ255" s="387">
        <f t="shared" si="168"/>
        <v>15833.32</v>
      </c>
      <c r="GK255" s="387">
        <f t="shared" si="168"/>
        <v>15833.32</v>
      </c>
      <c r="GL255" s="387">
        <f t="shared" si="168"/>
        <v>15833.32</v>
      </c>
      <c r="GM255" s="387">
        <f t="shared" si="168"/>
        <v>15833.32</v>
      </c>
      <c r="GN255" s="988">
        <f t="shared" si="168"/>
        <v>15833.32</v>
      </c>
      <c r="GO255" s="1036">
        <f t="shared" si="169"/>
        <v>2083.33</v>
      </c>
      <c r="GP255" s="387">
        <f t="shared" si="169"/>
        <v>2083.33</v>
      </c>
      <c r="GQ255" s="387">
        <f t="shared" si="169"/>
        <v>2083.33</v>
      </c>
      <c r="GR255" s="387">
        <f t="shared" si="169"/>
        <v>2083.33</v>
      </c>
      <c r="GS255" s="387">
        <f t="shared" si="169"/>
        <v>2083.33</v>
      </c>
      <c r="GT255" s="387">
        <f t="shared" si="169"/>
        <v>2083.33</v>
      </c>
      <c r="GU255" s="387">
        <f t="shared" si="169"/>
        <v>2083.33</v>
      </c>
      <c r="GV255" s="387">
        <f t="shared" si="169"/>
        <v>2083.33</v>
      </c>
      <c r="GW255" s="387">
        <f t="shared" si="169"/>
        <v>2083.33</v>
      </c>
      <c r="GX255" s="387">
        <f t="shared" si="169"/>
        <v>2083.33</v>
      </c>
      <c r="GY255" s="387">
        <f t="shared" si="169"/>
        <v>2083.33</v>
      </c>
      <c r="GZ255" s="988">
        <f t="shared" si="169"/>
        <v>2083.33</v>
      </c>
      <c r="HB255" s="387"/>
      <c r="HC255" s="387"/>
      <c r="HD255" s="387"/>
      <c r="HE255" s="387"/>
      <c r="HF255" s="387"/>
      <c r="HG255" s="387"/>
      <c r="HH255" s="387"/>
      <c r="HI255" s="387"/>
      <c r="HJ255" s="387"/>
      <c r="HK255" s="387"/>
      <c r="HL255" s="387"/>
      <c r="HM255" s="988"/>
    </row>
    <row r="256" spans="1:221">
      <c r="A256" s="326" t="s">
        <v>900</v>
      </c>
      <c r="B256" s="326" t="s">
        <v>901</v>
      </c>
      <c r="C256" s="326" t="s">
        <v>3808</v>
      </c>
      <c r="D256" s="1036" t="s">
        <v>2154</v>
      </c>
      <c r="E256" s="387" t="s">
        <v>2154</v>
      </c>
      <c r="F256" s="387" t="s">
        <v>2154</v>
      </c>
      <c r="G256" s="387" t="s">
        <v>2154</v>
      </c>
      <c r="H256" s="387" t="s">
        <v>2154</v>
      </c>
      <c r="I256" s="387" t="s">
        <v>2154</v>
      </c>
      <c r="J256" s="387" t="s">
        <v>2154</v>
      </c>
      <c r="K256" s="387" t="s">
        <v>2154</v>
      </c>
      <c r="L256" s="387" t="s">
        <v>2154</v>
      </c>
      <c r="M256" s="387" t="s">
        <v>2154</v>
      </c>
      <c r="N256" s="387" t="s">
        <v>2154</v>
      </c>
      <c r="O256" s="988" t="s">
        <v>2154</v>
      </c>
      <c r="P256" s="387" t="s">
        <v>2154</v>
      </c>
      <c r="Q256" s="387" t="s">
        <v>2154</v>
      </c>
      <c r="R256" s="387" t="s">
        <v>2154</v>
      </c>
      <c r="S256" s="387" t="s">
        <v>2154</v>
      </c>
      <c r="T256" s="387" t="s">
        <v>2154</v>
      </c>
      <c r="U256" s="387" t="s">
        <v>2154</v>
      </c>
      <c r="V256" s="387" t="s">
        <v>2154</v>
      </c>
      <c r="W256" s="387" t="s">
        <v>2154</v>
      </c>
      <c r="X256" s="387" t="s">
        <v>2154</v>
      </c>
      <c r="Y256" s="387" t="s">
        <v>2154</v>
      </c>
      <c r="Z256" s="387" t="s">
        <v>2154</v>
      </c>
      <c r="AA256" s="988" t="s">
        <v>2154</v>
      </c>
      <c r="AB256" s="387"/>
      <c r="AC256" s="387"/>
      <c r="AD256" s="387"/>
      <c r="AE256" s="387"/>
      <c r="AF256" s="387"/>
      <c r="AG256" s="387"/>
      <c r="AH256" s="387"/>
      <c r="AI256" s="387"/>
      <c r="AJ256" s="387"/>
      <c r="AK256" s="387"/>
      <c r="AL256" s="387"/>
      <c r="AM256" s="988"/>
      <c r="AN256" s="387"/>
      <c r="AO256" s="387"/>
      <c r="AP256" s="387"/>
      <c r="AQ256" s="387"/>
      <c r="AR256" s="387"/>
      <c r="AS256" s="387"/>
      <c r="AT256" s="387"/>
      <c r="AU256" s="387"/>
      <c r="AV256" s="387"/>
      <c r="AW256" s="387"/>
      <c r="AX256" s="387"/>
      <c r="AY256" s="988"/>
      <c r="AZ256" s="387"/>
      <c r="BA256" s="387"/>
      <c r="BB256" s="387"/>
      <c r="BC256" s="387"/>
      <c r="BD256" s="387"/>
      <c r="BE256" s="387"/>
      <c r="BF256" s="387"/>
      <c r="BG256" s="387"/>
      <c r="BH256" s="387"/>
      <c r="BI256" s="387"/>
      <c r="BJ256" s="387"/>
      <c r="BK256" s="988"/>
      <c r="BL256" s="387"/>
      <c r="BM256" s="387"/>
      <c r="BN256" s="387"/>
      <c r="BO256" s="387"/>
      <c r="BP256" s="387"/>
      <c r="BQ256" s="387"/>
      <c r="BR256" s="387"/>
      <c r="BS256" s="387"/>
      <c r="BT256" s="387"/>
      <c r="BU256" s="387"/>
      <c r="BV256" s="387"/>
      <c r="BW256" s="988"/>
      <c r="BX256" s="387"/>
      <c r="BY256" s="387"/>
      <c r="BZ256" s="387"/>
      <c r="CA256" s="387"/>
      <c r="CB256" s="387"/>
      <c r="CC256" s="387"/>
      <c r="CD256" s="387"/>
      <c r="CE256" s="387"/>
      <c r="CF256" s="387"/>
      <c r="CG256" s="387"/>
      <c r="CH256" s="387"/>
      <c r="CI256" s="988"/>
      <c r="CJ256" s="387"/>
      <c r="CK256" s="387"/>
      <c r="CL256" s="387"/>
      <c r="CM256" s="387"/>
      <c r="CN256" s="387"/>
      <c r="CO256" s="387"/>
      <c r="CP256" s="387"/>
      <c r="CQ256" s="387"/>
      <c r="CR256" s="387"/>
      <c r="CS256" s="387"/>
      <c r="CT256" s="387"/>
      <c r="CU256" s="988"/>
      <c r="CV256" s="387"/>
      <c r="CW256" s="387"/>
      <c r="CX256" s="387"/>
      <c r="CY256" s="387"/>
      <c r="CZ256" s="387"/>
      <c r="DA256" s="387"/>
      <c r="DB256" s="387"/>
      <c r="DC256" s="387"/>
      <c r="DD256" s="387"/>
      <c r="DE256" s="387"/>
      <c r="DF256" s="387"/>
      <c r="DG256" s="988"/>
      <c r="DH256" s="387"/>
      <c r="DI256" s="387"/>
      <c r="DJ256" s="387"/>
      <c r="DK256" s="387"/>
      <c r="DL256" s="387"/>
      <c r="DM256" s="387"/>
      <c r="DN256" s="387"/>
      <c r="DO256" s="387"/>
      <c r="DP256" s="387"/>
      <c r="DQ256" s="387"/>
      <c r="DR256" s="387"/>
      <c r="DS256" s="988"/>
      <c r="DT256" s="387" t="s">
        <v>2154</v>
      </c>
      <c r="DU256" s="387" t="s">
        <v>2154</v>
      </c>
      <c r="DV256" s="387" t="s">
        <v>2154</v>
      </c>
      <c r="DW256" s="387" t="s">
        <v>2154</v>
      </c>
      <c r="DX256" s="387" t="s">
        <v>2154</v>
      </c>
      <c r="DY256" s="387" t="s">
        <v>2154</v>
      </c>
      <c r="DZ256" s="387" t="s">
        <v>2154</v>
      </c>
      <c r="EA256" s="387" t="s">
        <v>2154</v>
      </c>
      <c r="EB256" s="387" t="s">
        <v>2154</v>
      </c>
      <c r="EC256" s="387" t="s">
        <v>2154</v>
      </c>
      <c r="ED256" s="387" t="s">
        <v>2154</v>
      </c>
      <c r="EE256" s="988" t="s">
        <v>2154</v>
      </c>
      <c r="EF256" s="387"/>
      <c r="EG256" s="387"/>
      <c r="EH256" s="387"/>
      <c r="EI256" s="387"/>
      <c r="EJ256" s="387"/>
      <c r="EK256" s="387"/>
      <c r="EL256" s="387"/>
      <c r="EM256" s="387"/>
      <c r="EN256" s="387"/>
      <c r="EO256" s="387"/>
      <c r="EP256" s="387"/>
      <c r="EQ256" s="988"/>
      <c r="ER256" s="387"/>
      <c r="ES256" s="387"/>
      <c r="ET256" s="387"/>
      <c r="EU256" s="387"/>
      <c r="EV256" s="387"/>
      <c r="EW256" s="387"/>
      <c r="EX256" s="387"/>
      <c r="EY256" s="387"/>
      <c r="EZ256" s="387"/>
      <c r="FA256" s="387"/>
      <c r="FB256" s="387"/>
      <c r="FC256" s="988"/>
      <c r="FD256" s="387"/>
      <c r="FE256" s="387"/>
      <c r="FF256" s="387"/>
      <c r="FG256" s="387"/>
      <c r="FH256" s="387"/>
      <c r="FI256" s="387"/>
      <c r="FJ256" s="387"/>
      <c r="FK256" s="387"/>
      <c r="FL256" s="387"/>
      <c r="FM256" s="387"/>
      <c r="FN256" s="387"/>
      <c r="FO256" s="988"/>
      <c r="FP256" s="387"/>
      <c r="FQ256" s="387"/>
      <c r="FR256" s="387"/>
      <c r="FS256" s="387"/>
      <c r="FT256" s="387"/>
      <c r="FU256" s="387"/>
      <c r="FV256" s="387"/>
      <c r="FW256" s="387"/>
      <c r="FX256" s="387"/>
      <c r="FY256" s="387"/>
      <c r="FZ256" s="387"/>
      <c r="GA256" s="988"/>
      <c r="GB256" s="109"/>
      <c r="GC256" s="2214">
        <f t="shared" si="168"/>
        <v>0</v>
      </c>
      <c r="GD256" s="387">
        <f t="shared" si="168"/>
        <v>0</v>
      </c>
      <c r="GE256" s="387">
        <f t="shared" si="168"/>
        <v>0</v>
      </c>
      <c r="GF256" s="387">
        <f t="shared" si="168"/>
        <v>0</v>
      </c>
      <c r="GG256" s="387">
        <f t="shared" si="168"/>
        <v>0</v>
      </c>
      <c r="GH256" s="387">
        <f t="shared" si="168"/>
        <v>0</v>
      </c>
      <c r="GI256" s="387">
        <f t="shared" si="168"/>
        <v>0</v>
      </c>
      <c r="GJ256" s="387">
        <f t="shared" si="168"/>
        <v>0</v>
      </c>
      <c r="GK256" s="387">
        <f t="shared" si="168"/>
        <v>0</v>
      </c>
      <c r="GL256" s="387">
        <f t="shared" si="168"/>
        <v>0</v>
      </c>
      <c r="GM256" s="387">
        <f t="shared" si="168"/>
        <v>0</v>
      </c>
      <c r="GN256" s="988">
        <f t="shared" si="168"/>
        <v>0</v>
      </c>
      <c r="GO256" s="1036">
        <f t="shared" si="169"/>
        <v>0</v>
      </c>
      <c r="GP256" s="387">
        <f t="shared" si="169"/>
        <v>0</v>
      </c>
      <c r="GQ256" s="387">
        <f t="shared" si="169"/>
        <v>0</v>
      </c>
      <c r="GR256" s="387">
        <f t="shared" si="169"/>
        <v>0</v>
      </c>
      <c r="GS256" s="387">
        <f t="shared" si="169"/>
        <v>0</v>
      </c>
      <c r="GT256" s="387">
        <f t="shared" si="169"/>
        <v>0</v>
      </c>
      <c r="GU256" s="387">
        <f t="shared" si="169"/>
        <v>0</v>
      </c>
      <c r="GV256" s="387">
        <f t="shared" si="169"/>
        <v>0</v>
      </c>
      <c r="GW256" s="387">
        <f t="shared" si="169"/>
        <v>0</v>
      </c>
      <c r="GX256" s="387">
        <f t="shared" si="169"/>
        <v>0</v>
      </c>
      <c r="GY256" s="387">
        <f t="shared" si="169"/>
        <v>0</v>
      </c>
      <c r="GZ256" s="988">
        <f t="shared" si="169"/>
        <v>0</v>
      </c>
      <c r="HB256" s="387"/>
      <c r="HC256" s="387"/>
      <c r="HD256" s="387"/>
      <c r="HE256" s="387"/>
      <c r="HF256" s="387"/>
      <c r="HG256" s="387"/>
      <c r="HH256" s="387"/>
      <c r="HI256" s="387"/>
      <c r="HJ256" s="387"/>
      <c r="HK256" s="387"/>
      <c r="HL256" s="387"/>
      <c r="HM256" s="988"/>
    </row>
    <row r="257" spans="1:221">
      <c r="A257" s="326" t="s">
        <v>900</v>
      </c>
      <c r="B257" s="326" t="s">
        <v>901</v>
      </c>
      <c r="C257" s="326" t="s">
        <v>3679</v>
      </c>
      <c r="D257" s="1036" t="s">
        <v>2154</v>
      </c>
      <c r="E257" s="387" t="s">
        <v>2154</v>
      </c>
      <c r="F257" s="387">
        <v>1005.02</v>
      </c>
      <c r="G257" s="387" t="s">
        <v>2154</v>
      </c>
      <c r="H257" s="387" t="s">
        <v>2154</v>
      </c>
      <c r="I257" s="387" t="s">
        <v>2154</v>
      </c>
      <c r="J257" s="387">
        <v>57.36</v>
      </c>
      <c r="K257" s="387" t="s">
        <v>2154</v>
      </c>
      <c r="L257" s="387" t="s">
        <v>2154</v>
      </c>
      <c r="M257" s="387" t="s">
        <v>2154</v>
      </c>
      <c r="N257" s="387" t="s">
        <v>2154</v>
      </c>
      <c r="O257" s="988" t="s">
        <v>2154</v>
      </c>
      <c r="P257" s="387" t="s">
        <v>2154</v>
      </c>
      <c r="Q257" s="387" t="s">
        <v>2154</v>
      </c>
      <c r="R257" s="387">
        <v>16.2</v>
      </c>
      <c r="S257" s="387" t="s">
        <v>2154</v>
      </c>
      <c r="T257" s="387" t="s">
        <v>2154</v>
      </c>
      <c r="U257" s="387" t="s">
        <v>2154</v>
      </c>
      <c r="V257" s="387">
        <v>18.170000000000002</v>
      </c>
      <c r="W257" s="387" t="s">
        <v>2154</v>
      </c>
      <c r="X257" s="387" t="s">
        <v>2154</v>
      </c>
      <c r="Y257" s="387" t="s">
        <v>2154</v>
      </c>
      <c r="Z257" s="387" t="s">
        <v>2154</v>
      </c>
      <c r="AA257" s="988" t="s">
        <v>2154</v>
      </c>
      <c r="AB257" s="387"/>
      <c r="AC257" s="387"/>
      <c r="AD257" s="387"/>
      <c r="AE257" s="387"/>
      <c r="AF257" s="387"/>
      <c r="AG257" s="387"/>
      <c r="AH257" s="387"/>
      <c r="AI257" s="387"/>
      <c r="AJ257" s="387"/>
      <c r="AK257" s="387"/>
      <c r="AL257" s="387"/>
      <c r="AM257" s="988"/>
      <c r="AN257" s="387"/>
      <c r="AO257" s="387"/>
      <c r="AP257" s="387"/>
      <c r="AQ257" s="387"/>
      <c r="AR257" s="387"/>
      <c r="AS257" s="387"/>
      <c r="AT257" s="387"/>
      <c r="AU257" s="387"/>
      <c r="AV257" s="387"/>
      <c r="AW257" s="387"/>
      <c r="AX257" s="387"/>
      <c r="AY257" s="988"/>
      <c r="AZ257" s="387"/>
      <c r="BA257" s="387"/>
      <c r="BB257" s="387"/>
      <c r="BC257" s="387"/>
      <c r="BD257" s="387"/>
      <c r="BE257" s="387"/>
      <c r="BF257" s="387"/>
      <c r="BG257" s="387"/>
      <c r="BH257" s="387"/>
      <c r="BI257" s="387"/>
      <c r="BJ257" s="387"/>
      <c r="BK257" s="988"/>
      <c r="BL257" s="387"/>
      <c r="BM257" s="387"/>
      <c r="BN257" s="387"/>
      <c r="BO257" s="387"/>
      <c r="BP257" s="387"/>
      <c r="BQ257" s="387"/>
      <c r="BR257" s="387"/>
      <c r="BS257" s="387"/>
      <c r="BT257" s="387"/>
      <c r="BU257" s="387"/>
      <c r="BV257" s="387"/>
      <c r="BW257" s="988"/>
      <c r="BX257" s="387"/>
      <c r="BY257" s="387"/>
      <c r="BZ257" s="387"/>
      <c r="CA257" s="387"/>
      <c r="CB257" s="387"/>
      <c r="CC257" s="387"/>
      <c r="CD257" s="387"/>
      <c r="CE257" s="387"/>
      <c r="CF257" s="387"/>
      <c r="CG257" s="387"/>
      <c r="CH257" s="387"/>
      <c r="CI257" s="988"/>
      <c r="CJ257" s="387"/>
      <c r="CK257" s="387"/>
      <c r="CL257" s="387"/>
      <c r="CM257" s="387"/>
      <c r="CN257" s="387"/>
      <c r="CO257" s="387"/>
      <c r="CP257" s="387"/>
      <c r="CQ257" s="387"/>
      <c r="CR257" s="387"/>
      <c r="CS257" s="387"/>
      <c r="CT257" s="387"/>
      <c r="CU257" s="988"/>
      <c r="CV257" s="387"/>
      <c r="CW257" s="387"/>
      <c r="CX257" s="387"/>
      <c r="CY257" s="387"/>
      <c r="CZ257" s="387"/>
      <c r="DA257" s="387"/>
      <c r="DB257" s="387"/>
      <c r="DC257" s="387"/>
      <c r="DD257" s="387"/>
      <c r="DE257" s="387"/>
      <c r="DF257" s="387"/>
      <c r="DG257" s="988"/>
      <c r="DH257" s="387"/>
      <c r="DI257" s="387"/>
      <c r="DJ257" s="387"/>
      <c r="DK257" s="387"/>
      <c r="DL257" s="387"/>
      <c r="DM257" s="387"/>
      <c r="DN257" s="387"/>
      <c r="DO257" s="387"/>
      <c r="DP257" s="387"/>
      <c r="DQ257" s="387"/>
      <c r="DR257" s="387"/>
      <c r="DS257" s="988"/>
      <c r="DT257" s="387" t="s">
        <v>2154</v>
      </c>
      <c r="DU257" s="387" t="s">
        <v>2154</v>
      </c>
      <c r="DV257" s="387" t="s">
        <v>2154</v>
      </c>
      <c r="DW257" s="387" t="s">
        <v>2154</v>
      </c>
      <c r="DX257" s="387" t="s">
        <v>2154</v>
      </c>
      <c r="DY257" s="387">
        <v>1056.19</v>
      </c>
      <c r="DZ257" s="387">
        <v>7.49</v>
      </c>
      <c r="EA257" s="387" t="s">
        <v>2154</v>
      </c>
      <c r="EB257" s="387" t="s">
        <v>2154</v>
      </c>
      <c r="EC257" s="387" t="s">
        <v>2154</v>
      </c>
      <c r="ED257" s="387" t="s">
        <v>2154</v>
      </c>
      <c r="EE257" s="988" t="s">
        <v>2154</v>
      </c>
      <c r="EF257" s="387"/>
      <c r="EG257" s="387"/>
      <c r="EH257" s="387"/>
      <c r="EI257" s="387"/>
      <c r="EJ257" s="387"/>
      <c r="EK257" s="387"/>
      <c r="EL257" s="387"/>
      <c r="EM257" s="387"/>
      <c r="EN257" s="387"/>
      <c r="EO257" s="387"/>
      <c r="EP257" s="387"/>
      <c r="EQ257" s="988"/>
      <c r="ER257" s="387"/>
      <c r="ES257" s="387"/>
      <c r="ET257" s="387"/>
      <c r="EU257" s="387"/>
      <c r="EV257" s="387"/>
      <c r="EW257" s="387"/>
      <c r="EX257" s="387"/>
      <c r="EY257" s="387"/>
      <c r="EZ257" s="387"/>
      <c r="FA257" s="387"/>
      <c r="FB257" s="387"/>
      <c r="FC257" s="988"/>
      <c r="FD257" s="387"/>
      <c r="FE257" s="387"/>
      <c r="FF257" s="387"/>
      <c r="FG257" s="387"/>
      <c r="FH257" s="387"/>
      <c r="FI257" s="387"/>
      <c r="FJ257" s="387"/>
      <c r="FK257" s="387"/>
      <c r="FL257" s="387"/>
      <c r="FM257" s="387"/>
      <c r="FN257" s="387"/>
      <c r="FO257" s="988"/>
      <c r="FP257" s="387"/>
      <c r="FQ257" s="387"/>
      <c r="FR257" s="387"/>
      <c r="FS257" s="387"/>
      <c r="FT257" s="387"/>
      <c r="FU257" s="387"/>
      <c r="FV257" s="387"/>
      <c r="FW257" s="387"/>
      <c r="FX257" s="387"/>
      <c r="FY257" s="387"/>
      <c r="FZ257" s="387"/>
      <c r="GA257" s="988"/>
      <c r="GB257" s="109"/>
      <c r="GC257" s="2214">
        <f t="shared" si="168"/>
        <v>0</v>
      </c>
      <c r="GD257" s="387">
        <f t="shared" si="168"/>
        <v>0</v>
      </c>
      <c r="GE257" s="387">
        <f t="shared" si="168"/>
        <v>1021.22</v>
      </c>
      <c r="GF257" s="387">
        <f t="shared" si="168"/>
        <v>0</v>
      </c>
      <c r="GG257" s="387">
        <f t="shared" si="168"/>
        <v>0</v>
      </c>
      <c r="GH257" s="387">
        <f t="shared" si="168"/>
        <v>1056.19</v>
      </c>
      <c r="GI257" s="387">
        <f t="shared" si="168"/>
        <v>83.02</v>
      </c>
      <c r="GJ257" s="387">
        <f t="shared" si="168"/>
        <v>0</v>
      </c>
      <c r="GK257" s="387">
        <f t="shared" si="168"/>
        <v>0</v>
      </c>
      <c r="GL257" s="387">
        <f t="shared" si="168"/>
        <v>0</v>
      </c>
      <c r="GM257" s="387">
        <f t="shared" si="168"/>
        <v>0</v>
      </c>
      <c r="GN257" s="988">
        <f t="shared" si="168"/>
        <v>0</v>
      </c>
      <c r="GO257" s="1036">
        <f t="shared" si="169"/>
        <v>0</v>
      </c>
      <c r="GP257" s="387">
        <f t="shared" si="169"/>
        <v>0</v>
      </c>
      <c r="GQ257" s="387">
        <f t="shared" si="169"/>
        <v>0</v>
      </c>
      <c r="GR257" s="387">
        <f t="shared" si="169"/>
        <v>0</v>
      </c>
      <c r="GS257" s="387">
        <f t="shared" si="169"/>
        <v>0</v>
      </c>
      <c r="GT257" s="387">
        <f t="shared" si="169"/>
        <v>1056.19</v>
      </c>
      <c r="GU257" s="387">
        <f t="shared" si="169"/>
        <v>7.49</v>
      </c>
      <c r="GV257" s="387">
        <f t="shared" si="169"/>
        <v>0</v>
      </c>
      <c r="GW257" s="387">
        <f t="shared" si="169"/>
        <v>0</v>
      </c>
      <c r="GX257" s="387">
        <f t="shared" si="169"/>
        <v>0</v>
      </c>
      <c r="GY257" s="387">
        <f t="shared" si="169"/>
        <v>0</v>
      </c>
      <c r="GZ257" s="988">
        <f t="shared" si="169"/>
        <v>0</v>
      </c>
      <c r="HB257" s="387"/>
      <c r="HC257" s="387"/>
      <c r="HD257" s="387"/>
      <c r="HE257" s="387"/>
      <c r="HF257" s="387"/>
      <c r="HG257" s="387"/>
      <c r="HH257" s="387"/>
      <c r="HI257" s="387"/>
      <c r="HJ257" s="387"/>
      <c r="HK257" s="387"/>
      <c r="HL257" s="387"/>
      <c r="HM257" s="988"/>
    </row>
    <row r="258" spans="1:221">
      <c r="A258" s="326" t="s">
        <v>900</v>
      </c>
      <c r="B258" s="326" t="s">
        <v>901</v>
      </c>
      <c r="C258" s="326" t="s">
        <v>1131</v>
      </c>
      <c r="D258" s="1036" t="s">
        <v>2154</v>
      </c>
      <c r="E258" s="387" t="s">
        <v>2154</v>
      </c>
      <c r="F258" s="387" t="s">
        <v>2154</v>
      </c>
      <c r="G258" s="387" t="s">
        <v>2154</v>
      </c>
      <c r="H258" s="387" t="s">
        <v>2154</v>
      </c>
      <c r="I258" s="387" t="s">
        <v>2154</v>
      </c>
      <c r="J258" s="387" t="s">
        <v>2154</v>
      </c>
      <c r="K258" s="387" t="s">
        <v>2154</v>
      </c>
      <c r="L258" s="387" t="s">
        <v>2154</v>
      </c>
      <c r="M258" s="387" t="s">
        <v>2154</v>
      </c>
      <c r="N258" s="387" t="s">
        <v>2154</v>
      </c>
      <c r="O258" s="988" t="s">
        <v>2154</v>
      </c>
      <c r="P258" s="387" t="s">
        <v>2154</v>
      </c>
      <c r="Q258" s="387" t="s">
        <v>2154</v>
      </c>
      <c r="R258" s="387" t="s">
        <v>2154</v>
      </c>
      <c r="S258" s="387" t="s">
        <v>2154</v>
      </c>
      <c r="T258" s="387" t="s">
        <v>2154</v>
      </c>
      <c r="U258" s="387" t="s">
        <v>2154</v>
      </c>
      <c r="V258" s="387" t="s">
        <v>2154</v>
      </c>
      <c r="W258" s="387" t="s">
        <v>2154</v>
      </c>
      <c r="X258" s="387" t="s">
        <v>2154</v>
      </c>
      <c r="Y258" s="387" t="s">
        <v>2154</v>
      </c>
      <c r="Z258" s="387" t="s">
        <v>2154</v>
      </c>
      <c r="AA258" s="988" t="s">
        <v>2154</v>
      </c>
      <c r="AB258" s="387"/>
      <c r="AC258" s="387"/>
      <c r="AD258" s="387"/>
      <c r="AE258" s="387"/>
      <c r="AF258" s="387"/>
      <c r="AG258" s="387"/>
      <c r="AH258" s="387"/>
      <c r="AI258" s="387"/>
      <c r="AJ258" s="387"/>
      <c r="AK258" s="387"/>
      <c r="AL258" s="387"/>
      <c r="AM258" s="988"/>
      <c r="AN258" s="387"/>
      <c r="AO258" s="387"/>
      <c r="AP258" s="387"/>
      <c r="AQ258" s="387"/>
      <c r="AR258" s="387"/>
      <c r="AS258" s="387"/>
      <c r="AT258" s="387"/>
      <c r="AU258" s="387"/>
      <c r="AV258" s="387"/>
      <c r="AW258" s="387"/>
      <c r="AX258" s="387"/>
      <c r="AY258" s="988"/>
      <c r="AZ258" s="387"/>
      <c r="BA258" s="387"/>
      <c r="BB258" s="387"/>
      <c r="BC258" s="387"/>
      <c r="BD258" s="387"/>
      <c r="BE258" s="387"/>
      <c r="BF258" s="387"/>
      <c r="BG258" s="387"/>
      <c r="BH258" s="387"/>
      <c r="BI258" s="387"/>
      <c r="BJ258" s="387"/>
      <c r="BK258" s="988"/>
      <c r="BL258" s="387"/>
      <c r="BM258" s="387"/>
      <c r="BN258" s="387"/>
      <c r="BO258" s="387"/>
      <c r="BP258" s="387"/>
      <c r="BQ258" s="387"/>
      <c r="BR258" s="387"/>
      <c r="BS258" s="387"/>
      <c r="BT258" s="387"/>
      <c r="BU258" s="387"/>
      <c r="BV258" s="387"/>
      <c r="BW258" s="988"/>
      <c r="BX258" s="387"/>
      <c r="BY258" s="387"/>
      <c r="BZ258" s="387"/>
      <c r="CA258" s="387"/>
      <c r="CB258" s="387"/>
      <c r="CC258" s="387"/>
      <c r="CD258" s="387"/>
      <c r="CE258" s="387"/>
      <c r="CF258" s="387"/>
      <c r="CG258" s="387"/>
      <c r="CH258" s="387"/>
      <c r="CI258" s="988"/>
      <c r="CJ258" s="387"/>
      <c r="CK258" s="387"/>
      <c r="CL258" s="387"/>
      <c r="CM258" s="387"/>
      <c r="CN258" s="387"/>
      <c r="CO258" s="387"/>
      <c r="CP258" s="387"/>
      <c r="CQ258" s="387"/>
      <c r="CR258" s="387"/>
      <c r="CS258" s="387"/>
      <c r="CT258" s="387"/>
      <c r="CU258" s="988"/>
      <c r="CV258" s="387"/>
      <c r="CW258" s="387"/>
      <c r="CX258" s="387"/>
      <c r="CY258" s="387"/>
      <c r="CZ258" s="387"/>
      <c r="DA258" s="387"/>
      <c r="DB258" s="387"/>
      <c r="DC258" s="387"/>
      <c r="DD258" s="387"/>
      <c r="DE258" s="387"/>
      <c r="DF258" s="387"/>
      <c r="DG258" s="988"/>
      <c r="DH258" s="387"/>
      <c r="DI258" s="387"/>
      <c r="DJ258" s="387"/>
      <c r="DK258" s="387"/>
      <c r="DL258" s="387"/>
      <c r="DM258" s="387"/>
      <c r="DN258" s="387"/>
      <c r="DO258" s="387"/>
      <c r="DP258" s="387"/>
      <c r="DQ258" s="387"/>
      <c r="DR258" s="387"/>
      <c r="DS258" s="988"/>
      <c r="DT258" s="387" t="s">
        <v>2154</v>
      </c>
      <c r="DU258" s="387" t="s">
        <v>2154</v>
      </c>
      <c r="DV258" s="387" t="s">
        <v>2154</v>
      </c>
      <c r="DW258" s="387" t="s">
        <v>2154</v>
      </c>
      <c r="DX258" s="387" t="s">
        <v>2154</v>
      </c>
      <c r="DY258" s="387" t="s">
        <v>2154</v>
      </c>
      <c r="DZ258" s="387" t="s">
        <v>2154</v>
      </c>
      <c r="EA258" s="387" t="s">
        <v>2154</v>
      </c>
      <c r="EB258" s="387" t="s">
        <v>2154</v>
      </c>
      <c r="EC258" s="387" t="s">
        <v>2154</v>
      </c>
      <c r="ED258" s="387" t="s">
        <v>2154</v>
      </c>
      <c r="EE258" s="988" t="s">
        <v>2154</v>
      </c>
      <c r="EF258" s="387"/>
      <c r="EG258" s="387"/>
      <c r="EH258" s="387"/>
      <c r="EI258" s="387"/>
      <c r="EJ258" s="387"/>
      <c r="EK258" s="387"/>
      <c r="EL258" s="387"/>
      <c r="EM258" s="387"/>
      <c r="EN258" s="387"/>
      <c r="EO258" s="387"/>
      <c r="EP258" s="387"/>
      <c r="EQ258" s="988"/>
      <c r="ER258" s="387"/>
      <c r="ES258" s="387"/>
      <c r="ET258" s="387"/>
      <c r="EU258" s="387"/>
      <c r="EV258" s="387"/>
      <c r="EW258" s="387"/>
      <c r="EX258" s="387"/>
      <c r="EY258" s="387"/>
      <c r="EZ258" s="387"/>
      <c r="FA258" s="387"/>
      <c r="FB258" s="387"/>
      <c r="FC258" s="988"/>
      <c r="FD258" s="387"/>
      <c r="FE258" s="387"/>
      <c r="FF258" s="387"/>
      <c r="FG258" s="387"/>
      <c r="FH258" s="387"/>
      <c r="FI258" s="387"/>
      <c r="FJ258" s="387"/>
      <c r="FK258" s="387"/>
      <c r="FL258" s="387"/>
      <c r="FM258" s="387"/>
      <c r="FN258" s="387"/>
      <c r="FO258" s="988"/>
      <c r="FP258" s="387"/>
      <c r="FQ258" s="387"/>
      <c r="FR258" s="387"/>
      <c r="FS258" s="387"/>
      <c r="FT258" s="387"/>
      <c r="FU258" s="387"/>
      <c r="FV258" s="387"/>
      <c r="FW258" s="387"/>
      <c r="FX258" s="387"/>
      <c r="FY258" s="387"/>
      <c r="FZ258" s="387"/>
      <c r="GA258" s="988"/>
      <c r="GB258" s="109"/>
      <c r="GC258" s="2214">
        <f t="shared" si="168"/>
        <v>0</v>
      </c>
      <c r="GD258" s="387">
        <f t="shared" si="168"/>
        <v>0</v>
      </c>
      <c r="GE258" s="387">
        <f t="shared" si="168"/>
        <v>0</v>
      </c>
      <c r="GF258" s="387">
        <f t="shared" si="168"/>
        <v>0</v>
      </c>
      <c r="GG258" s="387">
        <f t="shared" si="168"/>
        <v>0</v>
      </c>
      <c r="GH258" s="387">
        <f t="shared" si="168"/>
        <v>0</v>
      </c>
      <c r="GI258" s="387">
        <f t="shared" si="168"/>
        <v>0</v>
      </c>
      <c r="GJ258" s="387">
        <f t="shared" si="168"/>
        <v>0</v>
      </c>
      <c r="GK258" s="387">
        <f t="shared" si="168"/>
        <v>0</v>
      </c>
      <c r="GL258" s="387">
        <f t="shared" si="168"/>
        <v>0</v>
      </c>
      <c r="GM258" s="387">
        <f t="shared" si="168"/>
        <v>0</v>
      </c>
      <c r="GN258" s="988">
        <f t="shared" si="168"/>
        <v>0</v>
      </c>
      <c r="GO258" s="1036">
        <f t="shared" si="169"/>
        <v>0</v>
      </c>
      <c r="GP258" s="387">
        <f t="shared" si="169"/>
        <v>0</v>
      </c>
      <c r="GQ258" s="387">
        <f t="shared" si="169"/>
        <v>0</v>
      </c>
      <c r="GR258" s="387">
        <f t="shared" si="169"/>
        <v>0</v>
      </c>
      <c r="GS258" s="387">
        <f t="shared" si="169"/>
        <v>0</v>
      </c>
      <c r="GT258" s="387">
        <f t="shared" si="169"/>
        <v>0</v>
      </c>
      <c r="GU258" s="387">
        <f t="shared" si="169"/>
        <v>0</v>
      </c>
      <c r="GV258" s="387">
        <f t="shared" si="169"/>
        <v>0</v>
      </c>
      <c r="GW258" s="387">
        <f t="shared" si="169"/>
        <v>0</v>
      </c>
      <c r="GX258" s="387">
        <f t="shared" si="169"/>
        <v>0</v>
      </c>
      <c r="GY258" s="387">
        <f t="shared" si="169"/>
        <v>0</v>
      </c>
      <c r="GZ258" s="988">
        <f t="shared" si="169"/>
        <v>0</v>
      </c>
      <c r="HB258" s="387"/>
      <c r="HC258" s="387"/>
      <c r="HD258" s="387"/>
      <c r="HE258" s="387"/>
      <c r="HF258" s="387"/>
      <c r="HG258" s="387"/>
      <c r="HH258" s="387"/>
      <c r="HI258" s="387"/>
      <c r="HJ258" s="387"/>
      <c r="HK258" s="387"/>
      <c r="HL258" s="387"/>
      <c r="HM258" s="988"/>
    </row>
    <row r="259" spans="1:221">
      <c r="A259" s="326" t="s">
        <v>900</v>
      </c>
      <c r="B259" s="326" t="s">
        <v>901</v>
      </c>
      <c r="C259" s="326" t="s">
        <v>3680</v>
      </c>
      <c r="D259" s="1036">
        <v>-5452.0599999999995</v>
      </c>
      <c r="E259" s="387">
        <v>1451.52</v>
      </c>
      <c r="F259" s="387">
        <v>1537.2800000000002</v>
      </c>
      <c r="G259" s="387">
        <v>1356.8</v>
      </c>
      <c r="H259" s="387">
        <v>1481.07</v>
      </c>
      <c r="I259" s="387">
        <v>1514.13</v>
      </c>
      <c r="J259" s="387">
        <v>1536</v>
      </c>
      <c r="K259" s="387">
        <v>1438.6100000000001</v>
      </c>
      <c r="L259" s="387">
        <v>1498.22</v>
      </c>
      <c r="M259" s="387">
        <v>1418.85</v>
      </c>
      <c r="N259" s="387">
        <v>1403.8899999999999</v>
      </c>
      <c r="O259" s="988">
        <v>1435.3500000000001</v>
      </c>
      <c r="P259" s="387">
        <v>-2104.31</v>
      </c>
      <c r="Q259" s="387">
        <v>265.64</v>
      </c>
      <c r="R259" s="387">
        <v>235.10000000000002</v>
      </c>
      <c r="S259" s="387">
        <v>210.41000000000003</v>
      </c>
      <c r="T259" s="387">
        <v>249.1</v>
      </c>
      <c r="U259" s="387">
        <v>268.26</v>
      </c>
      <c r="V259" s="387">
        <v>269.47000000000003</v>
      </c>
      <c r="W259" s="387">
        <v>268.26</v>
      </c>
      <c r="X259" s="387">
        <v>276.82</v>
      </c>
      <c r="Y259" s="387">
        <v>305.3</v>
      </c>
      <c r="Z259" s="387">
        <v>279.14</v>
      </c>
      <c r="AA259" s="988">
        <v>296.86</v>
      </c>
      <c r="AB259" s="387"/>
      <c r="AC259" s="387"/>
      <c r="AD259" s="387"/>
      <c r="AE259" s="387"/>
      <c r="AF259" s="387"/>
      <c r="AG259" s="387"/>
      <c r="AH259" s="387"/>
      <c r="AI259" s="387"/>
      <c r="AJ259" s="387"/>
      <c r="AK259" s="387"/>
      <c r="AL259" s="387"/>
      <c r="AM259" s="988"/>
      <c r="AN259" s="387"/>
      <c r="AO259" s="387"/>
      <c r="AP259" s="387"/>
      <c r="AQ259" s="387"/>
      <c r="AR259" s="387"/>
      <c r="AS259" s="387"/>
      <c r="AT259" s="387"/>
      <c r="AU259" s="387"/>
      <c r="AV259" s="387"/>
      <c r="AW259" s="387"/>
      <c r="AX259" s="387"/>
      <c r="AY259" s="988"/>
      <c r="AZ259" s="387"/>
      <c r="BA259" s="387"/>
      <c r="BB259" s="387"/>
      <c r="BC259" s="387"/>
      <c r="BD259" s="387"/>
      <c r="BE259" s="387"/>
      <c r="BF259" s="387"/>
      <c r="BG259" s="387"/>
      <c r="BH259" s="387"/>
      <c r="BI259" s="387"/>
      <c r="BJ259" s="387"/>
      <c r="BK259" s="988"/>
      <c r="BL259" s="387"/>
      <c r="BM259" s="387"/>
      <c r="BN259" s="387"/>
      <c r="BO259" s="387"/>
      <c r="BP259" s="387"/>
      <c r="BQ259" s="387"/>
      <c r="BR259" s="387"/>
      <c r="BS259" s="387"/>
      <c r="BT259" s="387"/>
      <c r="BU259" s="387"/>
      <c r="BV259" s="387"/>
      <c r="BW259" s="988"/>
      <c r="BX259" s="387"/>
      <c r="BY259" s="387"/>
      <c r="BZ259" s="387"/>
      <c r="CA259" s="387"/>
      <c r="CB259" s="387"/>
      <c r="CC259" s="387"/>
      <c r="CD259" s="387"/>
      <c r="CE259" s="387"/>
      <c r="CF259" s="387"/>
      <c r="CG259" s="387"/>
      <c r="CH259" s="387"/>
      <c r="CI259" s="988"/>
      <c r="CJ259" s="387"/>
      <c r="CK259" s="387"/>
      <c r="CL259" s="387"/>
      <c r="CM259" s="387"/>
      <c r="CN259" s="387"/>
      <c r="CO259" s="387"/>
      <c r="CP259" s="387"/>
      <c r="CQ259" s="387"/>
      <c r="CR259" s="387"/>
      <c r="CS259" s="387"/>
      <c r="CT259" s="387"/>
      <c r="CU259" s="988"/>
      <c r="CV259" s="387"/>
      <c r="CW259" s="387"/>
      <c r="CX259" s="387"/>
      <c r="CY259" s="387"/>
      <c r="CZ259" s="387"/>
      <c r="DA259" s="387"/>
      <c r="DB259" s="387"/>
      <c r="DC259" s="387"/>
      <c r="DD259" s="387"/>
      <c r="DE259" s="387"/>
      <c r="DF259" s="387"/>
      <c r="DG259" s="988"/>
      <c r="DH259" s="387"/>
      <c r="DI259" s="387"/>
      <c r="DJ259" s="387"/>
      <c r="DK259" s="387"/>
      <c r="DL259" s="387"/>
      <c r="DM259" s="387"/>
      <c r="DN259" s="387"/>
      <c r="DO259" s="387"/>
      <c r="DP259" s="387"/>
      <c r="DQ259" s="387"/>
      <c r="DR259" s="387"/>
      <c r="DS259" s="988"/>
      <c r="DT259" s="387">
        <v>-210.97000000000003</v>
      </c>
      <c r="DU259" s="387">
        <v>161.84</v>
      </c>
      <c r="DV259" s="387">
        <v>169.75</v>
      </c>
      <c r="DW259" s="387">
        <v>146.74</v>
      </c>
      <c r="DX259" s="387">
        <v>137.85999999999999</v>
      </c>
      <c r="DY259" s="387">
        <v>120.64</v>
      </c>
      <c r="DZ259" s="387">
        <v>130.34</v>
      </c>
      <c r="EA259" s="387">
        <v>107.36999999999999</v>
      </c>
      <c r="EB259" s="387">
        <v>133.10999999999999</v>
      </c>
      <c r="EC259" s="387">
        <v>118.92999999999999</v>
      </c>
      <c r="ED259" s="387">
        <v>122.62</v>
      </c>
      <c r="EE259" s="988">
        <v>123.32</v>
      </c>
      <c r="EF259" s="387"/>
      <c r="EG259" s="387"/>
      <c r="EH259" s="387"/>
      <c r="EI259" s="387"/>
      <c r="EJ259" s="387"/>
      <c r="EK259" s="387"/>
      <c r="EL259" s="387"/>
      <c r="EM259" s="387"/>
      <c r="EN259" s="387"/>
      <c r="EO259" s="387"/>
      <c r="EP259" s="387"/>
      <c r="EQ259" s="988"/>
      <c r="ER259" s="387"/>
      <c r="ES259" s="387"/>
      <c r="ET259" s="387"/>
      <c r="EU259" s="387"/>
      <c r="EV259" s="387"/>
      <c r="EW259" s="387"/>
      <c r="EX259" s="387"/>
      <c r="EY259" s="387"/>
      <c r="EZ259" s="387"/>
      <c r="FA259" s="387"/>
      <c r="FB259" s="387"/>
      <c r="FC259" s="988"/>
      <c r="FD259" s="387"/>
      <c r="FE259" s="387"/>
      <c r="FF259" s="387"/>
      <c r="FG259" s="387"/>
      <c r="FH259" s="387"/>
      <c r="FI259" s="387"/>
      <c r="FJ259" s="387"/>
      <c r="FK259" s="387"/>
      <c r="FL259" s="387"/>
      <c r="FM259" s="387"/>
      <c r="FN259" s="387"/>
      <c r="FO259" s="988"/>
      <c r="FP259" s="387"/>
      <c r="FQ259" s="387"/>
      <c r="FR259" s="387"/>
      <c r="FS259" s="387"/>
      <c r="FT259" s="387"/>
      <c r="FU259" s="387"/>
      <c r="FV259" s="387"/>
      <c r="FW259" s="387"/>
      <c r="FX259" s="387"/>
      <c r="FY259" s="387"/>
      <c r="FZ259" s="387"/>
      <c r="GA259" s="988"/>
      <c r="GB259" s="109"/>
      <c r="GC259" s="2214">
        <f t="shared" si="168"/>
        <v>-7767.3399999999992</v>
      </c>
      <c r="GD259" s="387">
        <f t="shared" si="168"/>
        <v>1878.9999999999998</v>
      </c>
      <c r="GE259" s="387">
        <f t="shared" si="168"/>
        <v>1942.13</v>
      </c>
      <c r="GF259" s="387">
        <f t="shared" si="168"/>
        <v>1713.95</v>
      </c>
      <c r="GG259" s="387">
        <f t="shared" si="168"/>
        <v>1868.0299999999997</v>
      </c>
      <c r="GH259" s="387">
        <f t="shared" si="168"/>
        <v>1903.0300000000002</v>
      </c>
      <c r="GI259" s="387">
        <f t="shared" si="168"/>
        <v>1935.81</v>
      </c>
      <c r="GJ259" s="387">
        <f t="shared" si="168"/>
        <v>1814.24</v>
      </c>
      <c r="GK259" s="387">
        <f t="shared" si="168"/>
        <v>1908.1499999999999</v>
      </c>
      <c r="GL259" s="387">
        <f t="shared" si="168"/>
        <v>1843.08</v>
      </c>
      <c r="GM259" s="387">
        <f t="shared" si="168"/>
        <v>1805.6499999999996</v>
      </c>
      <c r="GN259" s="988">
        <f t="shared" si="168"/>
        <v>1855.53</v>
      </c>
      <c r="GO259" s="1036">
        <f t="shared" si="169"/>
        <v>-210.97000000000003</v>
      </c>
      <c r="GP259" s="387">
        <f t="shared" si="169"/>
        <v>161.84</v>
      </c>
      <c r="GQ259" s="387">
        <f t="shared" si="169"/>
        <v>169.75</v>
      </c>
      <c r="GR259" s="387">
        <f t="shared" si="169"/>
        <v>146.74</v>
      </c>
      <c r="GS259" s="387">
        <f t="shared" si="169"/>
        <v>137.85999999999999</v>
      </c>
      <c r="GT259" s="387">
        <f t="shared" si="169"/>
        <v>120.64</v>
      </c>
      <c r="GU259" s="387">
        <f t="shared" si="169"/>
        <v>130.34</v>
      </c>
      <c r="GV259" s="387">
        <f t="shared" si="169"/>
        <v>107.36999999999999</v>
      </c>
      <c r="GW259" s="387">
        <f t="shared" si="169"/>
        <v>133.10999999999999</v>
      </c>
      <c r="GX259" s="387">
        <f t="shared" si="169"/>
        <v>118.92999999999999</v>
      </c>
      <c r="GY259" s="387">
        <f t="shared" si="169"/>
        <v>122.62</v>
      </c>
      <c r="GZ259" s="988">
        <f t="shared" si="169"/>
        <v>123.32</v>
      </c>
      <c r="HB259" s="387"/>
      <c r="HC259" s="387"/>
      <c r="HD259" s="387"/>
      <c r="HE259" s="387"/>
      <c r="HF259" s="387"/>
      <c r="HG259" s="387"/>
      <c r="HH259" s="387"/>
      <c r="HI259" s="387"/>
      <c r="HJ259" s="387"/>
      <c r="HK259" s="387"/>
      <c r="HL259" s="387"/>
      <c r="HM259" s="988"/>
    </row>
    <row r="260" spans="1:221">
      <c r="A260" s="326" t="s">
        <v>900</v>
      </c>
      <c r="B260" s="326" t="s">
        <v>901</v>
      </c>
      <c r="C260" s="326" t="s">
        <v>1132</v>
      </c>
      <c r="D260" s="1036">
        <v>5673.2</v>
      </c>
      <c r="E260" s="387">
        <v>5915.6799999999994</v>
      </c>
      <c r="F260" s="387">
        <v>5733.5600000000013</v>
      </c>
      <c r="G260" s="387">
        <v>6066.7500000000018</v>
      </c>
      <c r="H260" s="387">
        <v>6299.63</v>
      </c>
      <c r="I260" s="387">
        <v>6894.4</v>
      </c>
      <c r="J260" s="387">
        <v>6298.51</v>
      </c>
      <c r="K260" s="387">
        <v>6314.9699999999993</v>
      </c>
      <c r="L260" s="387">
        <v>6224.8400000000011</v>
      </c>
      <c r="M260" s="387">
        <v>5325.47</v>
      </c>
      <c r="N260" s="387">
        <v>6190.58</v>
      </c>
      <c r="O260" s="988">
        <v>5608.1500000000005</v>
      </c>
      <c r="P260" s="387">
        <v>2319.1799999999998</v>
      </c>
      <c r="Q260" s="387">
        <v>1899.11</v>
      </c>
      <c r="R260" s="387">
        <v>2439.81</v>
      </c>
      <c r="S260" s="387">
        <v>2396.75</v>
      </c>
      <c r="T260" s="387">
        <v>2460.0300000000002</v>
      </c>
      <c r="U260" s="387">
        <v>2801.7200000000003</v>
      </c>
      <c r="V260" s="387">
        <v>3129.02</v>
      </c>
      <c r="W260" s="387">
        <v>3494.24</v>
      </c>
      <c r="X260" s="387">
        <v>3315.69</v>
      </c>
      <c r="Y260" s="387">
        <v>3583.5200000000004</v>
      </c>
      <c r="Z260" s="387">
        <v>3421.42</v>
      </c>
      <c r="AA260" s="988">
        <v>3969.65</v>
      </c>
      <c r="AB260" s="387"/>
      <c r="AC260" s="387"/>
      <c r="AD260" s="387"/>
      <c r="AE260" s="387"/>
      <c r="AF260" s="387"/>
      <c r="AG260" s="387"/>
      <c r="AH260" s="387"/>
      <c r="AI260" s="387"/>
      <c r="AJ260" s="387"/>
      <c r="AK260" s="387"/>
      <c r="AL260" s="387"/>
      <c r="AM260" s="988"/>
      <c r="AN260" s="387"/>
      <c r="AO260" s="387"/>
      <c r="AP260" s="387"/>
      <c r="AQ260" s="387"/>
      <c r="AR260" s="387"/>
      <c r="AS260" s="387"/>
      <c r="AT260" s="387"/>
      <c r="AU260" s="387"/>
      <c r="AV260" s="387"/>
      <c r="AW260" s="387"/>
      <c r="AX260" s="387"/>
      <c r="AY260" s="988"/>
      <c r="AZ260" s="387"/>
      <c r="BA260" s="387"/>
      <c r="BB260" s="387"/>
      <c r="BC260" s="387"/>
      <c r="BD260" s="387"/>
      <c r="BE260" s="387"/>
      <c r="BF260" s="387"/>
      <c r="BG260" s="387"/>
      <c r="BH260" s="387"/>
      <c r="BI260" s="387"/>
      <c r="BJ260" s="387"/>
      <c r="BK260" s="988"/>
      <c r="BL260" s="387"/>
      <c r="BM260" s="387"/>
      <c r="BN260" s="387"/>
      <c r="BO260" s="387"/>
      <c r="BP260" s="387"/>
      <c r="BQ260" s="387"/>
      <c r="BR260" s="387"/>
      <c r="BS260" s="387"/>
      <c r="BT260" s="387"/>
      <c r="BU260" s="387"/>
      <c r="BV260" s="387"/>
      <c r="BW260" s="988"/>
      <c r="BX260" s="387"/>
      <c r="BY260" s="387"/>
      <c r="BZ260" s="387"/>
      <c r="CA260" s="387"/>
      <c r="CB260" s="387"/>
      <c r="CC260" s="387"/>
      <c r="CD260" s="387"/>
      <c r="CE260" s="387"/>
      <c r="CF260" s="387"/>
      <c r="CG260" s="387"/>
      <c r="CH260" s="387"/>
      <c r="CI260" s="988"/>
      <c r="CJ260" s="387"/>
      <c r="CK260" s="387"/>
      <c r="CL260" s="387"/>
      <c r="CM260" s="387"/>
      <c r="CN260" s="387"/>
      <c r="CO260" s="387"/>
      <c r="CP260" s="387"/>
      <c r="CQ260" s="387"/>
      <c r="CR260" s="387"/>
      <c r="CS260" s="387"/>
      <c r="CT260" s="387"/>
      <c r="CU260" s="988"/>
      <c r="CV260" s="387"/>
      <c r="CW260" s="387"/>
      <c r="CX260" s="387"/>
      <c r="CY260" s="387"/>
      <c r="CZ260" s="387"/>
      <c r="DA260" s="387"/>
      <c r="DB260" s="387"/>
      <c r="DC260" s="387"/>
      <c r="DD260" s="387"/>
      <c r="DE260" s="387"/>
      <c r="DF260" s="387"/>
      <c r="DG260" s="988"/>
      <c r="DH260" s="387"/>
      <c r="DI260" s="387"/>
      <c r="DJ260" s="387"/>
      <c r="DK260" s="387"/>
      <c r="DL260" s="387"/>
      <c r="DM260" s="387"/>
      <c r="DN260" s="387"/>
      <c r="DO260" s="387"/>
      <c r="DP260" s="387"/>
      <c r="DQ260" s="387"/>
      <c r="DR260" s="387"/>
      <c r="DS260" s="988"/>
      <c r="DT260" s="387">
        <v>755.11</v>
      </c>
      <c r="DU260" s="387">
        <v>897.30000000000007</v>
      </c>
      <c r="DV260" s="387">
        <v>804.76</v>
      </c>
      <c r="DW260" s="387">
        <v>733.51</v>
      </c>
      <c r="DX260" s="387">
        <v>598.32000000000005</v>
      </c>
      <c r="DY260" s="387">
        <v>658.58999999999992</v>
      </c>
      <c r="DZ260" s="387">
        <v>1186.5</v>
      </c>
      <c r="EA260" s="387">
        <v>7125.1699999999992</v>
      </c>
      <c r="EB260" s="387">
        <v>1350.35</v>
      </c>
      <c r="EC260" s="387">
        <v>1430.71</v>
      </c>
      <c r="ED260" s="387">
        <v>1285.8599999999999</v>
      </c>
      <c r="EE260" s="988">
        <v>-84.440000000000055</v>
      </c>
      <c r="EF260" s="387"/>
      <c r="EG260" s="387"/>
      <c r="EH260" s="387"/>
      <c r="EI260" s="387"/>
      <c r="EJ260" s="387"/>
      <c r="EK260" s="387"/>
      <c r="EL260" s="387"/>
      <c r="EM260" s="387"/>
      <c r="EN260" s="387"/>
      <c r="EO260" s="387"/>
      <c r="EP260" s="387"/>
      <c r="EQ260" s="988"/>
      <c r="ER260" s="387"/>
      <c r="ES260" s="387"/>
      <c r="ET260" s="387"/>
      <c r="EU260" s="387"/>
      <c r="EV260" s="387"/>
      <c r="EW260" s="387"/>
      <c r="EX260" s="387"/>
      <c r="EY260" s="387"/>
      <c r="EZ260" s="387"/>
      <c r="FA260" s="387"/>
      <c r="FB260" s="387"/>
      <c r="FC260" s="988"/>
      <c r="FD260" s="387"/>
      <c r="FE260" s="387"/>
      <c r="FF260" s="387"/>
      <c r="FG260" s="387"/>
      <c r="FH260" s="387"/>
      <c r="FI260" s="387"/>
      <c r="FJ260" s="387"/>
      <c r="FK260" s="387"/>
      <c r="FL260" s="387"/>
      <c r="FM260" s="387"/>
      <c r="FN260" s="387"/>
      <c r="FO260" s="988"/>
      <c r="FP260" s="387"/>
      <c r="FQ260" s="387"/>
      <c r="FR260" s="387"/>
      <c r="FS260" s="387"/>
      <c r="FT260" s="387"/>
      <c r="FU260" s="387"/>
      <c r="FV260" s="387"/>
      <c r="FW260" s="387"/>
      <c r="FX260" s="387"/>
      <c r="FY260" s="387"/>
      <c r="FZ260" s="387"/>
      <c r="GA260" s="988"/>
      <c r="GB260" s="109"/>
      <c r="GC260" s="2214">
        <f t="shared" si="168"/>
        <v>8747.49</v>
      </c>
      <c r="GD260" s="387">
        <f t="shared" si="168"/>
        <v>8712.0899999999983</v>
      </c>
      <c r="GE260" s="387">
        <f t="shared" si="168"/>
        <v>8978.130000000001</v>
      </c>
      <c r="GF260" s="387">
        <f t="shared" si="168"/>
        <v>9197.010000000002</v>
      </c>
      <c r="GG260" s="387">
        <f t="shared" si="168"/>
        <v>9357.98</v>
      </c>
      <c r="GH260" s="387">
        <f t="shared" si="168"/>
        <v>10354.709999999999</v>
      </c>
      <c r="GI260" s="387">
        <f t="shared" si="168"/>
        <v>10614.03</v>
      </c>
      <c r="GJ260" s="387">
        <f t="shared" si="168"/>
        <v>16934.379999999997</v>
      </c>
      <c r="GK260" s="387">
        <f t="shared" si="168"/>
        <v>10890.880000000001</v>
      </c>
      <c r="GL260" s="387">
        <f t="shared" si="168"/>
        <v>10339.700000000001</v>
      </c>
      <c r="GM260" s="387">
        <f t="shared" si="168"/>
        <v>10897.86</v>
      </c>
      <c r="GN260" s="988">
        <f t="shared" si="168"/>
        <v>9493.36</v>
      </c>
      <c r="GO260" s="1036">
        <f t="shared" si="169"/>
        <v>755.11</v>
      </c>
      <c r="GP260" s="387">
        <f t="shared" si="169"/>
        <v>897.30000000000007</v>
      </c>
      <c r="GQ260" s="387">
        <f t="shared" si="169"/>
        <v>804.76</v>
      </c>
      <c r="GR260" s="387">
        <f t="shared" si="169"/>
        <v>733.51</v>
      </c>
      <c r="GS260" s="387">
        <f t="shared" si="169"/>
        <v>598.32000000000005</v>
      </c>
      <c r="GT260" s="387">
        <f t="shared" si="169"/>
        <v>658.58999999999992</v>
      </c>
      <c r="GU260" s="387">
        <f t="shared" si="169"/>
        <v>1186.5</v>
      </c>
      <c r="GV260" s="387">
        <f t="shared" si="169"/>
        <v>7125.1699999999992</v>
      </c>
      <c r="GW260" s="387">
        <f t="shared" si="169"/>
        <v>1350.35</v>
      </c>
      <c r="GX260" s="387">
        <f t="shared" si="169"/>
        <v>1430.71</v>
      </c>
      <c r="GY260" s="387">
        <f t="shared" si="169"/>
        <v>1285.8599999999999</v>
      </c>
      <c r="GZ260" s="988">
        <f t="shared" si="169"/>
        <v>-84.440000000000055</v>
      </c>
      <c r="HB260" s="387"/>
      <c r="HC260" s="387"/>
      <c r="HD260" s="387"/>
      <c r="HE260" s="387"/>
      <c r="HF260" s="387"/>
      <c r="HG260" s="387"/>
      <c r="HH260" s="387"/>
      <c r="HI260" s="387"/>
      <c r="HJ260" s="387"/>
      <c r="HK260" s="387"/>
      <c r="HL260" s="387"/>
      <c r="HM260" s="988"/>
    </row>
    <row r="261" spans="1:221">
      <c r="A261" s="326" t="s">
        <v>900</v>
      </c>
      <c r="B261" s="326" t="s">
        <v>901</v>
      </c>
      <c r="C261" s="326" t="s">
        <v>1133</v>
      </c>
      <c r="D261" s="1036" t="s">
        <v>2154</v>
      </c>
      <c r="E261" s="387" t="s">
        <v>2154</v>
      </c>
      <c r="F261" s="387" t="s">
        <v>2154</v>
      </c>
      <c r="G261" s="387" t="s">
        <v>2154</v>
      </c>
      <c r="H261" s="387" t="s">
        <v>2154</v>
      </c>
      <c r="I261" s="387" t="s">
        <v>2154</v>
      </c>
      <c r="J261" s="387" t="s">
        <v>2154</v>
      </c>
      <c r="K261" s="387" t="s">
        <v>2154</v>
      </c>
      <c r="L261" s="387" t="s">
        <v>2154</v>
      </c>
      <c r="M261" s="387" t="s">
        <v>2154</v>
      </c>
      <c r="N261" s="387" t="s">
        <v>2154</v>
      </c>
      <c r="O261" s="988" t="s">
        <v>2154</v>
      </c>
      <c r="P261" s="387" t="s">
        <v>2154</v>
      </c>
      <c r="Q261" s="387" t="s">
        <v>2154</v>
      </c>
      <c r="R261" s="387" t="s">
        <v>2154</v>
      </c>
      <c r="S261" s="387" t="s">
        <v>2154</v>
      </c>
      <c r="T261" s="387" t="s">
        <v>2154</v>
      </c>
      <c r="U261" s="387" t="s">
        <v>2154</v>
      </c>
      <c r="V261" s="387" t="s">
        <v>2154</v>
      </c>
      <c r="W261" s="387" t="s">
        <v>2154</v>
      </c>
      <c r="X261" s="387" t="s">
        <v>2154</v>
      </c>
      <c r="Y261" s="387" t="s">
        <v>2154</v>
      </c>
      <c r="Z261" s="387" t="s">
        <v>2154</v>
      </c>
      <c r="AA261" s="988" t="s">
        <v>2154</v>
      </c>
      <c r="AB261" s="387"/>
      <c r="AC261" s="387"/>
      <c r="AD261" s="387"/>
      <c r="AE261" s="387"/>
      <c r="AF261" s="387"/>
      <c r="AG261" s="387"/>
      <c r="AH261" s="387"/>
      <c r="AI261" s="387"/>
      <c r="AJ261" s="387"/>
      <c r="AK261" s="387"/>
      <c r="AL261" s="387"/>
      <c r="AM261" s="988"/>
      <c r="AN261" s="387"/>
      <c r="AO261" s="387"/>
      <c r="AP261" s="387"/>
      <c r="AQ261" s="387"/>
      <c r="AR261" s="387"/>
      <c r="AS261" s="387"/>
      <c r="AT261" s="387"/>
      <c r="AU261" s="387"/>
      <c r="AV261" s="387"/>
      <c r="AW261" s="387"/>
      <c r="AX261" s="387"/>
      <c r="AY261" s="988"/>
      <c r="AZ261" s="387"/>
      <c r="BA261" s="387"/>
      <c r="BB261" s="387"/>
      <c r="BC261" s="387"/>
      <c r="BD261" s="387"/>
      <c r="BE261" s="387"/>
      <c r="BF261" s="387"/>
      <c r="BG261" s="387"/>
      <c r="BH261" s="387"/>
      <c r="BI261" s="387"/>
      <c r="BJ261" s="387"/>
      <c r="BK261" s="988"/>
      <c r="BL261" s="387"/>
      <c r="BM261" s="387"/>
      <c r="BN261" s="387"/>
      <c r="BO261" s="387"/>
      <c r="BP261" s="387"/>
      <c r="BQ261" s="387"/>
      <c r="BR261" s="387"/>
      <c r="BS261" s="387"/>
      <c r="BT261" s="387"/>
      <c r="BU261" s="387"/>
      <c r="BV261" s="387"/>
      <c r="BW261" s="988"/>
      <c r="BX261" s="387"/>
      <c r="BY261" s="387"/>
      <c r="BZ261" s="387"/>
      <c r="CA261" s="387"/>
      <c r="CB261" s="387"/>
      <c r="CC261" s="387"/>
      <c r="CD261" s="387"/>
      <c r="CE261" s="387"/>
      <c r="CF261" s="387"/>
      <c r="CG261" s="387"/>
      <c r="CH261" s="387"/>
      <c r="CI261" s="988"/>
      <c r="CJ261" s="387"/>
      <c r="CK261" s="387"/>
      <c r="CL261" s="387"/>
      <c r="CM261" s="387"/>
      <c r="CN261" s="387"/>
      <c r="CO261" s="387"/>
      <c r="CP261" s="387"/>
      <c r="CQ261" s="387"/>
      <c r="CR261" s="387"/>
      <c r="CS261" s="387"/>
      <c r="CT261" s="387"/>
      <c r="CU261" s="988"/>
      <c r="CV261" s="387"/>
      <c r="CW261" s="387"/>
      <c r="CX261" s="387"/>
      <c r="CY261" s="387"/>
      <c r="CZ261" s="387"/>
      <c r="DA261" s="387"/>
      <c r="DB261" s="387"/>
      <c r="DC261" s="387"/>
      <c r="DD261" s="387"/>
      <c r="DE261" s="387"/>
      <c r="DF261" s="387"/>
      <c r="DG261" s="988"/>
      <c r="DH261" s="387"/>
      <c r="DI261" s="387"/>
      <c r="DJ261" s="387"/>
      <c r="DK261" s="387"/>
      <c r="DL261" s="387"/>
      <c r="DM261" s="387"/>
      <c r="DN261" s="387"/>
      <c r="DO261" s="387"/>
      <c r="DP261" s="387"/>
      <c r="DQ261" s="387"/>
      <c r="DR261" s="387"/>
      <c r="DS261" s="988"/>
      <c r="DT261" s="387" t="s">
        <v>2154</v>
      </c>
      <c r="DU261" s="387" t="s">
        <v>2154</v>
      </c>
      <c r="DV261" s="387" t="s">
        <v>2154</v>
      </c>
      <c r="DW261" s="387" t="s">
        <v>2154</v>
      </c>
      <c r="DX261" s="387" t="s">
        <v>2154</v>
      </c>
      <c r="DY261" s="387" t="s">
        <v>2154</v>
      </c>
      <c r="DZ261" s="387" t="s">
        <v>2154</v>
      </c>
      <c r="EA261" s="387" t="s">
        <v>2154</v>
      </c>
      <c r="EB261" s="387" t="s">
        <v>2154</v>
      </c>
      <c r="EC261" s="387" t="s">
        <v>2154</v>
      </c>
      <c r="ED261" s="387" t="s">
        <v>2154</v>
      </c>
      <c r="EE261" s="988" t="s">
        <v>2154</v>
      </c>
      <c r="EF261" s="387"/>
      <c r="EG261" s="387"/>
      <c r="EH261" s="387"/>
      <c r="EI261" s="387"/>
      <c r="EJ261" s="387"/>
      <c r="EK261" s="387"/>
      <c r="EL261" s="387"/>
      <c r="EM261" s="387"/>
      <c r="EN261" s="387"/>
      <c r="EO261" s="387"/>
      <c r="EP261" s="387"/>
      <c r="EQ261" s="988"/>
      <c r="ER261" s="387"/>
      <c r="ES261" s="387"/>
      <c r="ET261" s="387"/>
      <c r="EU261" s="387"/>
      <c r="EV261" s="387"/>
      <c r="EW261" s="387"/>
      <c r="EX261" s="387"/>
      <c r="EY261" s="387"/>
      <c r="EZ261" s="387"/>
      <c r="FA261" s="387"/>
      <c r="FB261" s="387"/>
      <c r="FC261" s="988"/>
      <c r="FD261" s="387"/>
      <c r="FE261" s="387"/>
      <c r="FF261" s="387"/>
      <c r="FG261" s="387"/>
      <c r="FH261" s="387"/>
      <c r="FI261" s="387"/>
      <c r="FJ261" s="387"/>
      <c r="FK261" s="387"/>
      <c r="FL261" s="387"/>
      <c r="FM261" s="387"/>
      <c r="FN261" s="387"/>
      <c r="FO261" s="988"/>
      <c r="FP261" s="387"/>
      <c r="FQ261" s="387"/>
      <c r="FR261" s="387"/>
      <c r="FS261" s="387"/>
      <c r="FT261" s="387"/>
      <c r="FU261" s="387"/>
      <c r="FV261" s="387"/>
      <c r="FW261" s="387"/>
      <c r="FX261" s="387"/>
      <c r="FY261" s="387"/>
      <c r="FZ261" s="387"/>
      <c r="GA261" s="988"/>
      <c r="GB261" s="109"/>
      <c r="GC261" s="2214">
        <f t="shared" si="168"/>
        <v>0</v>
      </c>
      <c r="GD261" s="387">
        <f t="shared" si="168"/>
        <v>0</v>
      </c>
      <c r="GE261" s="387">
        <f t="shared" si="168"/>
        <v>0</v>
      </c>
      <c r="GF261" s="387">
        <f t="shared" si="168"/>
        <v>0</v>
      </c>
      <c r="GG261" s="387">
        <f t="shared" si="168"/>
        <v>0</v>
      </c>
      <c r="GH261" s="387">
        <f t="shared" si="168"/>
        <v>0</v>
      </c>
      <c r="GI261" s="387">
        <f t="shared" si="168"/>
        <v>0</v>
      </c>
      <c r="GJ261" s="387">
        <f t="shared" si="168"/>
        <v>0</v>
      </c>
      <c r="GK261" s="387">
        <f t="shared" si="168"/>
        <v>0</v>
      </c>
      <c r="GL261" s="387">
        <f t="shared" si="168"/>
        <v>0</v>
      </c>
      <c r="GM261" s="387">
        <f t="shared" si="168"/>
        <v>0</v>
      </c>
      <c r="GN261" s="988">
        <f t="shared" si="168"/>
        <v>0</v>
      </c>
      <c r="GO261" s="1036">
        <f t="shared" si="169"/>
        <v>0</v>
      </c>
      <c r="GP261" s="387">
        <f t="shared" si="169"/>
        <v>0</v>
      </c>
      <c r="GQ261" s="387">
        <f t="shared" si="169"/>
        <v>0</v>
      </c>
      <c r="GR261" s="387">
        <f t="shared" si="169"/>
        <v>0</v>
      </c>
      <c r="GS261" s="387">
        <f t="shared" si="169"/>
        <v>0</v>
      </c>
      <c r="GT261" s="387">
        <f t="shared" si="169"/>
        <v>0</v>
      </c>
      <c r="GU261" s="387">
        <f t="shared" si="169"/>
        <v>0</v>
      </c>
      <c r="GV261" s="387">
        <f t="shared" si="169"/>
        <v>0</v>
      </c>
      <c r="GW261" s="387">
        <f t="shared" si="169"/>
        <v>0</v>
      </c>
      <c r="GX261" s="387">
        <f t="shared" si="169"/>
        <v>0</v>
      </c>
      <c r="GY261" s="387">
        <f t="shared" si="169"/>
        <v>0</v>
      </c>
      <c r="GZ261" s="988">
        <f t="shared" si="169"/>
        <v>0</v>
      </c>
      <c r="HB261" s="387"/>
      <c r="HC261" s="387"/>
      <c r="HD261" s="387"/>
      <c r="HE261" s="387"/>
      <c r="HF261" s="387"/>
      <c r="HG261" s="387"/>
      <c r="HH261" s="387"/>
      <c r="HI261" s="387"/>
      <c r="HJ261" s="387"/>
      <c r="HK261" s="387"/>
      <c r="HL261" s="387"/>
      <c r="HM261" s="988"/>
    </row>
    <row r="262" spans="1:221">
      <c r="A262" s="326" t="s">
        <v>900</v>
      </c>
      <c r="B262" s="326" t="s">
        <v>901</v>
      </c>
      <c r="C262" s="326" t="s">
        <v>1134</v>
      </c>
      <c r="D262" s="1036">
        <v>25574.050000000003</v>
      </c>
      <c r="E262" s="387">
        <v>32720.110000000004</v>
      </c>
      <c r="F262" s="387">
        <v>33628.770000000004</v>
      </c>
      <c r="G262" s="387">
        <v>32776.47</v>
      </c>
      <c r="H262" s="387">
        <v>33133.61</v>
      </c>
      <c r="I262" s="387">
        <v>33761.439999999995</v>
      </c>
      <c r="J262" s="387">
        <v>33244.78</v>
      </c>
      <c r="K262" s="387">
        <v>33106.49</v>
      </c>
      <c r="L262" s="387">
        <v>33075.969999999994</v>
      </c>
      <c r="M262" s="387">
        <v>32044.579999999998</v>
      </c>
      <c r="N262" s="387">
        <v>32894.729999999996</v>
      </c>
      <c r="O262" s="988">
        <v>32343.759999999998</v>
      </c>
      <c r="P262" s="387">
        <v>5139.59</v>
      </c>
      <c r="Q262" s="387">
        <v>7089.47</v>
      </c>
      <c r="R262" s="387">
        <v>7615.83</v>
      </c>
      <c r="S262" s="387">
        <v>7531.87</v>
      </c>
      <c r="T262" s="387">
        <v>7633.85</v>
      </c>
      <c r="U262" s="387">
        <v>7994.7000000000007</v>
      </c>
      <c r="V262" s="387">
        <v>8341.3799999999992</v>
      </c>
      <c r="W262" s="387">
        <v>8687.2199999999993</v>
      </c>
      <c r="X262" s="387">
        <v>8517.23</v>
      </c>
      <c r="Y262" s="387">
        <v>8813.5400000000009</v>
      </c>
      <c r="Z262" s="387">
        <v>8625.2799999999988</v>
      </c>
      <c r="AA262" s="988">
        <v>9191.2300000000014</v>
      </c>
      <c r="AB262" s="387"/>
      <c r="AC262" s="387"/>
      <c r="AD262" s="387"/>
      <c r="AE262" s="387"/>
      <c r="AF262" s="387"/>
      <c r="AG262" s="387"/>
      <c r="AH262" s="387"/>
      <c r="AI262" s="387"/>
      <c r="AJ262" s="387"/>
      <c r="AK262" s="387"/>
      <c r="AL262" s="387"/>
      <c r="AM262" s="988"/>
      <c r="AN262" s="387"/>
      <c r="AO262" s="387"/>
      <c r="AP262" s="387"/>
      <c r="AQ262" s="387"/>
      <c r="AR262" s="387"/>
      <c r="AS262" s="387"/>
      <c r="AT262" s="387"/>
      <c r="AU262" s="387"/>
      <c r="AV262" s="387"/>
      <c r="AW262" s="387"/>
      <c r="AX262" s="387"/>
      <c r="AY262" s="988"/>
      <c r="AZ262" s="387"/>
      <c r="BA262" s="387"/>
      <c r="BB262" s="387"/>
      <c r="BC262" s="387"/>
      <c r="BD262" s="387"/>
      <c r="BE262" s="387"/>
      <c r="BF262" s="387"/>
      <c r="BG262" s="387"/>
      <c r="BH262" s="387"/>
      <c r="BI262" s="387"/>
      <c r="BJ262" s="387"/>
      <c r="BK262" s="988"/>
      <c r="BL262" s="387"/>
      <c r="BM262" s="387"/>
      <c r="BN262" s="387"/>
      <c r="BO262" s="387"/>
      <c r="BP262" s="387"/>
      <c r="BQ262" s="387"/>
      <c r="BR262" s="387"/>
      <c r="BS262" s="387"/>
      <c r="BT262" s="387"/>
      <c r="BU262" s="387"/>
      <c r="BV262" s="387"/>
      <c r="BW262" s="988"/>
      <c r="BX262" s="387"/>
      <c r="BY262" s="387"/>
      <c r="BZ262" s="387"/>
      <c r="CA262" s="387"/>
      <c r="CB262" s="387"/>
      <c r="CC262" s="387"/>
      <c r="CD262" s="387"/>
      <c r="CE262" s="387"/>
      <c r="CF262" s="387"/>
      <c r="CG262" s="387"/>
      <c r="CH262" s="387"/>
      <c r="CI262" s="988"/>
      <c r="CJ262" s="387"/>
      <c r="CK262" s="387"/>
      <c r="CL262" s="387"/>
      <c r="CM262" s="387"/>
      <c r="CN262" s="387"/>
      <c r="CO262" s="387"/>
      <c r="CP262" s="387"/>
      <c r="CQ262" s="387"/>
      <c r="CR262" s="387"/>
      <c r="CS262" s="387"/>
      <c r="CT262" s="387"/>
      <c r="CU262" s="988"/>
      <c r="CV262" s="387"/>
      <c r="CW262" s="387"/>
      <c r="CX262" s="387"/>
      <c r="CY262" s="387"/>
      <c r="CZ262" s="387"/>
      <c r="DA262" s="387"/>
      <c r="DB262" s="387"/>
      <c r="DC262" s="387"/>
      <c r="DD262" s="387"/>
      <c r="DE262" s="387"/>
      <c r="DF262" s="387"/>
      <c r="DG262" s="988"/>
      <c r="DH262" s="387"/>
      <c r="DI262" s="387"/>
      <c r="DJ262" s="387"/>
      <c r="DK262" s="387"/>
      <c r="DL262" s="387"/>
      <c r="DM262" s="387"/>
      <c r="DN262" s="387"/>
      <c r="DO262" s="387"/>
      <c r="DP262" s="387"/>
      <c r="DQ262" s="387"/>
      <c r="DR262" s="387"/>
      <c r="DS262" s="988"/>
      <c r="DT262" s="387">
        <v>2627.4700000000003</v>
      </c>
      <c r="DU262" s="387">
        <v>3142.4700000000003</v>
      </c>
      <c r="DV262" s="387">
        <v>3057.84</v>
      </c>
      <c r="DW262" s="387">
        <v>2963.58</v>
      </c>
      <c r="DX262" s="387">
        <v>2819.51</v>
      </c>
      <c r="DY262" s="387">
        <v>3918.7499999999995</v>
      </c>
      <c r="DZ262" s="387">
        <v>3407.66</v>
      </c>
      <c r="EA262" s="387">
        <v>9315.8700000000008</v>
      </c>
      <c r="EB262" s="387">
        <v>3566.79</v>
      </c>
      <c r="EC262" s="387">
        <v>3632.97</v>
      </c>
      <c r="ED262" s="387">
        <v>3491.8099999999995</v>
      </c>
      <c r="EE262" s="988">
        <v>2122.21</v>
      </c>
      <c r="EF262" s="387"/>
      <c r="EG262" s="387"/>
      <c r="EH262" s="387"/>
      <c r="EI262" s="387"/>
      <c r="EJ262" s="387"/>
      <c r="EK262" s="387"/>
      <c r="EL262" s="387"/>
      <c r="EM262" s="387"/>
      <c r="EN262" s="387"/>
      <c r="EO262" s="387"/>
      <c r="EP262" s="387"/>
      <c r="EQ262" s="988"/>
      <c r="ER262" s="387"/>
      <c r="ES262" s="387"/>
      <c r="ET262" s="387"/>
      <c r="EU262" s="387"/>
      <c r="EV262" s="387"/>
      <c r="EW262" s="387"/>
      <c r="EX262" s="387"/>
      <c r="EY262" s="387"/>
      <c r="EZ262" s="387"/>
      <c r="FA262" s="387"/>
      <c r="FB262" s="387"/>
      <c r="FC262" s="988"/>
      <c r="FD262" s="387"/>
      <c r="FE262" s="387"/>
      <c r="FF262" s="387"/>
      <c r="FG262" s="387"/>
      <c r="FH262" s="387"/>
      <c r="FI262" s="387"/>
      <c r="FJ262" s="387"/>
      <c r="FK262" s="387"/>
      <c r="FL262" s="387"/>
      <c r="FM262" s="387"/>
      <c r="FN262" s="387"/>
      <c r="FO262" s="988"/>
      <c r="FP262" s="387"/>
      <c r="FQ262" s="387"/>
      <c r="FR262" s="387"/>
      <c r="FS262" s="387"/>
      <c r="FT262" s="387"/>
      <c r="FU262" s="387"/>
      <c r="FV262" s="387"/>
      <c r="FW262" s="387"/>
      <c r="FX262" s="387"/>
      <c r="FY262" s="387"/>
      <c r="FZ262" s="387"/>
      <c r="GA262" s="988"/>
      <c r="GB262" s="109"/>
      <c r="GC262" s="2214">
        <f t="shared" si="168"/>
        <v>33341.11</v>
      </c>
      <c r="GD262" s="387">
        <f t="shared" si="168"/>
        <v>42952.05</v>
      </c>
      <c r="GE262" s="387">
        <f t="shared" si="168"/>
        <v>44302.44</v>
      </c>
      <c r="GF262" s="387">
        <f t="shared" si="168"/>
        <v>43271.920000000006</v>
      </c>
      <c r="GG262" s="387">
        <f t="shared" si="168"/>
        <v>43586.97</v>
      </c>
      <c r="GH262" s="387">
        <f t="shared" si="168"/>
        <v>45674.89</v>
      </c>
      <c r="GI262" s="387">
        <f t="shared" si="168"/>
        <v>44993.819999999992</v>
      </c>
      <c r="GJ262" s="387">
        <f t="shared" si="168"/>
        <v>51109.58</v>
      </c>
      <c r="GK262" s="387">
        <f t="shared" si="168"/>
        <v>45159.99</v>
      </c>
      <c r="GL262" s="387">
        <f t="shared" si="168"/>
        <v>44491.09</v>
      </c>
      <c r="GM262" s="387">
        <f t="shared" si="168"/>
        <v>45011.819999999992</v>
      </c>
      <c r="GN262" s="988">
        <f t="shared" si="168"/>
        <v>43657.2</v>
      </c>
      <c r="GO262" s="1036">
        <f t="shared" si="169"/>
        <v>2627.4700000000003</v>
      </c>
      <c r="GP262" s="387">
        <f t="shared" si="169"/>
        <v>3142.4700000000003</v>
      </c>
      <c r="GQ262" s="387">
        <f t="shared" si="169"/>
        <v>3057.84</v>
      </c>
      <c r="GR262" s="387">
        <f t="shared" si="169"/>
        <v>2963.58</v>
      </c>
      <c r="GS262" s="387">
        <f t="shared" si="169"/>
        <v>2819.51</v>
      </c>
      <c r="GT262" s="387">
        <f t="shared" si="169"/>
        <v>3918.7499999999995</v>
      </c>
      <c r="GU262" s="387">
        <f t="shared" si="169"/>
        <v>3407.66</v>
      </c>
      <c r="GV262" s="387">
        <f t="shared" si="169"/>
        <v>9315.8700000000008</v>
      </c>
      <c r="GW262" s="387">
        <f t="shared" si="169"/>
        <v>3566.79</v>
      </c>
      <c r="GX262" s="387">
        <f t="shared" si="169"/>
        <v>3632.97</v>
      </c>
      <c r="GY262" s="387">
        <f t="shared" si="169"/>
        <v>3491.8099999999995</v>
      </c>
      <c r="GZ262" s="988">
        <f t="shared" si="169"/>
        <v>2122.21</v>
      </c>
      <c r="HB262" s="387"/>
      <c r="HC262" s="387"/>
      <c r="HD262" s="387"/>
      <c r="HE262" s="387"/>
      <c r="HF262" s="387"/>
      <c r="HG262" s="387"/>
      <c r="HH262" s="387"/>
      <c r="HI262" s="387"/>
      <c r="HJ262" s="387"/>
      <c r="HK262" s="387"/>
      <c r="HL262" s="387"/>
      <c r="HM262" s="988"/>
    </row>
    <row r="263" spans="1:221">
      <c r="A263" s="326" t="s">
        <v>900</v>
      </c>
      <c r="B263" s="326" t="s">
        <v>901</v>
      </c>
      <c r="C263" s="326" t="s">
        <v>1135</v>
      </c>
      <c r="D263" s="1036">
        <v>35667.510000000009</v>
      </c>
      <c r="E263" s="387">
        <v>51548.290000000008</v>
      </c>
      <c r="F263" s="387">
        <v>48020.780000000006</v>
      </c>
      <c r="G263" s="387">
        <v>54798.03</v>
      </c>
      <c r="H263" s="387">
        <v>46108.92</v>
      </c>
      <c r="I263" s="387">
        <v>42555.03</v>
      </c>
      <c r="J263" s="387">
        <v>62908.47</v>
      </c>
      <c r="K263" s="387">
        <v>59877.39</v>
      </c>
      <c r="L263" s="387">
        <v>38020.179999999993</v>
      </c>
      <c r="M263" s="387">
        <v>50592.869999999995</v>
      </c>
      <c r="N263" s="387">
        <v>55372.119999999995</v>
      </c>
      <c r="O263" s="988">
        <v>52124.47</v>
      </c>
      <c r="P263" s="387">
        <v>12471.95</v>
      </c>
      <c r="Q263" s="387">
        <v>14102.26</v>
      </c>
      <c r="R263" s="387">
        <v>16526.400000000001</v>
      </c>
      <c r="S263" s="387">
        <v>16866.600000000002</v>
      </c>
      <c r="T263" s="387">
        <v>20614.619999999995</v>
      </c>
      <c r="U263" s="387">
        <v>4532.5600000000013</v>
      </c>
      <c r="V263" s="387">
        <v>14942.96</v>
      </c>
      <c r="W263" s="387">
        <v>16582.18</v>
      </c>
      <c r="X263" s="387">
        <v>13466.599999999999</v>
      </c>
      <c r="Y263" s="387">
        <v>7750.2900000000009</v>
      </c>
      <c r="Z263" s="387">
        <v>29908.359999999993</v>
      </c>
      <c r="AA263" s="988">
        <v>16866.43</v>
      </c>
      <c r="AB263" s="387"/>
      <c r="AC263" s="387"/>
      <c r="AD263" s="387"/>
      <c r="AE263" s="387"/>
      <c r="AF263" s="387"/>
      <c r="AG263" s="387"/>
      <c r="AH263" s="387"/>
      <c r="AI263" s="387"/>
      <c r="AJ263" s="387"/>
      <c r="AK263" s="387"/>
      <c r="AL263" s="387"/>
      <c r="AM263" s="988"/>
      <c r="AN263" s="387"/>
      <c r="AO263" s="387"/>
      <c r="AP263" s="387"/>
      <c r="AQ263" s="387"/>
      <c r="AR263" s="387"/>
      <c r="AS263" s="387"/>
      <c r="AT263" s="387"/>
      <c r="AU263" s="387"/>
      <c r="AV263" s="387"/>
      <c r="AW263" s="387"/>
      <c r="AX263" s="387"/>
      <c r="AY263" s="988"/>
      <c r="AZ263" s="387"/>
      <c r="BA263" s="387"/>
      <c r="BB263" s="387"/>
      <c r="BC263" s="387"/>
      <c r="BD263" s="387"/>
      <c r="BE263" s="387"/>
      <c r="BF263" s="387"/>
      <c r="BG263" s="387"/>
      <c r="BH263" s="387"/>
      <c r="BI263" s="387"/>
      <c r="BJ263" s="387"/>
      <c r="BK263" s="988"/>
      <c r="BL263" s="387"/>
      <c r="BM263" s="387"/>
      <c r="BN263" s="387"/>
      <c r="BO263" s="387"/>
      <c r="BP263" s="387"/>
      <c r="BQ263" s="387"/>
      <c r="BR263" s="387"/>
      <c r="BS263" s="387"/>
      <c r="BT263" s="387"/>
      <c r="BU263" s="387"/>
      <c r="BV263" s="387"/>
      <c r="BW263" s="988"/>
      <c r="BX263" s="387"/>
      <c r="BY263" s="387"/>
      <c r="BZ263" s="387"/>
      <c r="CA263" s="387"/>
      <c r="CB263" s="387"/>
      <c r="CC263" s="387"/>
      <c r="CD263" s="387"/>
      <c r="CE263" s="387"/>
      <c r="CF263" s="387"/>
      <c r="CG263" s="387"/>
      <c r="CH263" s="387"/>
      <c r="CI263" s="988"/>
      <c r="CJ263" s="387"/>
      <c r="CK263" s="387"/>
      <c r="CL263" s="387"/>
      <c r="CM263" s="387"/>
      <c r="CN263" s="387"/>
      <c r="CO263" s="387"/>
      <c r="CP263" s="387"/>
      <c r="CQ263" s="387"/>
      <c r="CR263" s="387"/>
      <c r="CS263" s="387"/>
      <c r="CT263" s="387"/>
      <c r="CU263" s="988"/>
      <c r="CV263" s="387"/>
      <c r="CW263" s="387"/>
      <c r="CX263" s="387"/>
      <c r="CY263" s="387"/>
      <c r="CZ263" s="387"/>
      <c r="DA263" s="387"/>
      <c r="DB263" s="387"/>
      <c r="DC263" s="387"/>
      <c r="DD263" s="387"/>
      <c r="DE263" s="387"/>
      <c r="DF263" s="387"/>
      <c r="DG263" s="988"/>
      <c r="DH263" s="387"/>
      <c r="DI263" s="387"/>
      <c r="DJ263" s="387"/>
      <c r="DK263" s="387"/>
      <c r="DL263" s="387"/>
      <c r="DM263" s="387"/>
      <c r="DN263" s="387"/>
      <c r="DO263" s="387"/>
      <c r="DP263" s="387"/>
      <c r="DQ263" s="387"/>
      <c r="DR263" s="387"/>
      <c r="DS263" s="988"/>
      <c r="DT263" s="387">
        <v>3480.83</v>
      </c>
      <c r="DU263" s="387">
        <v>4948.3999999999996</v>
      </c>
      <c r="DV263" s="387">
        <v>4170.42</v>
      </c>
      <c r="DW263" s="387">
        <v>4206.8999999999996</v>
      </c>
      <c r="DX263" s="387">
        <v>6435.68</v>
      </c>
      <c r="DY263" s="387">
        <v>4915.07</v>
      </c>
      <c r="DZ263" s="387">
        <v>4408.7199999999993</v>
      </c>
      <c r="EA263" s="387">
        <v>11208.920000000002</v>
      </c>
      <c r="EB263" s="387">
        <v>2428.27</v>
      </c>
      <c r="EC263" s="387">
        <v>9861.69</v>
      </c>
      <c r="ED263" s="387">
        <v>4678.1999999999989</v>
      </c>
      <c r="EE263" s="988">
        <v>1830.04</v>
      </c>
      <c r="EF263" s="387"/>
      <c r="EG263" s="387"/>
      <c r="EH263" s="387"/>
      <c r="EI263" s="387"/>
      <c r="EJ263" s="387"/>
      <c r="EK263" s="387"/>
      <c r="EL263" s="387"/>
      <c r="EM263" s="387"/>
      <c r="EN263" s="387"/>
      <c r="EO263" s="387"/>
      <c r="EP263" s="387"/>
      <c r="EQ263" s="988"/>
      <c r="ER263" s="387"/>
      <c r="ES263" s="387"/>
      <c r="ET263" s="387"/>
      <c r="EU263" s="387"/>
      <c r="EV263" s="387"/>
      <c r="EW263" s="387"/>
      <c r="EX263" s="387"/>
      <c r="EY263" s="387"/>
      <c r="EZ263" s="387"/>
      <c r="FA263" s="387"/>
      <c r="FB263" s="387"/>
      <c r="FC263" s="988"/>
      <c r="FD263" s="387"/>
      <c r="FE263" s="387"/>
      <c r="FF263" s="387"/>
      <c r="FG263" s="387"/>
      <c r="FH263" s="387"/>
      <c r="FI263" s="387"/>
      <c r="FJ263" s="387"/>
      <c r="FK263" s="387"/>
      <c r="FL263" s="387"/>
      <c r="FM263" s="387"/>
      <c r="FN263" s="387"/>
      <c r="FO263" s="988"/>
      <c r="FP263" s="387"/>
      <c r="FQ263" s="387"/>
      <c r="FR263" s="387"/>
      <c r="FS263" s="387"/>
      <c r="FT263" s="387"/>
      <c r="FU263" s="387"/>
      <c r="FV263" s="387"/>
      <c r="FW263" s="387"/>
      <c r="FX263" s="387"/>
      <c r="FY263" s="387"/>
      <c r="FZ263" s="387"/>
      <c r="GA263" s="988"/>
      <c r="GB263" s="109"/>
      <c r="GC263" s="2214">
        <f t="shared" ref="GC263:GN274" si="170">SUMPRODUCT(--($D$6:$GA$6=GC$6),$D263:$GA263,$D$278:$GA$278)</f>
        <v>51620.290000000008</v>
      </c>
      <c r="GD263" s="387">
        <f t="shared" si="170"/>
        <v>70598.95</v>
      </c>
      <c r="GE263" s="387">
        <f t="shared" si="170"/>
        <v>68717.600000000006</v>
      </c>
      <c r="GF263" s="387">
        <f t="shared" si="170"/>
        <v>75871.53</v>
      </c>
      <c r="GG263" s="387">
        <f t="shared" si="170"/>
        <v>73159.22</v>
      </c>
      <c r="GH263" s="387">
        <f t="shared" si="170"/>
        <v>52002.659999999996</v>
      </c>
      <c r="GI263" s="387">
        <f t="shared" si="170"/>
        <v>82260.149999999994</v>
      </c>
      <c r="GJ263" s="387">
        <f t="shared" si="170"/>
        <v>87668.49</v>
      </c>
      <c r="GK263" s="387">
        <f t="shared" si="170"/>
        <v>53915.049999999988</v>
      </c>
      <c r="GL263" s="387">
        <f t="shared" si="170"/>
        <v>68204.849999999991</v>
      </c>
      <c r="GM263" s="387">
        <f t="shared" si="170"/>
        <v>89958.679999999978</v>
      </c>
      <c r="GN263" s="988">
        <f t="shared" si="170"/>
        <v>70820.939999999988</v>
      </c>
      <c r="GO263" s="1036">
        <f t="shared" ref="GO263:GZ274" si="171">SUMPRODUCT(--($DT$6:$GA$6=GO$6),$DT263:$GA263,$DT$278:$GA$278)</f>
        <v>3480.83</v>
      </c>
      <c r="GP263" s="387">
        <f t="shared" si="171"/>
        <v>4948.3999999999996</v>
      </c>
      <c r="GQ263" s="387">
        <f t="shared" si="171"/>
        <v>4170.42</v>
      </c>
      <c r="GR263" s="387">
        <f t="shared" si="171"/>
        <v>4206.8999999999996</v>
      </c>
      <c r="GS263" s="387">
        <f t="shared" si="171"/>
        <v>6435.68</v>
      </c>
      <c r="GT263" s="387">
        <f t="shared" si="171"/>
        <v>4915.07</v>
      </c>
      <c r="GU263" s="387">
        <f t="shared" si="171"/>
        <v>4408.7199999999993</v>
      </c>
      <c r="GV263" s="387">
        <f t="shared" si="171"/>
        <v>11208.920000000002</v>
      </c>
      <c r="GW263" s="387">
        <f t="shared" si="171"/>
        <v>2428.27</v>
      </c>
      <c r="GX263" s="387">
        <f t="shared" si="171"/>
        <v>9861.69</v>
      </c>
      <c r="GY263" s="387">
        <f t="shared" si="171"/>
        <v>4678.1999999999989</v>
      </c>
      <c r="GZ263" s="988">
        <f t="shared" si="171"/>
        <v>1830.04</v>
      </c>
      <c r="HB263" s="387"/>
      <c r="HC263" s="387"/>
      <c r="HD263" s="387"/>
      <c r="HE263" s="387"/>
      <c r="HF263" s="387"/>
      <c r="HG263" s="387"/>
      <c r="HH263" s="387"/>
      <c r="HI263" s="387"/>
      <c r="HJ263" s="387"/>
      <c r="HK263" s="387"/>
      <c r="HL263" s="387"/>
      <c r="HM263" s="988"/>
    </row>
    <row r="264" spans="1:221">
      <c r="A264" s="326" t="s">
        <v>900</v>
      </c>
      <c r="B264" s="326" t="s">
        <v>901</v>
      </c>
      <c r="C264" s="326" t="s">
        <v>126</v>
      </c>
      <c r="D264" s="1036">
        <v>145100.94</v>
      </c>
      <c r="E264" s="387">
        <v>153504.82</v>
      </c>
      <c r="F264" s="387">
        <v>145636.26999999999</v>
      </c>
      <c r="G264" s="387">
        <v>148930.60999999999</v>
      </c>
      <c r="H264" s="387">
        <v>151748.76</v>
      </c>
      <c r="I264" s="387">
        <v>154416.39000000001</v>
      </c>
      <c r="J264" s="387">
        <v>167807.73</v>
      </c>
      <c r="K264" s="387">
        <v>169783.14</v>
      </c>
      <c r="L264" s="387">
        <v>144623.44</v>
      </c>
      <c r="M264" s="387">
        <v>151389.13</v>
      </c>
      <c r="N264" s="387">
        <v>162882.07999999999</v>
      </c>
      <c r="O264" s="988">
        <v>153521.02000000002</v>
      </c>
      <c r="P264" s="387">
        <v>45836.41</v>
      </c>
      <c r="Q264" s="386">
        <v>48453.13</v>
      </c>
      <c r="R264" s="387">
        <v>38866.080000000002</v>
      </c>
      <c r="S264" s="387">
        <v>57390.48000000001</v>
      </c>
      <c r="T264" s="386">
        <v>53366.789999999994</v>
      </c>
      <c r="U264" s="387">
        <v>34980.129999999997</v>
      </c>
      <c r="V264" s="386">
        <v>45724.869999999995</v>
      </c>
      <c r="W264" s="386">
        <v>46270.59</v>
      </c>
      <c r="X264" s="386">
        <v>49279.45</v>
      </c>
      <c r="Y264" s="386">
        <v>39667.71</v>
      </c>
      <c r="Z264" s="386">
        <v>68196.969999999987</v>
      </c>
      <c r="AA264" s="987">
        <v>53504.31</v>
      </c>
      <c r="AB264" s="387"/>
      <c r="AC264" s="386"/>
      <c r="AD264" s="387"/>
      <c r="AE264" s="387"/>
      <c r="AF264" s="386"/>
      <c r="AG264" s="387"/>
      <c r="AH264" s="386"/>
      <c r="AI264" s="386"/>
      <c r="AJ264" s="386"/>
      <c r="AK264" s="386"/>
      <c r="AL264" s="386"/>
      <c r="AM264" s="987"/>
      <c r="AN264" s="387"/>
      <c r="AO264" s="386"/>
      <c r="AP264" s="387"/>
      <c r="AQ264" s="387"/>
      <c r="AR264" s="386"/>
      <c r="AS264" s="387"/>
      <c r="AT264" s="386"/>
      <c r="AU264" s="386"/>
      <c r="AV264" s="386"/>
      <c r="AW264" s="386"/>
      <c r="AX264" s="386"/>
      <c r="AY264" s="987"/>
      <c r="AZ264" s="387"/>
      <c r="BA264" s="386"/>
      <c r="BB264" s="387"/>
      <c r="BC264" s="387"/>
      <c r="BD264" s="386"/>
      <c r="BE264" s="387"/>
      <c r="BF264" s="386"/>
      <c r="BG264" s="386"/>
      <c r="BH264" s="386"/>
      <c r="BI264" s="386"/>
      <c r="BJ264" s="386"/>
      <c r="BK264" s="987"/>
      <c r="BL264" s="387"/>
      <c r="BM264" s="386"/>
      <c r="BN264" s="387"/>
      <c r="BO264" s="387"/>
      <c r="BP264" s="386"/>
      <c r="BQ264" s="387"/>
      <c r="BR264" s="386"/>
      <c r="BS264" s="386"/>
      <c r="BT264" s="386"/>
      <c r="BU264" s="386"/>
      <c r="BV264" s="386"/>
      <c r="BW264" s="987"/>
      <c r="BX264" s="387"/>
      <c r="BY264" s="386"/>
      <c r="BZ264" s="387"/>
      <c r="CA264" s="387"/>
      <c r="CB264" s="386"/>
      <c r="CC264" s="387"/>
      <c r="CD264" s="386"/>
      <c r="CE264" s="386"/>
      <c r="CF264" s="386"/>
      <c r="CG264" s="386"/>
      <c r="CH264" s="386"/>
      <c r="CI264" s="987"/>
      <c r="CJ264" s="387"/>
      <c r="CK264" s="386"/>
      <c r="CL264" s="387"/>
      <c r="CM264" s="387"/>
      <c r="CN264" s="386"/>
      <c r="CO264" s="387"/>
      <c r="CP264" s="386"/>
      <c r="CQ264" s="386"/>
      <c r="CR264" s="386"/>
      <c r="CS264" s="386"/>
      <c r="CT264" s="386"/>
      <c r="CU264" s="987"/>
      <c r="CV264" s="387"/>
      <c r="CW264" s="386"/>
      <c r="CX264" s="387"/>
      <c r="CY264" s="387"/>
      <c r="CZ264" s="386"/>
      <c r="DA264" s="387"/>
      <c r="DB264" s="386"/>
      <c r="DC264" s="386"/>
      <c r="DD264" s="386"/>
      <c r="DE264" s="386"/>
      <c r="DF264" s="386"/>
      <c r="DG264" s="987"/>
      <c r="DH264" s="387"/>
      <c r="DI264" s="386"/>
      <c r="DJ264" s="387"/>
      <c r="DK264" s="387"/>
      <c r="DL264" s="386"/>
      <c r="DM264" s="387"/>
      <c r="DN264" s="386"/>
      <c r="DO264" s="386"/>
      <c r="DP264" s="386"/>
      <c r="DQ264" s="386"/>
      <c r="DR264" s="386"/>
      <c r="DS264" s="987"/>
      <c r="DT264" s="387">
        <v>28247.9</v>
      </c>
      <c r="DU264" s="386">
        <v>21876.059999999998</v>
      </c>
      <c r="DV264" s="387">
        <v>27151.53</v>
      </c>
      <c r="DW264" s="387">
        <v>20267.46</v>
      </c>
      <c r="DX264" s="386">
        <v>24638.26</v>
      </c>
      <c r="DY264" s="387">
        <v>22547.09</v>
      </c>
      <c r="DZ264" s="386">
        <v>11549.979999999998</v>
      </c>
      <c r="EA264" s="386">
        <v>27523.15</v>
      </c>
      <c r="EB264" s="386">
        <v>19206.190000000002</v>
      </c>
      <c r="EC264" s="386">
        <v>27768.58</v>
      </c>
      <c r="ED264" s="386">
        <v>20755.830000000002</v>
      </c>
      <c r="EE264" s="987">
        <v>21598.9</v>
      </c>
      <c r="EF264" s="387"/>
      <c r="EG264" s="386"/>
      <c r="EH264" s="387"/>
      <c r="EI264" s="387"/>
      <c r="EJ264" s="386"/>
      <c r="EK264" s="387"/>
      <c r="EL264" s="386"/>
      <c r="EM264" s="386"/>
      <c r="EN264" s="386"/>
      <c r="EO264" s="386"/>
      <c r="EP264" s="386"/>
      <c r="EQ264" s="987"/>
      <c r="ER264" s="387"/>
      <c r="ES264" s="386"/>
      <c r="ET264" s="387"/>
      <c r="EU264" s="387"/>
      <c r="EV264" s="386"/>
      <c r="EW264" s="387"/>
      <c r="EX264" s="386"/>
      <c r="EY264" s="386"/>
      <c r="EZ264" s="386"/>
      <c r="FA264" s="386"/>
      <c r="FB264" s="386"/>
      <c r="FC264" s="987"/>
      <c r="FD264" s="387"/>
      <c r="FE264" s="386"/>
      <c r="FF264" s="387"/>
      <c r="FG264" s="387"/>
      <c r="FH264" s="386"/>
      <c r="FI264" s="387"/>
      <c r="FJ264" s="386"/>
      <c r="FK264" s="386"/>
      <c r="FL264" s="386"/>
      <c r="FM264" s="386"/>
      <c r="FN264" s="386"/>
      <c r="FO264" s="987"/>
      <c r="FP264" s="387"/>
      <c r="FQ264" s="386"/>
      <c r="FR264" s="387"/>
      <c r="FS264" s="387"/>
      <c r="FT264" s="386"/>
      <c r="FU264" s="387"/>
      <c r="FV264" s="386"/>
      <c r="FW264" s="386"/>
      <c r="FX264" s="386"/>
      <c r="FY264" s="386"/>
      <c r="FZ264" s="386"/>
      <c r="GA264" s="987"/>
      <c r="GB264" s="109"/>
      <c r="GC264" s="2214">
        <f t="shared" si="170"/>
        <v>219185.25</v>
      </c>
      <c r="GD264" s="386">
        <f t="shared" si="170"/>
        <v>223834.01</v>
      </c>
      <c r="GE264" s="387">
        <f t="shared" si="170"/>
        <v>211653.87999999998</v>
      </c>
      <c r="GF264" s="387">
        <f t="shared" si="170"/>
        <v>226588.55</v>
      </c>
      <c r="GG264" s="386">
        <f t="shared" si="170"/>
        <v>229753.81</v>
      </c>
      <c r="GH264" s="387">
        <f t="shared" si="170"/>
        <v>211943.61000000002</v>
      </c>
      <c r="GI264" s="386">
        <f t="shared" si="170"/>
        <v>225082.58000000002</v>
      </c>
      <c r="GJ264" s="386">
        <f t="shared" si="170"/>
        <v>243576.88</v>
      </c>
      <c r="GK264" s="386">
        <f t="shared" si="170"/>
        <v>213109.08000000002</v>
      </c>
      <c r="GL264" s="386">
        <f t="shared" si="170"/>
        <v>218825.41999999998</v>
      </c>
      <c r="GM264" s="386">
        <f t="shared" si="170"/>
        <v>251834.88</v>
      </c>
      <c r="GN264" s="987">
        <f t="shared" si="170"/>
        <v>228624.23</v>
      </c>
      <c r="GO264" s="1036">
        <f t="shared" si="171"/>
        <v>28247.9</v>
      </c>
      <c r="GP264" s="386">
        <f t="shared" si="171"/>
        <v>21876.059999999998</v>
      </c>
      <c r="GQ264" s="387">
        <f t="shared" si="171"/>
        <v>27151.53</v>
      </c>
      <c r="GR264" s="387">
        <f t="shared" si="171"/>
        <v>20267.46</v>
      </c>
      <c r="GS264" s="386">
        <f t="shared" si="171"/>
        <v>24638.26</v>
      </c>
      <c r="GT264" s="387">
        <f t="shared" si="171"/>
        <v>22547.09</v>
      </c>
      <c r="GU264" s="386">
        <f t="shared" si="171"/>
        <v>11549.979999999998</v>
      </c>
      <c r="GV264" s="386">
        <f t="shared" si="171"/>
        <v>27523.15</v>
      </c>
      <c r="GW264" s="386">
        <f t="shared" si="171"/>
        <v>19206.190000000002</v>
      </c>
      <c r="GX264" s="386">
        <f t="shared" si="171"/>
        <v>27768.58</v>
      </c>
      <c r="GY264" s="386">
        <f t="shared" si="171"/>
        <v>20755.830000000002</v>
      </c>
      <c r="GZ264" s="987">
        <f t="shared" si="171"/>
        <v>21598.9</v>
      </c>
      <c r="HB264" s="387"/>
      <c r="HC264" s="386"/>
      <c r="HD264" s="387"/>
      <c r="HE264" s="387"/>
      <c r="HF264" s="386"/>
      <c r="HG264" s="387"/>
      <c r="HH264" s="386"/>
      <c r="HI264" s="386"/>
      <c r="HJ264" s="386"/>
      <c r="HK264" s="386"/>
      <c r="HL264" s="386"/>
      <c r="HM264" s="987"/>
    </row>
    <row r="265" spans="1:221" s="1731" customFormat="1">
      <c r="A265" s="1725" t="s">
        <v>900</v>
      </c>
      <c r="B265" s="1725" t="s">
        <v>901</v>
      </c>
      <c r="C265" s="1725" t="s">
        <v>3682</v>
      </c>
      <c r="D265" s="1726">
        <v>16182.31</v>
      </c>
      <c r="E265" s="1727">
        <v>15626.89</v>
      </c>
      <c r="F265" s="1727">
        <v>14979.18</v>
      </c>
      <c r="G265" s="1727">
        <v>15729.98</v>
      </c>
      <c r="H265" s="1727">
        <v>17166.66</v>
      </c>
      <c r="I265" s="1727">
        <v>21262.35</v>
      </c>
      <c r="J265" s="1727">
        <v>15108.26</v>
      </c>
      <c r="K265" s="1727">
        <v>15971.97</v>
      </c>
      <c r="L265" s="1727">
        <v>16680.93</v>
      </c>
      <c r="M265" s="1727">
        <v>14675.87</v>
      </c>
      <c r="N265" s="1727">
        <v>17455.2</v>
      </c>
      <c r="O265" s="1728">
        <v>15072.58</v>
      </c>
      <c r="P265" s="1727">
        <v>5789.91</v>
      </c>
      <c r="Q265" s="1727">
        <v>5044.54</v>
      </c>
      <c r="R265" s="1727">
        <v>6262.57</v>
      </c>
      <c r="S265" s="1727">
        <v>6022.81</v>
      </c>
      <c r="T265" s="1727">
        <v>6516.87</v>
      </c>
      <c r="U265" s="1727">
        <v>8283.9599999999991</v>
      </c>
      <c r="V265" s="1727">
        <v>10329.57</v>
      </c>
      <c r="W265" s="1727">
        <v>10958.42</v>
      </c>
      <c r="X265" s="1727">
        <v>15550.01</v>
      </c>
      <c r="Y265" s="1727">
        <v>18693.64</v>
      </c>
      <c r="Z265" s="1727">
        <v>13395.42</v>
      </c>
      <c r="AA265" s="1728">
        <v>14938.08</v>
      </c>
      <c r="AB265" s="1727"/>
      <c r="AC265" s="1727"/>
      <c r="AD265" s="1727"/>
      <c r="AE265" s="1727"/>
      <c r="AF265" s="1727"/>
      <c r="AG265" s="1727"/>
      <c r="AH265" s="1727"/>
      <c r="AI265" s="1727"/>
      <c r="AJ265" s="1727"/>
      <c r="AK265" s="1727"/>
      <c r="AL265" s="1727"/>
      <c r="AM265" s="1728"/>
      <c r="AN265" s="1727"/>
      <c r="AO265" s="1727"/>
      <c r="AP265" s="1727"/>
      <c r="AQ265" s="1727"/>
      <c r="AR265" s="1727"/>
      <c r="AS265" s="1727"/>
      <c r="AT265" s="1727"/>
      <c r="AU265" s="1727"/>
      <c r="AV265" s="1727"/>
      <c r="AW265" s="1727"/>
      <c r="AX265" s="1727"/>
      <c r="AY265" s="1728"/>
      <c r="AZ265" s="1727"/>
      <c r="BA265" s="1727"/>
      <c r="BB265" s="1727"/>
      <c r="BC265" s="1727"/>
      <c r="BD265" s="1727"/>
      <c r="BE265" s="1727"/>
      <c r="BF265" s="1727"/>
      <c r="BG265" s="1727"/>
      <c r="BH265" s="1727"/>
      <c r="BI265" s="1727"/>
      <c r="BJ265" s="1727"/>
      <c r="BK265" s="1728"/>
      <c r="BL265" s="1727"/>
      <c r="BM265" s="1727"/>
      <c r="BN265" s="1727"/>
      <c r="BO265" s="1727"/>
      <c r="BP265" s="1727"/>
      <c r="BQ265" s="1727"/>
      <c r="BR265" s="1727"/>
      <c r="BS265" s="1727"/>
      <c r="BT265" s="1727"/>
      <c r="BU265" s="1727"/>
      <c r="BV265" s="1727"/>
      <c r="BW265" s="1728"/>
      <c r="BX265" s="1727"/>
      <c r="BY265" s="1727"/>
      <c r="BZ265" s="1727"/>
      <c r="CA265" s="1727"/>
      <c r="CB265" s="1727"/>
      <c r="CC265" s="1727"/>
      <c r="CD265" s="1727"/>
      <c r="CE265" s="1727"/>
      <c r="CF265" s="1727"/>
      <c r="CG265" s="1727"/>
      <c r="CH265" s="1727"/>
      <c r="CI265" s="1728"/>
      <c r="CJ265" s="1727"/>
      <c r="CK265" s="1727"/>
      <c r="CL265" s="1727"/>
      <c r="CM265" s="1727"/>
      <c r="CN265" s="1727"/>
      <c r="CO265" s="1727"/>
      <c r="CP265" s="1727"/>
      <c r="CQ265" s="1727"/>
      <c r="CR265" s="1727"/>
      <c r="CS265" s="1727"/>
      <c r="CT265" s="1727"/>
      <c r="CU265" s="1728"/>
      <c r="CV265" s="1727"/>
      <c r="CW265" s="1727"/>
      <c r="CX265" s="1727"/>
      <c r="CY265" s="1727"/>
      <c r="CZ265" s="1727"/>
      <c r="DA265" s="1727"/>
      <c r="DB265" s="1727"/>
      <c r="DC265" s="1727"/>
      <c r="DD265" s="1727"/>
      <c r="DE265" s="1727"/>
      <c r="DF265" s="1727"/>
      <c r="DG265" s="1728"/>
      <c r="DH265" s="1727"/>
      <c r="DI265" s="1727"/>
      <c r="DJ265" s="1727"/>
      <c r="DK265" s="1727"/>
      <c r="DL265" s="1727"/>
      <c r="DM265" s="1727"/>
      <c r="DN265" s="1727"/>
      <c r="DO265" s="1727"/>
      <c r="DP265" s="1727"/>
      <c r="DQ265" s="1727"/>
      <c r="DR265" s="1727"/>
      <c r="DS265" s="1728"/>
      <c r="DT265" s="1727">
        <v>4117.1400000000003</v>
      </c>
      <c r="DU265" s="1727">
        <v>4170.79</v>
      </c>
      <c r="DV265" s="1727">
        <v>3777.93</v>
      </c>
      <c r="DW265" s="1727">
        <v>3759.17</v>
      </c>
      <c r="DX265" s="1727">
        <v>3434.39</v>
      </c>
      <c r="DY265" s="1727">
        <v>4123.1499999999996</v>
      </c>
      <c r="DZ265" s="1727">
        <v>3093.25</v>
      </c>
      <c r="EA265" s="1727">
        <v>3583.15</v>
      </c>
      <c r="EB265" s="1727">
        <v>4038.71</v>
      </c>
      <c r="EC265" s="1727">
        <v>3322.29</v>
      </c>
      <c r="ED265" s="1727">
        <v>3457.01</v>
      </c>
      <c r="EE265" s="1728">
        <v>-150.04</v>
      </c>
      <c r="EF265" s="1727"/>
      <c r="EG265" s="1727"/>
      <c r="EH265" s="1727"/>
      <c r="EI265" s="1727"/>
      <c r="EJ265" s="1727"/>
      <c r="EK265" s="1727"/>
      <c r="EL265" s="1727"/>
      <c r="EM265" s="1727"/>
      <c r="EN265" s="1727"/>
      <c r="EO265" s="1727"/>
      <c r="EP265" s="1727"/>
      <c r="EQ265" s="1728"/>
      <c r="ER265" s="1727"/>
      <c r="ES265" s="1727"/>
      <c r="ET265" s="1727"/>
      <c r="EU265" s="1727"/>
      <c r="EV265" s="1727"/>
      <c r="EW265" s="1727"/>
      <c r="EX265" s="1727"/>
      <c r="EY265" s="1727"/>
      <c r="EZ265" s="1727"/>
      <c r="FA265" s="1727"/>
      <c r="FB265" s="1727"/>
      <c r="FC265" s="1728"/>
      <c r="FD265" s="1727"/>
      <c r="FE265" s="1727"/>
      <c r="FF265" s="1727"/>
      <c r="FG265" s="1727"/>
      <c r="FH265" s="1727"/>
      <c r="FI265" s="1727"/>
      <c r="FJ265" s="1727"/>
      <c r="FK265" s="1727"/>
      <c r="FL265" s="1727"/>
      <c r="FM265" s="1727"/>
      <c r="FN265" s="1727"/>
      <c r="FO265" s="1728"/>
      <c r="FP265" s="1727"/>
      <c r="FQ265" s="1727"/>
      <c r="FR265" s="1727"/>
      <c r="FS265" s="1727"/>
      <c r="FT265" s="1727"/>
      <c r="FU265" s="1727"/>
      <c r="FV265" s="1727"/>
      <c r="FW265" s="1727"/>
      <c r="FX265" s="1727"/>
      <c r="FY265" s="1727"/>
      <c r="FZ265" s="1727"/>
      <c r="GA265" s="1728"/>
      <c r="GB265" s="374"/>
      <c r="GC265" s="2216">
        <f t="shared" si="170"/>
        <v>26089.360000000001</v>
      </c>
      <c r="GD265" s="1727">
        <f t="shared" si="170"/>
        <v>24842.22</v>
      </c>
      <c r="GE265" s="1727">
        <f t="shared" si="170"/>
        <v>25019.68</v>
      </c>
      <c r="GF265" s="1727">
        <f t="shared" si="170"/>
        <v>25511.96</v>
      </c>
      <c r="GG265" s="1727">
        <f t="shared" si="170"/>
        <v>27117.919999999998</v>
      </c>
      <c r="GH265" s="1727">
        <f t="shared" si="170"/>
        <v>33669.46</v>
      </c>
      <c r="GI265" s="1727">
        <f t="shared" si="170"/>
        <v>28531.08</v>
      </c>
      <c r="GJ265" s="1727">
        <f t="shared" si="170"/>
        <v>30513.54</v>
      </c>
      <c r="GK265" s="1727">
        <f t="shared" si="170"/>
        <v>36269.65</v>
      </c>
      <c r="GL265" s="1727">
        <f t="shared" si="170"/>
        <v>36691.800000000003</v>
      </c>
      <c r="GM265" s="1727">
        <f t="shared" si="170"/>
        <v>34307.630000000005</v>
      </c>
      <c r="GN265" s="1728">
        <f t="shared" si="170"/>
        <v>29860.62</v>
      </c>
      <c r="GO265" s="1726">
        <f t="shared" si="171"/>
        <v>4117.1400000000003</v>
      </c>
      <c r="GP265" s="1727">
        <f t="shared" si="171"/>
        <v>4170.79</v>
      </c>
      <c r="GQ265" s="1727">
        <f t="shared" si="171"/>
        <v>3777.93</v>
      </c>
      <c r="GR265" s="1727">
        <f t="shared" si="171"/>
        <v>3759.17</v>
      </c>
      <c r="GS265" s="1727">
        <f t="shared" si="171"/>
        <v>3434.39</v>
      </c>
      <c r="GT265" s="1727">
        <f t="shared" si="171"/>
        <v>4123.1499999999996</v>
      </c>
      <c r="GU265" s="1727">
        <f t="shared" si="171"/>
        <v>3093.25</v>
      </c>
      <c r="GV265" s="1727">
        <f t="shared" si="171"/>
        <v>3583.15</v>
      </c>
      <c r="GW265" s="1727">
        <f t="shared" si="171"/>
        <v>4038.71</v>
      </c>
      <c r="GX265" s="1727">
        <f t="shared" si="171"/>
        <v>3322.29</v>
      </c>
      <c r="GY265" s="1727">
        <f t="shared" si="171"/>
        <v>3457.01</v>
      </c>
      <c r="GZ265" s="1728">
        <f t="shared" si="171"/>
        <v>-150.04</v>
      </c>
      <c r="HB265" s="1727"/>
      <c r="HC265" s="1727"/>
      <c r="HD265" s="1727"/>
      <c r="HE265" s="1727"/>
      <c r="HF265" s="1727"/>
      <c r="HG265" s="1727"/>
      <c r="HH265" s="1727"/>
      <c r="HI265" s="1727"/>
      <c r="HJ265" s="1727"/>
      <c r="HK265" s="1727"/>
      <c r="HL265" s="1727"/>
      <c r="HM265" s="1728"/>
    </row>
    <row r="266" spans="1:221">
      <c r="A266" s="326" t="s">
        <v>900</v>
      </c>
      <c r="B266" s="326" t="s">
        <v>901</v>
      </c>
      <c r="C266" s="326" t="s">
        <v>127</v>
      </c>
      <c r="D266" s="1036" t="s">
        <v>2154</v>
      </c>
      <c r="E266" s="387" t="s">
        <v>2154</v>
      </c>
      <c r="F266" s="387" t="s">
        <v>2154</v>
      </c>
      <c r="G266" s="387" t="s">
        <v>2154</v>
      </c>
      <c r="H266" s="387" t="s">
        <v>2154</v>
      </c>
      <c r="I266" s="387" t="s">
        <v>2154</v>
      </c>
      <c r="J266" s="387" t="s">
        <v>2154</v>
      </c>
      <c r="K266" s="387" t="s">
        <v>2154</v>
      </c>
      <c r="L266" s="387" t="s">
        <v>2154</v>
      </c>
      <c r="M266" s="387" t="s">
        <v>2154</v>
      </c>
      <c r="N266" s="387" t="s">
        <v>2154</v>
      </c>
      <c r="O266" s="988" t="s">
        <v>2154</v>
      </c>
      <c r="P266" s="387" t="s">
        <v>2154</v>
      </c>
      <c r="Q266" s="387" t="s">
        <v>2154</v>
      </c>
      <c r="R266" s="387" t="s">
        <v>2154</v>
      </c>
      <c r="S266" s="387" t="s">
        <v>2154</v>
      </c>
      <c r="T266" s="387" t="s">
        <v>2154</v>
      </c>
      <c r="U266" s="387" t="s">
        <v>2154</v>
      </c>
      <c r="V266" s="387" t="s">
        <v>2154</v>
      </c>
      <c r="W266" s="387" t="s">
        <v>2154</v>
      </c>
      <c r="X266" s="387" t="s">
        <v>2154</v>
      </c>
      <c r="Y266" s="387" t="s">
        <v>2154</v>
      </c>
      <c r="Z266" s="387" t="s">
        <v>2154</v>
      </c>
      <c r="AA266" s="988" t="s">
        <v>2154</v>
      </c>
      <c r="AB266" s="387"/>
      <c r="AC266" s="387"/>
      <c r="AD266" s="387"/>
      <c r="AE266" s="387"/>
      <c r="AF266" s="387"/>
      <c r="AG266" s="387"/>
      <c r="AH266" s="387"/>
      <c r="AI266" s="387"/>
      <c r="AJ266" s="387"/>
      <c r="AK266" s="387"/>
      <c r="AL266" s="387"/>
      <c r="AM266" s="988"/>
      <c r="AN266" s="387"/>
      <c r="AO266" s="387"/>
      <c r="AP266" s="387"/>
      <c r="AQ266" s="387"/>
      <c r="AR266" s="387"/>
      <c r="AS266" s="387"/>
      <c r="AT266" s="387"/>
      <c r="AU266" s="387"/>
      <c r="AV266" s="387"/>
      <c r="AW266" s="387"/>
      <c r="AX266" s="387"/>
      <c r="AY266" s="988"/>
      <c r="AZ266" s="387"/>
      <c r="BA266" s="387"/>
      <c r="BB266" s="387"/>
      <c r="BC266" s="387"/>
      <c r="BD266" s="387"/>
      <c r="BE266" s="387"/>
      <c r="BF266" s="387"/>
      <c r="BG266" s="387"/>
      <c r="BH266" s="387"/>
      <c r="BI266" s="387"/>
      <c r="BJ266" s="387"/>
      <c r="BK266" s="988"/>
      <c r="BL266" s="387"/>
      <c r="BM266" s="387"/>
      <c r="BN266" s="387"/>
      <c r="BO266" s="387"/>
      <c r="BP266" s="387"/>
      <c r="BQ266" s="387"/>
      <c r="BR266" s="387"/>
      <c r="BS266" s="387"/>
      <c r="BT266" s="387"/>
      <c r="BU266" s="387"/>
      <c r="BV266" s="387"/>
      <c r="BW266" s="988"/>
      <c r="BX266" s="387"/>
      <c r="BY266" s="387"/>
      <c r="BZ266" s="387"/>
      <c r="CA266" s="387"/>
      <c r="CB266" s="387"/>
      <c r="CC266" s="387"/>
      <c r="CD266" s="387"/>
      <c r="CE266" s="387"/>
      <c r="CF266" s="387"/>
      <c r="CG266" s="387"/>
      <c r="CH266" s="387"/>
      <c r="CI266" s="988"/>
      <c r="CJ266" s="387"/>
      <c r="CK266" s="387"/>
      <c r="CL266" s="387"/>
      <c r="CM266" s="387"/>
      <c r="CN266" s="387"/>
      <c r="CO266" s="387"/>
      <c r="CP266" s="387"/>
      <c r="CQ266" s="387"/>
      <c r="CR266" s="387"/>
      <c r="CS266" s="387"/>
      <c r="CT266" s="387"/>
      <c r="CU266" s="988"/>
      <c r="CV266" s="387"/>
      <c r="CW266" s="387"/>
      <c r="CX266" s="387"/>
      <c r="CY266" s="387"/>
      <c r="CZ266" s="387"/>
      <c r="DA266" s="387"/>
      <c r="DB266" s="387"/>
      <c r="DC266" s="387"/>
      <c r="DD266" s="387"/>
      <c r="DE266" s="387"/>
      <c r="DF266" s="387"/>
      <c r="DG266" s="988"/>
      <c r="DH266" s="387"/>
      <c r="DI266" s="387"/>
      <c r="DJ266" s="387"/>
      <c r="DK266" s="387"/>
      <c r="DL266" s="387"/>
      <c r="DM266" s="387"/>
      <c r="DN266" s="387"/>
      <c r="DO266" s="387"/>
      <c r="DP266" s="387"/>
      <c r="DQ266" s="387"/>
      <c r="DR266" s="387"/>
      <c r="DS266" s="988"/>
      <c r="DT266" s="387" t="s">
        <v>2154</v>
      </c>
      <c r="DU266" s="387" t="s">
        <v>2154</v>
      </c>
      <c r="DV266" s="387" t="s">
        <v>2154</v>
      </c>
      <c r="DW266" s="387" t="s">
        <v>2154</v>
      </c>
      <c r="DX266" s="387" t="s">
        <v>2154</v>
      </c>
      <c r="DY266" s="387" t="s">
        <v>2154</v>
      </c>
      <c r="DZ266" s="387" t="s">
        <v>2154</v>
      </c>
      <c r="EA266" s="387" t="s">
        <v>2154</v>
      </c>
      <c r="EB266" s="387" t="s">
        <v>2154</v>
      </c>
      <c r="EC266" s="387" t="s">
        <v>2154</v>
      </c>
      <c r="ED266" s="387" t="s">
        <v>2154</v>
      </c>
      <c r="EE266" s="988" t="s">
        <v>2154</v>
      </c>
      <c r="EF266" s="387"/>
      <c r="EG266" s="387"/>
      <c r="EH266" s="387"/>
      <c r="EI266" s="387"/>
      <c r="EJ266" s="387"/>
      <c r="EK266" s="387"/>
      <c r="EL266" s="387"/>
      <c r="EM266" s="387"/>
      <c r="EN266" s="387"/>
      <c r="EO266" s="387"/>
      <c r="EP266" s="387"/>
      <c r="EQ266" s="988"/>
      <c r="ER266" s="387"/>
      <c r="ES266" s="387"/>
      <c r="ET266" s="387"/>
      <c r="EU266" s="387"/>
      <c r="EV266" s="387"/>
      <c r="EW266" s="387"/>
      <c r="EX266" s="387"/>
      <c r="EY266" s="387"/>
      <c r="EZ266" s="387"/>
      <c r="FA266" s="387"/>
      <c r="FB266" s="387"/>
      <c r="FC266" s="988"/>
      <c r="FD266" s="387"/>
      <c r="FE266" s="387"/>
      <c r="FF266" s="387"/>
      <c r="FG266" s="387"/>
      <c r="FH266" s="387"/>
      <c r="FI266" s="387"/>
      <c r="FJ266" s="387"/>
      <c r="FK266" s="387"/>
      <c r="FL266" s="387"/>
      <c r="FM266" s="387"/>
      <c r="FN266" s="387"/>
      <c r="FO266" s="988"/>
      <c r="FP266" s="387"/>
      <c r="FQ266" s="387"/>
      <c r="FR266" s="387"/>
      <c r="FS266" s="387"/>
      <c r="FT266" s="387"/>
      <c r="FU266" s="387"/>
      <c r="FV266" s="387"/>
      <c r="FW266" s="387"/>
      <c r="FX266" s="387"/>
      <c r="FY266" s="387"/>
      <c r="FZ266" s="387"/>
      <c r="GA266" s="988"/>
      <c r="GB266" s="109"/>
      <c r="GC266" s="2214">
        <f t="shared" si="170"/>
        <v>0</v>
      </c>
      <c r="GD266" s="387">
        <f t="shared" si="170"/>
        <v>0</v>
      </c>
      <c r="GE266" s="387">
        <f t="shared" si="170"/>
        <v>0</v>
      </c>
      <c r="GF266" s="387">
        <f t="shared" si="170"/>
        <v>0</v>
      </c>
      <c r="GG266" s="387">
        <f t="shared" si="170"/>
        <v>0</v>
      </c>
      <c r="GH266" s="387">
        <f t="shared" si="170"/>
        <v>0</v>
      </c>
      <c r="GI266" s="387">
        <f t="shared" si="170"/>
        <v>0</v>
      </c>
      <c r="GJ266" s="387">
        <f t="shared" si="170"/>
        <v>0</v>
      </c>
      <c r="GK266" s="387">
        <f t="shared" si="170"/>
        <v>0</v>
      </c>
      <c r="GL266" s="387">
        <f t="shared" si="170"/>
        <v>0</v>
      </c>
      <c r="GM266" s="387">
        <f t="shared" si="170"/>
        <v>0</v>
      </c>
      <c r="GN266" s="988">
        <f t="shared" si="170"/>
        <v>0</v>
      </c>
      <c r="GO266" s="1036">
        <f t="shared" si="171"/>
        <v>0</v>
      </c>
      <c r="GP266" s="387">
        <f t="shared" si="171"/>
        <v>0</v>
      </c>
      <c r="GQ266" s="387">
        <f t="shared" si="171"/>
        <v>0</v>
      </c>
      <c r="GR266" s="387">
        <f t="shared" si="171"/>
        <v>0</v>
      </c>
      <c r="GS266" s="387">
        <f t="shared" si="171"/>
        <v>0</v>
      </c>
      <c r="GT266" s="387">
        <f t="shared" si="171"/>
        <v>0</v>
      </c>
      <c r="GU266" s="387">
        <f t="shared" si="171"/>
        <v>0</v>
      </c>
      <c r="GV266" s="387">
        <f t="shared" si="171"/>
        <v>0</v>
      </c>
      <c r="GW266" s="387">
        <f t="shared" si="171"/>
        <v>0</v>
      </c>
      <c r="GX266" s="387">
        <f t="shared" si="171"/>
        <v>0</v>
      </c>
      <c r="GY266" s="387">
        <f t="shared" si="171"/>
        <v>0</v>
      </c>
      <c r="GZ266" s="988">
        <f t="shared" si="171"/>
        <v>0</v>
      </c>
      <c r="HB266" s="387"/>
      <c r="HC266" s="387"/>
      <c r="HD266" s="387"/>
      <c r="HE266" s="387"/>
      <c r="HF266" s="387"/>
      <c r="HG266" s="387"/>
      <c r="HH266" s="387"/>
      <c r="HI266" s="387"/>
      <c r="HJ266" s="387"/>
      <c r="HK266" s="387"/>
      <c r="HL266" s="387"/>
      <c r="HM266" s="988"/>
    </row>
    <row r="267" spans="1:221">
      <c r="A267" s="326" t="s">
        <v>900</v>
      </c>
      <c r="B267" s="326" t="s">
        <v>901</v>
      </c>
      <c r="C267" s="326" t="s">
        <v>128</v>
      </c>
      <c r="D267" s="1036">
        <v>4349.2599999999993</v>
      </c>
      <c r="E267" s="387">
        <v>857.76</v>
      </c>
      <c r="F267" s="387">
        <v>1567.4300000000003</v>
      </c>
      <c r="G267" s="387">
        <v>993.42999999999984</v>
      </c>
      <c r="H267" s="387">
        <v>884.87000000000012</v>
      </c>
      <c r="I267" s="387">
        <v>3705.23</v>
      </c>
      <c r="J267" s="387">
        <v>938.6099999999999</v>
      </c>
      <c r="K267" s="387">
        <v>4693.630000000001</v>
      </c>
      <c r="L267" s="387">
        <v>238.89999999999998</v>
      </c>
      <c r="M267" s="387">
        <v>972.91999999999985</v>
      </c>
      <c r="N267" s="387">
        <v>2535.1400000000003</v>
      </c>
      <c r="O267" s="988">
        <v>647.67999999999984</v>
      </c>
      <c r="P267" s="387">
        <v>1467.48</v>
      </c>
      <c r="Q267" s="387">
        <v>282.91000000000003</v>
      </c>
      <c r="R267" s="387">
        <v>125.05</v>
      </c>
      <c r="S267" s="387">
        <v>291.99</v>
      </c>
      <c r="T267" s="387">
        <v>278.28999999999996</v>
      </c>
      <c r="U267" s="387">
        <v>441.21</v>
      </c>
      <c r="V267" s="387">
        <v>296.88</v>
      </c>
      <c r="W267" s="387">
        <v>1523.8</v>
      </c>
      <c r="X267" s="387">
        <v>84.13</v>
      </c>
      <c r="Y267" s="387">
        <v>387.11</v>
      </c>
      <c r="Z267" s="387">
        <v>1348.07</v>
      </c>
      <c r="AA267" s="988">
        <v>245.47000000000003</v>
      </c>
      <c r="AB267" s="387"/>
      <c r="AC267" s="387"/>
      <c r="AD267" s="387"/>
      <c r="AE267" s="387"/>
      <c r="AF267" s="387"/>
      <c r="AG267" s="387"/>
      <c r="AH267" s="387"/>
      <c r="AI267" s="387"/>
      <c r="AJ267" s="387"/>
      <c r="AK267" s="387"/>
      <c r="AL267" s="387"/>
      <c r="AM267" s="988"/>
      <c r="AN267" s="387"/>
      <c r="AO267" s="387"/>
      <c r="AP267" s="387"/>
      <c r="AQ267" s="387"/>
      <c r="AR267" s="387"/>
      <c r="AS267" s="387"/>
      <c r="AT267" s="387"/>
      <c r="AU267" s="387"/>
      <c r="AV267" s="387"/>
      <c r="AW267" s="387"/>
      <c r="AX267" s="387"/>
      <c r="AY267" s="988"/>
      <c r="AZ267" s="387"/>
      <c r="BA267" s="387"/>
      <c r="BB267" s="387"/>
      <c r="BC267" s="387"/>
      <c r="BD267" s="387"/>
      <c r="BE267" s="387"/>
      <c r="BF267" s="387"/>
      <c r="BG267" s="387"/>
      <c r="BH267" s="387"/>
      <c r="BI267" s="387"/>
      <c r="BJ267" s="387"/>
      <c r="BK267" s="988"/>
      <c r="BL267" s="387"/>
      <c r="BM267" s="387"/>
      <c r="BN267" s="387"/>
      <c r="BO267" s="387"/>
      <c r="BP267" s="387"/>
      <c r="BQ267" s="387"/>
      <c r="BR267" s="387"/>
      <c r="BS267" s="387"/>
      <c r="BT267" s="387"/>
      <c r="BU267" s="387"/>
      <c r="BV267" s="387"/>
      <c r="BW267" s="988"/>
      <c r="BX267" s="387"/>
      <c r="BY267" s="387"/>
      <c r="BZ267" s="387"/>
      <c r="CA267" s="387"/>
      <c r="CB267" s="387"/>
      <c r="CC267" s="387"/>
      <c r="CD267" s="387"/>
      <c r="CE267" s="387"/>
      <c r="CF267" s="387"/>
      <c r="CG267" s="387"/>
      <c r="CH267" s="387"/>
      <c r="CI267" s="988"/>
      <c r="CJ267" s="387"/>
      <c r="CK267" s="387"/>
      <c r="CL267" s="387"/>
      <c r="CM267" s="387"/>
      <c r="CN267" s="387"/>
      <c r="CO267" s="387"/>
      <c r="CP267" s="387"/>
      <c r="CQ267" s="387"/>
      <c r="CR267" s="387"/>
      <c r="CS267" s="387"/>
      <c r="CT267" s="387"/>
      <c r="CU267" s="988"/>
      <c r="CV267" s="387"/>
      <c r="CW267" s="387"/>
      <c r="CX267" s="387"/>
      <c r="CY267" s="387"/>
      <c r="CZ267" s="387"/>
      <c r="DA267" s="387"/>
      <c r="DB267" s="387"/>
      <c r="DC267" s="387"/>
      <c r="DD267" s="387"/>
      <c r="DE267" s="387"/>
      <c r="DF267" s="387"/>
      <c r="DG267" s="988"/>
      <c r="DH267" s="387"/>
      <c r="DI267" s="387"/>
      <c r="DJ267" s="387"/>
      <c r="DK267" s="387"/>
      <c r="DL267" s="387"/>
      <c r="DM267" s="387"/>
      <c r="DN267" s="387"/>
      <c r="DO267" s="387"/>
      <c r="DP267" s="387"/>
      <c r="DQ267" s="387"/>
      <c r="DR267" s="387"/>
      <c r="DS267" s="988"/>
      <c r="DT267" s="387">
        <v>836.66</v>
      </c>
      <c r="DU267" s="387">
        <v>163.32</v>
      </c>
      <c r="DV267" s="387">
        <v>78</v>
      </c>
      <c r="DW267" s="387">
        <v>181.24</v>
      </c>
      <c r="DX267" s="387">
        <v>132.42000000000002</v>
      </c>
      <c r="DY267" s="387">
        <v>166.93</v>
      </c>
      <c r="DZ267" s="387">
        <v>122.49</v>
      </c>
      <c r="EA267" s="387">
        <v>694.2299999999999</v>
      </c>
      <c r="EB267" s="387">
        <v>34.03</v>
      </c>
      <c r="EC267" s="387">
        <v>136.19</v>
      </c>
      <c r="ED267" s="387">
        <v>514.33000000000004</v>
      </c>
      <c r="EE267" s="988">
        <v>87.82</v>
      </c>
      <c r="EF267" s="387"/>
      <c r="EG267" s="387"/>
      <c r="EH267" s="387"/>
      <c r="EI267" s="387"/>
      <c r="EJ267" s="387"/>
      <c r="EK267" s="387"/>
      <c r="EL267" s="387"/>
      <c r="EM267" s="387"/>
      <c r="EN267" s="387"/>
      <c r="EO267" s="387"/>
      <c r="EP267" s="387"/>
      <c r="EQ267" s="988"/>
      <c r="ER267" s="387"/>
      <c r="ES267" s="387"/>
      <c r="ET267" s="387"/>
      <c r="EU267" s="387"/>
      <c r="EV267" s="387"/>
      <c r="EW267" s="387"/>
      <c r="EX267" s="387"/>
      <c r="EY267" s="387"/>
      <c r="EZ267" s="387"/>
      <c r="FA267" s="387"/>
      <c r="FB267" s="387"/>
      <c r="FC267" s="988"/>
      <c r="FD267" s="387"/>
      <c r="FE267" s="387"/>
      <c r="FF267" s="387"/>
      <c r="FG267" s="387"/>
      <c r="FH267" s="387"/>
      <c r="FI267" s="387"/>
      <c r="FJ267" s="387"/>
      <c r="FK267" s="387"/>
      <c r="FL267" s="387"/>
      <c r="FM267" s="387"/>
      <c r="FN267" s="387"/>
      <c r="FO267" s="988"/>
      <c r="FP267" s="387"/>
      <c r="FQ267" s="387"/>
      <c r="FR267" s="387"/>
      <c r="FS267" s="387"/>
      <c r="FT267" s="387"/>
      <c r="FU267" s="387"/>
      <c r="FV267" s="387"/>
      <c r="FW267" s="387"/>
      <c r="FX267" s="387"/>
      <c r="FY267" s="387"/>
      <c r="FZ267" s="387"/>
      <c r="GA267" s="988"/>
      <c r="GB267" s="109"/>
      <c r="GC267" s="2214">
        <f t="shared" si="170"/>
        <v>6653.4</v>
      </c>
      <c r="GD267" s="387">
        <f t="shared" si="170"/>
        <v>1303.99</v>
      </c>
      <c r="GE267" s="387">
        <f t="shared" si="170"/>
        <v>1770.4800000000002</v>
      </c>
      <c r="GF267" s="387">
        <f t="shared" si="170"/>
        <v>1466.6599999999999</v>
      </c>
      <c r="GG267" s="387">
        <f t="shared" si="170"/>
        <v>1295.5800000000002</v>
      </c>
      <c r="GH267" s="387">
        <f t="shared" si="170"/>
        <v>4313.37</v>
      </c>
      <c r="GI267" s="387">
        <f t="shared" si="170"/>
        <v>1357.9799999999998</v>
      </c>
      <c r="GJ267" s="387">
        <f t="shared" si="170"/>
        <v>6911.6600000000008</v>
      </c>
      <c r="GK267" s="387">
        <f t="shared" si="170"/>
        <v>357.05999999999995</v>
      </c>
      <c r="GL267" s="387">
        <f t="shared" si="170"/>
        <v>1496.2199999999998</v>
      </c>
      <c r="GM267" s="387">
        <f t="shared" si="170"/>
        <v>4397.54</v>
      </c>
      <c r="GN267" s="988">
        <f t="shared" si="170"/>
        <v>980.9699999999998</v>
      </c>
      <c r="GO267" s="1036">
        <f t="shared" si="171"/>
        <v>836.66</v>
      </c>
      <c r="GP267" s="387">
        <f t="shared" si="171"/>
        <v>163.32</v>
      </c>
      <c r="GQ267" s="387">
        <f t="shared" si="171"/>
        <v>78</v>
      </c>
      <c r="GR267" s="387">
        <f t="shared" si="171"/>
        <v>181.24</v>
      </c>
      <c r="GS267" s="387">
        <f t="shared" si="171"/>
        <v>132.42000000000002</v>
      </c>
      <c r="GT267" s="387">
        <f t="shared" si="171"/>
        <v>166.93</v>
      </c>
      <c r="GU267" s="387">
        <f t="shared" si="171"/>
        <v>122.49</v>
      </c>
      <c r="GV267" s="387">
        <f t="shared" si="171"/>
        <v>694.2299999999999</v>
      </c>
      <c r="GW267" s="387">
        <f t="shared" si="171"/>
        <v>34.03</v>
      </c>
      <c r="GX267" s="387">
        <f t="shared" si="171"/>
        <v>136.19</v>
      </c>
      <c r="GY267" s="387">
        <f t="shared" si="171"/>
        <v>514.33000000000004</v>
      </c>
      <c r="GZ267" s="988">
        <f t="shared" si="171"/>
        <v>87.82</v>
      </c>
      <c r="HB267" s="387"/>
      <c r="HC267" s="387"/>
      <c r="HD267" s="387"/>
      <c r="HE267" s="387"/>
      <c r="HF267" s="387"/>
      <c r="HG267" s="387"/>
      <c r="HH267" s="387"/>
      <c r="HI267" s="387"/>
      <c r="HJ267" s="387"/>
      <c r="HK267" s="387"/>
      <c r="HL267" s="387"/>
      <c r="HM267" s="988"/>
    </row>
    <row r="268" spans="1:221">
      <c r="A268" s="326" t="s">
        <v>900</v>
      </c>
      <c r="B268" s="326" t="s">
        <v>901</v>
      </c>
      <c r="C268" s="326" t="s">
        <v>129</v>
      </c>
      <c r="D268" s="1036" t="s">
        <v>2154</v>
      </c>
      <c r="E268" s="387" t="s">
        <v>2154</v>
      </c>
      <c r="F268" s="387" t="s">
        <v>2154</v>
      </c>
      <c r="G268" s="387" t="s">
        <v>2154</v>
      </c>
      <c r="H268" s="387" t="s">
        <v>2154</v>
      </c>
      <c r="I268" s="387" t="s">
        <v>2154</v>
      </c>
      <c r="J268" s="387" t="s">
        <v>2154</v>
      </c>
      <c r="K268" s="387" t="s">
        <v>2154</v>
      </c>
      <c r="L268" s="387" t="s">
        <v>2154</v>
      </c>
      <c r="M268" s="387" t="s">
        <v>2154</v>
      </c>
      <c r="N268" s="387" t="s">
        <v>2154</v>
      </c>
      <c r="O268" s="988" t="s">
        <v>2154</v>
      </c>
      <c r="P268" s="387" t="s">
        <v>2154</v>
      </c>
      <c r="Q268" s="387" t="s">
        <v>2154</v>
      </c>
      <c r="R268" s="387" t="s">
        <v>2154</v>
      </c>
      <c r="S268" s="387" t="s">
        <v>2154</v>
      </c>
      <c r="T268" s="387" t="s">
        <v>2154</v>
      </c>
      <c r="U268" s="387" t="s">
        <v>2154</v>
      </c>
      <c r="V268" s="387" t="s">
        <v>2154</v>
      </c>
      <c r="W268" s="387" t="s">
        <v>2154</v>
      </c>
      <c r="X268" s="387" t="s">
        <v>2154</v>
      </c>
      <c r="Y268" s="387" t="s">
        <v>2154</v>
      </c>
      <c r="Z268" s="387" t="s">
        <v>2154</v>
      </c>
      <c r="AA268" s="988" t="s">
        <v>2154</v>
      </c>
      <c r="AB268" s="387"/>
      <c r="AC268" s="387"/>
      <c r="AD268" s="387"/>
      <c r="AE268" s="387"/>
      <c r="AF268" s="387"/>
      <c r="AG268" s="387"/>
      <c r="AH268" s="387"/>
      <c r="AI268" s="387"/>
      <c r="AJ268" s="387"/>
      <c r="AK268" s="387"/>
      <c r="AL268" s="387"/>
      <c r="AM268" s="988"/>
      <c r="AN268" s="387"/>
      <c r="AO268" s="387"/>
      <c r="AP268" s="387"/>
      <c r="AQ268" s="387"/>
      <c r="AR268" s="387"/>
      <c r="AS268" s="387"/>
      <c r="AT268" s="387"/>
      <c r="AU268" s="387"/>
      <c r="AV268" s="387"/>
      <c r="AW268" s="387"/>
      <c r="AX268" s="387"/>
      <c r="AY268" s="988"/>
      <c r="AZ268" s="387"/>
      <c r="BA268" s="387"/>
      <c r="BB268" s="387"/>
      <c r="BC268" s="387"/>
      <c r="BD268" s="387"/>
      <c r="BE268" s="387"/>
      <c r="BF268" s="387"/>
      <c r="BG268" s="387"/>
      <c r="BH268" s="387"/>
      <c r="BI268" s="387"/>
      <c r="BJ268" s="387"/>
      <c r="BK268" s="988"/>
      <c r="BL268" s="387"/>
      <c r="BM268" s="387"/>
      <c r="BN268" s="387"/>
      <c r="BO268" s="387"/>
      <c r="BP268" s="387"/>
      <c r="BQ268" s="387"/>
      <c r="BR268" s="387"/>
      <c r="BS268" s="387"/>
      <c r="BT268" s="387"/>
      <c r="BU268" s="387"/>
      <c r="BV268" s="387"/>
      <c r="BW268" s="988"/>
      <c r="BX268" s="387"/>
      <c r="BY268" s="387"/>
      <c r="BZ268" s="387"/>
      <c r="CA268" s="387"/>
      <c r="CB268" s="387"/>
      <c r="CC268" s="387"/>
      <c r="CD268" s="387"/>
      <c r="CE268" s="387"/>
      <c r="CF268" s="387"/>
      <c r="CG268" s="387"/>
      <c r="CH268" s="387"/>
      <c r="CI268" s="988"/>
      <c r="CJ268" s="387"/>
      <c r="CK268" s="387"/>
      <c r="CL268" s="387"/>
      <c r="CM268" s="387"/>
      <c r="CN268" s="387"/>
      <c r="CO268" s="387"/>
      <c r="CP268" s="387"/>
      <c r="CQ268" s="387"/>
      <c r="CR268" s="387"/>
      <c r="CS268" s="387"/>
      <c r="CT268" s="387"/>
      <c r="CU268" s="988"/>
      <c r="CV268" s="387"/>
      <c r="CW268" s="387"/>
      <c r="CX268" s="387"/>
      <c r="CY268" s="387"/>
      <c r="CZ268" s="387"/>
      <c r="DA268" s="387"/>
      <c r="DB268" s="387"/>
      <c r="DC268" s="387"/>
      <c r="DD268" s="387"/>
      <c r="DE268" s="387"/>
      <c r="DF268" s="387"/>
      <c r="DG268" s="988"/>
      <c r="DH268" s="387"/>
      <c r="DI268" s="387"/>
      <c r="DJ268" s="387"/>
      <c r="DK268" s="387"/>
      <c r="DL268" s="387"/>
      <c r="DM268" s="387"/>
      <c r="DN268" s="387"/>
      <c r="DO268" s="387"/>
      <c r="DP268" s="387"/>
      <c r="DQ268" s="387"/>
      <c r="DR268" s="387"/>
      <c r="DS268" s="988"/>
      <c r="DT268" s="387" t="s">
        <v>2154</v>
      </c>
      <c r="DU268" s="387" t="s">
        <v>2154</v>
      </c>
      <c r="DV268" s="387" t="s">
        <v>2154</v>
      </c>
      <c r="DW268" s="387" t="s">
        <v>2154</v>
      </c>
      <c r="DX268" s="387" t="s">
        <v>2154</v>
      </c>
      <c r="DY268" s="387" t="s">
        <v>2154</v>
      </c>
      <c r="DZ268" s="387" t="s">
        <v>2154</v>
      </c>
      <c r="EA268" s="387" t="s">
        <v>2154</v>
      </c>
      <c r="EB268" s="387" t="s">
        <v>2154</v>
      </c>
      <c r="EC268" s="387" t="s">
        <v>2154</v>
      </c>
      <c r="ED268" s="387" t="s">
        <v>2154</v>
      </c>
      <c r="EE268" s="988" t="s">
        <v>2154</v>
      </c>
      <c r="EF268" s="387"/>
      <c r="EG268" s="387"/>
      <c r="EH268" s="387"/>
      <c r="EI268" s="387"/>
      <c r="EJ268" s="387"/>
      <c r="EK268" s="387"/>
      <c r="EL268" s="387"/>
      <c r="EM268" s="387"/>
      <c r="EN268" s="387"/>
      <c r="EO268" s="387"/>
      <c r="EP268" s="387"/>
      <c r="EQ268" s="988"/>
      <c r="ER268" s="387"/>
      <c r="ES268" s="387"/>
      <c r="ET268" s="387"/>
      <c r="EU268" s="387"/>
      <c r="EV268" s="387"/>
      <c r="EW268" s="387"/>
      <c r="EX268" s="387"/>
      <c r="EY268" s="387"/>
      <c r="EZ268" s="387"/>
      <c r="FA268" s="387"/>
      <c r="FB268" s="387"/>
      <c r="FC268" s="988"/>
      <c r="FD268" s="387"/>
      <c r="FE268" s="387"/>
      <c r="FF268" s="387"/>
      <c r="FG268" s="387"/>
      <c r="FH268" s="387"/>
      <c r="FI268" s="387"/>
      <c r="FJ268" s="387"/>
      <c r="FK268" s="387"/>
      <c r="FL268" s="387"/>
      <c r="FM268" s="387"/>
      <c r="FN268" s="387"/>
      <c r="FO268" s="988"/>
      <c r="FP268" s="387"/>
      <c r="FQ268" s="387"/>
      <c r="FR268" s="387"/>
      <c r="FS268" s="387"/>
      <c r="FT268" s="387"/>
      <c r="FU268" s="387"/>
      <c r="FV268" s="387"/>
      <c r="FW268" s="387"/>
      <c r="FX268" s="387"/>
      <c r="FY268" s="387"/>
      <c r="FZ268" s="387"/>
      <c r="GA268" s="988"/>
      <c r="GB268" s="109"/>
      <c r="GC268" s="2214">
        <f t="shared" si="170"/>
        <v>0</v>
      </c>
      <c r="GD268" s="387">
        <f t="shared" si="170"/>
        <v>0</v>
      </c>
      <c r="GE268" s="387">
        <f t="shared" si="170"/>
        <v>0</v>
      </c>
      <c r="GF268" s="387">
        <f t="shared" si="170"/>
        <v>0</v>
      </c>
      <c r="GG268" s="387">
        <f t="shared" si="170"/>
        <v>0</v>
      </c>
      <c r="GH268" s="387">
        <f t="shared" si="170"/>
        <v>0</v>
      </c>
      <c r="GI268" s="387">
        <f t="shared" si="170"/>
        <v>0</v>
      </c>
      <c r="GJ268" s="387">
        <f t="shared" si="170"/>
        <v>0</v>
      </c>
      <c r="GK268" s="387">
        <f t="shared" si="170"/>
        <v>0</v>
      </c>
      <c r="GL268" s="387">
        <f t="shared" si="170"/>
        <v>0</v>
      </c>
      <c r="GM268" s="387">
        <f t="shared" si="170"/>
        <v>0</v>
      </c>
      <c r="GN268" s="988">
        <f t="shared" si="170"/>
        <v>0</v>
      </c>
      <c r="GO268" s="1036">
        <f t="shared" si="171"/>
        <v>0</v>
      </c>
      <c r="GP268" s="387">
        <f t="shared" si="171"/>
        <v>0</v>
      </c>
      <c r="GQ268" s="387">
        <f t="shared" si="171"/>
        <v>0</v>
      </c>
      <c r="GR268" s="387">
        <f t="shared" si="171"/>
        <v>0</v>
      </c>
      <c r="GS268" s="387">
        <f t="shared" si="171"/>
        <v>0</v>
      </c>
      <c r="GT268" s="387">
        <f t="shared" si="171"/>
        <v>0</v>
      </c>
      <c r="GU268" s="387">
        <f t="shared" si="171"/>
        <v>0</v>
      </c>
      <c r="GV268" s="387">
        <f t="shared" si="171"/>
        <v>0</v>
      </c>
      <c r="GW268" s="387">
        <f t="shared" si="171"/>
        <v>0</v>
      </c>
      <c r="GX268" s="387">
        <f t="shared" si="171"/>
        <v>0</v>
      </c>
      <c r="GY268" s="387">
        <f t="shared" si="171"/>
        <v>0</v>
      </c>
      <c r="GZ268" s="988">
        <f t="shared" si="171"/>
        <v>0</v>
      </c>
      <c r="HB268" s="387"/>
      <c r="HC268" s="387"/>
      <c r="HD268" s="387"/>
      <c r="HE268" s="387"/>
      <c r="HF268" s="387"/>
      <c r="HG268" s="387"/>
      <c r="HH268" s="387"/>
      <c r="HI268" s="387"/>
      <c r="HJ268" s="387"/>
      <c r="HK268" s="387"/>
      <c r="HL268" s="387"/>
      <c r="HM268" s="988"/>
    </row>
    <row r="269" spans="1:221">
      <c r="A269" s="326" t="s">
        <v>900</v>
      </c>
      <c r="B269" s="326" t="s">
        <v>901</v>
      </c>
      <c r="C269" s="326" t="s">
        <v>130</v>
      </c>
      <c r="D269" s="1036">
        <v>165632.51</v>
      </c>
      <c r="E269" s="387">
        <v>169989.47000000003</v>
      </c>
      <c r="F269" s="387">
        <v>162182.87999999998</v>
      </c>
      <c r="G269" s="387">
        <v>165654.01999999999</v>
      </c>
      <c r="H269" s="387">
        <v>169800.29</v>
      </c>
      <c r="I269" s="387">
        <v>179383.97000000003</v>
      </c>
      <c r="J269" s="387">
        <v>183854.6</v>
      </c>
      <c r="K269" s="387">
        <v>190448.74000000002</v>
      </c>
      <c r="L269" s="387">
        <v>161543.26999999999</v>
      </c>
      <c r="M269" s="387">
        <v>167037.92000000001</v>
      </c>
      <c r="N269" s="387">
        <v>182872.42</v>
      </c>
      <c r="O269" s="988">
        <v>169241.28</v>
      </c>
      <c r="P269" s="387">
        <v>53093.80000000001</v>
      </c>
      <c r="Q269" s="386">
        <v>53780.58</v>
      </c>
      <c r="R269" s="387">
        <v>45253.700000000004</v>
      </c>
      <c r="S269" s="387">
        <v>63705.280000000006</v>
      </c>
      <c r="T269" s="386">
        <v>60161.95</v>
      </c>
      <c r="U269" s="387">
        <v>43705.299999999996</v>
      </c>
      <c r="V269" s="386">
        <v>56351.319999999992</v>
      </c>
      <c r="W269" s="386">
        <v>58752.81</v>
      </c>
      <c r="X269" s="386">
        <v>64913.59</v>
      </c>
      <c r="Y269" s="386">
        <v>58748.46</v>
      </c>
      <c r="Z269" s="386">
        <v>82940.459999999992</v>
      </c>
      <c r="AA269" s="987">
        <v>68687.86</v>
      </c>
      <c r="AB269" s="387"/>
      <c r="AC269" s="386"/>
      <c r="AD269" s="387"/>
      <c r="AE269" s="387"/>
      <c r="AF269" s="386"/>
      <c r="AG269" s="387"/>
      <c r="AH269" s="386"/>
      <c r="AI269" s="386"/>
      <c r="AJ269" s="386"/>
      <c r="AK269" s="386"/>
      <c r="AL269" s="386"/>
      <c r="AM269" s="987"/>
      <c r="AN269" s="387"/>
      <c r="AO269" s="386"/>
      <c r="AP269" s="387"/>
      <c r="AQ269" s="387"/>
      <c r="AR269" s="386"/>
      <c r="AS269" s="387"/>
      <c r="AT269" s="386"/>
      <c r="AU269" s="386"/>
      <c r="AV269" s="386"/>
      <c r="AW269" s="386"/>
      <c r="AX269" s="386"/>
      <c r="AY269" s="987"/>
      <c r="AZ269" s="387"/>
      <c r="BA269" s="386"/>
      <c r="BB269" s="387"/>
      <c r="BC269" s="387"/>
      <c r="BD269" s="386"/>
      <c r="BE269" s="387"/>
      <c r="BF269" s="386"/>
      <c r="BG269" s="386"/>
      <c r="BH269" s="386"/>
      <c r="BI269" s="386"/>
      <c r="BJ269" s="386"/>
      <c r="BK269" s="987"/>
      <c r="BL269" s="387"/>
      <c r="BM269" s="386"/>
      <c r="BN269" s="387"/>
      <c r="BO269" s="387"/>
      <c r="BP269" s="386"/>
      <c r="BQ269" s="387"/>
      <c r="BR269" s="386"/>
      <c r="BS269" s="386"/>
      <c r="BT269" s="386"/>
      <c r="BU269" s="386"/>
      <c r="BV269" s="386"/>
      <c r="BW269" s="987"/>
      <c r="BX269" s="387"/>
      <c r="BY269" s="386"/>
      <c r="BZ269" s="387"/>
      <c r="CA269" s="387"/>
      <c r="CB269" s="386"/>
      <c r="CC269" s="387"/>
      <c r="CD269" s="386"/>
      <c r="CE269" s="386"/>
      <c r="CF269" s="386"/>
      <c r="CG269" s="386"/>
      <c r="CH269" s="386"/>
      <c r="CI269" s="987"/>
      <c r="CJ269" s="387"/>
      <c r="CK269" s="386"/>
      <c r="CL269" s="387"/>
      <c r="CM269" s="387"/>
      <c r="CN269" s="386"/>
      <c r="CO269" s="387"/>
      <c r="CP269" s="386"/>
      <c r="CQ269" s="386"/>
      <c r="CR269" s="386"/>
      <c r="CS269" s="386"/>
      <c r="CT269" s="386"/>
      <c r="CU269" s="987"/>
      <c r="CV269" s="387"/>
      <c r="CW269" s="386"/>
      <c r="CX269" s="387"/>
      <c r="CY269" s="387"/>
      <c r="CZ269" s="386"/>
      <c r="DA269" s="387"/>
      <c r="DB269" s="386"/>
      <c r="DC269" s="386"/>
      <c r="DD269" s="386"/>
      <c r="DE269" s="386"/>
      <c r="DF269" s="386"/>
      <c r="DG269" s="987"/>
      <c r="DH269" s="387"/>
      <c r="DI269" s="386"/>
      <c r="DJ269" s="387"/>
      <c r="DK269" s="387"/>
      <c r="DL269" s="386"/>
      <c r="DM269" s="387"/>
      <c r="DN269" s="386"/>
      <c r="DO269" s="386"/>
      <c r="DP269" s="386"/>
      <c r="DQ269" s="386"/>
      <c r="DR269" s="386"/>
      <c r="DS269" s="987"/>
      <c r="DT269" s="387">
        <v>33201.700000000004</v>
      </c>
      <c r="DU269" s="386">
        <v>26210.17</v>
      </c>
      <c r="DV269" s="387">
        <v>31007.46</v>
      </c>
      <c r="DW269" s="387">
        <v>24207.87</v>
      </c>
      <c r="DX269" s="386">
        <v>28205.069999999996</v>
      </c>
      <c r="DY269" s="387">
        <v>26837.17</v>
      </c>
      <c r="DZ269" s="386">
        <v>14765.719999999998</v>
      </c>
      <c r="EA269" s="386">
        <v>31800.530000000002</v>
      </c>
      <c r="EB269" s="386">
        <v>23278.93</v>
      </c>
      <c r="EC269" s="386">
        <v>31227.06</v>
      </c>
      <c r="ED269" s="386">
        <v>24727.170000000006</v>
      </c>
      <c r="EE269" s="987">
        <v>21536.68</v>
      </c>
      <c r="EF269" s="387"/>
      <c r="EG269" s="386"/>
      <c r="EH269" s="387"/>
      <c r="EI269" s="387"/>
      <c r="EJ269" s="386"/>
      <c r="EK269" s="387"/>
      <c r="EL269" s="386"/>
      <c r="EM269" s="386"/>
      <c r="EN269" s="386"/>
      <c r="EO269" s="386"/>
      <c r="EP269" s="386"/>
      <c r="EQ269" s="987"/>
      <c r="ER269" s="387"/>
      <c r="ES269" s="386"/>
      <c r="ET269" s="387"/>
      <c r="EU269" s="387"/>
      <c r="EV269" s="386"/>
      <c r="EW269" s="387"/>
      <c r="EX269" s="386"/>
      <c r="EY269" s="386"/>
      <c r="EZ269" s="386"/>
      <c r="FA269" s="386"/>
      <c r="FB269" s="386"/>
      <c r="FC269" s="987"/>
      <c r="FD269" s="387"/>
      <c r="FE269" s="386"/>
      <c r="FF269" s="387"/>
      <c r="FG269" s="387"/>
      <c r="FH269" s="386"/>
      <c r="FI269" s="387"/>
      <c r="FJ269" s="386"/>
      <c r="FK269" s="386"/>
      <c r="FL269" s="386"/>
      <c r="FM269" s="386"/>
      <c r="FN269" s="386"/>
      <c r="FO269" s="987"/>
      <c r="FP269" s="387"/>
      <c r="FQ269" s="386"/>
      <c r="FR269" s="387"/>
      <c r="FS269" s="387"/>
      <c r="FT269" s="386"/>
      <c r="FU269" s="387"/>
      <c r="FV269" s="386"/>
      <c r="FW269" s="386"/>
      <c r="FX269" s="386"/>
      <c r="FY269" s="386"/>
      <c r="FZ269" s="386"/>
      <c r="GA269" s="987"/>
      <c r="GB269" s="109"/>
      <c r="GC269" s="2214">
        <f t="shared" si="170"/>
        <v>251928.01000000004</v>
      </c>
      <c r="GD269" s="386">
        <f t="shared" si="170"/>
        <v>249980.22000000003</v>
      </c>
      <c r="GE269" s="387">
        <f t="shared" si="170"/>
        <v>238444.03999999998</v>
      </c>
      <c r="GF269" s="387">
        <f t="shared" si="170"/>
        <v>253567.16999999998</v>
      </c>
      <c r="GG269" s="386">
        <f t="shared" si="170"/>
        <v>258167.31</v>
      </c>
      <c r="GH269" s="387">
        <f t="shared" si="170"/>
        <v>249926.44</v>
      </c>
      <c r="GI269" s="386">
        <f t="shared" si="170"/>
        <v>254971.63999999998</v>
      </c>
      <c r="GJ269" s="386">
        <f t="shared" si="170"/>
        <v>281002.08</v>
      </c>
      <c r="GK269" s="386">
        <f t="shared" si="170"/>
        <v>249735.78999999998</v>
      </c>
      <c r="GL269" s="386">
        <f t="shared" si="170"/>
        <v>257013.44</v>
      </c>
      <c r="GM269" s="386">
        <f t="shared" si="170"/>
        <v>290540.05</v>
      </c>
      <c r="GN269" s="987">
        <f t="shared" si="170"/>
        <v>259465.82</v>
      </c>
      <c r="GO269" s="1036">
        <f t="shared" si="171"/>
        <v>33201.700000000004</v>
      </c>
      <c r="GP269" s="386">
        <f t="shared" si="171"/>
        <v>26210.17</v>
      </c>
      <c r="GQ269" s="387">
        <f t="shared" si="171"/>
        <v>31007.46</v>
      </c>
      <c r="GR269" s="387">
        <f t="shared" si="171"/>
        <v>24207.87</v>
      </c>
      <c r="GS269" s="386">
        <f t="shared" si="171"/>
        <v>28205.069999999996</v>
      </c>
      <c r="GT269" s="387">
        <f t="shared" si="171"/>
        <v>26837.17</v>
      </c>
      <c r="GU269" s="386">
        <f t="shared" si="171"/>
        <v>14765.719999999998</v>
      </c>
      <c r="GV269" s="386">
        <f t="shared" si="171"/>
        <v>31800.530000000002</v>
      </c>
      <c r="GW269" s="386">
        <f t="shared" si="171"/>
        <v>23278.93</v>
      </c>
      <c r="GX269" s="386">
        <f t="shared" si="171"/>
        <v>31227.06</v>
      </c>
      <c r="GY269" s="386">
        <f t="shared" si="171"/>
        <v>24727.170000000006</v>
      </c>
      <c r="GZ269" s="987">
        <f t="shared" si="171"/>
        <v>21536.68</v>
      </c>
      <c r="HB269" s="387"/>
      <c r="HC269" s="386"/>
      <c r="HD269" s="387"/>
      <c r="HE269" s="387"/>
      <c r="HF269" s="386"/>
      <c r="HG269" s="387"/>
      <c r="HH269" s="386"/>
      <c r="HI269" s="386"/>
      <c r="HJ269" s="386"/>
      <c r="HK269" s="386"/>
      <c r="HL269" s="386"/>
      <c r="HM269" s="987"/>
    </row>
    <row r="270" spans="1:221">
      <c r="A270" s="326" t="s">
        <v>900</v>
      </c>
      <c r="B270" s="326" t="s">
        <v>901</v>
      </c>
      <c r="C270" s="326" t="s">
        <v>131</v>
      </c>
      <c r="D270" s="1036">
        <v>26815.570000000007</v>
      </c>
      <c r="E270" s="387">
        <v>21592.290000000008</v>
      </c>
      <c r="F270" s="387">
        <v>18547.49000000002</v>
      </c>
      <c r="G270" s="387">
        <v>30390.729999999981</v>
      </c>
      <c r="H270" s="387">
        <v>32893.189999999973</v>
      </c>
      <c r="I270" s="387">
        <v>67000.659999999974</v>
      </c>
      <c r="J270" s="387">
        <v>12938.529999999999</v>
      </c>
      <c r="K270" s="387">
        <v>16707.459999999963</v>
      </c>
      <c r="L270" s="387">
        <v>27130.070000000007</v>
      </c>
      <c r="M270" s="387">
        <v>13917.839999999997</v>
      </c>
      <c r="N270" s="387">
        <v>34147.290000000008</v>
      </c>
      <c r="O270" s="988">
        <v>16985.52999999997</v>
      </c>
      <c r="P270" s="387">
        <v>19395.05999999999</v>
      </c>
      <c r="Q270" s="386">
        <v>9005.0600000000049</v>
      </c>
      <c r="R270" s="387">
        <v>32670.159999999989</v>
      </c>
      <c r="S270" s="387">
        <v>12172.369999999981</v>
      </c>
      <c r="T270" s="386">
        <v>24782.720000000016</v>
      </c>
      <c r="U270" s="387">
        <v>44397.29</v>
      </c>
      <c r="V270" s="386">
        <v>64172.430000000022</v>
      </c>
      <c r="W270" s="386">
        <v>71208.580000000031</v>
      </c>
      <c r="X270" s="386">
        <v>111169.96000000004</v>
      </c>
      <c r="Y270" s="386">
        <v>146205.40000000005</v>
      </c>
      <c r="Z270" s="386">
        <v>87040.330000000031</v>
      </c>
      <c r="AA270" s="987">
        <v>103551.64000000001</v>
      </c>
      <c r="AB270" s="387"/>
      <c r="AC270" s="386"/>
      <c r="AD270" s="387"/>
      <c r="AE270" s="387"/>
      <c r="AF270" s="386"/>
      <c r="AG270" s="387"/>
      <c r="AH270" s="386"/>
      <c r="AI270" s="386"/>
      <c r="AJ270" s="386"/>
      <c r="AK270" s="386"/>
      <c r="AL270" s="386"/>
      <c r="AM270" s="987"/>
      <c r="AN270" s="387"/>
      <c r="AO270" s="386"/>
      <c r="AP270" s="387"/>
      <c r="AQ270" s="387"/>
      <c r="AR270" s="386"/>
      <c r="AS270" s="387"/>
      <c r="AT270" s="386"/>
      <c r="AU270" s="386"/>
      <c r="AV270" s="386"/>
      <c r="AW270" s="386"/>
      <c r="AX270" s="386"/>
      <c r="AY270" s="987"/>
      <c r="AZ270" s="387"/>
      <c r="BA270" s="386"/>
      <c r="BB270" s="387"/>
      <c r="BC270" s="387"/>
      <c r="BD270" s="386"/>
      <c r="BE270" s="387"/>
      <c r="BF270" s="386"/>
      <c r="BG270" s="386"/>
      <c r="BH270" s="386"/>
      <c r="BI270" s="386"/>
      <c r="BJ270" s="386"/>
      <c r="BK270" s="987"/>
      <c r="BL270" s="387"/>
      <c r="BM270" s="386"/>
      <c r="BN270" s="387"/>
      <c r="BO270" s="387"/>
      <c r="BP270" s="386"/>
      <c r="BQ270" s="387"/>
      <c r="BR270" s="386"/>
      <c r="BS270" s="386"/>
      <c r="BT270" s="386"/>
      <c r="BU270" s="386"/>
      <c r="BV270" s="386"/>
      <c r="BW270" s="987"/>
      <c r="BX270" s="387"/>
      <c r="BY270" s="386"/>
      <c r="BZ270" s="387"/>
      <c r="CA270" s="387"/>
      <c r="CB270" s="386"/>
      <c r="CC270" s="387"/>
      <c r="CD270" s="386"/>
      <c r="CE270" s="386"/>
      <c r="CF270" s="386"/>
      <c r="CG270" s="386"/>
      <c r="CH270" s="386"/>
      <c r="CI270" s="987"/>
      <c r="CJ270" s="387"/>
      <c r="CK270" s="386"/>
      <c r="CL270" s="387"/>
      <c r="CM270" s="387"/>
      <c r="CN270" s="386"/>
      <c r="CO270" s="387"/>
      <c r="CP270" s="386"/>
      <c r="CQ270" s="386"/>
      <c r="CR270" s="386"/>
      <c r="CS270" s="386"/>
      <c r="CT270" s="386"/>
      <c r="CU270" s="987"/>
      <c r="CV270" s="387"/>
      <c r="CW270" s="386"/>
      <c r="CX270" s="387"/>
      <c r="CY270" s="387"/>
      <c r="CZ270" s="386"/>
      <c r="DA270" s="387"/>
      <c r="DB270" s="386"/>
      <c r="DC270" s="386"/>
      <c r="DD270" s="386"/>
      <c r="DE270" s="386"/>
      <c r="DF270" s="386"/>
      <c r="DG270" s="987"/>
      <c r="DH270" s="387"/>
      <c r="DI270" s="386"/>
      <c r="DJ270" s="387"/>
      <c r="DK270" s="387"/>
      <c r="DL270" s="386"/>
      <c r="DM270" s="387"/>
      <c r="DN270" s="386"/>
      <c r="DO270" s="386"/>
      <c r="DP270" s="386"/>
      <c r="DQ270" s="386"/>
      <c r="DR270" s="386"/>
      <c r="DS270" s="987"/>
      <c r="DT270" s="387">
        <v>13776.889999999992</v>
      </c>
      <c r="DU270" s="386">
        <v>21637.800000000003</v>
      </c>
      <c r="DV270" s="387">
        <v>11740.349999999999</v>
      </c>
      <c r="DW270" s="387">
        <v>18567.510000000009</v>
      </c>
      <c r="DX270" s="386">
        <v>13321.850000000002</v>
      </c>
      <c r="DY270" s="387">
        <v>19680.709999999995</v>
      </c>
      <c r="DZ270" s="386">
        <v>20383.61</v>
      </c>
      <c r="EA270" s="386">
        <v>10201.349999999999</v>
      </c>
      <c r="EB270" s="386">
        <v>20042.400000000001</v>
      </c>
      <c r="EC270" s="386">
        <v>11683.07</v>
      </c>
      <c r="ED270" s="386">
        <v>15000.659999999996</v>
      </c>
      <c r="EE270" s="987">
        <v>-23391.46</v>
      </c>
      <c r="EF270" s="387"/>
      <c r="EG270" s="386"/>
      <c r="EH270" s="387"/>
      <c r="EI270" s="387"/>
      <c r="EJ270" s="386"/>
      <c r="EK270" s="387"/>
      <c r="EL270" s="386"/>
      <c r="EM270" s="386"/>
      <c r="EN270" s="386"/>
      <c r="EO270" s="386"/>
      <c r="EP270" s="386"/>
      <c r="EQ270" s="987"/>
      <c r="ER270" s="387"/>
      <c r="ES270" s="386"/>
      <c r="ET270" s="387"/>
      <c r="EU270" s="387"/>
      <c r="EV270" s="386"/>
      <c r="EW270" s="387"/>
      <c r="EX270" s="386"/>
      <c r="EY270" s="386"/>
      <c r="EZ270" s="386"/>
      <c r="FA270" s="386"/>
      <c r="FB270" s="386"/>
      <c r="FC270" s="987"/>
      <c r="FD270" s="387"/>
      <c r="FE270" s="386"/>
      <c r="FF270" s="387"/>
      <c r="FG270" s="387"/>
      <c r="FH270" s="386"/>
      <c r="FI270" s="387"/>
      <c r="FJ270" s="386"/>
      <c r="FK270" s="386"/>
      <c r="FL270" s="386"/>
      <c r="FM270" s="386"/>
      <c r="FN270" s="386"/>
      <c r="FO270" s="987"/>
      <c r="FP270" s="387"/>
      <c r="FQ270" s="386"/>
      <c r="FR270" s="387"/>
      <c r="FS270" s="387"/>
      <c r="FT270" s="386"/>
      <c r="FU270" s="387"/>
      <c r="FV270" s="386"/>
      <c r="FW270" s="386"/>
      <c r="FX270" s="386"/>
      <c r="FY270" s="386"/>
      <c r="FZ270" s="386"/>
      <c r="GA270" s="987"/>
      <c r="GB270" s="109"/>
      <c r="GC270" s="2214">
        <f t="shared" si="170"/>
        <v>59987.51999999999</v>
      </c>
      <c r="GD270" s="386">
        <f t="shared" si="170"/>
        <v>52235.150000000016</v>
      </c>
      <c r="GE270" s="387">
        <f t="shared" si="170"/>
        <v>62958.000000000007</v>
      </c>
      <c r="GF270" s="387">
        <f t="shared" si="170"/>
        <v>61130.609999999971</v>
      </c>
      <c r="GG270" s="386">
        <f t="shared" si="170"/>
        <v>70997.759999999995</v>
      </c>
      <c r="GH270" s="387">
        <f t="shared" si="170"/>
        <v>131078.65999999997</v>
      </c>
      <c r="GI270" s="386">
        <f t="shared" si="170"/>
        <v>97494.570000000022</v>
      </c>
      <c r="GJ270" s="386">
        <f t="shared" si="170"/>
        <v>98117.389999999985</v>
      </c>
      <c r="GK270" s="386">
        <f t="shared" si="170"/>
        <v>158342.43000000002</v>
      </c>
      <c r="GL270" s="386">
        <f t="shared" si="170"/>
        <v>171806.31000000006</v>
      </c>
      <c r="GM270" s="386">
        <f t="shared" si="170"/>
        <v>136188.28000000003</v>
      </c>
      <c r="GN270" s="987">
        <f t="shared" si="170"/>
        <v>97145.709999999992</v>
      </c>
      <c r="GO270" s="1036">
        <f t="shared" si="171"/>
        <v>13776.889999999992</v>
      </c>
      <c r="GP270" s="386">
        <f t="shared" si="171"/>
        <v>21637.800000000003</v>
      </c>
      <c r="GQ270" s="387">
        <f t="shared" si="171"/>
        <v>11740.349999999999</v>
      </c>
      <c r="GR270" s="387">
        <f t="shared" si="171"/>
        <v>18567.510000000009</v>
      </c>
      <c r="GS270" s="386">
        <f t="shared" si="171"/>
        <v>13321.850000000002</v>
      </c>
      <c r="GT270" s="387">
        <f t="shared" si="171"/>
        <v>19680.709999999995</v>
      </c>
      <c r="GU270" s="386">
        <f t="shared" si="171"/>
        <v>20383.61</v>
      </c>
      <c r="GV270" s="386">
        <f t="shared" si="171"/>
        <v>10201.349999999999</v>
      </c>
      <c r="GW270" s="386">
        <f t="shared" si="171"/>
        <v>20042.400000000001</v>
      </c>
      <c r="GX270" s="386">
        <f t="shared" si="171"/>
        <v>11683.07</v>
      </c>
      <c r="GY270" s="386">
        <f t="shared" si="171"/>
        <v>15000.659999999996</v>
      </c>
      <c r="GZ270" s="987">
        <f t="shared" si="171"/>
        <v>-23391.46</v>
      </c>
      <c r="HB270" s="387"/>
      <c r="HC270" s="386"/>
      <c r="HD270" s="387"/>
      <c r="HE270" s="387"/>
      <c r="HF270" s="386"/>
      <c r="HG270" s="387"/>
      <c r="HH270" s="386"/>
      <c r="HI270" s="386"/>
      <c r="HJ270" s="386"/>
      <c r="HK270" s="386"/>
      <c r="HL270" s="386"/>
      <c r="HM270" s="987"/>
    </row>
    <row r="271" spans="1:221">
      <c r="A271" s="326" t="s">
        <v>900</v>
      </c>
      <c r="B271" s="326" t="s">
        <v>901</v>
      </c>
      <c r="C271" s="326" t="s">
        <v>132</v>
      </c>
      <c r="D271" s="1036">
        <v>6284</v>
      </c>
      <c r="E271" s="387">
        <v>5107.6399999999849</v>
      </c>
      <c r="F271" s="387">
        <v>2000.8800000000338</v>
      </c>
      <c r="G271" s="387">
        <v>13667.319999999978</v>
      </c>
      <c r="H271" s="387">
        <v>14841.659999999974</v>
      </c>
      <c r="I271" s="387">
        <v>42033.079999999958</v>
      </c>
      <c r="J271" s="387">
        <v>-3108.3399999999965</v>
      </c>
      <c r="K271" s="387">
        <v>-3958.1400000000431</v>
      </c>
      <c r="L271" s="387">
        <v>10210.24000000002</v>
      </c>
      <c r="M271" s="387">
        <v>-1730.9500000000116</v>
      </c>
      <c r="N271" s="387">
        <v>14156.949999999983</v>
      </c>
      <c r="O271" s="988">
        <v>1265.2699999999895</v>
      </c>
      <c r="P271" s="387">
        <v>12137.669999999984</v>
      </c>
      <c r="Q271" s="386">
        <v>3677.6100000000006</v>
      </c>
      <c r="R271" s="387">
        <v>26282.539999999986</v>
      </c>
      <c r="S271" s="387">
        <v>5857.5699999999852</v>
      </c>
      <c r="T271" s="386">
        <v>17987.560000000012</v>
      </c>
      <c r="U271" s="387">
        <v>35672.120000000003</v>
      </c>
      <c r="V271" s="386">
        <v>53545.980000000025</v>
      </c>
      <c r="W271" s="386">
        <v>58726.36000000003</v>
      </c>
      <c r="X271" s="386">
        <v>95535.820000000036</v>
      </c>
      <c r="Y271" s="386">
        <v>127124.65000000005</v>
      </c>
      <c r="Z271" s="386">
        <v>72296.840000000026</v>
      </c>
      <c r="AA271" s="987">
        <v>88368.090000000011</v>
      </c>
      <c r="AB271" s="387"/>
      <c r="AC271" s="386"/>
      <c r="AD271" s="387"/>
      <c r="AE271" s="387"/>
      <c r="AF271" s="386"/>
      <c r="AG271" s="387"/>
      <c r="AH271" s="386"/>
      <c r="AI271" s="386"/>
      <c r="AJ271" s="386"/>
      <c r="AK271" s="386"/>
      <c r="AL271" s="386"/>
      <c r="AM271" s="987"/>
      <c r="AN271" s="387"/>
      <c r="AO271" s="386"/>
      <c r="AP271" s="387"/>
      <c r="AQ271" s="387"/>
      <c r="AR271" s="386"/>
      <c r="AS271" s="387"/>
      <c r="AT271" s="386"/>
      <c r="AU271" s="386"/>
      <c r="AV271" s="386"/>
      <c r="AW271" s="386"/>
      <c r="AX271" s="386"/>
      <c r="AY271" s="987"/>
      <c r="AZ271" s="387"/>
      <c r="BA271" s="386"/>
      <c r="BB271" s="387"/>
      <c r="BC271" s="387"/>
      <c r="BD271" s="386"/>
      <c r="BE271" s="387"/>
      <c r="BF271" s="386"/>
      <c r="BG271" s="386"/>
      <c r="BH271" s="386"/>
      <c r="BI271" s="386"/>
      <c r="BJ271" s="386"/>
      <c r="BK271" s="987"/>
      <c r="BL271" s="387"/>
      <c r="BM271" s="386"/>
      <c r="BN271" s="387"/>
      <c r="BO271" s="387"/>
      <c r="BP271" s="386"/>
      <c r="BQ271" s="387"/>
      <c r="BR271" s="386"/>
      <c r="BS271" s="386"/>
      <c r="BT271" s="386"/>
      <c r="BU271" s="386"/>
      <c r="BV271" s="386"/>
      <c r="BW271" s="987"/>
      <c r="BX271" s="387"/>
      <c r="BY271" s="386"/>
      <c r="BZ271" s="387"/>
      <c r="CA271" s="387"/>
      <c r="CB271" s="386"/>
      <c r="CC271" s="387"/>
      <c r="CD271" s="386"/>
      <c r="CE271" s="386"/>
      <c r="CF271" s="386"/>
      <c r="CG271" s="386"/>
      <c r="CH271" s="386"/>
      <c r="CI271" s="987"/>
      <c r="CJ271" s="387"/>
      <c r="CK271" s="386"/>
      <c r="CL271" s="387"/>
      <c r="CM271" s="387"/>
      <c r="CN271" s="386"/>
      <c r="CO271" s="387"/>
      <c r="CP271" s="386"/>
      <c r="CQ271" s="386"/>
      <c r="CR271" s="386"/>
      <c r="CS271" s="386"/>
      <c r="CT271" s="386"/>
      <c r="CU271" s="987"/>
      <c r="CV271" s="387"/>
      <c r="CW271" s="386"/>
      <c r="CX271" s="387"/>
      <c r="CY271" s="387"/>
      <c r="CZ271" s="386"/>
      <c r="DA271" s="387"/>
      <c r="DB271" s="386"/>
      <c r="DC271" s="386"/>
      <c r="DD271" s="386"/>
      <c r="DE271" s="386"/>
      <c r="DF271" s="386"/>
      <c r="DG271" s="987"/>
      <c r="DH271" s="387"/>
      <c r="DI271" s="386"/>
      <c r="DJ271" s="387"/>
      <c r="DK271" s="387"/>
      <c r="DL271" s="386"/>
      <c r="DM271" s="387"/>
      <c r="DN271" s="386"/>
      <c r="DO271" s="386"/>
      <c r="DP271" s="386"/>
      <c r="DQ271" s="386"/>
      <c r="DR271" s="386"/>
      <c r="DS271" s="987"/>
      <c r="DT271" s="387">
        <v>8823.0899999999892</v>
      </c>
      <c r="DU271" s="386">
        <v>17303.690000000002</v>
      </c>
      <c r="DV271" s="387">
        <v>7884.4199999999983</v>
      </c>
      <c r="DW271" s="387">
        <v>14627.100000000009</v>
      </c>
      <c r="DX271" s="386">
        <v>9755.0400000000045</v>
      </c>
      <c r="DY271" s="387">
        <v>15390.629999999997</v>
      </c>
      <c r="DZ271" s="386">
        <v>17167.87</v>
      </c>
      <c r="EA271" s="386">
        <v>5923.9699999999975</v>
      </c>
      <c r="EB271" s="386">
        <v>15969.660000000003</v>
      </c>
      <c r="EC271" s="386">
        <v>8224.59</v>
      </c>
      <c r="ED271" s="386">
        <v>11029.319999999992</v>
      </c>
      <c r="EE271" s="987">
        <v>-23329.239999999998</v>
      </c>
      <c r="EF271" s="387"/>
      <c r="EG271" s="386"/>
      <c r="EH271" s="387"/>
      <c r="EI271" s="387"/>
      <c r="EJ271" s="386"/>
      <c r="EK271" s="387"/>
      <c r="EL271" s="386"/>
      <c r="EM271" s="386"/>
      <c r="EN271" s="386"/>
      <c r="EO271" s="386"/>
      <c r="EP271" s="386"/>
      <c r="EQ271" s="987"/>
      <c r="ER271" s="387"/>
      <c r="ES271" s="386"/>
      <c r="ET271" s="387"/>
      <c r="EU271" s="387"/>
      <c r="EV271" s="386"/>
      <c r="EW271" s="387"/>
      <c r="EX271" s="386"/>
      <c r="EY271" s="386"/>
      <c r="EZ271" s="386"/>
      <c r="FA271" s="386"/>
      <c r="FB271" s="386"/>
      <c r="FC271" s="987"/>
      <c r="FD271" s="387"/>
      <c r="FE271" s="386"/>
      <c r="FF271" s="387"/>
      <c r="FG271" s="387"/>
      <c r="FH271" s="386"/>
      <c r="FI271" s="387"/>
      <c r="FJ271" s="386"/>
      <c r="FK271" s="386"/>
      <c r="FL271" s="386"/>
      <c r="FM271" s="386"/>
      <c r="FN271" s="386"/>
      <c r="FO271" s="987"/>
      <c r="FP271" s="387"/>
      <c r="FQ271" s="386"/>
      <c r="FR271" s="387"/>
      <c r="FS271" s="387"/>
      <c r="FT271" s="386"/>
      <c r="FU271" s="387"/>
      <c r="FV271" s="386"/>
      <c r="FW271" s="386"/>
      <c r="FX271" s="386"/>
      <c r="FY271" s="386"/>
      <c r="FZ271" s="386"/>
      <c r="GA271" s="987"/>
      <c r="GB271" s="109"/>
      <c r="GC271" s="2214">
        <f t="shared" si="170"/>
        <v>27244.759999999973</v>
      </c>
      <c r="GD271" s="386">
        <f t="shared" si="170"/>
        <v>26088.939999999988</v>
      </c>
      <c r="GE271" s="387">
        <f t="shared" si="170"/>
        <v>36167.840000000018</v>
      </c>
      <c r="GF271" s="387">
        <f t="shared" si="170"/>
        <v>34151.989999999976</v>
      </c>
      <c r="GG271" s="386">
        <f t="shared" si="170"/>
        <v>42584.259999999995</v>
      </c>
      <c r="GH271" s="387">
        <f t="shared" si="170"/>
        <v>93095.829999999958</v>
      </c>
      <c r="GI271" s="386">
        <f t="shared" si="170"/>
        <v>67605.510000000024</v>
      </c>
      <c r="GJ271" s="386">
        <f t="shared" si="170"/>
        <v>60692.189999999988</v>
      </c>
      <c r="GK271" s="386">
        <f t="shared" si="170"/>
        <v>121715.72000000006</v>
      </c>
      <c r="GL271" s="386">
        <f t="shared" si="170"/>
        <v>133618.29000000004</v>
      </c>
      <c r="GM271" s="386">
        <f t="shared" si="170"/>
        <v>97483.11</v>
      </c>
      <c r="GN271" s="987">
        <f t="shared" si="170"/>
        <v>66304.12</v>
      </c>
      <c r="GO271" s="1036">
        <f t="shared" si="171"/>
        <v>8823.0899999999892</v>
      </c>
      <c r="GP271" s="386">
        <f t="shared" si="171"/>
        <v>17303.690000000002</v>
      </c>
      <c r="GQ271" s="387">
        <f t="shared" si="171"/>
        <v>7884.4199999999983</v>
      </c>
      <c r="GR271" s="387">
        <f t="shared" si="171"/>
        <v>14627.100000000009</v>
      </c>
      <c r="GS271" s="386">
        <f t="shared" si="171"/>
        <v>9755.0400000000045</v>
      </c>
      <c r="GT271" s="387">
        <f t="shared" si="171"/>
        <v>15390.629999999997</v>
      </c>
      <c r="GU271" s="386">
        <f t="shared" si="171"/>
        <v>17167.87</v>
      </c>
      <c r="GV271" s="386">
        <f t="shared" si="171"/>
        <v>5923.9699999999975</v>
      </c>
      <c r="GW271" s="386">
        <f t="shared" si="171"/>
        <v>15969.660000000003</v>
      </c>
      <c r="GX271" s="386">
        <f t="shared" si="171"/>
        <v>8224.59</v>
      </c>
      <c r="GY271" s="386">
        <f t="shared" si="171"/>
        <v>11029.319999999992</v>
      </c>
      <c r="GZ271" s="987">
        <f t="shared" si="171"/>
        <v>-23329.239999999998</v>
      </c>
      <c r="HB271" s="387"/>
      <c r="HC271" s="386"/>
      <c r="HD271" s="387"/>
      <c r="HE271" s="387"/>
      <c r="HF271" s="386"/>
      <c r="HG271" s="387"/>
      <c r="HH271" s="386"/>
      <c r="HI271" s="386"/>
      <c r="HJ271" s="386"/>
      <c r="HK271" s="386"/>
      <c r="HL271" s="386"/>
      <c r="HM271" s="987"/>
    </row>
    <row r="272" spans="1:221">
      <c r="A272" s="326" t="s">
        <v>900</v>
      </c>
      <c r="B272" s="326" t="s">
        <v>901</v>
      </c>
      <c r="C272" s="326" t="s">
        <v>3683</v>
      </c>
      <c r="D272" s="1036">
        <v>13319.390000000001</v>
      </c>
      <c r="E272" s="387">
        <v>13319.44</v>
      </c>
      <c r="F272" s="387">
        <v>13319.44</v>
      </c>
      <c r="G272" s="387">
        <v>13319.350000000002</v>
      </c>
      <c r="H272" s="387">
        <v>13124.060000000001</v>
      </c>
      <c r="I272" s="387">
        <v>12983.76</v>
      </c>
      <c r="J272" s="387">
        <v>12985.11</v>
      </c>
      <c r="K272" s="387">
        <v>10878.960000000001</v>
      </c>
      <c r="L272" s="387">
        <v>10878.960000000001</v>
      </c>
      <c r="M272" s="387">
        <v>11055.980000000001</v>
      </c>
      <c r="N272" s="387">
        <v>11041.900000000001</v>
      </c>
      <c r="O272" s="988">
        <v>11041.880000000001</v>
      </c>
      <c r="P272" s="387">
        <v>42.01</v>
      </c>
      <c r="Q272" s="387">
        <v>42.06</v>
      </c>
      <c r="R272" s="387">
        <v>42.06</v>
      </c>
      <c r="S272" s="387">
        <v>42.06</v>
      </c>
      <c r="T272" s="387">
        <v>42.06</v>
      </c>
      <c r="U272" s="387">
        <v>42.06</v>
      </c>
      <c r="V272" s="387">
        <v>42.06</v>
      </c>
      <c r="W272" s="387">
        <v>42.06</v>
      </c>
      <c r="X272" s="387">
        <v>42.06</v>
      </c>
      <c r="Y272" s="387">
        <v>42.06</v>
      </c>
      <c r="Z272" s="387">
        <v>42.06</v>
      </c>
      <c r="AA272" s="988">
        <v>42.06</v>
      </c>
      <c r="AB272" s="387"/>
      <c r="AC272" s="387"/>
      <c r="AD272" s="387"/>
      <c r="AE272" s="387"/>
      <c r="AF272" s="387"/>
      <c r="AG272" s="387"/>
      <c r="AH272" s="387"/>
      <c r="AI272" s="387"/>
      <c r="AJ272" s="387"/>
      <c r="AK272" s="387"/>
      <c r="AL272" s="387"/>
      <c r="AM272" s="988"/>
      <c r="AN272" s="387"/>
      <c r="AO272" s="387"/>
      <c r="AP272" s="387"/>
      <c r="AQ272" s="387"/>
      <c r="AR272" s="387"/>
      <c r="AS272" s="387"/>
      <c r="AT272" s="387"/>
      <c r="AU272" s="387"/>
      <c r="AV272" s="387"/>
      <c r="AW272" s="387"/>
      <c r="AX272" s="387"/>
      <c r="AY272" s="988"/>
      <c r="AZ272" s="387"/>
      <c r="BA272" s="387"/>
      <c r="BB272" s="387"/>
      <c r="BC272" s="387"/>
      <c r="BD272" s="387"/>
      <c r="BE272" s="387"/>
      <c r="BF272" s="387"/>
      <c r="BG272" s="387"/>
      <c r="BH272" s="387"/>
      <c r="BI272" s="387"/>
      <c r="BJ272" s="387"/>
      <c r="BK272" s="988"/>
      <c r="BL272" s="387"/>
      <c r="BM272" s="387"/>
      <c r="BN272" s="387"/>
      <c r="BO272" s="387"/>
      <c r="BP272" s="387"/>
      <c r="BQ272" s="387"/>
      <c r="BR272" s="387"/>
      <c r="BS272" s="387"/>
      <c r="BT272" s="387"/>
      <c r="BU272" s="387"/>
      <c r="BV272" s="387"/>
      <c r="BW272" s="988"/>
      <c r="BX272" s="387"/>
      <c r="BY272" s="387"/>
      <c r="BZ272" s="387"/>
      <c r="CA272" s="387"/>
      <c r="CB272" s="387"/>
      <c r="CC272" s="387"/>
      <c r="CD272" s="387"/>
      <c r="CE272" s="387"/>
      <c r="CF272" s="387"/>
      <c r="CG272" s="387"/>
      <c r="CH272" s="387"/>
      <c r="CI272" s="988"/>
      <c r="CJ272" s="387"/>
      <c r="CK272" s="387"/>
      <c r="CL272" s="387"/>
      <c r="CM272" s="387"/>
      <c r="CN272" s="387"/>
      <c r="CO272" s="387"/>
      <c r="CP272" s="387"/>
      <c r="CQ272" s="387"/>
      <c r="CR272" s="387"/>
      <c r="CS272" s="387"/>
      <c r="CT272" s="387"/>
      <c r="CU272" s="988"/>
      <c r="CV272" s="387"/>
      <c r="CW272" s="387"/>
      <c r="CX272" s="387"/>
      <c r="CY272" s="387"/>
      <c r="CZ272" s="387"/>
      <c r="DA272" s="387"/>
      <c r="DB272" s="387"/>
      <c r="DC272" s="387"/>
      <c r="DD272" s="387"/>
      <c r="DE272" s="387"/>
      <c r="DF272" s="387"/>
      <c r="DG272" s="988"/>
      <c r="DH272" s="387"/>
      <c r="DI272" s="387"/>
      <c r="DJ272" s="387"/>
      <c r="DK272" s="387"/>
      <c r="DL272" s="387"/>
      <c r="DM272" s="387"/>
      <c r="DN272" s="387"/>
      <c r="DO272" s="387"/>
      <c r="DP272" s="387"/>
      <c r="DQ272" s="387"/>
      <c r="DR272" s="387"/>
      <c r="DS272" s="988"/>
      <c r="DT272" s="387">
        <v>563.89</v>
      </c>
      <c r="DU272" s="387">
        <v>563.95000000000005</v>
      </c>
      <c r="DV272" s="387">
        <v>1096.53</v>
      </c>
      <c r="DW272" s="387">
        <v>1096.53</v>
      </c>
      <c r="DX272" s="387">
        <v>1096.53</v>
      </c>
      <c r="DY272" s="387">
        <v>1096.53</v>
      </c>
      <c r="DZ272" s="387">
        <v>1096.53</v>
      </c>
      <c r="EA272" s="387">
        <v>1096.53</v>
      </c>
      <c r="EB272" s="387">
        <v>1096.53</v>
      </c>
      <c r="EC272" s="387">
        <v>1096.53</v>
      </c>
      <c r="ED272" s="387">
        <v>1096.53</v>
      </c>
      <c r="EE272" s="988">
        <v>1096.53</v>
      </c>
      <c r="EF272" s="387"/>
      <c r="EG272" s="387"/>
      <c r="EH272" s="387"/>
      <c r="EI272" s="387"/>
      <c r="EJ272" s="387"/>
      <c r="EK272" s="387"/>
      <c r="EL272" s="387"/>
      <c r="EM272" s="387"/>
      <c r="EN272" s="387"/>
      <c r="EO272" s="387"/>
      <c r="EP272" s="387"/>
      <c r="EQ272" s="988"/>
      <c r="ER272" s="387"/>
      <c r="ES272" s="387"/>
      <c r="ET272" s="387"/>
      <c r="EU272" s="387"/>
      <c r="EV272" s="387"/>
      <c r="EW272" s="387"/>
      <c r="EX272" s="387"/>
      <c r="EY272" s="387"/>
      <c r="EZ272" s="387"/>
      <c r="FA272" s="387"/>
      <c r="FB272" s="387"/>
      <c r="FC272" s="988"/>
      <c r="FD272" s="387"/>
      <c r="FE272" s="387"/>
      <c r="FF272" s="387"/>
      <c r="FG272" s="387"/>
      <c r="FH272" s="387"/>
      <c r="FI272" s="387"/>
      <c r="FJ272" s="387"/>
      <c r="FK272" s="387"/>
      <c r="FL272" s="387"/>
      <c r="FM272" s="387"/>
      <c r="FN272" s="387"/>
      <c r="FO272" s="988"/>
      <c r="FP272" s="387"/>
      <c r="FQ272" s="387"/>
      <c r="FR272" s="387"/>
      <c r="FS272" s="387"/>
      <c r="FT272" s="387"/>
      <c r="FU272" s="387"/>
      <c r="FV272" s="387"/>
      <c r="FW272" s="387"/>
      <c r="FX272" s="387"/>
      <c r="FY272" s="387"/>
      <c r="FZ272" s="387"/>
      <c r="GA272" s="988"/>
      <c r="GB272" s="109"/>
      <c r="GC272" s="2214">
        <f t="shared" si="170"/>
        <v>13925.29</v>
      </c>
      <c r="GD272" s="387">
        <f t="shared" si="170"/>
        <v>13925.45</v>
      </c>
      <c r="GE272" s="387">
        <f t="shared" si="170"/>
        <v>14458.03</v>
      </c>
      <c r="GF272" s="387">
        <f t="shared" si="170"/>
        <v>14457.940000000002</v>
      </c>
      <c r="GG272" s="387">
        <f t="shared" si="170"/>
        <v>14262.650000000001</v>
      </c>
      <c r="GH272" s="387">
        <f t="shared" si="170"/>
        <v>14122.35</v>
      </c>
      <c r="GI272" s="387">
        <f t="shared" si="170"/>
        <v>14123.7</v>
      </c>
      <c r="GJ272" s="387">
        <f t="shared" si="170"/>
        <v>12017.550000000001</v>
      </c>
      <c r="GK272" s="387">
        <f t="shared" si="170"/>
        <v>12017.550000000001</v>
      </c>
      <c r="GL272" s="387">
        <f t="shared" si="170"/>
        <v>12194.570000000002</v>
      </c>
      <c r="GM272" s="387">
        <f t="shared" si="170"/>
        <v>12180.490000000002</v>
      </c>
      <c r="GN272" s="988">
        <f t="shared" si="170"/>
        <v>12180.470000000001</v>
      </c>
      <c r="GO272" s="1036">
        <f t="shared" si="171"/>
        <v>563.89</v>
      </c>
      <c r="GP272" s="387">
        <f t="shared" si="171"/>
        <v>563.95000000000005</v>
      </c>
      <c r="GQ272" s="387">
        <f t="shared" si="171"/>
        <v>1096.53</v>
      </c>
      <c r="GR272" s="387">
        <f t="shared" si="171"/>
        <v>1096.53</v>
      </c>
      <c r="GS272" s="387">
        <f t="shared" si="171"/>
        <v>1096.53</v>
      </c>
      <c r="GT272" s="387">
        <f t="shared" si="171"/>
        <v>1096.53</v>
      </c>
      <c r="GU272" s="387">
        <f t="shared" si="171"/>
        <v>1096.53</v>
      </c>
      <c r="GV272" s="387">
        <f t="shared" si="171"/>
        <v>1096.53</v>
      </c>
      <c r="GW272" s="387">
        <f t="shared" si="171"/>
        <v>1096.53</v>
      </c>
      <c r="GX272" s="387">
        <f t="shared" si="171"/>
        <v>1096.53</v>
      </c>
      <c r="GY272" s="387">
        <f t="shared" si="171"/>
        <v>1096.53</v>
      </c>
      <c r="GZ272" s="988">
        <f t="shared" si="171"/>
        <v>1096.53</v>
      </c>
      <c r="HB272" s="387"/>
      <c r="HC272" s="387"/>
      <c r="HD272" s="387"/>
      <c r="HE272" s="387"/>
      <c r="HF272" s="387"/>
      <c r="HG272" s="387"/>
      <c r="HH272" s="387"/>
      <c r="HI272" s="387"/>
      <c r="HJ272" s="387"/>
      <c r="HK272" s="387"/>
      <c r="HL272" s="387"/>
      <c r="HM272" s="988"/>
    </row>
    <row r="273" spans="1:221">
      <c r="A273" s="326" t="s">
        <v>900</v>
      </c>
      <c r="B273" s="326" t="s">
        <v>901</v>
      </c>
      <c r="C273" s="326" t="s">
        <v>3684</v>
      </c>
      <c r="D273" s="1036" t="s">
        <v>2154</v>
      </c>
      <c r="E273" s="387" t="s">
        <v>2154</v>
      </c>
      <c r="F273" s="387" t="s">
        <v>2154</v>
      </c>
      <c r="G273" s="387" t="s">
        <v>2154</v>
      </c>
      <c r="H273" s="387" t="s">
        <v>2154</v>
      </c>
      <c r="I273" s="387" t="s">
        <v>2154</v>
      </c>
      <c r="J273" s="387" t="s">
        <v>2154</v>
      </c>
      <c r="K273" s="387" t="s">
        <v>2154</v>
      </c>
      <c r="L273" s="387" t="s">
        <v>2154</v>
      </c>
      <c r="M273" s="387" t="s">
        <v>2154</v>
      </c>
      <c r="N273" s="387" t="s">
        <v>2154</v>
      </c>
      <c r="O273" s="988" t="s">
        <v>2154</v>
      </c>
      <c r="P273" s="387" t="s">
        <v>2154</v>
      </c>
      <c r="Q273" s="387" t="s">
        <v>2154</v>
      </c>
      <c r="R273" s="387" t="s">
        <v>2154</v>
      </c>
      <c r="S273" s="387" t="s">
        <v>2154</v>
      </c>
      <c r="T273" s="387" t="s">
        <v>2154</v>
      </c>
      <c r="U273" s="387" t="s">
        <v>2154</v>
      </c>
      <c r="V273" s="387" t="s">
        <v>2154</v>
      </c>
      <c r="W273" s="387" t="s">
        <v>2154</v>
      </c>
      <c r="X273" s="387" t="s">
        <v>2154</v>
      </c>
      <c r="Y273" s="387" t="s">
        <v>2154</v>
      </c>
      <c r="Z273" s="387" t="s">
        <v>2154</v>
      </c>
      <c r="AA273" s="988" t="s">
        <v>2154</v>
      </c>
      <c r="AB273" s="387"/>
      <c r="AC273" s="387"/>
      <c r="AD273" s="387"/>
      <c r="AE273" s="387"/>
      <c r="AF273" s="387"/>
      <c r="AG273" s="387"/>
      <c r="AH273" s="387"/>
      <c r="AI273" s="387"/>
      <c r="AJ273" s="387"/>
      <c r="AK273" s="387"/>
      <c r="AL273" s="387"/>
      <c r="AM273" s="988"/>
      <c r="AN273" s="387"/>
      <c r="AO273" s="387"/>
      <c r="AP273" s="387"/>
      <c r="AQ273" s="387"/>
      <c r="AR273" s="387"/>
      <c r="AS273" s="387"/>
      <c r="AT273" s="387"/>
      <c r="AU273" s="387"/>
      <c r="AV273" s="387"/>
      <c r="AW273" s="387"/>
      <c r="AX273" s="387"/>
      <c r="AY273" s="988"/>
      <c r="AZ273" s="387"/>
      <c r="BA273" s="387"/>
      <c r="BB273" s="387"/>
      <c r="BC273" s="387"/>
      <c r="BD273" s="387"/>
      <c r="BE273" s="387"/>
      <c r="BF273" s="387"/>
      <c r="BG273" s="387"/>
      <c r="BH273" s="387"/>
      <c r="BI273" s="387"/>
      <c r="BJ273" s="387"/>
      <c r="BK273" s="988"/>
      <c r="BL273" s="387"/>
      <c r="BM273" s="387"/>
      <c r="BN273" s="387"/>
      <c r="BO273" s="387"/>
      <c r="BP273" s="387"/>
      <c r="BQ273" s="387"/>
      <c r="BR273" s="387"/>
      <c r="BS273" s="387"/>
      <c r="BT273" s="387"/>
      <c r="BU273" s="387"/>
      <c r="BV273" s="387"/>
      <c r="BW273" s="988"/>
      <c r="BX273" s="387"/>
      <c r="BY273" s="387"/>
      <c r="BZ273" s="387"/>
      <c r="CA273" s="387"/>
      <c r="CB273" s="387"/>
      <c r="CC273" s="387"/>
      <c r="CD273" s="387"/>
      <c r="CE273" s="387"/>
      <c r="CF273" s="387"/>
      <c r="CG273" s="387"/>
      <c r="CH273" s="387"/>
      <c r="CI273" s="988"/>
      <c r="CJ273" s="387"/>
      <c r="CK273" s="387"/>
      <c r="CL273" s="387"/>
      <c r="CM273" s="387"/>
      <c r="CN273" s="387"/>
      <c r="CO273" s="387"/>
      <c r="CP273" s="387"/>
      <c r="CQ273" s="387"/>
      <c r="CR273" s="387"/>
      <c r="CS273" s="387"/>
      <c r="CT273" s="387"/>
      <c r="CU273" s="988"/>
      <c r="CV273" s="387"/>
      <c r="CW273" s="387"/>
      <c r="CX273" s="387"/>
      <c r="CY273" s="387"/>
      <c r="CZ273" s="387"/>
      <c r="DA273" s="387"/>
      <c r="DB273" s="387"/>
      <c r="DC273" s="387"/>
      <c r="DD273" s="387"/>
      <c r="DE273" s="387"/>
      <c r="DF273" s="387"/>
      <c r="DG273" s="988"/>
      <c r="DH273" s="387"/>
      <c r="DI273" s="387"/>
      <c r="DJ273" s="387"/>
      <c r="DK273" s="387"/>
      <c r="DL273" s="387"/>
      <c r="DM273" s="387"/>
      <c r="DN273" s="387"/>
      <c r="DO273" s="387"/>
      <c r="DP273" s="387"/>
      <c r="DQ273" s="387"/>
      <c r="DR273" s="387"/>
      <c r="DS273" s="988"/>
      <c r="DT273" s="387" t="s">
        <v>2154</v>
      </c>
      <c r="DU273" s="387" t="s">
        <v>2154</v>
      </c>
      <c r="DV273" s="387" t="s">
        <v>2154</v>
      </c>
      <c r="DW273" s="387" t="s">
        <v>2154</v>
      </c>
      <c r="DX273" s="387" t="s">
        <v>2154</v>
      </c>
      <c r="DY273" s="387" t="s">
        <v>2154</v>
      </c>
      <c r="DZ273" s="387" t="s">
        <v>2154</v>
      </c>
      <c r="EA273" s="387" t="s">
        <v>2154</v>
      </c>
      <c r="EB273" s="387" t="s">
        <v>2154</v>
      </c>
      <c r="EC273" s="387" t="s">
        <v>2154</v>
      </c>
      <c r="ED273" s="387" t="s">
        <v>2154</v>
      </c>
      <c r="EE273" s="988" t="s">
        <v>2154</v>
      </c>
      <c r="EF273" s="387"/>
      <c r="EG273" s="387"/>
      <c r="EH273" s="387"/>
      <c r="EI273" s="387"/>
      <c r="EJ273" s="387"/>
      <c r="EK273" s="387"/>
      <c r="EL273" s="387"/>
      <c r="EM273" s="387"/>
      <c r="EN273" s="387"/>
      <c r="EO273" s="387"/>
      <c r="EP273" s="387"/>
      <c r="EQ273" s="988"/>
      <c r="ER273" s="387"/>
      <c r="ES273" s="387"/>
      <c r="ET273" s="387"/>
      <c r="EU273" s="387"/>
      <c r="EV273" s="387"/>
      <c r="EW273" s="387"/>
      <c r="EX273" s="387"/>
      <c r="EY273" s="387"/>
      <c r="EZ273" s="387"/>
      <c r="FA273" s="387"/>
      <c r="FB273" s="387"/>
      <c r="FC273" s="988"/>
      <c r="FD273" s="387"/>
      <c r="FE273" s="387"/>
      <c r="FF273" s="387"/>
      <c r="FG273" s="387"/>
      <c r="FH273" s="387"/>
      <c r="FI273" s="387"/>
      <c r="FJ273" s="387"/>
      <c r="FK273" s="387"/>
      <c r="FL273" s="387"/>
      <c r="FM273" s="387"/>
      <c r="FN273" s="387"/>
      <c r="FO273" s="988"/>
      <c r="FP273" s="387"/>
      <c r="FQ273" s="387"/>
      <c r="FR273" s="387"/>
      <c r="FS273" s="387"/>
      <c r="FT273" s="387"/>
      <c r="FU273" s="387"/>
      <c r="FV273" s="387"/>
      <c r="FW273" s="387"/>
      <c r="FX273" s="387"/>
      <c r="FY273" s="387"/>
      <c r="FZ273" s="387"/>
      <c r="GA273" s="988"/>
      <c r="GB273" s="109"/>
      <c r="GC273" s="2214">
        <f t="shared" si="170"/>
        <v>0</v>
      </c>
      <c r="GD273" s="387">
        <f t="shared" si="170"/>
        <v>0</v>
      </c>
      <c r="GE273" s="387">
        <f t="shared" si="170"/>
        <v>0</v>
      </c>
      <c r="GF273" s="387">
        <f t="shared" si="170"/>
        <v>0</v>
      </c>
      <c r="GG273" s="387">
        <f t="shared" si="170"/>
        <v>0</v>
      </c>
      <c r="GH273" s="387">
        <f t="shared" si="170"/>
        <v>0</v>
      </c>
      <c r="GI273" s="387">
        <f t="shared" si="170"/>
        <v>0</v>
      </c>
      <c r="GJ273" s="387">
        <f t="shared" si="170"/>
        <v>0</v>
      </c>
      <c r="GK273" s="387">
        <f t="shared" si="170"/>
        <v>0</v>
      </c>
      <c r="GL273" s="387">
        <f t="shared" si="170"/>
        <v>0</v>
      </c>
      <c r="GM273" s="387">
        <f t="shared" si="170"/>
        <v>0</v>
      </c>
      <c r="GN273" s="988">
        <f t="shared" si="170"/>
        <v>0</v>
      </c>
      <c r="GO273" s="1036">
        <f t="shared" si="171"/>
        <v>0</v>
      </c>
      <c r="GP273" s="387">
        <f t="shared" si="171"/>
        <v>0</v>
      </c>
      <c r="GQ273" s="387">
        <f t="shared" si="171"/>
        <v>0</v>
      </c>
      <c r="GR273" s="387">
        <f t="shared" si="171"/>
        <v>0</v>
      </c>
      <c r="GS273" s="387">
        <f t="shared" si="171"/>
        <v>0</v>
      </c>
      <c r="GT273" s="387">
        <f t="shared" si="171"/>
        <v>0</v>
      </c>
      <c r="GU273" s="387">
        <f t="shared" si="171"/>
        <v>0</v>
      </c>
      <c r="GV273" s="387">
        <f t="shared" si="171"/>
        <v>0</v>
      </c>
      <c r="GW273" s="387">
        <f t="shared" si="171"/>
        <v>0</v>
      </c>
      <c r="GX273" s="387">
        <f t="shared" si="171"/>
        <v>0</v>
      </c>
      <c r="GY273" s="387">
        <f t="shared" si="171"/>
        <v>0</v>
      </c>
      <c r="GZ273" s="988">
        <f t="shared" si="171"/>
        <v>0</v>
      </c>
      <c r="HB273" s="387"/>
      <c r="HC273" s="387"/>
      <c r="HD273" s="387"/>
      <c r="HE273" s="387"/>
      <c r="HF273" s="387"/>
      <c r="HG273" s="387"/>
      <c r="HH273" s="387"/>
      <c r="HI273" s="387"/>
      <c r="HJ273" s="387"/>
      <c r="HK273" s="387"/>
      <c r="HL273" s="387"/>
      <c r="HM273" s="988"/>
    </row>
    <row r="274" spans="1:221">
      <c r="A274" s="326" t="s">
        <v>900</v>
      </c>
      <c r="B274" s="326" t="s">
        <v>901</v>
      </c>
      <c r="C274" s="326" t="s">
        <v>133</v>
      </c>
      <c r="D274" s="1036">
        <v>-7035.3900000000012</v>
      </c>
      <c r="E274" s="387">
        <v>-8211.8000000000156</v>
      </c>
      <c r="F274" s="387">
        <v>-11318.559999999967</v>
      </c>
      <c r="G274" s="387">
        <v>347.9699999999757</v>
      </c>
      <c r="H274" s="387">
        <v>1717.5999999999731</v>
      </c>
      <c r="I274" s="387">
        <v>29049.319999999956</v>
      </c>
      <c r="J274" s="387">
        <v>-16093.449999999997</v>
      </c>
      <c r="K274" s="387">
        <v>-14837.100000000044</v>
      </c>
      <c r="L274" s="387">
        <v>-668.71999999998116</v>
      </c>
      <c r="M274" s="387">
        <v>-12786.930000000013</v>
      </c>
      <c r="N274" s="387">
        <v>3115.0499999999811</v>
      </c>
      <c r="O274" s="988">
        <v>-9776.6100000000115</v>
      </c>
      <c r="P274" s="387">
        <v>12095.659999999983</v>
      </c>
      <c r="Q274" s="386">
        <v>3635.5500000000006</v>
      </c>
      <c r="R274" s="387">
        <v>26240.479999999985</v>
      </c>
      <c r="S274" s="387">
        <v>5815.5099999999848</v>
      </c>
      <c r="T274" s="386">
        <v>17945.500000000011</v>
      </c>
      <c r="U274" s="387">
        <v>35630.060000000005</v>
      </c>
      <c r="V274" s="386">
        <v>53503.920000000027</v>
      </c>
      <c r="W274" s="386">
        <v>58684.300000000032</v>
      </c>
      <c r="X274" s="386">
        <v>95493.760000000038</v>
      </c>
      <c r="Y274" s="386">
        <v>127082.59000000005</v>
      </c>
      <c r="Z274" s="386">
        <v>72254.780000000028</v>
      </c>
      <c r="AA274" s="987">
        <v>88326.030000000013</v>
      </c>
      <c r="AB274" s="387"/>
      <c r="AC274" s="386"/>
      <c r="AD274" s="387"/>
      <c r="AE274" s="387"/>
      <c r="AF274" s="386"/>
      <c r="AG274" s="387"/>
      <c r="AH274" s="386"/>
      <c r="AI274" s="386"/>
      <c r="AJ274" s="386"/>
      <c r="AK274" s="386"/>
      <c r="AL274" s="386"/>
      <c r="AM274" s="987"/>
      <c r="AN274" s="387"/>
      <c r="AO274" s="386"/>
      <c r="AP274" s="387"/>
      <c r="AQ274" s="387"/>
      <c r="AR274" s="386"/>
      <c r="AS274" s="387"/>
      <c r="AT274" s="386"/>
      <c r="AU274" s="386"/>
      <c r="AV274" s="386"/>
      <c r="AW274" s="386"/>
      <c r="AX274" s="386"/>
      <c r="AY274" s="987"/>
      <c r="AZ274" s="387"/>
      <c r="BA274" s="386"/>
      <c r="BB274" s="387"/>
      <c r="BC274" s="387"/>
      <c r="BD274" s="386"/>
      <c r="BE274" s="387"/>
      <c r="BF274" s="386"/>
      <c r="BG274" s="386"/>
      <c r="BH274" s="386"/>
      <c r="BI274" s="386"/>
      <c r="BJ274" s="386"/>
      <c r="BK274" s="987"/>
      <c r="BL274" s="387"/>
      <c r="BM274" s="386"/>
      <c r="BN274" s="387"/>
      <c r="BO274" s="387"/>
      <c r="BP274" s="386"/>
      <c r="BQ274" s="387"/>
      <c r="BR274" s="386"/>
      <c r="BS274" s="386"/>
      <c r="BT274" s="386"/>
      <c r="BU274" s="386"/>
      <c r="BV274" s="386"/>
      <c r="BW274" s="987"/>
      <c r="BX274" s="387"/>
      <c r="BY274" s="386"/>
      <c r="BZ274" s="387"/>
      <c r="CA274" s="387"/>
      <c r="CB274" s="386"/>
      <c r="CC274" s="387"/>
      <c r="CD274" s="386"/>
      <c r="CE274" s="386"/>
      <c r="CF274" s="386"/>
      <c r="CG274" s="386"/>
      <c r="CH274" s="386"/>
      <c r="CI274" s="987"/>
      <c r="CJ274" s="387"/>
      <c r="CK274" s="386"/>
      <c r="CL274" s="387"/>
      <c r="CM274" s="387"/>
      <c r="CN274" s="386"/>
      <c r="CO274" s="387"/>
      <c r="CP274" s="386"/>
      <c r="CQ274" s="386"/>
      <c r="CR274" s="386"/>
      <c r="CS274" s="386"/>
      <c r="CT274" s="386"/>
      <c r="CU274" s="987"/>
      <c r="CV274" s="387"/>
      <c r="CW274" s="386"/>
      <c r="CX274" s="387"/>
      <c r="CY274" s="387"/>
      <c r="CZ274" s="386"/>
      <c r="DA274" s="387"/>
      <c r="DB274" s="386"/>
      <c r="DC274" s="386"/>
      <c r="DD274" s="386"/>
      <c r="DE274" s="386"/>
      <c r="DF274" s="386"/>
      <c r="DG274" s="987"/>
      <c r="DH274" s="387"/>
      <c r="DI274" s="386"/>
      <c r="DJ274" s="387"/>
      <c r="DK274" s="387"/>
      <c r="DL274" s="386"/>
      <c r="DM274" s="387"/>
      <c r="DN274" s="386"/>
      <c r="DO274" s="386"/>
      <c r="DP274" s="386"/>
      <c r="DQ274" s="386"/>
      <c r="DR274" s="386"/>
      <c r="DS274" s="987"/>
      <c r="DT274" s="387">
        <v>8259.1999999999898</v>
      </c>
      <c r="DU274" s="386">
        <v>16739.740000000002</v>
      </c>
      <c r="DV274" s="387">
        <v>6787.8899999999985</v>
      </c>
      <c r="DW274" s="387">
        <v>13530.570000000009</v>
      </c>
      <c r="DX274" s="386">
        <v>8658.5100000000039</v>
      </c>
      <c r="DY274" s="387">
        <v>14294.099999999997</v>
      </c>
      <c r="DZ274" s="386">
        <v>16071.339999999998</v>
      </c>
      <c r="EA274" s="386">
        <v>4827.4399999999978</v>
      </c>
      <c r="EB274" s="386">
        <v>14873.130000000003</v>
      </c>
      <c r="EC274" s="386">
        <v>7128.06</v>
      </c>
      <c r="ED274" s="386">
        <v>9932.7899999999918</v>
      </c>
      <c r="EE274" s="987">
        <v>-24425.769999999997</v>
      </c>
      <c r="EF274" s="387"/>
      <c r="EG274" s="386"/>
      <c r="EH274" s="387"/>
      <c r="EI274" s="387"/>
      <c r="EJ274" s="386"/>
      <c r="EK274" s="387"/>
      <c r="EL274" s="386"/>
      <c r="EM274" s="386"/>
      <c r="EN274" s="386"/>
      <c r="EO274" s="386"/>
      <c r="EP274" s="386"/>
      <c r="EQ274" s="987"/>
      <c r="ER274" s="387"/>
      <c r="ES274" s="386"/>
      <c r="ET274" s="387"/>
      <c r="EU274" s="387"/>
      <c r="EV274" s="386"/>
      <c r="EW274" s="387"/>
      <c r="EX274" s="386"/>
      <c r="EY274" s="386"/>
      <c r="EZ274" s="386"/>
      <c r="FA274" s="386"/>
      <c r="FB274" s="386"/>
      <c r="FC274" s="987"/>
      <c r="FD274" s="387"/>
      <c r="FE274" s="386"/>
      <c r="FF274" s="387"/>
      <c r="FG274" s="387"/>
      <c r="FH274" s="386"/>
      <c r="FI274" s="387"/>
      <c r="FJ274" s="386"/>
      <c r="FK274" s="386"/>
      <c r="FL274" s="386"/>
      <c r="FM274" s="386"/>
      <c r="FN274" s="386"/>
      <c r="FO274" s="987"/>
      <c r="FP274" s="387"/>
      <c r="FQ274" s="386"/>
      <c r="FR274" s="387"/>
      <c r="FS274" s="387"/>
      <c r="FT274" s="386"/>
      <c r="FU274" s="387"/>
      <c r="FV274" s="386"/>
      <c r="FW274" s="386"/>
      <c r="FX274" s="386"/>
      <c r="FY274" s="386"/>
      <c r="FZ274" s="386"/>
      <c r="GA274" s="987"/>
      <c r="GB274" s="109"/>
      <c r="GC274" s="2214">
        <f t="shared" si="170"/>
        <v>13319.469999999972</v>
      </c>
      <c r="GD274" s="386">
        <f t="shared" si="170"/>
        <v>12163.489999999987</v>
      </c>
      <c r="GE274" s="387">
        <f t="shared" si="170"/>
        <v>21709.810000000016</v>
      </c>
      <c r="GF274" s="387">
        <f t="shared" si="170"/>
        <v>19694.04999999997</v>
      </c>
      <c r="GG274" s="386">
        <f t="shared" si="170"/>
        <v>28321.609999999986</v>
      </c>
      <c r="GH274" s="387">
        <f t="shared" si="170"/>
        <v>78973.479999999952</v>
      </c>
      <c r="GI274" s="386">
        <f t="shared" si="170"/>
        <v>53481.810000000027</v>
      </c>
      <c r="GJ274" s="386">
        <f t="shared" si="170"/>
        <v>48674.639999999985</v>
      </c>
      <c r="GK274" s="386">
        <f t="shared" si="170"/>
        <v>109698.17000000006</v>
      </c>
      <c r="GL274" s="386">
        <f t="shared" si="170"/>
        <v>121423.72000000004</v>
      </c>
      <c r="GM274" s="386">
        <f t="shared" si="170"/>
        <v>85302.62000000001</v>
      </c>
      <c r="GN274" s="987">
        <f t="shared" si="170"/>
        <v>54123.65</v>
      </c>
      <c r="GO274" s="1036">
        <f t="shared" si="171"/>
        <v>8259.1999999999898</v>
      </c>
      <c r="GP274" s="386">
        <f t="shared" si="171"/>
        <v>16739.740000000002</v>
      </c>
      <c r="GQ274" s="387">
        <f t="shared" si="171"/>
        <v>6787.8899999999985</v>
      </c>
      <c r="GR274" s="387">
        <f t="shared" si="171"/>
        <v>13530.570000000009</v>
      </c>
      <c r="GS274" s="386">
        <f t="shared" si="171"/>
        <v>8658.5100000000039</v>
      </c>
      <c r="GT274" s="387">
        <f t="shared" si="171"/>
        <v>14294.099999999997</v>
      </c>
      <c r="GU274" s="386">
        <f t="shared" si="171"/>
        <v>16071.339999999998</v>
      </c>
      <c r="GV274" s="386">
        <f t="shared" si="171"/>
        <v>4827.4399999999978</v>
      </c>
      <c r="GW274" s="386">
        <f t="shared" si="171"/>
        <v>14873.130000000003</v>
      </c>
      <c r="GX274" s="386">
        <f t="shared" si="171"/>
        <v>7128.06</v>
      </c>
      <c r="GY274" s="386">
        <f t="shared" si="171"/>
        <v>9932.7899999999918</v>
      </c>
      <c r="GZ274" s="987">
        <f t="shared" si="171"/>
        <v>-24425.769999999997</v>
      </c>
      <c r="HB274" s="387"/>
      <c r="HC274" s="386"/>
      <c r="HD274" s="387"/>
      <c r="HE274" s="387"/>
      <c r="HF274" s="386"/>
      <c r="HG274" s="387"/>
      <c r="HH274" s="386"/>
      <c r="HI274" s="386"/>
      <c r="HJ274" s="386"/>
      <c r="HK274" s="386"/>
      <c r="HL274" s="386"/>
      <c r="HM274" s="987"/>
    </row>
    <row r="275" spans="1:221">
      <c r="A275" s="109"/>
      <c r="B275" s="109"/>
      <c r="C275" s="109"/>
      <c r="D275" s="1035"/>
      <c r="E275" s="386"/>
      <c r="F275" s="386"/>
      <c r="G275" s="386"/>
      <c r="H275" s="386"/>
      <c r="I275" s="386"/>
      <c r="J275" s="386"/>
      <c r="K275" s="386"/>
      <c r="L275" s="386"/>
      <c r="M275" s="386"/>
      <c r="N275" s="386"/>
      <c r="O275" s="987"/>
      <c r="P275" s="386"/>
      <c r="Q275" s="386"/>
      <c r="R275" s="386"/>
      <c r="S275" s="386"/>
      <c r="T275" s="386"/>
      <c r="U275" s="386"/>
      <c r="V275" s="386"/>
      <c r="W275" s="386"/>
      <c r="X275" s="386"/>
      <c r="Y275" s="386"/>
      <c r="Z275" s="386"/>
      <c r="AA275" s="987"/>
      <c r="AB275" s="386"/>
      <c r="AC275" s="386"/>
      <c r="AD275" s="386"/>
      <c r="AE275" s="386"/>
      <c r="AF275" s="386"/>
      <c r="AG275" s="386"/>
      <c r="AH275" s="386"/>
      <c r="AI275" s="386"/>
      <c r="AJ275" s="386"/>
      <c r="AK275" s="386"/>
      <c r="AL275" s="386"/>
      <c r="AM275" s="987"/>
      <c r="AN275" s="386"/>
      <c r="AO275" s="386"/>
      <c r="AP275" s="386"/>
      <c r="AQ275" s="386"/>
      <c r="AR275" s="386"/>
      <c r="AS275" s="386"/>
      <c r="AT275" s="386"/>
      <c r="AU275" s="386"/>
      <c r="AV275" s="386"/>
      <c r="AW275" s="386"/>
      <c r="AX275" s="386"/>
      <c r="AY275" s="987"/>
      <c r="AZ275" s="386"/>
      <c r="BA275" s="386"/>
      <c r="BB275" s="386"/>
      <c r="BC275" s="386"/>
      <c r="BD275" s="386"/>
      <c r="BE275" s="386"/>
      <c r="BF275" s="386"/>
      <c r="BG275" s="386"/>
      <c r="BH275" s="386"/>
      <c r="BI275" s="386"/>
      <c r="BJ275" s="386"/>
      <c r="BK275" s="987"/>
      <c r="BL275" s="386"/>
      <c r="BM275" s="386"/>
      <c r="BN275" s="386"/>
      <c r="BO275" s="386"/>
      <c r="BP275" s="386"/>
      <c r="BQ275" s="386"/>
      <c r="BR275" s="386"/>
      <c r="BS275" s="386"/>
      <c r="BT275" s="386"/>
      <c r="BU275" s="386"/>
      <c r="BV275" s="386"/>
      <c r="BW275" s="987"/>
      <c r="BX275" s="386"/>
      <c r="BY275" s="386"/>
      <c r="BZ275" s="386"/>
      <c r="CA275" s="386"/>
      <c r="CB275" s="386"/>
      <c r="CC275" s="386"/>
      <c r="CD275" s="386"/>
      <c r="CE275" s="386"/>
      <c r="CF275" s="386"/>
      <c r="CG275" s="386"/>
      <c r="CH275" s="386"/>
      <c r="CI275" s="987"/>
      <c r="CJ275" s="386"/>
      <c r="CK275" s="386"/>
      <c r="CL275" s="386"/>
      <c r="CM275" s="386"/>
      <c r="CN275" s="386"/>
      <c r="CO275" s="386"/>
      <c r="CP275" s="386"/>
      <c r="CQ275" s="386"/>
      <c r="CR275" s="386"/>
      <c r="CS275" s="386"/>
      <c r="CT275" s="386"/>
      <c r="CU275" s="987"/>
      <c r="CV275" s="386"/>
      <c r="CW275" s="386"/>
      <c r="CX275" s="386"/>
      <c r="CY275" s="386"/>
      <c r="CZ275" s="386"/>
      <c r="DA275" s="386"/>
      <c r="DB275" s="386"/>
      <c r="DC275" s="386"/>
      <c r="DD275" s="386"/>
      <c r="DE275" s="386"/>
      <c r="DF275" s="386"/>
      <c r="DG275" s="987"/>
      <c r="DH275" s="386"/>
      <c r="DI275" s="386"/>
      <c r="DJ275" s="386"/>
      <c r="DK275" s="386"/>
      <c r="DL275" s="386"/>
      <c r="DM275" s="386"/>
      <c r="DN275" s="386"/>
      <c r="DO275" s="386"/>
      <c r="DP275" s="386"/>
      <c r="DQ275" s="386"/>
      <c r="DR275" s="386"/>
      <c r="DS275" s="987"/>
      <c r="DT275" s="386"/>
      <c r="DU275" s="386"/>
      <c r="DV275" s="386"/>
      <c r="DW275" s="386"/>
      <c r="DX275" s="386"/>
      <c r="DY275" s="386"/>
      <c r="DZ275" s="386"/>
      <c r="EA275" s="386"/>
      <c r="EB275" s="386"/>
      <c r="EC275" s="386"/>
      <c r="ED275" s="386"/>
      <c r="EE275" s="987"/>
      <c r="EF275" s="386"/>
      <c r="EG275" s="386"/>
      <c r="EH275" s="386"/>
      <c r="EI275" s="386"/>
      <c r="EJ275" s="386"/>
      <c r="EK275" s="386"/>
      <c r="EL275" s="386"/>
      <c r="EM275" s="386"/>
      <c r="EN275" s="386"/>
      <c r="EO275" s="386"/>
      <c r="EP275" s="386"/>
      <c r="EQ275" s="987"/>
      <c r="ER275" s="386"/>
      <c r="ES275" s="386"/>
      <c r="ET275" s="386"/>
      <c r="EU275" s="386"/>
      <c r="EV275" s="386"/>
      <c r="EW275" s="386"/>
      <c r="EX275" s="386"/>
      <c r="EY275" s="386"/>
      <c r="EZ275" s="386"/>
      <c r="FA275" s="386"/>
      <c r="FB275" s="386"/>
      <c r="FC275" s="987"/>
      <c r="FD275" s="386"/>
      <c r="FE275" s="386"/>
      <c r="FF275" s="386"/>
      <c r="FG275" s="386"/>
      <c r="FH275" s="386"/>
      <c r="FI275" s="386"/>
      <c r="FJ275" s="386"/>
      <c r="FK275" s="386"/>
      <c r="FL275" s="386"/>
      <c r="FM275" s="386"/>
      <c r="FN275" s="386"/>
      <c r="FO275" s="987"/>
      <c r="FP275" s="386"/>
      <c r="FQ275" s="386"/>
      <c r="FR275" s="386"/>
      <c r="FS275" s="386"/>
      <c r="FT275" s="386"/>
      <c r="FU275" s="386"/>
      <c r="FV275" s="386"/>
      <c r="FW275" s="386"/>
      <c r="FX275" s="386"/>
      <c r="FY275" s="386"/>
      <c r="FZ275" s="386"/>
      <c r="GA275" s="987"/>
      <c r="GB275" s="109"/>
      <c r="GC275" s="1035"/>
      <c r="GD275" s="386"/>
      <c r="GE275" s="386"/>
      <c r="GF275" s="386"/>
      <c r="GG275" s="386"/>
      <c r="GH275" s="386"/>
      <c r="GI275" s="386"/>
      <c r="GJ275" s="386"/>
      <c r="GK275" s="386"/>
      <c r="GL275" s="386"/>
      <c r="GM275" s="386"/>
      <c r="GN275" s="987"/>
      <c r="GO275" s="1035"/>
      <c r="GP275" s="386"/>
      <c r="GQ275" s="386"/>
      <c r="GR275" s="386"/>
      <c r="GS275" s="386"/>
      <c r="GT275" s="386"/>
      <c r="GU275" s="386"/>
      <c r="GV275" s="386"/>
      <c r="GW275" s="386"/>
      <c r="GX275" s="386"/>
      <c r="GY275" s="386"/>
      <c r="GZ275" s="987"/>
      <c r="HB275" s="386"/>
      <c r="HC275" s="386"/>
      <c r="HD275" s="386"/>
      <c r="HE275" s="386"/>
      <c r="HF275" s="386"/>
      <c r="HG275" s="386"/>
      <c r="HH275" s="386"/>
      <c r="HI275" s="386"/>
      <c r="HJ275" s="386"/>
      <c r="HK275" s="386"/>
      <c r="HL275" s="386"/>
      <c r="HM275" s="987"/>
    </row>
    <row r="276" spans="1:221" s="1731" customFormat="1">
      <c r="A276" s="1725" t="s">
        <v>900</v>
      </c>
      <c r="B276" s="1725" t="s">
        <v>901</v>
      </c>
      <c r="C276" s="1725" t="s">
        <v>985</v>
      </c>
      <c r="D276" s="1726">
        <v>16182.31</v>
      </c>
      <c r="E276" s="1727">
        <v>15626.89</v>
      </c>
      <c r="F276" s="1727">
        <v>14979.18</v>
      </c>
      <c r="G276" s="1727">
        <v>15729.98</v>
      </c>
      <c r="H276" s="1727">
        <v>17166.66</v>
      </c>
      <c r="I276" s="1727">
        <v>21262.35</v>
      </c>
      <c r="J276" s="1727">
        <v>15108.26</v>
      </c>
      <c r="K276" s="1727">
        <v>15971.97</v>
      </c>
      <c r="L276" s="1727">
        <v>16680.93</v>
      </c>
      <c r="M276" s="1727">
        <v>14675.87</v>
      </c>
      <c r="N276" s="1727">
        <v>17455.2</v>
      </c>
      <c r="O276" s="1728">
        <v>15072.58</v>
      </c>
      <c r="P276" s="1727">
        <v>5789.91</v>
      </c>
      <c r="Q276" s="1729">
        <v>5044.54</v>
      </c>
      <c r="R276" s="1727">
        <v>6262.57</v>
      </c>
      <c r="S276" s="1727">
        <v>6022.81</v>
      </c>
      <c r="T276" s="1729">
        <v>6516.87</v>
      </c>
      <c r="U276" s="1727">
        <v>8283.9599999999991</v>
      </c>
      <c r="V276" s="1729">
        <v>10329.57</v>
      </c>
      <c r="W276" s="1729">
        <v>10958.42</v>
      </c>
      <c r="X276" s="1729">
        <v>15550.01</v>
      </c>
      <c r="Y276" s="1729">
        <v>18693.64</v>
      </c>
      <c r="Z276" s="1729">
        <v>13395.42</v>
      </c>
      <c r="AA276" s="1730">
        <v>14938.08</v>
      </c>
      <c r="AB276" s="1727"/>
      <c r="AC276" s="1729"/>
      <c r="AD276" s="1727"/>
      <c r="AE276" s="1727"/>
      <c r="AF276" s="1729"/>
      <c r="AG276" s="1727"/>
      <c r="AH276" s="1729"/>
      <c r="AI276" s="1729"/>
      <c r="AJ276" s="1729"/>
      <c r="AK276" s="1729"/>
      <c r="AL276" s="1729"/>
      <c r="AM276" s="1730"/>
      <c r="AN276" s="1727"/>
      <c r="AO276" s="1729"/>
      <c r="AP276" s="1727"/>
      <c r="AQ276" s="1727"/>
      <c r="AR276" s="1729"/>
      <c r="AS276" s="1727"/>
      <c r="AT276" s="1729"/>
      <c r="AU276" s="1729"/>
      <c r="AV276" s="1729"/>
      <c r="AW276" s="1729"/>
      <c r="AX276" s="1729"/>
      <c r="AY276" s="1730"/>
      <c r="AZ276" s="1727"/>
      <c r="BA276" s="1729"/>
      <c r="BB276" s="1727"/>
      <c r="BC276" s="1727"/>
      <c r="BD276" s="1729"/>
      <c r="BE276" s="1727"/>
      <c r="BF276" s="1729"/>
      <c r="BG276" s="1729"/>
      <c r="BH276" s="1729"/>
      <c r="BI276" s="1729"/>
      <c r="BJ276" s="1729"/>
      <c r="BK276" s="1730"/>
      <c r="BL276" s="1727"/>
      <c r="BM276" s="1729"/>
      <c r="BN276" s="1727"/>
      <c r="BO276" s="1727"/>
      <c r="BP276" s="1729"/>
      <c r="BQ276" s="1727"/>
      <c r="BR276" s="1729"/>
      <c r="BS276" s="1729"/>
      <c r="BT276" s="1729"/>
      <c r="BU276" s="1729"/>
      <c r="BV276" s="1729"/>
      <c r="BW276" s="1730"/>
      <c r="BX276" s="1727"/>
      <c r="BY276" s="1729"/>
      <c r="BZ276" s="1727"/>
      <c r="CA276" s="1727"/>
      <c r="CB276" s="1729"/>
      <c r="CC276" s="1727"/>
      <c r="CD276" s="1729"/>
      <c r="CE276" s="1729"/>
      <c r="CF276" s="1729"/>
      <c r="CG276" s="1729"/>
      <c r="CH276" s="1729"/>
      <c r="CI276" s="1730"/>
      <c r="CJ276" s="1727"/>
      <c r="CK276" s="1729"/>
      <c r="CL276" s="1727"/>
      <c r="CM276" s="1727"/>
      <c r="CN276" s="1729"/>
      <c r="CO276" s="1727"/>
      <c r="CP276" s="1729"/>
      <c r="CQ276" s="1729"/>
      <c r="CR276" s="1729"/>
      <c r="CS276" s="1729"/>
      <c r="CT276" s="1729"/>
      <c r="CU276" s="1730"/>
      <c r="CV276" s="1727"/>
      <c r="CW276" s="1729"/>
      <c r="CX276" s="1727"/>
      <c r="CY276" s="1727"/>
      <c r="CZ276" s="1729"/>
      <c r="DA276" s="1727"/>
      <c r="DB276" s="1729"/>
      <c r="DC276" s="1729"/>
      <c r="DD276" s="1729"/>
      <c r="DE276" s="1729"/>
      <c r="DF276" s="1729"/>
      <c r="DG276" s="1730"/>
      <c r="DH276" s="1727"/>
      <c r="DI276" s="1729"/>
      <c r="DJ276" s="1727"/>
      <c r="DK276" s="1727"/>
      <c r="DL276" s="1729"/>
      <c r="DM276" s="1727"/>
      <c r="DN276" s="1729"/>
      <c r="DO276" s="1729"/>
      <c r="DP276" s="1729"/>
      <c r="DQ276" s="1729"/>
      <c r="DR276" s="1729"/>
      <c r="DS276" s="1730"/>
      <c r="DT276" s="1727">
        <v>4117.1400000000003</v>
      </c>
      <c r="DU276" s="1729">
        <v>4170.79</v>
      </c>
      <c r="DV276" s="1727">
        <v>3777.93</v>
      </c>
      <c r="DW276" s="1727">
        <v>3759.17</v>
      </c>
      <c r="DX276" s="1727">
        <v>3434.39</v>
      </c>
      <c r="DY276" s="1727">
        <v>4123.1499999999996</v>
      </c>
      <c r="DZ276" s="1729">
        <v>3093.25</v>
      </c>
      <c r="EA276" s="1729">
        <v>3583.15</v>
      </c>
      <c r="EB276" s="1729">
        <v>4038.71</v>
      </c>
      <c r="EC276" s="1729">
        <v>3322.29</v>
      </c>
      <c r="ED276" s="1729">
        <v>3457.01</v>
      </c>
      <c r="EE276" s="1730">
        <v>-150.04</v>
      </c>
      <c r="EF276" s="1727"/>
      <c r="EG276" s="1729"/>
      <c r="EH276" s="1727"/>
      <c r="EI276" s="1727"/>
      <c r="EJ276" s="1729"/>
      <c r="EK276" s="1727"/>
      <c r="EL276" s="1729"/>
      <c r="EM276" s="1729"/>
      <c r="EN276" s="1729"/>
      <c r="EO276" s="1729"/>
      <c r="EP276" s="1729"/>
      <c r="EQ276" s="1730"/>
      <c r="ER276" s="1727"/>
      <c r="ES276" s="1729"/>
      <c r="ET276" s="1727"/>
      <c r="EU276" s="1727"/>
      <c r="EV276" s="1729"/>
      <c r="EW276" s="1727"/>
      <c r="EX276" s="1729"/>
      <c r="EY276" s="1729"/>
      <c r="EZ276" s="1729"/>
      <c r="FA276" s="1729"/>
      <c r="FB276" s="1729"/>
      <c r="FC276" s="1730"/>
      <c r="FD276" s="1727"/>
      <c r="FE276" s="1729"/>
      <c r="FF276" s="1727"/>
      <c r="FG276" s="1727"/>
      <c r="FH276" s="1729"/>
      <c r="FI276" s="1727"/>
      <c r="FJ276" s="1729"/>
      <c r="FK276" s="1729"/>
      <c r="FL276" s="1729"/>
      <c r="FM276" s="1729"/>
      <c r="FN276" s="1729"/>
      <c r="FO276" s="1730"/>
      <c r="FP276" s="1727"/>
      <c r="FQ276" s="1729"/>
      <c r="FR276" s="1727"/>
      <c r="FS276" s="1727"/>
      <c r="FT276" s="1729"/>
      <c r="FU276" s="1727"/>
      <c r="FV276" s="1729"/>
      <c r="FW276" s="1729"/>
      <c r="FX276" s="1729"/>
      <c r="FY276" s="1729"/>
      <c r="FZ276" s="1729"/>
      <c r="GA276" s="1730"/>
      <c r="GB276" s="374"/>
      <c r="GC276" s="2216">
        <v>4117.1400000000003</v>
      </c>
      <c r="GD276" s="1729">
        <v>4170.79</v>
      </c>
      <c r="GE276" s="1727">
        <v>3777.93</v>
      </c>
      <c r="GF276" s="1727">
        <v>3759.17</v>
      </c>
      <c r="GG276" s="1727">
        <v>3434.39</v>
      </c>
      <c r="GH276" s="1727">
        <v>4123.1499999999996</v>
      </c>
      <c r="GI276" s="1729">
        <v>3093.25</v>
      </c>
      <c r="GJ276" s="1729">
        <v>3583.15</v>
      </c>
      <c r="GK276" s="1729">
        <v>4038.71</v>
      </c>
      <c r="GL276" s="1729">
        <v>3322.29</v>
      </c>
      <c r="GM276" s="1729">
        <v>3457.01</v>
      </c>
      <c r="GN276" s="1730">
        <v>-150.04</v>
      </c>
      <c r="GO276" s="1726">
        <v>4117.1400000000003</v>
      </c>
      <c r="GP276" s="1729">
        <v>4170.79</v>
      </c>
      <c r="GQ276" s="1727">
        <v>3777.93</v>
      </c>
      <c r="GR276" s="1727">
        <v>3759.17</v>
      </c>
      <c r="GS276" s="1727">
        <v>3434.39</v>
      </c>
      <c r="GT276" s="1727">
        <v>4123.1499999999996</v>
      </c>
      <c r="GU276" s="1729">
        <v>3093.25</v>
      </c>
      <c r="GV276" s="1729">
        <v>3583.15</v>
      </c>
      <c r="GW276" s="1729">
        <v>4038.71</v>
      </c>
      <c r="GX276" s="1729">
        <v>3322.29</v>
      </c>
      <c r="GY276" s="1729">
        <v>3457.01</v>
      </c>
      <c r="GZ276" s="1730">
        <v>-150.04</v>
      </c>
      <c r="HB276" s="1727"/>
      <c r="HC276" s="1729"/>
      <c r="HD276" s="1727"/>
      <c r="HE276" s="1727"/>
      <c r="HF276" s="1729"/>
      <c r="HG276" s="1727"/>
      <c r="HH276" s="1729"/>
      <c r="HI276" s="1729"/>
      <c r="HJ276" s="1729"/>
      <c r="HK276" s="1729"/>
      <c r="HL276" s="1729"/>
      <c r="HM276" s="1730"/>
    </row>
    <row r="277" spans="1:221">
      <c r="A277" s="109"/>
      <c r="B277" s="109"/>
      <c r="C277" s="109"/>
      <c r="D277" s="109"/>
      <c r="E277" s="109"/>
      <c r="F277" s="109"/>
      <c r="G277" s="109"/>
      <c r="H277" s="109"/>
      <c r="I277" s="109"/>
      <c r="J277" s="109"/>
      <c r="K277" s="109"/>
      <c r="L277" s="109"/>
      <c r="M277" s="109"/>
      <c r="N277" s="109"/>
      <c r="O277" s="109"/>
      <c r="P277" s="109"/>
      <c r="Q277" s="109"/>
      <c r="R277" s="109"/>
      <c r="S277" s="109"/>
      <c r="T277" s="109"/>
      <c r="U277" s="109"/>
      <c r="V277" s="109"/>
      <c r="W277" s="109"/>
      <c r="X277" s="109"/>
      <c r="Y277" s="109"/>
      <c r="Z277" s="109"/>
      <c r="AA277" s="109"/>
      <c r="AB277" s="109"/>
      <c r="AC277" s="109"/>
      <c r="AD277" s="109"/>
      <c r="AE277" s="109"/>
      <c r="AF277" s="109"/>
      <c r="AG277" s="109"/>
      <c r="AH277" s="109"/>
      <c r="AI277" s="109"/>
      <c r="AJ277" s="109"/>
      <c r="AK277" s="109"/>
      <c r="AL277" s="109"/>
      <c r="AM277" s="109"/>
      <c r="AN277" s="109"/>
      <c r="AO277" s="109"/>
      <c r="AP277" s="109"/>
      <c r="AQ277" s="109"/>
      <c r="AR277" s="109"/>
      <c r="AS277" s="109"/>
      <c r="AT277" s="109"/>
      <c r="AU277" s="109"/>
      <c r="AV277" s="109"/>
      <c r="AW277" s="109"/>
      <c r="AX277" s="109"/>
      <c r="AY277" s="109"/>
      <c r="AZ277" s="109"/>
      <c r="BA277" s="109"/>
      <c r="BB277" s="109"/>
      <c r="BC277" s="109"/>
      <c r="BD277" s="109"/>
      <c r="BE277" s="109"/>
      <c r="BF277" s="109"/>
      <c r="BG277" s="109"/>
      <c r="BH277" s="109"/>
      <c r="BI277" s="109"/>
      <c r="BJ277" s="109"/>
      <c r="BK277" s="109"/>
      <c r="BL277" s="109"/>
      <c r="BM277" s="109"/>
      <c r="BN277" s="109"/>
      <c r="BO277" s="109"/>
      <c r="BP277" s="109"/>
      <c r="BQ277" s="109"/>
      <c r="BR277" s="109"/>
      <c r="BS277" s="109"/>
      <c r="BT277" s="109"/>
      <c r="BU277" s="109"/>
      <c r="BV277" s="109"/>
      <c r="BW277" s="109"/>
      <c r="BX277" s="109"/>
      <c r="BY277" s="109"/>
      <c r="BZ277" s="109"/>
      <c r="CA277" s="109"/>
      <c r="CB277" s="109"/>
      <c r="CC277" s="109"/>
      <c r="CD277" s="109"/>
      <c r="CE277" s="109"/>
      <c r="CF277" s="109"/>
      <c r="CG277" s="109"/>
      <c r="CH277" s="109"/>
      <c r="CI277" s="109"/>
      <c r="CJ277" s="109"/>
      <c r="CK277" s="109"/>
      <c r="CL277" s="109"/>
      <c r="CM277" s="109"/>
      <c r="CN277" s="109"/>
      <c r="CO277" s="109"/>
      <c r="CP277" s="109"/>
      <c r="CQ277" s="109"/>
      <c r="CR277" s="109"/>
      <c r="CS277" s="109"/>
      <c r="CT277" s="109"/>
      <c r="CU277" s="109"/>
      <c r="CV277" s="109"/>
      <c r="CW277" s="109"/>
      <c r="CX277" s="109"/>
      <c r="CY277" s="109"/>
      <c r="CZ277" s="109"/>
      <c r="DA277" s="109"/>
      <c r="DB277" s="109"/>
      <c r="DC277" s="109"/>
      <c r="DD277" s="109"/>
      <c r="DE277" s="109"/>
      <c r="DF277" s="109"/>
      <c r="DG277" s="109"/>
      <c r="DH277" s="109"/>
      <c r="DI277" s="109"/>
      <c r="DJ277" s="109"/>
      <c r="DK277" s="109"/>
      <c r="DL277" s="109"/>
      <c r="DM277" s="109"/>
      <c r="DN277" s="109"/>
      <c r="DO277" s="109"/>
      <c r="DP277" s="109"/>
      <c r="DQ277" s="109"/>
      <c r="DR277" s="109"/>
      <c r="DS277" s="109"/>
      <c r="DT277" s="109"/>
      <c r="DU277" s="109"/>
      <c r="DV277" s="109"/>
      <c r="DW277" s="109"/>
      <c r="DX277" s="109"/>
      <c r="DY277" s="109"/>
      <c r="DZ277" s="109"/>
      <c r="EA277" s="109"/>
      <c r="EB277" s="109"/>
      <c r="EC277" s="109"/>
      <c r="ED277" s="109"/>
      <c r="EE277" s="109"/>
      <c r="EF277" s="109"/>
      <c r="EG277" s="109"/>
      <c r="EH277" s="109"/>
      <c r="EI277" s="109"/>
      <c r="EJ277" s="109"/>
      <c r="EK277" s="109"/>
      <c r="EL277" s="109"/>
      <c r="EM277" s="109"/>
      <c r="EN277" s="109"/>
      <c r="EO277" s="109"/>
      <c r="EP277" s="109"/>
      <c r="EQ277" s="109"/>
      <c r="ER277" s="109"/>
      <c r="ES277" s="109"/>
      <c r="ET277" s="109"/>
      <c r="EU277" s="109"/>
      <c r="EV277" s="109"/>
      <c r="EW277" s="109"/>
      <c r="EX277" s="109"/>
      <c r="EY277" s="109"/>
      <c r="EZ277" s="109"/>
      <c r="FA277" s="109"/>
      <c r="FB277" s="109"/>
      <c r="FC277" s="109"/>
      <c r="FD277" s="109"/>
      <c r="FE277" s="109"/>
      <c r="FF277" s="109"/>
      <c r="FG277" s="109"/>
      <c r="FH277" s="109"/>
      <c r="FI277" s="109"/>
      <c r="FJ277" s="109"/>
      <c r="FK277" s="109"/>
      <c r="FL277" s="109"/>
      <c r="FM277" s="109"/>
      <c r="FN277" s="109"/>
      <c r="FO277" s="109"/>
      <c r="FP277" s="109"/>
      <c r="FQ277" s="109"/>
      <c r="FR277" s="109"/>
      <c r="FS277" s="109"/>
      <c r="FT277" s="109"/>
      <c r="FU277" s="109"/>
      <c r="FV277" s="109"/>
      <c r="FW277" s="109"/>
      <c r="FX277" s="109"/>
      <c r="FY277" s="109"/>
      <c r="FZ277" s="109"/>
      <c r="GA277" s="109"/>
      <c r="GB277" s="109"/>
      <c r="GC277" s="109"/>
      <c r="GD277" s="109"/>
      <c r="GE277" s="109"/>
      <c r="GF277" s="109"/>
      <c r="GG277" s="109"/>
      <c r="GH277" s="109"/>
      <c r="GI277" s="109"/>
      <c r="GJ277" s="109"/>
      <c r="GK277" s="109"/>
      <c r="GL277" s="109"/>
      <c r="GM277" s="109"/>
      <c r="GN277" s="109"/>
      <c r="GO277" s="109"/>
      <c r="GP277" s="109"/>
      <c r="GQ277" s="109"/>
      <c r="GR277" s="109"/>
      <c r="GS277" s="109"/>
      <c r="GT277" s="109"/>
      <c r="GU277" s="109"/>
      <c r="GV277" s="109"/>
      <c r="GW277" s="109"/>
      <c r="GX277" s="109"/>
      <c r="GY277" s="109"/>
      <c r="GZ277" s="109"/>
    </row>
    <row r="278" spans="1:221">
      <c r="A278" s="1057" t="str">
        <f>"Include?"</f>
        <v>Include?</v>
      </c>
      <c r="D278" s="1056">
        <f>'1.1 Parents'!$J$17</f>
        <v>1</v>
      </c>
      <c r="E278" s="1056">
        <f>'1.1 Parents'!$J$17</f>
        <v>1</v>
      </c>
      <c r="F278" s="1056">
        <f>'1.1 Parents'!$J$17</f>
        <v>1</v>
      </c>
      <c r="G278" s="1056">
        <f>'1.1 Parents'!$J$17</f>
        <v>1</v>
      </c>
      <c r="H278" s="1056">
        <f>'1.1 Parents'!$J$17</f>
        <v>1</v>
      </c>
      <c r="I278" s="1056">
        <f>'1.1 Parents'!$J$17</f>
        <v>1</v>
      </c>
      <c r="J278" s="1056">
        <f>'1.1 Parents'!$J$17</f>
        <v>1</v>
      </c>
      <c r="K278" s="1056">
        <f>'1.1 Parents'!$J$17</f>
        <v>1</v>
      </c>
      <c r="L278" s="1056">
        <f>'1.1 Parents'!$J$17</f>
        <v>1</v>
      </c>
      <c r="M278" s="1056">
        <f>'1.1 Parents'!$J$17</f>
        <v>1</v>
      </c>
      <c r="N278" s="1056">
        <f>'1.1 Parents'!$J$17</f>
        <v>1</v>
      </c>
      <c r="O278" s="1056">
        <f>'1.1 Parents'!$J$17</f>
        <v>1</v>
      </c>
      <c r="P278" s="1056">
        <f>'1.1 Parents'!$J$18</f>
        <v>1</v>
      </c>
      <c r="Q278" s="1056">
        <f>'1.1 Parents'!$J$18</f>
        <v>1</v>
      </c>
      <c r="R278" s="1056">
        <f>'1.1 Parents'!$J$18</f>
        <v>1</v>
      </c>
      <c r="S278" s="1056">
        <f>'1.1 Parents'!$J$18</f>
        <v>1</v>
      </c>
      <c r="T278" s="1056">
        <f>'1.1 Parents'!$J$18</f>
        <v>1</v>
      </c>
      <c r="U278" s="1056">
        <f>'1.1 Parents'!$J$18</f>
        <v>1</v>
      </c>
      <c r="V278" s="1056">
        <f>'1.1 Parents'!$J$18</f>
        <v>1</v>
      </c>
      <c r="W278" s="1056">
        <f>'1.1 Parents'!$J$18</f>
        <v>1</v>
      </c>
      <c r="X278" s="1056">
        <f>'1.1 Parents'!$J$18</f>
        <v>1</v>
      </c>
      <c r="Y278" s="1056">
        <f>'1.1 Parents'!$J$18</f>
        <v>1</v>
      </c>
      <c r="Z278" s="1056">
        <f>'1.1 Parents'!$J$18</f>
        <v>1</v>
      </c>
      <c r="AA278" s="1056">
        <f>'1.1 Parents'!$J$18</f>
        <v>1</v>
      </c>
      <c r="AB278" s="1056">
        <f>'1.1 Parents'!$J$19</f>
        <v>0</v>
      </c>
      <c r="AC278" s="1056">
        <f>'1.1 Parents'!$J$19</f>
        <v>0</v>
      </c>
      <c r="AD278" s="1056">
        <f>'1.1 Parents'!$J$19</f>
        <v>0</v>
      </c>
      <c r="AE278" s="1056">
        <f>'1.1 Parents'!$J$19</f>
        <v>0</v>
      </c>
      <c r="AF278" s="1056">
        <f>'1.1 Parents'!$J$19</f>
        <v>0</v>
      </c>
      <c r="AG278" s="1056">
        <f>'1.1 Parents'!$J$19</f>
        <v>0</v>
      </c>
      <c r="AH278" s="1056">
        <f>'1.1 Parents'!$J$19</f>
        <v>0</v>
      </c>
      <c r="AI278" s="1056">
        <f>'1.1 Parents'!$J$19</f>
        <v>0</v>
      </c>
      <c r="AJ278" s="1056">
        <f>'1.1 Parents'!$J$19</f>
        <v>0</v>
      </c>
      <c r="AK278" s="1056">
        <f>'1.1 Parents'!$J$19</f>
        <v>0</v>
      </c>
      <c r="AL278" s="1056">
        <f>'1.1 Parents'!$J$19</f>
        <v>0</v>
      </c>
      <c r="AM278" s="1056">
        <f>'1.1 Parents'!$J$19</f>
        <v>0</v>
      </c>
      <c r="AN278" s="1056">
        <f>'1.1 Parents'!$J$20</f>
        <v>0</v>
      </c>
      <c r="AO278" s="1056">
        <f>'1.1 Parents'!$J$20</f>
        <v>0</v>
      </c>
      <c r="AP278" s="1056">
        <f>'1.1 Parents'!$J$20</f>
        <v>0</v>
      </c>
      <c r="AQ278" s="1056">
        <f>'1.1 Parents'!$J$20</f>
        <v>0</v>
      </c>
      <c r="AR278" s="1056">
        <f>'1.1 Parents'!$J$20</f>
        <v>0</v>
      </c>
      <c r="AS278" s="1056">
        <f>'1.1 Parents'!$J$20</f>
        <v>0</v>
      </c>
      <c r="AT278" s="1056">
        <f>'1.1 Parents'!$J$20</f>
        <v>0</v>
      </c>
      <c r="AU278" s="1056">
        <f>'1.1 Parents'!$J$20</f>
        <v>0</v>
      </c>
      <c r="AV278" s="1056">
        <f>'1.1 Parents'!$J$20</f>
        <v>0</v>
      </c>
      <c r="AW278" s="1056">
        <f>'1.1 Parents'!$J$20</f>
        <v>0</v>
      </c>
      <c r="AX278" s="1056">
        <f>'1.1 Parents'!$J$20</f>
        <v>0</v>
      </c>
      <c r="AY278" s="1056">
        <f>'1.1 Parents'!$J$20</f>
        <v>0</v>
      </c>
      <c r="AZ278" s="1056">
        <f>'1.1 Parents'!$J$21</f>
        <v>0</v>
      </c>
      <c r="BA278" s="1056">
        <f>'1.1 Parents'!$J$21</f>
        <v>0</v>
      </c>
      <c r="BB278" s="1056">
        <f>'1.1 Parents'!$J$21</f>
        <v>0</v>
      </c>
      <c r="BC278" s="1056">
        <f>'1.1 Parents'!$J$21</f>
        <v>0</v>
      </c>
      <c r="BD278" s="1056">
        <f>'1.1 Parents'!$J$21</f>
        <v>0</v>
      </c>
      <c r="BE278" s="1056">
        <f>'1.1 Parents'!$J$21</f>
        <v>0</v>
      </c>
      <c r="BF278" s="1056">
        <f>'1.1 Parents'!$J$21</f>
        <v>0</v>
      </c>
      <c r="BG278" s="1056">
        <f>'1.1 Parents'!$J$21</f>
        <v>0</v>
      </c>
      <c r="BH278" s="1056">
        <f>'1.1 Parents'!$J$21</f>
        <v>0</v>
      </c>
      <c r="BI278" s="1056">
        <f>'1.1 Parents'!$J$21</f>
        <v>0</v>
      </c>
      <c r="BJ278" s="1056">
        <f>'1.1 Parents'!$J$21</f>
        <v>0</v>
      </c>
      <c r="BK278" s="1056">
        <f>'1.1 Parents'!$J$21</f>
        <v>0</v>
      </c>
      <c r="BL278" s="1056">
        <f>'1.1 Parents'!$J$22</f>
        <v>0</v>
      </c>
      <c r="BM278" s="1056">
        <f>'1.1 Parents'!$J$22</f>
        <v>0</v>
      </c>
      <c r="BN278" s="1056">
        <f>'1.1 Parents'!$J$22</f>
        <v>0</v>
      </c>
      <c r="BO278" s="1056">
        <f>'1.1 Parents'!$J$22</f>
        <v>0</v>
      </c>
      <c r="BP278" s="1056">
        <f>'1.1 Parents'!$J$22</f>
        <v>0</v>
      </c>
      <c r="BQ278" s="1056">
        <f>'1.1 Parents'!$J$22</f>
        <v>0</v>
      </c>
      <c r="BR278" s="1056">
        <f>'1.1 Parents'!$J$22</f>
        <v>0</v>
      </c>
      <c r="BS278" s="1056">
        <f>'1.1 Parents'!$J$22</f>
        <v>0</v>
      </c>
      <c r="BT278" s="1056">
        <f>'1.1 Parents'!$J$22</f>
        <v>0</v>
      </c>
      <c r="BU278" s="1056">
        <f>'1.1 Parents'!$J$22</f>
        <v>0</v>
      </c>
      <c r="BV278" s="1056">
        <f>'1.1 Parents'!$J$22</f>
        <v>0</v>
      </c>
      <c r="BW278" s="1056">
        <f>'1.1 Parents'!$J$22</f>
        <v>0</v>
      </c>
      <c r="BX278" s="1056">
        <f>'1.1 Parents'!$J$23</f>
        <v>0</v>
      </c>
      <c r="BY278" s="1056">
        <f>'1.1 Parents'!$J$23</f>
        <v>0</v>
      </c>
      <c r="BZ278" s="1056">
        <f>'1.1 Parents'!$J$23</f>
        <v>0</v>
      </c>
      <c r="CA278" s="1056">
        <f>'1.1 Parents'!$J$23</f>
        <v>0</v>
      </c>
      <c r="CB278" s="1056">
        <f>'1.1 Parents'!$J$23</f>
        <v>0</v>
      </c>
      <c r="CC278" s="1056">
        <f>'1.1 Parents'!$J$23</f>
        <v>0</v>
      </c>
      <c r="CD278" s="1056">
        <f>'1.1 Parents'!$J$23</f>
        <v>0</v>
      </c>
      <c r="CE278" s="1056">
        <f>'1.1 Parents'!$J$23</f>
        <v>0</v>
      </c>
      <c r="CF278" s="1056">
        <f>'1.1 Parents'!$J$23</f>
        <v>0</v>
      </c>
      <c r="CG278" s="1056">
        <f>'1.1 Parents'!$J$23</f>
        <v>0</v>
      </c>
      <c r="CH278" s="1056">
        <f>'1.1 Parents'!$J$23</f>
        <v>0</v>
      </c>
      <c r="CI278" s="1056">
        <f>'1.1 Parents'!$J$23</f>
        <v>0</v>
      </c>
      <c r="CJ278" s="1056">
        <f>'1.1 Parents'!$J$24</f>
        <v>0</v>
      </c>
      <c r="CK278" s="1056">
        <f>'1.1 Parents'!$J$24</f>
        <v>0</v>
      </c>
      <c r="CL278" s="1056">
        <f>'1.1 Parents'!$J$24</f>
        <v>0</v>
      </c>
      <c r="CM278" s="1056">
        <f>'1.1 Parents'!$J$24</f>
        <v>0</v>
      </c>
      <c r="CN278" s="1056">
        <f>'1.1 Parents'!$J$24</f>
        <v>0</v>
      </c>
      <c r="CO278" s="1056">
        <f>'1.1 Parents'!$J$24</f>
        <v>0</v>
      </c>
      <c r="CP278" s="1056">
        <f>'1.1 Parents'!$J$24</f>
        <v>0</v>
      </c>
      <c r="CQ278" s="1056">
        <f>'1.1 Parents'!$J$24</f>
        <v>0</v>
      </c>
      <c r="CR278" s="1056">
        <f>'1.1 Parents'!$J$24</f>
        <v>0</v>
      </c>
      <c r="CS278" s="1056">
        <f>'1.1 Parents'!$J$24</f>
        <v>0</v>
      </c>
      <c r="CT278" s="1056">
        <f>'1.1 Parents'!$J$24</f>
        <v>0</v>
      </c>
      <c r="CU278" s="1056">
        <f>'1.1 Parents'!$J$24</f>
        <v>0</v>
      </c>
      <c r="CV278" s="1056">
        <f>'1.1 Parents'!$J$25</f>
        <v>0</v>
      </c>
      <c r="CW278" s="1056">
        <f>'1.1 Parents'!$J$25</f>
        <v>0</v>
      </c>
      <c r="CX278" s="1056">
        <f>'1.1 Parents'!$J$25</f>
        <v>0</v>
      </c>
      <c r="CY278" s="1056">
        <f>'1.1 Parents'!$J$25</f>
        <v>0</v>
      </c>
      <c r="CZ278" s="1056">
        <f>'1.1 Parents'!$J$25</f>
        <v>0</v>
      </c>
      <c r="DA278" s="1056">
        <f>'1.1 Parents'!$J$25</f>
        <v>0</v>
      </c>
      <c r="DB278" s="1056">
        <f>'1.1 Parents'!$J$25</f>
        <v>0</v>
      </c>
      <c r="DC278" s="1056">
        <f>'1.1 Parents'!$J$25</f>
        <v>0</v>
      </c>
      <c r="DD278" s="1056">
        <f>'1.1 Parents'!$J$25</f>
        <v>0</v>
      </c>
      <c r="DE278" s="1056">
        <f>'1.1 Parents'!$J$25</f>
        <v>0</v>
      </c>
      <c r="DF278" s="1056">
        <f>'1.1 Parents'!$J$25</f>
        <v>0</v>
      </c>
      <c r="DG278" s="1056">
        <f>'1.1 Parents'!$J$25</f>
        <v>0</v>
      </c>
      <c r="DH278" s="1056">
        <f>'1.1 Parents'!$J$26</f>
        <v>0</v>
      </c>
      <c r="DI278" s="1056">
        <f>'1.1 Parents'!$J$26</f>
        <v>0</v>
      </c>
      <c r="DJ278" s="1056">
        <f>'1.1 Parents'!$J$26</f>
        <v>0</v>
      </c>
      <c r="DK278" s="1056">
        <f>'1.1 Parents'!$J$26</f>
        <v>0</v>
      </c>
      <c r="DL278" s="1056">
        <f>'1.1 Parents'!$J$26</f>
        <v>0</v>
      </c>
      <c r="DM278" s="1056">
        <f>'1.1 Parents'!$J$26</f>
        <v>0</v>
      </c>
      <c r="DN278" s="1056">
        <f>'1.1 Parents'!$J$26</f>
        <v>0</v>
      </c>
      <c r="DO278" s="1056">
        <f>'1.1 Parents'!$J$26</f>
        <v>0</v>
      </c>
      <c r="DP278" s="1056">
        <f>'1.1 Parents'!$J$26</f>
        <v>0</v>
      </c>
      <c r="DQ278" s="1056">
        <f>'1.1 Parents'!$J$26</f>
        <v>0</v>
      </c>
      <c r="DR278" s="1056">
        <f>'1.1 Parents'!$J$26</f>
        <v>0</v>
      </c>
      <c r="DS278" s="1056">
        <f>'1.1 Parents'!$J$26</f>
        <v>0</v>
      </c>
      <c r="DT278" s="1056">
        <f>'1.1 Parents'!$J$30</f>
        <v>1</v>
      </c>
      <c r="DU278" s="1056">
        <f>'1.1 Parents'!$J$30</f>
        <v>1</v>
      </c>
      <c r="DV278" s="1056">
        <f>'1.1 Parents'!$J$30</f>
        <v>1</v>
      </c>
      <c r="DW278" s="1056">
        <f>'1.1 Parents'!$J$30</f>
        <v>1</v>
      </c>
      <c r="DX278" s="1056">
        <f>'1.1 Parents'!$J$30</f>
        <v>1</v>
      </c>
      <c r="DY278" s="1056">
        <f>'1.1 Parents'!$J$30</f>
        <v>1</v>
      </c>
      <c r="DZ278" s="1056">
        <f>'1.1 Parents'!$J$30</f>
        <v>1</v>
      </c>
      <c r="EA278" s="1056">
        <f>'1.1 Parents'!$J$30</f>
        <v>1</v>
      </c>
      <c r="EB278" s="1056">
        <f>'1.1 Parents'!$J$30</f>
        <v>1</v>
      </c>
      <c r="EC278" s="1056">
        <f>'1.1 Parents'!$J$30</f>
        <v>1</v>
      </c>
      <c r="ED278" s="1056">
        <f>'1.1 Parents'!$J$30</f>
        <v>1</v>
      </c>
      <c r="EE278" s="1056">
        <f>'1.1 Parents'!$J$30</f>
        <v>1</v>
      </c>
      <c r="EF278" s="1056">
        <f>'1.1 Parents'!$J$31</f>
        <v>0</v>
      </c>
      <c r="EG278" s="1056">
        <f>'1.1 Parents'!$J$31</f>
        <v>0</v>
      </c>
      <c r="EH278" s="1056">
        <f>'1.1 Parents'!$J$31</f>
        <v>0</v>
      </c>
      <c r="EI278" s="1056">
        <f>'1.1 Parents'!$J$31</f>
        <v>0</v>
      </c>
      <c r="EJ278" s="1056">
        <f>'1.1 Parents'!$J$31</f>
        <v>0</v>
      </c>
      <c r="EK278" s="1056">
        <f>'1.1 Parents'!$J$31</f>
        <v>0</v>
      </c>
      <c r="EL278" s="1056">
        <f>'1.1 Parents'!$J$31</f>
        <v>0</v>
      </c>
      <c r="EM278" s="1056">
        <f>'1.1 Parents'!$J$31</f>
        <v>0</v>
      </c>
      <c r="EN278" s="1056">
        <f>'1.1 Parents'!$J$31</f>
        <v>0</v>
      </c>
      <c r="EO278" s="1056">
        <f>'1.1 Parents'!$J$31</f>
        <v>0</v>
      </c>
      <c r="EP278" s="1056">
        <f>'1.1 Parents'!$J$31</f>
        <v>0</v>
      </c>
      <c r="EQ278" s="1056">
        <f>'1.1 Parents'!$J$31</f>
        <v>0</v>
      </c>
      <c r="ER278" s="1056">
        <f>'1.1 Parents'!$J$32</f>
        <v>0</v>
      </c>
      <c r="ES278" s="1056">
        <f>'1.1 Parents'!$J$32</f>
        <v>0</v>
      </c>
      <c r="ET278" s="1056">
        <f>'1.1 Parents'!$J$32</f>
        <v>0</v>
      </c>
      <c r="EU278" s="1056">
        <f>'1.1 Parents'!$J$32</f>
        <v>0</v>
      </c>
      <c r="EV278" s="1056">
        <f>'1.1 Parents'!$J$32</f>
        <v>0</v>
      </c>
      <c r="EW278" s="1056">
        <f>'1.1 Parents'!$J$32</f>
        <v>0</v>
      </c>
      <c r="EX278" s="1056">
        <f>'1.1 Parents'!$J$32</f>
        <v>0</v>
      </c>
      <c r="EY278" s="1056">
        <f>'1.1 Parents'!$J$32</f>
        <v>0</v>
      </c>
      <c r="EZ278" s="1056">
        <f>'1.1 Parents'!$J$32</f>
        <v>0</v>
      </c>
      <c r="FA278" s="1056">
        <f>'1.1 Parents'!$J$32</f>
        <v>0</v>
      </c>
      <c r="FB278" s="1056">
        <f>'1.1 Parents'!$J$32</f>
        <v>0</v>
      </c>
      <c r="FC278" s="1056">
        <f>'1.1 Parents'!$J$32</f>
        <v>0</v>
      </c>
      <c r="FD278" s="1056">
        <f>'1.1 Parents'!$J$33</f>
        <v>0</v>
      </c>
      <c r="FE278" s="1056">
        <f>'1.1 Parents'!$J$33</f>
        <v>0</v>
      </c>
      <c r="FF278" s="1056">
        <f>'1.1 Parents'!$J$33</f>
        <v>0</v>
      </c>
      <c r="FG278" s="1056">
        <f>'1.1 Parents'!$J$33</f>
        <v>0</v>
      </c>
      <c r="FH278" s="1056">
        <f>'1.1 Parents'!$J$33</f>
        <v>0</v>
      </c>
      <c r="FI278" s="1056">
        <f>'1.1 Parents'!$J$33</f>
        <v>0</v>
      </c>
      <c r="FJ278" s="1056">
        <f>'1.1 Parents'!$J$33</f>
        <v>0</v>
      </c>
      <c r="FK278" s="1056">
        <f>'1.1 Parents'!$J$33</f>
        <v>0</v>
      </c>
      <c r="FL278" s="1056">
        <f>'1.1 Parents'!$J$33</f>
        <v>0</v>
      </c>
      <c r="FM278" s="1056">
        <f>'1.1 Parents'!$J$33</f>
        <v>0</v>
      </c>
      <c r="FN278" s="1056">
        <f>'1.1 Parents'!$J$33</f>
        <v>0</v>
      </c>
      <c r="FO278" s="1056">
        <f>'1.1 Parents'!$J$33</f>
        <v>0</v>
      </c>
      <c r="FP278" s="1056">
        <f>'1.1 Parents'!$J$34</f>
        <v>0</v>
      </c>
      <c r="FQ278" s="1056">
        <f>'1.1 Parents'!$J$34</f>
        <v>0</v>
      </c>
      <c r="FR278" s="1056">
        <f>'1.1 Parents'!$J$34</f>
        <v>0</v>
      </c>
      <c r="FS278" s="1056">
        <f>'1.1 Parents'!$J$34</f>
        <v>0</v>
      </c>
      <c r="FT278" s="1056">
        <f>'1.1 Parents'!$J$34</f>
        <v>0</v>
      </c>
      <c r="FU278" s="1056">
        <f>'1.1 Parents'!$J$34</f>
        <v>0</v>
      </c>
      <c r="FV278" s="1056">
        <f>'1.1 Parents'!$J$34</f>
        <v>0</v>
      </c>
      <c r="FW278" s="1056">
        <f>'1.1 Parents'!$J$34</f>
        <v>0</v>
      </c>
      <c r="FX278" s="1056">
        <f>'1.1 Parents'!$J$34</f>
        <v>0</v>
      </c>
      <c r="FY278" s="1056">
        <f>'1.1 Parents'!$J$34</f>
        <v>0</v>
      </c>
      <c r="FZ278" s="1056">
        <f>'1.1 Parents'!$J$34</f>
        <v>0</v>
      </c>
      <c r="GA278" s="1056">
        <f>'1.1 Parents'!$J$34</f>
        <v>0</v>
      </c>
    </row>
    <row r="280" spans="1:221">
      <c r="A280" s="326" t="s">
        <v>1577</v>
      </c>
      <c r="B280" s="1509" t="s">
        <v>1657</v>
      </c>
      <c r="C280" s="1509" t="s">
        <v>4237</v>
      </c>
      <c r="D280" s="1036">
        <v>555</v>
      </c>
      <c r="E280" s="387">
        <v>547</v>
      </c>
      <c r="F280" s="387">
        <v>499</v>
      </c>
      <c r="G280" s="387">
        <v>571</v>
      </c>
      <c r="H280" s="387">
        <v>590</v>
      </c>
      <c r="I280" s="387">
        <v>602</v>
      </c>
      <c r="J280" s="387">
        <v>546</v>
      </c>
      <c r="K280" s="387">
        <v>559</v>
      </c>
      <c r="L280" s="387">
        <v>528</v>
      </c>
      <c r="M280" s="387">
        <v>479</v>
      </c>
      <c r="N280" s="387">
        <v>544</v>
      </c>
      <c r="O280" s="988">
        <v>487</v>
      </c>
      <c r="P280" s="387" t="s">
        <v>2154</v>
      </c>
      <c r="Q280" s="387" t="s">
        <v>2154</v>
      </c>
      <c r="R280" s="387" t="s">
        <v>2154</v>
      </c>
      <c r="S280" s="387" t="s">
        <v>2154</v>
      </c>
      <c r="T280" s="387" t="s">
        <v>2154</v>
      </c>
      <c r="U280" s="387" t="s">
        <v>2154</v>
      </c>
      <c r="V280" s="387" t="s">
        <v>2154</v>
      </c>
      <c r="W280" s="387" t="s">
        <v>2154</v>
      </c>
      <c r="X280" s="387" t="s">
        <v>2154</v>
      </c>
      <c r="Y280" s="387" t="s">
        <v>2154</v>
      </c>
      <c r="Z280" s="387" t="s">
        <v>2154</v>
      </c>
      <c r="AA280" s="988" t="s">
        <v>2154</v>
      </c>
      <c r="AB280" s="386"/>
      <c r="AC280" s="386"/>
      <c r="AD280" s="386"/>
      <c r="AE280" s="386"/>
      <c r="AF280" s="386"/>
      <c r="AG280" s="386"/>
      <c r="AH280" s="386"/>
      <c r="AI280" s="386"/>
      <c r="AJ280" s="386"/>
      <c r="AK280" s="386"/>
      <c r="AL280" s="386"/>
      <c r="AM280" s="987"/>
      <c r="AN280" s="386"/>
      <c r="AO280" s="386"/>
      <c r="AP280" s="386"/>
      <c r="AQ280" s="386"/>
      <c r="AR280" s="386"/>
      <c r="AS280" s="386"/>
      <c r="AT280" s="386"/>
      <c r="AU280" s="386"/>
      <c r="AV280" s="386"/>
      <c r="AW280" s="386"/>
      <c r="AX280" s="386"/>
      <c r="AY280" s="987"/>
      <c r="AZ280" s="386"/>
      <c r="BA280" s="386"/>
      <c r="BB280" s="386"/>
      <c r="BC280" s="386"/>
      <c r="BD280" s="386"/>
      <c r="BE280" s="386"/>
      <c r="BF280" s="386"/>
      <c r="BG280" s="386"/>
      <c r="BH280" s="386"/>
      <c r="BI280" s="386"/>
      <c r="BJ280" s="386"/>
      <c r="BK280" s="987"/>
      <c r="BL280" s="386"/>
      <c r="BM280" s="386"/>
      <c r="BN280" s="386"/>
      <c r="BO280" s="386"/>
      <c r="BP280" s="386"/>
      <c r="BQ280" s="386"/>
      <c r="BR280" s="386"/>
      <c r="BS280" s="386"/>
      <c r="BT280" s="386"/>
      <c r="BU280" s="386"/>
      <c r="BV280" s="386"/>
      <c r="BW280" s="987"/>
      <c r="BX280" s="386"/>
      <c r="BY280" s="386"/>
      <c r="BZ280" s="386"/>
      <c r="CA280" s="386"/>
      <c r="CB280" s="386"/>
      <c r="CC280" s="386"/>
      <c r="CD280" s="386"/>
      <c r="CE280" s="386"/>
      <c r="CF280" s="386"/>
      <c r="CG280" s="386"/>
      <c r="CH280" s="386"/>
      <c r="CI280" s="987"/>
      <c r="CJ280" s="386"/>
      <c r="CK280" s="386"/>
      <c r="CL280" s="386"/>
      <c r="CM280" s="386"/>
      <c r="CN280" s="386"/>
      <c r="CO280" s="386"/>
      <c r="CP280" s="386"/>
      <c r="CQ280" s="386"/>
      <c r="CR280" s="386"/>
      <c r="CS280" s="386"/>
      <c r="CT280" s="386"/>
      <c r="CU280" s="987"/>
      <c r="CV280" s="386"/>
      <c r="CW280" s="386"/>
      <c r="CX280" s="386"/>
      <c r="CY280" s="386"/>
      <c r="CZ280" s="386"/>
      <c r="DA280" s="386"/>
      <c r="DB280" s="386"/>
      <c r="DC280" s="386"/>
      <c r="DD280" s="386"/>
      <c r="DE280" s="386"/>
      <c r="DF280" s="386"/>
      <c r="DG280" s="987"/>
      <c r="DH280" s="386"/>
      <c r="DI280" s="386"/>
      <c r="DJ280" s="386"/>
      <c r="DK280" s="386"/>
      <c r="DL280" s="386"/>
      <c r="DM280" s="386"/>
      <c r="DN280" s="386"/>
      <c r="DO280" s="386"/>
      <c r="DP280" s="386"/>
      <c r="DQ280" s="386"/>
      <c r="DR280" s="386"/>
      <c r="DS280" s="987"/>
      <c r="DT280" s="387" t="s">
        <v>2154</v>
      </c>
      <c r="DU280" s="387" t="s">
        <v>2154</v>
      </c>
      <c r="DV280" s="387" t="s">
        <v>2154</v>
      </c>
      <c r="DW280" s="387" t="s">
        <v>2154</v>
      </c>
      <c r="DX280" s="387" t="s">
        <v>2154</v>
      </c>
      <c r="DY280" s="387" t="s">
        <v>2154</v>
      </c>
      <c r="DZ280" s="387" t="s">
        <v>2154</v>
      </c>
      <c r="EA280" s="387" t="s">
        <v>2154</v>
      </c>
      <c r="EB280" s="387" t="s">
        <v>2154</v>
      </c>
      <c r="EC280" s="387" t="s">
        <v>2154</v>
      </c>
      <c r="ED280" s="387" t="s">
        <v>2154</v>
      </c>
      <c r="EE280" s="988" t="s">
        <v>2154</v>
      </c>
      <c r="EF280" s="386"/>
      <c r="EG280" s="386"/>
      <c r="EH280" s="386"/>
      <c r="EI280" s="386"/>
      <c r="EJ280" s="386"/>
      <c r="EK280" s="386"/>
      <c r="EL280" s="386"/>
      <c r="EM280" s="386"/>
      <c r="EN280" s="386"/>
      <c r="EO280" s="386"/>
      <c r="EP280" s="386"/>
      <c r="EQ280" s="987"/>
      <c r="ER280" s="386"/>
      <c r="ES280" s="386"/>
      <c r="ET280" s="386"/>
      <c r="EU280" s="386"/>
      <c r="EV280" s="386"/>
      <c r="EW280" s="386"/>
      <c r="EX280" s="386"/>
      <c r="EY280" s="386"/>
      <c r="EZ280" s="386"/>
      <c r="FA280" s="386"/>
      <c r="FB280" s="386"/>
      <c r="FC280" s="987"/>
      <c r="FD280" s="386"/>
      <c r="FE280" s="386"/>
      <c r="FF280" s="386"/>
      <c r="FG280" s="386"/>
      <c r="FH280" s="386"/>
      <c r="FI280" s="386"/>
      <c r="FJ280" s="386"/>
      <c r="FK280" s="386"/>
      <c r="FL280" s="386"/>
      <c r="FM280" s="386"/>
      <c r="FN280" s="386"/>
      <c r="FO280" s="987"/>
      <c r="FP280" s="386"/>
      <c r="FQ280" s="386"/>
      <c r="FR280" s="386"/>
      <c r="FS280" s="386"/>
      <c r="FT280" s="386"/>
      <c r="FU280" s="386"/>
      <c r="FV280" s="386"/>
      <c r="FW280" s="386"/>
      <c r="FX280" s="386"/>
      <c r="FY280" s="386"/>
      <c r="FZ280" s="386"/>
      <c r="GA280" s="987"/>
      <c r="GB280" s="109"/>
      <c r="GC280" s="1036">
        <f t="shared" ref="GC280:GN283" si="172">SUMPRODUCT(--($D$6:$GA$6=GC$6),$D280:$GA280,$D$278:$GA$278)</f>
        <v>555</v>
      </c>
      <c r="GD280" s="387">
        <f t="shared" si="172"/>
        <v>547</v>
      </c>
      <c r="GE280" s="387">
        <f t="shared" si="172"/>
        <v>499</v>
      </c>
      <c r="GF280" s="387">
        <f t="shared" si="172"/>
        <v>571</v>
      </c>
      <c r="GG280" s="387">
        <f t="shared" si="172"/>
        <v>590</v>
      </c>
      <c r="GH280" s="387">
        <f t="shared" si="172"/>
        <v>602</v>
      </c>
      <c r="GI280" s="387">
        <f t="shared" si="172"/>
        <v>546</v>
      </c>
      <c r="GJ280" s="387">
        <f t="shared" si="172"/>
        <v>559</v>
      </c>
      <c r="GK280" s="387">
        <f t="shared" si="172"/>
        <v>528</v>
      </c>
      <c r="GL280" s="387">
        <f t="shared" si="172"/>
        <v>479</v>
      </c>
      <c r="GM280" s="387">
        <f t="shared" si="172"/>
        <v>544</v>
      </c>
      <c r="GN280" s="988">
        <f t="shared" si="172"/>
        <v>487</v>
      </c>
      <c r="GO280" s="1036">
        <f t="shared" ref="GO280:GZ283" si="173">SUMPRODUCT(--($DT$6:$GA$6=GO$6),$DT280:$GA280,$DT$278:$GA$278)</f>
        <v>0</v>
      </c>
      <c r="GP280" s="387">
        <f t="shared" si="173"/>
        <v>0</v>
      </c>
      <c r="GQ280" s="387">
        <f t="shared" si="173"/>
        <v>0</v>
      </c>
      <c r="GR280" s="387">
        <f t="shared" si="173"/>
        <v>0</v>
      </c>
      <c r="GS280" s="387">
        <f t="shared" si="173"/>
        <v>0</v>
      </c>
      <c r="GT280" s="387">
        <f t="shared" si="173"/>
        <v>0</v>
      </c>
      <c r="GU280" s="387">
        <f t="shared" si="173"/>
        <v>0</v>
      </c>
      <c r="GV280" s="387">
        <f t="shared" si="173"/>
        <v>0</v>
      </c>
      <c r="GW280" s="387">
        <f t="shared" si="173"/>
        <v>0</v>
      </c>
      <c r="GX280" s="387">
        <f t="shared" si="173"/>
        <v>0</v>
      </c>
      <c r="GY280" s="387">
        <f t="shared" si="173"/>
        <v>0</v>
      </c>
      <c r="GZ280" s="988">
        <f t="shared" si="173"/>
        <v>0</v>
      </c>
      <c r="HB280" s="386"/>
      <c r="HC280" s="386"/>
      <c r="HD280" s="386"/>
      <c r="HE280" s="386"/>
      <c r="HF280" s="386"/>
      <c r="HG280" s="386"/>
      <c r="HH280" s="386"/>
      <c r="HI280" s="386"/>
      <c r="HJ280" s="386"/>
      <c r="HK280" s="386"/>
      <c r="HL280" s="386"/>
      <c r="HM280" s="987"/>
    </row>
    <row r="281" spans="1:221">
      <c r="A281" s="326" t="s">
        <v>1577</v>
      </c>
      <c r="B281" s="1509" t="s">
        <v>1657</v>
      </c>
      <c r="C281" s="1509" t="s">
        <v>4238</v>
      </c>
      <c r="D281" s="1056">
        <v>137227.47</v>
      </c>
      <c r="E281" s="1056">
        <v>141972.16</v>
      </c>
      <c r="F281" s="1056">
        <v>130308.31000000001</v>
      </c>
      <c r="G281" s="1056">
        <v>146887.47999999998</v>
      </c>
      <c r="H281" s="1056">
        <v>149241.35</v>
      </c>
      <c r="I281" s="1056">
        <v>152850.84</v>
      </c>
      <c r="J281" s="1056">
        <v>137289.84</v>
      </c>
      <c r="K281" s="1056">
        <v>141271.97</v>
      </c>
      <c r="L281" s="1056">
        <v>131545.63999999998</v>
      </c>
      <c r="M281" s="1056">
        <v>125190.84999999999</v>
      </c>
      <c r="N281" s="1056">
        <v>142765.53</v>
      </c>
      <c r="O281" s="1056">
        <v>126916.44</v>
      </c>
      <c r="P281" s="1057" t="s">
        <v>2154</v>
      </c>
      <c r="Q281" s="1057" t="s">
        <v>2154</v>
      </c>
      <c r="R281" s="1057" t="s">
        <v>2154</v>
      </c>
      <c r="S281" s="1057" t="s">
        <v>2154</v>
      </c>
      <c r="T281" s="1057" t="s">
        <v>2154</v>
      </c>
      <c r="U281" s="1057" t="s">
        <v>2154</v>
      </c>
      <c r="V281" s="1057" t="s">
        <v>2154</v>
      </c>
      <c r="W281" s="1057" t="s">
        <v>2154</v>
      </c>
      <c r="X281" s="1057" t="s">
        <v>2154</v>
      </c>
      <c r="Y281" s="1057" t="s">
        <v>2154</v>
      </c>
      <c r="Z281" s="1057" t="s">
        <v>2154</v>
      </c>
      <c r="AA281" s="1057" t="s">
        <v>2154</v>
      </c>
      <c r="DT281" s="1057" t="s">
        <v>2154</v>
      </c>
      <c r="DU281" s="1057" t="s">
        <v>2154</v>
      </c>
      <c r="DV281" s="1057" t="s">
        <v>2154</v>
      </c>
      <c r="DW281" s="1057" t="s">
        <v>2154</v>
      </c>
      <c r="DX281" s="1057" t="s">
        <v>2154</v>
      </c>
      <c r="DY281" s="1057" t="s">
        <v>2154</v>
      </c>
      <c r="DZ281" s="1057" t="s">
        <v>2154</v>
      </c>
      <c r="EA281" s="1057" t="s">
        <v>2154</v>
      </c>
      <c r="EB281" s="1057" t="s">
        <v>2154</v>
      </c>
      <c r="EC281" s="1057" t="s">
        <v>2154</v>
      </c>
      <c r="ED281" s="1057" t="s">
        <v>2154</v>
      </c>
      <c r="EE281" s="1057" t="s">
        <v>2154</v>
      </c>
      <c r="GC281" s="1036">
        <f t="shared" si="172"/>
        <v>137227.47</v>
      </c>
      <c r="GD281" s="387">
        <f t="shared" si="172"/>
        <v>141972.16</v>
      </c>
      <c r="GE281" s="387">
        <f t="shared" si="172"/>
        <v>130308.31000000001</v>
      </c>
      <c r="GF281" s="387">
        <f t="shared" si="172"/>
        <v>146887.47999999998</v>
      </c>
      <c r="GG281" s="387">
        <f t="shared" si="172"/>
        <v>149241.35</v>
      </c>
      <c r="GH281" s="387">
        <f t="shared" si="172"/>
        <v>152850.84</v>
      </c>
      <c r="GI281" s="387">
        <f t="shared" si="172"/>
        <v>137289.84</v>
      </c>
      <c r="GJ281" s="387">
        <f t="shared" si="172"/>
        <v>141271.97</v>
      </c>
      <c r="GK281" s="387">
        <f t="shared" si="172"/>
        <v>131545.63999999998</v>
      </c>
      <c r="GL281" s="387">
        <f t="shared" si="172"/>
        <v>125190.84999999999</v>
      </c>
      <c r="GM281" s="387">
        <f t="shared" si="172"/>
        <v>142765.53</v>
      </c>
      <c r="GN281" s="988">
        <f t="shared" si="172"/>
        <v>126916.44</v>
      </c>
      <c r="GO281" s="1036">
        <f t="shared" si="173"/>
        <v>0</v>
      </c>
      <c r="GP281" s="387">
        <f t="shared" si="173"/>
        <v>0</v>
      </c>
      <c r="GQ281" s="387">
        <f t="shared" si="173"/>
        <v>0</v>
      </c>
      <c r="GR281" s="387">
        <f t="shared" si="173"/>
        <v>0</v>
      </c>
      <c r="GS281" s="387">
        <f t="shared" si="173"/>
        <v>0</v>
      </c>
      <c r="GT281" s="387">
        <f t="shared" si="173"/>
        <v>0</v>
      </c>
      <c r="GU281" s="387">
        <f t="shared" si="173"/>
        <v>0</v>
      </c>
      <c r="GV281" s="387">
        <f t="shared" si="173"/>
        <v>0</v>
      </c>
      <c r="GW281" s="387">
        <f t="shared" si="173"/>
        <v>0</v>
      </c>
      <c r="GX281" s="387">
        <f t="shared" si="173"/>
        <v>0</v>
      </c>
      <c r="GY281" s="387">
        <f t="shared" si="173"/>
        <v>0</v>
      </c>
      <c r="GZ281" s="988">
        <f t="shared" si="173"/>
        <v>0</v>
      </c>
    </row>
    <row r="282" spans="1:221">
      <c r="A282" s="326" t="s">
        <v>1577</v>
      </c>
      <c r="B282" s="1509" t="s">
        <v>1578</v>
      </c>
      <c r="C282" s="1509" t="s">
        <v>4237</v>
      </c>
      <c r="D282" s="1056">
        <v>653</v>
      </c>
      <c r="E282" s="1056">
        <v>633</v>
      </c>
      <c r="F282" s="1056">
        <v>584</v>
      </c>
      <c r="G282" s="1056">
        <v>643</v>
      </c>
      <c r="H282" s="1056">
        <v>671</v>
      </c>
      <c r="I282" s="1056">
        <v>678</v>
      </c>
      <c r="J282" s="1056">
        <v>601</v>
      </c>
      <c r="K282" s="1056">
        <v>624</v>
      </c>
      <c r="L282" s="1056">
        <v>604</v>
      </c>
      <c r="M282" s="1056">
        <v>559</v>
      </c>
      <c r="N282" s="1056">
        <v>622</v>
      </c>
      <c r="O282" s="1056">
        <v>562</v>
      </c>
      <c r="P282" s="1057" t="s">
        <v>2154</v>
      </c>
      <c r="Q282" s="1057" t="s">
        <v>2154</v>
      </c>
      <c r="R282" s="1057" t="s">
        <v>2154</v>
      </c>
      <c r="S282" s="1057" t="s">
        <v>2154</v>
      </c>
      <c r="T282" s="1057" t="s">
        <v>2154</v>
      </c>
      <c r="U282" s="1057" t="s">
        <v>2154</v>
      </c>
      <c r="V282" s="1057" t="s">
        <v>2154</v>
      </c>
      <c r="W282" s="1057" t="s">
        <v>2154</v>
      </c>
      <c r="X282" s="1057" t="s">
        <v>2154</v>
      </c>
      <c r="Y282" s="1057" t="s">
        <v>2154</v>
      </c>
      <c r="Z282" s="1057" t="s">
        <v>2154</v>
      </c>
      <c r="AA282" s="1057" t="s">
        <v>2154</v>
      </c>
      <c r="DT282" s="1057" t="s">
        <v>2154</v>
      </c>
      <c r="DU282" s="1057" t="s">
        <v>2154</v>
      </c>
      <c r="DV282" s="1057" t="s">
        <v>2154</v>
      </c>
      <c r="DW282" s="1057" t="s">
        <v>2154</v>
      </c>
      <c r="DX282" s="1057" t="s">
        <v>2154</v>
      </c>
      <c r="DY282" s="1057" t="s">
        <v>2154</v>
      </c>
      <c r="DZ282" s="1057" t="s">
        <v>2154</v>
      </c>
      <c r="EA282" s="1057" t="s">
        <v>2154</v>
      </c>
      <c r="EB282" s="1057" t="s">
        <v>2154</v>
      </c>
      <c r="EC282" s="1057" t="s">
        <v>2154</v>
      </c>
      <c r="ED282" s="1057" t="s">
        <v>2154</v>
      </c>
      <c r="EE282" s="1057" t="s">
        <v>2154</v>
      </c>
      <c r="GC282" s="1036">
        <f t="shared" si="172"/>
        <v>653</v>
      </c>
      <c r="GD282" s="387">
        <f t="shared" si="172"/>
        <v>633</v>
      </c>
      <c r="GE282" s="387">
        <f t="shared" si="172"/>
        <v>584</v>
      </c>
      <c r="GF282" s="387">
        <f t="shared" si="172"/>
        <v>643</v>
      </c>
      <c r="GG282" s="387">
        <f t="shared" si="172"/>
        <v>671</v>
      </c>
      <c r="GH282" s="387">
        <f t="shared" si="172"/>
        <v>678</v>
      </c>
      <c r="GI282" s="387">
        <f t="shared" si="172"/>
        <v>601</v>
      </c>
      <c r="GJ282" s="387">
        <f t="shared" si="172"/>
        <v>624</v>
      </c>
      <c r="GK282" s="387">
        <f t="shared" si="172"/>
        <v>604</v>
      </c>
      <c r="GL282" s="387">
        <f t="shared" si="172"/>
        <v>559</v>
      </c>
      <c r="GM282" s="387">
        <f t="shared" si="172"/>
        <v>622</v>
      </c>
      <c r="GN282" s="988">
        <f t="shared" si="172"/>
        <v>562</v>
      </c>
      <c r="GO282" s="1036">
        <f t="shared" si="173"/>
        <v>0</v>
      </c>
      <c r="GP282" s="387">
        <f t="shared" si="173"/>
        <v>0</v>
      </c>
      <c r="GQ282" s="387">
        <f t="shared" si="173"/>
        <v>0</v>
      </c>
      <c r="GR282" s="387">
        <f t="shared" si="173"/>
        <v>0</v>
      </c>
      <c r="GS282" s="387">
        <f t="shared" si="173"/>
        <v>0</v>
      </c>
      <c r="GT282" s="387">
        <f t="shared" si="173"/>
        <v>0</v>
      </c>
      <c r="GU282" s="387">
        <f t="shared" si="173"/>
        <v>0</v>
      </c>
      <c r="GV282" s="387">
        <f t="shared" si="173"/>
        <v>0</v>
      </c>
      <c r="GW282" s="387">
        <f t="shared" si="173"/>
        <v>0</v>
      </c>
      <c r="GX282" s="387">
        <f t="shared" si="173"/>
        <v>0</v>
      </c>
      <c r="GY282" s="387">
        <f t="shared" si="173"/>
        <v>0</v>
      </c>
      <c r="GZ282" s="988">
        <f t="shared" si="173"/>
        <v>0</v>
      </c>
    </row>
    <row r="283" spans="1:221">
      <c r="A283" s="326" t="s">
        <v>1577</v>
      </c>
      <c r="B283" s="1509" t="s">
        <v>1578</v>
      </c>
      <c r="C283" s="1509" t="s">
        <v>4238</v>
      </c>
      <c r="D283" s="1056">
        <v>164650.69999999998</v>
      </c>
      <c r="E283" s="1056">
        <v>165583.75</v>
      </c>
      <c r="F283" s="1056">
        <v>152758.86000000002</v>
      </c>
      <c r="G283" s="1056">
        <v>167360.72999999998</v>
      </c>
      <c r="H283" s="1056">
        <v>170841.86</v>
      </c>
      <c r="I283" s="1056">
        <v>174917.97999999998</v>
      </c>
      <c r="J283" s="1056">
        <v>152258.26</v>
      </c>
      <c r="K283" s="1056">
        <v>158433.81</v>
      </c>
      <c r="L283" s="1056">
        <v>151503.84999999998</v>
      </c>
      <c r="M283" s="1056">
        <v>144450.69</v>
      </c>
      <c r="N283" s="1056">
        <v>162175.01999999999</v>
      </c>
      <c r="O283" s="1056">
        <v>145655.96000000002</v>
      </c>
      <c r="P283" s="1057" t="s">
        <v>2154</v>
      </c>
      <c r="Q283" s="1057" t="s">
        <v>2154</v>
      </c>
      <c r="R283" s="1057" t="s">
        <v>2154</v>
      </c>
      <c r="S283" s="1057" t="s">
        <v>2154</v>
      </c>
      <c r="T283" s="1057" t="s">
        <v>2154</v>
      </c>
      <c r="U283" s="1057" t="s">
        <v>2154</v>
      </c>
      <c r="V283" s="1057" t="s">
        <v>2154</v>
      </c>
      <c r="W283" s="1057" t="s">
        <v>2154</v>
      </c>
      <c r="X283" s="1057" t="s">
        <v>2154</v>
      </c>
      <c r="Y283" s="1057" t="s">
        <v>2154</v>
      </c>
      <c r="Z283" s="1057" t="s">
        <v>2154</v>
      </c>
      <c r="AA283" s="1057" t="s">
        <v>2154</v>
      </c>
      <c r="DT283" s="1057" t="s">
        <v>2154</v>
      </c>
      <c r="DU283" s="1057" t="s">
        <v>2154</v>
      </c>
      <c r="DV283" s="1057" t="s">
        <v>2154</v>
      </c>
      <c r="DW283" s="1057" t="s">
        <v>2154</v>
      </c>
      <c r="DX283" s="1057" t="s">
        <v>2154</v>
      </c>
      <c r="DY283" s="1057" t="s">
        <v>2154</v>
      </c>
      <c r="DZ283" s="1057" t="s">
        <v>2154</v>
      </c>
      <c r="EA283" s="1057" t="s">
        <v>2154</v>
      </c>
      <c r="EB283" s="1057" t="s">
        <v>2154</v>
      </c>
      <c r="EC283" s="1057" t="s">
        <v>2154</v>
      </c>
      <c r="ED283" s="1057" t="s">
        <v>2154</v>
      </c>
      <c r="EE283" s="1057" t="s">
        <v>2154</v>
      </c>
      <c r="GC283" s="1036">
        <f t="shared" si="172"/>
        <v>164650.69999999998</v>
      </c>
      <c r="GD283" s="387">
        <f t="shared" si="172"/>
        <v>165583.75</v>
      </c>
      <c r="GE283" s="387">
        <f t="shared" si="172"/>
        <v>152758.86000000002</v>
      </c>
      <c r="GF283" s="387">
        <f t="shared" si="172"/>
        <v>167360.72999999998</v>
      </c>
      <c r="GG283" s="387">
        <f t="shared" si="172"/>
        <v>170841.86</v>
      </c>
      <c r="GH283" s="387">
        <f t="shared" si="172"/>
        <v>174917.97999999998</v>
      </c>
      <c r="GI283" s="387">
        <f t="shared" si="172"/>
        <v>152258.26</v>
      </c>
      <c r="GJ283" s="387">
        <f t="shared" si="172"/>
        <v>158433.81</v>
      </c>
      <c r="GK283" s="387">
        <f t="shared" si="172"/>
        <v>151503.84999999998</v>
      </c>
      <c r="GL283" s="387">
        <f t="shared" si="172"/>
        <v>144450.69</v>
      </c>
      <c r="GM283" s="387">
        <f t="shared" si="172"/>
        <v>162175.01999999999</v>
      </c>
      <c r="GN283" s="988">
        <f t="shared" si="172"/>
        <v>145655.96000000002</v>
      </c>
      <c r="GO283" s="1036">
        <f t="shared" si="173"/>
        <v>0</v>
      </c>
      <c r="GP283" s="387">
        <f t="shared" si="173"/>
        <v>0</v>
      </c>
      <c r="GQ283" s="387">
        <f t="shared" si="173"/>
        <v>0</v>
      </c>
      <c r="GR283" s="387">
        <f t="shared" si="173"/>
        <v>0</v>
      </c>
      <c r="GS283" s="387">
        <f t="shared" si="173"/>
        <v>0</v>
      </c>
      <c r="GT283" s="387">
        <f t="shared" si="173"/>
        <v>0</v>
      </c>
      <c r="GU283" s="387">
        <f t="shared" si="173"/>
        <v>0</v>
      </c>
      <c r="GV283" s="387">
        <f t="shared" si="173"/>
        <v>0</v>
      </c>
      <c r="GW283" s="387">
        <f t="shared" si="173"/>
        <v>0</v>
      </c>
      <c r="GX283" s="387">
        <f t="shared" si="173"/>
        <v>0</v>
      </c>
      <c r="GY283" s="387">
        <f t="shared" si="173"/>
        <v>0</v>
      </c>
      <c r="GZ283" s="988">
        <f t="shared" si="173"/>
        <v>0</v>
      </c>
    </row>
    <row r="285" spans="1:221">
      <c r="A285" s="326" t="s">
        <v>1594</v>
      </c>
      <c r="B285" s="1509" t="s">
        <v>1657</v>
      </c>
      <c r="C285" s="1509" t="s">
        <v>4237</v>
      </c>
      <c r="D285" s="1057" t="s">
        <v>2154</v>
      </c>
      <c r="E285" s="1057" t="s">
        <v>2154</v>
      </c>
      <c r="F285" s="1057" t="s">
        <v>2154</v>
      </c>
      <c r="G285" s="1057" t="s">
        <v>2154</v>
      </c>
      <c r="H285" s="1057" t="s">
        <v>2154</v>
      </c>
      <c r="I285" s="1057" t="s">
        <v>2154</v>
      </c>
      <c r="J285" s="1057" t="s">
        <v>2154</v>
      </c>
      <c r="K285" s="1057" t="s">
        <v>2154</v>
      </c>
      <c r="L285" s="1057" t="s">
        <v>2154</v>
      </c>
      <c r="M285" s="1057" t="s">
        <v>2154</v>
      </c>
      <c r="N285" s="1057" t="s">
        <v>2154</v>
      </c>
      <c r="O285" s="1057" t="s">
        <v>2154</v>
      </c>
      <c r="P285" s="1056">
        <v>162.85714285714283</v>
      </c>
      <c r="Q285" s="1056">
        <v>141.57142857142856</v>
      </c>
      <c r="R285" s="1056">
        <v>123</v>
      </c>
      <c r="S285" s="1056">
        <v>143.85714285714283</v>
      </c>
      <c r="T285" s="1056">
        <v>159.14285714285717</v>
      </c>
      <c r="U285" s="1056">
        <v>147.42857142857144</v>
      </c>
      <c r="V285" s="1056">
        <v>135.85714285714283</v>
      </c>
      <c r="W285" s="1056">
        <v>140.99999999999994</v>
      </c>
      <c r="X285" s="1056">
        <v>153.85714285714283</v>
      </c>
      <c r="Y285" s="1056">
        <v>127.71428571428571</v>
      </c>
      <c r="Z285" s="1056">
        <v>139.28571428571428</v>
      </c>
      <c r="AA285" s="1056">
        <v>152.42857142857144</v>
      </c>
      <c r="DT285" s="1057" t="s">
        <v>2154</v>
      </c>
      <c r="DU285" s="1057" t="s">
        <v>2154</v>
      </c>
      <c r="DV285" s="1057" t="s">
        <v>2154</v>
      </c>
      <c r="DW285" s="1057" t="s">
        <v>2154</v>
      </c>
      <c r="DX285" s="1057" t="s">
        <v>2154</v>
      </c>
      <c r="DY285" s="1057" t="s">
        <v>2154</v>
      </c>
      <c r="DZ285" s="1057" t="s">
        <v>2154</v>
      </c>
      <c r="EA285" s="1057" t="s">
        <v>2154</v>
      </c>
      <c r="EB285" s="1057" t="s">
        <v>2154</v>
      </c>
      <c r="EC285" s="1057" t="s">
        <v>2154</v>
      </c>
      <c r="ED285" s="1057" t="s">
        <v>2154</v>
      </c>
      <c r="EE285" s="1057" t="s">
        <v>2154</v>
      </c>
      <c r="GC285" s="1036">
        <f t="shared" ref="GC285:GN288" si="174">SUMPRODUCT(--($D$6:$GA$6=GC$6),$D285:$GA285,$D$278:$GA$278)</f>
        <v>162.85714285714283</v>
      </c>
      <c r="GD285" s="387">
        <f t="shared" si="174"/>
        <v>141.57142857142856</v>
      </c>
      <c r="GE285" s="387">
        <f t="shared" si="174"/>
        <v>123</v>
      </c>
      <c r="GF285" s="387">
        <f t="shared" si="174"/>
        <v>143.85714285714283</v>
      </c>
      <c r="GG285" s="387">
        <f t="shared" si="174"/>
        <v>159.14285714285717</v>
      </c>
      <c r="GH285" s="387">
        <f t="shared" si="174"/>
        <v>147.42857142857144</v>
      </c>
      <c r="GI285" s="387">
        <f t="shared" si="174"/>
        <v>135.85714285714283</v>
      </c>
      <c r="GJ285" s="387">
        <f t="shared" si="174"/>
        <v>140.99999999999994</v>
      </c>
      <c r="GK285" s="387">
        <f t="shared" si="174"/>
        <v>153.85714285714283</v>
      </c>
      <c r="GL285" s="387">
        <f t="shared" si="174"/>
        <v>127.71428571428571</v>
      </c>
      <c r="GM285" s="387">
        <f t="shared" si="174"/>
        <v>139.28571428571428</v>
      </c>
      <c r="GN285" s="988">
        <f t="shared" si="174"/>
        <v>152.42857142857144</v>
      </c>
      <c r="GO285" s="1036">
        <f t="shared" ref="GO285:GZ288" si="175">SUMPRODUCT(--($DT$6:$GA$6=GO$6),$DT285:$GA285,$DT$278:$GA$278)</f>
        <v>0</v>
      </c>
      <c r="GP285" s="387">
        <f t="shared" si="175"/>
        <v>0</v>
      </c>
      <c r="GQ285" s="387">
        <f t="shared" si="175"/>
        <v>0</v>
      </c>
      <c r="GR285" s="387">
        <f t="shared" si="175"/>
        <v>0</v>
      </c>
      <c r="GS285" s="387">
        <f t="shared" si="175"/>
        <v>0</v>
      </c>
      <c r="GT285" s="387">
        <f t="shared" si="175"/>
        <v>0</v>
      </c>
      <c r="GU285" s="387">
        <f t="shared" si="175"/>
        <v>0</v>
      </c>
      <c r="GV285" s="387">
        <f t="shared" si="175"/>
        <v>0</v>
      </c>
      <c r="GW285" s="387">
        <f t="shared" si="175"/>
        <v>0</v>
      </c>
      <c r="GX285" s="387">
        <f t="shared" si="175"/>
        <v>0</v>
      </c>
      <c r="GY285" s="387">
        <f t="shared" si="175"/>
        <v>0</v>
      </c>
      <c r="GZ285" s="988">
        <f t="shared" si="175"/>
        <v>0</v>
      </c>
    </row>
    <row r="286" spans="1:221">
      <c r="A286" s="326" t="s">
        <v>1594</v>
      </c>
      <c r="B286" s="1509" t="s">
        <v>1657</v>
      </c>
      <c r="C286" s="1509" t="s">
        <v>4238</v>
      </c>
      <c r="D286" s="1057" t="s">
        <v>2154</v>
      </c>
      <c r="E286" s="1057" t="s">
        <v>2154</v>
      </c>
      <c r="F286" s="1057" t="s">
        <v>2154</v>
      </c>
      <c r="G286" s="1057" t="s">
        <v>2154</v>
      </c>
      <c r="H286" s="1057" t="s">
        <v>2154</v>
      </c>
      <c r="I286" s="1057" t="s">
        <v>2154</v>
      </c>
      <c r="J286" s="1057" t="s">
        <v>2154</v>
      </c>
      <c r="K286" s="1057" t="s">
        <v>2154</v>
      </c>
      <c r="L286" s="1057" t="s">
        <v>2154</v>
      </c>
      <c r="M286" s="1057" t="s">
        <v>2154</v>
      </c>
      <c r="N286" s="1057" t="s">
        <v>2154</v>
      </c>
      <c r="O286" s="1057" t="s">
        <v>2154</v>
      </c>
      <c r="P286" s="1056">
        <v>39997.490000000005</v>
      </c>
      <c r="Q286" s="1056">
        <v>37027.83</v>
      </c>
      <c r="R286" s="1056">
        <v>33065.730000000003</v>
      </c>
      <c r="S286" s="1056">
        <v>37461.649999999994</v>
      </c>
      <c r="T286" s="1056">
        <v>40626.57</v>
      </c>
      <c r="U286" s="1056">
        <v>37296.78</v>
      </c>
      <c r="V286" s="1056">
        <v>34304.559999999998</v>
      </c>
      <c r="W286" s="1056">
        <v>35412.1</v>
      </c>
      <c r="X286" s="1056">
        <v>38732.119999999995</v>
      </c>
      <c r="Y286" s="1056">
        <v>32123.249999999996</v>
      </c>
      <c r="Z286" s="1056">
        <v>34746.600000000006</v>
      </c>
      <c r="AA286" s="1056">
        <v>40353.370000000003</v>
      </c>
      <c r="DT286" s="1057" t="s">
        <v>2154</v>
      </c>
      <c r="DU286" s="1057" t="s">
        <v>2154</v>
      </c>
      <c r="DV286" s="1057" t="s">
        <v>2154</v>
      </c>
      <c r="DW286" s="1057" t="s">
        <v>2154</v>
      </c>
      <c r="DX286" s="1057" t="s">
        <v>2154</v>
      </c>
      <c r="DY286" s="1057" t="s">
        <v>2154</v>
      </c>
      <c r="DZ286" s="1057" t="s">
        <v>2154</v>
      </c>
      <c r="EA286" s="1057" t="s">
        <v>2154</v>
      </c>
      <c r="EB286" s="1057" t="s">
        <v>2154</v>
      </c>
      <c r="EC286" s="1057" t="s">
        <v>2154</v>
      </c>
      <c r="ED286" s="1057" t="s">
        <v>2154</v>
      </c>
      <c r="EE286" s="1057" t="s">
        <v>2154</v>
      </c>
      <c r="GC286" s="1036">
        <f t="shared" si="174"/>
        <v>39997.490000000005</v>
      </c>
      <c r="GD286" s="387">
        <f t="shared" si="174"/>
        <v>37027.83</v>
      </c>
      <c r="GE286" s="387">
        <f t="shared" si="174"/>
        <v>33065.730000000003</v>
      </c>
      <c r="GF286" s="387">
        <f t="shared" si="174"/>
        <v>37461.649999999994</v>
      </c>
      <c r="GG286" s="387">
        <f t="shared" si="174"/>
        <v>40626.57</v>
      </c>
      <c r="GH286" s="387">
        <f t="shared" si="174"/>
        <v>37296.78</v>
      </c>
      <c r="GI286" s="387">
        <f t="shared" si="174"/>
        <v>34304.559999999998</v>
      </c>
      <c r="GJ286" s="387">
        <f t="shared" si="174"/>
        <v>35412.1</v>
      </c>
      <c r="GK286" s="387">
        <f t="shared" si="174"/>
        <v>38732.119999999995</v>
      </c>
      <c r="GL286" s="387">
        <f t="shared" si="174"/>
        <v>32123.249999999996</v>
      </c>
      <c r="GM286" s="387">
        <f t="shared" si="174"/>
        <v>34746.600000000006</v>
      </c>
      <c r="GN286" s="988">
        <f t="shared" si="174"/>
        <v>40353.370000000003</v>
      </c>
      <c r="GO286" s="1036">
        <f t="shared" si="175"/>
        <v>0</v>
      </c>
      <c r="GP286" s="387">
        <f t="shared" si="175"/>
        <v>0</v>
      </c>
      <c r="GQ286" s="387">
        <f t="shared" si="175"/>
        <v>0</v>
      </c>
      <c r="GR286" s="387">
        <f t="shared" si="175"/>
        <v>0</v>
      </c>
      <c r="GS286" s="387">
        <f t="shared" si="175"/>
        <v>0</v>
      </c>
      <c r="GT286" s="387">
        <f t="shared" si="175"/>
        <v>0</v>
      </c>
      <c r="GU286" s="387">
        <f t="shared" si="175"/>
        <v>0</v>
      </c>
      <c r="GV286" s="387">
        <f t="shared" si="175"/>
        <v>0</v>
      </c>
      <c r="GW286" s="387">
        <f t="shared" si="175"/>
        <v>0</v>
      </c>
      <c r="GX286" s="387">
        <f t="shared" si="175"/>
        <v>0</v>
      </c>
      <c r="GY286" s="387">
        <f t="shared" si="175"/>
        <v>0</v>
      </c>
      <c r="GZ286" s="988">
        <f t="shared" si="175"/>
        <v>0</v>
      </c>
    </row>
    <row r="287" spans="1:221">
      <c r="A287" s="326" t="s">
        <v>1594</v>
      </c>
      <c r="B287" s="1509" t="s">
        <v>1578</v>
      </c>
      <c r="C287" s="1509" t="s">
        <v>4237</v>
      </c>
      <c r="D287" s="1057" t="s">
        <v>2154</v>
      </c>
      <c r="E287" s="1057" t="s">
        <v>2154</v>
      </c>
      <c r="F287" s="1057" t="s">
        <v>2154</v>
      </c>
      <c r="G287" s="1057" t="s">
        <v>2154</v>
      </c>
      <c r="H287" s="1057" t="s">
        <v>2154</v>
      </c>
      <c r="I287" s="1057" t="s">
        <v>2154</v>
      </c>
      <c r="J287" s="1057" t="s">
        <v>2154</v>
      </c>
      <c r="K287" s="1057" t="s">
        <v>2154</v>
      </c>
      <c r="L287" s="1057" t="s">
        <v>2154</v>
      </c>
      <c r="M287" s="1057" t="s">
        <v>2154</v>
      </c>
      <c r="N287" s="1057" t="s">
        <v>2154</v>
      </c>
      <c r="O287" s="1057" t="s">
        <v>2154</v>
      </c>
      <c r="P287" s="1056">
        <v>189.42857142857139</v>
      </c>
      <c r="Q287" s="1056">
        <v>167.28571428571428</v>
      </c>
      <c r="R287" s="1056">
        <v>143.57142857142856</v>
      </c>
      <c r="S287" s="1056">
        <v>166.57142857142856</v>
      </c>
      <c r="T287" s="1056">
        <v>183.85714285714289</v>
      </c>
      <c r="U287" s="1056">
        <v>183.42857142857144</v>
      </c>
      <c r="V287" s="1056">
        <v>158.14285714285714</v>
      </c>
      <c r="W287" s="1056">
        <v>156.8571428571428</v>
      </c>
      <c r="X287" s="1056">
        <v>172.71428571428572</v>
      </c>
      <c r="Y287" s="1056">
        <v>153.42857142857144</v>
      </c>
      <c r="Z287" s="1056">
        <v>165.85714285714283</v>
      </c>
      <c r="AA287" s="1056">
        <v>165.28571428571433</v>
      </c>
      <c r="DT287" s="1057" t="s">
        <v>2154</v>
      </c>
      <c r="DU287" s="1057" t="s">
        <v>2154</v>
      </c>
      <c r="DV287" s="1057" t="s">
        <v>2154</v>
      </c>
      <c r="DW287" s="1057" t="s">
        <v>2154</v>
      </c>
      <c r="DX287" s="1057" t="s">
        <v>2154</v>
      </c>
      <c r="DY287" s="1057" t="s">
        <v>2154</v>
      </c>
      <c r="DZ287" s="1057" t="s">
        <v>2154</v>
      </c>
      <c r="EA287" s="1057" t="s">
        <v>2154</v>
      </c>
      <c r="EB287" s="1057" t="s">
        <v>2154</v>
      </c>
      <c r="EC287" s="1057" t="s">
        <v>2154</v>
      </c>
      <c r="ED287" s="1057" t="s">
        <v>2154</v>
      </c>
      <c r="EE287" s="1057" t="s">
        <v>2154</v>
      </c>
      <c r="GC287" s="1036">
        <f t="shared" si="174"/>
        <v>189.42857142857139</v>
      </c>
      <c r="GD287" s="387">
        <f t="shared" si="174"/>
        <v>167.28571428571428</v>
      </c>
      <c r="GE287" s="387">
        <f t="shared" si="174"/>
        <v>143.57142857142856</v>
      </c>
      <c r="GF287" s="387">
        <f t="shared" si="174"/>
        <v>166.57142857142856</v>
      </c>
      <c r="GG287" s="387">
        <f t="shared" si="174"/>
        <v>183.85714285714289</v>
      </c>
      <c r="GH287" s="387">
        <f t="shared" si="174"/>
        <v>183.42857142857144</v>
      </c>
      <c r="GI287" s="387">
        <f t="shared" si="174"/>
        <v>158.14285714285714</v>
      </c>
      <c r="GJ287" s="387">
        <f t="shared" si="174"/>
        <v>156.8571428571428</v>
      </c>
      <c r="GK287" s="387">
        <f t="shared" si="174"/>
        <v>172.71428571428572</v>
      </c>
      <c r="GL287" s="387">
        <f t="shared" si="174"/>
        <v>153.42857142857144</v>
      </c>
      <c r="GM287" s="387">
        <f t="shared" si="174"/>
        <v>165.85714285714283</v>
      </c>
      <c r="GN287" s="988">
        <f t="shared" si="174"/>
        <v>165.28571428571433</v>
      </c>
      <c r="GO287" s="1036">
        <f t="shared" si="175"/>
        <v>0</v>
      </c>
      <c r="GP287" s="387">
        <f t="shared" si="175"/>
        <v>0</v>
      </c>
      <c r="GQ287" s="387">
        <f t="shared" si="175"/>
        <v>0</v>
      </c>
      <c r="GR287" s="387">
        <f t="shared" si="175"/>
        <v>0</v>
      </c>
      <c r="GS287" s="387">
        <f t="shared" si="175"/>
        <v>0</v>
      </c>
      <c r="GT287" s="387">
        <f t="shared" si="175"/>
        <v>0</v>
      </c>
      <c r="GU287" s="387">
        <f t="shared" si="175"/>
        <v>0</v>
      </c>
      <c r="GV287" s="387">
        <f t="shared" si="175"/>
        <v>0</v>
      </c>
      <c r="GW287" s="387">
        <f t="shared" si="175"/>
        <v>0</v>
      </c>
      <c r="GX287" s="387">
        <f t="shared" si="175"/>
        <v>0</v>
      </c>
      <c r="GY287" s="387">
        <f t="shared" si="175"/>
        <v>0</v>
      </c>
      <c r="GZ287" s="988">
        <f t="shared" si="175"/>
        <v>0</v>
      </c>
    </row>
    <row r="288" spans="1:221">
      <c r="A288" s="326" t="s">
        <v>1594</v>
      </c>
      <c r="B288" s="1509" t="s">
        <v>1578</v>
      </c>
      <c r="C288" s="1509" t="s">
        <v>4238</v>
      </c>
      <c r="D288" s="1057" t="s">
        <v>2154</v>
      </c>
      <c r="E288" s="1057" t="s">
        <v>2154</v>
      </c>
      <c r="F288" s="1057" t="s">
        <v>2154</v>
      </c>
      <c r="G288" s="1057" t="s">
        <v>2154</v>
      </c>
      <c r="H288" s="1057" t="s">
        <v>2154</v>
      </c>
      <c r="I288" s="1057" t="s">
        <v>2154</v>
      </c>
      <c r="J288" s="1057" t="s">
        <v>2154</v>
      </c>
      <c r="K288" s="1057" t="s">
        <v>2154</v>
      </c>
      <c r="L288" s="1057" t="s">
        <v>2154</v>
      </c>
      <c r="M288" s="1057" t="s">
        <v>2154</v>
      </c>
      <c r="N288" s="1057" t="s">
        <v>2154</v>
      </c>
      <c r="O288" s="1057" t="s">
        <v>2154</v>
      </c>
      <c r="P288" s="1056">
        <v>44319.73</v>
      </c>
      <c r="Q288" s="1056">
        <v>41699.46</v>
      </c>
      <c r="R288" s="1056">
        <v>36107.910000000003</v>
      </c>
      <c r="S288" s="1056">
        <v>40858.07</v>
      </c>
      <c r="T288" s="1056">
        <v>44324.529999999992</v>
      </c>
      <c r="U288" s="1056">
        <v>42929.15</v>
      </c>
      <c r="V288" s="1056">
        <v>37501.18</v>
      </c>
      <c r="W288" s="1056">
        <v>40074.1</v>
      </c>
      <c r="X288" s="1056">
        <v>43434.33</v>
      </c>
      <c r="Y288" s="1056">
        <v>37639.839999999997</v>
      </c>
      <c r="Z288" s="1056">
        <v>40685.29</v>
      </c>
      <c r="AA288" s="1056">
        <v>44133.37</v>
      </c>
      <c r="DT288" s="1057" t="s">
        <v>2154</v>
      </c>
      <c r="DU288" s="1057" t="s">
        <v>2154</v>
      </c>
      <c r="DV288" s="1057" t="s">
        <v>2154</v>
      </c>
      <c r="DW288" s="1057" t="s">
        <v>2154</v>
      </c>
      <c r="DX288" s="1057" t="s">
        <v>2154</v>
      </c>
      <c r="DY288" s="1057" t="s">
        <v>2154</v>
      </c>
      <c r="DZ288" s="1057" t="s">
        <v>2154</v>
      </c>
      <c r="EA288" s="1057" t="s">
        <v>2154</v>
      </c>
      <c r="EB288" s="1057" t="s">
        <v>2154</v>
      </c>
      <c r="EC288" s="1057" t="s">
        <v>2154</v>
      </c>
      <c r="ED288" s="1057" t="s">
        <v>2154</v>
      </c>
      <c r="EE288" s="1057" t="s">
        <v>2154</v>
      </c>
      <c r="GC288" s="1036">
        <f t="shared" si="174"/>
        <v>44319.73</v>
      </c>
      <c r="GD288" s="387">
        <f t="shared" si="174"/>
        <v>41699.46</v>
      </c>
      <c r="GE288" s="387">
        <f t="shared" si="174"/>
        <v>36107.910000000003</v>
      </c>
      <c r="GF288" s="387">
        <f t="shared" si="174"/>
        <v>40858.07</v>
      </c>
      <c r="GG288" s="387">
        <f t="shared" si="174"/>
        <v>44324.529999999992</v>
      </c>
      <c r="GH288" s="387">
        <f t="shared" si="174"/>
        <v>42929.15</v>
      </c>
      <c r="GI288" s="387">
        <f t="shared" si="174"/>
        <v>37501.18</v>
      </c>
      <c r="GJ288" s="387">
        <f t="shared" si="174"/>
        <v>40074.1</v>
      </c>
      <c r="GK288" s="387">
        <f t="shared" si="174"/>
        <v>43434.33</v>
      </c>
      <c r="GL288" s="387">
        <f t="shared" si="174"/>
        <v>37639.839999999997</v>
      </c>
      <c r="GM288" s="387">
        <f t="shared" si="174"/>
        <v>40685.29</v>
      </c>
      <c r="GN288" s="988">
        <f t="shared" si="174"/>
        <v>44133.37</v>
      </c>
      <c r="GO288" s="1036">
        <f t="shared" si="175"/>
        <v>0</v>
      </c>
      <c r="GP288" s="387">
        <f t="shared" si="175"/>
        <v>0</v>
      </c>
      <c r="GQ288" s="387">
        <f t="shared" si="175"/>
        <v>0</v>
      </c>
      <c r="GR288" s="387">
        <f t="shared" si="175"/>
        <v>0</v>
      </c>
      <c r="GS288" s="387">
        <f t="shared" si="175"/>
        <v>0</v>
      </c>
      <c r="GT288" s="387">
        <f t="shared" si="175"/>
        <v>0</v>
      </c>
      <c r="GU288" s="387">
        <f t="shared" si="175"/>
        <v>0</v>
      </c>
      <c r="GV288" s="387">
        <f t="shared" si="175"/>
        <v>0</v>
      </c>
      <c r="GW288" s="387">
        <f t="shared" si="175"/>
        <v>0</v>
      </c>
      <c r="GX288" s="387">
        <f t="shared" si="175"/>
        <v>0</v>
      </c>
      <c r="GY288" s="387">
        <f t="shared" si="175"/>
        <v>0</v>
      </c>
      <c r="GZ288" s="988">
        <f t="shared" si="175"/>
        <v>0</v>
      </c>
    </row>
  </sheetData>
  <phoneticPr fontId="32" type="noConversion"/>
  <pageMargins left="0.75" right="0.75" top="1" bottom="1" header="0.5" footer="0.5"/>
  <pageSetup orientation="portrait" r:id="rId1"/>
  <headerFooter alignWithMargins="0"/>
  <legacyDrawing r:id="rId2"/>
</worksheet>
</file>

<file path=xl/worksheets/sheet22.xml><?xml version="1.0" encoding="utf-8"?>
<worksheet xmlns="http://schemas.openxmlformats.org/spreadsheetml/2006/main" xmlns:r="http://schemas.openxmlformats.org/officeDocument/2006/relationships">
  <sheetPr codeName="Sheet19" enableFormatConditionsCalculation="0">
    <tabColor indexed="42"/>
    <pageSetUpPr autoPageBreaks="0"/>
  </sheetPr>
  <dimension ref="A2:Z197"/>
  <sheetViews>
    <sheetView showGridLines="0" zoomScale="90" zoomScaleNormal="90" workbookViewId="0">
      <pane ySplit="6" topLeftCell="A48" activePane="bottomLeft" state="frozen"/>
      <selection activeCell="G17" sqref="G17"/>
      <selection pane="bottomLeft" activeCell="G50" sqref="G50"/>
    </sheetView>
  </sheetViews>
  <sheetFormatPr defaultRowHeight="11.25"/>
  <cols>
    <col min="1" max="1" width="2.7109375" style="208" customWidth="1"/>
    <col min="2" max="4" width="2.7109375" style="287" customWidth="1"/>
    <col min="5" max="5" width="12.7109375" style="287" customWidth="1"/>
    <col min="6" max="6" width="8.7109375" style="287" customWidth="1"/>
    <col min="7" max="7" width="11.7109375" style="287" customWidth="1"/>
    <col min="8" max="8" width="2.7109375" style="287" customWidth="1"/>
    <col min="9" max="10" width="9.7109375" style="1061" customWidth="1"/>
    <col min="11" max="22" width="9.7109375" style="296" customWidth="1"/>
    <col min="23" max="23" width="19.42578125" style="287" bestFit="1" customWidth="1"/>
    <col min="24" max="16384" width="9.140625" style="287"/>
  </cols>
  <sheetData>
    <row r="2" spans="2:23">
      <c r="B2" s="287" t="s">
        <v>2366</v>
      </c>
      <c r="G2" s="288"/>
    </row>
    <row r="3" spans="2:23">
      <c r="G3" s="288"/>
    </row>
    <row r="4" spans="2:23">
      <c r="G4" s="288"/>
      <c r="I4" s="1066" t="s">
        <v>2893</v>
      </c>
      <c r="J4" s="1067"/>
      <c r="K4" s="1066"/>
      <c r="L4" s="1066"/>
      <c r="M4" s="1066"/>
      <c r="N4" s="1066"/>
      <c r="O4" s="1066"/>
      <c r="P4" s="1066"/>
      <c r="Q4" s="1066"/>
      <c r="R4" s="1066"/>
      <c r="S4" s="1066"/>
      <c r="T4" s="1066"/>
      <c r="U4" s="1066"/>
      <c r="V4" s="1066"/>
    </row>
    <row r="5" spans="2:23">
      <c r="G5" s="288"/>
      <c r="I5" s="1066"/>
      <c r="J5" s="1067"/>
      <c r="K5" s="1066" t="str">
        <f>'1.2 OmniTot'!GC4</f>
        <v>FY12</v>
      </c>
      <c r="L5" s="1066" t="str">
        <f>'1.2 OmniTot'!GD4</f>
        <v>FY13</v>
      </c>
      <c r="M5" s="1066" t="str">
        <f>'1.2 OmniTot'!GE4</f>
        <v>FY13</v>
      </c>
      <c r="N5" s="1066" t="str">
        <f>'1.2 OmniTot'!GF4</f>
        <v>FY13</v>
      </c>
      <c r="O5" s="1066" t="str">
        <f>'1.2 OmniTot'!GG4</f>
        <v>FY13</v>
      </c>
      <c r="P5" s="1066" t="str">
        <f>'1.2 OmniTot'!GH4</f>
        <v>FY13</v>
      </c>
      <c r="Q5" s="1066" t="str">
        <f>'1.2 OmniTot'!GI4</f>
        <v>FY13</v>
      </c>
      <c r="R5" s="1066" t="str">
        <f>'1.2 OmniTot'!GJ4</f>
        <v>FY13</v>
      </c>
      <c r="S5" s="1066" t="str">
        <f>'1.2 OmniTot'!GK4</f>
        <v>FY13</v>
      </c>
      <c r="T5" s="1066" t="str">
        <f>'1.2 OmniTot'!GL4</f>
        <v>FY13</v>
      </c>
      <c r="U5" s="1066" t="str">
        <f>'1.2 OmniTot'!GM4</f>
        <v>FY13</v>
      </c>
      <c r="V5" s="1066" t="str">
        <f>'1.2 OmniTot'!GN4</f>
        <v>FY13</v>
      </c>
      <c r="W5" s="287" t="s">
        <v>3930</v>
      </c>
    </row>
    <row r="6" spans="2:23" ht="22.5">
      <c r="C6" s="208"/>
      <c r="D6" s="208"/>
      <c r="G6" s="289" t="s">
        <v>1090</v>
      </c>
      <c r="H6" s="290"/>
      <c r="I6" s="1062" t="s">
        <v>3137</v>
      </c>
      <c r="J6" s="1062" t="s">
        <v>3138</v>
      </c>
      <c r="K6" s="1063" t="str">
        <f>'1.2 OmniTot'!GC5</f>
        <v>Dec</v>
      </c>
      <c r="L6" s="1063" t="str">
        <f>'1.2 OmniTot'!GD5</f>
        <v>Jan</v>
      </c>
      <c r="M6" s="1063" t="str">
        <f>'1.2 OmniTot'!GE5</f>
        <v>Feb</v>
      </c>
      <c r="N6" s="1063" t="str">
        <f>'1.2 OmniTot'!GF5</f>
        <v>Mar</v>
      </c>
      <c r="O6" s="1063" t="str">
        <f>'1.2 OmniTot'!GG5</f>
        <v>Apr</v>
      </c>
      <c r="P6" s="1063" t="str">
        <f>'1.2 OmniTot'!GH5</f>
        <v>May</v>
      </c>
      <c r="Q6" s="1063" t="str">
        <f>'1.2 OmniTot'!GI5</f>
        <v>Jun</v>
      </c>
      <c r="R6" s="1063" t="str">
        <f>'1.2 OmniTot'!GJ5</f>
        <v>Jul</v>
      </c>
      <c r="S6" s="1063" t="str">
        <f>'1.2 OmniTot'!GK5</f>
        <v>Aug</v>
      </c>
      <c r="T6" s="1063" t="str">
        <f>'1.2 OmniTot'!GL5</f>
        <v>Sep</v>
      </c>
      <c r="U6" s="1063" t="str">
        <f>'1.2 OmniTot'!GM5</f>
        <v>Oct</v>
      </c>
      <c r="V6" s="1063" t="str">
        <f>'1.2 OmniTot'!GN5</f>
        <v>Nov</v>
      </c>
      <c r="W6" s="287" t="s">
        <v>1630</v>
      </c>
    </row>
    <row r="7" spans="2:23">
      <c r="H7" s="291"/>
      <c r="K7" s="1061"/>
      <c r="L7" s="1061"/>
      <c r="M7" s="1061"/>
      <c r="N7" s="1061"/>
      <c r="O7" s="1061"/>
      <c r="P7" s="1061"/>
      <c r="Q7" s="1061"/>
      <c r="R7" s="1061"/>
      <c r="S7" s="1061"/>
      <c r="T7" s="1061"/>
      <c r="U7" s="1061"/>
      <c r="V7" s="1061"/>
    </row>
    <row r="8" spans="2:23">
      <c r="B8" s="294" t="s">
        <v>2476</v>
      </c>
      <c r="C8" s="294"/>
      <c r="D8" s="295"/>
      <c r="E8" s="291"/>
      <c r="F8" s="291"/>
      <c r="G8" s="291"/>
      <c r="K8" s="1061"/>
      <c r="L8" s="1061"/>
      <c r="M8" s="1061"/>
      <c r="N8" s="1061"/>
      <c r="O8" s="1061"/>
      <c r="P8" s="1061"/>
      <c r="Q8" s="1061"/>
      <c r="R8" s="1061"/>
      <c r="S8" s="1061"/>
      <c r="T8" s="1061"/>
      <c r="U8" s="1061"/>
      <c r="V8" s="1061"/>
    </row>
    <row r="9" spans="2:23">
      <c r="B9" s="296"/>
      <c r="C9" s="297" t="s">
        <v>3698</v>
      </c>
      <c r="D9" s="298"/>
      <c r="E9" s="291"/>
      <c r="F9" s="291"/>
      <c r="G9" s="1430">
        <f>INDEX(I9:V9,$H$145)+G131</f>
        <v>189999.84</v>
      </c>
      <c r="H9" s="299"/>
      <c r="I9" s="299">
        <f>SUM(K9:V9)</f>
        <v>189999.84000000005</v>
      </c>
      <c r="J9" s="299">
        <f>SUM(T9:V9)*4</f>
        <v>189999.84</v>
      </c>
      <c r="K9" s="299">
        <f>'1.2 OmniTot'!GC9</f>
        <v>15833.32</v>
      </c>
      <c r="L9" s="299">
        <f>'1.2 OmniTot'!GD9</f>
        <v>15833.32</v>
      </c>
      <c r="M9" s="299">
        <f>'1.2 OmniTot'!GE9</f>
        <v>15833.32</v>
      </c>
      <c r="N9" s="299">
        <f>'1.2 OmniTot'!GF9</f>
        <v>15833.32</v>
      </c>
      <c r="O9" s="299">
        <f>'1.2 OmniTot'!GG9</f>
        <v>15833.32</v>
      </c>
      <c r="P9" s="299">
        <f>'1.2 OmniTot'!GH9</f>
        <v>15833.32</v>
      </c>
      <c r="Q9" s="299">
        <f>'1.2 OmniTot'!GI9</f>
        <v>15833.32</v>
      </c>
      <c r="R9" s="299">
        <f>'1.2 OmniTot'!GJ9</f>
        <v>15833.32</v>
      </c>
      <c r="S9" s="299">
        <f>'1.2 OmniTot'!GK9</f>
        <v>15833.32</v>
      </c>
      <c r="T9" s="299">
        <f>'1.2 OmniTot'!GL9</f>
        <v>15833.32</v>
      </c>
      <c r="U9" s="299">
        <f>'1.2 OmniTot'!GM9</f>
        <v>15833.32</v>
      </c>
      <c r="V9" s="299">
        <f>'1.2 OmniTot'!GN9</f>
        <v>15833.32</v>
      </c>
      <c r="W9" s="299"/>
    </row>
    <row r="10" spans="2:23">
      <c r="B10" s="296"/>
      <c r="C10" s="300" t="s">
        <v>3697</v>
      </c>
      <c r="D10" s="298"/>
      <c r="E10" s="291"/>
      <c r="F10" s="291"/>
      <c r="G10" s="299"/>
      <c r="H10" s="299"/>
      <c r="I10" s="299"/>
      <c r="J10" s="299"/>
      <c r="K10" s="299"/>
      <c r="L10" s="299"/>
      <c r="M10" s="299"/>
      <c r="N10" s="299"/>
      <c r="O10" s="299"/>
      <c r="P10" s="299"/>
      <c r="Q10" s="299"/>
      <c r="R10" s="299"/>
      <c r="S10" s="299"/>
      <c r="T10" s="299"/>
      <c r="U10" s="299"/>
      <c r="V10" s="299"/>
      <c r="W10" s="299"/>
    </row>
    <row r="11" spans="2:23">
      <c r="B11" s="296"/>
      <c r="C11" s="297"/>
      <c r="D11" s="294" t="s">
        <v>2502</v>
      </c>
      <c r="E11" s="294"/>
      <c r="F11" s="291"/>
      <c r="G11" s="1430">
        <f>INDEX(I11:V11,$H$145)+G132</f>
        <v>156781.31999999998</v>
      </c>
      <c r="H11" s="299"/>
      <c r="I11" s="299">
        <f>SUM(K11:V11)</f>
        <v>157255.16999999995</v>
      </c>
      <c r="J11" s="299">
        <f>SUM(T11:V11)*4</f>
        <v>156781.31999999998</v>
      </c>
      <c r="K11" s="299">
        <f>'1.2 OmniTot'!GC10</f>
        <v>13117.760000000002</v>
      </c>
      <c r="L11" s="299">
        <f>'1.2 OmniTot'!GD10</f>
        <v>13117.760000000002</v>
      </c>
      <c r="M11" s="299">
        <f>'1.2 OmniTot'!GE10</f>
        <v>13117.760000000002</v>
      </c>
      <c r="N11" s="299">
        <f>'1.2 OmniTot'!GF10</f>
        <v>13117.76</v>
      </c>
      <c r="O11" s="299">
        <f>'1.2 OmniTot'!GG10</f>
        <v>13117.759999999998</v>
      </c>
      <c r="P11" s="299">
        <f>'1.2 OmniTot'!GH10</f>
        <v>13117.759999999998</v>
      </c>
      <c r="Q11" s="299">
        <f>'1.2 OmniTot'!GI10</f>
        <v>13117.759999999998</v>
      </c>
      <c r="R11" s="299">
        <f>'1.2 OmniTot'!GJ10</f>
        <v>13117.759999999998</v>
      </c>
      <c r="S11" s="299">
        <f>'1.2 OmniTot'!GK10</f>
        <v>13117.759999999998</v>
      </c>
      <c r="T11" s="299">
        <f>'1.2 OmniTot'!GL10</f>
        <v>13065.109999999999</v>
      </c>
      <c r="U11" s="299">
        <f>'1.2 OmniTot'!GM10</f>
        <v>13065.109999999999</v>
      </c>
      <c r="V11" s="299">
        <f>'1.2 OmniTot'!GN10</f>
        <v>13065.109999999999</v>
      </c>
      <c r="W11" s="299"/>
    </row>
    <row r="12" spans="2:23">
      <c r="B12" s="296"/>
      <c r="C12" s="300"/>
      <c r="D12" s="294" t="s">
        <v>3701</v>
      </c>
      <c r="E12" s="294"/>
      <c r="F12" s="291"/>
      <c r="G12" s="1430">
        <f>INDEX(I12:V12,$H$145)+G133</f>
        <v>22732.559999999998</v>
      </c>
      <c r="H12" s="299"/>
      <c r="I12" s="299">
        <f>SUM(K12:V12)</f>
        <v>22732.560000000001</v>
      </c>
      <c r="J12" s="299">
        <f>SUM(T12:V12)*4</f>
        <v>22732.559999999998</v>
      </c>
      <c r="K12" s="299">
        <f>'1.2 OmniTot'!GC11</f>
        <v>1894.3799999999999</v>
      </c>
      <c r="L12" s="299">
        <f>'1.2 OmniTot'!GD11</f>
        <v>1894.3799999999999</v>
      </c>
      <c r="M12" s="299">
        <f>'1.2 OmniTot'!GE11</f>
        <v>1894.3799999999999</v>
      </c>
      <c r="N12" s="299">
        <f>'1.2 OmniTot'!GF11</f>
        <v>1894.3799999999999</v>
      </c>
      <c r="O12" s="299">
        <f>'1.2 OmniTot'!GG11</f>
        <v>1894.3799999999999</v>
      </c>
      <c r="P12" s="299">
        <f>'1.2 OmniTot'!GH11</f>
        <v>1894.3799999999999</v>
      </c>
      <c r="Q12" s="299">
        <f>'1.2 OmniTot'!GI11</f>
        <v>1894.3799999999999</v>
      </c>
      <c r="R12" s="299">
        <f>'1.2 OmniTot'!GJ11</f>
        <v>1894.3799999999999</v>
      </c>
      <c r="S12" s="299">
        <f>'1.2 OmniTot'!GK11</f>
        <v>1894.3799999999999</v>
      </c>
      <c r="T12" s="299">
        <f>'1.2 OmniTot'!GL11</f>
        <v>1894.3799999999999</v>
      </c>
      <c r="U12" s="299">
        <f>'1.2 OmniTot'!GM11</f>
        <v>1894.3799999999999</v>
      </c>
      <c r="V12" s="299">
        <f>'1.2 OmniTot'!GN11</f>
        <v>1894.3799999999999</v>
      </c>
      <c r="W12" s="299"/>
    </row>
    <row r="13" spans="2:23">
      <c r="B13" s="296"/>
      <c r="C13" s="300"/>
      <c r="D13" s="294" t="s">
        <v>3702</v>
      </c>
      <c r="E13" s="294"/>
      <c r="F13" s="291"/>
      <c r="G13" s="1430">
        <f>INDEX(I13:V13,$H$145)+G134</f>
        <v>18186</v>
      </c>
      <c r="H13" s="299"/>
      <c r="I13" s="299">
        <f>SUM(K13:V13)</f>
        <v>18186</v>
      </c>
      <c r="J13" s="299">
        <f>SUM(T13:V13)*4</f>
        <v>18186</v>
      </c>
      <c r="K13" s="299">
        <f>'1.2 OmniTot'!GC12</f>
        <v>1515.5</v>
      </c>
      <c r="L13" s="299">
        <f>'1.2 OmniTot'!GD12</f>
        <v>1515.5</v>
      </c>
      <c r="M13" s="299">
        <f>'1.2 OmniTot'!GE12</f>
        <v>1515.5</v>
      </c>
      <c r="N13" s="299">
        <f>'1.2 OmniTot'!GF12</f>
        <v>1515.5</v>
      </c>
      <c r="O13" s="299">
        <f>'1.2 OmniTot'!GG12</f>
        <v>1515.5</v>
      </c>
      <c r="P13" s="299">
        <f>'1.2 OmniTot'!GH12</f>
        <v>1515.5</v>
      </c>
      <c r="Q13" s="299">
        <f>'1.2 OmniTot'!GI12</f>
        <v>1515.5</v>
      </c>
      <c r="R13" s="299">
        <f>'1.2 OmniTot'!GJ12</f>
        <v>1515.5</v>
      </c>
      <c r="S13" s="299">
        <f>'1.2 OmniTot'!GK12</f>
        <v>1515.5</v>
      </c>
      <c r="T13" s="299">
        <f>'1.2 OmniTot'!GL12</f>
        <v>1515.5</v>
      </c>
      <c r="U13" s="299">
        <f>'1.2 OmniTot'!GM12</f>
        <v>1515.5</v>
      </c>
      <c r="V13" s="299">
        <f>'1.2 OmniTot'!GN12</f>
        <v>1515.5</v>
      </c>
      <c r="W13" s="299"/>
    </row>
    <row r="14" spans="2:23">
      <c r="B14" s="296"/>
      <c r="C14" s="297"/>
      <c r="D14" s="291" t="s">
        <v>3704</v>
      </c>
      <c r="E14" s="291"/>
      <c r="F14" s="291"/>
      <c r="G14" s="1430">
        <f>SUM(G11:G13)</f>
        <v>197699.87999999998</v>
      </c>
      <c r="H14" s="299"/>
      <c r="I14" s="299"/>
      <c r="J14" s="299"/>
      <c r="K14" s="299"/>
      <c r="L14" s="299"/>
      <c r="M14" s="299"/>
      <c r="N14" s="299"/>
      <c r="O14" s="299"/>
      <c r="P14" s="299"/>
      <c r="Q14" s="299"/>
      <c r="R14" s="299"/>
      <c r="S14" s="299"/>
      <c r="T14" s="299"/>
      <c r="U14" s="299"/>
      <c r="V14" s="299"/>
      <c r="W14" s="299"/>
    </row>
    <row r="15" spans="2:23">
      <c r="B15" s="300"/>
      <c r="C15" s="294" t="s">
        <v>1820</v>
      </c>
      <c r="D15" s="301"/>
      <c r="E15" s="291"/>
      <c r="F15" s="291"/>
      <c r="G15" s="299"/>
      <c r="H15" s="299"/>
      <c r="I15" s="299"/>
      <c r="J15" s="299"/>
      <c r="K15" s="299"/>
      <c r="L15" s="299"/>
      <c r="M15" s="299"/>
      <c r="N15" s="299"/>
      <c r="O15" s="299"/>
      <c r="P15" s="299"/>
      <c r="Q15" s="299"/>
      <c r="R15" s="299"/>
      <c r="S15" s="299"/>
      <c r="T15" s="299"/>
      <c r="U15" s="299"/>
      <c r="V15" s="299"/>
      <c r="W15" s="299"/>
    </row>
    <row r="16" spans="2:23">
      <c r="B16" s="300"/>
      <c r="C16" s="294"/>
      <c r="D16" s="294" t="s">
        <v>1819</v>
      </c>
      <c r="E16" s="291"/>
      <c r="F16" s="291"/>
      <c r="G16" s="1430">
        <f>INDEX(I16:V16,$H$145)+G138</f>
        <v>42.527236057288853</v>
      </c>
      <c r="H16" s="299"/>
      <c r="I16" s="2246">
        <f>AVERAGE(K16:V16)</f>
        <v>39.309924272787221</v>
      </c>
      <c r="J16" s="2246">
        <f>AVERAGE(T16:V16)</f>
        <v>42.527236057288853</v>
      </c>
      <c r="K16" s="2246">
        <f>IF('1.2 OmniTot'!GC8=0,0,SUM('1.2 OmniTot'!GC13,'1.2 OmniTot'!GC14)/'1.2 OmniTot'!GC8)</f>
        <v>36.656712676056337</v>
      </c>
      <c r="L16" s="2246">
        <f>IF('1.2 OmniTot'!GD8=0,0,SUM('1.2 OmniTot'!GD13,'1.2 OmniTot'!GD14)/'1.2 OmniTot'!GD8)</f>
        <v>40.15784269997026</v>
      </c>
      <c r="M16" s="2246">
        <f>IF('1.2 OmniTot'!GE8=0,0,SUM('1.2 OmniTot'!GE13,'1.2 OmniTot'!GE14)/'1.2 OmniTot'!GE8)</f>
        <v>38.241415263932012</v>
      </c>
      <c r="N16" s="2246">
        <f>IF('1.2 OmniTot'!GF8=0,0,SUM('1.2 OmniTot'!GF13,'1.2 OmniTot'!GF14)/'1.2 OmniTot'!GF8)</f>
        <v>36.534944907683155</v>
      </c>
      <c r="O16" s="2246">
        <f>IF('1.2 OmniTot'!GG8=0,0,SUM('1.2 OmniTot'!GG13,'1.2 OmniTot'!GG14)/'1.2 OmniTot'!GG8)</f>
        <v>37.578666858210021</v>
      </c>
      <c r="P16" s="2246">
        <f>IF('1.2 OmniTot'!GH8=0,0,SUM('1.2 OmniTot'!GH13,'1.2 OmniTot'!GH14)/'1.2 OmniTot'!GH8)</f>
        <v>37.592734528143374</v>
      </c>
      <c r="Q16" s="2246">
        <f>IF('1.2 OmniTot'!GI8=0,0,SUM('1.2 OmniTot'!GI13,'1.2 OmniTot'!GI14)/'1.2 OmniTot'!GI8)</f>
        <v>39.518378336436996</v>
      </c>
      <c r="R16" s="2246">
        <f>IF('1.2 OmniTot'!GJ8=0,0,SUM('1.2 OmniTot'!GJ13,'1.2 OmniTot'!GJ14)/'1.2 OmniTot'!GJ8)</f>
        <v>37.785575571177503</v>
      </c>
      <c r="S16" s="2246">
        <f>IF('1.2 OmniTot'!GK8=0,0,SUM('1.2 OmniTot'!GK13,'1.2 OmniTot'!GK14)/'1.2 OmniTot'!GK8)</f>
        <v>40.071112259970448</v>
      </c>
      <c r="T16" s="2246">
        <f>IF('1.2 OmniTot'!GL8=0,0,SUM('1.2 OmniTot'!GL13,'1.2 OmniTot'!GL14)/'1.2 OmniTot'!GL8)</f>
        <v>41.967831535532994</v>
      </c>
      <c r="U16" s="2246">
        <f>IF('1.2 OmniTot'!GM8=0,0,SUM('1.2 OmniTot'!GM13,'1.2 OmniTot'!GM14)/'1.2 OmniTot'!GM8)</f>
        <v>43.929030241349238</v>
      </c>
      <c r="V16" s="2246">
        <f>IF('1.2 OmniTot'!GN8=0,0,SUM('1.2 OmniTot'!GN13,'1.2 OmniTot'!GN14)/'1.2 OmniTot'!GN8)</f>
        <v>41.684846394984326</v>
      </c>
      <c r="W16" s="299"/>
    </row>
    <row r="17" spans="1:23">
      <c r="B17" s="300"/>
      <c r="C17" s="294"/>
      <c r="D17" s="294" t="s">
        <v>1818</v>
      </c>
      <c r="E17" s="291"/>
      <c r="F17" s="291"/>
      <c r="G17" s="1430">
        <f>INDEX(I17:V17,$H$145)+G136</f>
        <v>177540</v>
      </c>
      <c r="H17" s="299"/>
      <c r="I17" s="2245">
        <f>SUM(K17:V17)</f>
        <v>179648.76</v>
      </c>
      <c r="J17" s="2245">
        <f>SUM(T17:V17)*4</f>
        <v>177540</v>
      </c>
      <c r="K17" s="2245">
        <f>'1.2 OmniTot'!GC15</f>
        <v>11984.34</v>
      </c>
      <c r="L17" s="2245">
        <f>'1.2 OmniTot'!GD15</f>
        <v>15658.680000000002</v>
      </c>
      <c r="M17" s="2245">
        <f>'1.2 OmniTot'!GE15</f>
        <v>14587.06</v>
      </c>
      <c r="N17" s="2245">
        <f>'1.2 OmniTot'!GF15</f>
        <v>15155.03</v>
      </c>
      <c r="O17" s="2245">
        <f>'1.2 OmniTot'!GG15</f>
        <v>17989.59</v>
      </c>
      <c r="P17" s="2245">
        <f>'1.2 OmniTot'!GH15</f>
        <v>15504.720000000001</v>
      </c>
      <c r="Q17" s="2245">
        <f>'1.2 OmniTot'!GI15</f>
        <v>13483.849999999999</v>
      </c>
      <c r="R17" s="2245">
        <f>'1.2 OmniTot'!GJ15</f>
        <v>16701.080000000002</v>
      </c>
      <c r="S17" s="2245">
        <f>'1.2 OmniTot'!GK15</f>
        <v>14199.41</v>
      </c>
      <c r="T17" s="2245">
        <f>'1.2 OmniTot'!GL15</f>
        <v>14592.920000000002</v>
      </c>
      <c r="U17" s="2245">
        <f>'1.2 OmniTot'!GM15</f>
        <v>15653.13</v>
      </c>
      <c r="V17" s="2245">
        <f>'1.2 OmniTot'!GN15</f>
        <v>14138.95</v>
      </c>
      <c r="W17" s="299"/>
    </row>
    <row r="18" spans="1:23" s="306" customFormat="1">
      <c r="A18" s="208"/>
      <c r="B18" s="302"/>
      <c r="C18" s="303"/>
      <c r="D18" s="303" t="s">
        <v>1817</v>
      </c>
      <c r="E18" s="304"/>
      <c r="F18" s="304"/>
      <c r="G18" s="1431">
        <f>INDEX(I18:V18,$H$145)</f>
        <v>0.35313215031543704</v>
      </c>
      <c r="H18" s="305"/>
      <c r="I18" s="2244">
        <f>AVERAGE(K18:V18)</f>
        <v>0.42422067515426004</v>
      </c>
      <c r="J18" s="2244">
        <f>AVERAGE(T18:V18)</f>
        <v>0.35313215031543704</v>
      </c>
      <c r="K18" s="2244">
        <f>'1.2 OmniTot'!GC18</f>
        <v>0.65209381849423731</v>
      </c>
      <c r="L18" s="2244">
        <f>'1.2 OmniTot'!GD18</f>
        <v>0.40225235198396597</v>
      </c>
      <c r="M18" s="2244">
        <f>'1.2 OmniTot'!GE18</f>
        <v>0.40605620849258739</v>
      </c>
      <c r="N18" s="2244">
        <f>'1.2 OmniTot'!GF18</f>
        <v>0.64761739733148505</v>
      </c>
      <c r="O18" s="2244">
        <f>'1.2 OmniTot'!GG18</f>
        <v>0.33060886878331558</v>
      </c>
      <c r="P18" s="2244">
        <f>'1.2 OmniTot'!GH18</f>
        <v>0.35374790777208714</v>
      </c>
      <c r="Q18" s="2244">
        <f>'1.2 OmniTot'!GI18</f>
        <v>0.49560939961101674</v>
      </c>
      <c r="R18" s="2244">
        <f>'1.2 OmniTot'!GJ18</f>
        <v>0.40294307819473424</v>
      </c>
      <c r="S18" s="2244">
        <f>'1.2 OmniTot'!GK18</f>
        <v>0.34032262024137983</v>
      </c>
      <c r="T18" s="2244">
        <f>'1.2 OmniTot'!GL18</f>
        <v>0.32145063893509868</v>
      </c>
      <c r="U18" s="2244">
        <f>'1.2 OmniTot'!GM18</f>
        <v>0.37573325462531448</v>
      </c>
      <c r="V18" s="2244">
        <f>'1.2 OmniTot'!GN18</f>
        <v>0.36221255738589814</v>
      </c>
      <c r="W18" s="305"/>
    </row>
    <row r="19" spans="1:23">
      <c r="B19" s="300"/>
      <c r="C19" s="294"/>
      <c r="D19" s="294" t="s">
        <v>1960</v>
      </c>
      <c r="E19" s="291"/>
      <c r="F19" s="291"/>
      <c r="G19" s="1430">
        <f>INDEX(I19:V19,$H$145)+G137</f>
        <v>0</v>
      </c>
      <c r="H19" s="299"/>
      <c r="I19" s="299">
        <f>SUM(K19:V19)</f>
        <v>0</v>
      </c>
      <c r="J19" s="299">
        <f>SUM(T19:V19)*4</f>
        <v>0</v>
      </c>
      <c r="K19" s="299">
        <f>SUM('1.2 OmniTot'!GC19)</f>
        <v>0</v>
      </c>
      <c r="L19" s="299">
        <f>SUM('1.2 OmniTot'!GD19)</f>
        <v>0</v>
      </c>
      <c r="M19" s="299">
        <f>SUM('1.2 OmniTot'!GE19)</f>
        <v>0</v>
      </c>
      <c r="N19" s="299">
        <f>SUM('1.2 OmniTot'!GF19)</f>
        <v>0</v>
      </c>
      <c r="O19" s="299">
        <f>SUM('1.2 OmniTot'!GG19)</f>
        <v>0</v>
      </c>
      <c r="P19" s="299">
        <f>SUM('1.2 OmniTot'!GH19)</f>
        <v>0</v>
      </c>
      <c r="Q19" s="299">
        <f>SUM('1.2 OmniTot'!GI19)</f>
        <v>0</v>
      </c>
      <c r="R19" s="299">
        <f>SUM('1.2 OmniTot'!GJ19)</f>
        <v>0</v>
      </c>
      <c r="S19" s="299">
        <f>SUM('1.2 OmniTot'!GK19)</f>
        <v>0</v>
      </c>
      <c r="T19" s="299">
        <f>SUM('1.2 OmniTot'!GL19)</f>
        <v>0</v>
      </c>
      <c r="U19" s="299">
        <f>SUM('1.2 OmniTot'!GM19)</f>
        <v>0</v>
      </c>
      <c r="V19" s="299">
        <f>SUM('1.2 OmniTot'!GN19)</f>
        <v>0</v>
      </c>
      <c r="W19" s="299"/>
    </row>
    <row r="20" spans="1:23">
      <c r="B20" s="300"/>
      <c r="C20" s="294"/>
      <c r="D20" s="294"/>
      <c r="E20" s="291"/>
      <c r="F20" s="291"/>
      <c r="G20" s="299"/>
      <c r="H20" s="299"/>
      <c r="I20" s="299"/>
      <c r="J20" s="299"/>
      <c r="K20" s="299"/>
      <c r="L20" s="299"/>
      <c r="M20" s="299"/>
      <c r="N20" s="299"/>
      <c r="O20" s="299"/>
      <c r="P20" s="299"/>
      <c r="Q20" s="299"/>
      <c r="R20" s="299"/>
      <c r="S20" s="299"/>
      <c r="T20" s="299"/>
      <c r="U20" s="299"/>
      <c r="V20" s="299"/>
      <c r="W20" s="299"/>
    </row>
    <row r="21" spans="1:23">
      <c r="B21" s="296" t="s">
        <v>2477</v>
      </c>
      <c r="C21" s="294"/>
      <c r="D21" s="295"/>
      <c r="E21" s="291"/>
      <c r="F21" s="291"/>
      <c r="G21" s="299"/>
      <c r="H21" s="299"/>
      <c r="I21" s="299"/>
      <c r="J21" s="299"/>
      <c r="K21" s="299"/>
      <c r="L21" s="299"/>
      <c r="M21" s="299"/>
      <c r="N21" s="299"/>
      <c r="O21" s="299"/>
      <c r="P21" s="299"/>
      <c r="Q21" s="299"/>
      <c r="R21" s="299"/>
      <c r="S21" s="299"/>
      <c r="T21" s="299"/>
      <c r="U21" s="299"/>
      <c r="V21" s="299"/>
      <c r="W21" s="299"/>
    </row>
    <row r="22" spans="1:23">
      <c r="B22" s="296"/>
      <c r="C22" s="294" t="s">
        <v>1961</v>
      </c>
      <c r="D22" s="301"/>
      <c r="E22" s="291"/>
      <c r="F22" s="291"/>
      <c r="G22" s="299"/>
      <c r="H22" s="299"/>
      <c r="I22" s="299"/>
      <c r="J22" s="299"/>
      <c r="K22" s="299"/>
      <c r="L22" s="299"/>
      <c r="M22" s="299"/>
      <c r="N22" s="299"/>
      <c r="O22" s="299"/>
      <c r="P22" s="299"/>
      <c r="Q22" s="299"/>
      <c r="R22" s="299"/>
      <c r="S22" s="299"/>
      <c r="T22" s="299"/>
      <c r="U22" s="299"/>
      <c r="V22" s="299"/>
      <c r="W22" s="299"/>
    </row>
    <row r="23" spans="1:23">
      <c r="B23" s="296"/>
      <c r="C23" s="294"/>
      <c r="D23" s="294" t="s">
        <v>1636</v>
      </c>
      <c r="E23" s="291"/>
      <c r="F23" s="291"/>
      <c r="G23" s="1430">
        <f>INDEX(I23:V23,$H$145)</f>
        <v>33.440608584400813</v>
      </c>
      <c r="H23" s="299"/>
      <c r="I23" s="299">
        <f>AVERAGE(K23:V23)</f>
        <v>31.913725548042844</v>
      </c>
      <c r="J23" s="299">
        <f>AVERAGE(T23:V23)</f>
        <v>33.440608584400813</v>
      </c>
      <c r="K23" s="299">
        <f>'1.2 OmniTot'!GC232</f>
        <v>28.988125905651266</v>
      </c>
      <c r="L23" s="299">
        <f>'1.2 OmniTot'!GD232</f>
        <v>31.932990304473556</v>
      </c>
      <c r="M23" s="299">
        <f>'1.2 OmniTot'!GE232</f>
        <v>30.941383553980984</v>
      </c>
      <c r="N23" s="299">
        <f>'1.2 OmniTot'!GF232</f>
        <v>27.796547263681589</v>
      </c>
      <c r="O23" s="299">
        <f>'1.2 OmniTot'!GG232</f>
        <v>31.738525027459595</v>
      </c>
      <c r="P23" s="299">
        <f>'1.2 OmniTot'!GH232</f>
        <v>33.625261618959676</v>
      </c>
      <c r="Q23" s="299">
        <f>'1.2 OmniTot'!GI232</f>
        <v>32.815487948761167</v>
      </c>
      <c r="R23" s="299">
        <f>'1.2 OmniTot'!GJ232</f>
        <v>30.216995305164318</v>
      </c>
      <c r="S23" s="299">
        <f>'1.2 OmniTot'!GK232</f>
        <v>34.587563895179549</v>
      </c>
      <c r="T23" s="299">
        <f>'1.2 OmniTot'!GL232</f>
        <v>30.796297074794179</v>
      </c>
      <c r="U23" s="299">
        <f>'1.2 OmniTot'!GM232</f>
        <v>34.033604279782814</v>
      </c>
      <c r="V23" s="299">
        <f>'1.2 OmniTot'!GN232</f>
        <v>35.491924398625436</v>
      </c>
      <c r="W23" s="299"/>
    </row>
    <row r="24" spans="1:23">
      <c r="B24" s="296"/>
      <c r="C24" s="294"/>
      <c r="D24" s="291" t="s">
        <v>1631</v>
      </c>
      <c r="E24" s="291"/>
      <c r="F24" s="291"/>
      <c r="G24" s="2243">
        <f>INDEX(I24:W24,$H$146)</f>
        <v>29.232631054015048</v>
      </c>
      <c r="H24" s="299"/>
      <c r="I24" s="299">
        <f>AVERAGE(K24:V24)</f>
        <v>28.485575542057827</v>
      </c>
      <c r="J24" s="299">
        <f>AVERAGE(T24:V24)</f>
        <v>29.232631054015048</v>
      </c>
      <c r="K24" s="299">
        <f>'1.2 OmniTot'!GC231</f>
        <v>30.624036387055231</v>
      </c>
      <c r="L24" s="299">
        <f>'1.2 OmniTot'!GD231</f>
        <v>32.109175029766966</v>
      </c>
      <c r="M24" s="299">
        <f>'1.2 OmniTot'!GE231</f>
        <v>25.494292373671453</v>
      </c>
      <c r="N24" s="299">
        <f>'1.2 OmniTot'!GF231</f>
        <v>24.51972305140962</v>
      </c>
      <c r="O24" s="299">
        <f>'1.2 OmniTot'!GG231</f>
        <v>29.70497724776401</v>
      </c>
      <c r="P24" s="299">
        <f>'1.2 OmniTot'!GH231</f>
        <v>25.596354262850106</v>
      </c>
      <c r="Q24" s="299">
        <f>'1.2 OmniTot'!GI231</f>
        <v>26.621213551323113</v>
      </c>
      <c r="R24" s="299">
        <f>'1.2 OmniTot'!GJ231</f>
        <v>28.090114942528739</v>
      </c>
      <c r="S24" s="299">
        <f>'1.2 OmniTot'!GK231</f>
        <v>31.36912649627952</v>
      </c>
      <c r="T24" s="299">
        <f>'1.2 OmniTot'!GL231</f>
        <v>32.482918199334385</v>
      </c>
      <c r="U24" s="299">
        <f>'1.2 OmniTot'!GM231</f>
        <v>27.61202650910252</v>
      </c>
      <c r="V24" s="299">
        <f>'1.2 OmniTot'!GN231</f>
        <v>27.602948453608249</v>
      </c>
      <c r="W24" s="2552">
        <f>IF(W26=0,,W25/W26)</f>
        <v>0</v>
      </c>
    </row>
    <row r="25" spans="1:23">
      <c r="B25" s="296"/>
      <c r="C25" s="294"/>
      <c r="D25" s="291"/>
      <c r="E25" s="291" t="s">
        <v>1637</v>
      </c>
      <c r="F25" s="291"/>
      <c r="G25" s="2243">
        <f>INDEX(I25:W25,$H$146)</f>
        <v>24714.316666666666</v>
      </c>
      <c r="H25" s="299"/>
      <c r="I25" s="299">
        <f>AVERAGE(K25:V25)</f>
        <v>24566.325833333336</v>
      </c>
      <c r="J25" s="299">
        <f>AVERAGE(T25:V25)</f>
        <v>24714.316666666666</v>
      </c>
      <c r="K25" s="299">
        <f>SUM('1.2 OmniTot'!GC206:GC220)</f>
        <v>27172.270000000004</v>
      </c>
      <c r="L25" s="299">
        <f>SUM('1.2 OmniTot'!GD206:GD220)</f>
        <v>26967.119999999999</v>
      </c>
      <c r="M25" s="299">
        <f>SUM('1.2 OmniTot'!GE206:GE220)</f>
        <v>19532.27</v>
      </c>
      <c r="N25" s="299">
        <f>SUM('1.2 OmniTot'!GF206:GF220)</f>
        <v>21121.99</v>
      </c>
      <c r="O25" s="299">
        <f>SUM('1.2 OmniTot'!GG206:GG220)</f>
        <v>27044.260000000006</v>
      </c>
      <c r="P25" s="299">
        <f>SUM('1.2 OmniTot'!GH206:GH220)</f>
        <v>23760.73</v>
      </c>
      <c r="Q25" s="299">
        <f>SUM('1.2 OmniTot'!GI206:GI220)</f>
        <v>22563.380000000005</v>
      </c>
      <c r="R25" s="299">
        <f>SUM('1.2 OmniTot'!GJ206:GJ220)</f>
        <v>24787.52</v>
      </c>
      <c r="S25" s="299">
        <f>SUM('1.2 OmniTot'!GK206:GK220)</f>
        <v>27703.420000000002</v>
      </c>
      <c r="T25" s="299">
        <f>SUM('1.2 OmniTot'!GL206:GL220)</f>
        <v>26492.14</v>
      </c>
      <c r="U25" s="299">
        <f>SUM('1.2 OmniTot'!GM206:GM220)</f>
        <v>24700.929999999997</v>
      </c>
      <c r="V25" s="299">
        <f>SUM('1.2 OmniTot'!GN206:GN220)</f>
        <v>22949.88</v>
      </c>
      <c r="W25" s="299">
        <f>SUMIF($K$5:$V$5,"FY11",K25:V25)</f>
        <v>0</v>
      </c>
    </row>
    <row r="26" spans="1:23">
      <c r="B26" s="296"/>
      <c r="C26" s="294"/>
      <c r="D26" s="291"/>
      <c r="E26" s="291" t="s">
        <v>3916</v>
      </c>
      <c r="F26" s="291"/>
      <c r="G26" s="2243">
        <f>INDEX(I26:W26,$H$146)</f>
        <v>847.19047619047615</v>
      </c>
      <c r="H26" s="299"/>
      <c r="I26" s="299">
        <f>AVERAGE(K26:V26)</f>
        <v>862.34523809523807</v>
      </c>
      <c r="J26" s="299">
        <f>AVERAGE(T26:V26)</f>
        <v>847.19047619047615</v>
      </c>
      <c r="K26" s="299">
        <f>SUM('1.2 OmniTot'!GC56,'1.2 OmniTot'!GC58,'1.2 OmniTot'!GC87:'1.2 OmniTot'!GC88)</f>
        <v>887.28571428571422</v>
      </c>
      <c r="L26" s="299">
        <f>SUM('1.2 OmniTot'!GD56,'1.2 OmniTot'!GD58,'1.2 OmniTot'!GD87:'1.2 OmniTot'!GD88)</f>
        <v>839.85714285714278</v>
      </c>
      <c r="M26" s="299">
        <f>SUM('1.2 OmniTot'!GE56,'1.2 OmniTot'!GE58,'1.2 OmniTot'!GE87:'1.2 OmniTot'!GE88)</f>
        <v>766.14285714285711</v>
      </c>
      <c r="N26" s="299">
        <f>SUM('1.2 OmniTot'!GF56,'1.2 OmniTot'!GF58,'1.2 OmniTot'!GF87:'1.2 OmniTot'!GF88)</f>
        <v>861.42857142857144</v>
      </c>
      <c r="O26" s="299">
        <f>SUM('1.2 OmniTot'!GG56,'1.2 OmniTot'!GG58,'1.2 OmniTot'!GG87:'1.2 OmniTot'!GG88)</f>
        <v>910.42857142857144</v>
      </c>
      <c r="P26" s="299">
        <f>SUM('1.2 OmniTot'!GH56,'1.2 OmniTot'!GH58,'1.2 OmniTot'!GH87:'1.2 OmniTot'!GH88)</f>
        <v>928.28571428571433</v>
      </c>
      <c r="Q26" s="299">
        <f>SUM('1.2 OmniTot'!GI56,'1.2 OmniTot'!GI58,'1.2 OmniTot'!GI87:'1.2 OmniTot'!GI88)</f>
        <v>847.57142857142856</v>
      </c>
      <c r="R26" s="299">
        <f>SUM('1.2 OmniTot'!GJ56,'1.2 OmniTot'!GJ58,'1.2 OmniTot'!GJ87:'1.2 OmniTot'!GJ88)</f>
        <v>882.42857142857133</v>
      </c>
      <c r="S26" s="299">
        <f>SUM('1.2 OmniTot'!GK56,'1.2 OmniTot'!GK58,'1.2 OmniTot'!GK87:'1.2 OmniTot'!GK88)</f>
        <v>883.14285714285722</v>
      </c>
      <c r="T26" s="299">
        <f>SUM('1.2 OmniTot'!GL56,'1.2 OmniTot'!GL58,'1.2 OmniTot'!GL87:'1.2 OmniTot'!GL88)</f>
        <v>815.57142857142856</v>
      </c>
      <c r="U26" s="299">
        <f>SUM('1.2 OmniTot'!GM56,'1.2 OmniTot'!GM58,'1.2 OmniTot'!GM87:'1.2 OmniTot'!GM88)</f>
        <v>894.57142857142856</v>
      </c>
      <c r="V26" s="299">
        <f>SUM('1.2 OmniTot'!GN56,'1.2 OmniTot'!GN58,'1.2 OmniTot'!GN87:'1.2 OmniTot'!GN88)</f>
        <v>831.42857142857144</v>
      </c>
      <c r="W26" s="299">
        <f>SUMIF($K$5:$V$5,"FY11",K26:V26)</f>
        <v>0</v>
      </c>
    </row>
    <row r="27" spans="1:23">
      <c r="B27" s="296"/>
      <c r="C27" s="294"/>
      <c r="D27" s="294" t="s">
        <v>3694</v>
      </c>
      <c r="E27" s="291"/>
      <c r="F27" s="291"/>
      <c r="G27" s="1430">
        <f>INDEX(I27:V27,$H$145)</f>
        <v>23.226052818746606</v>
      </c>
      <c r="H27" s="299"/>
      <c r="I27" s="299">
        <f>AVERAGE(K27:V27)</f>
        <v>20.120450370715673</v>
      </c>
      <c r="J27" s="299">
        <f>AVERAGE(T27:V27)</f>
        <v>23.226052818746606</v>
      </c>
      <c r="K27" s="299">
        <f>'1.2 OmniTot'!GC23</f>
        <v>18.101362099500886</v>
      </c>
      <c r="L27" s="299">
        <f>'1.2 OmniTot'!GD23</f>
        <v>16.380714407212114</v>
      </c>
      <c r="M27" s="299">
        <f>'1.2 OmniTot'!GE23</f>
        <v>19.171019951519671</v>
      </c>
      <c r="N27" s="299">
        <f>'1.2 OmniTot'!GF23</f>
        <v>14.869311774461028</v>
      </c>
      <c r="O27" s="299">
        <f>'1.2 OmniTot'!GG23</f>
        <v>17.449726973168055</v>
      </c>
      <c r="P27" s="299">
        <f>'1.2 OmniTot'!GH23</f>
        <v>23.019055093875043</v>
      </c>
      <c r="Q27" s="299">
        <f>'1.2 OmniTot'!GI23</f>
        <v>19.901720883195686</v>
      </c>
      <c r="R27" s="299">
        <f>'1.2 OmniTot'!GJ23</f>
        <v>20.933558361664243</v>
      </c>
      <c r="S27" s="299">
        <f>'1.2 OmniTot'!GK23</f>
        <v>21.940776447751535</v>
      </c>
      <c r="T27" s="299">
        <f>'1.2 OmniTot'!GL23</f>
        <v>22.511982834121564</v>
      </c>
      <c r="U27" s="299">
        <f>'1.2 OmniTot'!GM23</f>
        <v>19.920130948578727</v>
      </c>
      <c r="V27" s="299">
        <f>'1.2 OmniTot'!GN23</f>
        <v>27.246044673539526</v>
      </c>
      <c r="W27" s="299"/>
    </row>
    <row r="28" spans="1:23">
      <c r="B28" s="296"/>
      <c r="C28" s="294"/>
      <c r="D28" s="294" t="s">
        <v>3699</v>
      </c>
      <c r="E28" s="291"/>
      <c r="F28" s="291"/>
      <c r="G28" s="1430">
        <f>INDEX(I28:V28,$H$145)</f>
        <v>20557.559999999998</v>
      </c>
      <c r="H28" s="299"/>
      <c r="I28" s="299">
        <f>SUM(K28:V28)</f>
        <v>12536.46</v>
      </c>
      <c r="J28" s="299">
        <f>SUM(T28:V28)*4</f>
        <v>20557.559999999998</v>
      </c>
      <c r="K28" s="299">
        <f>'1.2 OmniTot'!GC28</f>
        <v>-7556.369999999999</v>
      </c>
      <c r="L28" s="299">
        <f>'1.2 OmniTot'!GD28</f>
        <v>1717.1599999999999</v>
      </c>
      <c r="M28" s="299">
        <f>'1.2 OmniTot'!GE28</f>
        <v>2793.6000000000004</v>
      </c>
      <c r="N28" s="299">
        <f>'1.2 OmniTot'!GF28</f>
        <v>1567.21</v>
      </c>
      <c r="O28" s="299">
        <f>'1.2 OmniTot'!GG28</f>
        <v>1730.1699999999998</v>
      </c>
      <c r="P28" s="299">
        <f>'1.2 OmniTot'!GH28</f>
        <v>1782.39</v>
      </c>
      <c r="Q28" s="299">
        <f>'1.2 OmniTot'!GI28</f>
        <v>1881</v>
      </c>
      <c r="R28" s="299">
        <f>'1.2 OmniTot'!GJ28</f>
        <v>1706.8700000000001</v>
      </c>
      <c r="S28" s="299">
        <f>'1.2 OmniTot'!GK28</f>
        <v>1775.04</v>
      </c>
      <c r="T28" s="299">
        <f>'1.2 OmniTot'!GL28</f>
        <v>1724.1499999999999</v>
      </c>
      <c r="U28" s="299">
        <f>'1.2 OmniTot'!GM28</f>
        <v>1683.0299999999997</v>
      </c>
      <c r="V28" s="299">
        <f>'1.2 OmniTot'!GN28</f>
        <v>1732.21</v>
      </c>
      <c r="W28" s="299"/>
    </row>
    <row r="29" spans="1:23">
      <c r="B29" s="296"/>
      <c r="C29" s="294"/>
      <c r="D29" s="291" t="s">
        <v>1642</v>
      </c>
      <c r="E29" s="291"/>
      <c r="F29" s="291"/>
      <c r="G29" s="1430">
        <f>INDEX(I29:V29,$H$145)</f>
        <v>117314.88600000001</v>
      </c>
      <c r="H29" s="299"/>
      <c r="I29" s="299">
        <f>SUM(K29:V29)</f>
        <v>100757.48699999999</v>
      </c>
      <c r="J29" s="299">
        <f>SUM(T29:V29)*4</f>
        <v>117314.88600000001</v>
      </c>
      <c r="K29" s="299">
        <f>'1.2 OmniTot'!GC31</f>
        <v>7147.2780000000021</v>
      </c>
      <c r="L29" s="299">
        <f>'1.2 OmniTot'!GD31</f>
        <v>7012.8744000000033</v>
      </c>
      <c r="M29" s="299">
        <f>'1.2 OmniTot'!GE31</f>
        <v>6726.6392999999935</v>
      </c>
      <c r="N29" s="299">
        <f>'1.2 OmniTot'!GF31</f>
        <v>7667.3372999999992</v>
      </c>
      <c r="O29" s="299">
        <f>'1.2 OmniTot'!GG31</f>
        <v>7965.2207999999991</v>
      </c>
      <c r="P29" s="299">
        <f>'1.2 OmniTot'!GH31</f>
        <v>8442.1685999999972</v>
      </c>
      <c r="Q29" s="299">
        <f>'1.2 OmniTot'!GI31</f>
        <v>8411.6969999999965</v>
      </c>
      <c r="R29" s="299">
        <f>'1.2 OmniTot'!GJ31</f>
        <v>9080.6646000000001</v>
      </c>
      <c r="S29" s="299">
        <f>'1.2 OmniTot'!GK31</f>
        <v>8974.885499999993</v>
      </c>
      <c r="T29" s="299">
        <f>'1.2 OmniTot'!GL31</f>
        <v>9440.738400000002</v>
      </c>
      <c r="U29" s="299">
        <f>'1.2 OmniTot'!GM31</f>
        <v>10134.373199999998</v>
      </c>
      <c r="V29" s="299">
        <f>'1.2 OmniTot'!GN31</f>
        <v>9753.6099000000031</v>
      </c>
      <c r="W29" s="299"/>
    </row>
    <row r="30" spans="1:23">
      <c r="B30" s="296"/>
      <c r="C30" s="294"/>
      <c r="D30" s="291" t="s">
        <v>1643</v>
      </c>
      <c r="E30" s="291"/>
      <c r="F30" s="291"/>
      <c r="G30" s="1430">
        <f>INDEX(I30:V30,$H$145)</f>
        <v>11.545168233026814</v>
      </c>
      <c r="H30" s="299"/>
      <c r="I30" s="299">
        <f>AVERAGE(K30:V30)</f>
        <v>9.7451733844550059</v>
      </c>
      <c r="J30" s="299">
        <f>AVERAGE(T30:V30)</f>
        <v>11.545168233026814</v>
      </c>
      <c r="K30" s="299">
        <f>'1.2 OmniTot'!GC32</f>
        <v>8.0552159072613136</v>
      </c>
      <c r="L30" s="299">
        <f>'1.2 OmniTot'!GD32</f>
        <v>8.3500800816465439</v>
      </c>
      <c r="M30" s="299">
        <f>'1.2 OmniTot'!GE32</f>
        <v>8.779876020883826</v>
      </c>
      <c r="N30" s="299">
        <f>'1.2 OmniTot'!GF32</f>
        <v>8.9007232338308455</v>
      </c>
      <c r="O30" s="299">
        <f>'1.2 OmniTot'!GG32</f>
        <v>8.7488695433861601</v>
      </c>
      <c r="P30" s="299">
        <f>'1.2 OmniTot'!GH32</f>
        <v>9.0943644506001817</v>
      </c>
      <c r="Q30" s="299">
        <f>'1.2 OmniTot'!GI32</f>
        <v>9.9244697454913151</v>
      </c>
      <c r="R30" s="299">
        <f>'1.2 OmniTot'!GJ32</f>
        <v>10.290537833899952</v>
      </c>
      <c r="S30" s="299">
        <f>'1.2 OmniTot'!GK32</f>
        <v>10.16243909737948</v>
      </c>
      <c r="T30" s="299">
        <f>'1.2 OmniTot'!GL32</f>
        <v>11.575611981082504</v>
      </c>
      <c r="U30" s="299">
        <f>'1.2 OmniTot'!GM32</f>
        <v>11.328746790162885</v>
      </c>
      <c r="V30" s="299">
        <f>'1.2 OmniTot'!GN32</f>
        <v>11.731145927835055</v>
      </c>
      <c r="W30" s="299"/>
    </row>
    <row r="31" spans="1:23">
      <c r="B31" s="296"/>
      <c r="C31" s="294"/>
      <c r="D31" s="291" t="s">
        <v>1644</v>
      </c>
      <c r="E31" s="291"/>
      <c r="F31" s="291"/>
      <c r="G31" s="2243">
        <f>INDEX(I31:W31,$H$147)</f>
        <v>107775.88</v>
      </c>
      <c r="H31" s="299"/>
      <c r="I31" s="299">
        <f>SUM(K31:V31)</f>
        <v>107775.88</v>
      </c>
      <c r="J31" s="299">
        <f>SUM(T31:V31)*4</f>
        <v>112395.16</v>
      </c>
      <c r="K31" s="299">
        <f>'1.2 OmniTot'!GC30</f>
        <v>7992.3799999999992</v>
      </c>
      <c r="L31" s="299">
        <f>'1.2 OmniTot'!GD30</f>
        <v>7814.7899999999991</v>
      </c>
      <c r="M31" s="299">
        <f>'1.2 OmniTot'!GE30</f>
        <v>8173.3700000000008</v>
      </c>
      <c r="N31" s="299">
        <f>'1.2 OmniTot'!GF30</f>
        <v>8463.5000000000018</v>
      </c>
      <c r="O31" s="299">
        <f>'1.2 OmniTot'!GG30</f>
        <v>8759.66</v>
      </c>
      <c r="P31" s="299">
        <f>'1.2 OmniTot'!GH30</f>
        <v>9696.119999999999</v>
      </c>
      <c r="Q31" s="299">
        <f>'1.2 OmniTot'!GI30</f>
        <v>9427.5300000000007</v>
      </c>
      <c r="R31" s="299">
        <f>'1.2 OmniTot'!GJ30</f>
        <v>9809.2099999999991</v>
      </c>
      <c r="S31" s="299">
        <f>'1.2 OmniTot'!GK30</f>
        <v>9540.5300000000007</v>
      </c>
      <c r="T31" s="299">
        <f>'1.2 OmniTot'!GL30</f>
        <v>8908.9900000000016</v>
      </c>
      <c r="U31" s="299">
        <f>'1.2 OmniTot'!GM30</f>
        <v>9612</v>
      </c>
      <c r="V31" s="299">
        <f>'1.2 OmniTot'!GN30</f>
        <v>9577.8000000000011</v>
      </c>
      <c r="W31" s="299">
        <f>IF(COUNTIF($K$5:$V$5,"FY11")=0,0,SUMIF($K$5:$V$5,"FY11",K31:V31)*(12/COUNTIF($K$5:$V$5,"FY11")))</f>
        <v>0</v>
      </c>
    </row>
    <row r="32" spans="1:23">
      <c r="B32" s="296"/>
      <c r="C32" s="294"/>
      <c r="D32" s="291" t="s">
        <v>1645</v>
      </c>
      <c r="E32" s="291"/>
      <c r="F32" s="291"/>
      <c r="G32" s="2243">
        <f>INDEX(I32:W32,$H$147)</f>
        <v>10.425215915088778</v>
      </c>
      <c r="H32" s="299"/>
      <c r="I32" s="299">
        <f>AVERAGE(K32:V32)</f>
        <v>10.425215915088778</v>
      </c>
      <c r="J32" s="299">
        <f>AVERAGE(T32:V32)</f>
        <v>11.062705927443522</v>
      </c>
      <c r="K32" s="299">
        <f>'1.2 OmniTot'!GC33</f>
        <v>9.0076734825309934</v>
      </c>
      <c r="L32" s="299">
        <f>'1.2 OmniTot'!GD33</f>
        <v>9.3049038952202761</v>
      </c>
      <c r="M32" s="299">
        <f>'1.2 OmniTot'!GE33</f>
        <v>10.668206227857544</v>
      </c>
      <c r="N32" s="299">
        <f>'1.2 OmniTot'!GF33</f>
        <v>9.8249585406301847</v>
      </c>
      <c r="O32" s="299">
        <f>'1.2 OmniTot'!GG33</f>
        <v>9.621468696061509</v>
      </c>
      <c r="P32" s="299">
        <f>'1.2 OmniTot'!GH33</f>
        <v>10.445189289012003</v>
      </c>
      <c r="Q32" s="299">
        <f>'1.2 OmniTot'!GI33</f>
        <v>11.122991741109052</v>
      </c>
      <c r="R32" s="299">
        <f>'1.2 OmniTot'!GJ33</f>
        <v>11.11615185365064</v>
      </c>
      <c r="S32" s="299">
        <f>'1.2 OmniTot'!GK33</f>
        <v>10.802929472662569</v>
      </c>
      <c r="T32" s="299">
        <f>'1.2 OmniTot'!GL33</f>
        <v>10.923617095813629</v>
      </c>
      <c r="U32" s="299">
        <f>'1.2 OmniTot'!GM33</f>
        <v>10.744809964867455</v>
      </c>
      <c r="V32" s="299">
        <f>'1.2 OmniTot'!GN33</f>
        <v>11.519690721649486</v>
      </c>
      <c r="W32" s="299">
        <f>IF(SUMIF($K$5:$V$5,"FY11",'1.2 OmniTot'!GC30:GN30)=0,0,SUMIF($K$5:$V$5,"FY11",'1.2 OmniTot'!GC30:GN30)/(SUMIF($K$5:$V$5,"FY11",'1.2 OmniTot'!GC55:GN55)+SUMIF($K$5:$V$5,"FY11",'1.2 OmniTot'!GC86:GN86)))</f>
        <v>0</v>
      </c>
    </row>
    <row r="33" spans="2:23">
      <c r="B33" s="296"/>
      <c r="C33" s="294" t="s">
        <v>1393</v>
      </c>
      <c r="D33" s="301"/>
      <c r="E33" s="291"/>
      <c r="F33" s="291"/>
      <c r="G33" s="299"/>
      <c r="H33" s="299"/>
      <c r="I33" s="299"/>
      <c r="J33" s="299"/>
      <c r="K33" s="299"/>
      <c r="L33" s="299"/>
      <c r="M33" s="299"/>
      <c r="N33" s="299"/>
      <c r="O33" s="299"/>
      <c r="P33" s="299"/>
      <c r="Q33" s="299"/>
      <c r="R33" s="299"/>
      <c r="S33" s="299"/>
      <c r="T33" s="299"/>
      <c r="U33" s="299"/>
      <c r="V33" s="299"/>
      <c r="W33" s="299"/>
    </row>
    <row r="34" spans="2:23">
      <c r="B34" s="296"/>
      <c r="C34" s="294"/>
      <c r="D34" s="294" t="s">
        <v>3705</v>
      </c>
      <c r="E34" s="291"/>
      <c r="F34" s="291"/>
      <c r="G34" s="299">
        <f>INDEX(I34:V34,$H$145)</f>
        <v>36.140467634829321</v>
      </c>
      <c r="H34" s="299"/>
      <c r="I34" s="299">
        <f>AVERAGE(K34:V34)</f>
        <v>31.271416455352867</v>
      </c>
      <c r="J34" s="299">
        <f>AVERAGE(T34:V34)</f>
        <v>36.140467634829321</v>
      </c>
      <c r="K34" s="299">
        <f>'1.2 OmniTot'!GC35</f>
        <v>25.721904225352116</v>
      </c>
      <c r="L34" s="299">
        <f>'1.2 OmniTot'!GD35</f>
        <v>25.854228367528993</v>
      </c>
      <c r="M34" s="299">
        <f>'1.2 OmniTot'!GE35</f>
        <v>28.621957836247756</v>
      </c>
      <c r="N34" s="299">
        <f>'1.2 OmniTot'!GF35</f>
        <v>26.590786182251342</v>
      </c>
      <c r="O34" s="299">
        <f>'1.2 OmniTot'!GG35</f>
        <v>27.269852032753914</v>
      </c>
      <c r="P34" s="299">
        <f>'1.2 OmniTot'!GH35</f>
        <v>33.00003080369644</v>
      </c>
      <c r="Q34" s="299">
        <f>'1.2 OmniTot'!GI35</f>
        <v>30.992793296089388</v>
      </c>
      <c r="R34" s="299">
        <f>'1.2 OmniTot'!GJ35</f>
        <v>31.282188049209143</v>
      </c>
      <c r="S34" s="299">
        <f>'1.2 OmniTot'!GK35</f>
        <v>37.50185376661743</v>
      </c>
      <c r="T34" s="299">
        <f>'1.2 OmniTot'!GL35</f>
        <v>40.742798223350256</v>
      </c>
      <c r="U34" s="299">
        <f>'1.2 OmniTot'!GM35</f>
        <v>34.916168944460601</v>
      </c>
      <c r="V34" s="299">
        <f>'1.2 OmniTot'!GN35</f>
        <v>32.762435736677112</v>
      </c>
      <c r="W34" s="299"/>
    </row>
    <row r="35" spans="2:23">
      <c r="B35" s="296"/>
      <c r="C35" s="297"/>
      <c r="D35" s="297" t="s">
        <v>3706</v>
      </c>
      <c r="E35" s="291"/>
      <c r="F35" s="291"/>
      <c r="G35" s="299"/>
      <c r="H35" s="299"/>
      <c r="I35" s="299"/>
      <c r="J35" s="299"/>
      <c r="K35" s="299"/>
      <c r="L35" s="299"/>
      <c r="M35" s="299"/>
      <c r="N35" s="299"/>
      <c r="O35" s="299"/>
      <c r="P35" s="299"/>
      <c r="Q35" s="299"/>
      <c r="R35" s="299"/>
      <c r="S35" s="299"/>
      <c r="T35" s="299"/>
      <c r="U35" s="299"/>
      <c r="V35" s="299"/>
      <c r="W35" s="299"/>
    </row>
    <row r="36" spans="2:23">
      <c r="B36" s="296"/>
      <c r="C36" s="297"/>
      <c r="D36" s="297" t="s">
        <v>3682</v>
      </c>
      <c r="E36" s="300"/>
      <c r="F36" s="291"/>
      <c r="G36" s="299">
        <f>INDEX(I36:V36,$H$145)</f>
        <v>33620.01666666667</v>
      </c>
      <c r="H36" s="299"/>
      <c r="I36" s="299">
        <f>AVERAGE(K36:V36)</f>
        <v>29868.743333333332</v>
      </c>
      <c r="J36" s="299">
        <f>AVERAGE(T36:V36)</f>
        <v>33620.01666666667</v>
      </c>
      <c r="K36" s="299">
        <f>'1.2 OmniTot'!GC34</f>
        <v>26089.360000000001</v>
      </c>
      <c r="L36" s="299">
        <f>'1.2 OmniTot'!GD34</f>
        <v>24842.22</v>
      </c>
      <c r="M36" s="299">
        <f>'1.2 OmniTot'!GE34</f>
        <v>25019.68</v>
      </c>
      <c r="N36" s="299">
        <f>'1.2 OmniTot'!GF34</f>
        <v>25511.96</v>
      </c>
      <c r="O36" s="299">
        <f>'1.2 OmniTot'!GG34</f>
        <v>27117.919999999998</v>
      </c>
      <c r="P36" s="299">
        <f>'1.2 OmniTot'!GH34</f>
        <v>33669.46</v>
      </c>
      <c r="Q36" s="299">
        <f>'1.2 OmniTot'!GI34</f>
        <v>28531.08</v>
      </c>
      <c r="R36" s="299">
        <f>'1.2 OmniTot'!GJ34</f>
        <v>30513.54</v>
      </c>
      <c r="S36" s="299">
        <f>'1.2 OmniTot'!GK34</f>
        <v>36269.65</v>
      </c>
      <c r="T36" s="299">
        <f>'1.2 OmniTot'!GL34</f>
        <v>36691.800000000003</v>
      </c>
      <c r="U36" s="299">
        <f>'1.2 OmniTot'!GM34</f>
        <v>34307.630000000005</v>
      </c>
      <c r="V36" s="299">
        <f>'1.2 OmniTot'!GN34</f>
        <v>29860.62</v>
      </c>
      <c r="W36" s="299"/>
    </row>
    <row r="37" spans="2:23">
      <c r="B37" s="287" t="s">
        <v>1746</v>
      </c>
      <c r="G37" s="299"/>
      <c r="H37" s="299"/>
      <c r="I37" s="299"/>
      <c r="J37" s="299"/>
      <c r="K37" s="299"/>
      <c r="L37" s="299"/>
      <c r="M37" s="299"/>
      <c r="N37" s="299"/>
      <c r="O37" s="299"/>
      <c r="P37" s="299"/>
      <c r="Q37" s="299"/>
      <c r="R37" s="299"/>
      <c r="S37" s="299"/>
      <c r="T37" s="299"/>
      <c r="U37" s="299"/>
      <c r="V37" s="299"/>
      <c r="W37" s="299"/>
    </row>
    <row r="38" spans="2:23">
      <c r="C38" s="287" t="s">
        <v>5</v>
      </c>
      <c r="G38" s="299"/>
      <c r="H38" s="299"/>
      <c r="I38" s="299"/>
      <c r="J38" s="299"/>
      <c r="K38" s="299"/>
      <c r="L38" s="299"/>
      <c r="M38" s="299"/>
      <c r="N38" s="299"/>
      <c r="O38" s="299"/>
      <c r="P38" s="299"/>
      <c r="Q38" s="299"/>
      <c r="R38" s="299"/>
      <c r="S38" s="299"/>
      <c r="T38" s="299"/>
      <c r="U38" s="299"/>
      <c r="V38" s="299"/>
      <c r="W38" s="299"/>
    </row>
    <row r="39" spans="2:23">
      <c r="D39" s="291" t="s">
        <v>1665</v>
      </c>
      <c r="E39" s="291"/>
      <c r="F39" s="291" t="s">
        <v>3529</v>
      </c>
      <c r="G39" s="1430">
        <f>INDEX($I39:$V39,$H$143)</f>
        <v>6972</v>
      </c>
      <c r="H39" s="299"/>
      <c r="I39" s="299">
        <f>SUM(K39:V39)</f>
        <v>7425</v>
      </c>
      <c r="J39" s="299">
        <f>SUM(T39:V39)*4</f>
        <v>6972</v>
      </c>
      <c r="K39" s="299">
        <f>'1.2 OmniTot'!GC56</f>
        <v>653</v>
      </c>
      <c r="L39" s="299">
        <f>'1.2 OmniTot'!GD56</f>
        <v>633</v>
      </c>
      <c r="M39" s="299">
        <f>'1.2 OmniTot'!GE56</f>
        <v>584</v>
      </c>
      <c r="N39" s="299">
        <f>'1.2 OmniTot'!GF56</f>
        <v>643</v>
      </c>
      <c r="O39" s="299">
        <f>'1.2 OmniTot'!GG56</f>
        <v>671</v>
      </c>
      <c r="P39" s="299">
        <f>'1.2 OmniTot'!GH56</f>
        <v>678</v>
      </c>
      <c r="Q39" s="299">
        <f>'1.2 OmniTot'!GI56</f>
        <v>592</v>
      </c>
      <c r="R39" s="299">
        <f>'1.2 OmniTot'!GJ56</f>
        <v>624</v>
      </c>
      <c r="S39" s="299">
        <f>'1.2 OmniTot'!GK56</f>
        <v>604</v>
      </c>
      <c r="T39" s="299">
        <f>'1.2 OmniTot'!GL56</f>
        <v>559</v>
      </c>
      <c r="U39" s="299">
        <f>'1.2 OmniTot'!GM56</f>
        <v>622</v>
      </c>
      <c r="V39" s="299">
        <f>'1.2 OmniTot'!GN56</f>
        <v>562</v>
      </c>
      <c r="W39" s="299"/>
    </row>
    <row r="40" spans="2:23">
      <c r="D40" s="291"/>
      <c r="E40" s="294"/>
      <c r="F40" s="291" t="s">
        <v>3666</v>
      </c>
      <c r="G40" s="299">
        <f>INDEX($I40:$V40,$H$143)</f>
        <v>49.666666666666664</v>
      </c>
      <c r="H40" s="299"/>
      <c r="I40" s="299">
        <f>AVERAGE(K40:V40)</f>
        <v>51.416666666666664</v>
      </c>
      <c r="J40" s="299">
        <f>AVERAGE(T40:V40)</f>
        <v>49.666666666666664</v>
      </c>
      <c r="K40" s="299">
        <f>'1.2 OmniTot'!GC53</f>
        <v>53</v>
      </c>
      <c r="L40" s="299">
        <f>'1.2 OmniTot'!GD53</f>
        <v>54</v>
      </c>
      <c r="M40" s="299">
        <f>'1.2 OmniTot'!GE53</f>
        <v>50</v>
      </c>
      <c r="N40" s="299">
        <f>'1.2 OmniTot'!GF53</f>
        <v>57</v>
      </c>
      <c r="O40" s="299">
        <f>'1.2 OmniTot'!GG53</f>
        <v>55</v>
      </c>
      <c r="P40" s="299">
        <f>'1.2 OmniTot'!GH53</f>
        <v>51</v>
      </c>
      <c r="Q40" s="299">
        <f>'1.2 OmniTot'!GI53</f>
        <v>50</v>
      </c>
      <c r="R40" s="299">
        <f>'1.2 OmniTot'!GJ53</f>
        <v>49</v>
      </c>
      <c r="S40" s="299">
        <f>'1.2 OmniTot'!GK53</f>
        <v>49</v>
      </c>
      <c r="T40" s="299">
        <f>'1.2 OmniTot'!GL53</f>
        <v>49</v>
      </c>
      <c r="U40" s="299">
        <f>'1.2 OmniTot'!GM53</f>
        <v>50</v>
      </c>
      <c r="V40" s="299">
        <f>'1.2 OmniTot'!GN53</f>
        <v>50</v>
      </c>
      <c r="W40" s="299"/>
    </row>
    <row r="41" spans="2:23">
      <c r="D41" s="291" t="s">
        <v>1826</v>
      </c>
      <c r="E41" s="291"/>
      <c r="F41" s="294" t="s">
        <v>3529</v>
      </c>
      <c r="G41" s="1430">
        <f>INDEX($I41:$V41,$H$143)</f>
        <v>320</v>
      </c>
      <c r="H41" s="299"/>
      <c r="I41" s="299">
        <f>SUM(K41:V41)</f>
        <v>260</v>
      </c>
      <c r="J41" s="299">
        <f>SUM(T41:V41)*4</f>
        <v>320</v>
      </c>
      <c r="K41" s="299">
        <f>'1.2 OmniTot'!GC58</f>
        <v>14</v>
      </c>
      <c r="L41" s="299">
        <f>'1.2 OmniTot'!GD58</f>
        <v>13</v>
      </c>
      <c r="M41" s="299">
        <f>'1.2 OmniTot'!GE58</f>
        <v>8</v>
      </c>
      <c r="N41" s="299">
        <f>'1.2 OmniTot'!GF58</f>
        <v>12</v>
      </c>
      <c r="O41" s="299">
        <f>'1.2 OmniTot'!GG58</f>
        <v>17</v>
      </c>
      <c r="P41" s="299">
        <f>'1.2 OmniTot'!GH58</f>
        <v>27</v>
      </c>
      <c r="Q41" s="299">
        <f>'1.2 OmniTot'!GI58</f>
        <v>34</v>
      </c>
      <c r="R41" s="299">
        <f>'1.2 OmniTot'!GJ58</f>
        <v>29</v>
      </c>
      <c r="S41" s="299">
        <f>'1.2 OmniTot'!GK58</f>
        <v>26</v>
      </c>
      <c r="T41" s="299">
        <f>'1.2 OmniTot'!GL58</f>
        <v>26</v>
      </c>
      <c r="U41" s="299">
        <f>'1.2 OmniTot'!GM58</f>
        <v>27</v>
      </c>
      <c r="V41" s="299">
        <f>'1.2 OmniTot'!GN58</f>
        <v>27</v>
      </c>
      <c r="W41" s="299"/>
    </row>
    <row r="42" spans="2:23">
      <c r="D42" s="291"/>
      <c r="E42" s="291"/>
      <c r="F42" s="291" t="s">
        <v>3666</v>
      </c>
      <c r="G42" s="299"/>
      <c r="H42" s="299"/>
      <c r="I42" s="299"/>
      <c r="J42" s="299"/>
      <c r="K42" s="299"/>
      <c r="L42" s="299"/>
      <c r="M42" s="299"/>
      <c r="N42" s="299"/>
      <c r="O42" s="299"/>
      <c r="P42" s="299"/>
      <c r="Q42" s="299"/>
      <c r="R42" s="299"/>
      <c r="S42" s="299"/>
      <c r="T42" s="299"/>
      <c r="U42" s="299"/>
      <c r="V42" s="299"/>
      <c r="W42" s="299"/>
    </row>
    <row r="43" spans="2:23">
      <c r="C43" s="287" t="s">
        <v>6</v>
      </c>
      <c r="D43" s="291"/>
      <c r="E43" s="291"/>
      <c r="F43" s="291"/>
      <c r="G43" s="299"/>
      <c r="H43" s="299"/>
      <c r="I43" s="299"/>
      <c r="J43" s="299"/>
      <c r="K43" s="299"/>
      <c r="L43" s="299"/>
      <c r="M43" s="299"/>
      <c r="N43" s="299"/>
      <c r="O43" s="299"/>
      <c r="P43" s="299"/>
      <c r="Q43" s="299"/>
      <c r="R43" s="299"/>
      <c r="S43" s="299"/>
      <c r="T43" s="299"/>
      <c r="U43" s="299"/>
      <c r="V43" s="299"/>
      <c r="W43" s="299"/>
    </row>
    <row r="44" spans="2:23">
      <c r="D44" s="291" t="s">
        <v>1665</v>
      </c>
      <c r="E44" s="291"/>
      <c r="F44" s="294" t="s">
        <v>3529</v>
      </c>
      <c r="G44" s="1430">
        <f>INDEX($I44:$V44,$H$143)</f>
        <v>1967.4285714285716</v>
      </c>
      <c r="H44" s="299"/>
      <c r="I44" s="299">
        <f>SUM(K44:V44)</f>
        <v>1996.7142857142858</v>
      </c>
      <c r="J44" s="299">
        <f>SUM(T44:V44)*4</f>
        <v>1967.4285714285716</v>
      </c>
      <c r="K44" s="299">
        <f>'1.2 OmniTot'!GC87</f>
        <v>189.42857142857139</v>
      </c>
      <c r="L44" s="299">
        <f>'1.2 OmniTot'!GD87</f>
        <v>167.28571428571428</v>
      </c>
      <c r="M44" s="299">
        <f>'1.2 OmniTot'!GE87</f>
        <v>143.57142857142856</v>
      </c>
      <c r="N44" s="299">
        <f>'1.2 OmniTot'!GF87</f>
        <v>166.57142857142856</v>
      </c>
      <c r="O44" s="299">
        <f>'1.2 OmniTot'!GG87</f>
        <v>183.85714285714289</v>
      </c>
      <c r="P44" s="299">
        <f>'1.2 OmniTot'!GH87</f>
        <v>183.42857142857144</v>
      </c>
      <c r="Q44" s="299">
        <f>'1.2 OmniTot'!GI87</f>
        <v>141.14285714285714</v>
      </c>
      <c r="R44" s="299">
        <f>'1.2 OmniTot'!GJ87</f>
        <v>156.8571428571428</v>
      </c>
      <c r="S44" s="299">
        <f>'1.2 OmniTot'!GK87</f>
        <v>172.71428571428572</v>
      </c>
      <c r="T44" s="299">
        <f>'1.2 OmniTot'!GL87</f>
        <v>153.42857142857144</v>
      </c>
      <c r="U44" s="299">
        <f>'1.2 OmniTot'!GM87</f>
        <v>173.14285714285711</v>
      </c>
      <c r="V44" s="299">
        <f>'1.2 OmniTot'!GN87</f>
        <v>165.28571428571433</v>
      </c>
      <c r="W44" s="299"/>
    </row>
    <row r="45" spans="2:23">
      <c r="D45" s="291"/>
      <c r="E45" s="294"/>
      <c r="F45" s="291" t="s">
        <v>3666</v>
      </c>
      <c r="G45" s="1430">
        <f>INDEX($I45:$V45,$H$143)</f>
        <v>19</v>
      </c>
      <c r="H45" s="299"/>
      <c r="I45" s="299">
        <f>AVERAGE(K45:V45)</f>
        <v>18</v>
      </c>
      <c r="J45" s="299">
        <f>AVERAGE(T45:V45)</f>
        <v>19</v>
      </c>
      <c r="K45" s="299">
        <f>'1.2 OmniTot'!GC54</f>
        <v>16</v>
      </c>
      <c r="L45" s="299">
        <f>'1.2 OmniTot'!GD54</f>
        <v>17</v>
      </c>
      <c r="M45" s="299">
        <f>'1.2 OmniTot'!GE54</f>
        <v>18</v>
      </c>
      <c r="N45" s="299">
        <f>'1.2 OmniTot'!GF54</f>
        <v>17</v>
      </c>
      <c r="O45" s="299">
        <f>'1.2 OmniTot'!GG54</f>
        <v>19</v>
      </c>
      <c r="P45" s="299">
        <f>'1.2 OmniTot'!GH54</f>
        <v>17</v>
      </c>
      <c r="Q45" s="299">
        <f>'1.2 OmniTot'!GI54</f>
        <v>18</v>
      </c>
      <c r="R45" s="299">
        <f>'1.2 OmniTot'!GJ54</f>
        <v>18</v>
      </c>
      <c r="S45" s="299">
        <f>'1.2 OmniTot'!GK54</f>
        <v>19</v>
      </c>
      <c r="T45" s="299">
        <f>'1.2 OmniTot'!GL54</f>
        <v>19</v>
      </c>
      <c r="U45" s="299">
        <f>'1.2 OmniTot'!GM54</f>
        <v>19</v>
      </c>
      <c r="V45" s="299">
        <f>'1.2 OmniTot'!GN54</f>
        <v>19</v>
      </c>
      <c r="W45" s="299"/>
    </row>
    <row r="46" spans="2:23">
      <c r="D46" s="291" t="s">
        <v>1826</v>
      </c>
      <c r="E46" s="291"/>
      <c r="F46" s="294" t="s">
        <v>3529</v>
      </c>
      <c r="G46" s="1430">
        <f>INDEX($I46:$V46,$H$143)</f>
        <v>906.85714285714278</v>
      </c>
      <c r="H46" s="299"/>
      <c r="I46" s="299">
        <f>SUM(K46:V46)</f>
        <v>666.42857142857144</v>
      </c>
      <c r="J46" s="299">
        <f>SUM(T46:V46)*4</f>
        <v>906.85714285714278</v>
      </c>
      <c r="K46" s="299">
        <f>'1.2 OmniTot'!GC88</f>
        <v>30.857142857142861</v>
      </c>
      <c r="L46" s="299">
        <f>'1.2 OmniTot'!GD88</f>
        <v>26.57142857142858</v>
      </c>
      <c r="M46" s="299">
        <f>'1.2 OmniTot'!GE88</f>
        <v>30.571428571428569</v>
      </c>
      <c r="N46" s="299">
        <f>'1.2 OmniTot'!GF88</f>
        <v>39.857142857142861</v>
      </c>
      <c r="O46" s="299">
        <f>'1.2 OmniTot'!GG88</f>
        <v>38.571428571428569</v>
      </c>
      <c r="P46" s="299">
        <f>'1.2 OmniTot'!GH88</f>
        <v>39.857142857142861</v>
      </c>
      <c r="Q46" s="299">
        <f>'1.2 OmniTot'!GI88</f>
        <v>80.428571428571431</v>
      </c>
      <c r="R46" s="299">
        <f>'1.2 OmniTot'!GJ88</f>
        <v>72.571428571428584</v>
      </c>
      <c r="S46" s="299">
        <f>'1.2 OmniTot'!GK88</f>
        <v>80.428571428571445</v>
      </c>
      <c r="T46" s="299">
        <f>'1.2 OmniTot'!GL88</f>
        <v>77.142857142857139</v>
      </c>
      <c r="U46" s="299">
        <f>'1.2 OmniTot'!GM88</f>
        <v>72.428571428571431</v>
      </c>
      <c r="V46" s="299">
        <f>'1.2 OmniTot'!GN88</f>
        <v>77.142857142857139</v>
      </c>
      <c r="W46" s="299"/>
    </row>
    <row r="47" spans="2:23">
      <c r="D47" s="291"/>
      <c r="E47" s="291"/>
      <c r="F47" s="291" t="s">
        <v>3666</v>
      </c>
      <c r="G47" s="299"/>
      <c r="H47" s="299"/>
      <c r="I47" s="299"/>
      <c r="J47" s="299"/>
      <c r="K47" s="299"/>
      <c r="L47" s="299"/>
      <c r="M47" s="299"/>
      <c r="N47" s="299"/>
      <c r="O47" s="299"/>
      <c r="P47" s="299"/>
      <c r="Q47" s="299"/>
      <c r="R47" s="299"/>
      <c r="S47" s="299"/>
      <c r="T47" s="299"/>
      <c r="U47" s="299"/>
      <c r="V47" s="299"/>
      <c r="W47" s="299"/>
    </row>
    <row r="48" spans="2:23">
      <c r="B48" s="287" t="s">
        <v>1747</v>
      </c>
      <c r="E48" s="314"/>
      <c r="F48" s="208"/>
      <c r="G48" s="313"/>
      <c r="H48" s="313"/>
      <c r="I48" s="299"/>
      <c r="J48" s="299"/>
      <c r="K48" s="299"/>
      <c r="L48" s="299"/>
      <c r="M48" s="299"/>
      <c r="N48" s="299"/>
      <c r="O48" s="299"/>
      <c r="P48" s="299"/>
      <c r="Q48" s="299"/>
      <c r="R48" s="299"/>
      <c r="S48" s="299"/>
      <c r="T48" s="299"/>
      <c r="U48" s="299"/>
      <c r="V48" s="299"/>
      <c r="W48" s="299"/>
    </row>
    <row r="49" spans="3:26">
      <c r="C49" s="287" t="s">
        <v>5</v>
      </c>
      <c r="E49" s="301"/>
      <c r="F49" s="208"/>
      <c r="G49" s="313"/>
      <c r="H49" s="313"/>
      <c r="I49" s="299"/>
      <c r="J49" s="299"/>
      <c r="K49" s="299"/>
      <c r="L49" s="299"/>
      <c r="M49" s="299"/>
      <c r="N49" s="299"/>
      <c r="O49" s="299"/>
      <c r="P49" s="299"/>
      <c r="Q49" s="299"/>
      <c r="R49" s="299"/>
      <c r="S49" s="299"/>
      <c r="T49" s="299"/>
      <c r="U49" s="299"/>
      <c r="V49" s="299"/>
      <c r="W49" s="299"/>
    </row>
    <row r="50" spans="3:26">
      <c r="D50" s="291" t="s">
        <v>1666</v>
      </c>
      <c r="E50" s="291"/>
      <c r="F50" s="291" t="s">
        <v>3529</v>
      </c>
      <c r="G50" s="2937">
        <f>MAX(0,INDEX($I50:$V50,$H$143))</f>
        <v>932</v>
      </c>
      <c r="H50" s="2937"/>
      <c r="I50" s="2548">
        <f>SUM(K50:V50)</f>
        <v>927</v>
      </c>
      <c r="J50" s="2548">
        <f>SUM(T50:V50)*4</f>
        <v>932</v>
      </c>
      <c r="K50" s="2548">
        <f>'1.2 OmniTot'!GC282-'1.2 EssPL'!K52</f>
        <v>98</v>
      </c>
      <c r="L50" s="2548">
        <f>'1.2 OmniTot'!GD282-'1.2 EssPL'!L52</f>
        <v>86</v>
      </c>
      <c r="M50" s="2548">
        <f>'1.2 OmniTot'!GE282-'1.2 EssPL'!M52</f>
        <v>85</v>
      </c>
      <c r="N50" s="2548">
        <f>'1.2 OmniTot'!GF282-'1.2 EssPL'!N52</f>
        <v>72</v>
      </c>
      <c r="O50" s="2548">
        <f>'1.2 OmniTot'!GG282-'1.2 EssPL'!O52</f>
        <v>81</v>
      </c>
      <c r="P50" s="2548">
        <f>'1.2 OmniTot'!GH282-'1.2 EssPL'!P52</f>
        <v>76</v>
      </c>
      <c r="Q50" s="2548">
        <f>'1.2 OmniTot'!GI282-'1.2 EssPL'!Q52</f>
        <v>55</v>
      </c>
      <c r="R50" s="2548">
        <f>'1.2 OmniTot'!GJ282-'1.2 EssPL'!R52</f>
        <v>65</v>
      </c>
      <c r="S50" s="2548">
        <f>'1.2 OmniTot'!GK282-'1.2 EssPL'!S52</f>
        <v>76</v>
      </c>
      <c r="T50" s="2548">
        <f>'1.2 OmniTot'!GL282-'1.2 EssPL'!T52</f>
        <v>80</v>
      </c>
      <c r="U50" s="2548">
        <f>'1.2 OmniTot'!GM282-'1.2 EssPL'!U52</f>
        <v>78</v>
      </c>
      <c r="V50" s="2548">
        <f>'1.2 OmniTot'!GN282-'1.2 EssPL'!V52</f>
        <v>75</v>
      </c>
      <c r="W50" s="299"/>
      <c r="Z50" s="321"/>
    </row>
    <row r="51" spans="3:26">
      <c r="D51" s="291"/>
      <c r="E51" s="294"/>
      <c r="F51" s="291" t="s">
        <v>1752</v>
      </c>
      <c r="G51" s="2548">
        <f>MAX(0,INDEX($I51:$W51,$H$144))</f>
        <v>246.38991416309022</v>
      </c>
      <c r="H51" s="2937"/>
      <c r="I51" s="2548">
        <f>IF(SUM(K50:V50)=0,0,SUMPRODUCT(K51:V51,K50:V50)/SUM(K50:V50))</f>
        <v>266.58423948220059</v>
      </c>
      <c r="J51" s="2548">
        <f>IF(SUM(T50:V50)=0,0,SUMPRODUCT(T51:V51,T50:V50)/SUM(T50:V50))</f>
        <v>246.38991416309022</v>
      </c>
      <c r="K51" s="2548">
        <f>IF(K50=0,0,('1.2 OmniTot'!GC283-'1.2 OmniTot'!GC281)/('1.2 OmniTot'!GC282-'1.2 OmniTot'!GC280))</f>
        <v>279.82887755102024</v>
      </c>
      <c r="L51" s="2548">
        <f>IF(L50=0,0,('1.2 OmniTot'!GD283-'1.2 OmniTot'!GD281)/('1.2 OmniTot'!GD282-'1.2 OmniTot'!GD280))</f>
        <v>274.5533720930232</v>
      </c>
      <c r="M51" s="2548">
        <f>IF(M50=0,0,('1.2 OmniTot'!GE283-'1.2 OmniTot'!GE281)/('1.2 OmniTot'!GE282-'1.2 OmniTot'!GE280))</f>
        <v>264.12411764705888</v>
      </c>
      <c r="N51" s="2548">
        <f>IF(N50=0,0,('1.2 OmniTot'!GF283-'1.2 OmniTot'!GF281)/('1.2 OmniTot'!GF282-'1.2 OmniTot'!GF280))</f>
        <v>284.35069444444446</v>
      </c>
      <c r="O51" s="2548">
        <f>IF(O50=0,0,('1.2 OmniTot'!GG283-'1.2 OmniTot'!GG281)/('1.2 OmniTot'!GG282-'1.2 OmniTot'!GG280))</f>
        <v>266.67296296296274</v>
      </c>
      <c r="P51" s="2548">
        <f>IF(P50=0,0,('1.2 OmniTot'!GH283-'1.2 OmniTot'!GH281)/('1.2 OmniTot'!GH282-'1.2 OmniTot'!GH280))</f>
        <v>290.35710526315768</v>
      </c>
      <c r="Q51" s="2548">
        <f>IF(Q50=0,0,('1.2 OmniTot'!GI283-'1.2 OmniTot'!GI281)/('1.2 OmniTot'!GI282-'1.2 OmniTot'!GI280))</f>
        <v>272.15309090909113</v>
      </c>
      <c r="R51" s="2548">
        <f>IF(R50=0,0,('1.2 OmniTot'!GJ283-'1.2 OmniTot'!GJ281)/('1.2 OmniTot'!GJ282-'1.2 OmniTot'!GJ280))</f>
        <v>264.02830769230764</v>
      </c>
      <c r="S51" s="2548">
        <f>IF(S50=0,0,('1.2 OmniTot'!GK283-'1.2 OmniTot'!GK281)/('1.2 OmniTot'!GK282-'1.2 OmniTot'!GK280))</f>
        <v>262.60802631578935</v>
      </c>
      <c r="T51" s="2548">
        <f>IF(T50=0,0,('1.2 OmniTot'!GL283-'1.2 OmniTot'!GL281)/('1.2 OmniTot'!GL282-'1.2 OmniTot'!GL280))</f>
        <v>240.74800000000013</v>
      </c>
      <c r="U51" s="2548">
        <f>IF(U50=0,0,('1.2 OmniTot'!GM283-'1.2 OmniTot'!GM281)/('1.2 OmniTot'!GM282-'1.2 OmniTot'!GM280))</f>
        <v>248.83961538461526</v>
      </c>
      <c r="V51" s="2548">
        <f>IF(V50=0,0,('1.2 OmniTot'!GN283-'1.2 OmniTot'!GN281)/('1.2 OmniTot'!GN282-'1.2 OmniTot'!GN280))</f>
        <v>249.86026666666692</v>
      </c>
      <c r="W51" s="299">
        <f>IF(SUMIF('1.2 OmniTot'!$GC$4:$GN$4,"FY11",K50:V50)=0,0,(SUMIF('1.2 OmniTot'!$GC$4:$GN$4,"FY11",'1.2 OmniTot'!GC60:GN60)-SUMIF('1.2 OmniTot'!$GC$4:$GN$4,"FY11",'1.2 OmniTot'!GC59:GN59))/SUMIF('1.2 OmniTot'!$GC$4:$GN$4,"FY11",K50:V50))</f>
        <v>0</v>
      </c>
      <c r="X51" s="2313"/>
      <c r="Z51" s="321"/>
    </row>
    <row r="52" spans="3:26">
      <c r="D52" s="291" t="s">
        <v>1667</v>
      </c>
      <c r="E52" s="294"/>
      <c r="F52" s="291" t="s">
        <v>3529</v>
      </c>
      <c r="G52" s="2937">
        <f>MAX(0,INDEX($I52:$V52,$H$143))</f>
        <v>6040</v>
      </c>
      <c r="H52" s="2937"/>
      <c r="I52" s="2548">
        <f>SUM(K52:V52)</f>
        <v>6507</v>
      </c>
      <c r="J52" s="2548">
        <f>SUM(T52:V52)*4</f>
        <v>6040</v>
      </c>
      <c r="K52" s="2548">
        <f>'1.2 OmniTot'!GC280</f>
        <v>555</v>
      </c>
      <c r="L52" s="2548">
        <f>'1.2 OmniTot'!GD280</f>
        <v>547</v>
      </c>
      <c r="M52" s="2548">
        <f>'1.2 OmniTot'!GE280</f>
        <v>499</v>
      </c>
      <c r="N52" s="2548">
        <f>'1.2 OmniTot'!GF280</f>
        <v>571</v>
      </c>
      <c r="O52" s="2548">
        <f>'1.2 OmniTot'!GG280</f>
        <v>590</v>
      </c>
      <c r="P52" s="2548">
        <f>'1.2 OmniTot'!GH280</f>
        <v>602</v>
      </c>
      <c r="Q52" s="2548">
        <f>'1.2 OmniTot'!GI280</f>
        <v>546</v>
      </c>
      <c r="R52" s="2548">
        <f>'1.2 OmniTot'!GJ280</f>
        <v>559</v>
      </c>
      <c r="S52" s="2548">
        <f>'1.2 OmniTot'!GK280</f>
        <v>528</v>
      </c>
      <c r="T52" s="2548">
        <f>'1.2 OmniTot'!GL280</f>
        <v>479</v>
      </c>
      <c r="U52" s="2548">
        <f>'1.2 OmniTot'!GM280</f>
        <v>544</v>
      </c>
      <c r="V52" s="2548">
        <f>'1.2 OmniTot'!GN280</f>
        <v>487</v>
      </c>
      <c r="W52" s="299"/>
      <c r="Z52" s="321"/>
    </row>
    <row r="53" spans="3:26">
      <c r="D53" s="291"/>
      <c r="E53" s="294"/>
      <c r="F53" s="291" t="s">
        <v>1752</v>
      </c>
      <c r="G53" s="2548">
        <f>MAX(0,INDEX($I53:$W53,$H$144))</f>
        <v>261.505178807947</v>
      </c>
      <c r="H53" s="2937"/>
      <c r="I53" s="2548">
        <f>IF(SUM(K52:V52)=0,0,SUMPRODUCT(K53:V53,K52:V52)/SUM(K52:V52))</f>
        <v>255.64282772398954</v>
      </c>
      <c r="J53" s="2548">
        <f>IF(SUM(T52:V52)=0,0,SUMPRODUCT(T53:V53,T52:V52)/SUM(T52:V52))</f>
        <v>261.505178807947</v>
      </c>
      <c r="K53" s="2548">
        <f>IF(K52=0,0,'1.2 OmniTot'!GC281/'1.2 OmniTot'!GC280)</f>
        <v>247.25670270270271</v>
      </c>
      <c r="L53" s="2548">
        <f>IF(L52=0,0,'1.2 OmniTot'!GD281/'1.2 OmniTot'!GD280)</f>
        <v>259.54691042047534</v>
      </c>
      <c r="M53" s="2548">
        <f>IF(M52=0,0,'1.2 OmniTot'!GE281/'1.2 OmniTot'!GE280)</f>
        <v>261.13889779559122</v>
      </c>
      <c r="N53" s="2548">
        <f>IF(N52=0,0,'1.2 OmniTot'!GF281/'1.2 OmniTot'!GF280)</f>
        <v>257.24602451838877</v>
      </c>
      <c r="O53" s="2548">
        <f>IF(O52=0,0,'1.2 OmniTot'!GG281/'1.2 OmniTot'!GG280)</f>
        <v>252.9514406779661</v>
      </c>
      <c r="P53" s="2548">
        <f>IF(P52=0,0,'1.2 OmniTot'!GH281/'1.2 OmniTot'!GH280)</f>
        <v>253.90504983388703</v>
      </c>
      <c r="Q53" s="2548">
        <f>IF(Q52=0,0,'1.2 OmniTot'!GI281/'1.2 OmniTot'!GI280)</f>
        <v>251.44659340659339</v>
      </c>
      <c r="R53" s="2548">
        <f>IF(R52=0,0,'1.2 OmniTot'!GJ281/'1.2 OmniTot'!GJ280)</f>
        <v>252.72266547406082</v>
      </c>
      <c r="S53" s="2548">
        <f>IF(S52=0,0,'1.2 OmniTot'!GK281/'1.2 OmniTot'!GK280)</f>
        <v>249.13946969696966</v>
      </c>
      <c r="T53" s="2548">
        <f>IF(T52=0,0,'1.2 OmniTot'!GL281/'1.2 OmniTot'!GL280)</f>
        <v>261.35876826722335</v>
      </c>
      <c r="U53" s="2548">
        <f>IF(U52=0,0,'1.2 OmniTot'!GM281/'1.2 OmniTot'!GM280)</f>
        <v>262.43663602941177</v>
      </c>
      <c r="V53" s="2548">
        <f>IF(V52=0,0,'1.2 OmniTot'!GN281/'1.2 OmniTot'!GN280)</f>
        <v>260.60870636550311</v>
      </c>
      <c r="W53" s="2237" t="e">
        <f>IF(SUM(K52:V52)=0,0,SUMPRODUCT(--($K$5:$V$5="FY11"),K53:V53,K52:V52)/SUMIF($K$5:$V$5,"FY11",K52:V52))</f>
        <v>#DIV/0!</v>
      </c>
      <c r="X53" s="2313"/>
      <c r="Y53" s="2313"/>
      <c r="Z53" s="321"/>
    </row>
    <row r="54" spans="3:26">
      <c r="D54" s="291" t="s">
        <v>1753</v>
      </c>
      <c r="E54" s="291"/>
      <c r="F54" s="294" t="s">
        <v>3529</v>
      </c>
      <c r="G54" s="2937">
        <f>MAX(0,INDEX($I54:$V54,$H$143))</f>
        <v>160</v>
      </c>
      <c r="H54" s="2937"/>
      <c r="I54" s="2548">
        <f>SUM(K54:V54)</f>
        <v>89</v>
      </c>
      <c r="J54" s="2548">
        <f>SUM(T54:V54)*4</f>
        <v>160</v>
      </c>
      <c r="K54" s="2548">
        <f>('1.2 OmniTot'!GC58-K56)</f>
        <v>14</v>
      </c>
      <c r="L54" s="2548">
        <f>('1.2 OmniTot'!GD58-L56)</f>
        <v>0</v>
      </c>
      <c r="M54" s="2548">
        <f>('1.2 OmniTot'!GE58-M56)</f>
        <v>0</v>
      </c>
      <c r="N54" s="2548">
        <f>('1.2 OmniTot'!GF58-N56)</f>
        <v>0</v>
      </c>
      <c r="O54" s="2548">
        <f>('1.2 OmniTot'!GG58-O56)</f>
        <v>0</v>
      </c>
      <c r="P54" s="2548">
        <f>('1.2 OmniTot'!GH58-P56)</f>
        <v>13</v>
      </c>
      <c r="Q54" s="2548">
        <f>('1.2 OmniTot'!GI58-Q56)</f>
        <v>9</v>
      </c>
      <c r="R54" s="2548">
        <f>('1.2 OmniTot'!GJ58-R56)</f>
        <v>1</v>
      </c>
      <c r="S54" s="2548">
        <f>('1.2 OmniTot'!GK58-S56)</f>
        <v>12</v>
      </c>
      <c r="T54" s="2548">
        <f>('1.2 OmniTot'!GL58-T56)</f>
        <v>13</v>
      </c>
      <c r="U54" s="2548">
        <f>('1.2 OmniTot'!GM58-U56)</f>
        <v>13</v>
      </c>
      <c r="V54" s="2548">
        <f>('1.2 OmniTot'!GN58-V56)</f>
        <v>14</v>
      </c>
      <c r="W54" s="299"/>
      <c r="Z54" s="321"/>
    </row>
    <row r="55" spans="3:26">
      <c r="D55" s="291"/>
      <c r="E55" s="291"/>
      <c r="F55" s="291" t="s">
        <v>1752</v>
      </c>
      <c r="G55" s="2937">
        <f>MAX(0,INDEX($I55:$V55,$H$143))</f>
        <v>1781.7030000000002</v>
      </c>
      <c r="H55" s="2937"/>
      <c r="I55" s="2938">
        <f>IF(I54=0,0,(SUM('1.2 OmniTot'!GC62:GN62)-SUM('1.2 OmniTot'!GC50:GN50))/I54)</f>
        <v>2298.4559550561798</v>
      </c>
      <c r="J55" s="2938">
        <f>IF(J54=0,0,(SUM('1.2 OmniTot'!GL62:GN62)*4-SUM('1.2 OmniTot'!GL50:GN50)*4)/J54)</f>
        <v>1781.7030000000002</v>
      </c>
      <c r="K55" s="2548">
        <f>IF(K54=0,0,('1.2 OmniTot'!GC62-'1.2 OmniTot'!GC50)/K54)</f>
        <v>1504.4842857142855</v>
      </c>
      <c r="L55" s="2548">
        <f>IF(L54=0,0,('1.2 OmniTot'!GD62-'1.2 OmniTot'!GD50)/L54)</f>
        <v>0</v>
      </c>
      <c r="M55" s="2548">
        <f>IF(M54=0,0,('1.2 OmniTot'!GE62-'1.2 OmniTot'!GE50)/M54)</f>
        <v>0</v>
      </c>
      <c r="N55" s="2548">
        <f>IF(N54=0,0,('1.2 OmniTot'!GF62-'1.2 OmniTot'!GF50)/N54)</f>
        <v>0</v>
      </c>
      <c r="O55" s="2548">
        <f>IF(O54=0,0,('1.2 OmniTot'!GG62-'1.2 OmniTot'!GG50)/O54)</f>
        <v>0</v>
      </c>
      <c r="P55" s="2548">
        <f>IF(P54=0,0,('1.2 OmniTot'!GH62-'1.2 OmniTot'!GH50)/P54)</f>
        <v>1399.9153846153847</v>
      </c>
      <c r="Q55" s="2548">
        <f>IF(Q54=0,0,('1.2 OmniTot'!GI62-'1.2 OmniTot'!GI50)/Q54)</f>
        <v>2203.8377777777773</v>
      </c>
      <c r="R55" s="2548">
        <f>IF(R54=0,0,('1.2 OmniTot'!GJ62-'1.2 OmniTot'!GJ50)/R54)</f>
        <v>13547.989999999998</v>
      </c>
      <c r="S55" s="2548">
        <f>IF(S54=0,0,('1.2 OmniTot'!GK62-'1.2 OmniTot'!GK50)/S54)</f>
        <v>1693.7083333333333</v>
      </c>
      <c r="T55" s="2548">
        <f>IF(T54=0,0,('1.2 OmniTot'!GL62-'1.2 OmniTot'!GL50)/T54)</f>
        <v>1464.6846153846154</v>
      </c>
      <c r="U55" s="2548">
        <f>IF(U54=0,0,('1.2 OmniTot'!GM62-'1.2 OmniTot'!GM50)/U54)</f>
        <v>2474.0569230769233</v>
      </c>
      <c r="V55" s="2548">
        <f>IF(V54=0,0,('1.2 OmniTot'!GN62-'1.2 OmniTot'!GN50)/V54)</f>
        <v>1433.1771428571431</v>
      </c>
      <c r="W55" s="299"/>
      <c r="Z55" s="321"/>
    </row>
    <row r="56" spans="3:26">
      <c r="D56" s="291" t="s">
        <v>1754</v>
      </c>
      <c r="E56" s="291"/>
      <c r="F56" s="294" t="s">
        <v>3529</v>
      </c>
      <c r="G56" s="2937">
        <f>MAX(0,INDEX($I56:$V56,$H$143))</f>
        <v>160</v>
      </c>
      <c r="H56" s="2937"/>
      <c r="I56" s="2548">
        <f>SUM(K56:V56)</f>
        <v>171</v>
      </c>
      <c r="J56" s="2548">
        <f>SUM(T56:V56)*4</f>
        <v>160</v>
      </c>
      <c r="K56" s="2548">
        <f>'1.2 OmniTot'!GC49</f>
        <v>0</v>
      </c>
      <c r="L56" s="2548">
        <f>'1.2 OmniTot'!GD49</f>
        <v>13</v>
      </c>
      <c r="M56" s="2548">
        <f>'1.2 OmniTot'!GE49</f>
        <v>8</v>
      </c>
      <c r="N56" s="2548">
        <f>'1.2 OmniTot'!GF49</f>
        <v>12</v>
      </c>
      <c r="O56" s="2548">
        <f>'1.2 OmniTot'!GG49</f>
        <v>17</v>
      </c>
      <c r="P56" s="2548">
        <f>'1.2 OmniTot'!GH49</f>
        <v>14</v>
      </c>
      <c r="Q56" s="2548">
        <f>'1.2 OmniTot'!GI49</f>
        <v>25</v>
      </c>
      <c r="R56" s="2548">
        <f>'1.2 OmniTot'!GJ49</f>
        <v>28</v>
      </c>
      <c r="S56" s="2548">
        <f>'1.2 OmniTot'!GK49</f>
        <v>14</v>
      </c>
      <c r="T56" s="2548">
        <f>'1.2 OmniTot'!GL49</f>
        <v>13</v>
      </c>
      <c r="U56" s="2548">
        <f>'1.2 OmniTot'!GM49</f>
        <v>14</v>
      </c>
      <c r="V56" s="2548">
        <f>'1.2 OmniTot'!GN49</f>
        <v>13</v>
      </c>
      <c r="W56" s="299"/>
      <c r="Z56" s="321"/>
    </row>
    <row r="57" spans="3:26">
      <c r="D57" s="291"/>
      <c r="E57" s="291"/>
      <c r="F57" s="291" t="s">
        <v>1752</v>
      </c>
      <c r="G57" s="2937">
        <f>MAX(0,INDEX($I57:$V57,$H$143))</f>
        <v>905.63474999999994</v>
      </c>
      <c r="H57" s="2937"/>
      <c r="I57" s="2938">
        <f>IF(I56=0,0,(SUM('1.2 OmniTot'!GC50:GN50)-SUM('1.2 OmniTot'!GC49:GN49))/I56)</f>
        <v>943.71415204678362</v>
      </c>
      <c r="J57" s="2938">
        <f>IF(J56=0,0,(SUM('1.2 OmniTot'!GL50:GN50)*4-SUM('1.2 OmniTot'!GL49:GN49)*4)/J56)</f>
        <v>905.63474999999994</v>
      </c>
      <c r="K57" s="2548">
        <f>IF(ISERROR('1.2 OmniTot'!GC50/'1.2 OmniTot'!GC49),0,'1.2 OmniTot'!GC50/'1.2 OmniTot'!GC49)</f>
        <v>0</v>
      </c>
      <c r="L57" s="2548">
        <f>IF(ISERROR('1.2 OmniTot'!GD50/'1.2 OmniTot'!GD49),0,'1.2 OmniTot'!GD50/'1.2 OmniTot'!GD49)</f>
        <v>824.97461538461539</v>
      </c>
      <c r="M57" s="2548">
        <f>IF(ISERROR('1.2 OmniTot'!GE50/'1.2 OmniTot'!GE49),0,'1.2 OmniTot'!GE50/'1.2 OmniTot'!GE49)</f>
        <v>906.66499999999996</v>
      </c>
      <c r="N57" s="2548">
        <f>IF(ISERROR('1.2 OmniTot'!GF50/'1.2 OmniTot'!GF49),0,'1.2 OmniTot'!GF50/'1.2 OmniTot'!GF49)</f>
        <v>1007.5091666666667</v>
      </c>
      <c r="O57" s="2548">
        <f>IF(ISERROR('1.2 OmniTot'!GG50/'1.2 OmniTot'!GG49),0,'1.2 OmniTot'!GG50/'1.2 OmniTot'!GG49)</f>
        <v>978.41000000000008</v>
      </c>
      <c r="P57" s="2548">
        <f>IF(ISERROR('1.2 OmniTot'!GH50/'1.2 OmniTot'!GH49),0,'1.2 OmniTot'!GH50/'1.2 OmniTot'!GH49)</f>
        <v>1415.905</v>
      </c>
      <c r="Q57" s="2548">
        <f>IF(ISERROR('1.2 OmniTot'!GI50/'1.2 OmniTot'!GI49),0,'1.2 OmniTot'!GI50/'1.2 OmniTot'!GI49)</f>
        <v>907.04639999999995</v>
      </c>
      <c r="R57" s="2548">
        <f>IF(ISERROR('1.2 OmniTot'!GJ50/'1.2 OmniTot'!GJ49),0,'1.2 OmniTot'!GJ50/'1.2 OmniTot'!GJ49)</f>
        <v>894.02071428571435</v>
      </c>
      <c r="S57" s="2548">
        <f>IF(ISERROR('1.2 OmniTot'!GK50/'1.2 OmniTot'!GK49),0,'1.2 OmniTot'!GK50/'1.2 OmniTot'!GK49)</f>
        <v>789.16071428571433</v>
      </c>
      <c r="T57" s="2548">
        <f>IF(ISERROR('1.2 OmniTot'!GL50/'1.2 OmniTot'!GL49),0,'1.2 OmniTot'!GL50/'1.2 OmniTot'!GL49)</f>
        <v>877.23076923076928</v>
      </c>
      <c r="U57" s="2548">
        <f>IF(ISERROR('1.2 OmniTot'!GM50/'1.2 OmniTot'!GM49),0,'1.2 OmniTot'!GM50/'1.2 OmniTot'!GM49)</f>
        <v>873.8042857142857</v>
      </c>
      <c r="V57" s="2548">
        <f>IF(ISERROR('1.2 OmniTot'!GN50/'1.2 OmniTot'!GN49),0,'1.2 OmniTot'!GN50/'1.2 OmniTot'!GN49)</f>
        <v>971.39461538461535</v>
      </c>
      <c r="W57" s="299"/>
      <c r="Z57" s="321"/>
    </row>
    <row r="58" spans="3:26">
      <c r="C58" s="287" t="s">
        <v>6</v>
      </c>
      <c r="D58" s="291"/>
      <c r="E58" s="291"/>
      <c r="F58" s="291"/>
      <c r="G58" s="2937"/>
      <c r="H58" s="2937"/>
      <c r="I58" s="2548"/>
      <c r="J58" s="2548"/>
      <c r="K58" s="2548"/>
      <c r="L58" s="2548"/>
      <c r="M58" s="2548"/>
      <c r="N58" s="2548"/>
      <c r="O58" s="2548"/>
      <c r="P58" s="2548"/>
      <c r="Q58" s="2548"/>
      <c r="R58" s="2548"/>
      <c r="S58" s="2548"/>
      <c r="T58" s="2548"/>
      <c r="U58" s="2548"/>
      <c r="V58" s="2548"/>
      <c r="W58" s="299"/>
    </row>
    <row r="59" spans="3:26">
      <c r="D59" s="291" t="s">
        <v>1825</v>
      </c>
      <c r="E59" s="291"/>
      <c r="F59" s="291" t="s">
        <v>3529</v>
      </c>
      <c r="G59" s="2937">
        <f>MAX(0,INDEX($I59:$V59,$H$143))</f>
        <v>260.57142857142873</v>
      </c>
      <c r="H59" s="2937"/>
      <c r="I59" s="2548">
        <f>SUM(K59:V59)</f>
        <v>278.4285714285715</v>
      </c>
      <c r="J59" s="2548">
        <f>SUM(T59:V59)*4</f>
        <v>260.57142857142873</v>
      </c>
      <c r="K59" s="2548">
        <f>'1.2 OmniTot'!GC287-'1.2 EssPL'!K61</f>
        <v>26.571428571428555</v>
      </c>
      <c r="L59" s="2548">
        <f>'1.2 OmniTot'!GD287-'1.2 EssPL'!L61</f>
        <v>25.714285714285722</v>
      </c>
      <c r="M59" s="2548">
        <f>'1.2 OmniTot'!GE287-'1.2 EssPL'!M61</f>
        <v>20.571428571428555</v>
      </c>
      <c r="N59" s="2548">
        <f>'1.2 OmniTot'!GF287-'1.2 EssPL'!N61</f>
        <v>22.714285714285722</v>
      </c>
      <c r="O59" s="2548">
        <f>'1.2 OmniTot'!GG287-'1.2 EssPL'!O61</f>
        <v>24.714285714285722</v>
      </c>
      <c r="P59" s="2548">
        <f>'1.2 OmniTot'!GH287-'1.2 EssPL'!P61</f>
        <v>36</v>
      </c>
      <c r="Q59" s="2548">
        <f>'1.2 OmniTot'!GI287-'1.2 EssPL'!Q61</f>
        <v>22.285714285714306</v>
      </c>
      <c r="R59" s="2548">
        <f>'1.2 OmniTot'!GJ287-'1.2 EssPL'!R61</f>
        <v>15.857142857142861</v>
      </c>
      <c r="S59" s="2548">
        <f>'1.2 OmniTot'!GK287-'1.2 EssPL'!S61</f>
        <v>18.85714285714289</v>
      </c>
      <c r="T59" s="2548">
        <f>'1.2 OmniTot'!GL287-'1.2 EssPL'!T61</f>
        <v>25.714285714285737</v>
      </c>
      <c r="U59" s="2548">
        <f>'1.2 OmniTot'!GM287-'1.2 EssPL'!U61</f>
        <v>26.571428571428555</v>
      </c>
      <c r="V59" s="2548">
        <f>'1.2 OmniTot'!GN287-'1.2 EssPL'!V61</f>
        <v>12.85714285714289</v>
      </c>
      <c r="W59" s="299"/>
    </row>
    <row r="60" spans="3:26">
      <c r="D60" s="291"/>
      <c r="E60" s="294"/>
      <c r="F60" s="291" t="s">
        <v>1752</v>
      </c>
      <c r="G60" s="2548">
        <f>MAX(0,INDEX($I60:$W60,$H$144))</f>
        <v>233.87491228070155</v>
      </c>
      <c r="H60" s="2937"/>
      <c r="I60" s="2548">
        <f>IF(SUM(K59:V59)=0,0,SUMPRODUCT(K60:V60,K59:V59)/SUM(K59:V59))</f>
        <v>188.76981528989219</v>
      </c>
      <c r="J60" s="2548">
        <f>IF(SUM(T59:V59)=0,0,SUMPRODUCT(T60:V60,T59:V59)/SUM(T59:V59))</f>
        <v>233.87491228070155</v>
      </c>
      <c r="K60" s="2548">
        <f>IF(K59=0,0,('1.2 OmniTot'!GC288-'1.2 OmniTot'!GC286)/('1.2 OmniTot'!GC287-'1.2 OmniTot'!GC285))</f>
        <v>162.66494623655916</v>
      </c>
      <c r="L60" s="2548">
        <f>IF(L59=0,0,('1.2 OmniTot'!GD288-'1.2 OmniTot'!GD286)/('1.2 OmniTot'!GD287-'1.2 OmniTot'!GD285))</f>
        <v>181.67449999999985</v>
      </c>
      <c r="M60" s="2548">
        <f>IF(M59=0,0,('1.2 OmniTot'!GE288-'1.2 OmniTot'!GE286)/('1.2 OmniTot'!GE287-'1.2 OmniTot'!GE285))</f>
        <v>147.88375000000013</v>
      </c>
      <c r="N60" s="2548">
        <f>IF(N59=0,0,('1.2 OmniTot'!GF288-'1.2 OmniTot'!GF286)/('1.2 OmniTot'!GF287-'1.2 OmniTot'!GF285))</f>
        <v>149.52792452830207</v>
      </c>
      <c r="O60" s="2548">
        <f>IF(O59=0,0,('1.2 OmniTot'!GG288-'1.2 OmniTot'!GG286)/('1.2 OmniTot'!GG287-'1.2 OmniTot'!GG285))</f>
        <v>149.62843930635799</v>
      </c>
      <c r="P60" s="2548">
        <f>IF(P59=0,0,('1.2 OmniTot'!GH288-'1.2 OmniTot'!GH286)/('1.2 OmniTot'!GH287-'1.2 OmniTot'!GH285))</f>
        <v>156.4547222222223</v>
      </c>
      <c r="Q60" s="2548">
        <f>IF(Q59=0,0,('1.2 OmniTot'!GI288-'1.2 OmniTot'!GI286)/('1.2 OmniTot'!GI287-'1.2 OmniTot'!GI285))</f>
        <v>143.43807692307692</v>
      </c>
      <c r="R60" s="2548">
        <f>IF(R59=0,0,('1.2 OmniTot'!GJ288-'1.2 OmniTot'!GJ286)/('1.2 OmniTot'!GJ287-'1.2 OmniTot'!GJ285))</f>
        <v>293.99999999999994</v>
      </c>
      <c r="S60" s="2548">
        <f>IF(S59=0,0,('1.2 OmniTot'!GK288-'1.2 OmniTot'!GK286)/('1.2 OmniTot'!GK287-'1.2 OmniTot'!GK285))</f>
        <v>249.35962121212111</v>
      </c>
      <c r="T60" s="2548">
        <f>IF(T59=0,0,('1.2 OmniTot'!GL288-'1.2 OmniTot'!GL286)/('1.2 OmniTot'!GL287-'1.2 OmniTot'!GL285))</f>
        <v>214.53405555555537</v>
      </c>
      <c r="U60" s="2548">
        <f>IF(U59=0,0,('1.2 OmniTot'!GM288-'1.2 OmniTot'!GM286)/('1.2 OmniTot'!GM287-'1.2 OmniTot'!GM285))</f>
        <v>223.49908602150532</v>
      </c>
      <c r="V60" s="2548">
        <f>IF(V59=0,0,('1.2 OmniTot'!GN288-'1.2 OmniTot'!GN286)/('1.2 OmniTot'!GN287-'1.2 OmniTot'!GN285))</f>
        <v>293.99999999999926</v>
      </c>
      <c r="W60" s="299" t="e">
        <f>IF(SUM(K59:V59)=0,0,SUMPRODUCT(--($K$5:$V$5="FY11"),K60:V60,K59:V59)/SUMIF($K$5:$V$5,"FY11",K59:V59))</f>
        <v>#DIV/0!</v>
      </c>
    </row>
    <row r="61" spans="3:26">
      <c r="D61" s="291" t="s">
        <v>1657</v>
      </c>
      <c r="E61" s="294"/>
      <c r="F61" s="291" t="s">
        <v>3529</v>
      </c>
      <c r="G61" s="2937">
        <f>MAX(0,INDEX($I61:$V61,$H$143))</f>
        <v>1677.7142857142858</v>
      </c>
      <c r="H61" s="2937"/>
      <c r="I61" s="2548">
        <f>SUM(K61:V61)</f>
        <v>1728</v>
      </c>
      <c r="J61" s="2548">
        <f>SUM(T61:V61)*4</f>
        <v>1677.7142857142858</v>
      </c>
      <c r="K61" s="2548">
        <f>'1.2 OmniTot'!GC285</f>
        <v>162.85714285714283</v>
      </c>
      <c r="L61" s="2548">
        <f>'1.2 OmniTot'!GD285</f>
        <v>141.57142857142856</v>
      </c>
      <c r="M61" s="2548">
        <f>'1.2 OmniTot'!GE285</f>
        <v>123</v>
      </c>
      <c r="N61" s="2548">
        <f>'1.2 OmniTot'!GF285</f>
        <v>143.85714285714283</v>
      </c>
      <c r="O61" s="2548">
        <f>'1.2 OmniTot'!GG285</f>
        <v>159.14285714285717</v>
      </c>
      <c r="P61" s="2548">
        <f>'1.2 OmniTot'!GH285</f>
        <v>147.42857142857144</v>
      </c>
      <c r="Q61" s="2548">
        <f>'1.2 OmniTot'!GI285</f>
        <v>135.85714285714283</v>
      </c>
      <c r="R61" s="2548">
        <f>'1.2 OmniTot'!GJ285</f>
        <v>140.99999999999994</v>
      </c>
      <c r="S61" s="2548">
        <f>'1.2 OmniTot'!GK285</f>
        <v>153.85714285714283</v>
      </c>
      <c r="T61" s="2548">
        <f>'1.2 OmniTot'!GL285</f>
        <v>127.71428571428571</v>
      </c>
      <c r="U61" s="2548">
        <f>'1.2 OmniTot'!GM285</f>
        <v>139.28571428571428</v>
      </c>
      <c r="V61" s="2548">
        <f>'1.2 OmniTot'!GN285</f>
        <v>152.42857142857144</v>
      </c>
      <c r="W61" s="299"/>
    </row>
    <row r="62" spans="3:26">
      <c r="D62" s="291"/>
      <c r="E62" s="294"/>
      <c r="F62" s="291" t="s">
        <v>1752</v>
      </c>
      <c r="G62" s="2548">
        <f>MAX(0,INDEX($I62:$W62,$H$144))</f>
        <v>255.64119209809263</v>
      </c>
      <c r="H62" s="2937"/>
      <c r="I62" s="2548">
        <f>IF(SUM(K61:V61)=0,0,SUMPRODUCT(K62:V62,K61:V61)/SUM(K61:V61))</f>
        <v>255.29401041666668</v>
      </c>
      <c r="J62" s="2548">
        <f>IF(SUM(T61:V61)=0,0,SUMPRODUCT(T62:V62,T61:V61)/SUM(T61:V61))</f>
        <v>255.64119209809263</v>
      </c>
      <c r="K62" s="2548">
        <f>IF(K61=0,0,'1.2 OmniTot'!GC286/'1.2 OmniTot'!GC285)</f>
        <v>245.59862280701762</v>
      </c>
      <c r="L62" s="2548">
        <f>IF(L61=0,0,'1.2 OmniTot'!GD286/'1.2 OmniTot'!GD285)</f>
        <v>261.54874873864787</v>
      </c>
      <c r="M62" s="2548">
        <f>IF(M61=0,0,'1.2 OmniTot'!GE286/'1.2 OmniTot'!GE285)</f>
        <v>268.82707317073175</v>
      </c>
      <c r="N62" s="2548">
        <f>IF(N61=0,0,'1.2 OmniTot'!GF286/'1.2 OmniTot'!GF285)</f>
        <v>260.40868917576961</v>
      </c>
      <c r="O62" s="2548">
        <f>IF(O61=0,0,'1.2 OmniTot'!GG286/'1.2 OmniTot'!GG285)</f>
        <v>255.28365350089763</v>
      </c>
      <c r="P62" s="2548">
        <f>IF(P61=0,0,'1.2 OmniTot'!GH286/'1.2 OmniTot'!GH285)</f>
        <v>252.9820348837209</v>
      </c>
      <c r="Q62" s="2548">
        <f>IF(Q61=0,0,'1.2 OmniTot'!GI286/'1.2 OmniTot'!GI285)</f>
        <v>252.50464773922189</v>
      </c>
      <c r="R62" s="2548">
        <f>IF(R61=0,0,'1.2 OmniTot'!GJ286/'1.2 OmniTot'!GJ285)</f>
        <v>251.14964539007102</v>
      </c>
      <c r="S62" s="2548">
        <f>IF(S61=0,0,'1.2 OmniTot'!GK286/'1.2 OmniTot'!GK285)</f>
        <v>251.74079851439183</v>
      </c>
      <c r="T62" s="2548">
        <f>IF(T61=0,0,'1.2 OmniTot'!GL286/'1.2 OmniTot'!GL285)</f>
        <v>251.52432885906038</v>
      </c>
      <c r="U62" s="2548">
        <f>IF(U61=0,0,'1.2 OmniTot'!GM286/'1.2 OmniTot'!GM285)</f>
        <v>249.46276923076928</v>
      </c>
      <c r="V62" s="2548">
        <f>IF(V61=0,0,'1.2 OmniTot'!GN286/'1.2 OmniTot'!GN285)</f>
        <v>264.7362605435801</v>
      </c>
      <c r="W62" s="2237" t="e">
        <f>IF(SUM(K61:V61)=0,0,SUMPRODUCT(--($K$5:$V$5="FY11"),K62:V62,K61:V61)/SUMIF($K$5:$V$5,"FY11",K61:V61))</f>
        <v>#DIV/0!</v>
      </c>
    </row>
    <row r="63" spans="3:26">
      <c r="D63" s="291" t="s">
        <v>1753</v>
      </c>
      <c r="E63" s="291"/>
      <c r="F63" s="294" t="s">
        <v>3529</v>
      </c>
      <c r="G63" s="2937">
        <f>MAX(0,INDEX($I63:$V63,$H$143))</f>
        <v>231.49714285714282</v>
      </c>
      <c r="H63" s="2937"/>
      <c r="I63" s="2548">
        <f>SUM(K63:V63)</f>
        <v>313.4885714285715</v>
      </c>
      <c r="J63" s="2548">
        <f>SUM(T63:V63)*4</f>
        <v>231.49714285714282</v>
      </c>
      <c r="K63" s="2548">
        <f>('1.2 OmniTot'!GC88-K65)</f>
        <v>26.57714285714286</v>
      </c>
      <c r="L63" s="2548">
        <f>('1.2 OmniTot'!GD88-L65)</f>
        <v>26.57142857142858</v>
      </c>
      <c r="M63" s="2548">
        <f>('1.2 OmniTot'!GE88-M65)</f>
        <v>18.571428571428569</v>
      </c>
      <c r="N63" s="2548">
        <f>('1.2 OmniTot'!GF88-N65)</f>
        <v>26.57714285714286</v>
      </c>
      <c r="O63" s="2548">
        <f>('1.2 OmniTot'!GG88-O65)</f>
        <v>25.721428571428568</v>
      </c>
      <c r="P63" s="2548">
        <f>('1.2 OmniTot'!GH88-P65)</f>
        <v>26.57714285714286</v>
      </c>
      <c r="Q63" s="2548">
        <f>('1.2 OmniTot'!GI88-Q65)</f>
        <v>42.71857142857143</v>
      </c>
      <c r="R63" s="2548">
        <f>('1.2 OmniTot'!GJ88-R65)</f>
        <v>32.721428571428582</v>
      </c>
      <c r="S63" s="2548">
        <f>('1.2 OmniTot'!GK88-S65)</f>
        <v>29.578571428571443</v>
      </c>
      <c r="T63" s="2548">
        <f>('1.2 OmniTot'!GL88-T65)</f>
        <v>25.722857142857137</v>
      </c>
      <c r="U63" s="2548">
        <f>('1.2 OmniTot'!GM88-U65)</f>
        <v>19.28857142857143</v>
      </c>
      <c r="V63" s="2548">
        <f>('1.2 OmniTot'!GN88-V65)</f>
        <v>12.862857142857138</v>
      </c>
      <c r="W63" s="299"/>
    </row>
    <row r="64" spans="3:26">
      <c r="D64" s="291"/>
      <c r="E64" s="291"/>
      <c r="F64" s="291" t="s">
        <v>1752</v>
      </c>
      <c r="G64" s="2937">
        <f>MAX(0,INDEX($I64:$V64,$H$143))</f>
        <v>1975.4923726303325</v>
      </c>
      <c r="H64" s="2937"/>
      <c r="I64" s="2548">
        <f>IF(I63=0,0,(SUM('1.2 OmniTot'!GC94:GN94)+SUM('1.2 OmniTot'!GC95:GN95)-SUM('1.2 OmniTot'!GC52:GN52))/I63)</f>
        <v>1078.7992954858228</v>
      </c>
      <c r="J64" s="2938">
        <f>IF(J63=0,0,(SUM('1.2 OmniTot'!GL94:GN94)*4+SUM('1.2 OmniTot'!GL95:GN95)*4-SUM('1.2 OmniTot'!GL52:GN52)*4)/J63)</f>
        <v>1975.4923726303325</v>
      </c>
      <c r="K64" s="2548">
        <f>IF(K63=0,0,('1.2 OmniTot'!GC94+'1.2 OmniTot'!GC95-'1.2 OmniTot'!GC52)/K63)</f>
        <v>852.74930122554281</v>
      </c>
      <c r="L64" s="2548">
        <f>IF(L63=0,0,('1.2 OmniTot'!GD94+'1.2 OmniTot'!GD95-'1.2 OmniTot'!GD52)/L63)</f>
        <v>733.89430107526857</v>
      </c>
      <c r="M64" s="2548">
        <f>IF(M63=0,0,('1.2 OmniTot'!GE94+'1.2 OmniTot'!GE95-'1.2 OmniTot'!GE52)/M63)</f>
        <v>1164.6939230769231</v>
      </c>
      <c r="N64" s="2548">
        <f>IF(N63=0,0,('1.2 OmniTot'!GF94+'1.2 OmniTot'!GF95-'1.2 OmniTot'!GF52)/N63)</f>
        <v>499.1356697484411</v>
      </c>
      <c r="O64" s="2548">
        <f>IF(O63=0,0,('1.2 OmniTot'!GG94+'1.2 OmniTot'!GG95-'1.2 OmniTot'!GG52)/O63)</f>
        <v>676.52346570397128</v>
      </c>
      <c r="P64" s="2548">
        <f>IF(P63=0,0,('1.2 OmniTot'!GH94+'1.2 OmniTot'!GH95-'1.2 OmniTot'!GH52)/P63)</f>
        <v>801.50940657923024</v>
      </c>
      <c r="Q64" s="2548">
        <f>IF(Q63=0,0,('1.2 OmniTot'!GI94+'1.2 OmniTot'!GI95-'1.2 OmniTot'!GI52)/Q63)</f>
        <v>587.40751764037088</v>
      </c>
      <c r="R64" s="2548">
        <f>IF(R63=0,0,('1.2 OmniTot'!GJ94+'1.2 OmniTot'!GJ95-'1.2 OmniTot'!GJ52)/R63)</f>
        <v>880.42610783671671</v>
      </c>
      <c r="S64" s="2548">
        <f>IF(S63=0,0,('1.2 OmniTot'!GK94+'1.2 OmniTot'!GK95-'1.2 OmniTot'!GK52)/S63)</f>
        <v>1832.2778072929245</v>
      </c>
      <c r="T64" s="2548">
        <f>IF(T63=0,0,('1.2 OmniTot'!GL94+'1.2 OmniTot'!GL95-'1.2 OmniTot'!GL52)/T63)</f>
        <v>3385.03687659669</v>
      </c>
      <c r="U64" s="2548">
        <f>IF(U63=0,0,('1.2 OmniTot'!GM94+'1.2 OmniTot'!GM95-'1.2 OmniTot'!GM52)/U63)</f>
        <v>1039.9520811731604</v>
      </c>
      <c r="V64" s="2548">
        <f>IF(V63=0,0,('1.2 OmniTot'!GN94+'1.2 OmniTot'!GN95-'1.2 OmniTot'!GN52)/V63)</f>
        <v>559.61128387383496</v>
      </c>
      <c r="W64" s="299"/>
    </row>
    <row r="65" spans="2:23">
      <c r="D65" s="291" t="s">
        <v>1754</v>
      </c>
      <c r="E65" s="291"/>
      <c r="F65" s="294" t="s">
        <v>3529</v>
      </c>
      <c r="G65" s="2937">
        <f>MAX(0,INDEX($I65:$V65,$H$143))</f>
        <v>675.36</v>
      </c>
      <c r="H65" s="2937"/>
      <c r="I65" s="2548">
        <f>SUM(K65:V65)</f>
        <v>352.93999999999994</v>
      </c>
      <c r="J65" s="2548">
        <f>SUM(T65:V65)*4</f>
        <v>675.36</v>
      </c>
      <c r="K65" s="2548">
        <f>'1.2 OmniTot'!GC51</f>
        <v>4.28</v>
      </c>
      <c r="L65" s="2548">
        <f>'1.2 OmniTot'!GD51</f>
        <v>0</v>
      </c>
      <c r="M65" s="2548">
        <f>'1.2 OmniTot'!GE51</f>
        <v>12</v>
      </c>
      <c r="N65" s="2548">
        <f>'1.2 OmniTot'!GF51</f>
        <v>13.28</v>
      </c>
      <c r="O65" s="2548">
        <f>'1.2 OmniTot'!GG51</f>
        <v>12.85</v>
      </c>
      <c r="P65" s="2548">
        <f>'1.2 OmniTot'!GH51</f>
        <v>13.28</v>
      </c>
      <c r="Q65" s="2548">
        <f>'1.2 OmniTot'!GI51</f>
        <v>37.71</v>
      </c>
      <c r="R65" s="2548">
        <f>'1.2 OmniTot'!GJ51</f>
        <v>39.85</v>
      </c>
      <c r="S65" s="2548">
        <f>'1.2 OmniTot'!GK51</f>
        <v>50.85</v>
      </c>
      <c r="T65" s="2548">
        <f>'1.2 OmniTot'!GL51</f>
        <v>51.42</v>
      </c>
      <c r="U65" s="2548">
        <f>'1.2 OmniTot'!GM51</f>
        <v>53.14</v>
      </c>
      <c r="V65" s="2548">
        <f>'1.2 OmniTot'!GN51</f>
        <v>64.28</v>
      </c>
      <c r="W65" s="299"/>
    </row>
    <row r="66" spans="2:23">
      <c r="D66" s="291"/>
      <c r="E66" s="291"/>
      <c r="F66" s="291" t="s">
        <v>1752</v>
      </c>
      <c r="G66" s="2937">
        <f>MAX(0,INDEX($I66:$V66,$H$143))</f>
        <v>1614.9145936981756</v>
      </c>
      <c r="H66" s="2937"/>
      <c r="I66" s="2938">
        <f>IF(I65=0,0,SUM('1.2 OmniTot'!GC52:GN52)/SUM('1.2 OmniTot'!GC51:GN51))</f>
        <v>1485.1426871422907</v>
      </c>
      <c r="J66" s="2938">
        <f>IF(J65=0,0,SUM('1.2 OmniTot'!GL52:GN52)/SUM('1.2 OmniTot'!GL51:GN51))</f>
        <v>1614.9145936981756</v>
      </c>
      <c r="K66" s="2548">
        <f>IF(ISERROR('1.2 OmniTot'!GC52/'1.2 OmniTot'!GC51),0,'1.2 OmniTot'!GC52/'1.2 OmniTot'!GC51)</f>
        <v>843.45794392523362</v>
      </c>
      <c r="L66" s="2548">
        <f>IF(ISERROR('1.2 OmniTot'!GD52/'1.2 OmniTot'!GD51),0,'1.2 OmniTot'!GD52/'1.2 OmniTot'!GD51)</f>
        <v>0</v>
      </c>
      <c r="M66" s="2548">
        <f>IF(ISERROR('1.2 OmniTot'!GE52/'1.2 OmniTot'!GE51),0,'1.2 OmniTot'!GE52/'1.2 OmniTot'!GE51)</f>
        <v>1421</v>
      </c>
      <c r="N66" s="2548">
        <f>IF(ISERROR('1.2 OmniTot'!GF52/'1.2 OmniTot'!GF51),0,'1.2 OmniTot'!GF52/'1.2 OmniTot'!GF51)</f>
        <v>1421.6114457831327</v>
      </c>
      <c r="O66" s="2548">
        <f>IF(ISERROR('1.2 OmniTot'!GG52/'1.2 OmniTot'!GG51),0,'1.2 OmniTot'!GG52/'1.2 OmniTot'!GG51)</f>
        <v>1421.7898832684825</v>
      </c>
      <c r="P66" s="2548">
        <f>IF(ISERROR('1.2 OmniTot'!GH52/'1.2 OmniTot'!GH51),0,'1.2 OmniTot'!GH52/'1.2 OmniTot'!GH51)</f>
        <v>1421.6114457831327</v>
      </c>
      <c r="Q66" s="2548">
        <f>IF(ISERROR('1.2 OmniTot'!GI52/'1.2 OmniTot'!GI51),0,'1.2 OmniTot'!GI52/'1.2 OmniTot'!GI51)</f>
        <v>1380.5963935295676</v>
      </c>
      <c r="R66" s="2548">
        <f>IF(ISERROR('1.2 OmniTot'!GJ52/'1.2 OmniTot'!GJ51),0,'1.2 OmniTot'!GJ52/'1.2 OmniTot'!GJ51)</f>
        <v>1434.9094102885822</v>
      </c>
      <c r="S66" s="2548">
        <f>IF(ISERROR('1.2 OmniTot'!GK52/'1.2 OmniTot'!GK51),0,'1.2 OmniTot'!GK52/'1.2 OmniTot'!GK51)</f>
        <v>1289.4916420845623</v>
      </c>
      <c r="T66" s="2548">
        <f>IF(ISERROR('1.2 OmniTot'!GL52/'1.2 OmniTot'!GL51),0,'1.2 OmniTot'!GL52/'1.2 OmniTot'!GL51)</f>
        <v>1338.666277712952</v>
      </c>
      <c r="U66" s="2548">
        <f>IF(ISERROR('1.2 OmniTot'!GM52/'1.2 OmniTot'!GM51),0,'1.2 OmniTot'!GM52/'1.2 OmniTot'!GM51)</f>
        <v>1841.4885208882197</v>
      </c>
      <c r="V66" s="2548">
        <f>IF(ISERROR('1.2 OmniTot'!GN52/'1.2 OmniTot'!GN51),0,'1.2 OmniTot'!GN52/'1.2 OmniTot'!GN51)</f>
        <v>1648.5883634100808</v>
      </c>
      <c r="W66" s="299"/>
    </row>
    <row r="67" spans="2:23">
      <c r="B67" s="287" t="s">
        <v>1750</v>
      </c>
      <c r="I67" s="299"/>
      <c r="J67" s="299"/>
      <c r="K67" s="299"/>
      <c r="L67" s="299"/>
      <c r="M67" s="299"/>
      <c r="N67" s="299"/>
      <c r="O67" s="299"/>
      <c r="P67" s="299"/>
      <c r="Q67" s="299"/>
      <c r="R67" s="299"/>
      <c r="S67" s="299"/>
      <c r="T67" s="299"/>
      <c r="U67" s="299"/>
      <c r="V67" s="299"/>
      <c r="W67" s="299"/>
    </row>
    <row r="68" spans="2:23">
      <c r="C68" s="287" t="s">
        <v>1748</v>
      </c>
      <c r="E68" s="208"/>
      <c r="G68" s="316"/>
      <c r="H68" s="316"/>
      <c r="I68" s="299"/>
      <c r="J68" s="299"/>
      <c r="K68" s="299"/>
      <c r="L68" s="299"/>
      <c r="M68" s="299"/>
      <c r="N68" s="299"/>
      <c r="O68" s="299"/>
      <c r="P68" s="299"/>
      <c r="Q68" s="299"/>
      <c r="R68" s="299"/>
      <c r="S68" s="299"/>
      <c r="T68" s="299"/>
      <c r="U68" s="299"/>
      <c r="V68" s="299"/>
      <c r="W68" s="299"/>
    </row>
    <row r="69" spans="2:23">
      <c r="D69" s="287" t="s">
        <v>3918</v>
      </c>
      <c r="E69" s="317"/>
      <c r="F69" s="294"/>
      <c r="G69" s="208"/>
      <c r="H69" s="208"/>
      <c r="I69" s="299"/>
      <c r="J69" s="299"/>
      <c r="K69" s="299"/>
      <c r="L69" s="299"/>
      <c r="M69" s="299"/>
      <c r="N69" s="299"/>
      <c r="O69" s="299"/>
      <c r="P69" s="299"/>
      <c r="Q69" s="299"/>
      <c r="R69" s="299"/>
      <c r="S69" s="299"/>
      <c r="T69" s="299"/>
      <c r="U69" s="299"/>
      <c r="V69" s="299"/>
      <c r="W69" s="299"/>
    </row>
    <row r="70" spans="2:23">
      <c r="E70" s="297" t="s">
        <v>1990</v>
      </c>
      <c r="F70" s="296"/>
      <c r="G70" s="1444">
        <f t="shared" ref="G70:G75" si="0">INDEX($I70:$V70,$H$145)</f>
        <v>3680.3199999999997</v>
      </c>
      <c r="H70" s="318"/>
      <c r="I70" s="1064">
        <f t="shared" ref="I70:I75" si="1">SUM(K70:V70)</f>
        <v>3698.72</v>
      </c>
      <c r="J70" s="1064">
        <f t="shared" ref="J70:J75" si="2">SUM(T70:V70)*4</f>
        <v>3680.3199999999997</v>
      </c>
      <c r="K70" s="1064">
        <f>'1.2 OmniTot'!GC64</f>
        <v>286.98999999999995</v>
      </c>
      <c r="L70" s="1064">
        <f>'1.2 OmniTot'!GD64</f>
        <v>273.60000000000002</v>
      </c>
      <c r="M70" s="1064">
        <f>'1.2 OmniTot'!GE64</f>
        <v>255.99</v>
      </c>
      <c r="N70" s="1064">
        <f>'1.2 OmniTot'!GF64</f>
        <v>306.52</v>
      </c>
      <c r="O70" s="1064">
        <f>'1.2 OmniTot'!GG64</f>
        <v>295.36</v>
      </c>
      <c r="P70" s="1064">
        <f>'1.2 OmniTot'!GH64</f>
        <v>326.76</v>
      </c>
      <c r="Q70" s="1064">
        <f>'1.2 OmniTot'!GI64</f>
        <v>336.3</v>
      </c>
      <c r="R70" s="1064">
        <f>'1.2 OmniTot'!GJ64</f>
        <v>382.02000000000004</v>
      </c>
      <c r="S70" s="1064">
        <f>'1.2 OmniTot'!GK64</f>
        <v>315.09999999999997</v>
      </c>
      <c r="T70" s="1064">
        <f>'1.2 OmniTot'!GL64</f>
        <v>296.82</v>
      </c>
      <c r="U70" s="1064">
        <f>'1.2 OmniTot'!GM64</f>
        <v>326.31999999999994</v>
      </c>
      <c r="V70" s="1064">
        <f>'1.2 OmniTot'!GN64</f>
        <v>296.94</v>
      </c>
      <c r="W70" s="1064"/>
    </row>
    <row r="71" spans="2:23">
      <c r="E71" s="297" t="s">
        <v>1991</v>
      </c>
      <c r="F71" s="296"/>
      <c r="G71" s="1444">
        <f t="shared" si="0"/>
        <v>9140.32</v>
      </c>
      <c r="H71" s="318"/>
      <c r="I71" s="1064">
        <f t="shared" si="1"/>
        <v>9938.08</v>
      </c>
      <c r="J71" s="1064">
        <f t="shared" si="2"/>
        <v>9140.32</v>
      </c>
      <c r="K71" s="1064">
        <f>('1.2 OmniTot'!GC68+'1.2 OmniTot'!GC70)</f>
        <v>895.31000000000017</v>
      </c>
      <c r="L71" s="1064">
        <f>('1.2 OmniTot'!GD68+'1.2 OmniTot'!GD70)</f>
        <v>872.26</v>
      </c>
      <c r="M71" s="1064">
        <f>('1.2 OmniTot'!GE68+'1.2 OmniTot'!GE70)</f>
        <v>822.24</v>
      </c>
      <c r="N71" s="1064">
        <f>('1.2 OmniTot'!GF68+'1.2 OmniTot'!GF70)</f>
        <v>876.39</v>
      </c>
      <c r="O71" s="1064">
        <f>('1.2 OmniTot'!GG68+'1.2 OmniTot'!GG70)</f>
        <v>962.22</v>
      </c>
      <c r="P71" s="1064">
        <f>('1.2 OmniTot'!GH68+'1.2 OmniTot'!GH70)</f>
        <v>945.52</v>
      </c>
      <c r="Q71" s="1064">
        <f>('1.2 OmniTot'!GI68+'1.2 OmniTot'!GI70)</f>
        <v>803.41</v>
      </c>
      <c r="R71" s="1064">
        <f>('1.2 OmniTot'!GJ68+'1.2 OmniTot'!GJ70)</f>
        <v>743.16</v>
      </c>
      <c r="S71" s="1064">
        <f>('1.2 OmniTot'!GK68+'1.2 OmniTot'!GK70)</f>
        <v>732.4899999999999</v>
      </c>
      <c r="T71" s="1064">
        <f>('1.2 OmniTot'!GL68+'1.2 OmniTot'!GL70)</f>
        <v>691.2299999999999</v>
      </c>
      <c r="U71" s="1064">
        <f>('1.2 OmniTot'!GM68+'1.2 OmniTot'!GM70)</f>
        <v>773.9</v>
      </c>
      <c r="V71" s="1064">
        <f>('1.2 OmniTot'!GN68+'1.2 OmniTot'!GN70)</f>
        <v>819.95</v>
      </c>
      <c r="W71" s="1064"/>
    </row>
    <row r="72" spans="2:23">
      <c r="E72" s="297" t="s">
        <v>1992</v>
      </c>
      <c r="F72" s="296"/>
      <c r="G72" s="1444">
        <f t="shared" si="0"/>
        <v>1033.96</v>
      </c>
      <c r="H72" s="318"/>
      <c r="I72" s="1064">
        <f t="shared" si="1"/>
        <v>1185.82</v>
      </c>
      <c r="J72" s="1064">
        <f t="shared" si="2"/>
        <v>1033.96</v>
      </c>
      <c r="K72" s="1064">
        <f>'1.2 OmniTot'!GC66</f>
        <v>70.679999999999993</v>
      </c>
      <c r="L72" s="1064">
        <f>'1.2 OmniTot'!GD66</f>
        <v>95.59</v>
      </c>
      <c r="M72" s="1064">
        <f>'1.2 OmniTot'!GE66</f>
        <v>56.820000000000007</v>
      </c>
      <c r="N72" s="1064">
        <f>'1.2 OmniTot'!GF66</f>
        <v>70.91</v>
      </c>
      <c r="O72" s="1064">
        <f>'1.2 OmniTot'!GG66</f>
        <v>128.04</v>
      </c>
      <c r="P72" s="1064">
        <f>'1.2 OmniTot'!GH66</f>
        <v>167.41</v>
      </c>
      <c r="Q72" s="1064">
        <f>'1.2 OmniTot'!GI66</f>
        <v>128.52000000000001</v>
      </c>
      <c r="R72" s="1064">
        <f>'1.2 OmniTot'!GJ66</f>
        <v>113.4</v>
      </c>
      <c r="S72" s="1064">
        <f>'1.2 OmniTot'!GK66</f>
        <v>95.960000000000008</v>
      </c>
      <c r="T72" s="1064">
        <f>'1.2 OmniTot'!GL66</f>
        <v>77.38</v>
      </c>
      <c r="U72" s="1064">
        <f>'1.2 OmniTot'!GM66</f>
        <v>88.84</v>
      </c>
      <c r="V72" s="1064">
        <f>'1.2 OmniTot'!GN66</f>
        <v>92.27</v>
      </c>
      <c r="W72" s="1064"/>
    </row>
    <row r="73" spans="2:23">
      <c r="E73" s="297" t="s">
        <v>461</v>
      </c>
      <c r="F73" s="296"/>
      <c r="G73" s="1444">
        <f t="shared" si="0"/>
        <v>0</v>
      </c>
      <c r="H73" s="318"/>
      <c r="I73" s="1064">
        <f t="shared" si="1"/>
        <v>0</v>
      </c>
      <c r="J73" s="1064">
        <f t="shared" si="2"/>
        <v>0</v>
      </c>
      <c r="K73" s="1064">
        <f>'1.2 OmniTot'!GC72</f>
        <v>0</v>
      </c>
      <c r="L73" s="1064">
        <f>'1.2 OmniTot'!GD72</f>
        <v>0</v>
      </c>
      <c r="M73" s="1064">
        <f>'1.2 OmniTot'!GE72</f>
        <v>0</v>
      </c>
      <c r="N73" s="1064">
        <f>'1.2 OmniTot'!GF72</f>
        <v>0</v>
      </c>
      <c r="O73" s="1064">
        <f>'1.2 OmniTot'!GG72</f>
        <v>0</v>
      </c>
      <c r="P73" s="1064">
        <f>'1.2 OmniTot'!GH72</f>
        <v>0</v>
      </c>
      <c r="Q73" s="1064">
        <f>'1.2 OmniTot'!GI72</f>
        <v>0</v>
      </c>
      <c r="R73" s="1064">
        <f>'1.2 OmniTot'!GJ72</f>
        <v>0</v>
      </c>
      <c r="S73" s="1064">
        <f>'1.2 OmniTot'!GK72</f>
        <v>0</v>
      </c>
      <c r="T73" s="1064">
        <f>'1.2 OmniTot'!GL72</f>
        <v>0</v>
      </c>
      <c r="U73" s="1064">
        <f>'1.2 OmniTot'!GM72</f>
        <v>0</v>
      </c>
      <c r="V73" s="1064">
        <f>'1.2 OmniTot'!GN72</f>
        <v>0</v>
      </c>
      <c r="W73" s="1064"/>
    </row>
    <row r="74" spans="2:23">
      <c r="E74" s="297" t="s">
        <v>1949</v>
      </c>
      <c r="F74" s="296"/>
      <c r="G74" s="1444">
        <f t="shared" si="0"/>
        <v>960.96</v>
      </c>
      <c r="H74" s="318"/>
      <c r="I74" s="1064">
        <f t="shared" si="1"/>
        <v>750.71999999999991</v>
      </c>
      <c r="J74" s="1064">
        <f t="shared" si="2"/>
        <v>960.96</v>
      </c>
      <c r="K74" s="1064">
        <f>'1.2 OmniTot'!GC76</f>
        <v>57.419999999999995</v>
      </c>
      <c r="L74" s="1064">
        <f>'1.2 OmniTot'!GD76</f>
        <v>65.5</v>
      </c>
      <c r="M74" s="1064">
        <f>'1.2 OmniTot'!GE76</f>
        <v>41.89</v>
      </c>
      <c r="N74" s="1064">
        <f>'1.2 OmniTot'!GF76</f>
        <v>52.760000000000005</v>
      </c>
      <c r="O74" s="1064">
        <f>'1.2 OmniTot'!GG76</f>
        <v>69.27</v>
      </c>
      <c r="P74" s="1064">
        <f>'1.2 OmniTot'!GH76</f>
        <v>57.5</v>
      </c>
      <c r="Q74" s="1064">
        <f>'1.2 OmniTot'!GI76</f>
        <v>68.34</v>
      </c>
      <c r="R74" s="1064">
        <f>'1.2 OmniTot'!GJ76</f>
        <v>57.53</v>
      </c>
      <c r="S74" s="1064">
        <f>'1.2 OmniTot'!GK76</f>
        <v>40.269999999999996</v>
      </c>
      <c r="T74" s="1064">
        <f>'1.2 OmniTot'!GL76</f>
        <v>79.489999999999995</v>
      </c>
      <c r="U74" s="1064">
        <f>'1.2 OmniTot'!GM76</f>
        <v>69.490000000000009</v>
      </c>
      <c r="V74" s="1064">
        <f>'1.2 OmniTot'!GN76</f>
        <v>91.259999999999991</v>
      </c>
      <c r="W74" s="1064"/>
    </row>
    <row r="75" spans="2:23">
      <c r="E75" s="297" t="s">
        <v>813</v>
      </c>
      <c r="F75" s="296"/>
      <c r="G75" s="1444">
        <f t="shared" si="0"/>
        <v>1307.32</v>
      </c>
      <c r="H75" s="318"/>
      <c r="I75" s="1064">
        <f t="shared" si="1"/>
        <v>969.77</v>
      </c>
      <c r="J75" s="1064">
        <f t="shared" si="2"/>
        <v>1307.32</v>
      </c>
      <c r="K75" s="1064">
        <f>'1.2 OmniTot'!GC74</f>
        <v>108.14000000000001</v>
      </c>
      <c r="L75" s="1064">
        <f>'1.2 OmniTot'!GD74</f>
        <v>110.75999999999999</v>
      </c>
      <c r="M75" s="1064">
        <f>'1.2 OmniTot'!GE74</f>
        <v>142.54000000000002</v>
      </c>
      <c r="N75" s="1064">
        <f>'1.2 OmniTot'!GF74</f>
        <v>22.449999999999996</v>
      </c>
      <c r="O75" s="1064">
        <f>'1.2 OmniTot'!GG74</f>
        <v>1.6</v>
      </c>
      <c r="P75" s="1064">
        <f>'1.2 OmniTot'!GH74</f>
        <v>0.95</v>
      </c>
      <c r="Q75" s="1064">
        <f>'1.2 OmniTot'!GI74</f>
        <v>32.5</v>
      </c>
      <c r="R75" s="1064">
        <f>'1.2 OmniTot'!GJ74</f>
        <v>49.96</v>
      </c>
      <c r="S75" s="1064">
        <f>'1.2 OmniTot'!GK74</f>
        <v>174.04000000000002</v>
      </c>
      <c r="T75" s="1064">
        <f>'1.2 OmniTot'!GL74</f>
        <v>152.61000000000001</v>
      </c>
      <c r="U75" s="1064">
        <f>'1.2 OmniTot'!GM74</f>
        <v>177.91</v>
      </c>
      <c r="V75" s="1064">
        <f>'1.2 OmniTot'!GN74</f>
        <v>-3.6900000000000004</v>
      </c>
      <c r="W75" s="1064"/>
    </row>
    <row r="76" spans="2:23">
      <c r="D76" s="287" t="s">
        <v>3476</v>
      </c>
      <c r="E76" s="297"/>
      <c r="F76" s="296"/>
      <c r="G76" s="1444"/>
      <c r="H76" s="318"/>
      <c r="I76" s="1064"/>
      <c r="J76" s="1064"/>
      <c r="K76" s="1064"/>
      <c r="L76" s="1064"/>
      <c r="M76" s="1064"/>
      <c r="N76" s="1064"/>
      <c r="O76" s="1064"/>
      <c r="P76" s="1064"/>
      <c r="Q76" s="1064"/>
      <c r="R76" s="1064"/>
      <c r="S76" s="1064"/>
      <c r="T76" s="1064"/>
      <c r="U76" s="1064"/>
      <c r="V76" s="1064"/>
      <c r="W76" s="1064"/>
    </row>
    <row r="77" spans="2:23">
      <c r="E77" s="297" t="s">
        <v>1990</v>
      </c>
      <c r="F77" s="296"/>
      <c r="G77" s="1444">
        <f t="shared" ref="G77:G82" si="3">INDEX($I77:$V77,$H$145)</f>
        <v>114834.96</v>
      </c>
      <c r="H77" s="318"/>
      <c r="I77" s="299">
        <f t="shared" ref="I77:I82" si="4">SUM(K77:V77)</f>
        <v>115078.95</v>
      </c>
      <c r="J77" s="299">
        <f t="shared" ref="J77:J82" si="5">SUM(T77:V77)*4</f>
        <v>114834.96</v>
      </c>
      <c r="K77" s="299">
        <f>'1.2 OmniTot'!GC63</f>
        <v>8831.59</v>
      </c>
      <c r="L77" s="299">
        <f>'1.2 OmniTot'!GD63</f>
        <v>8588.35</v>
      </c>
      <c r="M77" s="299">
        <f>'1.2 OmniTot'!GE63</f>
        <v>7975.1900000000005</v>
      </c>
      <c r="N77" s="299">
        <f>'1.2 OmniTot'!GF63</f>
        <v>9700.4000000000015</v>
      </c>
      <c r="O77" s="299">
        <f>'1.2 OmniTot'!GG63</f>
        <v>9333.39</v>
      </c>
      <c r="P77" s="299">
        <f>'1.2 OmniTot'!GH63</f>
        <v>10053.150000000001</v>
      </c>
      <c r="Q77" s="299">
        <f>'1.2 OmniTot'!GI63</f>
        <v>10275.109999999999</v>
      </c>
      <c r="R77" s="299">
        <f>'1.2 OmniTot'!GJ63</f>
        <v>12018.580000000002</v>
      </c>
      <c r="S77" s="299">
        <f>'1.2 OmniTot'!GK63</f>
        <v>9594.4500000000007</v>
      </c>
      <c r="T77" s="299">
        <f>'1.2 OmniTot'!GL63</f>
        <v>9194.2899999999991</v>
      </c>
      <c r="U77" s="299">
        <f>'1.2 OmniTot'!GM63</f>
        <v>10149.75</v>
      </c>
      <c r="V77" s="299">
        <f>'1.2 OmniTot'!GN63</f>
        <v>9364.7000000000007</v>
      </c>
      <c r="W77" s="299"/>
    </row>
    <row r="78" spans="2:23">
      <c r="E78" s="297" t="s">
        <v>1991</v>
      </c>
      <c r="F78" s="296"/>
      <c r="G78" s="1444">
        <f t="shared" si="3"/>
        <v>161287.24000000002</v>
      </c>
      <c r="H78" s="318"/>
      <c r="I78" s="299">
        <f t="shared" si="4"/>
        <v>166489.32000000004</v>
      </c>
      <c r="J78" s="299">
        <f t="shared" si="5"/>
        <v>161287.24000000002</v>
      </c>
      <c r="K78" s="299">
        <f>('1.2 OmniTot'!GC67+'1.2 OmniTot'!GC69)</f>
        <v>14358.69</v>
      </c>
      <c r="L78" s="299">
        <f>('1.2 OmniTot'!GD67+'1.2 OmniTot'!GD69)</f>
        <v>13901.9</v>
      </c>
      <c r="M78" s="299">
        <f>('1.2 OmniTot'!GE67+'1.2 OmniTot'!GE69)</f>
        <v>12916.690000000002</v>
      </c>
      <c r="N78" s="299">
        <f>('1.2 OmniTot'!GF67+'1.2 OmniTot'!GF69)</f>
        <v>14064.07</v>
      </c>
      <c r="O78" s="299">
        <f>('1.2 OmniTot'!GG67+'1.2 OmniTot'!GG69)</f>
        <v>15496.74</v>
      </c>
      <c r="P78" s="299">
        <f>('1.2 OmniTot'!GH67+'1.2 OmniTot'!GH69)</f>
        <v>15565.630000000001</v>
      </c>
      <c r="Q78" s="299">
        <f>('1.2 OmniTot'!GI67+'1.2 OmniTot'!GI69)</f>
        <v>14273.350000000002</v>
      </c>
      <c r="R78" s="299">
        <f>('1.2 OmniTot'!GJ67+'1.2 OmniTot'!GJ69)</f>
        <v>13351.47</v>
      </c>
      <c r="S78" s="299">
        <f>('1.2 OmniTot'!GK67+'1.2 OmniTot'!GK69)</f>
        <v>12238.97</v>
      </c>
      <c r="T78" s="299">
        <f>('1.2 OmniTot'!GL67+'1.2 OmniTot'!GL69)</f>
        <v>11943.080000000002</v>
      </c>
      <c r="U78" s="299">
        <f>('1.2 OmniTot'!GM67+'1.2 OmniTot'!GM69)</f>
        <v>14194.720000000001</v>
      </c>
      <c r="V78" s="299">
        <f>('1.2 OmniTot'!GN67+'1.2 OmniTot'!GN69)</f>
        <v>14184.010000000002</v>
      </c>
      <c r="W78" s="299"/>
    </row>
    <row r="79" spans="2:23">
      <c r="E79" s="297" t="s">
        <v>1992</v>
      </c>
      <c r="F79" s="296"/>
      <c r="G79" s="1444">
        <f t="shared" si="3"/>
        <v>19388.919999999998</v>
      </c>
      <c r="H79" s="318"/>
      <c r="I79" s="299">
        <f t="shared" si="4"/>
        <v>21937.48</v>
      </c>
      <c r="J79" s="299">
        <f t="shared" si="5"/>
        <v>19388.919999999998</v>
      </c>
      <c r="K79" s="299">
        <f>'1.2 OmniTot'!GC65</f>
        <v>1286.94</v>
      </c>
      <c r="L79" s="299">
        <f>'1.2 OmniTot'!GD65</f>
        <v>1737.5499999999997</v>
      </c>
      <c r="M79" s="299">
        <f>'1.2 OmniTot'!GE65</f>
        <v>1037.4299999999998</v>
      </c>
      <c r="N79" s="299">
        <f>'1.2 OmniTot'!GF65</f>
        <v>1283.78</v>
      </c>
      <c r="O79" s="299">
        <f>'1.2 OmniTot'!GG65</f>
        <v>2343.88</v>
      </c>
      <c r="P79" s="299">
        <f>'1.2 OmniTot'!GH65</f>
        <v>3149.8399999999997</v>
      </c>
      <c r="Q79" s="299">
        <f>'1.2 OmniTot'!GI65</f>
        <v>2372.7599999999998</v>
      </c>
      <c r="R79" s="299">
        <f>'1.2 OmniTot'!GJ65</f>
        <v>2094.66</v>
      </c>
      <c r="S79" s="299">
        <f>'1.2 OmniTot'!GK65</f>
        <v>1783.41</v>
      </c>
      <c r="T79" s="299">
        <f>'1.2 OmniTot'!GL65</f>
        <v>1503.5900000000001</v>
      </c>
      <c r="U79" s="299">
        <f>'1.2 OmniTot'!GM65</f>
        <v>1635.8899999999999</v>
      </c>
      <c r="V79" s="299">
        <f>'1.2 OmniTot'!GN65</f>
        <v>1707.75</v>
      </c>
      <c r="W79" s="299"/>
    </row>
    <row r="80" spans="2:23">
      <c r="E80" s="297" t="s">
        <v>461</v>
      </c>
      <c r="F80" s="296"/>
      <c r="G80" s="1444">
        <f t="shared" si="3"/>
        <v>0</v>
      </c>
      <c r="H80" s="318"/>
      <c r="I80" s="299">
        <f t="shared" si="4"/>
        <v>0</v>
      </c>
      <c r="J80" s="299">
        <f t="shared" si="5"/>
        <v>0</v>
      </c>
      <c r="K80" s="299">
        <f>'1.2 OmniTot'!GC71</f>
        <v>0</v>
      </c>
      <c r="L80" s="299">
        <f>'1.2 OmniTot'!GD71</f>
        <v>0</v>
      </c>
      <c r="M80" s="299">
        <f>'1.2 OmniTot'!GE71</f>
        <v>0</v>
      </c>
      <c r="N80" s="299">
        <f>'1.2 OmniTot'!GF71</f>
        <v>0</v>
      </c>
      <c r="O80" s="299">
        <f>'1.2 OmniTot'!GG71</f>
        <v>0</v>
      </c>
      <c r="P80" s="299">
        <f>'1.2 OmniTot'!GH71</f>
        <v>0</v>
      </c>
      <c r="Q80" s="299">
        <f>'1.2 OmniTot'!GI71</f>
        <v>0</v>
      </c>
      <c r="R80" s="299">
        <f>'1.2 OmniTot'!GJ71</f>
        <v>0</v>
      </c>
      <c r="S80" s="299">
        <f>'1.2 OmniTot'!GK71</f>
        <v>0</v>
      </c>
      <c r="T80" s="299">
        <f>'1.2 OmniTot'!GL71</f>
        <v>0</v>
      </c>
      <c r="U80" s="299">
        <f>'1.2 OmniTot'!GM71</f>
        <v>0</v>
      </c>
      <c r="V80" s="299">
        <f>'1.2 OmniTot'!GN71</f>
        <v>0</v>
      </c>
      <c r="W80" s="299"/>
    </row>
    <row r="81" spans="3:23">
      <c r="E81" s="297" t="s">
        <v>1949</v>
      </c>
      <c r="F81" s="296"/>
      <c r="G81" s="1444">
        <f t="shared" si="3"/>
        <v>21121.32</v>
      </c>
      <c r="H81" s="318"/>
      <c r="I81" s="299">
        <f t="shared" si="4"/>
        <v>16419.480000000003</v>
      </c>
      <c r="J81" s="299">
        <f t="shared" si="5"/>
        <v>21121.32</v>
      </c>
      <c r="K81" s="299">
        <f>'1.2 OmniTot'!GC75</f>
        <v>1211.68</v>
      </c>
      <c r="L81" s="299">
        <f>'1.2 OmniTot'!GD75</f>
        <v>1392.74</v>
      </c>
      <c r="M81" s="299">
        <f>'1.2 OmniTot'!GE75</f>
        <v>914.84</v>
      </c>
      <c r="N81" s="299">
        <f>'1.2 OmniTot'!GF75</f>
        <v>1089.0800000000002</v>
      </c>
      <c r="O81" s="299">
        <f>'1.2 OmniTot'!GG75</f>
        <v>1577.7800000000002</v>
      </c>
      <c r="P81" s="299">
        <f>'1.2 OmniTot'!GH75</f>
        <v>1281.6100000000001</v>
      </c>
      <c r="Q81" s="299">
        <f>'1.2 OmniTot'!GI75</f>
        <v>1629.6100000000001</v>
      </c>
      <c r="R81" s="299">
        <f>'1.2 OmniTot'!GJ75</f>
        <v>1219.72</v>
      </c>
      <c r="S81" s="299">
        <f>'1.2 OmniTot'!GK75</f>
        <v>822.08999999999992</v>
      </c>
      <c r="T81" s="299">
        <f>'1.2 OmniTot'!GL75</f>
        <v>1783.4199999999998</v>
      </c>
      <c r="U81" s="299">
        <f>'1.2 OmniTot'!GM75</f>
        <v>1476.51</v>
      </c>
      <c r="V81" s="299">
        <f>'1.2 OmniTot'!GN75</f>
        <v>2020.4</v>
      </c>
      <c r="W81" s="299"/>
    </row>
    <row r="82" spans="3:23">
      <c r="E82" s="297" t="s">
        <v>813</v>
      </c>
      <c r="F82" s="296"/>
      <c r="G82" s="1444">
        <f t="shared" si="3"/>
        <v>18341.079999999998</v>
      </c>
      <c r="H82" s="318"/>
      <c r="I82" s="299">
        <f t="shared" si="4"/>
        <v>18666.27</v>
      </c>
      <c r="J82" s="299">
        <f t="shared" si="5"/>
        <v>18341.079999999998</v>
      </c>
      <c r="K82" s="299">
        <f>'1.2 OmniTot'!GC73</f>
        <v>2973.87</v>
      </c>
      <c r="L82" s="299">
        <f>'1.2 OmniTot'!GD73</f>
        <v>3092.74</v>
      </c>
      <c r="M82" s="299">
        <f>'1.2 OmniTot'!GE73</f>
        <v>3953.9700000000003</v>
      </c>
      <c r="N82" s="299">
        <f>'1.2 OmniTot'!GF73</f>
        <v>388.66999999999996</v>
      </c>
      <c r="O82" s="299">
        <f>'1.2 OmniTot'!GG73</f>
        <v>49.81</v>
      </c>
      <c r="P82" s="299">
        <f>'1.2 OmniTot'!GH73</f>
        <v>29.58</v>
      </c>
      <c r="Q82" s="299">
        <f>'1.2 OmniTot'!GI73</f>
        <v>497.01</v>
      </c>
      <c r="R82" s="299">
        <f>'1.2 OmniTot'!GJ73</f>
        <v>668.49</v>
      </c>
      <c r="S82" s="299">
        <f>'1.2 OmniTot'!GK73</f>
        <v>2426.8600000000006</v>
      </c>
      <c r="T82" s="299">
        <f>'1.2 OmniTot'!GL73</f>
        <v>2050.83</v>
      </c>
      <c r="U82" s="299">
        <f>'1.2 OmniTot'!GM73</f>
        <v>2573.4499999999998</v>
      </c>
      <c r="V82" s="299">
        <f>'1.2 OmniTot'!GN73</f>
        <v>-39.010000000000005</v>
      </c>
      <c r="W82" s="299"/>
    </row>
    <row r="83" spans="3:23">
      <c r="E83" s="300"/>
      <c r="F83" s="296"/>
      <c r="G83" s="1445"/>
      <c r="H83" s="300"/>
      <c r="I83" s="299"/>
      <c r="J83" s="299"/>
      <c r="K83" s="299"/>
      <c r="L83" s="299"/>
      <c r="M83" s="299"/>
      <c r="N83" s="299"/>
      <c r="O83" s="299"/>
      <c r="P83" s="299"/>
      <c r="Q83" s="299"/>
      <c r="R83" s="299"/>
      <c r="S83" s="299"/>
      <c r="T83" s="299"/>
      <c r="U83" s="299"/>
      <c r="V83" s="299"/>
      <c r="W83" s="299"/>
    </row>
    <row r="84" spans="3:23">
      <c r="C84" s="287" t="s">
        <v>1749</v>
      </c>
      <c r="E84" s="294"/>
      <c r="G84" s="1445"/>
      <c r="H84" s="291"/>
      <c r="I84" s="299"/>
      <c r="J84" s="299"/>
      <c r="K84" s="299"/>
      <c r="L84" s="299"/>
      <c r="M84" s="299"/>
      <c r="N84" s="299"/>
      <c r="O84" s="299"/>
      <c r="P84" s="299"/>
      <c r="Q84" s="299"/>
      <c r="R84" s="299"/>
      <c r="S84" s="299"/>
      <c r="T84" s="299"/>
      <c r="U84" s="299"/>
      <c r="V84" s="299"/>
      <c r="W84" s="299"/>
    </row>
    <row r="85" spans="3:23">
      <c r="D85" s="287" t="s">
        <v>3918</v>
      </c>
      <c r="E85" s="317"/>
      <c r="G85" s="1446"/>
      <c r="H85" s="294"/>
      <c r="I85" s="309"/>
      <c r="J85" s="309"/>
      <c r="K85" s="309"/>
      <c r="L85" s="309"/>
      <c r="M85" s="309"/>
      <c r="N85" s="309"/>
      <c r="O85" s="309"/>
      <c r="P85" s="309"/>
      <c r="Q85" s="309"/>
      <c r="R85" s="309"/>
      <c r="S85" s="309"/>
      <c r="T85" s="309"/>
      <c r="U85" s="309"/>
      <c r="V85" s="309"/>
      <c r="W85" s="309"/>
    </row>
    <row r="86" spans="3:23">
      <c r="E86" s="297" t="s">
        <v>1990</v>
      </c>
      <c r="F86" s="296"/>
      <c r="G86" s="1444">
        <f t="shared" ref="G86:G91" si="6">INDEX($I86:$V86,$H$145)</f>
        <v>1914</v>
      </c>
      <c r="H86" s="318"/>
      <c r="I86" s="1064">
        <f t="shared" ref="I86:I91" si="7">SUM(K86:V86)</f>
        <v>1655.5</v>
      </c>
      <c r="J86" s="1064">
        <f t="shared" ref="J86:J91" si="8">SUM(T86:V86)*4</f>
        <v>1914</v>
      </c>
      <c r="K86" s="1064">
        <f>'1.2 OmniTot'!GC97</f>
        <v>113.21000000000001</v>
      </c>
      <c r="L86" s="1064">
        <f>'1.2 OmniTot'!GD97</f>
        <v>143.97</v>
      </c>
      <c r="M86" s="1064">
        <f>'1.2 OmniTot'!GE97</f>
        <v>89.49</v>
      </c>
      <c r="N86" s="1064">
        <f>'1.2 OmniTot'!GF97</f>
        <v>136.71</v>
      </c>
      <c r="O86" s="1064">
        <f>'1.2 OmniTot'!GG97</f>
        <v>128.63999999999999</v>
      </c>
      <c r="P86" s="1064">
        <f>'1.2 OmniTot'!GH97</f>
        <v>137.68</v>
      </c>
      <c r="Q86" s="1064">
        <f>'1.2 OmniTot'!GI97</f>
        <v>135.72999999999999</v>
      </c>
      <c r="R86" s="1064">
        <f>'1.2 OmniTot'!GJ97</f>
        <v>150.94999999999999</v>
      </c>
      <c r="S86" s="1064">
        <f>'1.2 OmniTot'!GK97</f>
        <v>140.62</v>
      </c>
      <c r="T86" s="1064">
        <f>'1.2 OmniTot'!GL97</f>
        <v>150.74</v>
      </c>
      <c r="U86" s="1064">
        <f>'1.2 OmniTot'!GM97</f>
        <v>137.63</v>
      </c>
      <c r="V86" s="1064">
        <f>'1.2 OmniTot'!GN97</f>
        <v>190.13</v>
      </c>
      <c r="W86" s="1064"/>
    </row>
    <row r="87" spans="3:23">
      <c r="E87" s="297" t="s">
        <v>1991</v>
      </c>
      <c r="F87" s="296"/>
      <c r="G87" s="1444">
        <f t="shared" si="6"/>
        <v>0</v>
      </c>
      <c r="H87" s="318"/>
      <c r="I87" s="1064">
        <f t="shared" si="7"/>
        <v>0</v>
      </c>
      <c r="J87" s="1064">
        <f t="shared" si="8"/>
        <v>0</v>
      </c>
      <c r="K87" s="1064">
        <f>('1.2 OmniTot'!GC101+'1.2 OmniTot'!GC103)</f>
        <v>0</v>
      </c>
      <c r="L87" s="1064">
        <f>('1.2 OmniTot'!GD101+'1.2 OmniTot'!GD103)</f>
        <v>0</v>
      </c>
      <c r="M87" s="1064">
        <f>('1.2 OmniTot'!GE101+'1.2 OmniTot'!GE103)</f>
        <v>0</v>
      </c>
      <c r="N87" s="1064">
        <f>('1.2 OmniTot'!GF101+'1.2 OmniTot'!GF103)</f>
        <v>0</v>
      </c>
      <c r="O87" s="1064">
        <f>('1.2 OmniTot'!GG101+'1.2 OmniTot'!GG103)</f>
        <v>0</v>
      </c>
      <c r="P87" s="1064">
        <f>('1.2 OmniTot'!GH101+'1.2 OmniTot'!GH103)</f>
        <v>0</v>
      </c>
      <c r="Q87" s="1064">
        <f>('1.2 OmniTot'!GI101+'1.2 OmniTot'!GI103)</f>
        <v>0</v>
      </c>
      <c r="R87" s="1064">
        <f>('1.2 OmniTot'!GJ101+'1.2 OmniTot'!GJ103)</f>
        <v>0</v>
      </c>
      <c r="S87" s="1064">
        <f>('1.2 OmniTot'!GK101+'1.2 OmniTot'!GK103)</f>
        <v>0</v>
      </c>
      <c r="T87" s="1064">
        <f>('1.2 OmniTot'!GL101+'1.2 OmniTot'!GL103)</f>
        <v>0</v>
      </c>
      <c r="U87" s="1064">
        <f>('1.2 OmniTot'!GM101+'1.2 OmniTot'!GM103)</f>
        <v>0</v>
      </c>
      <c r="V87" s="1064">
        <f>('1.2 OmniTot'!GN101+'1.2 OmniTot'!GN103)</f>
        <v>0</v>
      </c>
      <c r="W87" s="1064"/>
    </row>
    <row r="88" spans="3:23">
      <c r="E88" s="297" t="s">
        <v>1992</v>
      </c>
      <c r="F88" s="296"/>
      <c r="G88" s="1444">
        <f t="shared" si="6"/>
        <v>0</v>
      </c>
      <c r="H88" s="318"/>
      <c r="I88" s="1064">
        <f t="shared" si="7"/>
        <v>0</v>
      </c>
      <c r="J88" s="1064">
        <f t="shared" si="8"/>
        <v>0</v>
      </c>
      <c r="K88" s="1064">
        <f>'1.2 OmniTot'!GC99</f>
        <v>0</v>
      </c>
      <c r="L88" s="1064">
        <f>'1.2 OmniTot'!GD99</f>
        <v>0</v>
      </c>
      <c r="M88" s="1064">
        <f>'1.2 OmniTot'!GE99</f>
        <v>0</v>
      </c>
      <c r="N88" s="1064">
        <f>'1.2 OmniTot'!GF99</f>
        <v>0</v>
      </c>
      <c r="O88" s="1064">
        <f>'1.2 OmniTot'!GG99</f>
        <v>0</v>
      </c>
      <c r="P88" s="1064">
        <f>'1.2 OmniTot'!GH99</f>
        <v>0</v>
      </c>
      <c r="Q88" s="1064">
        <f>'1.2 OmniTot'!GI99</f>
        <v>0</v>
      </c>
      <c r="R88" s="1064">
        <f>'1.2 OmniTot'!GJ99</f>
        <v>0</v>
      </c>
      <c r="S88" s="1064">
        <f>'1.2 OmniTot'!GK99</f>
        <v>0</v>
      </c>
      <c r="T88" s="1064">
        <f>'1.2 OmniTot'!GL99</f>
        <v>0</v>
      </c>
      <c r="U88" s="1064">
        <f>'1.2 OmniTot'!GM99</f>
        <v>0</v>
      </c>
      <c r="V88" s="1064">
        <f>'1.2 OmniTot'!GN99</f>
        <v>0</v>
      </c>
      <c r="W88" s="1064"/>
    </row>
    <row r="89" spans="3:23">
      <c r="E89" s="297" t="s">
        <v>461</v>
      </c>
      <c r="F89" s="296"/>
      <c r="G89" s="1444">
        <f t="shared" si="6"/>
        <v>0</v>
      </c>
      <c r="H89" s="318"/>
      <c r="I89" s="1064">
        <f t="shared" si="7"/>
        <v>0</v>
      </c>
      <c r="J89" s="1064">
        <f t="shared" si="8"/>
        <v>0</v>
      </c>
      <c r="K89" s="1064">
        <f>'1.2 OmniTot'!GC105</f>
        <v>0</v>
      </c>
      <c r="L89" s="1064">
        <f>'1.2 OmniTot'!GD105</f>
        <v>0</v>
      </c>
      <c r="M89" s="1064">
        <f>'1.2 OmniTot'!GE105</f>
        <v>0</v>
      </c>
      <c r="N89" s="1064">
        <f>'1.2 OmniTot'!GF105</f>
        <v>0</v>
      </c>
      <c r="O89" s="1064">
        <f>'1.2 OmniTot'!GG105</f>
        <v>0</v>
      </c>
      <c r="P89" s="1064">
        <f>'1.2 OmniTot'!GH105</f>
        <v>0</v>
      </c>
      <c r="Q89" s="1064">
        <f>'1.2 OmniTot'!GI105</f>
        <v>0</v>
      </c>
      <c r="R89" s="1064">
        <f>'1.2 OmniTot'!GJ105</f>
        <v>0</v>
      </c>
      <c r="S89" s="1064">
        <f>'1.2 OmniTot'!GK105</f>
        <v>0</v>
      </c>
      <c r="T89" s="1064">
        <f>'1.2 OmniTot'!GL105</f>
        <v>0</v>
      </c>
      <c r="U89" s="1064">
        <f>'1.2 OmniTot'!GM105</f>
        <v>0</v>
      </c>
      <c r="V89" s="1064">
        <f>'1.2 OmniTot'!GN105</f>
        <v>0</v>
      </c>
      <c r="W89" s="1064"/>
    </row>
    <row r="90" spans="3:23">
      <c r="E90" s="297" t="s">
        <v>1949</v>
      </c>
      <c r="F90" s="296"/>
      <c r="G90" s="1444">
        <f t="shared" si="6"/>
        <v>0</v>
      </c>
      <c r="H90" s="318"/>
      <c r="I90" s="1064">
        <f t="shared" si="7"/>
        <v>0.98</v>
      </c>
      <c r="J90" s="1064">
        <f t="shared" si="8"/>
        <v>0</v>
      </c>
      <c r="K90" s="1064">
        <f>'1.2 OmniTot'!GC109</f>
        <v>0</v>
      </c>
      <c r="L90" s="1064">
        <f>'1.2 OmniTot'!GD109</f>
        <v>0</v>
      </c>
      <c r="M90" s="1064">
        <f>'1.2 OmniTot'!GE109</f>
        <v>0</v>
      </c>
      <c r="N90" s="1064">
        <f>'1.2 OmniTot'!GF109</f>
        <v>0</v>
      </c>
      <c r="O90" s="1064">
        <f>'1.2 OmniTot'!GG109</f>
        <v>0.98</v>
      </c>
      <c r="P90" s="1064">
        <f>'1.2 OmniTot'!GH109</f>
        <v>0</v>
      </c>
      <c r="Q90" s="1064">
        <f>'1.2 OmniTot'!GI109</f>
        <v>0</v>
      </c>
      <c r="R90" s="1064">
        <f>'1.2 OmniTot'!GJ109</f>
        <v>0</v>
      </c>
      <c r="S90" s="1064">
        <f>'1.2 OmniTot'!GK109</f>
        <v>0</v>
      </c>
      <c r="T90" s="1064">
        <f>'1.2 OmniTot'!GL109</f>
        <v>0</v>
      </c>
      <c r="U90" s="1064">
        <f>'1.2 OmniTot'!GM109</f>
        <v>0</v>
      </c>
      <c r="V90" s="1064">
        <f>'1.2 OmniTot'!GN109</f>
        <v>0</v>
      </c>
      <c r="W90" s="1064"/>
    </row>
    <row r="91" spans="3:23">
      <c r="E91" s="297" t="s">
        <v>813</v>
      </c>
      <c r="F91" s="296"/>
      <c r="G91" s="1444">
        <f t="shared" si="6"/>
        <v>1351.8400000000001</v>
      </c>
      <c r="H91" s="318"/>
      <c r="I91" s="1064">
        <f t="shared" si="7"/>
        <v>498.67000000000007</v>
      </c>
      <c r="J91" s="1064">
        <f t="shared" si="8"/>
        <v>1351.8400000000001</v>
      </c>
      <c r="K91" s="1064">
        <f>'1.2 OmniTot'!GC107</f>
        <v>7</v>
      </c>
      <c r="L91" s="1064">
        <f>'1.2 OmniTot'!GD107</f>
        <v>0</v>
      </c>
      <c r="M91" s="1064">
        <f>'1.2 OmniTot'!GE107</f>
        <v>0</v>
      </c>
      <c r="N91" s="1064">
        <f>'1.2 OmniTot'!GF107</f>
        <v>8</v>
      </c>
      <c r="O91" s="1064">
        <f>'1.2 OmniTot'!GG107</f>
        <v>0</v>
      </c>
      <c r="P91" s="1064">
        <f>'1.2 OmniTot'!GH107</f>
        <v>0</v>
      </c>
      <c r="Q91" s="1064">
        <f>'1.2 OmniTot'!GI107</f>
        <v>0</v>
      </c>
      <c r="R91" s="1064">
        <f>'1.2 OmniTot'!GJ107</f>
        <v>0</v>
      </c>
      <c r="S91" s="1064">
        <f>'1.2 OmniTot'!GK107</f>
        <v>145.71</v>
      </c>
      <c r="T91" s="1064">
        <f>'1.2 OmniTot'!GL107</f>
        <v>138.13</v>
      </c>
      <c r="U91" s="1064">
        <f>'1.2 OmniTot'!GM107</f>
        <v>160.79000000000002</v>
      </c>
      <c r="V91" s="1064">
        <f>'1.2 OmniTot'!GN107</f>
        <v>39.04</v>
      </c>
      <c r="W91" s="1064"/>
    </row>
    <row r="92" spans="3:23">
      <c r="D92" s="287" t="s">
        <v>3476</v>
      </c>
      <c r="E92" s="297"/>
      <c r="F92" s="296"/>
      <c r="G92" s="1444"/>
      <c r="H92" s="318"/>
      <c r="I92" s="1064"/>
      <c r="J92" s="1064"/>
      <c r="K92" s="1064"/>
      <c r="L92" s="1064"/>
      <c r="M92" s="1064"/>
      <c r="N92" s="1064"/>
      <c r="O92" s="1064"/>
      <c r="P92" s="1064"/>
      <c r="Q92" s="1064"/>
      <c r="R92" s="1064"/>
      <c r="S92" s="1064"/>
      <c r="T92" s="1064"/>
      <c r="U92" s="1064"/>
      <c r="V92" s="1064"/>
      <c r="W92" s="1064"/>
    </row>
    <row r="93" spans="3:23">
      <c r="E93" s="300" t="s">
        <v>1990</v>
      </c>
      <c r="F93" s="296"/>
      <c r="G93" s="1444">
        <f t="shared" ref="G93:G98" si="9">INDEX($I93:$V93,$H$145)</f>
        <v>64381.48</v>
      </c>
      <c r="H93" s="318"/>
      <c r="I93" s="299">
        <f t="shared" ref="I93:I98" si="10">SUM(K93:V93)</f>
        <v>56573.04</v>
      </c>
      <c r="J93" s="299">
        <f t="shared" ref="J93:J98" si="11">SUM(T93:V93)*4</f>
        <v>64381.48</v>
      </c>
      <c r="K93" s="299">
        <f>'1.2 OmniTot'!GC96</f>
        <v>3904.93</v>
      </c>
      <c r="L93" s="299">
        <f>'1.2 OmniTot'!GD96</f>
        <v>4930.2999999999993</v>
      </c>
      <c r="M93" s="299">
        <f>'1.2 OmniTot'!GE96</f>
        <v>3096.6700000000005</v>
      </c>
      <c r="N93" s="299">
        <f>'1.2 OmniTot'!GF96</f>
        <v>4684.4400000000005</v>
      </c>
      <c r="O93" s="299">
        <f>'1.2 OmniTot'!GG96</f>
        <v>4393.22</v>
      </c>
      <c r="P93" s="299">
        <f>'1.2 OmniTot'!GH96</f>
        <v>4724.4400000000005</v>
      </c>
      <c r="Q93" s="299">
        <f>'1.2 OmniTot'!GI96</f>
        <v>4659.66</v>
      </c>
      <c r="R93" s="299">
        <f>'1.2 OmniTot'!GJ96</f>
        <v>5217.0399999999991</v>
      </c>
      <c r="S93" s="299">
        <f>'1.2 OmniTot'!GK96</f>
        <v>4866.97</v>
      </c>
      <c r="T93" s="299">
        <f>'1.2 OmniTot'!GL96</f>
        <v>5125.88</v>
      </c>
      <c r="U93" s="299">
        <f>'1.2 OmniTot'!GM96</f>
        <v>5120.59</v>
      </c>
      <c r="V93" s="299">
        <f>'1.2 OmniTot'!GN96</f>
        <v>5848.9</v>
      </c>
      <c r="W93" s="299"/>
    </row>
    <row r="94" spans="3:23">
      <c r="E94" s="300" t="s">
        <v>1991</v>
      </c>
      <c r="F94" s="296"/>
      <c r="G94" s="1444">
        <f t="shared" si="9"/>
        <v>0</v>
      </c>
      <c r="H94" s="318"/>
      <c r="I94" s="299">
        <f t="shared" si="10"/>
        <v>0</v>
      </c>
      <c r="J94" s="299">
        <f t="shared" si="11"/>
        <v>0</v>
      </c>
      <c r="K94" s="299">
        <f>('1.2 OmniTot'!GC100+'1.2 OmniTot'!GC102)</f>
        <v>0</v>
      </c>
      <c r="L94" s="299">
        <f>('1.2 OmniTot'!GD100+'1.2 OmniTot'!GD102)</f>
        <v>0</v>
      </c>
      <c r="M94" s="299">
        <f>('1.2 OmniTot'!GE100+'1.2 OmniTot'!GE102)</f>
        <v>0</v>
      </c>
      <c r="N94" s="299">
        <f>('1.2 OmniTot'!GF100+'1.2 OmniTot'!GF102)</f>
        <v>0</v>
      </c>
      <c r="O94" s="299">
        <f>('1.2 OmniTot'!GG100+'1.2 OmniTot'!GG102)</f>
        <v>0</v>
      </c>
      <c r="P94" s="299">
        <f>('1.2 OmniTot'!GH100+'1.2 OmniTot'!GH102)</f>
        <v>0</v>
      </c>
      <c r="Q94" s="299">
        <f>('1.2 OmniTot'!GI100+'1.2 OmniTot'!GI102)</f>
        <v>0</v>
      </c>
      <c r="R94" s="299">
        <f>('1.2 OmniTot'!GJ100+'1.2 OmniTot'!GJ102)</f>
        <v>0</v>
      </c>
      <c r="S94" s="299">
        <f>('1.2 OmniTot'!GK100+'1.2 OmniTot'!GK102)</f>
        <v>0</v>
      </c>
      <c r="T94" s="299">
        <f>('1.2 OmniTot'!GL100+'1.2 OmniTot'!GL102)</f>
        <v>0</v>
      </c>
      <c r="U94" s="299">
        <f>('1.2 OmniTot'!GM100+'1.2 OmniTot'!GM102)</f>
        <v>0</v>
      </c>
      <c r="V94" s="299">
        <f>('1.2 OmniTot'!GN100+'1.2 OmniTot'!GN102)</f>
        <v>0</v>
      </c>
      <c r="W94" s="299"/>
    </row>
    <row r="95" spans="3:23">
      <c r="E95" s="300" t="s">
        <v>1992</v>
      </c>
      <c r="F95" s="296"/>
      <c r="G95" s="1444">
        <f t="shared" si="9"/>
        <v>0</v>
      </c>
      <c r="H95" s="318"/>
      <c r="I95" s="299">
        <f t="shared" si="10"/>
        <v>0</v>
      </c>
      <c r="J95" s="299">
        <f t="shared" si="11"/>
        <v>0</v>
      </c>
      <c r="K95" s="299">
        <f>'1.2 OmniTot'!GC98</f>
        <v>0</v>
      </c>
      <c r="L95" s="299">
        <f>'1.2 OmniTot'!GD98</f>
        <v>0</v>
      </c>
      <c r="M95" s="299">
        <f>'1.2 OmniTot'!GE98</f>
        <v>0</v>
      </c>
      <c r="N95" s="299">
        <f>'1.2 OmniTot'!GF98</f>
        <v>0</v>
      </c>
      <c r="O95" s="299">
        <f>'1.2 OmniTot'!GG98</f>
        <v>0</v>
      </c>
      <c r="P95" s="299">
        <f>'1.2 OmniTot'!GH98</f>
        <v>0</v>
      </c>
      <c r="Q95" s="299">
        <f>'1.2 OmniTot'!GI98</f>
        <v>0</v>
      </c>
      <c r="R95" s="299">
        <f>'1.2 OmniTot'!GJ98</f>
        <v>0</v>
      </c>
      <c r="S95" s="299">
        <f>'1.2 OmniTot'!GK98</f>
        <v>0</v>
      </c>
      <c r="T95" s="299">
        <f>'1.2 OmniTot'!GL98</f>
        <v>0</v>
      </c>
      <c r="U95" s="299">
        <f>'1.2 OmniTot'!GM98</f>
        <v>0</v>
      </c>
      <c r="V95" s="299">
        <f>'1.2 OmniTot'!GN98</f>
        <v>0</v>
      </c>
      <c r="W95" s="299"/>
    </row>
    <row r="96" spans="3:23">
      <c r="E96" s="300" t="s">
        <v>461</v>
      </c>
      <c r="F96" s="296"/>
      <c r="G96" s="1444">
        <f t="shared" si="9"/>
        <v>0</v>
      </c>
      <c r="H96" s="318"/>
      <c r="I96" s="299">
        <f t="shared" si="10"/>
        <v>0</v>
      </c>
      <c r="J96" s="299">
        <f t="shared" si="11"/>
        <v>0</v>
      </c>
      <c r="K96" s="299">
        <f>'1.2 OmniTot'!GC104</f>
        <v>0</v>
      </c>
      <c r="L96" s="299">
        <f>'1.2 OmniTot'!GD104</f>
        <v>0</v>
      </c>
      <c r="M96" s="299">
        <f>'1.2 OmniTot'!GE104</f>
        <v>0</v>
      </c>
      <c r="N96" s="299">
        <f>'1.2 OmniTot'!GF104</f>
        <v>0</v>
      </c>
      <c r="O96" s="299">
        <f>'1.2 OmniTot'!GG104</f>
        <v>0</v>
      </c>
      <c r="P96" s="299">
        <f>'1.2 OmniTot'!GH104</f>
        <v>0</v>
      </c>
      <c r="Q96" s="299">
        <f>'1.2 OmniTot'!GI104</f>
        <v>0</v>
      </c>
      <c r="R96" s="299">
        <f>'1.2 OmniTot'!GJ104</f>
        <v>0</v>
      </c>
      <c r="S96" s="299">
        <f>'1.2 OmniTot'!GK104</f>
        <v>0</v>
      </c>
      <c r="T96" s="299">
        <f>'1.2 OmniTot'!GL104</f>
        <v>0</v>
      </c>
      <c r="U96" s="299">
        <f>'1.2 OmniTot'!GM104</f>
        <v>0</v>
      </c>
      <c r="V96" s="299">
        <f>'1.2 OmniTot'!GN104</f>
        <v>0</v>
      </c>
      <c r="W96" s="299"/>
    </row>
    <row r="97" spans="3:23">
      <c r="E97" s="300" t="s">
        <v>1949</v>
      </c>
      <c r="F97" s="296"/>
      <c r="G97" s="1444">
        <f t="shared" si="9"/>
        <v>0</v>
      </c>
      <c r="H97" s="318"/>
      <c r="I97" s="299">
        <f t="shared" si="10"/>
        <v>24.07</v>
      </c>
      <c r="J97" s="299">
        <f t="shared" si="11"/>
        <v>0</v>
      </c>
      <c r="K97" s="299">
        <f>'1.2 OmniTot'!GC108</f>
        <v>0</v>
      </c>
      <c r="L97" s="299">
        <f>'1.2 OmniTot'!GD108</f>
        <v>0</v>
      </c>
      <c r="M97" s="299">
        <f>'1.2 OmniTot'!GE108</f>
        <v>0</v>
      </c>
      <c r="N97" s="299">
        <f>'1.2 OmniTot'!GF108</f>
        <v>0</v>
      </c>
      <c r="O97" s="299">
        <f>'1.2 OmniTot'!GG108</f>
        <v>24.07</v>
      </c>
      <c r="P97" s="299">
        <f>'1.2 OmniTot'!GH108</f>
        <v>0</v>
      </c>
      <c r="Q97" s="299">
        <f>'1.2 OmniTot'!GI108</f>
        <v>0</v>
      </c>
      <c r="R97" s="299">
        <f>'1.2 OmniTot'!GJ108</f>
        <v>0</v>
      </c>
      <c r="S97" s="299">
        <f>'1.2 OmniTot'!GK108</f>
        <v>0</v>
      </c>
      <c r="T97" s="299">
        <f>'1.2 OmniTot'!GL108</f>
        <v>0</v>
      </c>
      <c r="U97" s="299">
        <f>'1.2 OmniTot'!GM108</f>
        <v>0</v>
      </c>
      <c r="V97" s="299">
        <f>'1.2 OmniTot'!GN108</f>
        <v>0</v>
      </c>
      <c r="W97" s="299"/>
    </row>
    <row r="98" spans="3:23">
      <c r="E98" s="296" t="s">
        <v>813</v>
      </c>
      <c r="F98" s="296"/>
      <c r="G98" s="1444">
        <f t="shared" si="9"/>
        <v>35839.479999999996</v>
      </c>
      <c r="H98" s="318"/>
      <c r="I98" s="299">
        <f t="shared" si="10"/>
        <v>13271.71</v>
      </c>
      <c r="J98" s="299">
        <f t="shared" si="11"/>
        <v>35839.479999999996</v>
      </c>
      <c r="K98" s="299">
        <f>'1.2 OmniTot'!GC106</f>
        <v>232.58</v>
      </c>
      <c r="L98" s="299">
        <f>'1.2 OmniTot'!GD106</f>
        <v>0</v>
      </c>
      <c r="M98" s="299">
        <f>'1.2 OmniTot'!GE106</f>
        <v>0</v>
      </c>
      <c r="N98" s="299">
        <f>'1.2 OmniTot'!GF106</f>
        <v>265.8</v>
      </c>
      <c r="O98" s="299">
        <f>'1.2 OmniTot'!GG106</f>
        <v>0</v>
      </c>
      <c r="P98" s="299">
        <f>'1.2 OmniTot'!GH106</f>
        <v>0</v>
      </c>
      <c r="Q98" s="299">
        <f>'1.2 OmniTot'!GI106</f>
        <v>0</v>
      </c>
      <c r="R98" s="299">
        <f>'1.2 OmniTot'!GJ106</f>
        <v>0</v>
      </c>
      <c r="S98" s="299">
        <f>'1.2 OmniTot'!GK106</f>
        <v>3813.46</v>
      </c>
      <c r="T98" s="299">
        <f>'1.2 OmniTot'!GL106</f>
        <v>3636.9900000000002</v>
      </c>
      <c r="U98" s="299">
        <f>'1.2 OmniTot'!GM106</f>
        <v>4307.84</v>
      </c>
      <c r="V98" s="299">
        <f>'1.2 OmniTot'!GN106</f>
        <v>1015.04</v>
      </c>
      <c r="W98" s="299"/>
    </row>
    <row r="99" spans="3:23">
      <c r="E99" s="301"/>
      <c r="G99" s="1445"/>
      <c r="H99" s="291"/>
      <c r="I99" s="299"/>
      <c r="J99" s="299"/>
      <c r="K99" s="299"/>
      <c r="L99" s="299"/>
      <c r="M99" s="299"/>
      <c r="N99" s="299"/>
      <c r="O99" s="299"/>
      <c r="P99" s="299"/>
      <c r="Q99" s="299"/>
      <c r="R99" s="299"/>
      <c r="S99" s="299"/>
      <c r="T99" s="299"/>
      <c r="U99" s="299"/>
      <c r="V99" s="299"/>
      <c r="W99" s="299"/>
    </row>
    <row r="100" spans="3:23">
      <c r="C100" s="287" t="s">
        <v>2595</v>
      </c>
      <c r="E100" s="291"/>
      <c r="G100" s="1445"/>
      <c r="H100" s="291"/>
      <c r="I100" s="299"/>
      <c r="J100" s="299"/>
      <c r="K100" s="299"/>
      <c r="L100" s="299"/>
      <c r="M100" s="299"/>
      <c r="N100" s="299"/>
      <c r="O100" s="299"/>
      <c r="P100" s="299"/>
      <c r="Q100" s="299"/>
      <c r="R100" s="299"/>
      <c r="S100" s="299"/>
      <c r="T100" s="299"/>
      <c r="U100" s="299"/>
      <c r="V100" s="299"/>
      <c r="W100" s="299"/>
    </row>
    <row r="101" spans="3:23">
      <c r="D101" s="287" t="s">
        <v>3918</v>
      </c>
      <c r="E101" s="317"/>
      <c r="G101" s="1446"/>
      <c r="H101" s="294"/>
      <c r="I101" s="309"/>
      <c r="J101" s="309"/>
      <c r="K101" s="309"/>
      <c r="L101" s="309"/>
      <c r="M101" s="309"/>
      <c r="N101" s="309"/>
      <c r="O101" s="309"/>
      <c r="P101" s="309"/>
      <c r="Q101" s="309"/>
      <c r="R101" s="309"/>
      <c r="S101" s="309"/>
      <c r="T101" s="309"/>
      <c r="U101" s="309"/>
      <c r="V101" s="309"/>
      <c r="W101" s="309"/>
    </row>
    <row r="102" spans="3:23">
      <c r="E102" s="297" t="s">
        <v>1950</v>
      </c>
      <c r="F102" s="296"/>
      <c r="G102" s="1444">
        <f>INDEX($I102:$V102,$H$145)</f>
        <v>1632</v>
      </c>
      <c r="H102" s="318"/>
      <c r="I102" s="1064">
        <f>SUM(K102:V102)</f>
        <v>1943.6</v>
      </c>
      <c r="J102" s="1064">
        <f>SUM(T102:V102)*4</f>
        <v>1632</v>
      </c>
      <c r="K102" s="1064">
        <f>'1.2 OmniTot'!GC44</f>
        <v>128</v>
      </c>
      <c r="L102" s="1064">
        <f>'1.2 OmniTot'!GD44</f>
        <v>184.8</v>
      </c>
      <c r="M102" s="1064">
        <f>'1.2 OmniTot'!GE44</f>
        <v>168</v>
      </c>
      <c r="N102" s="1064">
        <f>'1.2 OmniTot'!GF44</f>
        <v>182.8</v>
      </c>
      <c r="O102" s="1064">
        <f>'1.2 OmniTot'!GG44</f>
        <v>210</v>
      </c>
      <c r="P102" s="1064">
        <f>'1.2 OmniTot'!GH44</f>
        <v>170.8</v>
      </c>
      <c r="Q102" s="1064">
        <f>'1.2 OmniTot'!GI44</f>
        <v>176</v>
      </c>
      <c r="R102" s="1064">
        <f>'1.2 OmniTot'!GJ44</f>
        <v>189.6</v>
      </c>
      <c r="S102" s="1064">
        <f>'1.2 OmniTot'!GK44</f>
        <v>125.6</v>
      </c>
      <c r="T102" s="1064">
        <f>'1.2 OmniTot'!GL44</f>
        <v>136</v>
      </c>
      <c r="U102" s="1064">
        <f>'1.2 OmniTot'!GM44</f>
        <v>142.80000000000001</v>
      </c>
      <c r="V102" s="1064">
        <f>'1.2 OmniTot'!GN44</f>
        <v>129.19999999999999</v>
      </c>
      <c r="W102" s="1064"/>
    </row>
    <row r="103" spans="3:23">
      <c r="E103" s="297" t="s">
        <v>1951</v>
      </c>
      <c r="F103" s="296"/>
      <c r="G103" s="1444">
        <f>INDEX($I103:$V103,$H$145)</f>
        <v>1385.7599999999998</v>
      </c>
      <c r="H103" s="318"/>
      <c r="I103" s="1064">
        <f>SUM(K103:V103)</f>
        <v>1382.6799999999998</v>
      </c>
      <c r="J103" s="1064">
        <f>SUM(T103:V103)*4</f>
        <v>1385.7599999999998</v>
      </c>
      <c r="K103" s="1064">
        <f>'1.2 OmniTot'!GC45</f>
        <v>105.49</v>
      </c>
      <c r="L103" s="1064">
        <f>'1.2 OmniTot'!GD45</f>
        <v>123.16999999999999</v>
      </c>
      <c r="M103" s="1064">
        <f>'1.2 OmniTot'!GE45</f>
        <v>112.80000000000001</v>
      </c>
      <c r="N103" s="1064">
        <f>'1.2 OmniTot'!GF45</f>
        <v>118.31</v>
      </c>
      <c r="O103" s="1064">
        <f>'1.2 OmniTot'!GG45</f>
        <v>125.19999999999999</v>
      </c>
      <c r="P103" s="1064">
        <f>'1.2 OmniTot'!GH45</f>
        <v>129.63999999999999</v>
      </c>
      <c r="Q103" s="1064">
        <f>'1.2 OmniTot'!GI45</f>
        <v>74.62</v>
      </c>
      <c r="R103" s="1064">
        <f>'1.2 OmniTot'!GJ45</f>
        <v>122.69</v>
      </c>
      <c r="S103" s="1064">
        <f>'1.2 OmniTot'!GK45</f>
        <v>124.32</v>
      </c>
      <c r="T103" s="1064">
        <f>'1.2 OmniTot'!GL45</f>
        <v>118.54</v>
      </c>
      <c r="U103" s="1064">
        <f>'1.2 OmniTot'!GM45</f>
        <v>118.29999999999998</v>
      </c>
      <c r="V103" s="1064">
        <f>'1.2 OmniTot'!GN45</f>
        <v>109.6</v>
      </c>
      <c r="W103" s="1064"/>
    </row>
    <row r="104" spans="3:23">
      <c r="E104" s="297" t="s">
        <v>1952</v>
      </c>
      <c r="F104" s="296"/>
      <c r="G104" s="1444">
        <f>INDEX($I104:$V104,$H$145)</f>
        <v>1324.68</v>
      </c>
      <c r="H104" s="318"/>
      <c r="I104" s="1064">
        <f>SUM(K104:V104)</f>
        <v>1242.32</v>
      </c>
      <c r="J104" s="1064">
        <f>SUM(T104:V104)*4</f>
        <v>1324.68</v>
      </c>
      <c r="K104" s="1064">
        <f>'1.2 OmniTot'!GC46</f>
        <v>84.63</v>
      </c>
      <c r="L104" s="1064">
        <f>'1.2 OmniTot'!GD46</f>
        <v>106.38000000000001</v>
      </c>
      <c r="M104" s="1064">
        <f>'1.2 OmniTot'!GE46</f>
        <v>108</v>
      </c>
      <c r="N104" s="1064">
        <f>'1.2 OmniTot'!GF46</f>
        <v>112.90000000000002</v>
      </c>
      <c r="O104" s="1064">
        <f>'1.2 OmniTot'!GG46</f>
        <v>110.14999999999999</v>
      </c>
      <c r="P104" s="1064">
        <f>'1.2 OmniTot'!GH46</f>
        <v>103.97999999999999</v>
      </c>
      <c r="Q104" s="1064">
        <f>'1.2 OmniTot'!GI46</f>
        <v>76.52000000000001</v>
      </c>
      <c r="R104" s="1064">
        <f>'1.2 OmniTot'!GJ46</f>
        <v>115.96000000000001</v>
      </c>
      <c r="S104" s="1064">
        <f>'1.2 OmniTot'!GK46</f>
        <v>92.63000000000001</v>
      </c>
      <c r="T104" s="1064">
        <f>'1.2 OmniTot'!GL46</f>
        <v>106.48</v>
      </c>
      <c r="U104" s="1064">
        <f>'1.2 OmniTot'!GM46</f>
        <v>118.10000000000001</v>
      </c>
      <c r="V104" s="1064">
        <f>'1.2 OmniTot'!GN46</f>
        <v>106.59</v>
      </c>
      <c r="W104" s="1064"/>
    </row>
    <row r="105" spans="3:23">
      <c r="E105" s="297" t="s">
        <v>1953</v>
      </c>
      <c r="F105" s="296"/>
      <c r="G105" s="1444">
        <f>INDEX($I105:$V105,$H$145)</f>
        <v>1917.36</v>
      </c>
      <c r="H105" s="318"/>
      <c r="I105" s="1064">
        <f>SUM(K105:V105)</f>
        <v>1577.8</v>
      </c>
      <c r="J105" s="1064">
        <f>SUM(T105:V105)*4</f>
        <v>1917.36</v>
      </c>
      <c r="K105" s="1064">
        <f>'1.2 OmniTot'!GC47</f>
        <v>91.610000000000014</v>
      </c>
      <c r="L105" s="1064">
        <f>'1.2 OmniTot'!GD47</f>
        <v>120.09</v>
      </c>
      <c r="M105" s="1064">
        <f>'1.2 OmniTot'!GE47</f>
        <v>122.6</v>
      </c>
      <c r="N105" s="1064">
        <f>'1.2 OmniTot'!GF47</f>
        <v>89.610000000000014</v>
      </c>
      <c r="O105" s="1064">
        <f>'1.2 OmniTot'!GG47</f>
        <v>127.63</v>
      </c>
      <c r="P105" s="1064">
        <f>'1.2 OmniTot'!GH47</f>
        <v>125.46</v>
      </c>
      <c r="Q105" s="1064">
        <f>'1.2 OmniTot'!GI47</f>
        <v>124.89</v>
      </c>
      <c r="R105" s="1064">
        <f>'1.2 OmniTot'!GJ47</f>
        <v>133.99</v>
      </c>
      <c r="S105" s="1064">
        <f>'1.2 OmniTot'!GK47</f>
        <v>162.57999999999998</v>
      </c>
      <c r="T105" s="1064">
        <f>'1.2 OmniTot'!GL47</f>
        <v>151.42000000000002</v>
      </c>
      <c r="U105" s="1064">
        <f>'1.2 OmniTot'!GM47</f>
        <v>174.08999999999997</v>
      </c>
      <c r="V105" s="1064">
        <f>'1.2 OmniTot'!GN47</f>
        <v>153.82999999999998</v>
      </c>
      <c r="W105" s="1064"/>
    </row>
    <row r="106" spans="3:23">
      <c r="E106" s="297" t="s">
        <v>1954</v>
      </c>
      <c r="F106" s="296"/>
      <c r="G106" s="1444">
        <f>INDEX($I106:$V106,$H$145)</f>
        <v>0</v>
      </c>
      <c r="H106" s="318"/>
      <c r="I106" s="1064">
        <f>SUM(K106:V106)</f>
        <v>0</v>
      </c>
      <c r="J106" s="1064">
        <f>SUM(T106:V106)*4</f>
        <v>0</v>
      </c>
      <c r="K106" s="1064">
        <f>'1.2 OmniTot'!GC48</f>
        <v>0</v>
      </c>
      <c r="L106" s="1064">
        <f>'1.2 OmniTot'!GD48</f>
        <v>0</v>
      </c>
      <c r="M106" s="1064">
        <f>'1.2 OmniTot'!GE48</f>
        <v>0</v>
      </c>
      <c r="N106" s="1064">
        <f>'1.2 OmniTot'!GF48</f>
        <v>0</v>
      </c>
      <c r="O106" s="1064">
        <f>'1.2 OmniTot'!GG48</f>
        <v>0</v>
      </c>
      <c r="P106" s="1064">
        <f>'1.2 OmniTot'!GH48</f>
        <v>0</v>
      </c>
      <c r="Q106" s="1064">
        <f>'1.2 OmniTot'!GI48</f>
        <v>0</v>
      </c>
      <c r="R106" s="1064">
        <f>'1.2 OmniTot'!GJ48</f>
        <v>0</v>
      </c>
      <c r="S106" s="1064">
        <f>'1.2 OmniTot'!GK48</f>
        <v>0</v>
      </c>
      <c r="T106" s="1064">
        <f>'1.2 OmniTot'!GL48</f>
        <v>0</v>
      </c>
      <c r="U106" s="1064">
        <f>'1.2 OmniTot'!GM48</f>
        <v>0</v>
      </c>
      <c r="V106" s="1064">
        <f>'1.2 OmniTot'!GN48</f>
        <v>0</v>
      </c>
      <c r="W106" s="1064"/>
    </row>
    <row r="107" spans="3:23">
      <c r="D107" s="287" t="s">
        <v>3476</v>
      </c>
      <c r="E107" s="297"/>
      <c r="F107" s="296"/>
      <c r="G107" s="1444"/>
      <c r="H107" s="318"/>
      <c r="I107" s="1064"/>
      <c r="J107" s="1064"/>
      <c r="K107" s="1064"/>
      <c r="L107" s="1064"/>
      <c r="M107" s="1064"/>
      <c r="N107" s="1064"/>
      <c r="O107" s="1064"/>
      <c r="P107" s="1064"/>
      <c r="Q107" s="1064"/>
      <c r="R107" s="1064"/>
      <c r="S107" s="1064"/>
      <c r="T107" s="1064"/>
      <c r="U107" s="1064"/>
      <c r="V107" s="1064"/>
      <c r="W107" s="1064"/>
    </row>
    <row r="108" spans="3:23">
      <c r="E108" s="297" t="s">
        <v>1950</v>
      </c>
      <c r="F108" s="296"/>
      <c r="G108" s="1444">
        <f>INDEX($I108:$V108,$H$145)</f>
        <v>63223.680000000008</v>
      </c>
      <c r="H108" s="318"/>
      <c r="I108" s="299">
        <f>SUM(K108:V108)</f>
        <v>75675.37</v>
      </c>
      <c r="J108" s="299">
        <f>SUM(T108:V108)*4</f>
        <v>63223.680000000008</v>
      </c>
      <c r="K108" s="299">
        <f>'1.2 OmniTot'!GC39</f>
        <v>5021.32</v>
      </c>
      <c r="L108" s="299">
        <f>'1.2 OmniTot'!GD39</f>
        <v>7053.66</v>
      </c>
      <c r="M108" s="299">
        <f>'1.2 OmniTot'!GE39</f>
        <v>6159.2</v>
      </c>
      <c r="N108" s="299">
        <f>'1.2 OmniTot'!GF39</f>
        <v>7120.2699999999995</v>
      </c>
      <c r="O108" s="299">
        <f>'1.2 OmniTot'!GG39</f>
        <v>8869.739999999998</v>
      </c>
      <c r="P108" s="299">
        <f>'1.2 OmniTot'!GH39</f>
        <v>6610.9</v>
      </c>
      <c r="Q108" s="299">
        <f>'1.2 OmniTot'!GI39</f>
        <v>6828.76</v>
      </c>
      <c r="R108" s="299">
        <f>'1.2 OmniTot'!GJ39</f>
        <v>7368.14</v>
      </c>
      <c r="S108" s="299">
        <f>'1.2 OmniTot'!GK39</f>
        <v>4837.46</v>
      </c>
      <c r="T108" s="299">
        <f>'1.2 OmniTot'!GL39</f>
        <v>5266.52</v>
      </c>
      <c r="U108" s="299">
        <f>'1.2 OmniTot'!GM39</f>
        <v>5536.2</v>
      </c>
      <c r="V108" s="299">
        <f>'1.2 OmniTot'!GN39</f>
        <v>5003.2</v>
      </c>
      <c r="W108" s="299"/>
    </row>
    <row r="109" spans="3:23">
      <c r="E109" s="297" t="s">
        <v>1951</v>
      </c>
      <c r="F109" s="296"/>
      <c r="G109" s="1444">
        <f>INDEX($I109:$V109,$H$145)</f>
        <v>37364.080000000002</v>
      </c>
      <c r="H109" s="318"/>
      <c r="I109" s="299">
        <f>SUM(K109:V109)</f>
        <v>37146.590000000011</v>
      </c>
      <c r="J109" s="299">
        <f>SUM(T109:V109)*4</f>
        <v>37364.080000000002</v>
      </c>
      <c r="K109" s="299">
        <f>'1.2 OmniTot'!GC40</f>
        <v>2782.2299999999996</v>
      </c>
      <c r="L109" s="299">
        <f>'1.2 OmniTot'!GD40</f>
        <v>3249.4500000000003</v>
      </c>
      <c r="M109" s="299">
        <f>'1.2 OmniTot'!GE40</f>
        <v>2976.2599999999998</v>
      </c>
      <c r="N109" s="299">
        <f>'1.2 OmniTot'!GF40</f>
        <v>3120.84</v>
      </c>
      <c r="O109" s="299">
        <f>'1.2 OmniTot'!GG40</f>
        <v>3507.8300000000004</v>
      </c>
      <c r="P109" s="299">
        <f>'1.2 OmniTot'!GH40</f>
        <v>3495.06</v>
      </c>
      <c r="Q109" s="299">
        <f>'1.2 OmniTot'!GI40</f>
        <v>2014.29</v>
      </c>
      <c r="R109" s="299">
        <f>'1.2 OmniTot'!GJ40</f>
        <v>3307.27</v>
      </c>
      <c r="S109" s="299">
        <f>'1.2 OmniTot'!GK40</f>
        <v>3352.3399999999997</v>
      </c>
      <c r="T109" s="299">
        <f>'1.2 OmniTot'!GL40</f>
        <v>3196.6700000000005</v>
      </c>
      <c r="U109" s="299">
        <f>'1.2 OmniTot'!GM40</f>
        <v>3190.94</v>
      </c>
      <c r="V109" s="299">
        <f>'1.2 OmniTot'!GN40</f>
        <v>2953.4100000000003</v>
      </c>
      <c r="W109" s="299"/>
    </row>
    <row r="110" spans="3:23">
      <c r="E110" s="297" t="s">
        <v>1952</v>
      </c>
      <c r="F110" s="296"/>
      <c r="G110" s="1444">
        <f>INDEX($I110:$V110,$H$145)</f>
        <v>37013.279999999999</v>
      </c>
      <c r="H110" s="318"/>
      <c r="I110" s="299">
        <f>SUM(K110:V110)</f>
        <v>34333.78</v>
      </c>
      <c r="J110" s="299">
        <f>SUM(T110:V110)*4</f>
        <v>37013.279999999999</v>
      </c>
      <c r="K110" s="299">
        <f>'1.2 OmniTot'!GC41</f>
        <v>2313.61</v>
      </c>
      <c r="L110" s="299">
        <f>'1.2 OmniTot'!GD41</f>
        <v>2907.92</v>
      </c>
      <c r="M110" s="299">
        <f>'1.2 OmniTot'!GE41</f>
        <v>2952.8</v>
      </c>
      <c r="N110" s="299">
        <f>'1.2 OmniTot'!GF41</f>
        <v>3087.51</v>
      </c>
      <c r="O110" s="299">
        <f>'1.2 OmniTot'!GG41</f>
        <v>3010.6899999999996</v>
      </c>
      <c r="P110" s="299">
        <f>'1.2 OmniTot'!GH41</f>
        <v>2841.6600000000003</v>
      </c>
      <c r="Q110" s="299">
        <f>'1.2 OmniTot'!GI41</f>
        <v>2095.3199999999997</v>
      </c>
      <c r="R110" s="299">
        <f>'1.2 OmniTot'!GJ41</f>
        <v>3283.7999999999997</v>
      </c>
      <c r="S110" s="299">
        <f>'1.2 OmniTot'!GK41</f>
        <v>2587.1499999999992</v>
      </c>
      <c r="T110" s="299">
        <f>'1.2 OmniTot'!GL41</f>
        <v>2975.63</v>
      </c>
      <c r="U110" s="299">
        <f>'1.2 OmniTot'!GM41</f>
        <v>3299.66</v>
      </c>
      <c r="V110" s="299">
        <f>'1.2 OmniTot'!GN41</f>
        <v>2978.0299999999997</v>
      </c>
      <c r="W110" s="299"/>
    </row>
    <row r="111" spans="3:23">
      <c r="E111" s="297" t="s">
        <v>1953</v>
      </c>
      <c r="F111" s="296"/>
      <c r="G111" s="1444">
        <f>INDEX($I111:$V111,$H$145)</f>
        <v>39938.959999999999</v>
      </c>
      <c r="H111" s="318"/>
      <c r="I111" s="299">
        <f>SUM(K111:V111)</f>
        <v>32493.02</v>
      </c>
      <c r="J111" s="299">
        <f>SUM(T111:V111)*4</f>
        <v>39938.959999999999</v>
      </c>
      <c r="K111" s="299">
        <f>'1.2 OmniTot'!GC42</f>
        <v>1867.18</v>
      </c>
      <c r="L111" s="299">
        <f>'1.2 OmniTot'!GD42</f>
        <v>2447.6499999999996</v>
      </c>
      <c r="M111" s="299">
        <f>'1.2 OmniTot'!GE42</f>
        <v>2498.8000000000002</v>
      </c>
      <c r="N111" s="299">
        <f>'1.2 OmniTot'!GF42</f>
        <v>1826.41</v>
      </c>
      <c r="O111" s="299">
        <f>'1.2 OmniTot'!GG42</f>
        <v>2601.33</v>
      </c>
      <c r="P111" s="299">
        <f>'1.2 OmniTot'!GH42</f>
        <v>2557.1000000000004</v>
      </c>
      <c r="Q111" s="299">
        <f>'1.2 OmniTot'!GI42</f>
        <v>2545.48</v>
      </c>
      <c r="R111" s="299">
        <f>'1.2 OmniTot'!GJ42</f>
        <v>2741.87</v>
      </c>
      <c r="S111" s="299">
        <f>'1.2 OmniTot'!GK42</f>
        <v>3422.4599999999996</v>
      </c>
      <c r="T111" s="299">
        <f>'1.2 OmniTot'!GL42</f>
        <v>3154.1000000000004</v>
      </c>
      <c r="U111" s="299">
        <f>'1.2 OmniTot'!GM42</f>
        <v>3626.33</v>
      </c>
      <c r="V111" s="299">
        <f>'1.2 OmniTot'!GN42</f>
        <v>3204.31</v>
      </c>
      <c r="W111" s="299"/>
    </row>
    <row r="112" spans="3:23">
      <c r="E112" s="297" t="s">
        <v>1954</v>
      </c>
      <c r="F112" s="296"/>
      <c r="G112" s="1444">
        <f>INDEX($I112:$V112,$H$145)</f>
        <v>0</v>
      </c>
      <c r="H112" s="318"/>
      <c r="I112" s="299">
        <f>SUM(K112:V112)</f>
        <v>0</v>
      </c>
      <c r="J112" s="299">
        <f>SUM(T112:V112)*4</f>
        <v>0</v>
      </c>
      <c r="K112" s="299">
        <f>'1.2 OmniTot'!GC43</f>
        <v>0</v>
      </c>
      <c r="L112" s="299">
        <f>'1.2 OmniTot'!GD43</f>
        <v>0</v>
      </c>
      <c r="M112" s="299">
        <f>'1.2 OmniTot'!GE43</f>
        <v>0</v>
      </c>
      <c r="N112" s="299">
        <f>'1.2 OmniTot'!GF43</f>
        <v>0</v>
      </c>
      <c r="O112" s="299">
        <f>'1.2 OmniTot'!GG43</f>
        <v>0</v>
      </c>
      <c r="P112" s="299">
        <f>'1.2 OmniTot'!GH43</f>
        <v>0</v>
      </c>
      <c r="Q112" s="299">
        <f>'1.2 OmniTot'!GI43</f>
        <v>0</v>
      </c>
      <c r="R112" s="299">
        <f>'1.2 OmniTot'!GJ43</f>
        <v>0</v>
      </c>
      <c r="S112" s="299">
        <f>'1.2 OmniTot'!GK43</f>
        <v>0</v>
      </c>
      <c r="T112" s="299">
        <f>'1.2 OmniTot'!GL43</f>
        <v>0</v>
      </c>
      <c r="U112" s="299">
        <f>'1.2 OmniTot'!GM43</f>
        <v>0</v>
      </c>
      <c r="V112" s="299">
        <f>'1.2 OmniTot'!GN43</f>
        <v>0</v>
      </c>
      <c r="W112" s="299"/>
    </row>
    <row r="113" spans="2:23">
      <c r="G113" s="1447"/>
      <c r="H113" s="208"/>
      <c r="I113" s="299"/>
      <c r="J113" s="299"/>
      <c r="K113" s="299"/>
      <c r="L113" s="299"/>
      <c r="M113" s="299"/>
      <c r="N113" s="299"/>
      <c r="O113" s="299"/>
      <c r="P113" s="299"/>
      <c r="Q113" s="299"/>
      <c r="R113" s="299"/>
      <c r="S113" s="299"/>
      <c r="T113" s="299"/>
      <c r="U113" s="299"/>
      <c r="V113" s="299"/>
      <c r="W113" s="299"/>
    </row>
    <row r="114" spans="2:23">
      <c r="G114" s="1447"/>
      <c r="H114" s="208"/>
      <c r="I114" s="299"/>
      <c r="J114" s="299"/>
      <c r="K114" s="299"/>
      <c r="L114" s="299"/>
      <c r="M114" s="299"/>
      <c r="N114" s="299"/>
      <c r="O114" s="299"/>
      <c r="P114" s="299"/>
      <c r="Q114" s="299"/>
      <c r="R114" s="299"/>
      <c r="S114" s="299"/>
      <c r="T114" s="299"/>
      <c r="U114" s="299"/>
      <c r="V114" s="299"/>
      <c r="W114" s="299"/>
    </row>
    <row r="115" spans="2:23">
      <c r="B115" s="287" t="s">
        <v>1751</v>
      </c>
      <c r="G115" s="1448"/>
      <c r="I115" s="299"/>
      <c r="J115" s="299"/>
      <c r="K115" s="299"/>
      <c r="L115" s="299"/>
      <c r="M115" s="299"/>
      <c r="N115" s="299"/>
      <c r="O115" s="299"/>
      <c r="P115" s="299"/>
      <c r="Q115" s="299"/>
      <c r="R115" s="299"/>
      <c r="S115" s="299"/>
      <c r="T115" s="299"/>
      <c r="U115" s="299"/>
      <c r="V115" s="299"/>
      <c r="W115" s="299"/>
    </row>
    <row r="116" spans="2:23">
      <c r="C116" s="287" t="s">
        <v>5</v>
      </c>
      <c r="E116" s="300"/>
      <c r="F116" s="300"/>
      <c r="G116" s="1449"/>
      <c r="H116" s="298"/>
      <c r="I116" s="1065"/>
      <c r="J116" s="299"/>
      <c r="K116" s="299"/>
      <c r="L116" s="299"/>
      <c r="M116" s="299"/>
      <c r="N116" s="299"/>
      <c r="O116" s="299"/>
      <c r="P116" s="299"/>
      <c r="Q116" s="299"/>
      <c r="R116" s="299"/>
      <c r="S116" s="299"/>
      <c r="T116" s="299"/>
      <c r="U116" s="299"/>
      <c r="V116" s="299"/>
      <c r="W116" s="299"/>
    </row>
    <row r="117" spans="2:23">
      <c r="E117" s="319" t="s">
        <v>2462</v>
      </c>
      <c r="F117" s="300"/>
      <c r="G117" s="1450">
        <f>INDEX($I117:$V117,$H$145)</f>
        <v>161.31525714285712</v>
      </c>
      <c r="H117" s="320"/>
      <c r="I117" s="1064">
        <f>AVERAGE(K117:V117)</f>
        <v>155.66216399716077</v>
      </c>
      <c r="J117" s="1064">
        <f>AVERAGE(T117:V117)</f>
        <v>161.31525714285712</v>
      </c>
      <c r="K117" s="2477">
        <f>IF('1.2 OmniTot'!GC53=0,0,'1.2 OmniTot'!GC77/'1.2 OmniTot'!GC53)</f>
        <v>119.07849056603773</v>
      </c>
      <c r="L117" s="2477">
        <f>IF('1.2 OmniTot'!GD53=0,0,'1.2 OmniTot'!GD77/'1.2 OmniTot'!GD53)</f>
        <v>96.23388888888887</v>
      </c>
      <c r="M117" s="2477">
        <f>IF('1.2 OmniTot'!GE53=0,0,'1.2 OmniTot'!GE77/'1.2 OmniTot'!GE53)</f>
        <v>11.397600000000002</v>
      </c>
      <c r="N117" s="2477">
        <f>IF('1.2 OmniTot'!GF53=0,0,'1.2 OmniTot'!GF77/'1.2 OmniTot'!GF53)</f>
        <v>133.63210526315791</v>
      </c>
      <c r="O117" s="2477">
        <f>IF('1.2 OmniTot'!GG53=0,0,'1.2 OmniTot'!GG77/'1.2 OmniTot'!GG53)</f>
        <v>182.14981818181818</v>
      </c>
      <c r="P117" s="2477">
        <f>IF('1.2 OmniTot'!GH53=0,0,'1.2 OmniTot'!GH77/'1.2 OmniTot'!GH53)</f>
        <v>277.37470588235294</v>
      </c>
      <c r="Q117" s="2477">
        <f>IF('1.2 OmniTot'!GI53=0,0,'1.2 OmniTot'!GI77/'1.2 OmniTot'!GI53)</f>
        <v>205.81419999999997</v>
      </c>
      <c r="R117" s="2477">
        <f>IF('1.2 OmniTot'!GJ53=0,0,'1.2 OmniTot'!GJ77/'1.2 OmniTot'!GJ53)</f>
        <v>208.80612244897958</v>
      </c>
      <c r="S117" s="2477">
        <f>IF('1.2 OmniTot'!GK53=0,0,'1.2 OmniTot'!GK77/'1.2 OmniTot'!GK53)</f>
        <v>149.51326530612243</v>
      </c>
      <c r="T117" s="2477">
        <f>IF('1.2 OmniTot'!GL53=0,0,'1.2 OmniTot'!GL77/'1.2 OmniTot'!GL53)</f>
        <v>123.96857142857142</v>
      </c>
      <c r="U117" s="2477">
        <f>IF('1.2 OmniTot'!GM53=0,0,'1.2 OmniTot'!GM77/'1.2 OmniTot'!GM53)</f>
        <v>157.1148</v>
      </c>
      <c r="V117" s="2477">
        <f>IF('1.2 OmniTot'!GN53=0,0,'1.2 OmniTot'!GN77/'1.2 OmniTot'!GN53)</f>
        <v>202.86239999999998</v>
      </c>
      <c r="W117" s="1064"/>
    </row>
    <row r="118" spans="2:23">
      <c r="E118" s="319" t="s">
        <v>2463</v>
      </c>
      <c r="F118" s="300"/>
      <c r="G118" s="1450">
        <f>INDEX($I118:$V118,$H$145)</f>
        <v>1.3646585034013603</v>
      </c>
      <c r="H118" s="320"/>
      <c r="I118" s="1064">
        <f>AVERAGE(K118:V118)</f>
        <v>1.9631282767474569</v>
      </c>
      <c r="J118" s="1064">
        <f>AVERAGE(T118:V118)</f>
        <v>1.3646585034013603</v>
      </c>
      <c r="K118" s="2477">
        <f>IF('1.2 OmniTot'!GC53=0,0,SUM('1.2 OmniTot'!GC78:GC80)/'1.2 OmniTot'!GC53)</f>
        <v>0.1141509433962261</v>
      </c>
      <c r="L118" s="2477">
        <f>IF('1.2 OmniTot'!GD53=0,0,SUM('1.2 OmniTot'!GD78:GD80)/'1.2 OmniTot'!GD53)</f>
        <v>12.877037037037038</v>
      </c>
      <c r="M118" s="2477">
        <f>IF('1.2 OmniTot'!GE53=0,0,SUM('1.2 OmniTot'!GE78:GE80)/'1.2 OmniTot'!GE53)</f>
        <v>0</v>
      </c>
      <c r="N118" s="2477">
        <f>IF('1.2 OmniTot'!GF53=0,0,SUM('1.2 OmniTot'!GF78:GF80)/'1.2 OmniTot'!GF53)</f>
        <v>0</v>
      </c>
      <c r="O118" s="2477">
        <f>IF('1.2 OmniTot'!GG53=0,0,SUM('1.2 OmniTot'!GG78:GG80)/'1.2 OmniTot'!GG53)</f>
        <v>1.3119999999999998</v>
      </c>
      <c r="P118" s="2477">
        <f>IF('1.2 OmniTot'!GH53=0,0,SUM('1.2 OmniTot'!GH78:GH80)/'1.2 OmniTot'!GH53)</f>
        <v>0.9003921568627451</v>
      </c>
      <c r="Q118" s="2477">
        <f>IF('1.2 OmniTot'!GI53=0,0,SUM('1.2 OmniTot'!GI78:GI80)/'1.2 OmniTot'!GI53)</f>
        <v>1.1808000000000001</v>
      </c>
      <c r="R118" s="2477">
        <f>IF('1.2 OmniTot'!GJ53=0,0,SUM('1.2 OmniTot'!GJ78:GJ80)/'1.2 OmniTot'!GJ53)</f>
        <v>1.6065306122448979</v>
      </c>
      <c r="S118" s="2477">
        <f>IF('1.2 OmniTot'!GK53=0,0,SUM('1.2 OmniTot'!GK78:GK80)/'1.2 OmniTot'!GK53)</f>
        <v>1.4726530612244897</v>
      </c>
      <c r="T118" s="2477">
        <f>IF('1.2 OmniTot'!GL53=0,0,SUM('1.2 OmniTot'!GL78:GL80)/'1.2 OmniTot'!GL53)</f>
        <v>1.3387755102040815</v>
      </c>
      <c r="U118" s="2477">
        <f>IF('1.2 OmniTot'!GM53=0,0,SUM('1.2 OmniTot'!GM78:GM80)/'1.2 OmniTot'!GM53)</f>
        <v>1.3119999999999998</v>
      </c>
      <c r="V118" s="2477">
        <f>IF('1.2 OmniTot'!GN53=0,0,SUM('1.2 OmniTot'!GN78:GN80)/'1.2 OmniTot'!GN53)</f>
        <v>1.4432</v>
      </c>
      <c r="W118" s="1064"/>
    </row>
    <row r="119" spans="2:23">
      <c r="E119" s="319" t="s">
        <v>2464</v>
      </c>
      <c r="F119" s="300"/>
      <c r="G119" s="1450">
        <f>INDEX($I119:$V119,$H$145)</f>
        <v>24.14482993197279</v>
      </c>
      <c r="H119" s="320"/>
      <c r="I119" s="1064">
        <f>AVERAGE(K119:V119)</f>
        <v>20.208949718974587</v>
      </c>
      <c r="J119" s="1064">
        <f>AVERAGE(T119:V119)</f>
        <v>24.14482993197279</v>
      </c>
      <c r="K119" s="2477">
        <f>IF('1.2 OmniTot'!GC53=0,0,SUM('1.2 OmniTot'!GC81:GC83)/'1.2 OmniTot'!GC53)</f>
        <v>6.1528301886792454</v>
      </c>
      <c r="L119" s="2477">
        <f>IF('1.2 OmniTot'!GD53=0,0,SUM('1.2 OmniTot'!GD81:GD83)/'1.2 OmniTot'!GD53)</f>
        <v>11.916666666666666</v>
      </c>
      <c r="M119" s="2477">
        <f>IF('1.2 OmniTot'!GE53=0,0,SUM('1.2 OmniTot'!GE81:GE83)/'1.2 OmniTot'!GE53)</f>
        <v>3.4</v>
      </c>
      <c r="N119" s="2477">
        <f>IF('1.2 OmniTot'!GF53=0,0,SUM('1.2 OmniTot'!GF81:GF83)/'1.2 OmniTot'!GF53)</f>
        <v>5.9824561403508776</v>
      </c>
      <c r="O119" s="2477">
        <f>IF('1.2 OmniTot'!GG53=0,0,SUM('1.2 OmniTot'!GG81:GG83)/'1.2 OmniTot'!GG53)</f>
        <v>13.081818181818182</v>
      </c>
      <c r="P119" s="2477">
        <f>IF('1.2 OmniTot'!GH53=0,0,SUM('1.2 OmniTot'!GH81:GH83)/'1.2 OmniTot'!GH53)</f>
        <v>51.941176470588232</v>
      </c>
      <c r="Q119" s="2477">
        <f>IF('1.2 OmniTot'!GI53=0,0,SUM('1.2 OmniTot'!GI81:GI83)/'1.2 OmniTot'!GI53)</f>
        <v>21.2</v>
      </c>
      <c r="R119" s="2477">
        <f>IF('1.2 OmniTot'!GJ53=0,0,SUM('1.2 OmniTot'!GJ81:GJ83)/'1.2 OmniTot'!GJ53)</f>
        <v>34.765306122448976</v>
      </c>
      <c r="S119" s="2477">
        <f>IF('1.2 OmniTot'!GK53=0,0,SUM('1.2 OmniTot'!GK81:GK83)/'1.2 OmniTot'!GK53)</f>
        <v>21.632653061224488</v>
      </c>
      <c r="T119" s="2477">
        <f>IF('1.2 OmniTot'!GL53=0,0,SUM('1.2 OmniTot'!GL81:GL83)/'1.2 OmniTot'!GL53)</f>
        <v>24.724489795918366</v>
      </c>
      <c r="U119" s="2477">
        <f>IF('1.2 OmniTot'!GM53=0,0,SUM('1.2 OmniTot'!GM81:GM83)/'1.2 OmniTot'!GM53)</f>
        <v>24.99</v>
      </c>
      <c r="V119" s="2477">
        <f>IF('1.2 OmniTot'!GN53=0,0,SUM('1.2 OmniTot'!GN81:GN83)/'1.2 OmniTot'!GN53)</f>
        <v>22.72</v>
      </c>
      <c r="W119" s="1064"/>
    </row>
    <row r="120" spans="2:23">
      <c r="E120" s="319" t="s">
        <v>813</v>
      </c>
      <c r="F120" s="300"/>
      <c r="G120" s="1450">
        <f>INDEX($I120:$V120,$H$145)</f>
        <v>9.7209714285714295</v>
      </c>
      <c r="H120" s="320"/>
      <c r="I120" s="1064">
        <f>AVERAGE(K120:V120)</f>
        <v>9.997042881425088</v>
      </c>
      <c r="J120" s="1064">
        <f>AVERAGE(T120:V120)</f>
        <v>9.7209714285714295</v>
      </c>
      <c r="K120" s="2477">
        <f>IF('1.2 OmniTot'!GC53=0,0,SUM('1.2 OmniTot'!GC84:GC85)/'1.2 OmniTot'!GC53)</f>
        <v>8.8320754716981131</v>
      </c>
      <c r="L120" s="2477">
        <f>IF('1.2 OmniTot'!GD53=0,0,SUM('1.2 OmniTot'!GD84:GD85)/'1.2 OmniTot'!GD53)</f>
        <v>19.150000000000002</v>
      </c>
      <c r="M120" s="2477">
        <f>IF('1.2 OmniTot'!GE53=0,0,SUM('1.2 OmniTot'!GE84:GE85)/'1.2 OmniTot'!GE53)</f>
        <v>18.700800000000001</v>
      </c>
      <c r="N120" s="2477">
        <f>IF('1.2 OmniTot'!GF53=0,0,SUM('1.2 OmniTot'!GF84:GF85)/'1.2 OmniTot'!GF53)</f>
        <v>14.37982456140351</v>
      </c>
      <c r="O120" s="2477">
        <f>IF('1.2 OmniTot'!GG53=0,0,SUM('1.2 OmniTot'!GG84:GG85)/'1.2 OmniTot'!GG53)</f>
        <v>2.1712727272727275</v>
      </c>
      <c r="P120" s="2477">
        <f>IF('1.2 OmniTot'!GH53=0,0,SUM('1.2 OmniTot'!GH84:GH85)/'1.2 OmniTot'!GH53)</f>
        <v>4.0037254901960786</v>
      </c>
      <c r="Q120" s="2477">
        <f>IF('1.2 OmniTot'!GI53=0,0,SUM('1.2 OmniTot'!GI84:GI85)/'1.2 OmniTot'!GI53)</f>
        <v>6.9888000000000003</v>
      </c>
      <c r="R120" s="2477">
        <f>IF('1.2 OmniTot'!GJ53=0,0,SUM('1.2 OmniTot'!GJ84:GJ85)/'1.2 OmniTot'!GJ53)</f>
        <v>7.0920408163265307</v>
      </c>
      <c r="S120" s="2477">
        <f>IF('1.2 OmniTot'!GK53=0,0,SUM('1.2 OmniTot'!GK84:GK85)/'1.2 OmniTot'!GK53)</f>
        <v>9.4830612244897967</v>
      </c>
      <c r="T120" s="2477">
        <f>IF('1.2 OmniTot'!GL53=0,0,SUM('1.2 OmniTot'!GL84:GL85)/'1.2 OmniTot'!GL53)</f>
        <v>13.755714285714287</v>
      </c>
      <c r="U120" s="2477">
        <f>IF('1.2 OmniTot'!GM53=0,0,SUM('1.2 OmniTot'!GM84:GM85)/'1.2 OmniTot'!GM53)</f>
        <v>8.7075999999999993</v>
      </c>
      <c r="V120" s="2477">
        <f>IF('1.2 OmniTot'!GN53=0,0,SUM('1.2 OmniTot'!GN84:GN85)/'1.2 OmniTot'!GN53)</f>
        <v>6.6996000000000002</v>
      </c>
      <c r="W120" s="1064"/>
    </row>
    <row r="121" spans="2:23">
      <c r="E121" s="319" t="s">
        <v>2465</v>
      </c>
      <c r="F121" s="300"/>
      <c r="G121" s="1450">
        <f>INDEX($I121:$V121,$H$145)</f>
        <v>196.5457170068027</v>
      </c>
      <c r="H121" s="320"/>
      <c r="I121" s="1064">
        <f t="shared" ref="I121:V121" si="12">SUM(I117:I120)</f>
        <v>187.83128487430793</v>
      </c>
      <c r="J121" s="1064">
        <f t="shared" si="12"/>
        <v>196.5457170068027</v>
      </c>
      <c r="K121" s="2477">
        <f t="shared" si="12"/>
        <v>134.17754716981131</v>
      </c>
      <c r="L121" s="2477">
        <f t="shared" si="12"/>
        <v>140.17759259259259</v>
      </c>
      <c r="M121" s="2477">
        <f t="shared" si="12"/>
        <v>33.498400000000004</v>
      </c>
      <c r="N121" s="2477">
        <f t="shared" si="12"/>
        <v>153.99438596491228</v>
      </c>
      <c r="O121" s="2477">
        <f t="shared" si="12"/>
        <v>198.71490909090912</v>
      </c>
      <c r="P121" s="2477">
        <f t="shared" si="12"/>
        <v>334.21999999999997</v>
      </c>
      <c r="Q121" s="2477">
        <f t="shared" si="12"/>
        <v>235.18379999999996</v>
      </c>
      <c r="R121" s="2477">
        <f t="shared" si="12"/>
        <v>252.26999999999998</v>
      </c>
      <c r="S121" s="2477">
        <f t="shared" si="12"/>
        <v>182.10163265306122</v>
      </c>
      <c r="T121" s="2477">
        <f t="shared" si="12"/>
        <v>163.78755102040816</v>
      </c>
      <c r="U121" s="2477">
        <f t="shared" si="12"/>
        <v>192.12440000000004</v>
      </c>
      <c r="V121" s="2477">
        <f t="shared" si="12"/>
        <v>233.72519999999997</v>
      </c>
      <c r="W121" s="1064"/>
    </row>
    <row r="122" spans="2:23">
      <c r="E122" s="300"/>
      <c r="F122" s="300"/>
      <c r="G122" s="1445"/>
      <c r="H122" s="300"/>
      <c r="I122" s="299"/>
      <c r="J122" s="299"/>
      <c r="K122" s="299"/>
      <c r="L122" s="299"/>
      <c r="M122" s="299"/>
      <c r="N122" s="299"/>
      <c r="O122" s="299"/>
      <c r="P122" s="299"/>
      <c r="Q122" s="299"/>
      <c r="R122" s="299"/>
      <c r="S122" s="299"/>
      <c r="T122" s="299"/>
      <c r="U122" s="299"/>
      <c r="V122" s="299"/>
      <c r="W122" s="299"/>
    </row>
    <row r="123" spans="2:23">
      <c r="C123" s="287" t="s">
        <v>6</v>
      </c>
      <c r="E123" s="300"/>
      <c r="F123" s="300"/>
      <c r="G123" s="1449"/>
      <c r="H123" s="298"/>
      <c r="I123" s="1065"/>
      <c r="J123" s="299"/>
      <c r="K123" s="299"/>
      <c r="L123" s="299"/>
      <c r="M123" s="299"/>
      <c r="N123" s="299"/>
      <c r="O123" s="299"/>
      <c r="P123" s="299"/>
      <c r="Q123" s="299"/>
      <c r="R123" s="299"/>
      <c r="S123" s="299"/>
      <c r="T123" s="299"/>
      <c r="U123" s="299"/>
      <c r="V123" s="299"/>
      <c r="W123" s="299"/>
    </row>
    <row r="124" spans="2:23">
      <c r="E124" s="319" t="s">
        <v>2462</v>
      </c>
      <c r="F124" s="300"/>
      <c r="G124" s="1450">
        <f>INDEX($I124:$V124,$H$145)</f>
        <v>536.99298245614034</v>
      </c>
      <c r="H124" s="320"/>
      <c r="I124" s="1064">
        <f>AVERAGE(K124:V124)</f>
        <v>188.52186174177271</v>
      </c>
      <c r="J124" s="1064">
        <f>AVERAGE(T124:V124)</f>
        <v>536.99298245614034</v>
      </c>
      <c r="K124" s="1064">
        <f>'1.2 OmniTot'!GC110/'1.2 OmniTot'!GC54</f>
        <v>36.225000000000001</v>
      </c>
      <c r="L124" s="1064">
        <f>'1.2 OmniTot'!GD110/'1.2 OmniTot'!GD54</f>
        <v>32.470588235294116</v>
      </c>
      <c r="M124" s="1064">
        <f>'1.2 OmniTot'!GE110/'1.2 OmniTot'!GE54</f>
        <v>15.333333333333334</v>
      </c>
      <c r="N124" s="1064">
        <f>'1.2 OmniTot'!GF110/'1.2 OmniTot'!GF54</f>
        <v>16.235294117647058</v>
      </c>
      <c r="O124" s="1064">
        <f>'1.2 OmniTot'!GG110/'1.2 OmniTot'!GG54</f>
        <v>21.789473684210527</v>
      </c>
      <c r="P124" s="1064">
        <f>'1.2 OmniTot'!GH110/'1.2 OmniTot'!GH54</f>
        <v>100.72941176470587</v>
      </c>
      <c r="Q124" s="1064">
        <f>'1.2 OmniTot'!GI110/'1.2 OmniTot'!GI54</f>
        <v>-0.79999999999999949</v>
      </c>
      <c r="R124" s="1064">
        <f>'1.2 OmniTot'!GJ110/'1.2 OmniTot'!GJ54</f>
        <v>158.50555555555556</v>
      </c>
      <c r="S124" s="1064">
        <f>'1.2 OmniTot'!GK110/'1.2 OmniTot'!GK54</f>
        <v>270.79473684210529</v>
      </c>
      <c r="T124" s="1064">
        <f>'1.2 OmniTot'!GL110/'1.2 OmniTot'!GL54</f>
        <v>536.15789473684208</v>
      </c>
      <c r="U124" s="1064">
        <f>'1.2 OmniTot'!GM110/'1.2 OmniTot'!GM54</f>
        <v>433.19368421052633</v>
      </c>
      <c r="V124" s="1064">
        <f>'1.2 OmniTot'!GN110/'1.2 OmniTot'!GN54</f>
        <v>641.62736842105267</v>
      </c>
      <c r="W124" s="1064"/>
    </row>
    <row r="125" spans="2:23">
      <c r="E125" s="319" t="s">
        <v>2463</v>
      </c>
      <c r="F125" s="300"/>
      <c r="G125" s="1450">
        <f>INDEX($I125:$V125,$H$145)</f>
        <v>0</v>
      </c>
      <c r="H125" s="320"/>
      <c r="I125" s="1064">
        <f>AVERAGE(K125:V125)</f>
        <v>0</v>
      </c>
      <c r="J125" s="1064">
        <f>AVERAGE(T125:V125)</f>
        <v>0</v>
      </c>
      <c r="K125" s="1064">
        <f>SUM('1.2 OmniTot'!GC111:GC113)/'1.2 OmniTot'!GC54</f>
        <v>0</v>
      </c>
      <c r="L125" s="1064">
        <f>SUM('1.2 OmniTot'!GD111:GD113)/'1.2 OmniTot'!GD54</f>
        <v>0</v>
      </c>
      <c r="M125" s="1064">
        <f>SUM('1.2 OmniTot'!GE111:GE113)/'1.2 OmniTot'!GE54</f>
        <v>0</v>
      </c>
      <c r="N125" s="1064">
        <f>SUM('1.2 OmniTot'!GF111:GF113)/'1.2 OmniTot'!GF54</f>
        <v>0</v>
      </c>
      <c r="O125" s="1064">
        <f>SUM('1.2 OmniTot'!GG111:GG113)/'1.2 OmniTot'!GG54</f>
        <v>0</v>
      </c>
      <c r="P125" s="1064">
        <f>SUM('1.2 OmniTot'!GH111:GH113)/'1.2 OmniTot'!GH54</f>
        <v>0</v>
      </c>
      <c r="Q125" s="1064">
        <f>SUM('1.2 OmniTot'!GI111:GI113)/'1.2 OmniTot'!GI54</f>
        <v>0</v>
      </c>
      <c r="R125" s="1064">
        <f>SUM('1.2 OmniTot'!GJ111:GJ113)/'1.2 OmniTot'!GJ54</f>
        <v>0</v>
      </c>
      <c r="S125" s="1064">
        <f>SUM('1.2 OmniTot'!GK111:GK113)/'1.2 OmniTot'!GK54</f>
        <v>0</v>
      </c>
      <c r="T125" s="1064">
        <f>SUM('1.2 OmniTot'!GL111:GL113)/'1.2 OmniTot'!GL54</f>
        <v>0</v>
      </c>
      <c r="U125" s="1064">
        <f>SUM('1.2 OmniTot'!GM111:GM113)/'1.2 OmniTot'!GM54</f>
        <v>0</v>
      </c>
      <c r="V125" s="1064">
        <f>SUM('1.2 OmniTot'!GN111:GN113)/'1.2 OmniTot'!GN54</f>
        <v>0</v>
      </c>
      <c r="W125" s="1064"/>
    </row>
    <row r="126" spans="2:23">
      <c r="E126" s="319" t="s">
        <v>2464</v>
      </c>
      <c r="F126" s="300"/>
      <c r="G126" s="1450">
        <f>INDEX($I126:$V126,$H$145)</f>
        <v>45.798245614035089</v>
      </c>
      <c r="H126" s="320"/>
      <c r="I126" s="1064">
        <f>AVERAGE(K126:V126)</f>
        <v>22.731560314184154</v>
      </c>
      <c r="J126" s="1064">
        <f>AVERAGE(T126:V126)</f>
        <v>45.798245614035089</v>
      </c>
      <c r="K126" s="1064">
        <f>SUM('1.2 OmniTot'!GC114:GC116)/'1.2 OmniTot'!GC54</f>
        <v>56.75</v>
      </c>
      <c r="L126" s="1064">
        <f>SUM('1.2 OmniTot'!GD114:GD116)/'1.2 OmniTot'!GD54</f>
        <v>26.705882352941178</v>
      </c>
      <c r="M126" s="1064">
        <f>SUM('1.2 OmniTot'!GE114:GE116)/'1.2 OmniTot'!GE54</f>
        <v>-25.222222222222221</v>
      </c>
      <c r="N126" s="1064">
        <f>SUM('1.2 OmniTot'!GF114:GF116)/'1.2 OmniTot'!GF54</f>
        <v>26.705882352941178</v>
      </c>
      <c r="O126" s="1064">
        <f>SUM('1.2 OmniTot'!GG114:GG116)/'1.2 OmniTot'!GG54</f>
        <v>0</v>
      </c>
      <c r="P126" s="1064">
        <f>SUM('1.2 OmniTot'!GH114:GH116)/'1.2 OmniTot'!GH54</f>
        <v>0</v>
      </c>
      <c r="Q126" s="1064">
        <f>SUM('1.2 OmniTot'!GI114:GI116)/'1.2 OmniTot'!GI54</f>
        <v>25.222222222222221</v>
      </c>
      <c r="R126" s="1064">
        <f>SUM('1.2 OmniTot'!GJ114:GJ116)/'1.2 OmniTot'!GJ54</f>
        <v>25.222222222222221</v>
      </c>
      <c r="S126" s="1064">
        <f>SUM('1.2 OmniTot'!GK114:GK116)/'1.2 OmniTot'!GK54</f>
        <v>0</v>
      </c>
      <c r="T126" s="1064">
        <f>SUM('1.2 OmniTot'!GL114:GL116)/'1.2 OmniTot'!GL54</f>
        <v>47.789473684210527</v>
      </c>
      <c r="U126" s="1064">
        <f>SUM('1.2 OmniTot'!GM114:GM116)/'1.2 OmniTot'!GM54</f>
        <v>41.815789473684212</v>
      </c>
      <c r="V126" s="1064">
        <f>SUM('1.2 OmniTot'!GN114:GN116)/'1.2 OmniTot'!GN54</f>
        <v>47.789473684210527</v>
      </c>
      <c r="W126" s="1064"/>
    </row>
    <row r="127" spans="2:23">
      <c r="E127" s="319" t="s">
        <v>813</v>
      </c>
      <c r="F127" s="300"/>
      <c r="G127" s="1450">
        <f>INDEX($I127:$V127,$H$145)</f>
        <v>7.5468421052631571</v>
      </c>
      <c r="H127" s="320"/>
      <c r="I127" s="1064">
        <f>AVERAGE(K127:V127)</f>
        <v>6.5445169346978558</v>
      </c>
      <c r="J127" s="1064">
        <f>AVERAGE(T127:V127)</f>
        <v>7.5468421052631571</v>
      </c>
      <c r="K127" s="1064">
        <f>SUM('1.2 OmniTot'!GC117:GC118)/'1.2 OmniTot'!GC54</f>
        <v>14.256250000000001</v>
      </c>
      <c r="L127" s="1064">
        <f>SUM('1.2 OmniTot'!GD117:GD118)/'1.2 OmniTot'!GD54</f>
        <v>6.3929411764705888</v>
      </c>
      <c r="M127" s="1064">
        <f>SUM('1.2 OmniTot'!GE117:GE118)/'1.2 OmniTot'!GE54</f>
        <v>0</v>
      </c>
      <c r="N127" s="1064">
        <f>SUM('1.2 OmniTot'!GF117:GF118)/'1.2 OmniTot'!GF54</f>
        <v>7.0247058823529409</v>
      </c>
      <c r="O127" s="1064">
        <f>SUM('1.2 OmniTot'!GG117:GG118)/'1.2 OmniTot'!GG54</f>
        <v>6.3063157894736843</v>
      </c>
      <c r="P127" s="1064">
        <f>SUM('1.2 OmniTot'!GH117:GH118)/'1.2 OmniTot'!GH54</f>
        <v>20.442352941176473</v>
      </c>
      <c r="Q127" s="1064">
        <f>SUM('1.2 OmniTot'!GI117:GI118)/'1.2 OmniTot'!GI54</f>
        <v>-6.6344444444444441</v>
      </c>
      <c r="R127" s="1064">
        <f>SUM('1.2 OmniTot'!GJ117:GJ118)/'1.2 OmniTot'!GJ54</f>
        <v>8.1055555555555561</v>
      </c>
      <c r="S127" s="1064">
        <f>SUM('1.2 OmniTot'!GK117:GK118)/'1.2 OmniTot'!GK54</f>
        <v>0</v>
      </c>
      <c r="T127" s="1064">
        <f>SUM('1.2 OmniTot'!GL117:GL118)/'1.2 OmniTot'!GL54</f>
        <v>14.481578947368423</v>
      </c>
      <c r="U127" s="1064">
        <f>SUM('1.2 OmniTot'!GM117:GM118)/'1.2 OmniTot'!GM54</f>
        <v>7.3157894736842106</v>
      </c>
      <c r="V127" s="1064">
        <f>SUM('1.2 OmniTot'!GN117:GN118)/'1.2 OmniTot'!GN54</f>
        <v>0.84315789473684188</v>
      </c>
      <c r="W127" s="1064"/>
    </row>
    <row r="128" spans="2:23">
      <c r="E128" s="319" t="s">
        <v>2465</v>
      </c>
      <c r="F128" s="300"/>
      <c r="G128" s="1450">
        <f>INDEX($I128:$V128,$H$145)</f>
        <v>590.33807017543859</v>
      </c>
      <c r="H128" s="320"/>
      <c r="I128" s="1064">
        <f t="shared" ref="I128:V128" si="13">SUM(I124:I127)</f>
        <v>217.79793899065473</v>
      </c>
      <c r="J128" s="1064">
        <f t="shared" si="13"/>
        <v>590.33807017543859</v>
      </c>
      <c r="K128" s="1064">
        <f t="shared" si="13"/>
        <v>107.23124999999999</v>
      </c>
      <c r="L128" s="1064">
        <f t="shared" si="13"/>
        <v>65.569411764705876</v>
      </c>
      <c r="M128" s="1064">
        <f t="shared" si="13"/>
        <v>-9.8888888888888875</v>
      </c>
      <c r="N128" s="1064">
        <f t="shared" si="13"/>
        <v>49.965882352941172</v>
      </c>
      <c r="O128" s="1064">
        <f t="shared" si="13"/>
        <v>28.095789473684214</v>
      </c>
      <c r="P128" s="1064">
        <f t="shared" si="13"/>
        <v>121.17176470588234</v>
      </c>
      <c r="Q128" s="1064">
        <f t="shared" si="13"/>
        <v>17.787777777777777</v>
      </c>
      <c r="R128" s="1064">
        <f t="shared" si="13"/>
        <v>191.83333333333334</v>
      </c>
      <c r="S128" s="1064">
        <f t="shared" si="13"/>
        <v>270.79473684210529</v>
      </c>
      <c r="T128" s="1064">
        <f t="shared" si="13"/>
        <v>598.42894736842106</v>
      </c>
      <c r="U128" s="1064">
        <f t="shared" si="13"/>
        <v>482.32526315789477</v>
      </c>
      <c r="V128" s="1064">
        <f t="shared" si="13"/>
        <v>690.26</v>
      </c>
      <c r="W128" s="1064"/>
    </row>
    <row r="129" spans="1:23">
      <c r="B129" s="296"/>
      <c r="C129" s="296"/>
      <c r="D129" s="296"/>
      <c r="E129" s="300"/>
      <c r="F129" s="300"/>
      <c r="G129" s="300"/>
      <c r="H129" s="300"/>
      <c r="I129" s="299"/>
      <c r="J129" s="299"/>
      <c r="K129" s="299"/>
      <c r="L129" s="299"/>
      <c r="M129" s="299"/>
      <c r="N129" s="299"/>
      <c r="O129" s="299"/>
      <c r="P129" s="299"/>
      <c r="Q129" s="299"/>
      <c r="R129" s="299"/>
      <c r="S129" s="299"/>
      <c r="T129" s="299"/>
      <c r="U129" s="299"/>
      <c r="V129" s="299"/>
    </row>
    <row r="130" spans="1:23">
      <c r="B130" s="296"/>
      <c r="C130" s="296"/>
      <c r="D130" s="296"/>
      <c r="E130" s="300"/>
      <c r="F130" s="300"/>
      <c r="G130" s="300"/>
      <c r="H130" s="300"/>
      <c r="I130" s="299"/>
      <c r="J130" s="299"/>
      <c r="K130" s="299"/>
      <c r="L130" s="299"/>
      <c r="M130" s="299"/>
      <c r="N130" s="299"/>
      <c r="O130" s="299"/>
      <c r="P130" s="299"/>
      <c r="Q130" s="299"/>
      <c r="R130" s="299"/>
      <c r="S130" s="299"/>
      <c r="T130" s="299"/>
      <c r="U130" s="299"/>
      <c r="V130" s="299"/>
    </row>
    <row r="131" spans="1:23" s="321" customFormat="1">
      <c r="A131" s="208"/>
      <c r="B131" s="299"/>
      <c r="C131" s="299" t="s">
        <v>2596</v>
      </c>
      <c r="D131" s="299"/>
      <c r="E131" s="307"/>
      <c r="F131" s="309"/>
      <c r="G131" s="1432">
        <f t="shared" ref="G131:G139" si="14">INDEX($I131:$V131,$H$145)</f>
        <v>0</v>
      </c>
      <c r="H131" s="320"/>
      <c r="I131" s="1428"/>
      <c r="J131" s="1428"/>
      <c r="K131" s="2212">
        <f>'1.2 OmniTot'!GO120</f>
        <v>2083.33</v>
      </c>
      <c r="L131" s="2212">
        <f>'1.2 OmniTot'!GP120</f>
        <v>2083.33</v>
      </c>
      <c r="M131" s="2212">
        <f>'1.2 OmniTot'!GQ120</f>
        <v>2083.33</v>
      </c>
      <c r="N131" s="2212">
        <f>'1.2 OmniTot'!GR120</f>
        <v>2083.33</v>
      </c>
      <c r="O131" s="2212">
        <f>'1.2 OmniTot'!GS120</f>
        <v>2083.33</v>
      </c>
      <c r="P131" s="2212">
        <f>'1.2 OmniTot'!GT120</f>
        <v>2083.33</v>
      </c>
      <c r="Q131" s="2212">
        <f>'1.2 OmniTot'!GU120</f>
        <v>2083.33</v>
      </c>
      <c r="R131" s="2212">
        <f>'1.2 OmniTot'!GV120</f>
        <v>2083.33</v>
      </c>
      <c r="S131" s="2212">
        <f>'1.2 OmniTot'!GW120</f>
        <v>2083.33</v>
      </c>
      <c r="T131" s="2212">
        <f>'1.2 OmniTot'!GX120</f>
        <v>2083.33</v>
      </c>
      <c r="U131" s="2212">
        <f>'1.2 OmniTot'!GY120</f>
        <v>2083.33</v>
      </c>
      <c r="V131" s="2212">
        <f>'1.2 OmniTot'!GZ120</f>
        <v>2083.33</v>
      </c>
      <c r="W131" s="2212"/>
    </row>
    <row r="132" spans="1:23" s="321" customFormat="1">
      <c r="A132" s="208"/>
      <c r="B132" s="299"/>
      <c r="C132" s="299" t="s">
        <v>3697</v>
      </c>
      <c r="D132" s="299"/>
      <c r="E132" s="307"/>
      <c r="F132" s="309"/>
      <c r="G132" s="1432">
        <f t="shared" si="14"/>
        <v>0</v>
      </c>
      <c r="H132" s="320"/>
      <c r="I132" s="1428"/>
      <c r="J132" s="1428"/>
      <c r="K132" s="2212">
        <f>'1.2 OmniTot'!GO147</f>
        <v>0</v>
      </c>
      <c r="L132" s="2212">
        <f>'1.2 OmniTot'!GP147</f>
        <v>0</v>
      </c>
      <c r="M132" s="2212">
        <f>'1.2 OmniTot'!GQ147</f>
        <v>0</v>
      </c>
      <c r="N132" s="2212">
        <f>'1.2 OmniTot'!GR147</f>
        <v>0</v>
      </c>
      <c r="O132" s="2212">
        <f>'1.2 OmniTot'!GS147</f>
        <v>0</v>
      </c>
      <c r="P132" s="2212">
        <f>'1.2 OmniTot'!GT147</f>
        <v>0</v>
      </c>
      <c r="Q132" s="2212">
        <f>'1.2 OmniTot'!GU147</f>
        <v>0</v>
      </c>
      <c r="R132" s="2212">
        <f>'1.2 OmniTot'!GV147</f>
        <v>0</v>
      </c>
      <c r="S132" s="2212">
        <f>'1.2 OmniTot'!GW147</f>
        <v>0</v>
      </c>
      <c r="T132" s="2212">
        <f>'1.2 OmniTot'!GX147</f>
        <v>0</v>
      </c>
      <c r="U132" s="2212">
        <f>'1.2 OmniTot'!GY147</f>
        <v>0</v>
      </c>
      <c r="V132" s="2212">
        <f>'1.2 OmniTot'!GZ147</f>
        <v>0</v>
      </c>
      <c r="W132" s="2212"/>
    </row>
    <row r="133" spans="1:23" s="321" customFormat="1">
      <c r="A133" s="208"/>
      <c r="B133" s="299"/>
      <c r="C133" s="299" t="s">
        <v>2597</v>
      </c>
      <c r="D133" s="299"/>
      <c r="E133" s="307"/>
      <c r="F133" s="309"/>
      <c r="G133" s="1432">
        <f t="shared" si="14"/>
        <v>0</v>
      </c>
      <c r="H133" s="320"/>
      <c r="I133" s="1428"/>
      <c r="J133" s="1428"/>
      <c r="K133" s="2212">
        <f>'1.2 OmniTot'!GO148</f>
        <v>0</v>
      </c>
      <c r="L133" s="2212">
        <f>'1.2 OmniTot'!GP148</f>
        <v>0</v>
      </c>
      <c r="M133" s="2212">
        <f>'1.2 OmniTot'!GQ148</f>
        <v>0</v>
      </c>
      <c r="N133" s="2212">
        <f>'1.2 OmniTot'!GR148</f>
        <v>0</v>
      </c>
      <c r="O133" s="2212">
        <f>'1.2 OmniTot'!GS148</f>
        <v>0</v>
      </c>
      <c r="P133" s="2212">
        <f>'1.2 OmniTot'!GT148</f>
        <v>0</v>
      </c>
      <c r="Q133" s="2212">
        <f>'1.2 OmniTot'!GU148</f>
        <v>0</v>
      </c>
      <c r="R133" s="2212">
        <f>'1.2 OmniTot'!GV148</f>
        <v>0</v>
      </c>
      <c r="S133" s="2212">
        <f>'1.2 OmniTot'!GW148</f>
        <v>0</v>
      </c>
      <c r="T133" s="2212">
        <f>'1.2 OmniTot'!GX148</f>
        <v>0</v>
      </c>
      <c r="U133" s="2212">
        <f>'1.2 OmniTot'!GY148</f>
        <v>0</v>
      </c>
      <c r="V133" s="2212">
        <f>'1.2 OmniTot'!GZ148</f>
        <v>0</v>
      </c>
      <c r="W133" s="2212"/>
    </row>
    <row r="134" spans="1:23" s="321" customFormat="1">
      <c r="A134" s="208"/>
      <c r="B134" s="299"/>
      <c r="C134" s="299" t="s">
        <v>2598</v>
      </c>
      <c r="D134" s="299"/>
      <c r="E134" s="307"/>
      <c r="F134" s="309"/>
      <c r="G134" s="1432">
        <f t="shared" si="14"/>
        <v>0</v>
      </c>
      <c r="H134" s="320"/>
      <c r="I134" s="1428"/>
      <c r="J134" s="1428"/>
      <c r="K134" s="2212">
        <f>'1.2 OmniTot'!GO149</f>
        <v>0</v>
      </c>
      <c r="L134" s="2212">
        <f>'1.2 OmniTot'!GP149</f>
        <v>0</v>
      </c>
      <c r="M134" s="2212">
        <f>'1.2 OmniTot'!GQ149</f>
        <v>0</v>
      </c>
      <c r="N134" s="2212">
        <f>'1.2 OmniTot'!GR149</f>
        <v>0</v>
      </c>
      <c r="O134" s="2212">
        <f>'1.2 OmniTot'!GS149</f>
        <v>0</v>
      </c>
      <c r="P134" s="2212">
        <f>'1.2 OmniTot'!GT149</f>
        <v>0</v>
      </c>
      <c r="Q134" s="2212">
        <f>'1.2 OmniTot'!GU149</f>
        <v>0</v>
      </c>
      <c r="R134" s="2212">
        <f>'1.2 OmniTot'!GV149</f>
        <v>0</v>
      </c>
      <c r="S134" s="2212">
        <f>'1.2 OmniTot'!GW149</f>
        <v>0</v>
      </c>
      <c r="T134" s="2212">
        <f>'1.2 OmniTot'!GX149</f>
        <v>0</v>
      </c>
      <c r="U134" s="2212">
        <f>'1.2 OmniTot'!GY149</f>
        <v>0</v>
      </c>
      <c r="V134" s="2212">
        <f>'1.2 OmniTot'!GZ149</f>
        <v>0</v>
      </c>
      <c r="W134" s="2212"/>
    </row>
    <row r="135" spans="1:23" s="321" customFormat="1">
      <c r="A135" s="208"/>
      <c r="B135" s="299"/>
      <c r="C135" s="299" t="s">
        <v>890</v>
      </c>
      <c r="D135" s="299"/>
      <c r="E135" s="307"/>
      <c r="F135" s="309"/>
      <c r="G135" s="1432">
        <f t="shared" si="14"/>
        <v>0</v>
      </c>
      <c r="H135" s="320"/>
      <c r="I135" s="1428"/>
      <c r="J135" s="1428"/>
      <c r="K135" s="2212">
        <f>IF('1.2 OmniTot'!GO119=0,0,SUM('1.2 OmniTot'!GO151:GO152)/'1.2 OmniTot'!GO119)</f>
        <v>34.48897637795276</v>
      </c>
      <c r="L135" s="2212">
        <f>IF('1.2 OmniTot'!GP119=0,0,SUM('1.2 OmniTot'!GP151:GP152)/'1.2 OmniTot'!GP119)</f>
        <v>40.846033057851237</v>
      </c>
      <c r="M135" s="2212">
        <f>IF('1.2 OmniTot'!GQ119=0,0,SUM('1.2 OmniTot'!GQ151:GQ152)/'1.2 OmniTot'!GQ119)</f>
        <v>32.719166666666666</v>
      </c>
      <c r="N135" s="2212">
        <f>IF('1.2 OmniTot'!GR119=0,0,SUM('1.2 OmniTot'!GR151:GR152)/'1.2 OmniTot'!GR119)</f>
        <v>36.494183673469387</v>
      </c>
      <c r="O135" s="2212">
        <f>IF('1.2 OmniTot'!GS119=0,0,SUM('1.2 OmniTot'!GS151:GS152)/'1.2 OmniTot'!GS119)</f>
        <v>49.409642857142856</v>
      </c>
      <c r="P135" s="2212">
        <f>IF('1.2 OmniTot'!GT119=0,0,SUM('1.2 OmniTot'!GT151:GT152)/'1.2 OmniTot'!GT119)</f>
        <v>38.598695652173909</v>
      </c>
      <c r="Q135" s="2212">
        <f>IF('1.2 OmniTot'!GU119=0,0,SUM('1.2 OmniTot'!GU151:GU152)/'1.2 OmniTot'!GU119)</f>
        <v>36.602602739726024</v>
      </c>
      <c r="R135" s="2212">
        <f>IF('1.2 OmniTot'!GV119=0,0,SUM('1.2 OmniTot'!GV151:GV152)/'1.2 OmniTot'!GV119)</f>
        <v>24.593225806451613</v>
      </c>
      <c r="S135" s="2212">
        <f>IF('1.2 OmniTot'!GW119=0,0,SUM('1.2 OmniTot'!GW151:GW152)/'1.2 OmniTot'!GW119)</f>
        <v>38.193809523809534</v>
      </c>
      <c r="T135" s="2212">
        <f>IF('1.2 OmniTot'!GX119=0,0,SUM('1.2 OmniTot'!GX151:GX152)/'1.2 OmniTot'!GX119)</f>
        <v>30.08176470588235</v>
      </c>
      <c r="U135" s="2212">
        <f>IF('1.2 OmniTot'!GY119=0,0,SUM('1.2 OmniTot'!GY151:GY152)/'1.2 OmniTot'!GY119)</f>
        <v>42.098409090909094</v>
      </c>
      <c r="V135" s="2212">
        <f>IF('1.2 OmniTot'!GZ119=0,0,SUM('1.2 OmniTot'!GZ151:GZ152)/'1.2 OmniTot'!GZ119)</f>
        <v>48.637125000000005</v>
      </c>
      <c r="W135" s="2212"/>
    </row>
    <row r="136" spans="1:23" s="321" customFormat="1">
      <c r="A136" s="208"/>
      <c r="B136" s="299"/>
      <c r="C136" s="299" t="s">
        <v>891</v>
      </c>
      <c r="D136" s="299"/>
      <c r="E136" s="307"/>
      <c r="F136" s="309"/>
      <c r="G136" s="1432">
        <f t="shared" si="14"/>
        <v>0</v>
      </c>
      <c r="H136" s="320"/>
      <c r="I136" s="1428"/>
      <c r="J136" s="1428"/>
      <c r="K136" s="2212">
        <f>'1.2 OmniTot'!GO153</f>
        <v>462.25000000000006</v>
      </c>
      <c r="L136" s="2212">
        <f>'1.2 OmniTot'!GP153</f>
        <v>536.12</v>
      </c>
      <c r="M136" s="2212">
        <f>'1.2 OmniTot'!GQ153</f>
        <v>495.92</v>
      </c>
      <c r="N136" s="2212">
        <f>'1.2 OmniTot'!GR153</f>
        <v>999.12</v>
      </c>
      <c r="O136" s="2212">
        <f>'1.2 OmniTot'!GS153</f>
        <v>1447.73</v>
      </c>
      <c r="P136" s="2212">
        <f>'1.2 OmniTot'!GT153</f>
        <v>1802.63</v>
      </c>
      <c r="Q136" s="2212">
        <f>'1.2 OmniTot'!GU153</f>
        <v>1648.62</v>
      </c>
      <c r="R136" s="2212">
        <f>'1.2 OmniTot'!GV153</f>
        <v>1631.3</v>
      </c>
      <c r="S136" s="2212">
        <f>'1.2 OmniTot'!GW153</f>
        <v>1587.64</v>
      </c>
      <c r="T136" s="2212">
        <f>'1.2 OmniTot'!GX153</f>
        <v>2622.91</v>
      </c>
      <c r="U136" s="2212">
        <f>'1.2 OmniTot'!GY153</f>
        <v>2663.65</v>
      </c>
      <c r="V136" s="2212">
        <f>'1.2 OmniTot'!GZ153</f>
        <v>2454.6799999999998</v>
      </c>
      <c r="W136" s="2212"/>
    </row>
    <row r="137" spans="1:23" s="321" customFormat="1">
      <c r="A137" s="208"/>
      <c r="B137" s="299"/>
      <c r="C137" s="299" t="s">
        <v>892</v>
      </c>
      <c r="D137" s="299"/>
      <c r="E137" s="307"/>
      <c r="F137" s="309"/>
      <c r="G137" s="1432">
        <f t="shared" si="14"/>
        <v>0</v>
      </c>
      <c r="H137" s="320"/>
      <c r="I137" s="1428"/>
      <c r="J137" s="1428"/>
      <c r="K137" s="2212">
        <f>'1.2 OmniTot'!GO154</f>
        <v>0</v>
      </c>
      <c r="L137" s="2212">
        <f>'1.2 OmniTot'!GP154</f>
        <v>0</v>
      </c>
      <c r="M137" s="2212">
        <f>'1.2 OmniTot'!GQ154</f>
        <v>0</v>
      </c>
      <c r="N137" s="2212">
        <f>'1.2 OmniTot'!GR154</f>
        <v>0</v>
      </c>
      <c r="O137" s="2212">
        <f>'1.2 OmniTot'!GS154</f>
        <v>0</v>
      </c>
      <c r="P137" s="2212">
        <f>'1.2 OmniTot'!GT154</f>
        <v>0</v>
      </c>
      <c r="Q137" s="2212">
        <f>'1.2 OmniTot'!GU154</f>
        <v>0</v>
      </c>
      <c r="R137" s="2212">
        <f>'1.2 OmniTot'!GV154</f>
        <v>0</v>
      </c>
      <c r="S137" s="2212">
        <f>'1.2 OmniTot'!GW154</f>
        <v>0</v>
      </c>
      <c r="T137" s="2212">
        <f>'1.2 OmniTot'!GX154</f>
        <v>0</v>
      </c>
      <c r="U137" s="2212">
        <f>'1.2 OmniTot'!GY154</f>
        <v>0</v>
      </c>
      <c r="V137" s="2212">
        <f>'1.2 OmniTot'!GZ154</f>
        <v>0</v>
      </c>
      <c r="W137" s="2212"/>
    </row>
    <row r="138" spans="1:23" s="321" customFormat="1">
      <c r="A138" s="208"/>
      <c r="B138" s="299"/>
      <c r="C138" s="299" t="s">
        <v>893</v>
      </c>
      <c r="D138" s="299"/>
      <c r="E138" s="307"/>
      <c r="F138" s="309"/>
      <c r="G138" s="1433">
        <f t="shared" si="14"/>
        <v>0</v>
      </c>
      <c r="H138" s="318"/>
      <c r="I138" s="1428"/>
      <c r="J138" s="1428"/>
      <c r="K138" s="299">
        <f>'1.2 OmniTot'!GC8</f>
        <v>1014.2857142857142</v>
      </c>
      <c r="L138" s="299">
        <f>'1.2 OmniTot'!GD8</f>
        <v>960.85714285714289</v>
      </c>
      <c r="M138" s="299">
        <f>'1.2 OmniTot'!GE8</f>
        <v>874.14285714285711</v>
      </c>
      <c r="N138" s="299">
        <f>'1.2 OmniTot'!GF8</f>
        <v>959.42857142857133</v>
      </c>
      <c r="O138" s="299">
        <f>'1.2 OmniTot'!GG8</f>
        <v>994.42857142857144</v>
      </c>
      <c r="P138" s="299">
        <f>'1.2 OmniTot'!GH8</f>
        <v>1020.2857142857143</v>
      </c>
      <c r="Q138" s="299">
        <f>'1.2 OmniTot'!GI8</f>
        <v>920.57142857142856</v>
      </c>
      <c r="R138" s="299">
        <f>'1.2 OmniTot'!GJ8</f>
        <v>975.42857142857133</v>
      </c>
      <c r="S138" s="299">
        <f>'1.2 OmniTot'!GK8</f>
        <v>967.14285714285711</v>
      </c>
      <c r="T138" s="299">
        <f>'1.2 OmniTot'!GL8</f>
        <v>900.57142857142856</v>
      </c>
      <c r="U138" s="299">
        <f>'1.2 OmniTot'!GM8</f>
        <v>982.57142857142856</v>
      </c>
      <c r="V138" s="299">
        <f>'1.2 OmniTot'!GN8</f>
        <v>911.42857142857144</v>
      </c>
      <c r="W138" s="299"/>
    </row>
    <row r="139" spans="1:23" s="321" customFormat="1">
      <c r="A139" s="208"/>
      <c r="B139" s="299"/>
      <c r="C139" s="299" t="s">
        <v>894</v>
      </c>
      <c r="D139" s="299"/>
      <c r="E139" s="307"/>
      <c r="F139" s="309"/>
      <c r="G139" s="1433">
        <f t="shared" si="14"/>
        <v>0</v>
      </c>
      <c r="H139" s="318"/>
      <c r="I139" s="1428"/>
      <c r="J139" s="1428"/>
      <c r="K139" s="2212">
        <f>'1.2 OmniTot'!GO119</f>
        <v>127</v>
      </c>
      <c r="L139" s="2212">
        <f>'1.2 OmniTot'!GP119</f>
        <v>121</v>
      </c>
      <c r="M139" s="2212">
        <f>'1.2 OmniTot'!GQ119</f>
        <v>108</v>
      </c>
      <c r="N139" s="2212">
        <f>'1.2 OmniTot'!GR119</f>
        <v>98</v>
      </c>
      <c r="O139" s="2212">
        <f>'1.2 OmniTot'!GS119</f>
        <v>84</v>
      </c>
      <c r="P139" s="2212">
        <f>'1.2 OmniTot'!GT119</f>
        <v>92</v>
      </c>
      <c r="Q139" s="2212">
        <f>'1.2 OmniTot'!GU119</f>
        <v>73</v>
      </c>
      <c r="R139" s="2212">
        <f>'1.2 OmniTot'!GV119</f>
        <v>93</v>
      </c>
      <c r="S139" s="2212">
        <f>'1.2 OmniTot'!GW119</f>
        <v>84</v>
      </c>
      <c r="T139" s="2212">
        <f>'1.2 OmniTot'!GX119</f>
        <v>85</v>
      </c>
      <c r="U139" s="2212">
        <f>'1.2 OmniTot'!GY119</f>
        <v>88</v>
      </c>
      <c r="V139" s="2212">
        <f>'1.2 OmniTot'!GZ119</f>
        <v>80</v>
      </c>
      <c r="W139" s="2212"/>
    </row>
    <row r="140" spans="1:23" s="321" customFormat="1">
      <c r="A140" s="208"/>
      <c r="B140" s="299"/>
      <c r="C140" s="299"/>
      <c r="D140" s="299"/>
      <c r="E140" s="299"/>
      <c r="F140" s="299"/>
      <c r="G140" s="299"/>
      <c r="H140" s="299"/>
      <c r="I140" s="299"/>
      <c r="J140" s="299"/>
      <c r="K140" s="299"/>
      <c r="L140" s="299"/>
      <c r="M140" s="299"/>
      <c r="N140" s="299"/>
      <c r="O140" s="299"/>
      <c r="P140" s="299"/>
      <c r="Q140" s="299"/>
      <c r="R140" s="299"/>
      <c r="S140" s="299"/>
      <c r="T140" s="299"/>
      <c r="U140" s="299"/>
      <c r="V140" s="299"/>
      <c r="W140" s="299"/>
    </row>
    <row r="141" spans="1:23">
      <c r="I141" s="299"/>
      <c r="J141" s="299"/>
      <c r="K141" s="299"/>
      <c r="L141" s="299"/>
      <c r="M141" s="299"/>
      <c r="N141" s="299"/>
      <c r="O141" s="299"/>
      <c r="P141" s="299"/>
      <c r="Q141" s="299"/>
      <c r="R141" s="299"/>
      <c r="S141" s="299"/>
      <c r="T141" s="299"/>
      <c r="U141" s="299"/>
      <c r="V141" s="299"/>
      <c r="W141" s="299"/>
    </row>
    <row r="142" spans="1:23">
      <c r="B142" s="1168" t="str">
        <f>"Financial comparison based on:"</f>
        <v>Financial comparison based on:</v>
      </c>
      <c r="C142" s="292"/>
      <c r="D142" s="292"/>
      <c r="E142" s="292"/>
      <c r="F142" s="292"/>
      <c r="G142" s="292"/>
      <c r="H142" s="1169"/>
      <c r="W142" s="296"/>
    </row>
    <row r="143" spans="1:23">
      <c r="B143" s="1170"/>
      <c r="C143" s="291" t="str">
        <f>'1.1 Parents'!E40</f>
        <v>For In-Center &amp; PD (Non-Govt Rev/tx), use:</v>
      </c>
      <c r="D143" s="291"/>
      <c r="E143" s="291"/>
      <c r="F143" s="291"/>
      <c r="G143" s="291" t="str">
        <f>'1.1 Parents'!G40</f>
        <v>Last 3 Months</v>
      </c>
      <c r="H143" s="1171">
        <f>MATCH('1.1 Parents'!G40,$I$6:$V$6,0)</f>
        <v>2</v>
      </c>
      <c r="W143" s="296"/>
    </row>
    <row r="144" spans="1:23">
      <c r="B144" s="1170"/>
      <c r="C144" s="291" t="str">
        <f>'1.1 Parents'!E41</f>
        <v>For In-Center &amp; PD (Govt Rev/tx), use:</v>
      </c>
      <c r="D144" s="291"/>
      <c r="E144" s="291"/>
      <c r="F144" s="291"/>
      <c r="G144" s="291" t="str">
        <f>'1.1 Parents'!G41</f>
        <v>Last 3 Months</v>
      </c>
      <c r="H144" s="1171">
        <f>MATCH('1.1 Parents'!G41,$I$6:$W$6,0)</f>
        <v>2</v>
      </c>
      <c r="W144" s="296"/>
    </row>
    <row r="145" spans="2:23">
      <c r="B145" s="1170"/>
      <c r="C145" s="291" t="str">
        <f>'1.1 Parents'!E42</f>
        <v>For In-Center &amp; PD (Expenses), use:</v>
      </c>
      <c r="D145" s="291"/>
      <c r="E145" s="291"/>
      <c r="F145" s="291"/>
      <c r="G145" s="291" t="str">
        <f>'1.1 Parents'!G42</f>
        <v>Last 3 Months</v>
      </c>
      <c r="H145" s="1171">
        <f>MATCH('1.1 Parents'!G42,$I$6:$V$6,0)</f>
        <v>2</v>
      </c>
      <c r="W145" s="296"/>
    </row>
    <row r="146" spans="2:23">
      <c r="B146" s="1170"/>
      <c r="C146" s="291" t="str">
        <f>'1.1 Parents'!E43</f>
        <v>For In-Center &amp; PD (Pharma Expenses), use:</v>
      </c>
      <c r="D146" s="291"/>
      <c r="E146" s="291"/>
      <c r="F146" s="291"/>
      <c r="G146" s="291" t="str">
        <f>'1.1 Parents'!G43</f>
        <v>Last 3 Months</v>
      </c>
      <c r="H146" s="1171">
        <f>MATCH('1.1 Parents'!G43,$I$6:$W$6,0)</f>
        <v>2</v>
      </c>
      <c r="W146" s="296"/>
    </row>
    <row r="147" spans="2:23">
      <c r="B147" s="1170"/>
      <c r="C147" s="291" t="str">
        <f>'1.1 Parents'!E44</f>
        <v>For In-Center &amp; PD (Lab Costs), use:</v>
      </c>
      <c r="D147" s="291"/>
      <c r="E147" s="291"/>
      <c r="F147" s="291"/>
      <c r="G147" s="291" t="str">
        <f>'1.1 Parents'!G44</f>
        <v>Last 12 Months</v>
      </c>
      <c r="H147" s="1171">
        <f>MATCH('1.1 Parents'!G44,$I$6:$W$6,0)</f>
        <v>1</v>
      </c>
      <c r="W147" s="296"/>
    </row>
    <row r="148" spans="2:23">
      <c r="B148" s="1170"/>
      <c r="C148" s="291" t="str">
        <f>'1.1 Parents'!E45</f>
        <v>For HHD Center (Rev/tx), use:</v>
      </c>
      <c r="D148" s="291"/>
      <c r="E148" s="291"/>
      <c r="F148" s="291"/>
      <c r="G148" s="291" t="str">
        <f>'1.1 Parents'!G45</f>
        <v>Last 3 Months</v>
      </c>
      <c r="H148" s="1171">
        <f>MATCH('1.1 Parents'!G45,$I$6:$V$6,0)</f>
        <v>2</v>
      </c>
      <c r="W148" s="296"/>
    </row>
    <row r="149" spans="2:23">
      <c r="B149" s="1172"/>
      <c r="C149" s="293" t="str">
        <f>'1.1 Parents'!E46</f>
        <v>For HHD Center (Expenses), use:</v>
      </c>
      <c r="D149" s="293"/>
      <c r="E149" s="293"/>
      <c r="F149" s="293"/>
      <c r="G149" s="293" t="str">
        <f>'1.1 Parents'!G46</f>
        <v>Last 3 Months</v>
      </c>
      <c r="H149" s="1173">
        <f>MATCH('1.1 Parents'!G46,$I$6:$V$6,0)</f>
        <v>2</v>
      </c>
      <c r="W149" s="296"/>
    </row>
    <row r="150" spans="2:23">
      <c r="B150" s="1180"/>
      <c r="C150" s="291" t="str">
        <f>"Number of In-Center / PD Parents:"</f>
        <v>Number of In-Center / PD Parents:</v>
      </c>
      <c r="D150" s="291"/>
      <c r="E150" s="291"/>
      <c r="F150" s="291"/>
      <c r="G150" s="1184">
        <f>COUNTIF('1.1 Parents'!I17:I26,"yes")</f>
        <v>2</v>
      </c>
      <c r="H150" s="1181"/>
      <c r="I150" s="299"/>
      <c r="J150" s="299"/>
      <c r="K150" s="299"/>
      <c r="L150" s="299"/>
      <c r="M150" s="299"/>
      <c r="N150" s="299"/>
      <c r="O150" s="299"/>
      <c r="P150" s="299"/>
      <c r="Q150" s="299"/>
      <c r="R150" s="299"/>
      <c r="S150" s="299"/>
      <c r="T150" s="299"/>
      <c r="U150" s="299"/>
      <c r="V150" s="299"/>
      <c r="W150" s="299"/>
    </row>
    <row r="151" spans="2:23">
      <c r="B151" s="1182"/>
      <c r="C151" s="293" t="str">
        <f>"Number of HHD Parents:"</f>
        <v>Number of HHD Parents:</v>
      </c>
      <c r="D151" s="293"/>
      <c r="E151" s="293"/>
      <c r="F151" s="293"/>
      <c r="G151" s="1185">
        <f>COUNTIF('1.1 Parents'!I30:I34,"yes")</f>
        <v>1</v>
      </c>
      <c r="H151" s="1183"/>
      <c r="W151" s="296"/>
    </row>
    <row r="152" spans="2:23">
      <c r="W152" s="296"/>
    </row>
    <row r="153" spans="2:23">
      <c r="W153" s="296"/>
    </row>
    <row r="154" spans="2:23">
      <c r="W154" s="296"/>
    </row>
    <row r="155" spans="2:23">
      <c r="B155" s="296" t="s">
        <v>2478</v>
      </c>
      <c r="C155" s="294"/>
      <c r="D155" s="295"/>
      <c r="E155" s="291"/>
      <c r="F155" s="291"/>
      <c r="G155" s="299"/>
      <c r="H155" s="299"/>
      <c r="I155" s="299"/>
      <c r="J155" s="299"/>
      <c r="K155" s="299"/>
      <c r="L155" s="299"/>
      <c r="M155" s="299"/>
      <c r="N155" s="299"/>
      <c r="O155" s="299"/>
      <c r="P155" s="299"/>
      <c r="Q155" s="299"/>
      <c r="R155" s="299"/>
      <c r="S155" s="299"/>
      <c r="T155" s="299"/>
      <c r="U155" s="299"/>
      <c r="V155" s="299"/>
      <c r="W155" s="299"/>
    </row>
    <row r="156" spans="2:23">
      <c r="B156" s="296"/>
      <c r="C156" s="294" t="s">
        <v>1961</v>
      </c>
      <c r="D156" s="301"/>
      <c r="E156" s="291"/>
      <c r="F156" s="291"/>
      <c r="G156" s="299"/>
      <c r="H156" s="299"/>
      <c r="I156" s="299"/>
      <c r="J156" s="299"/>
      <c r="K156" s="299"/>
      <c r="L156" s="299"/>
      <c r="M156" s="299"/>
      <c r="N156" s="299"/>
      <c r="O156" s="299"/>
      <c r="P156" s="299"/>
      <c r="Q156" s="299"/>
      <c r="R156" s="299"/>
      <c r="S156" s="299"/>
      <c r="T156" s="299"/>
      <c r="U156" s="299"/>
      <c r="V156" s="299"/>
      <c r="W156" s="299"/>
    </row>
    <row r="157" spans="2:23">
      <c r="B157" s="296"/>
      <c r="C157" s="294"/>
      <c r="D157" s="294" t="s">
        <v>2468</v>
      </c>
      <c r="E157" s="291"/>
      <c r="F157" s="291"/>
      <c r="G157" s="2237">
        <f>INDEX(I157:V157,$H$149)</f>
        <v>0</v>
      </c>
      <c r="H157" s="299"/>
      <c r="I157" s="1428"/>
      <c r="J157" s="1428"/>
      <c r="K157" s="2212">
        <f>IF('1.2 OmniTot'!GO$150=0,0,'1.2 OmniTot'!GO137/'1.2 OmniTot'!GO$150/12)</f>
        <v>226.89458333333334</v>
      </c>
      <c r="L157" s="2212">
        <f>IF('1.2 OmniTot'!GP$150=0,0,'1.2 OmniTot'!GP137/'1.2 OmniTot'!GP$150/12)</f>
        <v>120.69291666666665</v>
      </c>
      <c r="M157" s="2212">
        <f>IF('1.2 OmniTot'!GQ$150=0,0,'1.2 OmniTot'!GQ137/'1.2 OmniTot'!GQ$150/12)</f>
        <v>274.20866666666666</v>
      </c>
      <c r="N157" s="2212">
        <f>IF('1.2 OmniTot'!GR$150=0,0,'1.2 OmniTot'!GR137/'1.2 OmniTot'!GR$150/12)</f>
        <v>190.03770833333331</v>
      </c>
      <c r="O157" s="2212">
        <f>IF('1.2 OmniTot'!GS$150=0,0,'1.2 OmniTot'!GS137/'1.2 OmniTot'!GS$150/12)</f>
        <v>201.89166666666665</v>
      </c>
      <c r="P157" s="2212">
        <f>IF('1.2 OmniTot'!GT$150=0,0,'1.2 OmniTot'!GT137/'1.2 OmniTot'!GT$150/12)</f>
        <v>211.43833333333336</v>
      </c>
      <c r="Q157" s="2212">
        <f>IF('1.2 OmniTot'!GU$150=0,0,'1.2 OmniTot'!GU137/'1.2 OmniTot'!GU$150/12)</f>
        <v>3.3360416666666595</v>
      </c>
      <c r="R157" s="2212">
        <f>IF('1.2 OmniTot'!GV$150=0,0,'1.2 OmniTot'!GV137/'1.2 OmniTot'!GV$150/12)</f>
        <v>216.55375000000001</v>
      </c>
      <c r="S157" s="2212">
        <f>IF('1.2 OmniTot'!GW$150=0,0,'1.2 OmniTot'!GW137/'1.2 OmniTot'!GW$150/12)</f>
        <v>201.96895833333335</v>
      </c>
      <c r="T157" s="2212">
        <f>IF('1.2 OmniTot'!GX$150=0,0,'1.2 OmniTot'!GX137/'1.2 OmniTot'!GX$150/12)</f>
        <v>217.19041666666666</v>
      </c>
      <c r="U157" s="2212">
        <f>IF('1.2 OmniTot'!GY$150=0,0,'1.2 OmniTot'!GY137/'1.2 OmniTot'!GY$150/12)</f>
        <v>152.03125000000003</v>
      </c>
      <c r="V157" s="2212">
        <f>IF('1.2 OmniTot'!GZ$150=0,0,'1.2 OmniTot'!GZ137/'1.2 OmniTot'!GZ$150/12)</f>
        <v>279.26138888888892</v>
      </c>
      <c r="W157" s="2212"/>
    </row>
    <row r="158" spans="2:23">
      <c r="B158" s="296"/>
      <c r="C158" s="294"/>
      <c r="D158" s="294" t="s">
        <v>2469</v>
      </c>
      <c r="E158" s="291"/>
      <c r="F158" s="291"/>
      <c r="G158" s="2237">
        <f>INDEX(I158:V158,$H$149)</f>
        <v>0</v>
      </c>
      <c r="H158" s="299"/>
      <c r="I158" s="1428"/>
      <c r="J158" s="1428"/>
      <c r="K158" s="2212">
        <f>IF('1.2 OmniTot'!GO$150=0,0,'1.2 OmniTot'!GO138/'1.2 OmniTot'!GO$150/12)</f>
        <v>14.579444444444446</v>
      </c>
      <c r="L158" s="2212">
        <f>IF('1.2 OmniTot'!GP$150=0,0,'1.2 OmniTot'!GP138/'1.2 OmniTot'!GP$150/12)</f>
        <v>13.010833333333336</v>
      </c>
      <c r="M158" s="2212">
        <f>IF('1.2 OmniTot'!GQ$150=0,0,'1.2 OmniTot'!GQ138/'1.2 OmniTot'!GQ$150/12)</f>
        <v>17.4285</v>
      </c>
      <c r="N158" s="2212">
        <f>IF('1.2 OmniTot'!GR$150=0,0,'1.2 OmniTot'!GR138/'1.2 OmniTot'!GR$150/12)</f>
        <v>20.761458333333334</v>
      </c>
      <c r="O158" s="2212">
        <f>IF('1.2 OmniTot'!GS$150=0,0,'1.2 OmniTot'!GS138/'1.2 OmniTot'!GS$150/12)</f>
        <v>29.502291666666668</v>
      </c>
      <c r="P158" s="2212">
        <f>IF('1.2 OmniTot'!GT$150=0,0,'1.2 OmniTot'!GT138/'1.2 OmniTot'!GT$150/12)</f>
        <v>11.169583333333334</v>
      </c>
      <c r="Q158" s="2212">
        <f>IF('1.2 OmniTot'!GU$150=0,0,'1.2 OmniTot'!GU138/'1.2 OmniTot'!GU$150/12)</f>
        <v>17.525833333333335</v>
      </c>
      <c r="R158" s="2212">
        <f>IF('1.2 OmniTot'!GV$150=0,0,'1.2 OmniTot'!GV138/'1.2 OmniTot'!GV$150/12)</f>
        <v>9.3845833333333335</v>
      </c>
      <c r="S158" s="2212">
        <f>IF('1.2 OmniTot'!GW$150=0,0,'1.2 OmniTot'!GW138/'1.2 OmniTot'!GW$150/12)</f>
        <v>18.712291666666665</v>
      </c>
      <c r="T158" s="2212">
        <f>IF('1.2 OmniTot'!GX$150=0,0,'1.2 OmniTot'!GX138/'1.2 OmniTot'!GX$150/12)</f>
        <v>20.801874999999999</v>
      </c>
      <c r="U158" s="2212">
        <f>IF('1.2 OmniTot'!GY$150=0,0,'1.2 OmniTot'!GY138/'1.2 OmniTot'!GY$150/12)</f>
        <v>14.508958333333332</v>
      </c>
      <c r="V158" s="2212">
        <f>IF('1.2 OmniTot'!GZ$150=0,0,'1.2 OmniTot'!GZ138/'1.2 OmniTot'!GZ$150/12)</f>
        <v>45.094166666666666</v>
      </c>
      <c r="W158" s="2212"/>
    </row>
    <row r="159" spans="2:23">
      <c r="B159" s="296"/>
      <c r="C159" s="294"/>
      <c r="D159" s="294" t="s">
        <v>1601</v>
      </c>
      <c r="E159" s="291"/>
      <c r="F159" s="291"/>
      <c r="G159" s="2237">
        <f>INDEX(I159:V159,$H$149)</f>
        <v>0</v>
      </c>
      <c r="H159" s="299"/>
      <c r="I159" s="1428"/>
      <c r="J159" s="1428"/>
      <c r="K159" s="2212">
        <f>'1.2 OmniTot'!GO139</f>
        <v>1767.8715000000002</v>
      </c>
      <c r="L159" s="2212">
        <f>'1.2 OmniTot'!GP139</f>
        <v>2335.4906000000001</v>
      </c>
      <c r="M159" s="2212">
        <f>'1.2 OmniTot'!GQ139</f>
        <v>2133.7028</v>
      </c>
      <c r="N159" s="2212">
        <f>'1.2 OmniTot'!GR139</f>
        <v>1999.3654999999999</v>
      </c>
      <c r="O159" s="2212">
        <f>'1.2 OmniTot'!GS139</f>
        <v>1818.3499000000002</v>
      </c>
      <c r="P159" s="2212">
        <f>'1.2 OmniTot'!GT139</f>
        <v>2996.2541000000001</v>
      </c>
      <c r="Q159" s="2212">
        <f>'1.2 OmniTot'!GU139</f>
        <v>2150.9803000000002</v>
      </c>
      <c r="R159" s="2212">
        <f>'1.2 OmniTot'!GV139</f>
        <v>8357.5220000000008</v>
      </c>
      <c r="S159" s="2212">
        <f>'1.2 OmniTot'!GW139</f>
        <v>2601.3047000000006</v>
      </c>
      <c r="T159" s="2212">
        <f>'1.2 OmniTot'!GX139</f>
        <v>2624.4187999999995</v>
      </c>
      <c r="U159" s="2212">
        <f>'1.2 OmniTot'!GY139</f>
        <v>2413.6803999999993</v>
      </c>
      <c r="V159" s="2212">
        <f>'1.2 OmniTot'!GZ139</f>
        <v>700.02120000000014</v>
      </c>
      <c r="W159" s="2212"/>
    </row>
    <row r="160" spans="2:23">
      <c r="C160" s="294" t="s">
        <v>1393</v>
      </c>
      <c r="D160" s="301"/>
      <c r="E160" s="291"/>
      <c r="F160" s="291"/>
      <c r="G160" s="299"/>
      <c r="H160" s="299"/>
      <c r="I160" s="1428"/>
      <c r="J160" s="1428"/>
      <c r="K160" s="299"/>
      <c r="L160" s="299"/>
      <c r="M160" s="299"/>
      <c r="N160" s="299"/>
      <c r="O160" s="299"/>
      <c r="P160" s="299"/>
      <c r="Q160" s="299"/>
      <c r="R160" s="299"/>
      <c r="S160" s="299"/>
      <c r="T160" s="299"/>
      <c r="U160" s="299"/>
      <c r="V160" s="299"/>
      <c r="W160" s="299"/>
    </row>
    <row r="161" spans="1:23">
      <c r="C161" s="294"/>
      <c r="D161" s="294" t="s">
        <v>3705</v>
      </c>
      <c r="E161" s="291"/>
      <c r="F161" s="291"/>
      <c r="G161" s="2237">
        <f>INDEX(I161:V161,$H$149)</f>
        <v>0</v>
      </c>
      <c r="H161" s="299"/>
      <c r="I161" s="1428"/>
      <c r="J161" s="1428"/>
      <c r="K161" s="2212">
        <f>'1.2 OmniTot'!GO142</f>
        <v>32.418425196850393</v>
      </c>
      <c r="L161" s="2212">
        <f>'1.2 OmniTot'!GP142</f>
        <v>34.469338842975205</v>
      </c>
      <c r="M161" s="2212">
        <f>'1.2 OmniTot'!GQ142</f>
        <v>34.980833333333329</v>
      </c>
      <c r="N161" s="2212">
        <f>'1.2 OmniTot'!GR142</f>
        <v>38.358877551020406</v>
      </c>
      <c r="O161" s="2212">
        <f>'1.2 OmniTot'!GS142</f>
        <v>40.885595238095235</v>
      </c>
      <c r="P161" s="2212">
        <f>'1.2 OmniTot'!GT142</f>
        <v>44.816847826086949</v>
      </c>
      <c r="Q161" s="2212">
        <f>'1.2 OmniTot'!GU142</f>
        <v>42.373287671232873</v>
      </c>
      <c r="R161" s="2212">
        <f>'1.2 OmniTot'!GV142</f>
        <v>38.528494623655916</v>
      </c>
      <c r="S161" s="2212">
        <f>'1.2 OmniTot'!GW142</f>
        <v>48.079880952380954</v>
      </c>
      <c r="T161" s="2212">
        <f>'1.2 OmniTot'!GX142</f>
        <v>39.085764705882355</v>
      </c>
      <c r="U161" s="2212">
        <f>'1.2 OmniTot'!GY142</f>
        <v>39.28420454545455</v>
      </c>
      <c r="V161" s="2212">
        <f>'1.2 OmniTot'!GZ142</f>
        <v>-1.8754999999999999</v>
      </c>
      <c r="W161" s="2212"/>
    </row>
    <row r="162" spans="1:23">
      <c r="C162" s="297"/>
      <c r="D162" s="297" t="s">
        <v>3706</v>
      </c>
      <c r="E162" s="291"/>
      <c r="F162" s="291"/>
      <c r="G162" s="299"/>
      <c r="H162" s="299"/>
      <c r="I162" s="1428"/>
      <c r="J162" s="1428"/>
      <c r="K162" s="299"/>
      <c r="L162" s="299"/>
      <c r="M162" s="299"/>
      <c r="N162" s="299"/>
      <c r="O162" s="299"/>
      <c r="P162" s="299"/>
      <c r="Q162" s="299"/>
      <c r="R162" s="299"/>
      <c r="S162" s="299"/>
      <c r="T162" s="299"/>
      <c r="U162" s="299"/>
      <c r="V162" s="299"/>
      <c r="W162" s="299"/>
    </row>
    <row r="163" spans="1:23">
      <c r="C163" s="297"/>
      <c r="D163" s="297" t="s">
        <v>3682</v>
      </c>
      <c r="E163" s="300"/>
      <c r="F163" s="291"/>
      <c r="G163" s="2237">
        <f>INDEX(I163:V163,$H$149)</f>
        <v>2209.7533333333336</v>
      </c>
      <c r="H163" s="299"/>
      <c r="I163" s="1428">
        <f>AVERAGE(K163:V163)</f>
        <v>3393.9116666666669</v>
      </c>
      <c r="J163" s="1428">
        <f>AVERAGE(T163:V163)</f>
        <v>2209.7533333333336</v>
      </c>
      <c r="K163" s="2212">
        <f>'1.2 OmniTot'!GO141</f>
        <v>4117.1400000000003</v>
      </c>
      <c r="L163" s="2212">
        <f>'1.2 OmniTot'!GP141</f>
        <v>4170.79</v>
      </c>
      <c r="M163" s="2212">
        <f>'1.2 OmniTot'!GQ141</f>
        <v>3777.93</v>
      </c>
      <c r="N163" s="2212">
        <f>'1.2 OmniTot'!GR141</f>
        <v>3759.17</v>
      </c>
      <c r="O163" s="2212">
        <f>'1.2 OmniTot'!GS141</f>
        <v>3434.39</v>
      </c>
      <c r="P163" s="2212">
        <f>'1.2 OmniTot'!GT141</f>
        <v>4123.1499999999996</v>
      </c>
      <c r="Q163" s="2212">
        <f>'1.2 OmniTot'!GU141</f>
        <v>3093.25</v>
      </c>
      <c r="R163" s="2212">
        <f>'1.2 OmniTot'!GV141</f>
        <v>3583.15</v>
      </c>
      <c r="S163" s="2212">
        <f>'1.2 OmniTot'!GW141</f>
        <v>4038.71</v>
      </c>
      <c r="T163" s="2212">
        <f>'1.2 OmniTot'!GX141</f>
        <v>3322.29</v>
      </c>
      <c r="U163" s="2212">
        <f>'1.2 OmniTot'!GY141</f>
        <v>3457.01</v>
      </c>
      <c r="V163" s="2212">
        <f>'1.2 OmniTot'!GZ141</f>
        <v>-150.04</v>
      </c>
      <c r="W163" s="2212"/>
    </row>
    <row r="164" spans="1:23" s="296" customFormat="1">
      <c r="A164" s="208"/>
      <c r="B164" s="299"/>
      <c r="C164" s="307" t="s">
        <v>1823</v>
      </c>
      <c r="D164" s="308"/>
      <c r="E164" s="309"/>
      <c r="F164" s="309"/>
      <c r="G164" s="299"/>
      <c r="H164" s="299"/>
      <c r="I164" s="1428"/>
      <c r="J164" s="1428"/>
      <c r="K164" s="299"/>
      <c r="L164" s="299"/>
      <c r="M164" s="299"/>
      <c r="N164" s="299"/>
      <c r="O164" s="299"/>
      <c r="P164" s="299"/>
      <c r="Q164" s="299"/>
      <c r="R164" s="299"/>
      <c r="S164" s="299"/>
      <c r="T164" s="299"/>
      <c r="U164" s="299"/>
      <c r="V164" s="299"/>
      <c r="W164" s="299"/>
    </row>
    <row r="165" spans="1:23" s="311" customFormat="1">
      <c r="A165" s="208"/>
      <c r="B165" s="299"/>
      <c r="C165" s="310"/>
      <c r="D165" s="310" t="s">
        <v>3516</v>
      </c>
      <c r="E165" s="307"/>
      <c r="F165" s="291"/>
      <c r="G165" s="299"/>
      <c r="H165" s="299"/>
      <c r="I165" s="1428"/>
      <c r="J165" s="1428"/>
      <c r="K165" s="299"/>
      <c r="L165" s="299"/>
      <c r="M165" s="299"/>
      <c r="N165" s="299"/>
      <c r="O165" s="299"/>
      <c r="P165" s="299"/>
      <c r="Q165" s="299"/>
      <c r="R165" s="299"/>
      <c r="S165" s="299"/>
      <c r="T165" s="299"/>
      <c r="U165" s="299"/>
      <c r="V165" s="299"/>
      <c r="W165" s="299"/>
    </row>
    <row r="166" spans="1:23" s="311" customFormat="1">
      <c r="A166" s="208"/>
      <c r="B166" s="299"/>
      <c r="C166" s="310"/>
      <c r="D166" s="310"/>
      <c r="E166" s="307" t="s">
        <v>2661</v>
      </c>
      <c r="F166" s="291"/>
      <c r="G166" s="2548">
        <f>INDEX(I166:V166,$H$145)</f>
        <v>133063.76</v>
      </c>
      <c r="H166" s="299"/>
      <c r="I166" s="1428">
        <f>AVERAGE(K166:V166)*12</f>
        <v>147772.9</v>
      </c>
      <c r="J166" s="1428">
        <f>AVERAGE(T166:V166)*12</f>
        <v>133063.76</v>
      </c>
      <c r="K166" s="299">
        <f>'1.2 OmniTot'!GC36</f>
        <v>13361.400000000001</v>
      </c>
      <c r="L166" s="299">
        <f>'1.2 OmniTot'!GD36</f>
        <v>13361.5</v>
      </c>
      <c r="M166" s="299">
        <f>'1.2 OmniTot'!GE36</f>
        <v>13361.5</v>
      </c>
      <c r="N166" s="299">
        <f>'1.2 OmniTot'!GF36</f>
        <v>13361.410000000002</v>
      </c>
      <c r="O166" s="299">
        <f>'1.2 OmniTot'!GG36</f>
        <v>13166.12</v>
      </c>
      <c r="P166" s="299">
        <f>'1.2 OmniTot'!GH36</f>
        <v>13025.82</v>
      </c>
      <c r="Q166" s="299">
        <f>'1.2 OmniTot'!GI36</f>
        <v>13027.17</v>
      </c>
      <c r="R166" s="299">
        <f>'1.2 OmniTot'!GJ36</f>
        <v>10921.02</v>
      </c>
      <c r="S166" s="299">
        <f>'1.2 OmniTot'!GK36</f>
        <v>10921.02</v>
      </c>
      <c r="T166" s="299">
        <f>'1.2 OmniTot'!GL36</f>
        <v>11098.04</v>
      </c>
      <c r="U166" s="299">
        <f>'1.2 OmniTot'!GM36</f>
        <v>11083.960000000001</v>
      </c>
      <c r="V166" s="299">
        <f>'1.2 OmniTot'!GN36</f>
        <v>11083.94</v>
      </c>
      <c r="W166" s="299"/>
    </row>
    <row r="167" spans="1:23" s="311" customFormat="1">
      <c r="A167" s="208"/>
      <c r="B167" s="299"/>
      <c r="C167" s="310"/>
      <c r="D167" s="310"/>
      <c r="E167" s="307" t="s">
        <v>2662</v>
      </c>
      <c r="F167" s="291"/>
      <c r="G167" s="2548">
        <f>INDEX(I167:V167,$H$145)</f>
        <v>0</v>
      </c>
      <c r="H167" s="299"/>
      <c r="I167" s="2212">
        <f>AVERAGE(K167:V167)*12</f>
        <v>0</v>
      </c>
      <c r="J167" s="2212">
        <f>AVERAGE(T167:V167)*12</f>
        <v>0</v>
      </c>
      <c r="K167" s="299">
        <f>'1.2 OmniTot'!GC37</f>
        <v>0</v>
      </c>
      <c r="L167" s="299">
        <f>'1.2 OmniTot'!GD37</f>
        <v>0</v>
      </c>
      <c r="M167" s="299">
        <f>'1.2 OmniTot'!GE37</f>
        <v>0</v>
      </c>
      <c r="N167" s="299">
        <f>'1.2 OmniTot'!GF37</f>
        <v>0</v>
      </c>
      <c r="O167" s="299">
        <f>'1.2 OmniTot'!GG37</f>
        <v>0</v>
      </c>
      <c r="P167" s="299">
        <f>'1.2 OmniTot'!GH37</f>
        <v>0</v>
      </c>
      <c r="Q167" s="299">
        <f>'1.2 OmniTot'!GI37</f>
        <v>0</v>
      </c>
      <c r="R167" s="299">
        <f>'1.2 OmniTot'!GJ37</f>
        <v>0</v>
      </c>
      <c r="S167" s="299">
        <f>'1.2 OmniTot'!GK37</f>
        <v>0</v>
      </c>
      <c r="T167" s="299">
        <f>'1.2 OmniTot'!GL37</f>
        <v>0</v>
      </c>
      <c r="U167" s="299">
        <f>'1.2 OmniTot'!GM37</f>
        <v>0</v>
      </c>
      <c r="V167" s="299">
        <f>'1.2 OmniTot'!GN37</f>
        <v>0</v>
      </c>
      <c r="W167" s="299"/>
    </row>
    <row r="168" spans="1:23" s="311" customFormat="1">
      <c r="A168" s="208"/>
      <c r="B168" s="309"/>
      <c r="C168" s="310"/>
      <c r="D168" s="310" t="s">
        <v>3515</v>
      </c>
      <c r="E168" s="312"/>
      <c r="F168" s="291"/>
      <c r="G168" s="299"/>
      <c r="H168" s="299"/>
      <c r="I168" s="1428"/>
      <c r="J168" s="1428"/>
      <c r="K168" s="299"/>
      <c r="L168" s="299"/>
      <c r="M168" s="299"/>
      <c r="N168" s="299"/>
      <c r="O168" s="299"/>
      <c r="P168" s="299"/>
      <c r="Q168" s="299"/>
      <c r="R168" s="299"/>
      <c r="S168" s="299"/>
      <c r="T168" s="299"/>
      <c r="U168" s="299"/>
      <c r="V168" s="299"/>
      <c r="W168" s="299"/>
    </row>
    <row r="169" spans="1:23" s="311" customFormat="1">
      <c r="A169" s="208"/>
      <c r="B169" s="299"/>
      <c r="C169" s="310"/>
      <c r="D169" s="310"/>
      <c r="E169" s="307" t="s">
        <v>2661</v>
      </c>
      <c r="F169" s="291"/>
      <c r="G169" s="2237">
        <f>INDEX(I169:V169,$H$149)</f>
        <v>13158.36</v>
      </c>
      <c r="H169" s="299"/>
      <c r="I169" s="1428">
        <f>AVERAGE(K169:V169)*12</f>
        <v>12093.140000000001</v>
      </c>
      <c r="J169" s="1428">
        <f>AVERAGE(T169:V169)*12</f>
        <v>13158.36</v>
      </c>
      <c r="K169" s="2212">
        <f>'1.2 OmniTot'!GO135</f>
        <v>563.89</v>
      </c>
      <c r="L169" s="2212">
        <f>'1.2 OmniTot'!GP135</f>
        <v>563.95000000000005</v>
      </c>
      <c r="M169" s="2212">
        <f>'1.2 OmniTot'!GQ135</f>
        <v>1096.53</v>
      </c>
      <c r="N169" s="2212">
        <f>'1.2 OmniTot'!GR135</f>
        <v>1096.53</v>
      </c>
      <c r="O169" s="2212">
        <f>'1.2 OmniTot'!GS135</f>
        <v>1096.53</v>
      </c>
      <c r="P169" s="2212">
        <f>'1.2 OmniTot'!GT135</f>
        <v>1096.53</v>
      </c>
      <c r="Q169" s="2212">
        <f>'1.2 OmniTot'!GU135</f>
        <v>1096.53</v>
      </c>
      <c r="R169" s="2212">
        <f>'1.2 OmniTot'!GV135</f>
        <v>1096.53</v>
      </c>
      <c r="S169" s="2212">
        <f>'1.2 OmniTot'!GW135</f>
        <v>1096.53</v>
      </c>
      <c r="T169" s="2212">
        <f>'1.2 OmniTot'!GX135</f>
        <v>1096.53</v>
      </c>
      <c r="U169" s="2212">
        <f>'1.2 OmniTot'!GY135</f>
        <v>1096.53</v>
      </c>
      <c r="V169" s="2212">
        <f>'1.2 OmniTot'!GZ135</f>
        <v>1096.53</v>
      </c>
      <c r="W169" s="2212"/>
    </row>
    <row r="170" spans="1:23" s="311" customFormat="1">
      <c r="A170" s="208"/>
      <c r="B170" s="299"/>
      <c r="C170" s="310"/>
      <c r="D170" s="310"/>
      <c r="E170" s="307" t="s">
        <v>2662</v>
      </c>
      <c r="F170" s="291"/>
      <c r="G170" s="2237">
        <f>INDEX(I170:V170,$H$149)</f>
        <v>0</v>
      </c>
      <c r="H170" s="299"/>
      <c r="I170" s="2212">
        <f>AVERAGE(K170:V170)*12</f>
        <v>0</v>
      </c>
      <c r="J170" s="2212">
        <f>AVERAGE(T170:V170)*12</f>
        <v>0</v>
      </c>
      <c r="K170" s="2212">
        <f>'1.2 OmniTot'!GO136</f>
        <v>0</v>
      </c>
      <c r="L170" s="2212">
        <f>'1.2 OmniTot'!GP136</f>
        <v>0</v>
      </c>
      <c r="M170" s="2212">
        <f>'1.2 OmniTot'!GQ136</f>
        <v>0</v>
      </c>
      <c r="N170" s="2212">
        <f>'1.2 OmniTot'!GR136</f>
        <v>0</v>
      </c>
      <c r="O170" s="2212">
        <f>'1.2 OmniTot'!GS136</f>
        <v>0</v>
      </c>
      <c r="P170" s="2212">
        <f>'1.2 OmniTot'!GT136</f>
        <v>0</v>
      </c>
      <c r="Q170" s="2212">
        <f>'1.2 OmniTot'!GU136</f>
        <v>0</v>
      </c>
      <c r="R170" s="2212">
        <f>'1.2 OmniTot'!GV136</f>
        <v>0</v>
      </c>
      <c r="S170" s="2212">
        <f>'1.2 OmniTot'!GW136</f>
        <v>0</v>
      </c>
      <c r="T170" s="2212">
        <f>'1.2 OmniTot'!GX136</f>
        <v>0</v>
      </c>
      <c r="U170" s="2212">
        <f>'1.2 OmniTot'!GY136</f>
        <v>0</v>
      </c>
      <c r="V170" s="2212">
        <f>'1.2 OmniTot'!GZ136</f>
        <v>0</v>
      </c>
      <c r="W170" s="2212"/>
    </row>
    <row r="171" spans="1:23" s="296" customFormat="1">
      <c r="A171" s="208"/>
      <c r="B171" s="299"/>
      <c r="C171" s="307" t="s">
        <v>1814</v>
      </c>
      <c r="D171" s="308"/>
      <c r="E171" s="309"/>
      <c r="F171" s="309"/>
      <c r="G171" s="299"/>
      <c r="H171" s="299"/>
      <c r="I171" s="1428"/>
      <c r="J171" s="1428"/>
      <c r="K171" s="299"/>
      <c r="L171" s="299"/>
      <c r="M171" s="299"/>
      <c r="N171" s="299"/>
      <c r="O171" s="299"/>
      <c r="P171" s="299"/>
      <c r="Q171" s="299"/>
      <c r="R171" s="299"/>
      <c r="S171" s="299"/>
      <c r="T171" s="299"/>
      <c r="U171" s="299"/>
      <c r="V171" s="299"/>
      <c r="W171" s="299"/>
    </row>
    <row r="172" spans="1:23" s="311" customFormat="1">
      <c r="A172" s="208"/>
      <c r="B172" s="299"/>
      <c r="C172" s="310"/>
      <c r="D172" s="310"/>
      <c r="E172" s="307" t="s">
        <v>13</v>
      </c>
      <c r="F172" s="291"/>
      <c r="G172" s="2548">
        <f>INDEX(I172:V172,H145)</f>
        <v>23371.48</v>
      </c>
      <c r="H172" s="299"/>
      <c r="I172" s="1428">
        <f>SUM(K172:V172)</f>
        <v>5842.87</v>
      </c>
      <c r="J172" s="1428">
        <f>SUM(T172:V172)*4</f>
        <v>23371.48</v>
      </c>
      <c r="K172" s="299">
        <f>'1.2 OmniTot'!GC38</f>
        <v>0</v>
      </c>
      <c r="L172" s="299">
        <f>'1.2 OmniTot'!GD38</f>
        <v>0</v>
      </c>
      <c r="M172" s="299">
        <f>'1.2 OmniTot'!GE38</f>
        <v>0</v>
      </c>
      <c r="N172" s="299">
        <f>'1.2 OmniTot'!GF38</f>
        <v>0</v>
      </c>
      <c r="O172" s="299">
        <f>'1.2 OmniTot'!GG38</f>
        <v>0</v>
      </c>
      <c r="P172" s="299">
        <f>'1.2 OmniTot'!GH38</f>
        <v>0</v>
      </c>
      <c r="Q172" s="299">
        <f>'1.2 OmniTot'!GI38</f>
        <v>0</v>
      </c>
      <c r="R172" s="299">
        <f>'1.2 OmniTot'!GJ38</f>
        <v>0</v>
      </c>
      <c r="S172" s="299">
        <f>'1.2 OmniTot'!GK38</f>
        <v>0</v>
      </c>
      <c r="T172" s="299">
        <f>'1.2 OmniTot'!GL38</f>
        <v>5842.87</v>
      </c>
      <c r="U172" s="299">
        <f>'1.2 OmniTot'!GM38</f>
        <v>0</v>
      </c>
      <c r="V172" s="299">
        <f>'1.2 OmniTot'!GN38</f>
        <v>0</v>
      </c>
      <c r="W172" s="299"/>
    </row>
    <row r="173" spans="1:23" s="311" customFormat="1">
      <c r="A173" s="208"/>
      <c r="B173" s="299"/>
      <c r="C173" s="310"/>
      <c r="D173" s="310"/>
      <c r="E173" s="307" t="s">
        <v>14</v>
      </c>
      <c r="F173" s="291"/>
      <c r="G173" s="299"/>
      <c r="H173" s="299"/>
      <c r="I173" s="1428"/>
      <c r="J173" s="1428"/>
      <c r="K173" s="299"/>
      <c r="L173" s="299"/>
      <c r="M173" s="299"/>
      <c r="N173" s="299"/>
      <c r="O173" s="299"/>
      <c r="P173" s="299"/>
      <c r="Q173" s="299"/>
      <c r="R173" s="299"/>
      <c r="S173" s="299"/>
      <c r="T173" s="299"/>
      <c r="U173" s="299"/>
      <c r="V173" s="299"/>
      <c r="W173" s="299"/>
    </row>
    <row r="174" spans="1:23" s="311" customFormat="1">
      <c r="A174" s="208"/>
      <c r="B174" s="299"/>
      <c r="C174" s="310"/>
      <c r="D174" s="310"/>
      <c r="E174" s="307"/>
      <c r="F174" s="291"/>
      <c r="G174" s="299"/>
      <c r="H174" s="299"/>
      <c r="I174" s="1428"/>
      <c r="J174" s="1428"/>
      <c r="K174" s="299"/>
      <c r="L174" s="299"/>
      <c r="M174" s="299"/>
      <c r="N174" s="299"/>
      <c r="O174" s="299"/>
      <c r="P174" s="299"/>
      <c r="Q174" s="299"/>
      <c r="R174" s="299"/>
      <c r="S174" s="299"/>
      <c r="T174" s="299"/>
      <c r="U174" s="299"/>
      <c r="V174" s="299"/>
      <c r="W174" s="299"/>
    </row>
    <row r="175" spans="1:23">
      <c r="B175" s="287" t="s">
        <v>144</v>
      </c>
      <c r="I175" s="1427"/>
      <c r="J175" s="1427"/>
      <c r="W175" s="296"/>
    </row>
    <row r="176" spans="1:23">
      <c r="C176" s="287" t="s">
        <v>1402</v>
      </c>
      <c r="D176" s="291"/>
      <c r="E176" s="291"/>
      <c r="F176" s="291"/>
      <c r="G176" s="299"/>
      <c r="H176" s="299"/>
      <c r="I176" s="1428"/>
      <c r="J176" s="1428"/>
      <c r="K176" s="299"/>
      <c r="L176" s="299"/>
      <c r="M176" s="299"/>
      <c r="N176" s="299"/>
      <c r="O176" s="299"/>
      <c r="P176" s="299"/>
      <c r="Q176" s="299"/>
      <c r="R176" s="299"/>
      <c r="S176" s="299"/>
      <c r="T176" s="299"/>
      <c r="U176" s="299"/>
      <c r="V176" s="299"/>
      <c r="W176" s="299"/>
    </row>
    <row r="177" spans="2:23">
      <c r="D177" s="291" t="s">
        <v>1825</v>
      </c>
      <c r="E177" s="291"/>
      <c r="F177" s="294" t="s">
        <v>3529</v>
      </c>
      <c r="G177" s="2237">
        <f>INDEX($I177:$V177,$H$149)</f>
        <v>1012</v>
      </c>
      <c r="H177" s="299"/>
      <c r="I177" s="1428">
        <f>SUM(K177:V177)</f>
        <v>900</v>
      </c>
      <c r="J177" s="1428">
        <f>SUM(T177:V177)*4</f>
        <v>1012</v>
      </c>
      <c r="K177" s="2212">
        <f>'1.2 OmniTot'!GO121</f>
        <v>99</v>
      </c>
      <c r="L177" s="2212">
        <f>'1.2 OmniTot'!GP121</f>
        <v>94</v>
      </c>
      <c r="M177" s="2212">
        <f>'1.2 OmniTot'!GQ121</f>
        <v>84</v>
      </c>
      <c r="N177" s="2212">
        <f>'1.2 OmniTot'!GR121</f>
        <v>73</v>
      </c>
      <c r="O177" s="2212">
        <f>'1.2 OmniTot'!GS121</f>
        <v>58</v>
      </c>
      <c r="P177" s="2212">
        <f>'1.2 OmniTot'!GT121</f>
        <v>65</v>
      </c>
      <c r="Q177" s="2212">
        <f>'1.2 OmniTot'!GU121</f>
        <v>50</v>
      </c>
      <c r="R177" s="2212">
        <f>'1.2 OmniTot'!GV121</f>
        <v>66</v>
      </c>
      <c r="S177" s="2212">
        <f>'1.2 OmniTot'!GW121</f>
        <v>58</v>
      </c>
      <c r="T177" s="2212">
        <f>'1.2 OmniTot'!GX121</f>
        <v>61</v>
      </c>
      <c r="U177" s="2212">
        <f>'1.2 OmniTot'!GY121</f>
        <v>61</v>
      </c>
      <c r="V177" s="2212">
        <f>'1.2 OmniTot'!GZ121</f>
        <v>131</v>
      </c>
      <c r="W177" s="2212"/>
    </row>
    <row r="178" spans="2:23">
      <c r="D178" s="291"/>
      <c r="E178" s="294"/>
      <c r="F178" s="291" t="s">
        <v>3666</v>
      </c>
      <c r="G178" s="2237">
        <f>INDEX($I178:$V178,$H$149)</f>
        <v>0</v>
      </c>
      <c r="H178" s="299"/>
      <c r="I178" s="1428"/>
      <c r="J178" s="1428"/>
      <c r="K178" s="2212">
        <f>'1.2 OmniTot'!GO150</f>
        <v>6</v>
      </c>
      <c r="L178" s="2212">
        <f>'1.2 OmniTot'!GP150</f>
        <v>6</v>
      </c>
      <c r="M178" s="2212">
        <f>'1.2 OmniTot'!GQ150</f>
        <v>5</v>
      </c>
      <c r="N178" s="2212">
        <f>'1.2 OmniTot'!GR150</f>
        <v>4</v>
      </c>
      <c r="O178" s="2212">
        <f>'1.2 OmniTot'!GS150</f>
        <v>4</v>
      </c>
      <c r="P178" s="2212">
        <f>'1.2 OmniTot'!GT150</f>
        <v>4</v>
      </c>
      <c r="Q178" s="2212">
        <f>'1.2 OmniTot'!GU150</f>
        <v>4</v>
      </c>
      <c r="R178" s="2212">
        <f>'1.2 OmniTot'!GV150</f>
        <v>4</v>
      </c>
      <c r="S178" s="2212">
        <f>'1.2 OmniTot'!GW150</f>
        <v>4</v>
      </c>
      <c r="T178" s="2212">
        <f>'1.2 OmniTot'!GX150</f>
        <v>4</v>
      </c>
      <c r="U178" s="2212">
        <f>'1.2 OmniTot'!GY150</f>
        <v>4</v>
      </c>
      <c r="V178" s="2212">
        <f>'1.2 OmniTot'!GZ150</f>
        <v>3</v>
      </c>
      <c r="W178" s="2212"/>
    </row>
    <row r="179" spans="2:23">
      <c r="D179" s="291" t="s">
        <v>1826</v>
      </c>
      <c r="E179" s="291"/>
      <c r="F179" s="294" t="s">
        <v>3529</v>
      </c>
      <c r="G179" s="2237">
        <f>INDEX($I179:$V179,$H$149)</f>
        <v>0</v>
      </c>
      <c r="H179" s="299"/>
      <c r="I179" s="1428">
        <f>SUM(K179:V179)</f>
        <v>233</v>
      </c>
      <c r="J179" s="1428">
        <f>SUM(T179:V179)*4</f>
        <v>0</v>
      </c>
      <c r="K179" s="2212">
        <f>'1.2 OmniTot'!GO122</f>
        <v>28</v>
      </c>
      <c r="L179" s="2212">
        <f>'1.2 OmniTot'!GP122</f>
        <v>27</v>
      </c>
      <c r="M179" s="2212">
        <f>'1.2 OmniTot'!GQ122</f>
        <v>24</v>
      </c>
      <c r="N179" s="2212">
        <f>'1.2 OmniTot'!GR122</f>
        <v>25</v>
      </c>
      <c r="O179" s="2212">
        <f>'1.2 OmniTot'!GS122</f>
        <v>26</v>
      </c>
      <c r="P179" s="2212">
        <f>'1.2 OmniTot'!GT122</f>
        <v>27</v>
      </c>
      <c r="Q179" s="2212">
        <f>'1.2 OmniTot'!GU122</f>
        <v>23</v>
      </c>
      <c r="R179" s="2212">
        <f>'1.2 OmniTot'!GV122</f>
        <v>27</v>
      </c>
      <c r="S179" s="2212">
        <f>'1.2 OmniTot'!GW122</f>
        <v>26</v>
      </c>
      <c r="T179" s="2212">
        <f>'1.2 OmniTot'!GX122</f>
        <v>24</v>
      </c>
      <c r="U179" s="2212">
        <f>'1.2 OmniTot'!GY122</f>
        <v>27</v>
      </c>
      <c r="V179" s="2212">
        <f>'1.2 OmniTot'!GZ122</f>
        <v>-51</v>
      </c>
      <c r="W179" s="2212"/>
    </row>
    <row r="180" spans="2:23">
      <c r="D180" s="291"/>
      <c r="E180" s="294"/>
      <c r="F180" s="291" t="s">
        <v>3666</v>
      </c>
      <c r="G180" s="299"/>
      <c r="H180" s="299"/>
      <c r="I180" s="1428"/>
      <c r="J180" s="1428"/>
      <c r="K180" s="299"/>
      <c r="L180" s="299"/>
      <c r="M180" s="299"/>
      <c r="N180" s="299"/>
      <c r="O180" s="299"/>
      <c r="P180" s="299"/>
      <c r="Q180" s="299"/>
      <c r="R180" s="299"/>
      <c r="S180" s="299"/>
      <c r="T180" s="299"/>
      <c r="U180" s="299"/>
      <c r="V180" s="299"/>
      <c r="W180" s="299"/>
    </row>
    <row r="181" spans="2:23">
      <c r="D181" s="291"/>
      <c r="E181" s="294"/>
      <c r="F181" s="291"/>
      <c r="G181" s="299"/>
      <c r="H181" s="299"/>
      <c r="I181" s="1428"/>
      <c r="J181" s="1428"/>
      <c r="K181" s="299"/>
      <c r="L181" s="299"/>
      <c r="M181" s="299"/>
      <c r="N181" s="299"/>
      <c r="O181" s="299"/>
      <c r="P181" s="299"/>
      <c r="Q181" s="299"/>
      <c r="R181" s="299"/>
      <c r="S181" s="299"/>
      <c r="T181" s="299"/>
      <c r="U181" s="299"/>
      <c r="V181" s="299"/>
      <c r="W181" s="299"/>
    </row>
    <row r="182" spans="2:23">
      <c r="B182" s="287" t="s">
        <v>143</v>
      </c>
      <c r="F182" s="208"/>
      <c r="G182" s="313"/>
      <c r="H182" s="313"/>
      <c r="I182" s="1428"/>
      <c r="J182" s="1428"/>
      <c r="K182" s="299"/>
      <c r="L182" s="299"/>
      <c r="M182" s="299"/>
      <c r="N182" s="299"/>
      <c r="O182" s="299"/>
      <c r="P182" s="299"/>
      <c r="Q182" s="299"/>
      <c r="R182" s="299"/>
      <c r="S182" s="299"/>
      <c r="T182" s="299"/>
      <c r="U182" s="299"/>
      <c r="V182" s="299"/>
      <c r="W182" s="299"/>
    </row>
    <row r="183" spans="2:23">
      <c r="C183" s="287" t="s">
        <v>1402</v>
      </c>
      <c r="D183" s="291"/>
      <c r="E183" s="291"/>
      <c r="F183" s="291"/>
      <c r="G183" s="315"/>
      <c r="H183" s="315"/>
      <c r="I183" s="1428"/>
      <c r="J183" s="1428"/>
      <c r="K183" s="299"/>
      <c r="L183" s="299"/>
      <c r="M183" s="299"/>
      <c r="N183" s="299"/>
      <c r="O183" s="299"/>
      <c r="P183" s="299"/>
      <c r="Q183" s="299"/>
      <c r="R183" s="299"/>
      <c r="S183" s="299"/>
      <c r="T183" s="299"/>
      <c r="U183" s="299"/>
      <c r="V183" s="299"/>
      <c r="W183" s="299"/>
    </row>
    <row r="184" spans="2:23">
      <c r="D184" s="291" t="s">
        <v>1825</v>
      </c>
      <c r="E184" s="291"/>
      <c r="F184" s="291" t="s">
        <v>3529</v>
      </c>
      <c r="G184" s="2237">
        <f t="shared" ref="G184:G189" si="15">INDEX($I184:$V184,$H$148)</f>
        <v>253</v>
      </c>
      <c r="H184" s="315"/>
      <c r="I184" s="1428">
        <f>SUM(K184:V184)</f>
        <v>900</v>
      </c>
      <c r="J184" s="1428">
        <f>SUM(T184:V184)</f>
        <v>253</v>
      </c>
      <c r="K184" s="2212">
        <f>'1.2 OmniTot'!GO121</f>
        <v>99</v>
      </c>
      <c r="L184" s="2212">
        <f>'1.2 OmniTot'!GP121</f>
        <v>94</v>
      </c>
      <c r="M184" s="2212">
        <f>'1.2 OmniTot'!GQ121</f>
        <v>84</v>
      </c>
      <c r="N184" s="2212">
        <f>'1.2 OmniTot'!GR121</f>
        <v>73</v>
      </c>
      <c r="O184" s="2212">
        <f>'1.2 OmniTot'!GS121</f>
        <v>58</v>
      </c>
      <c r="P184" s="2212">
        <f>'1.2 OmniTot'!GT121</f>
        <v>65</v>
      </c>
      <c r="Q184" s="2212">
        <f>'1.2 OmniTot'!GU121</f>
        <v>50</v>
      </c>
      <c r="R184" s="2212">
        <f>'1.2 OmniTot'!GV121</f>
        <v>66</v>
      </c>
      <c r="S184" s="2212">
        <f>'1.2 OmniTot'!GW121</f>
        <v>58</v>
      </c>
      <c r="T184" s="2212">
        <f>'1.2 OmniTot'!GX121</f>
        <v>61</v>
      </c>
      <c r="U184" s="2212">
        <f>'1.2 OmniTot'!GY121</f>
        <v>61</v>
      </c>
      <c r="V184" s="2212">
        <f>'1.2 OmniTot'!GZ121</f>
        <v>131</v>
      </c>
      <c r="W184" s="2212"/>
    </row>
    <row r="185" spans="2:23">
      <c r="D185" s="291"/>
      <c r="E185" s="294"/>
      <c r="F185" s="291" t="s">
        <v>1752</v>
      </c>
      <c r="G185" s="2237">
        <f t="shared" si="15"/>
        <v>260.41648221343871</v>
      </c>
      <c r="H185" s="315"/>
      <c r="I185" s="2212">
        <f>IF(SUM('1.2 OmniTot'!GO121:GZ121)=0,0,SUM('1.2 OmniTot'!GO123:GZ123)/SUM('1.2 OmniTot'!GO121:GZ121))</f>
        <v>259.70478888888891</v>
      </c>
      <c r="J185" s="2212">
        <f>IF(J184=0,0,SUM('1.2 OmniTot'!GX123:GZ123)/J184)</f>
        <v>260.41648221343871</v>
      </c>
      <c r="K185" s="2212">
        <f>'1.2 OmniTot'!GO124</f>
        <v>180.04777777777778</v>
      </c>
      <c r="L185" s="2212">
        <f>'1.2 OmniTot'!GP124</f>
        <v>236.72659574468088</v>
      </c>
      <c r="M185" s="2212">
        <f>'1.2 OmniTot'!GQ124</f>
        <v>267.67619047619047</v>
      </c>
      <c r="N185" s="2212">
        <f>'1.2 OmniTot'!GR124</f>
        <v>274.41301369863015</v>
      </c>
      <c r="O185" s="2212">
        <f>'1.2 OmniTot'!GS124</f>
        <v>281.01586206896553</v>
      </c>
      <c r="P185" s="2212">
        <f>'1.2 OmniTot'!GT124</f>
        <v>279.00876923076925</v>
      </c>
      <c r="Q185" s="2212">
        <f>'1.2 OmniTot'!GU124</f>
        <v>277.84640000000002</v>
      </c>
      <c r="R185" s="2212">
        <f>'1.2 OmniTot'!GV124</f>
        <v>282.76696969696968</v>
      </c>
      <c r="S185" s="2212">
        <f>'1.2 OmniTot'!GW124</f>
        <v>314.92293103448276</v>
      </c>
      <c r="T185" s="2212">
        <f>'1.2 OmniTot'!GX124</f>
        <v>246.18622950819673</v>
      </c>
      <c r="U185" s="2212">
        <f>'1.2 OmniTot'!GY124</f>
        <v>280.42311475409832</v>
      </c>
      <c r="V185" s="2212">
        <f>'1.2 OmniTot'!GZ124</f>
        <v>257.7267175572519</v>
      </c>
      <c r="W185" s="2212"/>
    </row>
    <row r="186" spans="2:23">
      <c r="D186" s="291" t="s">
        <v>1753</v>
      </c>
      <c r="E186" s="291"/>
      <c r="F186" s="294" t="s">
        <v>3529</v>
      </c>
      <c r="G186" s="2237">
        <f t="shared" si="15"/>
        <v>-24</v>
      </c>
      <c r="H186" s="315"/>
      <c r="I186" s="1428">
        <f>SUM(K186:V186)</f>
        <v>130</v>
      </c>
      <c r="J186" s="1428">
        <f>SUM(T186:V186)</f>
        <v>-24</v>
      </c>
      <c r="K186" s="2212">
        <f>'1.2 OmniTot'!GO122-K188</f>
        <v>28</v>
      </c>
      <c r="L186" s="2212">
        <f>'1.2 OmniTot'!GP122-L188</f>
        <v>27</v>
      </c>
      <c r="M186" s="2212">
        <f>'1.2 OmniTot'!GQ122-M188</f>
        <v>24</v>
      </c>
      <c r="N186" s="2212">
        <f>'1.2 OmniTot'!GR122-N188</f>
        <v>25</v>
      </c>
      <c r="O186" s="2212">
        <f>'1.2 OmniTot'!GS122-O188</f>
        <v>0</v>
      </c>
      <c r="P186" s="2212">
        <f>'1.2 OmniTot'!GT122-P188</f>
        <v>0</v>
      </c>
      <c r="Q186" s="2212">
        <f>'1.2 OmniTot'!GU122-Q188</f>
        <v>23</v>
      </c>
      <c r="R186" s="2212">
        <f>'1.2 OmniTot'!GV122-R188</f>
        <v>27</v>
      </c>
      <c r="S186" s="2212">
        <f>'1.2 OmniTot'!GW122-S188</f>
        <v>0</v>
      </c>
      <c r="T186" s="2212">
        <f>'1.2 OmniTot'!GX122-T188</f>
        <v>0</v>
      </c>
      <c r="U186" s="2212">
        <f>'1.2 OmniTot'!GY122-U188</f>
        <v>27</v>
      </c>
      <c r="V186" s="2212">
        <f>'1.2 OmniTot'!GZ122-V188</f>
        <v>-51</v>
      </c>
      <c r="W186" s="2212"/>
    </row>
    <row r="187" spans="2:23">
      <c r="D187" s="291"/>
      <c r="E187" s="291"/>
      <c r="F187" s="291" t="s">
        <v>1752</v>
      </c>
      <c r="G187" s="2237">
        <f t="shared" si="15"/>
        <v>457.80625000000009</v>
      </c>
      <c r="H187" s="315"/>
      <c r="I187" s="1428">
        <f>IF(I186=0,0,(SUM('1.2 OmniTot'!GO125:GZ125)-SUM('1.2 OmniTot'!GO144:GZ144))/I186)</f>
        <v>860.82692307692298</v>
      </c>
      <c r="J187" s="1428">
        <f>IF(J186=0,0,(SUM('1.2 OmniTot'!GX125:GZ125)-SUM('1.2 OmniTot'!GX144:GZ144))/J186)</f>
        <v>457.80625000000009</v>
      </c>
      <c r="K187" s="2212">
        <f>IF(K186=0,0,('1.2 OmniTot'!GO125-'1.2 OmniTot'!GO144)/K186)</f>
        <v>864.28785714285709</v>
      </c>
      <c r="L187" s="2212">
        <f>IF(L186=0,0,('1.2 OmniTot'!GP125-'1.2 OmniTot'!GP144)/L186)</f>
        <v>787.46518518518508</v>
      </c>
      <c r="M187" s="2212">
        <f>IF(M186=0,0,('1.2 OmniTot'!GQ125-'1.2 OmniTot'!GQ144)/M186)</f>
        <v>683.62833333333344</v>
      </c>
      <c r="N187" s="2212">
        <f>IF(N186=0,0,('1.2 OmniTot'!GR125-'1.2 OmniTot'!GR144)/N186)</f>
        <v>752.11279999999999</v>
      </c>
      <c r="O187" s="2212">
        <f>IF(O186=0,0,('1.2 OmniTot'!GS125-'1.2 OmniTot'!GS144)/O186)</f>
        <v>0</v>
      </c>
      <c r="P187" s="2212">
        <f>IF(P186=0,0,('1.2 OmniTot'!GT125-'1.2 OmniTot'!GT144)/P186)</f>
        <v>0</v>
      </c>
      <c r="Q187" s="2212">
        <f>IF(Q186=0,0,('1.2 OmniTot'!GU125-'1.2 OmniTot'!GU144)/Q186)</f>
        <v>784.40304347826088</v>
      </c>
      <c r="R187" s="2212">
        <f>IF(R186=0,0,('1.2 OmniTot'!GV125-'1.2 OmniTot'!GV144)/R186)</f>
        <v>705.9955555555556</v>
      </c>
      <c r="S187" s="2212">
        <f>IF(S186=0,0,('1.2 OmniTot'!GW125-'1.2 OmniTot'!GW144)/S186)</f>
        <v>0</v>
      </c>
      <c r="T187" s="2212">
        <f>IF(T186=0,0,('1.2 OmniTot'!GX125-'1.2 OmniTot'!GX144)/T186)</f>
        <v>0</v>
      </c>
      <c r="U187" s="2212">
        <f>IF(U186=0,0,('1.2 OmniTot'!GY125-'1.2 OmniTot'!GY144)/U186)</f>
        <v>690.7659259259259</v>
      </c>
      <c r="V187" s="2212">
        <f>IF(V186=0,0,('1.2 OmniTot'!GZ125-'1.2 OmniTot'!GZ144)/V186)</f>
        <v>697.15215686274519</v>
      </c>
      <c r="W187" s="2212"/>
    </row>
    <row r="188" spans="2:23">
      <c r="D188" s="291" t="s">
        <v>1754</v>
      </c>
      <c r="E188" s="291"/>
      <c r="F188" s="294" t="s">
        <v>3529</v>
      </c>
      <c r="G188" s="2237">
        <f t="shared" si="15"/>
        <v>24</v>
      </c>
      <c r="H188" s="315"/>
      <c r="I188" s="1428">
        <f>SUM(K188:V188)</f>
        <v>103</v>
      </c>
      <c r="J188" s="1428">
        <f>SUM(T188:V188)</f>
        <v>24</v>
      </c>
      <c r="K188" s="2212">
        <f>SUM('1.2 OmniTot'!GO143,'1.2 OmniTot'!GO145)</f>
        <v>0</v>
      </c>
      <c r="L188" s="2212">
        <f>SUM('1.2 OmniTot'!GP143,'1.2 OmniTot'!GP145)</f>
        <v>0</v>
      </c>
      <c r="M188" s="2212">
        <f>SUM('1.2 OmniTot'!GQ143,'1.2 OmniTot'!GQ145)</f>
        <v>0</v>
      </c>
      <c r="N188" s="2212">
        <f>SUM('1.2 OmniTot'!GR143,'1.2 OmniTot'!GR145)</f>
        <v>0</v>
      </c>
      <c r="O188" s="2212">
        <f>SUM('1.2 OmniTot'!GS143,'1.2 OmniTot'!GS145)</f>
        <v>26</v>
      </c>
      <c r="P188" s="2212">
        <f>SUM('1.2 OmniTot'!GT143,'1.2 OmniTot'!GT145)</f>
        <v>27</v>
      </c>
      <c r="Q188" s="2212">
        <f>SUM('1.2 OmniTot'!GU143,'1.2 OmniTot'!GU145)</f>
        <v>0</v>
      </c>
      <c r="R188" s="2212">
        <f>SUM('1.2 OmniTot'!GV143,'1.2 OmniTot'!GV145)</f>
        <v>0</v>
      </c>
      <c r="S188" s="2212">
        <f>SUM('1.2 OmniTot'!GW143,'1.2 OmniTot'!GW145)</f>
        <v>26</v>
      </c>
      <c r="T188" s="2212">
        <f>SUM('1.2 OmniTot'!GX143,'1.2 OmniTot'!GX145)</f>
        <v>24</v>
      </c>
      <c r="U188" s="2212">
        <f>SUM('1.2 OmniTot'!GY143,'1.2 OmniTot'!GY145)</f>
        <v>0</v>
      </c>
      <c r="V188" s="2212">
        <f>SUM('1.2 OmniTot'!GZ143,'1.2 OmniTot'!GZ145)</f>
        <v>0</v>
      </c>
      <c r="W188" s="2212"/>
    </row>
    <row r="189" spans="2:23">
      <c r="D189" s="291"/>
      <c r="E189" s="291"/>
      <c r="F189" s="291" t="s">
        <v>1752</v>
      </c>
      <c r="G189" s="2237">
        <f t="shared" si="15"/>
        <v>771.56500000000005</v>
      </c>
      <c r="H189" s="315"/>
      <c r="I189" s="1428">
        <f>IF(I188=0,0,SUM('1.2 OmniTot'!GO144:GZ144,'1.2 OmniTot'!GO146:GZ146)/I188)</f>
        <v>777.99864077669906</v>
      </c>
      <c r="J189" s="1428">
        <f>IF(J188=0,0,SUM('1.2 OmniTot'!GX144:GZ144,'1.2 OmniTot'!GX146:GZ146)/J188)</f>
        <v>771.56500000000005</v>
      </c>
      <c r="K189" s="2212">
        <f>IF(SUM('1.2 OmniTot'!GO143,'1.2 OmniTot'!GO145)=0,0,SUM('1.2 OmniTot'!GO144,'1.2 OmniTot'!GO146)/SUM('1.2 OmniTot'!GO143,'1.2 OmniTot'!GO145))</f>
        <v>0</v>
      </c>
      <c r="L189" s="2212">
        <f>IF(SUM('1.2 OmniTot'!GP143,'1.2 OmniTot'!GP145)=0,0,SUM('1.2 OmniTot'!GP144,'1.2 OmniTot'!GP146)/SUM('1.2 OmniTot'!GP143,'1.2 OmniTot'!GP145))</f>
        <v>0</v>
      </c>
      <c r="M189" s="2212">
        <f>IF(SUM('1.2 OmniTot'!GQ143,'1.2 OmniTot'!GQ145)=0,0,SUM('1.2 OmniTot'!GQ144,'1.2 OmniTot'!GQ146)/SUM('1.2 OmniTot'!GQ143,'1.2 OmniTot'!GQ145))</f>
        <v>0</v>
      </c>
      <c r="N189" s="2212">
        <f>IF(SUM('1.2 OmniTot'!GR143,'1.2 OmniTot'!GR145)=0,0,SUM('1.2 OmniTot'!GR144,'1.2 OmniTot'!GR146)/SUM('1.2 OmniTot'!GR143,'1.2 OmniTot'!GR145))</f>
        <v>0</v>
      </c>
      <c r="O189" s="2212">
        <f>IF(SUM('1.2 OmniTot'!GS143,'1.2 OmniTot'!GS145)=0,0,SUM('1.2 OmniTot'!GS144,'1.2 OmniTot'!GS146)/SUM('1.2 OmniTot'!GS143,'1.2 OmniTot'!GS145))</f>
        <v>765.15230769230766</v>
      </c>
      <c r="P189" s="2212">
        <f>IF(SUM('1.2 OmniTot'!GT143,'1.2 OmniTot'!GT145)=0,0,SUM('1.2 OmniTot'!GT144,'1.2 OmniTot'!GT146)/SUM('1.2 OmniTot'!GT143,'1.2 OmniTot'!GT145))</f>
        <v>767.66888888888889</v>
      </c>
      <c r="Q189" s="2212">
        <f>IF(SUM('1.2 OmniTot'!GU143,'1.2 OmniTot'!GU145)=0,0,SUM('1.2 OmniTot'!GU144,'1.2 OmniTot'!GU146)/SUM('1.2 OmniTot'!GU143,'1.2 OmniTot'!GU145))</f>
        <v>0</v>
      </c>
      <c r="R189" s="2212">
        <f>IF(SUM('1.2 OmniTot'!GV143,'1.2 OmniTot'!GV145)=0,0,SUM('1.2 OmniTot'!GV144,'1.2 OmniTot'!GV146)/SUM('1.2 OmniTot'!GV143,'1.2 OmniTot'!GV145))</f>
        <v>0</v>
      </c>
      <c r="S189" s="2212">
        <f>IF(SUM('1.2 OmniTot'!GW143,'1.2 OmniTot'!GW145)=0,0,SUM('1.2 OmniTot'!GW144,'1.2 OmniTot'!GW146)/SUM('1.2 OmniTot'!GW143,'1.2 OmniTot'!GW145))</f>
        <v>807.51076923076914</v>
      </c>
      <c r="T189" s="2212">
        <f>IF(SUM('1.2 OmniTot'!GX143,'1.2 OmniTot'!GX145)=0,0,SUM('1.2 OmniTot'!GX144,'1.2 OmniTot'!GX146)/SUM('1.2 OmniTot'!GX143,'1.2 OmniTot'!GX145))</f>
        <v>771.56500000000005</v>
      </c>
      <c r="U189" s="2212">
        <f>IF(SUM('1.2 OmniTot'!GY143,'1.2 OmniTot'!GY145)=0,0,SUM('1.2 OmniTot'!GY144,'1.2 OmniTot'!GY146)/SUM('1.2 OmniTot'!GY143,'1.2 OmniTot'!GY145))</f>
        <v>0</v>
      </c>
      <c r="V189" s="2212">
        <f>IF(SUM('1.2 OmniTot'!GZ143,'1.2 OmniTot'!GZ145)=0,0,SUM('1.2 OmniTot'!GZ144,'1.2 OmniTot'!GZ146)/SUM('1.2 OmniTot'!GZ143,'1.2 OmniTot'!GZ145))</f>
        <v>0</v>
      </c>
      <c r="W189" s="2212"/>
    </row>
    <row r="190" spans="2:23">
      <c r="D190" s="291"/>
      <c r="E190" s="291"/>
      <c r="F190" s="291"/>
      <c r="G190" s="315"/>
      <c r="H190" s="315"/>
      <c r="I190" s="1428"/>
      <c r="J190" s="1428"/>
      <c r="K190" s="299"/>
      <c r="L190" s="299"/>
      <c r="M190" s="299"/>
      <c r="N190" s="299"/>
      <c r="O190" s="299"/>
      <c r="P190" s="299"/>
      <c r="Q190" s="299"/>
      <c r="R190" s="299"/>
      <c r="S190" s="299"/>
      <c r="T190" s="299"/>
      <c r="U190" s="299"/>
      <c r="V190" s="299"/>
      <c r="W190" s="299"/>
    </row>
    <row r="191" spans="2:23">
      <c r="B191" s="287" t="s">
        <v>1751</v>
      </c>
      <c r="I191" s="1428"/>
      <c r="J191" s="1428"/>
      <c r="K191" s="299"/>
      <c r="L191" s="299"/>
      <c r="M191" s="299"/>
      <c r="N191" s="299"/>
      <c r="O191" s="299"/>
      <c r="P191" s="299"/>
      <c r="Q191" s="299"/>
      <c r="R191" s="299"/>
      <c r="S191" s="299"/>
      <c r="T191" s="299"/>
      <c r="U191" s="299"/>
      <c r="V191" s="299"/>
      <c r="W191" s="299"/>
    </row>
    <row r="192" spans="2:23">
      <c r="C192" s="287" t="s">
        <v>1402</v>
      </c>
      <c r="E192" s="319"/>
      <c r="F192" s="300"/>
      <c r="G192" s="320"/>
      <c r="H192" s="320"/>
      <c r="I192" s="1429"/>
      <c r="J192" s="1429"/>
      <c r="K192" s="1064"/>
      <c r="L192" s="1064"/>
      <c r="M192" s="1064"/>
      <c r="N192" s="1064"/>
      <c r="O192" s="1064"/>
      <c r="P192" s="1064"/>
      <c r="Q192" s="1064"/>
      <c r="R192" s="1064"/>
      <c r="S192" s="1064"/>
      <c r="T192" s="1064"/>
      <c r="U192" s="1064"/>
      <c r="V192" s="1064"/>
      <c r="W192" s="1064"/>
    </row>
    <row r="193" spans="5:23">
      <c r="E193" s="319" t="s">
        <v>2462</v>
      </c>
      <c r="F193" s="300"/>
      <c r="G193" s="2237">
        <f>INDEX($I193:$V193,$H$148)</f>
        <v>0</v>
      </c>
      <c r="H193" s="320"/>
      <c r="I193" s="1429"/>
      <c r="J193" s="1429"/>
      <c r="K193" s="2213">
        <f>IF('1.2 OmniTot'!GO$150=0,0,'1.2 OmniTot'!GO126/'1.2 OmniTot'!GO$150)</f>
        <v>267.29833333333335</v>
      </c>
      <c r="L193" s="2213">
        <f>IF('1.2 OmniTot'!GP$150=0,0,'1.2 OmniTot'!GP126/'1.2 OmniTot'!GP$150)</f>
        <v>238.20000000000005</v>
      </c>
      <c r="M193" s="2213">
        <f>IF('1.2 OmniTot'!GQ$150=0,0,'1.2 OmniTot'!GQ126/'1.2 OmniTot'!GQ$150)</f>
        <v>404.94</v>
      </c>
      <c r="N193" s="2213">
        <f>IF('1.2 OmniTot'!GR$150=0,0,'1.2 OmniTot'!GR126/'1.2 OmniTot'!GR$150)</f>
        <v>821.79000000000008</v>
      </c>
      <c r="O193" s="2213">
        <f>IF('1.2 OmniTot'!GS$150=0,0,'1.2 OmniTot'!GS126/'1.2 OmniTot'!GS$150)</f>
        <v>1147.33</v>
      </c>
      <c r="P193" s="2213">
        <f>IF('1.2 OmniTot'!GT$150=0,0,'1.2 OmniTot'!GT126/'1.2 OmniTot'!GT$150)</f>
        <v>1214.8200000000002</v>
      </c>
      <c r="Q193" s="2213">
        <f>IF('1.2 OmniTot'!GU$150=0,0,'1.2 OmniTot'!GU126/'1.2 OmniTot'!GU$150)</f>
        <v>142.91999999999999</v>
      </c>
      <c r="R193" s="2213">
        <f>IF('1.2 OmniTot'!GV$150=0,0,'1.2 OmniTot'!GV126/'1.2 OmniTot'!GV$150)</f>
        <v>924.01749999999993</v>
      </c>
      <c r="S193" s="2213">
        <f>IF('1.2 OmniTot'!GW$150=0,0,'1.2 OmniTot'!GW126/'1.2 OmniTot'!GW$150)</f>
        <v>1500.6599999999999</v>
      </c>
      <c r="T193" s="2213">
        <f>IF('1.2 OmniTot'!GX$150=0,0,'1.2 OmniTot'!GX126/'1.2 OmniTot'!GX$150)</f>
        <v>1250.55</v>
      </c>
      <c r="U193" s="2213">
        <f>IF('1.2 OmniTot'!GY$150=0,0,'1.2 OmniTot'!GY126/'1.2 OmniTot'!GY$150)</f>
        <v>321.57000000000005</v>
      </c>
      <c r="V193" s="2213">
        <f>IF('1.2 OmniTot'!GZ$150=0,0,'1.2 OmniTot'!GZ126/'1.2 OmniTot'!GZ$150)</f>
        <v>-3361.6</v>
      </c>
      <c r="W193" s="2213"/>
    </row>
    <row r="194" spans="5:23">
      <c r="E194" s="319" t="s">
        <v>2463</v>
      </c>
      <c r="F194" s="300"/>
      <c r="G194" s="2237">
        <f>INDEX($I194:$V194,$H$148)</f>
        <v>0</v>
      </c>
      <c r="H194" s="320"/>
      <c r="I194" s="1429"/>
      <c r="J194" s="1429"/>
      <c r="K194" s="2213">
        <f>IF('1.2 OmniTot'!GO$150=0,0,SUM('1.2 OmniTot'!GO127:GO129)/'1.2 OmniTot'!GO$150)</f>
        <v>0</v>
      </c>
      <c r="L194" s="2213">
        <f>IF('1.2 OmniTot'!GP$150=0,0,SUM('1.2 OmniTot'!GP127:GP129)/'1.2 OmniTot'!GP$150)</f>
        <v>0</v>
      </c>
      <c r="M194" s="2213">
        <f>IF('1.2 OmniTot'!GQ$150=0,0,SUM('1.2 OmniTot'!GQ127:GQ129)/'1.2 OmniTot'!GQ$150)</f>
        <v>0</v>
      </c>
      <c r="N194" s="2213">
        <f>IF('1.2 OmniTot'!GR$150=0,0,SUM('1.2 OmniTot'!GR127:GR129)/'1.2 OmniTot'!GR$150)</f>
        <v>0</v>
      </c>
      <c r="O194" s="2213">
        <f>IF('1.2 OmniTot'!GS$150=0,0,SUM('1.2 OmniTot'!GS127:GS129)/'1.2 OmniTot'!GS$150)</f>
        <v>0</v>
      </c>
      <c r="P194" s="2213">
        <f>IF('1.2 OmniTot'!GT$150=0,0,SUM('1.2 OmniTot'!GT127:GT129)/'1.2 OmniTot'!GT$150)</f>
        <v>0</v>
      </c>
      <c r="Q194" s="2213">
        <f>IF('1.2 OmniTot'!GU$150=0,0,SUM('1.2 OmniTot'!GU127:GU129)/'1.2 OmniTot'!GU$150)</f>
        <v>0</v>
      </c>
      <c r="R194" s="2213">
        <f>IF('1.2 OmniTot'!GV$150=0,0,SUM('1.2 OmniTot'!GV127:GV129)/'1.2 OmniTot'!GV$150)</f>
        <v>0</v>
      </c>
      <c r="S194" s="2213">
        <f>IF('1.2 OmniTot'!GW$150=0,0,SUM('1.2 OmniTot'!GW127:GW129)/'1.2 OmniTot'!GW$150)</f>
        <v>0</v>
      </c>
      <c r="T194" s="2213">
        <f>IF('1.2 OmniTot'!GX$150=0,0,SUM('1.2 OmniTot'!GX127:GX129)/'1.2 OmniTot'!GX$150)</f>
        <v>0</v>
      </c>
      <c r="U194" s="2213">
        <f>IF('1.2 OmniTot'!GY$150=0,0,SUM('1.2 OmniTot'!GY127:GY129)/'1.2 OmniTot'!GY$150)</f>
        <v>0</v>
      </c>
      <c r="V194" s="2213">
        <f>IF('1.2 OmniTot'!GZ$150=0,0,SUM('1.2 OmniTot'!GZ127:GZ129)/'1.2 OmniTot'!GZ$150)</f>
        <v>0</v>
      </c>
      <c r="W194" s="2213"/>
    </row>
    <row r="195" spans="5:23">
      <c r="E195" s="319" t="s">
        <v>2464</v>
      </c>
      <c r="F195" s="300"/>
      <c r="G195" s="2237">
        <f>INDEX($I195:$V195,$H$148)</f>
        <v>0</v>
      </c>
      <c r="H195" s="320"/>
      <c r="I195" s="1429"/>
      <c r="J195" s="1429"/>
      <c r="K195" s="2213">
        <f>IF('1.2 OmniTot'!GO$150=0,0,SUM('1.2 OmniTot'!GO130:GO132)/'1.2 OmniTot'!GO$150)</f>
        <v>57</v>
      </c>
      <c r="L195" s="2213">
        <f>IF('1.2 OmniTot'!GP$150=0,0,SUM('1.2 OmniTot'!GP130:GP132)/'1.2 OmniTot'!GP$150)</f>
        <v>130</v>
      </c>
      <c r="M195" s="2213">
        <f>IF('1.2 OmniTot'!GQ$150=0,0,SUM('1.2 OmniTot'!GQ130:GQ132)/'1.2 OmniTot'!GQ$150)</f>
        <v>99.45</v>
      </c>
      <c r="N195" s="2213">
        <f>IF('1.2 OmniTot'!GR$150=0,0,SUM('1.2 OmniTot'!GR130:GR132)/'1.2 OmniTot'!GR$150)</f>
        <v>0</v>
      </c>
      <c r="O195" s="2213">
        <f>IF('1.2 OmniTot'!GS$150=0,0,SUM('1.2 OmniTot'!GS130:GS132)/'1.2 OmniTot'!GS$150)</f>
        <v>165.75</v>
      </c>
      <c r="P195" s="2213">
        <f>IF('1.2 OmniTot'!GT$150=0,0,SUM('1.2 OmniTot'!GT130:GT132)/'1.2 OmniTot'!GT$150)</f>
        <v>165.75</v>
      </c>
      <c r="Q195" s="2213">
        <f>IF('1.2 OmniTot'!GU$150=0,0,SUM('1.2 OmniTot'!GU130:GU132)/'1.2 OmniTot'!GU$150)</f>
        <v>43.875</v>
      </c>
      <c r="R195" s="2213">
        <f>IF('1.2 OmniTot'!GV$150=0,0,SUM('1.2 OmniTot'!GV130:GV132)/'1.2 OmniTot'!GV$150)</f>
        <v>0</v>
      </c>
      <c r="S195" s="2213">
        <f>IF('1.2 OmniTot'!GW$150=0,0,SUM('1.2 OmniTot'!GW130:GW132)/'1.2 OmniTot'!GW$150)</f>
        <v>87.75</v>
      </c>
      <c r="T195" s="2213">
        <f>IF('1.2 OmniTot'!GX$150=0,0,SUM('1.2 OmniTot'!GX130:GX132)/'1.2 OmniTot'!GX$150)</f>
        <v>0</v>
      </c>
      <c r="U195" s="2213">
        <f>IF('1.2 OmniTot'!GY$150=0,0,SUM('1.2 OmniTot'!GY130:GY132)/'1.2 OmniTot'!GY$150)</f>
        <v>0</v>
      </c>
      <c r="V195" s="2213">
        <f>IF('1.2 OmniTot'!GZ$150=0,0,SUM('1.2 OmniTot'!GZ130:GZ132)/'1.2 OmniTot'!GZ$150)</f>
        <v>0</v>
      </c>
      <c r="W195" s="2213"/>
    </row>
    <row r="196" spans="5:23">
      <c r="E196" s="319" t="s">
        <v>813</v>
      </c>
      <c r="F196" s="300"/>
      <c r="G196" s="2237">
        <f>INDEX($I196:$V196,$H$148)</f>
        <v>0</v>
      </c>
      <c r="H196" s="320"/>
      <c r="I196" s="1429"/>
      <c r="J196" s="1429"/>
      <c r="K196" s="2213">
        <f>IF('1.2 OmniTot'!GO$150=0,0,SUM('1.2 OmniTot'!GO133:GO134)/'1.2 OmniTot'!GO$150)</f>
        <v>0</v>
      </c>
      <c r="L196" s="2213">
        <f>IF('1.2 OmniTot'!GP$150=0,0,SUM('1.2 OmniTot'!GP133:GP134)/'1.2 OmniTot'!GP$150)</f>
        <v>0</v>
      </c>
      <c r="M196" s="2213">
        <f>IF('1.2 OmniTot'!GQ$150=0,0,SUM('1.2 OmniTot'!GQ133:GQ134)/'1.2 OmniTot'!GQ$150)</f>
        <v>0</v>
      </c>
      <c r="N196" s="2213">
        <f>IF('1.2 OmniTot'!GR$150=0,0,SUM('1.2 OmniTot'!GR133:GR134)/'1.2 OmniTot'!GR$150)</f>
        <v>0</v>
      </c>
      <c r="O196" s="2213">
        <f>IF('1.2 OmniTot'!GS$150=0,0,SUM('1.2 OmniTot'!GS133:GS134)/'1.2 OmniTot'!GS$150)</f>
        <v>0</v>
      </c>
      <c r="P196" s="2213">
        <f>IF('1.2 OmniTot'!GT$150=0,0,SUM('1.2 OmniTot'!GT133:GT134)/'1.2 OmniTot'!GT$150)</f>
        <v>0</v>
      </c>
      <c r="Q196" s="2213">
        <f>IF('1.2 OmniTot'!GU$150=0,0,SUM('1.2 OmniTot'!GU133:GU134)/'1.2 OmniTot'!GU$150)</f>
        <v>0</v>
      </c>
      <c r="R196" s="2213">
        <f>IF('1.2 OmniTot'!GV$150=0,0,SUM('1.2 OmniTot'!GV133:GV134)/'1.2 OmniTot'!GV$150)</f>
        <v>0</v>
      </c>
      <c r="S196" s="2213">
        <f>IF('1.2 OmniTot'!GW$150=0,0,SUM('1.2 OmniTot'!GW133:GW134)/'1.2 OmniTot'!GW$150)</f>
        <v>0.1</v>
      </c>
      <c r="T196" s="2213">
        <f>IF('1.2 OmniTot'!GX$150=0,0,SUM('1.2 OmniTot'!GX133:GX134)/'1.2 OmniTot'!GX$150)</f>
        <v>0</v>
      </c>
      <c r="U196" s="2213">
        <f>IF('1.2 OmniTot'!GY$150=0,0,SUM('1.2 OmniTot'!GY133:GY134)/'1.2 OmniTot'!GY$150)</f>
        <v>0</v>
      </c>
      <c r="V196" s="2213">
        <f>IF('1.2 OmniTot'!GZ$150=0,0,SUM('1.2 OmniTot'!GZ133:GZ134)/'1.2 OmniTot'!GZ$150)</f>
        <v>4.9866666666666672</v>
      </c>
      <c r="W196" s="2213"/>
    </row>
    <row r="197" spans="5:23">
      <c r="E197" s="319" t="s">
        <v>2465</v>
      </c>
      <c r="F197" s="300"/>
      <c r="G197" s="2237">
        <f>INDEX($I197:$V197,$H$148)</f>
        <v>0</v>
      </c>
      <c r="H197" s="320"/>
      <c r="I197" s="1429"/>
      <c r="J197" s="1429"/>
      <c r="K197" s="1064"/>
      <c r="L197" s="1064"/>
      <c r="M197" s="1064"/>
      <c r="N197" s="1064"/>
      <c r="O197" s="1064"/>
      <c r="P197" s="1064"/>
      <c r="Q197" s="1064"/>
      <c r="R197" s="1064"/>
      <c r="S197" s="1064"/>
      <c r="T197" s="1064"/>
      <c r="U197" s="1064"/>
      <c r="V197" s="1064"/>
    </row>
  </sheetData>
  <phoneticPr fontId="32" type="noConversion"/>
  <pageMargins left="0.75" right="0.75" top="1" bottom="1" header="0.5" footer="0.5"/>
  <pageSetup orientation="portrait" horizontalDpi="300" verticalDpi="300"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sheetPr codeName="Sheet30" enableFormatConditionsCalculation="0">
    <tabColor indexed="48"/>
    <pageSetUpPr fitToPage="1"/>
  </sheetPr>
  <dimension ref="A1:P268"/>
  <sheetViews>
    <sheetView showGridLines="0" zoomScale="90" workbookViewId="0">
      <pane xSplit="1" ySplit="6" topLeftCell="B7" activePane="bottomRight" state="frozen"/>
      <selection pane="topRight"/>
      <selection pane="bottomLeft"/>
      <selection pane="bottomRight" activeCell="B7" sqref="B7"/>
    </sheetView>
  </sheetViews>
  <sheetFormatPr defaultRowHeight="11.25"/>
  <cols>
    <col min="1" max="1" width="11.7109375" style="2641" customWidth="1"/>
    <col min="2" max="16" width="10.7109375" style="1291" customWidth="1"/>
    <col min="17" max="16384" width="9.140625" style="1291"/>
  </cols>
  <sheetData>
    <row r="1" spans="1:16" s="1293" customFormat="1">
      <c r="A1" s="1298"/>
      <c r="B1" s="1298" t="s">
        <v>146</v>
      </c>
      <c r="C1" s="1298" t="s">
        <v>3632</v>
      </c>
      <c r="D1" s="1298" t="s">
        <v>897</v>
      </c>
      <c r="E1" s="1298" t="s">
        <v>900</v>
      </c>
      <c r="F1" s="1298" t="s">
        <v>898</v>
      </c>
      <c r="G1" s="1298" t="s">
        <v>901</v>
      </c>
      <c r="H1" s="1294"/>
      <c r="I1" s="1294"/>
      <c r="J1" s="1294"/>
      <c r="K1" s="1294"/>
      <c r="L1" s="1294"/>
      <c r="M1" s="1294"/>
      <c r="N1" s="1294"/>
      <c r="O1" s="1294"/>
    </row>
    <row r="2" spans="1:16" s="1293" customFormat="1">
      <c r="A2" s="1294"/>
      <c r="B2" s="1294"/>
      <c r="C2" s="1294"/>
      <c r="D2" s="1294"/>
      <c r="E2" s="1294"/>
      <c r="F2" s="1294"/>
      <c r="G2" s="1294"/>
      <c r="H2" s="1294"/>
      <c r="I2" s="1294"/>
      <c r="J2" s="1294"/>
      <c r="K2" s="1294"/>
      <c r="L2" s="1294"/>
      <c r="M2" s="1294"/>
      <c r="N2" s="1294"/>
      <c r="O2" s="1294"/>
    </row>
    <row r="3" spans="1:16" s="1293" customFormat="1">
      <c r="A3" s="1294"/>
      <c r="B3" s="1299" t="str">
        <f>'1.1 Parents'!$K$17</f>
        <v>LOC_00494</v>
      </c>
      <c r="C3" s="1299" t="str">
        <f>'1.1 Parents'!$K$18</f>
        <v>LOC_01828</v>
      </c>
      <c r="D3" s="1299" t="str">
        <f>'1.1 Parents'!$K$19</f>
        <v/>
      </c>
      <c r="E3" s="1299" t="str">
        <f>'1.1 Parents'!$K$20</f>
        <v/>
      </c>
      <c r="F3" s="1299" t="str">
        <f>'1.1 Parents'!$K$21</f>
        <v/>
      </c>
      <c r="G3" s="1299" t="str">
        <f>'1.1 Parents'!$K$22</f>
        <v/>
      </c>
      <c r="H3" s="1299" t="str">
        <f>'1.1 Parents'!$K$23</f>
        <v/>
      </c>
      <c r="I3" s="1299" t="str">
        <f>'1.1 Parents'!$K$24</f>
        <v/>
      </c>
      <c r="J3" s="1295" t="str">
        <f>'1.1 Parents'!$K$25</f>
        <v/>
      </c>
      <c r="K3" s="1299" t="str">
        <f>'1.1 Parents'!$K$26</f>
        <v/>
      </c>
      <c r="L3" s="1299" t="str">
        <f>'1.1 Parents'!$K$30</f>
        <v>LOC_05951</v>
      </c>
      <c r="M3" s="1299" t="str">
        <f>'1.1 Parents'!$K$31</f>
        <v/>
      </c>
      <c r="N3" s="1295" t="str">
        <f>'1.1 Parents'!$K$32</f>
        <v/>
      </c>
      <c r="O3" s="1295" t="str">
        <f>'1.1 Parents'!$K$33</f>
        <v/>
      </c>
      <c r="P3" s="1293" t="str">
        <f>'1.1 Parents'!$K$34</f>
        <v/>
      </c>
    </row>
    <row r="4" spans="1:16" s="1293" customFormat="1">
      <c r="A4" s="1294"/>
      <c r="B4" s="1299" t="s">
        <v>899</v>
      </c>
      <c r="C4" s="1299" t="str">
        <f t="shared" ref="C4:P4" si="0">IF(C3="","","Actual")</f>
        <v>Actual</v>
      </c>
      <c r="D4" s="1299" t="str">
        <f t="shared" si="0"/>
        <v/>
      </c>
      <c r="E4" s="1299" t="str">
        <f t="shared" si="0"/>
        <v/>
      </c>
      <c r="F4" s="1299" t="str">
        <f t="shared" si="0"/>
        <v/>
      </c>
      <c r="G4" s="1299" t="str">
        <f t="shared" si="0"/>
        <v/>
      </c>
      <c r="H4" s="1299" t="str">
        <f t="shared" si="0"/>
        <v/>
      </c>
      <c r="I4" s="1299" t="str">
        <f t="shared" si="0"/>
        <v/>
      </c>
      <c r="J4" s="1299" t="str">
        <f t="shared" si="0"/>
        <v/>
      </c>
      <c r="K4" s="1299" t="str">
        <f t="shared" si="0"/>
        <v/>
      </c>
      <c r="L4" s="1299" t="str">
        <f t="shared" si="0"/>
        <v>Actual</v>
      </c>
      <c r="M4" s="1299" t="str">
        <f t="shared" si="0"/>
        <v/>
      </c>
      <c r="N4" s="1299" t="str">
        <f t="shared" si="0"/>
        <v/>
      </c>
      <c r="O4" s="1299" t="str">
        <f t="shared" si="0"/>
        <v/>
      </c>
      <c r="P4" s="1293" t="str">
        <f t="shared" si="0"/>
        <v/>
      </c>
    </row>
    <row r="5" spans="1:16" s="1293" customFormat="1">
      <c r="A5" s="1294"/>
      <c r="B5" s="1299" t="str">
        <f>"FY"&amp;RIGHT('1.1 Parents'!$E$12,2)</f>
        <v>FY13</v>
      </c>
      <c r="C5" s="1299" t="str">
        <f>IF(C3="","","FY"&amp;RIGHT('1.1 Parents'!$E$12,2))</f>
        <v>FY13</v>
      </c>
      <c r="D5" s="1299" t="str">
        <f>IF(D3="","","FY"&amp;RIGHT('1.1 Parents'!$E$12,2))</f>
        <v/>
      </c>
      <c r="E5" s="1299" t="str">
        <f>IF(E3="","","FY"&amp;RIGHT('1.1 Parents'!$E$12,2))</f>
        <v/>
      </c>
      <c r="F5" s="1299" t="str">
        <f>IF(F3="","","FY"&amp;RIGHT('1.1 Parents'!$E$12,2))</f>
        <v/>
      </c>
      <c r="G5" s="1299" t="str">
        <f>IF(G3="","","FY"&amp;RIGHT('1.1 Parents'!$E$12,2))</f>
        <v/>
      </c>
      <c r="H5" s="1299" t="str">
        <f>IF(H3="","","FY"&amp;RIGHT('1.1 Parents'!$E$12,2))</f>
        <v/>
      </c>
      <c r="I5" s="1299" t="str">
        <f>IF(I3="","","FY"&amp;RIGHT('1.1 Parents'!$E$12,2))</f>
        <v/>
      </c>
      <c r="J5" s="1299" t="str">
        <f>IF(J3="","","FY"&amp;RIGHT('1.1 Parents'!$E$12,2))</f>
        <v/>
      </c>
      <c r="K5" s="1299" t="str">
        <f>IF(K3="","","FY"&amp;RIGHT('1.1 Parents'!$E$12,2))</f>
        <v/>
      </c>
      <c r="L5" s="1299" t="str">
        <f>IF(L3="","","FY"&amp;RIGHT('1.1 Parents'!$E$12,2))</f>
        <v>FY13</v>
      </c>
      <c r="M5" s="1299" t="str">
        <f>IF(M3="","","FY"&amp;RIGHT('1.1 Parents'!$E$12,2))</f>
        <v/>
      </c>
      <c r="N5" s="1299" t="str">
        <f>IF(N3="","","FY"&amp;RIGHT('1.1 Parents'!$E$12,2))</f>
        <v/>
      </c>
      <c r="O5" s="1299" t="str">
        <f>IF(O3="","","FY"&amp;RIGHT('1.1 Parents'!$E$12,2))</f>
        <v/>
      </c>
      <c r="P5" s="1293" t="str">
        <f>IF(P3="","","FY"&amp;RIGHT('1.1 Parents'!$E$12,2))</f>
        <v/>
      </c>
    </row>
    <row r="6" spans="1:16" s="1293" customFormat="1">
      <c r="A6" s="1294"/>
      <c r="B6" s="1299" t="str">
        <f>'1.1 Parents'!$E$11</f>
        <v>Nov</v>
      </c>
      <c r="C6" s="1299" t="str">
        <f>IF(C3="","",'1.1 Parents'!$E$11)</f>
        <v>Nov</v>
      </c>
      <c r="D6" s="1299" t="str">
        <f>IF(D3="","",'1.1 Parents'!$E$11)</f>
        <v/>
      </c>
      <c r="E6" s="1299" t="str">
        <f>IF(E3="","",'1.1 Parents'!$E$11)</f>
        <v/>
      </c>
      <c r="F6" s="1299" t="str">
        <f>IF(F3="","",'1.1 Parents'!$E$11)</f>
        <v/>
      </c>
      <c r="G6" s="1299" t="str">
        <f>IF(G3="","",'1.1 Parents'!$E$11)</f>
        <v/>
      </c>
      <c r="H6" s="1299" t="str">
        <f>IF(H3="","",'1.1 Parents'!$E$11)</f>
        <v/>
      </c>
      <c r="I6" s="1299" t="str">
        <f>IF(I3="","",'1.1 Parents'!$E$11)</f>
        <v/>
      </c>
      <c r="J6" s="1299" t="str">
        <f>IF(J3="","",'1.1 Parents'!$E$11)</f>
        <v/>
      </c>
      <c r="K6" s="1299" t="str">
        <f>IF(K3="","",'1.1 Parents'!$E$11)</f>
        <v/>
      </c>
      <c r="L6" s="1299" t="str">
        <f>IF(L3="","",'1.1 Parents'!$E$11)</f>
        <v>Nov</v>
      </c>
      <c r="M6" s="1299" t="str">
        <f>IF(M3="","",'1.1 Parents'!$E$11)</f>
        <v/>
      </c>
      <c r="N6" s="1299" t="str">
        <f>IF(N3="","",'1.1 Parents'!$E$11)</f>
        <v/>
      </c>
      <c r="O6" s="1299" t="str">
        <f>IF(O3="","",'1.1 Parents'!$E$11)</f>
        <v/>
      </c>
      <c r="P6" s="1293" t="str">
        <f>IF(P3="","",'1.1 Parents'!$E$11)</f>
        <v/>
      </c>
    </row>
    <row r="7" spans="1:16" s="1293" customFormat="1">
      <c r="A7" s="1294"/>
      <c r="B7" s="1295"/>
      <c r="C7" s="1295"/>
      <c r="D7" s="1295"/>
      <c r="E7" s="1295"/>
      <c r="F7" s="1295"/>
      <c r="G7" s="1295"/>
      <c r="H7" s="1295"/>
      <c r="I7" s="1295"/>
      <c r="J7" s="1295"/>
      <c r="K7" s="1295"/>
      <c r="L7" s="1295"/>
      <c r="M7" s="1295"/>
      <c r="N7" s="1295"/>
      <c r="O7" s="1295"/>
    </row>
    <row r="8" spans="1:16">
      <c r="A8" s="1300" t="s">
        <v>1404</v>
      </c>
      <c r="B8" s="1301">
        <v>-8535.08</v>
      </c>
      <c r="C8" s="1301" t="s">
        <v>2154</v>
      </c>
      <c r="D8" s="1301"/>
      <c r="E8" s="1301"/>
      <c r="F8" s="1297"/>
      <c r="G8" s="1297"/>
      <c r="H8" s="1297"/>
      <c r="I8" s="1297"/>
      <c r="J8" s="1297"/>
      <c r="K8" s="1301"/>
      <c r="L8" s="1301" t="s">
        <v>2154</v>
      </c>
      <c r="M8" s="1301"/>
      <c r="N8" s="1297"/>
      <c r="O8" s="1297"/>
    </row>
    <row r="9" spans="1:16">
      <c r="A9" s="1296"/>
      <c r="B9" s="1297"/>
      <c r="C9" s="1297"/>
      <c r="D9" s="1297"/>
      <c r="E9" s="1297"/>
      <c r="F9" s="1297"/>
      <c r="G9" s="1297"/>
      <c r="H9" s="1297"/>
      <c r="I9" s="1297"/>
      <c r="J9" s="1297"/>
      <c r="K9" s="1297"/>
      <c r="L9" s="1297"/>
      <c r="M9" s="1297"/>
      <c r="N9" s="1297"/>
      <c r="O9" s="1297"/>
    </row>
    <row r="10" spans="1:16">
      <c r="A10" s="1296"/>
      <c r="B10" s="1297"/>
      <c r="C10" s="1297"/>
      <c r="D10" s="1297"/>
      <c r="E10" s="1297"/>
      <c r="F10" s="1297"/>
      <c r="G10" s="1297"/>
      <c r="H10" s="1297"/>
      <c r="I10" s="1297"/>
      <c r="J10" s="1297"/>
      <c r="K10" s="1297"/>
      <c r="L10" s="1297"/>
      <c r="M10" s="1297"/>
      <c r="N10" s="1297"/>
      <c r="O10" s="1297"/>
    </row>
    <row r="11" spans="1:16">
      <c r="A11" s="1300" t="s">
        <v>566</v>
      </c>
      <c r="B11" s="1297">
        <v>280133.48</v>
      </c>
      <c r="C11" s="1297">
        <v>253361.11</v>
      </c>
      <c r="D11" s="1297"/>
      <c r="E11" s="1297"/>
      <c r="F11" s="1297"/>
      <c r="G11" s="1297"/>
      <c r="H11" s="1297"/>
      <c r="I11" s="1297"/>
      <c r="J11" s="1297"/>
      <c r="K11" s="1301"/>
      <c r="L11" s="1297">
        <v>39340.18</v>
      </c>
      <c r="M11" s="1297"/>
      <c r="N11" s="1297"/>
      <c r="O11" s="1297"/>
    </row>
    <row r="12" spans="1:16">
      <c r="A12" s="1300" t="s">
        <v>2229</v>
      </c>
      <c r="B12" s="1297">
        <v>-9396.6099999999988</v>
      </c>
      <c r="C12" s="1297">
        <v>-24594.339999999997</v>
      </c>
      <c r="D12" s="1297"/>
      <c r="E12" s="1297"/>
      <c r="F12" s="1297"/>
      <c r="G12" s="1297"/>
      <c r="H12" s="1297"/>
      <c r="I12" s="1297"/>
      <c r="J12" s="1297"/>
      <c r="K12" s="1301"/>
      <c r="L12" s="1297">
        <v>-2220.23</v>
      </c>
      <c r="M12" s="1297"/>
      <c r="N12" s="1297"/>
      <c r="O12" s="1297"/>
    </row>
    <row r="13" spans="1:16">
      <c r="A13" s="1300" t="s">
        <v>2230</v>
      </c>
      <c r="B13" s="1301" t="s">
        <v>2154</v>
      </c>
      <c r="C13" s="1301" t="s">
        <v>2154</v>
      </c>
      <c r="D13" s="1301"/>
      <c r="E13" s="1301"/>
      <c r="F13" s="1301"/>
      <c r="G13" s="1301"/>
      <c r="H13" s="1301"/>
      <c r="I13" s="1301"/>
      <c r="J13" s="1301"/>
      <c r="K13" s="1301"/>
      <c r="L13" s="1301" t="s">
        <v>2154</v>
      </c>
      <c r="M13" s="1301"/>
      <c r="N13" s="1301"/>
      <c r="O13" s="1301"/>
    </row>
    <row r="14" spans="1:16">
      <c r="A14" s="1300" t="s">
        <v>2231</v>
      </c>
      <c r="B14" s="1301" t="s">
        <v>2154</v>
      </c>
      <c r="C14" s="1301" t="s">
        <v>2154</v>
      </c>
      <c r="D14" s="1301"/>
      <c r="E14" s="1301"/>
      <c r="F14" s="1301"/>
      <c r="G14" s="1301"/>
      <c r="H14" s="1301"/>
      <c r="I14" s="1301"/>
      <c r="J14" s="1301"/>
      <c r="K14" s="1301"/>
      <c r="L14" s="1301">
        <v>-2501.2199999999998</v>
      </c>
      <c r="M14" s="1301"/>
      <c r="N14" s="1301"/>
      <c r="O14" s="1301"/>
    </row>
    <row r="15" spans="1:16">
      <c r="A15" s="1300" t="s">
        <v>2232</v>
      </c>
      <c r="B15" s="1301" t="s">
        <v>2154</v>
      </c>
      <c r="C15" s="1301" t="s">
        <v>2154</v>
      </c>
      <c r="D15" s="1301"/>
      <c r="E15" s="1301"/>
      <c r="F15" s="1301"/>
      <c r="G15" s="1301"/>
      <c r="H15" s="1301"/>
      <c r="I15" s="1301"/>
      <c r="J15" s="1301"/>
      <c r="K15" s="1301"/>
      <c r="L15" s="1301" t="s">
        <v>2154</v>
      </c>
      <c r="M15" s="1301"/>
      <c r="N15" s="1301"/>
      <c r="O15" s="1301"/>
    </row>
    <row r="16" spans="1:16">
      <c r="A16" s="1300" t="s">
        <v>2233</v>
      </c>
      <c r="B16" s="1301" t="s">
        <v>2154</v>
      </c>
      <c r="C16" s="1301" t="s">
        <v>2154</v>
      </c>
      <c r="D16" s="1301"/>
      <c r="E16" s="1301"/>
      <c r="F16" s="1301"/>
      <c r="G16" s="1301"/>
      <c r="H16" s="1301"/>
      <c r="I16" s="1301"/>
      <c r="J16" s="1301"/>
      <c r="K16" s="1301"/>
      <c r="L16" s="1301" t="s">
        <v>2154</v>
      </c>
      <c r="M16" s="1301"/>
      <c r="N16" s="1301"/>
      <c r="O16" s="1301"/>
    </row>
    <row r="17" spans="1:16">
      <c r="A17" s="1300" t="s">
        <v>2234</v>
      </c>
      <c r="B17" s="1297">
        <v>-54099.929999999993</v>
      </c>
      <c r="C17" s="1297">
        <v>-38914.6</v>
      </c>
      <c r="D17" s="1297"/>
      <c r="E17" s="1297"/>
      <c r="F17" s="1297"/>
      <c r="G17" s="1297"/>
      <c r="H17" s="1297"/>
      <c r="I17" s="1297"/>
      <c r="J17" s="1297"/>
      <c r="K17" s="1301"/>
      <c r="L17" s="1297">
        <v>-11859.31</v>
      </c>
      <c r="M17" s="1297"/>
      <c r="N17" s="1297"/>
      <c r="O17" s="1297"/>
    </row>
    <row r="18" spans="1:16">
      <c r="A18" s="1300" t="s">
        <v>2235</v>
      </c>
      <c r="B18" s="1301" t="s">
        <v>2154</v>
      </c>
      <c r="C18" s="1301" t="s">
        <v>2154</v>
      </c>
      <c r="D18" s="1301"/>
      <c r="E18" s="1301"/>
      <c r="F18" s="1301"/>
      <c r="G18" s="1301"/>
      <c r="H18" s="1301"/>
      <c r="I18" s="1301"/>
      <c r="J18" s="1301"/>
      <c r="K18" s="1301"/>
      <c r="L18" s="1301" t="s">
        <v>2154</v>
      </c>
      <c r="M18" s="1301"/>
      <c r="N18" s="1301"/>
      <c r="O18" s="1301"/>
    </row>
    <row r="19" spans="1:16">
      <c r="A19" s="1300" t="s">
        <v>2236</v>
      </c>
      <c r="B19" s="1301" t="s">
        <v>2154</v>
      </c>
      <c r="C19" s="1301" t="s">
        <v>2154</v>
      </c>
      <c r="D19" s="1301"/>
      <c r="E19" s="1301"/>
      <c r="F19" s="1301"/>
      <c r="G19" s="1301"/>
      <c r="H19" s="1301"/>
      <c r="I19" s="1301"/>
      <c r="J19" s="1301"/>
      <c r="K19" s="1301"/>
      <c r="L19" s="1301" t="s">
        <v>2154</v>
      </c>
      <c r="M19" s="1301"/>
      <c r="N19" s="1301"/>
      <c r="O19" s="1301"/>
    </row>
    <row r="20" spans="1:16">
      <c r="A20" s="1300" t="s">
        <v>2237</v>
      </c>
      <c r="B20" s="1301" t="s">
        <v>2154</v>
      </c>
      <c r="C20" s="1301" t="s">
        <v>2154</v>
      </c>
      <c r="D20" s="1301"/>
      <c r="E20" s="1301"/>
      <c r="F20" s="1301"/>
      <c r="G20" s="1301"/>
      <c r="H20" s="1301"/>
      <c r="I20" s="1301"/>
      <c r="J20" s="1301"/>
      <c r="K20" s="1301"/>
      <c r="L20" s="1301" t="s">
        <v>2154</v>
      </c>
      <c r="M20" s="1301"/>
      <c r="N20" s="1301"/>
      <c r="O20" s="1301"/>
    </row>
    <row r="21" spans="1:16">
      <c r="A21" s="1300" t="s">
        <v>2238</v>
      </c>
      <c r="B21" s="1301" t="s">
        <v>2154</v>
      </c>
      <c r="C21" s="1301" t="s">
        <v>2154</v>
      </c>
      <c r="D21" s="1301"/>
      <c r="E21" s="1301"/>
      <c r="F21" s="1301"/>
      <c r="G21" s="1301"/>
      <c r="H21" s="1301"/>
      <c r="I21" s="1301"/>
      <c r="J21" s="1301"/>
      <c r="K21" s="1301"/>
      <c r="L21" s="1301" t="s">
        <v>2154</v>
      </c>
      <c r="M21" s="1301"/>
      <c r="N21" s="1301"/>
      <c r="O21" s="1301"/>
    </row>
    <row r="22" spans="1:16">
      <c r="A22" s="1300" t="s">
        <v>2239</v>
      </c>
      <c r="B22" s="1301" t="s">
        <v>2154</v>
      </c>
      <c r="C22" s="1301" t="s">
        <v>2154</v>
      </c>
      <c r="D22" s="1301"/>
      <c r="E22" s="1301"/>
      <c r="F22" s="1297"/>
      <c r="G22" s="1297"/>
      <c r="H22" s="1301"/>
      <c r="I22" s="1301"/>
      <c r="J22" s="1297"/>
      <c r="K22" s="1301"/>
      <c r="L22" s="1301" t="s">
        <v>2154</v>
      </c>
      <c r="M22" s="1301"/>
      <c r="N22" s="1297"/>
      <c r="O22" s="1297"/>
    </row>
    <row r="23" spans="1:16">
      <c r="A23" s="1300" t="s">
        <v>2240</v>
      </c>
      <c r="B23" s="1301" t="s">
        <v>2154</v>
      </c>
      <c r="C23" s="1301" t="s">
        <v>2154</v>
      </c>
      <c r="D23" s="1301"/>
      <c r="E23" s="1301"/>
      <c r="F23" s="1301"/>
      <c r="G23" s="1301"/>
      <c r="H23" s="1301"/>
      <c r="I23" s="1301"/>
      <c r="J23" s="1301"/>
      <c r="K23" s="1301"/>
      <c r="L23" s="1301" t="s">
        <v>2154</v>
      </c>
      <c r="M23" s="1301"/>
      <c r="N23" s="1301"/>
      <c r="O23" s="1301"/>
    </row>
    <row r="24" spans="1:16">
      <c r="A24" s="1300" t="s">
        <v>2241</v>
      </c>
      <c r="B24" s="1301" t="s">
        <v>2154</v>
      </c>
      <c r="C24" s="1301" t="s">
        <v>2154</v>
      </c>
      <c r="D24" s="1301"/>
      <c r="E24" s="1301"/>
      <c r="F24" s="1301"/>
      <c r="G24" s="1301"/>
      <c r="H24" s="1301"/>
      <c r="I24" s="1301"/>
      <c r="J24" s="1301"/>
      <c r="K24" s="1301"/>
      <c r="L24" s="1301" t="s">
        <v>2154</v>
      </c>
      <c r="M24" s="1301"/>
      <c r="N24" s="1301"/>
      <c r="O24" s="1301"/>
    </row>
    <row r="25" spans="1:16">
      <c r="A25" s="1296"/>
      <c r="B25" s="1297">
        <f t="shared" ref="B25:P25" si="1">SUM(B11:B24)</f>
        <v>216636.94</v>
      </c>
      <c r="C25" s="1297">
        <f t="shared" si="1"/>
        <v>189852.16999999998</v>
      </c>
      <c r="D25" s="1297">
        <f t="shared" si="1"/>
        <v>0</v>
      </c>
      <c r="E25" s="1297">
        <f t="shared" si="1"/>
        <v>0</v>
      </c>
      <c r="F25" s="1297">
        <f t="shared" si="1"/>
        <v>0</v>
      </c>
      <c r="G25" s="1297">
        <f t="shared" si="1"/>
        <v>0</v>
      </c>
      <c r="H25" s="1297">
        <f t="shared" si="1"/>
        <v>0</v>
      </c>
      <c r="I25" s="1297">
        <f t="shared" si="1"/>
        <v>0</v>
      </c>
      <c r="J25" s="1297">
        <f t="shared" si="1"/>
        <v>0</v>
      </c>
      <c r="K25" s="1297">
        <f t="shared" si="1"/>
        <v>0</v>
      </c>
      <c r="L25" s="1297">
        <f t="shared" si="1"/>
        <v>22759.42</v>
      </c>
      <c r="M25" s="1297">
        <f t="shared" si="1"/>
        <v>0</v>
      </c>
      <c r="N25" s="1297">
        <f t="shared" si="1"/>
        <v>0</v>
      </c>
      <c r="O25" s="1297">
        <f t="shared" si="1"/>
        <v>0</v>
      </c>
      <c r="P25" s="1291">
        <f t="shared" si="1"/>
        <v>0</v>
      </c>
    </row>
    <row r="26" spans="1:16">
      <c r="A26" s="1296"/>
      <c r="B26" s="1297"/>
      <c r="C26" s="1297"/>
      <c r="D26" s="1297"/>
      <c r="E26" s="1297"/>
      <c r="F26" s="1297"/>
      <c r="G26" s="1297"/>
      <c r="H26" s="1297"/>
      <c r="I26" s="1297"/>
      <c r="J26" s="1297"/>
      <c r="K26" s="1297"/>
      <c r="L26" s="1297"/>
      <c r="M26" s="1297"/>
      <c r="N26" s="1297"/>
      <c r="O26" s="1297"/>
    </row>
    <row r="27" spans="1:16">
      <c r="A27" s="1300" t="s">
        <v>2242</v>
      </c>
      <c r="B27" s="1297">
        <v>14519.77</v>
      </c>
      <c r="C27" s="1297">
        <v>4836.91</v>
      </c>
      <c r="D27" s="1297"/>
      <c r="E27" s="1297"/>
      <c r="F27" s="1297"/>
      <c r="G27" s="1297"/>
      <c r="H27" s="1297"/>
      <c r="I27" s="1297"/>
      <c r="J27" s="1297"/>
      <c r="K27" s="1301"/>
      <c r="L27" s="1301">
        <v>1180.3500000000001</v>
      </c>
      <c r="M27" s="1297"/>
      <c r="N27" s="1297"/>
      <c r="O27" s="1297"/>
    </row>
    <row r="28" spans="1:16">
      <c r="A28" s="1296"/>
      <c r="B28" s="1297"/>
      <c r="C28" s="1297"/>
      <c r="D28" s="1297"/>
      <c r="E28" s="1297"/>
      <c r="F28" s="1297"/>
      <c r="G28" s="1297"/>
      <c r="H28" s="1297"/>
      <c r="I28" s="1297"/>
      <c r="J28" s="1297"/>
      <c r="K28" s="1297"/>
      <c r="L28" s="1297"/>
      <c r="M28" s="1297"/>
      <c r="N28" s="1297"/>
      <c r="O28" s="1297"/>
    </row>
    <row r="29" spans="1:16">
      <c r="A29" s="1300" t="s">
        <v>2243</v>
      </c>
      <c r="B29" s="1297">
        <v>16082.61</v>
      </c>
      <c r="C29" s="1301" t="s">
        <v>2154</v>
      </c>
      <c r="D29" s="1297"/>
      <c r="E29" s="1297"/>
      <c r="F29" s="1297"/>
      <c r="G29" s="1301"/>
      <c r="H29" s="1297"/>
      <c r="I29" s="1297"/>
      <c r="J29" s="1297"/>
      <c r="K29" s="1301"/>
      <c r="L29" s="1301" t="s">
        <v>2154</v>
      </c>
      <c r="M29" s="1301"/>
      <c r="N29" s="1297"/>
      <c r="O29" s="1297"/>
    </row>
    <row r="30" spans="1:16">
      <c r="A30" s="1300" t="s">
        <v>2244</v>
      </c>
      <c r="B30" s="1301" t="s">
        <v>2154</v>
      </c>
      <c r="C30" s="1301" t="s">
        <v>2154</v>
      </c>
      <c r="D30" s="1301"/>
      <c r="E30" s="1301"/>
      <c r="F30" s="1301"/>
      <c r="G30" s="1301"/>
      <c r="H30" s="1301"/>
      <c r="I30" s="1301"/>
      <c r="J30" s="1301"/>
      <c r="K30" s="1301"/>
      <c r="L30" s="1301" t="s">
        <v>2154</v>
      </c>
      <c r="M30" s="1301"/>
      <c r="N30" s="1301"/>
      <c r="O30" s="1301"/>
    </row>
    <row r="31" spans="1:16">
      <c r="A31" s="1300" t="s">
        <v>2245</v>
      </c>
      <c r="B31" s="1301" t="s">
        <v>2154</v>
      </c>
      <c r="C31" s="1301" t="s">
        <v>2154</v>
      </c>
      <c r="D31" s="1301"/>
      <c r="E31" s="1301"/>
      <c r="F31" s="1301"/>
      <c r="G31" s="1301"/>
      <c r="H31" s="1301"/>
      <c r="I31" s="1301"/>
      <c r="J31" s="1301"/>
      <c r="K31" s="1301"/>
      <c r="L31" s="1301" t="s">
        <v>2154</v>
      </c>
      <c r="M31" s="1301"/>
      <c r="N31" s="1301"/>
      <c r="O31" s="1301"/>
    </row>
    <row r="32" spans="1:16">
      <c r="A32" s="1300" t="s">
        <v>2246</v>
      </c>
      <c r="B32" s="1301" t="s">
        <v>2154</v>
      </c>
      <c r="C32" s="1301" t="s">
        <v>2154</v>
      </c>
      <c r="D32" s="1301"/>
      <c r="E32" s="1301"/>
      <c r="F32" s="1301"/>
      <c r="G32" s="1301"/>
      <c r="H32" s="1301"/>
      <c r="I32" s="1301"/>
      <c r="J32" s="1301"/>
      <c r="K32" s="1301"/>
      <c r="L32" s="1301" t="s">
        <v>2154</v>
      </c>
      <c r="M32" s="1301"/>
      <c r="N32" s="1301"/>
      <c r="O32" s="1301"/>
    </row>
    <row r="33" spans="1:15">
      <c r="A33" s="1300" t="s">
        <v>801</v>
      </c>
      <c r="B33" s="1301" t="s">
        <v>2154</v>
      </c>
      <c r="C33" s="1301" t="s">
        <v>2154</v>
      </c>
      <c r="D33" s="1301"/>
      <c r="E33" s="1301"/>
      <c r="F33" s="1301"/>
      <c r="G33" s="1301"/>
      <c r="H33" s="1301"/>
      <c r="I33" s="1301"/>
      <c r="J33" s="1301"/>
      <c r="K33" s="1301"/>
      <c r="L33" s="1301" t="s">
        <v>2154</v>
      </c>
      <c r="M33" s="1301"/>
      <c r="N33" s="1301"/>
      <c r="O33" s="1301"/>
    </row>
    <row r="34" spans="1:15">
      <c r="A34" s="1300" t="s">
        <v>802</v>
      </c>
      <c r="B34" s="1301" t="s">
        <v>2154</v>
      </c>
      <c r="C34" s="1301" t="s">
        <v>2154</v>
      </c>
      <c r="D34" s="1301"/>
      <c r="E34" s="1301"/>
      <c r="F34" s="1301"/>
      <c r="G34" s="1301"/>
      <c r="H34" s="1301"/>
      <c r="I34" s="1301"/>
      <c r="J34" s="1301"/>
      <c r="K34" s="1301"/>
      <c r="L34" s="1301" t="s">
        <v>2154</v>
      </c>
      <c r="M34" s="1301"/>
      <c r="N34" s="1301"/>
      <c r="O34" s="1301"/>
    </row>
    <row r="35" spans="1:15">
      <c r="A35" s="1300" t="s">
        <v>803</v>
      </c>
      <c r="B35" s="1301" t="s">
        <v>2154</v>
      </c>
      <c r="C35" s="1301" t="s">
        <v>2154</v>
      </c>
      <c r="D35" s="1301"/>
      <c r="E35" s="1301"/>
      <c r="F35" s="1301"/>
      <c r="G35" s="1301"/>
      <c r="H35" s="1301"/>
      <c r="I35" s="1301"/>
      <c r="J35" s="1301"/>
      <c r="K35" s="1301"/>
      <c r="L35" s="1301" t="s">
        <v>2154</v>
      </c>
      <c r="M35" s="1301"/>
      <c r="N35" s="1301"/>
      <c r="O35" s="1301"/>
    </row>
    <row r="36" spans="1:15">
      <c r="A36" s="1300" t="s">
        <v>804</v>
      </c>
      <c r="B36" s="1301" t="s">
        <v>2154</v>
      </c>
      <c r="C36" s="1301" t="s">
        <v>2154</v>
      </c>
      <c r="D36" s="1301"/>
      <c r="E36" s="1301"/>
      <c r="F36" s="1301"/>
      <c r="G36" s="1301"/>
      <c r="H36" s="1301"/>
      <c r="I36" s="1301"/>
      <c r="J36" s="1301"/>
      <c r="K36" s="1301"/>
      <c r="L36" s="1301" t="s">
        <v>2154</v>
      </c>
      <c r="M36" s="1301"/>
      <c r="N36" s="1301"/>
      <c r="O36" s="1301"/>
    </row>
    <row r="37" spans="1:15">
      <c r="A37" s="1300" t="s">
        <v>805</v>
      </c>
      <c r="B37" s="1301" t="s">
        <v>2154</v>
      </c>
      <c r="C37" s="1301" t="s">
        <v>2154</v>
      </c>
      <c r="D37" s="1301"/>
      <c r="E37" s="1301"/>
      <c r="F37" s="1301"/>
      <c r="G37" s="1301"/>
      <c r="H37" s="1301"/>
      <c r="I37" s="1301"/>
      <c r="J37" s="1301"/>
      <c r="K37" s="1301"/>
      <c r="L37" s="1301" t="s">
        <v>2154</v>
      </c>
      <c r="M37" s="1301"/>
      <c r="N37" s="1301"/>
      <c r="O37" s="1301"/>
    </row>
    <row r="38" spans="1:15">
      <c r="A38" s="1300" t="s">
        <v>806</v>
      </c>
      <c r="B38" s="1301" t="s">
        <v>2154</v>
      </c>
      <c r="C38" s="1301" t="s">
        <v>2154</v>
      </c>
      <c r="D38" s="1301"/>
      <c r="E38" s="1301"/>
      <c r="F38" s="1301"/>
      <c r="G38" s="1301"/>
      <c r="H38" s="1301"/>
      <c r="I38" s="1301"/>
      <c r="J38" s="1301"/>
      <c r="K38" s="1301"/>
      <c r="L38" s="1301" t="s">
        <v>2154</v>
      </c>
      <c r="M38" s="1301"/>
      <c r="N38" s="1301"/>
      <c r="O38" s="1301"/>
    </row>
    <row r="39" spans="1:15">
      <c r="A39" s="1300" t="s">
        <v>807</v>
      </c>
      <c r="B39" s="1301" t="s">
        <v>2154</v>
      </c>
      <c r="C39" s="1301" t="s">
        <v>2154</v>
      </c>
      <c r="D39" s="1301"/>
      <c r="E39" s="1301"/>
      <c r="F39" s="1301"/>
      <c r="G39" s="1301"/>
      <c r="H39" s="1301"/>
      <c r="I39" s="1301"/>
      <c r="J39" s="1301"/>
      <c r="K39" s="1301"/>
      <c r="L39" s="1301" t="s">
        <v>2154</v>
      </c>
      <c r="M39" s="1301"/>
      <c r="N39" s="1301"/>
      <c r="O39" s="1301"/>
    </row>
    <row r="40" spans="1:15">
      <c r="A40" s="1300" t="s">
        <v>808</v>
      </c>
      <c r="B40" s="1301">
        <v>52.65</v>
      </c>
      <c r="C40" s="1301" t="s">
        <v>2154</v>
      </c>
      <c r="D40" s="1301"/>
      <c r="E40" s="1301"/>
      <c r="F40" s="1301"/>
      <c r="G40" s="1301"/>
      <c r="H40" s="1301"/>
      <c r="I40" s="1301"/>
      <c r="J40" s="1301"/>
      <c r="K40" s="1301"/>
      <c r="L40" s="1301" t="s">
        <v>2154</v>
      </c>
      <c r="M40" s="1301"/>
      <c r="N40" s="1301"/>
      <c r="O40" s="1301"/>
    </row>
    <row r="41" spans="1:15">
      <c r="A41" s="1300" t="s">
        <v>809</v>
      </c>
      <c r="B41" s="1301" t="s">
        <v>2154</v>
      </c>
      <c r="C41" s="1301" t="s">
        <v>2154</v>
      </c>
      <c r="D41" s="1301"/>
      <c r="E41" s="1301"/>
      <c r="F41" s="1301"/>
      <c r="G41" s="1301"/>
      <c r="H41" s="1301"/>
      <c r="I41" s="1301"/>
      <c r="J41" s="1301"/>
      <c r="K41" s="1301"/>
      <c r="L41" s="1301" t="s">
        <v>2154</v>
      </c>
      <c r="M41" s="1301"/>
      <c r="N41" s="1301"/>
      <c r="O41" s="1301"/>
    </row>
    <row r="42" spans="1:15">
      <c r="A42" s="1300" t="s">
        <v>810</v>
      </c>
      <c r="B42" s="1301" t="s">
        <v>2154</v>
      </c>
      <c r="C42" s="1301" t="s">
        <v>2154</v>
      </c>
      <c r="D42" s="1301"/>
      <c r="E42" s="1301"/>
      <c r="F42" s="1301"/>
      <c r="G42" s="1301"/>
      <c r="H42" s="1301"/>
      <c r="I42" s="1301"/>
      <c r="J42" s="1301"/>
      <c r="K42" s="1301"/>
      <c r="L42" s="1301" t="s">
        <v>2154</v>
      </c>
      <c r="M42" s="1301"/>
      <c r="N42" s="1301"/>
      <c r="O42" s="1301"/>
    </row>
    <row r="43" spans="1:15">
      <c r="A43" s="1300" t="s">
        <v>811</v>
      </c>
      <c r="B43" s="1301" t="s">
        <v>2154</v>
      </c>
      <c r="C43" s="1301" t="s">
        <v>2154</v>
      </c>
      <c r="D43" s="1301"/>
      <c r="E43" s="1301"/>
      <c r="F43" s="1301"/>
      <c r="G43" s="1301"/>
      <c r="H43" s="1301"/>
      <c r="I43" s="1301"/>
      <c r="J43" s="1301"/>
      <c r="K43" s="1301"/>
      <c r="L43" s="1301" t="s">
        <v>2154</v>
      </c>
      <c r="M43" s="1301"/>
      <c r="N43" s="1301"/>
      <c r="O43" s="1301"/>
    </row>
    <row r="44" spans="1:15">
      <c r="A44" s="1300" t="s">
        <v>3049</v>
      </c>
      <c r="B44" s="1301" t="s">
        <v>2154</v>
      </c>
      <c r="C44" s="1301" t="s">
        <v>2154</v>
      </c>
      <c r="D44" s="1301"/>
      <c r="E44" s="1301"/>
      <c r="F44" s="1301"/>
      <c r="G44" s="1301"/>
      <c r="H44" s="1301"/>
      <c r="I44" s="1301"/>
      <c r="J44" s="1301"/>
      <c r="K44" s="1301"/>
      <c r="L44" s="1301" t="s">
        <v>2154</v>
      </c>
      <c r="M44" s="1301"/>
      <c r="N44" s="1301"/>
      <c r="O44" s="1301"/>
    </row>
    <row r="45" spans="1:15">
      <c r="A45" s="1300" t="s">
        <v>3050</v>
      </c>
      <c r="B45" s="1301" t="s">
        <v>2154</v>
      </c>
      <c r="C45" s="1301" t="s">
        <v>2154</v>
      </c>
      <c r="D45" s="1301"/>
      <c r="E45" s="1301"/>
      <c r="F45" s="1301"/>
      <c r="G45" s="1301"/>
      <c r="H45" s="1301"/>
      <c r="I45" s="1301"/>
      <c r="J45" s="1301"/>
      <c r="K45" s="1301"/>
      <c r="L45" s="1301" t="s">
        <v>2154</v>
      </c>
      <c r="M45" s="1301"/>
      <c r="N45" s="1301"/>
      <c r="O45" s="1301"/>
    </row>
    <row r="46" spans="1:15">
      <c r="A46" s="1300" t="s">
        <v>3051</v>
      </c>
      <c r="B46" s="1301" t="s">
        <v>2154</v>
      </c>
      <c r="C46" s="1301" t="s">
        <v>2154</v>
      </c>
      <c r="D46" s="1301"/>
      <c r="E46" s="1301"/>
      <c r="F46" s="1301"/>
      <c r="G46" s="1301"/>
      <c r="H46" s="1301"/>
      <c r="I46" s="1301"/>
      <c r="J46" s="1301"/>
      <c r="K46" s="1301"/>
      <c r="L46" s="1301" t="s">
        <v>2154</v>
      </c>
      <c r="M46" s="1301"/>
      <c r="N46" s="1301"/>
      <c r="O46" s="1301"/>
    </row>
    <row r="47" spans="1:15">
      <c r="A47" s="1300" t="s">
        <v>3052</v>
      </c>
      <c r="B47" s="1301" t="s">
        <v>2154</v>
      </c>
      <c r="C47" s="1301" t="s">
        <v>2154</v>
      </c>
      <c r="D47" s="1301"/>
      <c r="E47" s="1301"/>
      <c r="F47" s="1301"/>
      <c r="G47" s="1301"/>
      <c r="H47" s="1301"/>
      <c r="I47" s="1301"/>
      <c r="J47" s="1301"/>
      <c r="K47" s="1301"/>
      <c r="L47" s="1301" t="s">
        <v>2154</v>
      </c>
      <c r="M47" s="1301"/>
      <c r="N47" s="1301"/>
      <c r="O47" s="1301"/>
    </row>
    <row r="48" spans="1:15">
      <c r="A48" s="1300" t="s">
        <v>3053</v>
      </c>
      <c r="B48" s="1301" t="s">
        <v>2154</v>
      </c>
      <c r="C48" s="1301" t="s">
        <v>2154</v>
      </c>
      <c r="D48" s="1301"/>
      <c r="E48" s="1301"/>
      <c r="F48" s="1301"/>
      <c r="G48" s="1301"/>
      <c r="H48" s="1301"/>
      <c r="I48" s="1301"/>
      <c r="J48" s="1301"/>
      <c r="K48" s="1301"/>
      <c r="L48" s="1301" t="s">
        <v>2154</v>
      </c>
      <c r="M48" s="1301"/>
      <c r="N48" s="1301"/>
      <c r="O48" s="1301"/>
    </row>
    <row r="49" spans="1:16">
      <c r="A49" s="1300" t="s">
        <v>3054</v>
      </c>
      <c r="B49" s="1301" t="s">
        <v>2154</v>
      </c>
      <c r="C49" s="1301" t="s">
        <v>2154</v>
      </c>
      <c r="D49" s="1301"/>
      <c r="E49" s="1301"/>
      <c r="F49" s="1301"/>
      <c r="G49" s="1301"/>
      <c r="H49" s="1301"/>
      <c r="I49" s="1301"/>
      <c r="J49" s="1301"/>
      <c r="K49" s="1301"/>
      <c r="L49" s="1301" t="s">
        <v>2154</v>
      </c>
      <c r="M49" s="1301"/>
      <c r="N49" s="1301"/>
      <c r="O49" s="1301"/>
    </row>
    <row r="50" spans="1:16">
      <c r="A50" s="1296"/>
      <c r="B50" s="1297">
        <f t="shared" ref="B50:P50" si="2">VALUE(SUM(B29:B30)-(B31+B32+B33))+(SUM(B34:B49))</f>
        <v>16135.26</v>
      </c>
      <c r="C50" s="1297">
        <f t="shared" si="2"/>
        <v>0</v>
      </c>
      <c r="D50" s="1297">
        <f t="shared" si="2"/>
        <v>0</v>
      </c>
      <c r="E50" s="1297">
        <f t="shared" si="2"/>
        <v>0</v>
      </c>
      <c r="F50" s="1297">
        <f t="shared" si="2"/>
        <v>0</v>
      </c>
      <c r="G50" s="1297">
        <f t="shared" si="2"/>
        <v>0</v>
      </c>
      <c r="H50" s="1297">
        <f t="shared" si="2"/>
        <v>0</v>
      </c>
      <c r="I50" s="1297">
        <f t="shared" si="2"/>
        <v>0</v>
      </c>
      <c r="J50" s="1297">
        <f t="shared" si="2"/>
        <v>0</v>
      </c>
      <c r="K50" s="1297">
        <f t="shared" si="2"/>
        <v>0</v>
      </c>
      <c r="L50" s="1297">
        <f t="shared" si="2"/>
        <v>0</v>
      </c>
      <c r="M50" s="1297">
        <f t="shared" si="2"/>
        <v>0</v>
      </c>
      <c r="N50" s="1297">
        <f t="shared" si="2"/>
        <v>0</v>
      </c>
      <c r="O50" s="1297">
        <f t="shared" si="2"/>
        <v>0</v>
      </c>
      <c r="P50" s="1291">
        <f t="shared" si="2"/>
        <v>0</v>
      </c>
    </row>
    <row r="51" spans="1:16">
      <c r="A51" s="1296"/>
      <c r="B51" s="1297"/>
      <c r="C51" s="1297"/>
      <c r="D51" s="1297"/>
      <c r="E51" s="1297"/>
      <c r="F51" s="1297"/>
      <c r="G51" s="1297"/>
      <c r="H51" s="1297"/>
      <c r="I51" s="1297"/>
      <c r="J51" s="1297"/>
      <c r="K51" s="1297"/>
      <c r="L51" s="1297"/>
      <c r="M51" s="1297"/>
      <c r="N51" s="1297"/>
      <c r="O51" s="1297"/>
    </row>
    <row r="52" spans="1:16">
      <c r="A52" s="1296"/>
      <c r="B52" s="1297"/>
      <c r="C52" s="1297"/>
      <c r="D52" s="1297"/>
      <c r="E52" s="1297"/>
      <c r="F52" s="1297"/>
      <c r="G52" s="1297"/>
      <c r="H52" s="1297"/>
      <c r="I52" s="1297"/>
      <c r="J52" s="1297"/>
      <c r="K52" s="1297"/>
      <c r="L52" s="1297"/>
      <c r="M52" s="1297"/>
      <c r="N52" s="1297"/>
      <c r="O52" s="1297"/>
    </row>
    <row r="53" spans="1:16">
      <c r="A53" s="1296"/>
      <c r="B53" s="1297"/>
      <c r="C53" s="1297"/>
      <c r="D53" s="1297"/>
      <c r="E53" s="1297"/>
      <c r="F53" s="1297"/>
      <c r="G53" s="1297"/>
      <c r="H53" s="1297"/>
      <c r="I53" s="1297"/>
      <c r="J53" s="1297"/>
      <c r="K53" s="1297"/>
      <c r="L53" s="1297"/>
      <c r="M53" s="1297"/>
      <c r="N53" s="1297"/>
      <c r="O53" s="1297"/>
    </row>
    <row r="54" spans="1:16">
      <c r="A54" s="1300" t="s">
        <v>3055</v>
      </c>
      <c r="B54" s="1301" t="s">
        <v>2154</v>
      </c>
      <c r="C54" s="1301" t="s">
        <v>2154</v>
      </c>
      <c r="D54" s="1301"/>
      <c r="E54" s="1301"/>
      <c r="F54" s="1301"/>
      <c r="G54" s="1301"/>
      <c r="H54" s="1301"/>
      <c r="I54" s="1301"/>
      <c r="J54" s="1301"/>
      <c r="K54" s="1301"/>
      <c r="L54" s="1301" t="s">
        <v>2154</v>
      </c>
      <c r="M54" s="1301"/>
      <c r="N54" s="1301"/>
      <c r="O54" s="1301"/>
    </row>
    <row r="55" spans="1:16">
      <c r="A55" s="1300" t="s">
        <v>3056</v>
      </c>
      <c r="B55" s="1301" t="s">
        <v>2154</v>
      </c>
      <c r="C55" s="1301" t="s">
        <v>2154</v>
      </c>
      <c r="D55" s="1301"/>
      <c r="E55" s="1301"/>
      <c r="F55" s="1301"/>
      <c r="G55" s="1301"/>
      <c r="H55" s="1301"/>
      <c r="I55" s="1301"/>
      <c r="J55" s="1301"/>
      <c r="K55" s="1301"/>
      <c r="L55" s="1301" t="s">
        <v>2154</v>
      </c>
      <c r="M55" s="1301"/>
      <c r="N55" s="1301"/>
      <c r="O55" s="1301"/>
    </row>
    <row r="56" spans="1:16">
      <c r="A56" s="1300" t="s">
        <v>3057</v>
      </c>
      <c r="B56" s="1301" t="s">
        <v>2154</v>
      </c>
      <c r="C56" s="1301" t="s">
        <v>2154</v>
      </c>
      <c r="D56" s="1301"/>
      <c r="E56" s="1301"/>
      <c r="F56" s="1301"/>
      <c r="G56" s="1301"/>
      <c r="H56" s="1301"/>
      <c r="I56" s="1301"/>
      <c r="J56" s="1301"/>
      <c r="K56" s="1301"/>
      <c r="L56" s="1301" t="s">
        <v>2154</v>
      </c>
      <c r="M56" s="1301"/>
      <c r="N56" s="1301"/>
      <c r="O56" s="1301"/>
    </row>
    <row r="57" spans="1:16">
      <c r="A57" s="1300" t="s">
        <v>3058</v>
      </c>
      <c r="B57" s="1301" t="s">
        <v>2154</v>
      </c>
      <c r="C57" s="1301" t="s">
        <v>2154</v>
      </c>
      <c r="D57" s="1301"/>
      <c r="E57" s="1301"/>
      <c r="F57" s="1301"/>
      <c r="G57" s="1301"/>
      <c r="H57" s="1301"/>
      <c r="I57" s="1301"/>
      <c r="J57" s="1301"/>
      <c r="K57" s="1301"/>
      <c r="L57" s="1301" t="s">
        <v>2154</v>
      </c>
      <c r="M57" s="1301"/>
      <c r="N57" s="1301"/>
      <c r="O57" s="1301"/>
    </row>
    <row r="58" spans="1:16">
      <c r="A58" s="1300" t="s">
        <v>3059</v>
      </c>
      <c r="B58" s="1297">
        <v>1003847.33</v>
      </c>
      <c r="C58" s="1297">
        <v>4500</v>
      </c>
      <c r="D58" s="1297"/>
      <c r="E58" s="1297"/>
      <c r="F58" s="1297"/>
      <c r="G58" s="1301"/>
      <c r="H58" s="1297"/>
      <c r="I58" s="1297"/>
      <c r="J58" s="1297"/>
      <c r="K58" s="1301"/>
      <c r="L58" s="1301" t="s">
        <v>2154</v>
      </c>
      <c r="M58" s="1301"/>
      <c r="N58" s="1297"/>
      <c r="O58" s="1297"/>
    </row>
    <row r="59" spans="1:16">
      <c r="A59" s="1300" t="s">
        <v>3060</v>
      </c>
      <c r="B59" s="1297">
        <v>92724.800000000003</v>
      </c>
      <c r="C59" s="1301" t="s">
        <v>2154</v>
      </c>
      <c r="D59" s="1297"/>
      <c r="E59" s="1297"/>
      <c r="F59" s="1297"/>
      <c r="G59" s="1297"/>
      <c r="H59" s="1297"/>
      <c r="I59" s="1297"/>
      <c r="J59" s="1297"/>
      <c r="K59" s="1301"/>
      <c r="L59" s="1301" t="s">
        <v>2154</v>
      </c>
      <c r="M59" s="1301"/>
      <c r="N59" s="1297"/>
      <c r="O59" s="1297"/>
    </row>
    <row r="60" spans="1:16">
      <c r="A60" s="1300" t="s">
        <v>3061</v>
      </c>
      <c r="B60" s="1301" t="s">
        <v>2154</v>
      </c>
      <c r="C60" s="1301" t="s">
        <v>2154</v>
      </c>
      <c r="D60" s="1301"/>
      <c r="E60" s="1301"/>
      <c r="F60" s="1301"/>
      <c r="G60" s="1301"/>
      <c r="H60" s="1301"/>
      <c r="I60" s="1301"/>
      <c r="J60" s="1301"/>
      <c r="K60" s="1301"/>
      <c r="L60" s="1301" t="s">
        <v>2154</v>
      </c>
      <c r="M60" s="1301"/>
      <c r="N60" s="1301"/>
      <c r="O60" s="1301"/>
    </row>
    <row r="61" spans="1:16">
      <c r="A61" s="1300" t="s">
        <v>1298</v>
      </c>
      <c r="B61" s="1301" t="s">
        <v>2154</v>
      </c>
      <c r="C61" s="1301" t="s">
        <v>2154</v>
      </c>
      <c r="D61" s="1301"/>
      <c r="E61" s="1301"/>
      <c r="F61" s="1301"/>
      <c r="G61" s="1301"/>
      <c r="H61" s="1301"/>
      <c r="I61" s="1301"/>
      <c r="J61" s="1297"/>
      <c r="K61" s="1301"/>
      <c r="L61" s="1301" t="s">
        <v>2154</v>
      </c>
      <c r="M61" s="1301"/>
      <c r="N61" s="1297"/>
      <c r="O61" s="1297"/>
    </row>
    <row r="62" spans="1:16">
      <c r="A62" s="1300" t="s">
        <v>1299</v>
      </c>
      <c r="B62" s="1297">
        <v>212974.59</v>
      </c>
      <c r="C62" s="1301" t="s">
        <v>2154</v>
      </c>
      <c r="D62" s="1297"/>
      <c r="E62" s="1297"/>
      <c r="F62" s="1297"/>
      <c r="G62" s="1297"/>
      <c r="H62" s="1297"/>
      <c r="I62" s="1297"/>
      <c r="J62" s="1297"/>
      <c r="K62" s="1301"/>
      <c r="L62" s="1301">
        <v>88032.02</v>
      </c>
      <c r="M62" s="1297"/>
      <c r="N62" s="1297"/>
      <c r="O62" s="1297"/>
    </row>
    <row r="63" spans="1:16">
      <c r="A63" s="1300" t="s">
        <v>1300</v>
      </c>
      <c r="B63" s="1297">
        <v>113871.76</v>
      </c>
      <c r="C63" s="1301" t="s">
        <v>2154</v>
      </c>
      <c r="D63" s="1297"/>
      <c r="E63" s="1297"/>
      <c r="F63" s="1297"/>
      <c r="G63" s="1297"/>
      <c r="H63" s="1297"/>
      <c r="I63" s="1297"/>
      <c r="J63" s="1297"/>
      <c r="K63" s="1301"/>
      <c r="L63" s="1297">
        <v>4076.91</v>
      </c>
      <c r="M63" s="1297"/>
      <c r="N63" s="1297"/>
      <c r="O63" s="1297"/>
    </row>
    <row r="64" spans="1:16">
      <c r="A64" s="1300" t="s">
        <v>1301</v>
      </c>
      <c r="B64" s="1301" t="s">
        <v>2154</v>
      </c>
      <c r="C64" s="1301" t="s">
        <v>2154</v>
      </c>
      <c r="D64" s="1301"/>
      <c r="E64" s="1301"/>
      <c r="F64" s="1301"/>
      <c r="G64" s="1301"/>
      <c r="H64" s="1301"/>
      <c r="I64" s="1301"/>
      <c r="J64" s="1301"/>
      <c r="K64" s="1301"/>
      <c r="L64" s="1301" t="s">
        <v>2154</v>
      </c>
      <c r="M64" s="1301"/>
      <c r="N64" s="1301"/>
      <c r="O64" s="1301"/>
    </row>
    <row r="65" spans="1:16">
      <c r="A65" s="1300" t="s">
        <v>1302</v>
      </c>
      <c r="B65" s="1301" t="s">
        <v>2154</v>
      </c>
      <c r="C65" s="1301" t="s">
        <v>2154</v>
      </c>
      <c r="D65" s="1301"/>
      <c r="E65" s="1301"/>
      <c r="F65" s="1301"/>
      <c r="G65" s="1301"/>
      <c r="H65" s="1301"/>
      <c r="I65" s="1301"/>
      <c r="J65" s="1301"/>
      <c r="K65" s="1301"/>
      <c r="L65" s="1301" t="s">
        <v>2154</v>
      </c>
      <c r="M65" s="1301"/>
      <c r="N65" s="1301"/>
      <c r="O65" s="1301"/>
    </row>
    <row r="66" spans="1:16">
      <c r="A66" s="1300" t="s">
        <v>1303</v>
      </c>
      <c r="B66" s="1297">
        <v>62397.41</v>
      </c>
      <c r="C66" s="1301" t="s">
        <v>2154</v>
      </c>
      <c r="D66" s="1297"/>
      <c r="E66" s="1297"/>
      <c r="F66" s="1297"/>
      <c r="G66" s="1297"/>
      <c r="H66" s="1297"/>
      <c r="I66" s="1297"/>
      <c r="J66" s="1297"/>
      <c r="K66" s="1301"/>
      <c r="L66" s="1301" t="s">
        <v>2154</v>
      </c>
      <c r="M66" s="1301"/>
      <c r="N66" s="1297"/>
      <c r="O66" s="1297"/>
    </row>
    <row r="67" spans="1:16">
      <c r="A67" s="1300" t="s">
        <v>1304</v>
      </c>
      <c r="B67" s="1301" t="s">
        <v>2154</v>
      </c>
      <c r="C67" s="1301" t="s">
        <v>2154</v>
      </c>
      <c r="D67" s="1301"/>
      <c r="E67" s="1301"/>
      <c r="F67" s="1301"/>
      <c r="G67" s="1301"/>
      <c r="H67" s="1301"/>
      <c r="I67" s="1301"/>
      <c r="J67" s="1301"/>
      <c r="K67" s="1301"/>
      <c r="L67" s="1301" t="s">
        <v>2154</v>
      </c>
      <c r="M67" s="1301"/>
      <c r="N67" s="1301"/>
      <c r="O67" s="1301"/>
    </row>
    <row r="68" spans="1:16">
      <c r="A68" s="1300" t="s">
        <v>1305</v>
      </c>
      <c r="B68" s="1297">
        <v>42748.11</v>
      </c>
      <c r="C68" s="1297">
        <v>4656.8599999999997</v>
      </c>
      <c r="D68" s="1297"/>
      <c r="E68" s="1297"/>
      <c r="F68" s="1297"/>
      <c r="G68" s="1297"/>
      <c r="H68" s="1297"/>
      <c r="I68" s="1297"/>
      <c r="J68" s="1297"/>
      <c r="K68" s="1301"/>
      <c r="L68" s="1297">
        <v>5452.75</v>
      </c>
      <c r="M68" s="1297"/>
      <c r="N68" s="1297"/>
      <c r="O68" s="1297"/>
    </row>
    <row r="69" spans="1:16">
      <c r="A69" s="1300" t="s">
        <v>1306</v>
      </c>
      <c r="B69" s="1301" t="s">
        <v>2154</v>
      </c>
      <c r="C69" s="1301" t="s">
        <v>2154</v>
      </c>
      <c r="D69" s="1301"/>
      <c r="E69" s="1301"/>
      <c r="F69" s="1301"/>
      <c r="G69" s="1301"/>
      <c r="H69" s="1301"/>
      <c r="I69" s="1301"/>
      <c r="J69" s="1301"/>
      <c r="K69" s="1301"/>
      <c r="L69" s="1301" t="s">
        <v>2154</v>
      </c>
      <c r="M69" s="1301"/>
      <c r="N69" s="1301"/>
      <c r="O69" s="1301"/>
    </row>
    <row r="70" spans="1:16">
      <c r="A70" s="1300" t="s">
        <v>1307</v>
      </c>
      <c r="B70" s="1301" t="s">
        <v>2154</v>
      </c>
      <c r="C70" s="1301" t="s">
        <v>2154</v>
      </c>
      <c r="D70" s="1301"/>
      <c r="E70" s="1301"/>
      <c r="F70" s="1301"/>
      <c r="G70" s="1301"/>
      <c r="H70" s="1301"/>
      <c r="I70" s="1301"/>
      <c r="J70" s="1297"/>
      <c r="K70" s="1301"/>
      <c r="L70" s="1301" t="s">
        <v>2154</v>
      </c>
      <c r="M70" s="1301"/>
      <c r="N70" s="1297"/>
      <c r="O70" s="1297"/>
    </row>
    <row r="71" spans="1:16">
      <c r="A71" s="1296"/>
      <c r="B71" s="1297">
        <f t="shared" ref="B71:P71" si="3">SUM(B54:B70)</f>
        <v>1528564</v>
      </c>
      <c r="C71" s="1297">
        <f t="shared" si="3"/>
        <v>9156.86</v>
      </c>
      <c r="D71" s="1297">
        <f t="shared" si="3"/>
        <v>0</v>
      </c>
      <c r="E71" s="1297">
        <f t="shared" si="3"/>
        <v>0</v>
      </c>
      <c r="F71" s="1297">
        <f t="shared" si="3"/>
        <v>0</v>
      </c>
      <c r="G71" s="1297">
        <f t="shared" si="3"/>
        <v>0</v>
      </c>
      <c r="H71" s="1297">
        <f t="shared" si="3"/>
        <v>0</v>
      </c>
      <c r="I71" s="1297">
        <f t="shared" si="3"/>
        <v>0</v>
      </c>
      <c r="J71" s="1297">
        <f t="shared" si="3"/>
        <v>0</v>
      </c>
      <c r="K71" s="1297">
        <f t="shared" si="3"/>
        <v>0</v>
      </c>
      <c r="L71" s="1297">
        <f t="shared" si="3"/>
        <v>97561.680000000008</v>
      </c>
      <c r="M71" s="1297">
        <f t="shared" si="3"/>
        <v>0</v>
      </c>
      <c r="N71" s="1297">
        <f t="shared" si="3"/>
        <v>0</v>
      </c>
      <c r="O71" s="1297">
        <f t="shared" si="3"/>
        <v>0</v>
      </c>
      <c r="P71" s="1291">
        <f t="shared" si="3"/>
        <v>0</v>
      </c>
    </row>
    <row r="72" spans="1:16">
      <c r="A72" s="1296"/>
      <c r="B72" s="1297"/>
      <c r="C72" s="1297"/>
      <c r="D72" s="1297"/>
      <c r="E72" s="1297"/>
      <c r="F72" s="1297"/>
      <c r="G72" s="1297"/>
      <c r="H72" s="1297"/>
      <c r="I72" s="1297"/>
      <c r="J72" s="1297"/>
      <c r="K72" s="1297"/>
      <c r="L72" s="1297"/>
      <c r="M72" s="1297"/>
      <c r="N72" s="1297"/>
      <c r="O72" s="1297"/>
    </row>
    <row r="73" spans="1:16">
      <c r="A73" s="1300" t="s">
        <v>1308</v>
      </c>
      <c r="B73" s="1301" t="s">
        <v>2154</v>
      </c>
      <c r="C73" s="1301" t="s">
        <v>2154</v>
      </c>
      <c r="D73" s="1301"/>
      <c r="E73" s="1301"/>
      <c r="F73" s="1301"/>
      <c r="G73" s="1301"/>
      <c r="H73" s="1301"/>
      <c r="I73" s="1301"/>
      <c r="J73" s="1301"/>
      <c r="K73" s="1301"/>
      <c r="L73" s="1301" t="s">
        <v>2154</v>
      </c>
      <c r="M73" s="1301"/>
      <c r="N73" s="1301"/>
      <c r="O73" s="1301"/>
    </row>
    <row r="74" spans="1:16">
      <c r="A74" s="1300" t="s">
        <v>1309</v>
      </c>
      <c r="B74" s="1301" t="s">
        <v>2154</v>
      </c>
      <c r="C74" s="1301" t="s">
        <v>2154</v>
      </c>
      <c r="D74" s="1301"/>
      <c r="E74" s="1301"/>
      <c r="F74" s="1301"/>
      <c r="G74" s="1301"/>
      <c r="H74" s="1301"/>
      <c r="I74" s="1301"/>
      <c r="J74" s="1301"/>
      <c r="K74" s="1301"/>
      <c r="L74" s="1301" t="s">
        <v>2154</v>
      </c>
      <c r="M74" s="1301"/>
      <c r="N74" s="1301"/>
      <c r="O74" s="1301"/>
    </row>
    <row r="75" spans="1:16">
      <c r="A75" s="1300" t="s">
        <v>1310</v>
      </c>
      <c r="B75" s="1301" t="s">
        <v>2154</v>
      </c>
      <c r="C75" s="1301" t="s">
        <v>2154</v>
      </c>
      <c r="D75" s="1301"/>
      <c r="E75" s="1301"/>
      <c r="F75" s="1301"/>
      <c r="G75" s="1301"/>
      <c r="H75" s="1301"/>
      <c r="I75" s="1301"/>
      <c r="J75" s="1301"/>
      <c r="K75" s="1301"/>
      <c r="L75" s="1301" t="s">
        <v>2154</v>
      </c>
      <c r="M75" s="1301"/>
      <c r="N75" s="1301"/>
      <c r="O75" s="1301"/>
    </row>
    <row r="76" spans="1:16">
      <c r="A76" s="1300" t="s">
        <v>1311</v>
      </c>
      <c r="B76" s="1297">
        <v>-363235.4</v>
      </c>
      <c r="C76" s="1297">
        <v>-1303.81</v>
      </c>
      <c r="D76" s="1297"/>
      <c r="E76" s="1297"/>
      <c r="F76" s="1297"/>
      <c r="G76" s="1301"/>
      <c r="H76" s="1297"/>
      <c r="I76" s="1297"/>
      <c r="J76" s="1297"/>
      <c r="K76" s="1301"/>
      <c r="L76" s="1301" t="s">
        <v>2154</v>
      </c>
      <c r="M76" s="1301"/>
      <c r="N76" s="1297"/>
      <c r="O76" s="1297"/>
    </row>
    <row r="77" spans="1:16">
      <c r="A77" s="1300" t="s">
        <v>1312</v>
      </c>
      <c r="B77" s="1297">
        <v>-40535.760000000002</v>
      </c>
      <c r="C77" s="1301" t="s">
        <v>2154</v>
      </c>
      <c r="D77" s="1297"/>
      <c r="E77" s="1297"/>
      <c r="F77" s="1297"/>
      <c r="G77" s="1297"/>
      <c r="H77" s="1297"/>
      <c r="I77" s="1297"/>
      <c r="J77" s="1297"/>
      <c r="K77" s="1301"/>
      <c r="L77" s="1301" t="s">
        <v>2154</v>
      </c>
      <c r="M77" s="1301"/>
      <c r="N77" s="1297"/>
      <c r="O77" s="1297"/>
    </row>
    <row r="78" spans="1:16">
      <c r="A78" s="1300" t="s">
        <v>1313</v>
      </c>
      <c r="B78" s="1301" t="s">
        <v>2154</v>
      </c>
      <c r="C78" s="1301" t="s">
        <v>2154</v>
      </c>
      <c r="D78" s="1301"/>
      <c r="E78" s="1301"/>
      <c r="F78" s="1301"/>
      <c r="G78" s="1301"/>
      <c r="H78" s="1301"/>
      <c r="I78" s="1301"/>
      <c r="J78" s="1301"/>
      <c r="K78" s="1301"/>
      <c r="L78" s="1301" t="s">
        <v>2154</v>
      </c>
      <c r="M78" s="1301"/>
      <c r="N78" s="1301"/>
      <c r="O78" s="1301"/>
    </row>
    <row r="79" spans="1:16">
      <c r="A79" s="1300" t="s">
        <v>1314</v>
      </c>
      <c r="B79" s="1301" t="s">
        <v>2154</v>
      </c>
      <c r="C79" s="1301" t="s">
        <v>2154</v>
      </c>
      <c r="D79" s="1301"/>
      <c r="E79" s="1301"/>
      <c r="F79" s="1301"/>
      <c r="G79" s="1301"/>
      <c r="H79" s="1301"/>
      <c r="I79" s="1301"/>
      <c r="J79" s="1297"/>
      <c r="K79" s="1301"/>
      <c r="L79" s="1301" t="s">
        <v>2154</v>
      </c>
      <c r="M79" s="1301"/>
      <c r="N79" s="1297"/>
      <c r="O79" s="1297"/>
    </row>
    <row r="80" spans="1:16">
      <c r="A80" s="1300" t="s">
        <v>1315</v>
      </c>
      <c r="B80" s="1297">
        <v>-201364.31</v>
      </c>
      <c r="C80" s="1301" t="s">
        <v>2154</v>
      </c>
      <c r="D80" s="1297"/>
      <c r="E80" s="1297"/>
      <c r="F80" s="1297"/>
      <c r="G80" s="1297"/>
      <c r="H80" s="1297"/>
      <c r="I80" s="1297"/>
      <c r="J80" s="1297"/>
      <c r="K80" s="1301"/>
      <c r="L80" s="1301">
        <v>-55073.91</v>
      </c>
      <c r="M80" s="1297"/>
      <c r="N80" s="1297"/>
      <c r="O80" s="1297"/>
    </row>
    <row r="81" spans="1:16">
      <c r="A81" s="1300" t="s">
        <v>1316</v>
      </c>
      <c r="B81" s="1297">
        <v>-27835.279999999999</v>
      </c>
      <c r="C81" s="1301" t="s">
        <v>2154</v>
      </c>
      <c r="D81" s="1297"/>
      <c r="E81" s="1297"/>
      <c r="F81" s="1297"/>
      <c r="G81" s="1297"/>
      <c r="H81" s="1297"/>
      <c r="I81" s="1297"/>
      <c r="J81" s="1297"/>
      <c r="K81" s="1301"/>
      <c r="L81" s="1297">
        <v>-1610.68</v>
      </c>
      <c r="M81" s="1297"/>
      <c r="N81" s="1297"/>
      <c r="O81" s="1297"/>
    </row>
    <row r="82" spans="1:16">
      <c r="A82" s="1300" t="s">
        <v>1317</v>
      </c>
      <c r="B82" s="1301" t="s">
        <v>2154</v>
      </c>
      <c r="C82" s="1301" t="s">
        <v>2154</v>
      </c>
      <c r="D82" s="1301"/>
      <c r="E82" s="1301"/>
      <c r="F82" s="1301"/>
      <c r="G82" s="1301"/>
      <c r="H82" s="1301"/>
      <c r="I82" s="1301"/>
      <c r="J82" s="1301"/>
      <c r="K82" s="1301"/>
      <c r="L82" s="1301" t="s">
        <v>2154</v>
      </c>
      <c r="M82" s="1301"/>
      <c r="N82" s="1301"/>
      <c r="O82" s="1301"/>
    </row>
    <row r="83" spans="1:16">
      <c r="A83" s="1300" t="s">
        <v>1318</v>
      </c>
      <c r="B83" s="1301" t="s">
        <v>2154</v>
      </c>
      <c r="C83" s="1301" t="s">
        <v>2154</v>
      </c>
      <c r="D83" s="1301"/>
      <c r="E83" s="1301"/>
      <c r="F83" s="1301"/>
      <c r="G83" s="1301"/>
      <c r="H83" s="1301"/>
      <c r="I83" s="1301"/>
      <c r="J83" s="1301"/>
      <c r="K83" s="1301"/>
      <c r="L83" s="1301" t="s">
        <v>2154</v>
      </c>
      <c r="M83" s="1301"/>
      <c r="N83" s="1301"/>
      <c r="O83" s="1301"/>
    </row>
    <row r="84" spans="1:16">
      <c r="A84" s="1300" t="s">
        <v>1319</v>
      </c>
      <c r="B84" s="1297">
        <v>-20918.11</v>
      </c>
      <c r="C84" s="1301" t="s">
        <v>2154</v>
      </c>
      <c r="D84" s="1297"/>
      <c r="E84" s="1297"/>
      <c r="F84" s="1297"/>
      <c r="G84" s="1297"/>
      <c r="H84" s="1297"/>
      <c r="I84" s="1297"/>
      <c r="J84" s="1297"/>
      <c r="K84" s="1301"/>
      <c r="L84" s="1301" t="s">
        <v>2154</v>
      </c>
      <c r="M84" s="1301"/>
      <c r="N84" s="1297"/>
      <c r="O84" s="1297"/>
    </row>
    <row r="85" spans="1:16">
      <c r="A85" s="1300" t="s">
        <v>1320</v>
      </c>
      <c r="B85" s="1297">
        <v>-35677.120000000003</v>
      </c>
      <c r="C85" s="1297">
        <v>-4656.8599999999997</v>
      </c>
      <c r="D85" s="1297"/>
      <c r="E85" s="1297"/>
      <c r="F85" s="1297"/>
      <c r="G85" s="1297"/>
      <c r="H85" s="1297"/>
      <c r="I85" s="1297"/>
      <c r="J85" s="1297"/>
      <c r="K85" s="1301"/>
      <c r="L85" s="1297">
        <v>-5452.75</v>
      </c>
      <c r="M85" s="1297"/>
      <c r="N85" s="1297"/>
      <c r="O85" s="1297"/>
    </row>
    <row r="86" spans="1:16">
      <c r="A86" s="1300" t="s">
        <v>1321</v>
      </c>
      <c r="B86" s="1301" t="s">
        <v>2154</v>
      </c>
      <c r="C86" s="1301" t="s">
        <v>2154</v>
      </c>
      <c r="D86" s="1301"/>
      <c r="E86" s="1301"/>
      <c r="F86" s="1301"/>
      <c r="G86" s="1301"/>
      <c r="H86" s="1301"/>
      <c r="I86" s="1301"/>
      <c r="J86" s="1301"/>
      <c r="K86" s="1301"/>
      <c r="L86" s="1301" t="s">
        <v>2154</v>
      </c>
      <c r="M86" s="1301"/>
      <c r="N86" s="1301"/>
      <c r="O86" s="1301"/>
    </row>
    <row r="87" spans="1:16">
      <c r="A87" s="1300" t="s">
        <v>2394</v>
      </c>
      <c r="B87" s="1301" t="s">
        <v>2154</v>
      </c>
      <c r="C87" s="1301" t="s">
        <v>2154</v>
      </c>
      <c r="D87" s="1301"/>
      <c r="E87" s="1301"/>
      <c r="F87" s="1301"/>
      <c r="G87" s="1301"/>
      <c r="H87" s="1301"/>
      <c r="I87" s="1301"/>
      <c r="J87" s="1301"/>
      <c r="K87" s="1301"/>
      <c r="L87" s="1301" t="s">
        <v>2154</v>
      </c>
      <c r="M87" s="1301"/>
      <c r="N87" s="1301"/>
      <c r="O87" s="1301"/>
    </row>
    <row r="88" spans="1:16">
      <c r="A88" s="1300" t="s">
        <v>2395</v>
      </c>
      <c r="B88" s="1301" t="s">
        <v>2154</v>
      </c>
      <c r="C88" s="1301" t="s">
        <v>2154</v>
      </c>
      <c r="D88" s="1301"/>
      <c r="E88" s="1301"/>
      <c r="F88" s="1301"/>
      <c r="G88" s="1301"/>
      <c r="H88" s="1301"/>
      <c r="I88" s="1301"/>
      <c r="J88" s="1301"/>
      <c r="K88" s="1301"/>
      <c r="L88" s="1301" t="s">
        <v>2154</v>
      </c>
      <c r="M88" s="1301"/>
      <c r="N88" s="1301"/>
      <c r="O88" s="1301"/>
    </row>
    <row r="89" spans="1:16">
      <c r="A89" s="1300" t="s">
        <v>2396</v>
      </c>
      <c r="B89" s="1301" t="s">
        <v>2154</v>
      </c>
      <c r="C89" s="1301" t="s">
        <v>2154</v>
      </c>
      <c r="D89" s="1301"/>
      <c r="E89" s="1301"/>
      <c r="F89" s="1301"/>
      <c r="G89" s="1301"/>
      <c r="H89" s="1301"/>
      <c r="I89" s="1301"/>
      <c r="J89" s="1301"/>
      <c r="K89" s="1301"/>
      <c r="L89" s="1301" t="s">
        <v>2154</v>
      </c>
      <c r="M89" s="1301"/>
      <c r="N89" s="1301"/>
      <c r="O89" s="1301"/>
    </row>
    <row r="90" spans="1:16">
      <c r="A90" s="1296"/>
      <c r="B90" s="1297">
        <f t="shared" ref="B90:P90" si="4">SUM(B73:B89)</f>
        <v>-689565.98</v>
      </c>
      <c r="C90" s="1297">
        <f t="shared" si="4"/>
        <v>-5960.67</v>
      </c>
      <c r="D90" s="1297">
        <f t="shared" si="4"/>
        <v>0</v>
      </c>
      <c r="E90" s="1297">
        <f t="shared" si="4"/>
        <v>0</v>
      </c>
      <c r="F90" s="1297">
        <f t="shared" si="4"/>
        <v>0</v>
      </c>
      <c r="G90" s="1297">
        <f t="shared" si="4"/>
        <v>0</v>
      </c>
      <c r="H90" s="1297">
        <f t="shared" si="4"/>
        <v>0</v>
      </c>
      <c r="I90" s="1297">
        <f t="shared" si="4"/>
        <v>0</v>
      </c>
      <c r="J90" s="1297">
        <f t="shared" si="4"/>
        <v>0</v>
      </c>
      <c r="K90" s="1297">
        <f t="shared" si="4"/>
        <v>0</v>
      </c>
      <c r="L90" s="1297">
        <f t="shared" si="4"/>
        <v>-62137.340000000004</v>
      </c>
      <c r="M90" s="1297">
        <f t="shared" si="4"/>
        <v>0</v>
      </c>
      <c r="N90" s="1297">
        <f t="shared" si="4"/>
        <v>0</v>
      </c>
      <c r="O90" s="1297">
        <f t="shared" si="4"/>
        <v>0</v>
      </c>
      <c r="P90" s="1291">
        <f t="shared" si="4"/>
        <v>0</v>
      </c>
    </row>
    <row r="91" spans="1:16">
      <c r="A91" s="1300" t="s">
        <v>2397</v>
      </c>
      <c r="B91" s="1297">
        <v>838998.02</v>
      </c>
      <c r="C91" s="1297">
        <v>3196.1900000000005</v>
      </c>
      <c r="D91" s="1297"/>
      <c r="E91" s="1297"/>
      <c r="F91" s="1297"/>
      <c r="G91" s="1297"/>
      <c r="H91" s="1297"/>
      <c r="I91" s="1297"/>
      <c r="J91" s="1297"/>
      <c r="K91" s="1301"/>
      <c r="L91" s="1297">
        <v>35424.340000000004</v>
      </c>
      <c r="M91" s="1297"/>
      <c r="N91" s="1297"/>
      <c r="O91" s="1297"/>
    </row>
    <row r="92" spans="1:16">
      <c r="A92" s="1296"/>
      <c r="B92" s="1297"/>
      <c r="C92" s="1297"/>
      <c r="D92" s="1297"/>
      <c r="E92" s="1297"/>
      <c r="F92" s="1297"/>
      <c r="G92" s="1297"/>
      <c r="H92" s="1297"/>
      <c r="I92" s="1297"/>
      <c r="J92" s="1297"/>
      <c r="K92" s="1297"/>
      <c r="L92" s="1297"/>
      <c r="M92" s="1297"/>
      <c r="N92" s="1297"/>
      <c r="O92" s="1297"/>
    </row>
    <row r="93" spans="1:16">
      <c r="A93" s="1300" t="s">
        <v>2398</v>
      </c>
      <c r="B93" s="1301" t="s">
        <v>2154</v>
      </c>
      <c r="C93" s="1301" t="s">
        <v>2154</v>
      </c>
      <c r="D93" s="1301"/>
      <c r="E93" s="1301"/>
      <c r="F93" s="1301"/>
      <c r="G93" s="1301"/>
      <c r="H93" s="1301"/>
      <c r="I93" s="1301"/>
      <c r="J93" s="1301"/>
      <c r="K93" s="1301"/>
      <c r="L93" s="1301" t="s">
        <v>2154</v>
      </c>
      <c r="M93" s="1301"/>
      <c r="N93" s="1301"/>
      <c r="O93" s="1301"/>
    </row>
    <row r="94" spans="1:16">
      <c r="A94" s="1300" t="s">
        <v>274</v>
      </c>
      <c r="B94" s="1301" t="s">
        <v>2154</v>
      </c>
      <c r="C94" s="1301" t="s">
        <v>2154</v>
      </c>
      <c r="D94" s="1301"/>
      <c r="E94" s="1301"/>
      <c r="F94" s="1301"/>
      <c r="G94" s="1301"/>
      <c r="H94" s="1301"/>
      <c r="I94" s="1301"/>
      <c r="J94" s="1301"/>
      <c r="K94" s="1301"/>
      <c r="L94" s="1301" t="s">
        <v>2154</v>
      </c>
      <c r="M94" s="1301"/>
      <c r="N94" s="1301"/>
      <c r="O94" s="1301"/>
    </row>
    <row r="95" spans="1:16">
      <c r="A95" s="1300" t="s">
        <v>275</v>
      </c>
      <c r="B95" s="1301" t="s">
        <v>2154</v>
      </c>
      <c r="C95" s="1301" t="s">
        <v>2154</v>
      </c>
      <c r="D95" s="1301"/>
      <c r="E95" s="1301"/>
      <c r="F95" s="1301"/>
      <c r="G95" s="1301"/>
      <c r="H95" s="1301"/>
      <c r="I95" s="1301"/>
      <c r="J95" s="1301"/>
      <c r="K95" s="1301"/>
      <c r="L95" s="1301" t="s">
        <v>2154</v>
      </c>
      <c r="M95" s="1301"/>
      <c r="N95" s="1301"/>
      <c r="O95" s="1301"/>
    </row>
    <row r="96" spans="1:16">
      <c r="A96" s="1300" t="s">
        <v>276</v>
      </c>
      <c r="B96" s="1301" t="s">
        <v>2154</v>
      </c>
      <c r="C96" s="1301" t="s">
        <v>2154</v>
      </c>
      <c r="D96" s="1301"/>
      <c r="E96" s="1301"/>
      <c r="F96" s="1301"/>
      <c r="G96" s="1301"/>
      <c r="H96" s="1301"/>
      <c r="I96" s="1301"/>
      <c r="J96" s="1301"/>
      <c r="K96" s="1301"/>
      <c r="L96" s="1301" t="s">
        <v>2154</v>
      </c>
      <c r="M96" s="1301"/>
      <c r="N96" s="1301"/>
      <c r="O96" s="1301"/>
    </row>
    <row r="97" spans="1:15">
      <c r="A97" s="1300" t="s">
        <v>277</v>
      </c>
      <c r="B97" s="1301">
        <v>2000</v>
      </c>
      <c r="C97" s="1301" t="s">
        <v>2154</v>
      </c>
      <c r="D97" s="1301"/>
      <c r="E97" s="1301"/>
      <c r="F97" s="1301"/>
      <c r="G97" s="1301"/>
      <c r="H97" s="1301"/>
      <c r="I97" s="1301"/>
      <c r="J97" s="1301"/>
      <c r="K97" s="1301"/>
      <c r="L97" s="1301" t="s">
        <v>2154</v>
      </c>
      <c r="M97" s="1301"/>
      <c r="N97" s="1301"/>
      <c r="O97" s="1301"/>
    </row>
    <row r="98" spans="1:15">
      <c r="A98" s="1300" t="s">
        <v>278</v>
      </c>
      <c r="B98" s="1301" t="s">
        <v>2154</v>
      </c>
      <c r="C98" s="1301" t="s">
        <v>2154</v>
      </c>
      <c r="D98" s="1301"/>
      <c r="E98" s="1301"/>
      <c r="F98" s="1301"/>
      <c r="G98" s="1301"/>
      <c r="H98" s="1301"/>
      <c r="I98" s="1301"/>
      <c r="J98" s="1301"/>
      <c r="K98" s="1301"/>
      <c r="L98" s="1301" t="s">
        <v>2154</v>
      </c>
      <c r="M98" s="1301"/>
      <c r="N98" s="1301"/>
      <c r="O98" s="1301"/>
    </row>
    <row r="99" spans="1:15">
      <c r="A99" s="1300" t="s">
        <v>279</v>
      </c>
      <c r="B99" s="1301" t="s">
        <v>2154</v>
      </c>
      <c r="C99" s="1301" t="s">
        <v>2154</v>
      </c>
      <c r="D99" s="1301"/>
      <c r="E99" s="1301"/>
      <c r="F99" s="1301"/>
      <c r="G99" s="1301"/>
      <c r="H99" s="1301"/>
      <c r="I99" s="1301"/>
      <c r="J99" s="1301"/>
      <c r="K99" s="1301"/>
      <c r="L99" s="1301" t="s">
        <v>2154</v>
      </c>
      <c r="M99" s="1301"/>
      <c r="N99" s="1301"/>
      <c r="O99" s="1301"/>
    </row>
    <row r="100" spans="1:15">
      <c r="A100" s="1300" t="s">
        <v>280</v>
      </c>
      <c r="B100" s="1301" t="s">
        <v>2154</v>
      </c>
      <c r="C100" s="1301" t="s">
        <v>2154</v>
      </c>
      <c r="D100" s="1301"/>
      <c r="E100" s="1301"/>
      <c r="F100" s="1301"/>
      <c r="G100" s="1301"/>
      <c r="H100" s="1301"/>
      <c r="I100" s="1301"/>
      <c r="J100" s="1301"/>
      <c r="K100" s="1301"/>
      <c r="L100" s="1301" t="s">
        <v>2154</v>
      </c>
      <c r="M100" s="1301"/>
      <c r="N100" s="1301"/>
      <c r="O100" s="1301"/>
    </row>
    <row r="101" spans="1:15">
      <c r="A101" s="1300" t="s">
        <v>281</v>
      </c>
      <c r="B101" s="1301" t="s">
        <v>2154</v>
      </c>
      <c r="C101" s="1301" t="s">
        <v>2154</v>
      </c>
      <c r="D101" s="1301"/>
      <c r="E101" s="1301"/>
      <c r="F101" s="1301"/>
      <c r="G101" s="1301"/>
      <c r="H101" s="1301"/>
      <c r="I101" s="1301"/>
      <c r="J101" s="1301"/>
      <c r="K101" s="1301"/>
      <c r="L101" s="1301" t="s">
        <v>2154</v>
      </c>
      <c r="M101" s="1301"/>
      <c r="N101" s="1301"/>
      <c r="O101" s="1301"/>
    </row>
    <row r="102" spans="1:15">
      <c r="A102" s="1300" t="s">
        <v>282</v>
      </c>
      <c r="B102" s="1301" t="s">
        <v>2154</v>
      </c>
      <c r="C102" s="1301" t="s">
        <v>2154</v>
      </c>
      <c r="D102" s="1301"/>
      <c r="E102" s="1301"/>
      <c r="F102" s="1301"/>
      <c r="G102" s="1301"/>
      <c r="H102" s="1301"/>
      <c r="I102" s="1301"/>
      <c r="J102" s="1301"/>
      <c r="K102" s="1301"/>
      <c r="L102" s="1301" t="s">
        <v>2154</v>
      </c>
      <c r="M102" s="1301"/>
      <c r="N102" s="1301"/>
      <c r="O102" s="1301"/>
    </row>
    <row r="103" spans="1:15">
      <c r="A103" s="1300" t="s">
        <v>283</v>
      </c>
      <c r="B103" s="1301" t="s">
        <v>2154</v>
      </c>
      <c r="C103" s="1301" t="s">
        <v>2154</v>
      </c>
      <c r="D103" s="1301"/>
      <c r="E103" s="1301"/>
      <c r="F103" s="1301"/>
      <c r="G103" s="1301"/>
      <c r="H103" s="1301"/>
      <c r="I103" s="1301"/>
      <c r="J103" s="1301"/>
      <c r="K103" s="1301"/>
      <c r="L103" s="1301" t="s">
        <v>2154</v>
      </c>
      <c r="M103" s="1301"/>
      <c r="N103" s="1301"/>
      <c r="O103" s="1301"/>
    </row>
    <row r="104" spans="1:15">
      <c r="A104" s="1300" t="s">
        <v>284</v>
      </c>
      <c r="B104" s="1301" t="s">
        <v>2154</v>
      </c>
      <c r="C104" s="1301" t="s">
        <v>2154</v>
      </c>
      <c r="D104" s="1301"/>
      <c r="E104" s="1301"/>
      <c r="F104" s="1301"/>
      <c r="G104" s="1301"/>
      <c r="H104" s="1301"/>
      <c r="I104" s="1301"/>
      <c r="J104" s="1301"/>
      <c r="K104" s="1301"/>
      <c r="L104" s="1301" t="s">
        <v>2154</v>
      </c>
      <c r="M104" s="1301"/>
      <c r="N104" s="1301"/>
      <c r="O104" s="1301"/>
    </row>
    <row r="105" spans="1:15">
      <c r="A105" s="1300" t="s">
        <v>285</v>
      </c>
      <c r="B105" s="1301" t="s">
        <v>2154</v>
      </c>
      <c r="C105" s="1301" t="s">
        <v>2154</v>
      </c>
      <c r="D105" s="1301"/>
      <c r="E105" s="1301"/>
      <c r="F105" s="1301"/>
      <c r="G105" s="1301"/>
      <c r="H105" s="1301"/>
      <c r="I105" s="1301"/>
      <c r="J105" s="1301"/>
      <c r="K105" s="1301"/>
      <c r="L105" s="1301" t="s">
        <v>2154</v>
      </c>
      <c r="M105" s="1301"/>
      <c r="N105" s="1301"/>
      <c r="O105" s="1301"/>
    </row>
    <row r="106" spans="1:15">
      <c r="A106" s="1300" t="s">
        <v>286</v>
      </c>
      <c r="B106" s="1301" t="s">
        <v>2154</v>
      </c>
      <c r="C106" s="1301" t="s">
        <v>2154</v>
      </c>
      <c r="D106" s="1301"/>
      <c r="E106" s="1301"/>
      <c r="F106" s="1301"/>
      <c r="G106" s="1301"/>
      <c r="H106" s="1301"/>
      <c r="I106" s="1301"/>
      <c r="J106" s="1301"/>
      <c r="K106" s="1301"/>
      <c r="L106" s="1301" t="s">
        <v>2154</v>
      </c>
      <c r="M106" s="1301"/>
      <c r="N106" s="1301"/>
      <c r="O106" s="1301"/>
    </row>
    <row r="107" spans="1:15">
      <c r="A107" s="1300" t="s">
        <v>287</v>
      </c>
      <c r="B107" s="1301" t="s">
        <v>2154</v>
      </c>
      <c r="C107" s="1301" t="s">
        <v>2154</v>
      </c>
      <c r="D107" s="1301"/>
      <c r="E107" s="1301"/>
      <c r="F107" s="1301"/>
      <c r="G107" s="1301"/>
      <c r="H107" s="1301"/>
      <c r="I107" s="1301"/>
      <c r="J107" s="1301"/>
      <c r="K107" s="1301"/>
      <c r="L107" s="1301" t="s">
        <v>2154</v>
      </c>
      <c r="M107" s="1301"/>
      <c r="N107" s="1301"/>
      <c r="O107" s="1301"/>
    </row>
    <row r="108" spans="1:15">
      <c r="A108" s="1300" t="s">
        <v>288</v>
      </c>
      <c r="B108" s="1301" t="s">
        <v>2154</v>
      </c>
      <c r="C108" s="1301" t="s">
        <v>2154</v>
      </c>
      <c r="D108" s="1301"/>
      <c r="E108" s="1301"/>
      <c r="F108" s="1301"/>
      <c r="G108" s="1301"/>
      <c r="H108" s="1301"/>
      <c r="I108" s="1301"/>
      <c r="J108" s="1301"/>
      <c r="K108" s="1301"/>
      <c r="L108" s="1301" t="s">
        <v>2154</v>
      </c>
      <c r="M108" s="1301"/>
      <c r="N108" s="1301"/>
      <c r="O108" s="1301"/>
    </row>
    <row r="109" spans="1:15">
      <c r="A109" s="1300" t="s">
        <v>289</v>
      </c>
      <c r="B109" s="1301" t="s">
        <v>2154</v>
      </c>
      <c r="C109" s="1301" t="s">
        <v>2154</v>
      </c>
      <c r="D109" s="1301"/>
      <c r="E109" s="1301"/>
      <c r="F109" s="1301"/>
      <c r="G109" s="1301"/>
      <c r="H109" s="1301"/>
      <c r="I109" s="1301"/>
      <c r="J109" s="1301"/>
      <c r="K109" s="1301"/>
      <c r="L109" s="1301" t="s">
        <v>2154</v>
      </c>
      <c r="M109" s="1301"/>
      <c r="N109" s="1301"/>
      <c r="O109" s="1301"/>
    </row>
    <row r="110" spans="1:15">
      <c r="A110" s="1300" t="s">
        <v>290</v>
      </c>
      <c r="B110" s="1301" t="s">
        <v>2154</v>
      </c>
      <c r="C110" s="1301" t="s">
        <v>2154</v>
      </c>
      <c r="D110" s="1301"/>
      <c r="E110" s="1301"/>
      <c r="F110" s="1301"/>
      <c r="G110" s="1301"/>
      <c r="H110" s="1301"/>
      <c r="I110" s="1301"/>
      <c r="J110" s="1301"/>
      <c r="K110" s="1301"/>
      <c r="L110" s="1301" t="s">
        <v>2154</v>
      </c>
      <c r="M110" s="1301"/>
      <c r="N110" s="1301"/>
      <c r="O110" s="1301"/>
    </row>
    <row r="111" spans="1:15">
      <c r="A111" s="1300" t="s">
        <v>291</v>
      </c>
      <c r="B111" s="1301" t="s">
        <v>2154</v>
      </c>
      <c r="C111" s="1301" t="s">
        <v>2154</v>
      </c>
      <c r="D111" s="1301"/>
      <c r="E111" s="1301"/>
      <c r="F111" s="1301"/>
      <c r="G111" s="1301"/>
      <c r="H111" s="1301"/>
      <c r="I111" s="1301"/>
      <c r="J111" s="1301"/>
      <c r="K111" s="1301"/>
      <c r="L111" s="1301" t="s">
        <v>2154</v>
      </c>
      <c r="M111" s="1301"/>
      <c r="N111" s="1301"/>
      <c r="O111" s="1301"/>
    </row>
    <row r="112" spans="1:15">
      <c r="A112" s="1300" t="s">
        <v>292</v>
      </c>
      <c r="B112" s="1301" t="s">
        <v>2154</v>
      </c>
      <c r="C112" s="1301" t="s">
        <v>2154</v>
      </c>
      <c r="D112" s="1301"/>
      <c r="E112" s="1301"/>
      <c r="F112" s="1301"/>
      <c r="G112" s="1301"/>
      <c r="H112" s="1301"/>
      <c r="I112" s="1301"/>
      <c r="J112" s="1301"/>
      <c r="K112" s="1301"/>
      <c r="L112" s="1301" t="s">
        <v>2154</v>
      </c>
      <c r="M112" s="1301"/>
      <c r="N112" s="1301"/>
      <c r="O112" s="1301"/>
    </row>
    <row r="113" spans="1:16">
      <c r="A113" s="1300" t="s">
        <v>293</v>
      </c>
      <c r="B113" s="1301" t="s">
        <v>2154</v>
      </c>
      <c r="C113" s="1301" t="s">
        <v>2154</v>
      </c>
      <c r="D113" s="1301"/>
      <c r="E113" s="1301"/>
      <c r="F113" s="1301"/>
      <c r="G113" s="1301"/>
      <c r="H113" s="1301"/>
      <c r="I113" s="1301"/>
      <c r="J113" s="1301"/>
      <c r="K113" s="1301"/>
      <c r="L113" s="1301" t="s">
        <v>2154</v>
      </c>
      <c r="M113" s="1301"/>
      <c r="N113" s="1301"/>
      <c r="O113" s="1301"/>
    </row>
    <row r="114" spans="1:16">
      <c r="A114" s="1300" t="s">
        <v>294</v>
      </c>
      <c r="B114" s="1301" t="s">
        <v>2154</v>
      </c>
      <c r="C114" s="1301" t="s">
        <v>2154</v>
      </c>
      <c r="D114" s="1301"/>
      <c r="E114" s="1301"/>
      <c r="F114" s="1301"/>
      <c r="G114" s="1301"/>
      <c r="H114" s="1301"/>
      <c r="I114" s="1301"/>
      <c r="J114" s="1301"/>
      <c r="K114" s="1301"/>
      <c r="L114" s="1301" t="s">
        <v>2154</v>
      </c>
      <c r="M114" s="1301"/>
      <c r="N114" s="1301"/>
      <c r="O114" s="1301"/>
    </row>
    <row r="115" spans="1:16">
      <c r="A115" s="1300" t="s">
        <v>295</v>
      </c>
      <c r="B115" s="1301" t="s">
        <v>2154</v>
      </c>
      <c r="C115" s="1301" t="s">
        <v>2154</v>
      </c>
      <c r="D115" s="1301"/>
      <c r="E115" s="1301"/>
      <c r="F115" s="1301"/>
      <c r="G115" s="1301"/>
      <c r="H115" s="1301"/>
      <c r="I115" s="1301"/>
      <c r="J115" s="1301"/>
      <c r="K115" s="1301"/>
      <c r="L115" s="1301" t="s">
        <v>2154</v>
      </c>
      <c r="M115" s="1301"/>
      <c r="N115" s="1301"/>
      <c r="O115" s="1301"/>
    </row>
    <row r="116" spans="1:16">
      <c r="A116" s="1296"/>
      <c r="B116" s="1297">
        <f t="shared" ref="B116:P116" si="5">SUM(B101:B115)</f>
        <v>0</v>
      </c>
      <c r="C116" s="1297">
        <f t="shared" si="5"/>
        <v>0</v>
      </c>
      <c r="D116" s="1297">
        <f t="shared" si="5"/>
        <v>0</v>
      </c>
      <c r="E116" s="1297">
        <f t="shared" si="5"/>
        <v>0</v>
      </c>
      <c r="F116" s="1297">
        <f t="shared" si="5"/>
        <v>0</v>
      </c>
      <c r="G116" s="1297">
        <f t="shared" si="5"/>
        <v>0</v>
      </c>
      <c r="H116" s="1297">
        <f t="shared" si="5"/>
        <v>0</v>
      </c>
      <c r="I116" s="1297">
        <f t="shared" si="5"/>
        <v>0</v>
      </c>
      <c r="J116" s="1297">
        <f t="shared" si="5"/>
        <v>0</v>
      </c>
      <c r="K116" s="1297">
        <f t="shared" si="5"/>
        <v>0</v>
      </c>
      <c r="L116" s="1297">
        <f t="shared" si="5"/>
        <v>0</v>
      </c>
      <c r="M116" s="1297">
        <f t="shared" si="5"/>
        <v>0</v>
      </c>
      <c r="N116" s="1297">
        <f t="shared" si="5"/>
        <v>0</v>
      </c>
      <c r="O116" s="1297">
        <f t="shared" si="5"/>
        <v>0</v>
      </c>
      <c r="P116" s="1291">
        <f t="shared" si="5"/>
        <v>0</v>
      </c>
    </row>
    <row r="117" spans="1:16">
      <c r="A117" s="1296"/>
      <c r="B117" s="1297"/>
      <c r="C117" s="1297"/>
      <c r="D117" s="1297"/>
      <c r="E117" s="1297"/>
      <c r="F117" s="1297"/>
      <c r="G117" s="1297"/>
      <c r="H117" s="1297"/>
      <c r="I117" s="1297"/>
      <c r="J117" s="1297"/>
      <c r="K117" s="1297"/>
      <c r="L117" s="1297"/>
      <c r="M117" s="1297"/>
      <c r="N117" s="1297"/>
      <c r="O117" s="1297"/>
    </row>
    <row r="118" spans="1:16">
      <c r="A118" s="1300" t="s">
        <v>296</v>
      </c>
      <c r="B118" s="1301" t="s">
        <v>2154</v>
      </c>
      <c r="C118" s="1301" t="s">
        <v>2154</v>
      </c>
      <c r="D118" s="1301"/>
      <c r="E118" s="1301"/>
      <c r="F118" s="1301"/>
      <c r="G118" s="1301"/>
      <c r="H118" s="1301"/>
      <c r="I118" s="1301"/>
      <c r="J118" s="1301"/>
      <c r="K118" s="1301"/>
      <c r="L118" s="1301" t="s">
        <v>2154</v>
      </c>
      <c r="M118" s="1301"/>
      <c r="N118" s="1301"/>
      <c r="O118" s="1301"/>
    </row>
    <row r="119" spans="1:16">
      <c r="A119" s="1300" t="s">
        <v>297</v>
      </c>
      <c r="B119" s="1301" t="s">
        <v>2154</v>
      </c>
      <c r="C119" s="1301" t="s">
        <v>2154</v>
      </c>
      <c r="D119" s="1301"/>
      <c r="E119" s="1301"/>
      <c r="F119" s="1301"/>
      <c r="G119" s="1301"/>
      <c r="H119" s="1301"/>
      <c r="I119" s="1301"/>
      <c r="J119" s="1301"/>
      <c r="K119" s="1301"/>
      <c r="L119" s="1301" t="s">
        <v>2154</v>
      </c>
      <c r="M119" s="1301"/>
      <c r="N119" s="1301"/>
      <c r="O119" s="1301"/>
    </row>
    <row r="120" spans="1:16">
      <c r="A120" s="1300" t="s">
        <v>298</v>
      </c>
      <c r="B120" s="1301" t="s">
        <v>2154</v>
      </c>
      <c r="C120" s="1301" t="s">
        <v>2154</v>
      </c>
      <c r="D120" s="1301"/>
      <c r="E120" s="1301"/>
      <c r="F120" s="1301"/>
      <c r="G120" s="1301"/>
      <c r="H120" s="1301"/>
      <c r="I120" s="1301"/>
      <c r="J120" s="1301"/>
      <c r="K120" s="1301"/>
      <c r="L120" s="1301" t="s">
        <v>2154</v>
      </c>
      <c r="M120" s="1301"/>
      <c r="N120" s="1301"/>
      <c r="O120" s="1301"/>
    </row>
    <row r="121" spans="1:16">
      <c r="A121" s="1300" t="s">
        <v>299</v>
      </c>
      <c r="B121" s="1301" t="s">
        <v>2154</v>
      </c>
      <c r="C121" s="1301" t="s">
        <v>2154</v>
      </c>
      <c r="D121" s="1301"/>
      <c r="E121" s="1301"/>
      <c r="F121" s="1301"/>
      <c r="G121" s="1301"/>
      <c r="H121" s="1301"/>
      <c r="I121" s="1301"/>
      <c r="J121" s="1301"/>
      <c r="K121" s="1301"/>
      <c r="L121" s="1301" t="s">
        <v>2154</v>
      </c>
      <c r="M121" s="1301"/>
      <c r="N121" s="1301"/>
      <c r="O121" s="1301"/>
    </row>
    <row r="122" spans="1:16">
      <c r="A122" s="1300" t="s">
        <v>300</v>
      </c>
      <c r="B122" s="1301" t="s">
        <v>2154</v>
      </c>
      <c r="C122" s="1301" t="s">
        <v>2154</v>
      </c>
      <c r="D122" s="1301"/>
      <c r="E122" s="1301"/>
      <c r="F122" s="1301"/>
      <c r="G122" s="1301"/>
      <c r="H122" s="1301"/>
      <c r="I122" s="1301"/>
      <c r="J122" s="1301"/>
      <c r="K122" s="1301"/>
      <c r="L122" s="1301" t="s">
        <v>2154</v>
      </c>
      <c r="M122" s="1301"/>
      <c r="N122" s="1301"/>
      <c r="O122" s="1301"/>
    </row>
    <row r="123" spans="1:16">
      <c r="A123" s="1300" t="s">
        <v>301</v>
      </c>
      <c r="B123" s="1301" t="s">
        <v>2154</v>
      </c>
      <c r="C123" s="1301" t="s">
        <v>2154</v>
      </c>
      <c r="D123" s="1301"/>
      <c r="E123" s="1301"/>
      <c r="F123" s="1301"/>
      <c r="G123" s="1301"/>
      <c r="H123" s="1301"/>
      <c r="I123" s="1301"/>
      <c r="J123" s="1301"/>
      <c r="K123" s="1301"/>
      <c r="L123" s="1301" t="s">
        <v>2154</v>
      </c>
      <c r="M123" s="1301"/>
      <c r="N123" s="1301"/>
      <c r="O123" s="1301"/>
    </row>
    <row r="124" spans="1:16">
      <c r="A124" s="1300" t="s">
        <v>302</v>
      </c>
      <c r="B124" s="1301" t="s">
        <v>2154</v>
      </c>
      <c r="C124" s="1301" t="s">
        <v>2154</v>
      </c>
      <c r="D124" s="1301"/>
      <c r="E124" s="1301"/>
      <c r="F124" s="1301"/>
      <c r="G124" s="1301"/>
      <c r="H124" s="1301"/>
      <c r="I124" s="1301"/>
      <c r="J124" s="1301"/>
      <c r="K124" s="1301"/>
      <c r="L124" s="1301" t="s">
        <v>2154</v>
      </c>
      <c r="M124" s="1301"/>
      <c r="N124" s="1301"/>
      <c r="O124" s="1301"/>
    </row>
    <row r="125" spans="1:16">
      <c r="A125" s="1296"/>
      <c r="B125" s="1297">
        <f t="shared" ref="B125:P125" si="6">SUM(B118:B124)</f>
        <v>0</v>
      </c>
      <c r="C125" s="1297">
        <f t="shared" si="6"/>
        <v>0</v>
      </c>
      <c r="D125" s="1297">
        <f t="shared" si="6"/>
        <v>0</v>
      </c>
      <c r="E125" s="1297">
        <f t="shared" si="6"/>
        <v>0</v>
      </c>
      <c r="F125" s="1297">
        <f t="shared" si="6"/>
        <v>0</v>
      </c>
      <c r="G125" s="1297">
        <f t="shared" si="6"/>
        <v>0</v>
      </c>
      <c r="H125" s="1297">
        <f t="shared" si="6"/>
        <v>0</v>
      </c>
      <c r="I125" s="1297">
        <f t="shared" si="6"/>
        <v>0</v>
      </c>
      <c r="J125" s="1297">
        <f t="shared" si="6"/>
        <v>0</v>
      </c>
      <c r="K125" s="1297">
        <f t="shared" si="6"/>
        <v>0</v>
      </c>
      <c r="L125" s="1297">
        <f t="shared" si="6"/>
        <v>0</v>
      </c>
      <c r="M125" s="1297">
        <f t="shared" si="6"/>
        <v>0</v>
      </c>
      <c r="N125" s="1297">
        <f t="shared" si="6"/>
        <v>0</v>
      </c>
      <c r="O125" s="1297">
        <f t="shared" si="6"/>
        <v>0</v>
      </c>
      <c r="P125" s="1291">
        <f t="shared" si="6"/>
        <v>0</v>
      </c>
    </row>
    <row r="126" spans="1:16">
      <c r="A126" s="1296"/>
      <c r="B126" s="1297"/>
      <c r="C126" s="1297"/>
      <c r="D126" s="1297"/>
      <c r="E126" s="1297"/>
      <c r="F126" s="1297"/>
      <c r="G126" s="1297"/>
      <c r="H126" s="1297"/>
      <c r="I126" s="1297"/>
      <c r="J126" s="1297"/>
      <c r="K126" s="1297"/>
      <c r="L126" s="1297"/>
      <c r="M126" s="1297"/>
      <c r="N126" s="1297"/>
      <c r="O126" s="1297"/>
    </row>
    <row r="127" spans="1:16">
      <c r="A127" s="1300" t="s">
        <v>280</v>
      </c>
      <c r="B127" s="1301" t="s">
        <v>2154</v>
      </c>
      <c r="C127" s="1301" t="s">
        <v>2154</v>
      </c>
      <c r="D127" s="1301"/>
      <c r="E127" s="1301"/>
      <c r="F127" s="1301"/>
      <c r="G127" s="1301"/>
      <c r="H127" s="1301"/>
      <c r="I127" s="1301"/>
      <c r="J127" s="1301"/>
      <c r="K127" s="1301"/>
      <c r="L127" s="1301" t="s">
        <v>2154</v>
      </c>
      <c r="M127" s="1301"/>
      <c r="N127" s="1301"/>
      <c r="O127" s="1301"/>
    </row>
    <row r="128" spans="1:16">
      <c r="A128" s="1296"/>
      <c r="B128" s="1297"/>
      <c r="C128" s="1297"/>
      <c r="D128" s="1297"/>
      <c r="E128" s="1297"/>
      <c r="F128" s="1297"/>
      <c r="G128" s="1297"/>
      <c r="H128" s="1297"/>
      <c r="I128" s="1297"/>
      <c r="J128" s="1297"/>
      <c r="K128" s="1297"/>
      <c r="L128" s="1297"/>
      <c r="M128" s="1297"/>
      <c r="N128" s="1297"/>
      <c r="O128" s="1297"/>
    </row>
    <row r="129" spans="1:16">
      <c r="A129" s="1296"/>
      <c r="B129" s="1297">
        <f t="shared" ref="B129:P129" si="7">B100-B125</f>
        <v>0</v>
      </c>
      <c r="C129" s="1297">
        <f t="shared" si="7"/>
        <v>0</v>
      </c>
      <c r="D129" s="1297">
        <f t="shared" si="7"/>
        <v>0</v>
      </c>
      <c r="E129" s="1297">
        <f t="shared" si="7"/>
        <v>0</v>
      </c>
      <c r="F129" s="1297">
        <f t="shared" si="7"/>
        <v>0</v>
      </c>
      <c r="G129" s="1297">
        <f t="shared" si="7"/>
        <v>0</v>
      </c>
      <c r="H129" s="1297">
        <f t="shared" si="7"/>
        <v>0</v>
      </c>
      <c r="I129" s="1297">
        <f t="shared" si="7"/>
        <v>0</v>
      </c>
      <c r="J129" s="1297">
        <f t="shared" si="7"/>
        <v>0</v>
      </c>
      <c r="K129" s="1297">
        <f t="shared" si="7"/>
        <v>0</v>
      </c>
      <c r="L129" s="1297">
        <f t="shared" si="7"/>
        <v>0</v>
      </c>
      <c r="M129" s="1297">
        <f t="shared" si="7"/>
        <v>0</v>
      </c>
      <c r="N129" s="1297">
        <f t="shared" si="7"/>
        <v>0</v>
      </c>
      <c r="O129" s="1297">
        <f t="shared" si="7"/>
        <v>0</v>
      </c>
      <c r="P129" s="1291">
        <f t="shared" si="7"/>
        <v>0</v>
      </c>
    </row>
    <row r="130" spans="1:16">
      <c r="A130" s="1296"/>
      <c r="B130" s="1297"/>
      <c r="C130" s="1297"/>
      <c r="D130" s="1297"/>
      <c r="E130" s="1297"/>
      <c r="F130" s="1297"/>
      <c r="G130" s="1297"/>
      <c r="H130" s="1297"/>
      <c r="I130" s="1297"/>
      <c r="J130" s="1297"/>
      <c r="K130" s="1297"/>
      <c r="L130" s="1297"/>
      <c r="M130" s="1297"/>
      <c r="N130" s="1297"/>
      <c r="O130" s="1297"/>
    </row>
    <row r="131" spans="1:16">
      <c r="A131" s="1300" t="s">
        <v>303</v>
      </c>
      <c r="B131" s="1301" t="s">
        <v>2154</v>
      </c>
      <c r="C131" s="1301" t="s">
        <v>2154</v>
      </c>
      <c r="D131" s="1301"/>
      <c r="E131" s="1301"/>
      <c r="F131" s="1301"/>
      <c r="G131" s="1301"/>
      <c r="H131" s="1301"/>
      <c r="I131" s="1301"/>
      <c r="J131" s="1301"/>
      <c r="K131" s="1301"/>
      <c r="L131" s="1301" t="s">
        <v>2154</v>
      </c>
      <c r="M131" s="1301"/>
      <c r="N131" s="1301"/>
      <c r="O131" s="1301"/>
    </row>
    <row r="132" spans="1:16">
      <c r="A132" s="1300" t="s">
        <v>304</v>
      </c>
      <c r="B132" s="1301" t="s">
        <v>2154</v>
      </c>
      <c r="C132" s="1301" t="s">
        <v>2154</v>
      </c>
      <c r="D132" s="1301"/>
      <c r="E132" s="1301"/>
      <c r="F132" s="1301"/>
      <c r="G132" s="1301"/>
      <c r="H132" s="1301"/>
      <c r="I132" s="1301"/>
      <c r="J132" s="1301"/>
      <c r="K132" s="1301"/>
      <c r="L132" s="1301" t="s">
        <v>2154</v>
      </c>
      <c r="M132" s="1301"/>
      <c r="N132" s="1301"/>
      <c r="O132" s="1301"/>
    </row>
    <row r="133" spans="1:16">
      <c r="A133" s="1300" t="s">
        <v>305</v>
      </c>
      <c r="B133" s="1301" t="s">
        <v>2154</v>
      </c>
      <c r="C133" s="1301" t="s">
        <v>2154</v>
      </c>
      <c r="D133" s="1301"/>
      <c r="E133" s="1301"/>
      <c r="F133" s="1301"/>
      <c r="G133" s="1301"/>
      <c r="H133" s="1301"/>
      <c r="I133" s="1301"/>
      <c r="J133" s="1301"/>
      <c r="K133" s="1301"/>
      <c r="L133" s="1301" t="s">
        <v>2154</v>
      </c>
      <c r="M133" s="1301"/>
      <c r="N133" s="1301"/>
      <c r="O133" s="1301"/>
    </row>
    <row r="134" spans="1:16">
      <c r="A134" s="1300" t="s">
        <v>306</v>
      </c>
      <c r="B134" s="1301" t="s">
        <v>2154</v>
      </c>
      <c r="C134" s="1301" t="s">
        <v>2154</v>
      </c>
      <c r="D134" s="1301"/>
      <c r="E134" s="1301"/>
      <c r="F134" s="1301"/>
      <c r="G134" s="1301"/>
      <c r="H134" s="1301"/>
      <c r="I134" s="1301"/>
      <c r="J134" s="1301"/>
      <c r="K134" s="1301"/>
      <c r="L134" s="1301" t="s">
        <v>2154</v>
      </c>
      <c r="M134" s="1301"/>
      <c r="N134" s="1301"/>
      <c r="O134" s="1301"/>
    </row>
    <row r="135" spans="1:16">
      <c r="A135" s="1300" t="s">
        <v>307</v>
      </c>
      <c r="B135" s="1301" t="s">
        <v>2154</v>
      </c>
      <c r="C135" s="1301" t="s">
        <v>2154</v>
      </c>
      <c r="D135" s="1301"/>
      <c r="E135" s="1301"/>
      <c r="F135" s="1301"/>
      <c r="G135" s="1301"/>
      <c r="H135" s="1301"/>
      <c r="I135" s="1301"/>
      <c r="J135" s="1301"/>
      <c r="K135" s="1301"/>
      <c r="L135" s="1301" t="s">
        <v>2154</v>
      </c>
      <c r="M135" s="1301"/>
      <c r="N135" s="1301"/>
      <c r="O135" s="1301"/>
    </row>
    <row r="136" spans="1:16">
      <c r="A136" s="1300" t="s">
        <v>308</v>
      </c>
      <c r="B136" s="1301" t="s">
        <v>2154</v>
      </c>
      <c r="C136" s="1301" t="s">
        <v>2154</v>
      </c>
      <c r="D136" s="1301"/>
      <c r="E136" s="1301"/>
      <c r="F136" s="1301"/>
      <c r="G136" s="1301"/>
      <c r="H136" s="1301"/>
      <c r="I136" s="1301"/>
      <c r="J136" s="1301"/>
      <c r="K136" s="1301"/>
      <c r="L136" s="1301" t="s">
        <v>2154</v>
      </c>
      <c r="M136" s="1301"/>
      <c r="N136" s="1301"/>
      <c r="O136" s="1301"/>
    </row>
    <row r="137" spans="1:16">
      <c r="A137" s="1300" t="s">
        <v>309</v>
      </c>
      <c r="B137" s="1301" t="s">
        <v>2154</v>
      </c>
      <c r="C137" s="1301" t="s">
        <v>2154</v>
      </c>
      <c r="D137" s="1301"/>
      <c r="E137" s="1301"/>
      <c r="F137" s="1301"/>
      <c r="G137" s="1301"/>
      <c r="H137" s="1301"/>
      <c r="I137" s="1301"/>
      <c r="J137" s="1301"/>
      <c r="K137" s="1301"/>
      <c r="L137" s="1301" t="s">
        <v>2154</v>
      </c>
      <c r="M137" s="1301"/>
      <c r="N137" s="1301"/>
      <c r="O137" s="1301"/>
    </row>
    <row r="138" spans="1:16">
      <c r="A138" s="1300" t="s">
        <v>310</v>
      </c>
      <c r="B138" s="1301" t="s">
        <v>2154</v>
      </c>
      <c r="C138" s="1301" t="s">
        <v>2154</v>
      </c>
      <c r="D138" s="1301"/>
      <c r="E138" s="1301"/>
      <c r="F138" s="1301"/>
      <c r="G138" s="1301"/>
      <c r="H138" s="1301"/>
      <c r="I138" s="1301"/>
      <c r="J138" s="1301"/>
      <c r="K138" s="1301"/>
      <c r="L138" s="1301" t="s">
        <v>2154</v>
      </c>
      <c r="M138" s="1301"/>
      <c r="N138" s="1301"/>
      <c r="O138" s="1301"/>
    </row>
    <row r="139" spans="1:16">
      <c r="A139" s="1300" t="s">
        <v>3657</v>
      </c>
      <c r="B139" s="1301">
        <v>2430.73</v>
      </c>
      <c r="C139" s="1301" t="s">
        <v>2154</v>
      </c>
      <c r="D139" s="1297"/>
      <c r="E139" s="1297"/>
      <c r="F139" s="1297"/>
      <c r="G139" s="1297"/>
      <c r="H139" s="1297"/>
      <c r="I139" s="1297"/>
      <c r="J139" s="1297"/>
      <c r="K139" s="1301"/>
      <c r="L139" s="1301" t="s">
        <v>2154</v>
      </c>
      <c r="M139" s="1301"/>
      <c r="N139" s="1297"/>
      <c r="O139" s="1297"/>
    </row>
    <row r="140" spans="1:16">
      <c r="A140" s="1300" t="s">
        <v>3658</v>
      </c>
      <c r="B140" s="1301" t="s">
        <v>2154</v>
      </c>
      <c r="C140" s="1301" t="s">
        <v>2154</v>
      </c>
      <c r="D140" s="1301"/>
      <c r="E140" s="1301"/>
      <c r="F140" s="1301"/>
      <c r="G140" s="1301"/>
      <c r="H140" s="1301"/>
      <c r="I140" s="1301"/>
      <c r="J140" s="1301"/>
      <c r="K140" s="1301"/>
      <c r="L140" s="1301" t="s">
        <v>2154</v>
      </c>
      <c r="M140" s="1301"/>
      <c r="N140" s="1301"/>
      <c r="O140" s="1301"/>
    </row>
    <row r="141" spans="1:16">
      <c r="A141" s="1300" t="s">
        <v>3659</v>
      </c>
      <c r="B141" s="1301" t="s">
        <v>2154</v>
      </c>
      <c r="C141" s="1301" t="s">
        <v>2154</v>
      </c>
      <c r="D141" s="1301"/>
      <c r="E141" s="1301"/>
      <c r="F141" s="1301"/>
      <c r="G141" s="1301"/>
      <c r="H141" s="1301"/>
      <c r="I141" s="1301"/>
      <c r="J141" s="1301"/>
      <c r="K141" s="1301"/>
      <c r="L141" s="1301" t="s">
        <v>2154</v>
      </c>
      <c r="M141" s="1301"/>
      <c r="N141" s="1301"/>
      <c r="O141" s="1301"/>
    </row>
    <row r="142" spans="1:16">
      <c r="A142" s="1300" t="s">
        <v>3660</v>
      </c>
      <c r="B142" s="1301" t="s">
        <v>2154</v>
      </c>
      <c r="C142" s="1301" t="s">
        <v>2154</v>
      </c>
      <c r="D142" s="1301"/>
      <c r="E142" s="1301"/>
      <c r="F142" s="1301"/>
      <c r="G142" s="1301"/>
      <c r="H142" s="1301"/>
      <c r="I142" s="1301"/>
      <c r="J142" s="1301"/>
      <c r="K142" s="1301"/>
      <c r="L142" s="1301" t="s">
        <v>2154</v>
      </c>
      <c r="M142" s="1301"/>
      <c r="N142" s="1301"/>
      <c r="O142" s="1301"/>
    </row>
    <row r="143" spans="1:16">
      <c r="A143" s="1300" t="s">
        <v>3661</v>
      </c>
      <c r="B143" s="1301" t="s">
        <v>2154</v>
      </c>
      <c r="C143" s="1301" t="s">
        <v>2154</v>
      </c>
      <c r="D143" s="1301"/>
      <c r="E143" s="1301"/>
      <c r="F143" s="1301"/>
      <c r="G143" s="1301"/>
      <c r="H143" s="1301"/>
      <c r="I143" s="1301"/>
      <c r="J143" s="1301"/>
      <c r="K143" s="1301"/>
      <c r="L143" s="1301" t="s">
        <v>2154</v>
      </c>
      <c r="M143" s="1301"/>
      <c r="N143" s="1301"/>
      <c r="O143" s="1301"/>
    </row>
    <row r="144" spans="1:16">
      <c r="A144" s="1300" t="s">
        <v>3662</v>
      </c>
      <c r="B144" s="1301" t="s">
        <v>2154</v>
      </c>
      <c r="C144" s="1301" t="s">
        <v>2154</v>
      </c>
      <c r="D144" s="1301"/>
      <c r="E144" s="1301"/>
      <c r="F144" s="1301"/>
      <c r="G144" s="1301"/>
      <c r="H144" s="1301"/>
      <c r="I144" s="1301"/>
      <c r="J144" s="1301"/>
      <c r="K144" s="1301"/>
      <c r="L144" s="1301" t="s">
        <v>2154</v>
      </c>
      <c r="M144" s="1301"/>
      <c r="N144" s="1301"/>
      <c r="O144" s="1301"/>
    </row>
    <row r="145" spans="1:16">
      <c r="A145" s="1300" t="s">
        <v>3708</v>
      </c>
      <c r="B145" s="1301" t="s">
        <v>2154</v>
      </c>
      <c r="C145" s="1301" t="s">
        <v>2154</v>
      </c>
      <c r="D145" s="1301"/>
      <c r="E145" s="1301"/>
      <c r="F145" s="1301"/>
      <c r="G145" s="1301"/>
      <c r="H145" s="1301"/>
      <c r="I145" s="1301"/>
      <c r="J145" s="1301"/>
      <c r="K145" s="1301"/>
      <c r="L145" s="1301" t="s">
        <v>2154</v>
      </c>
      <c r="M145" s="1301"/>
      <c r="N145" s="1301"/>
      <c r="O145" s="1301"/>
    </row>
    <row r="146" spans="1:16">
      <c r="A146" s="1300" t="s">
        <v>3709</v>
      </c>
      <c r="B146" s="1301" t="s">
        <v>2154</v>
      </c>
      <c r="C146" s="1301" t="s">
        <v>2154</v>
      </c>
      <c r="D146" s="1301"/>
      <c r="E146" s="1301"/>
      <c r="F146" s="1301"/>
      <c r="G146" s="1301"/>
      <c r="H146" s="1301"/>
      <c r="I146" s="1301"/>
      <c r="J146" s="1301"/>
      <c r="K146" s="1301"/>
      <c r="L146" s="1301" t="s">
        <v>2154</v>
      </c>
      <c r="M146" s="1301"/>
      <c r="N146" s="1301"/>
      <c r="O146" s="1301"/>
    </row>
    <row r="147" spans="1:16">
      <c r="A147" s="1300" t="s">
        <v>3710</v>
      </c>
      <c r="B147" s="1301" t="s">
        <v>2154</v>
      </c>
      <c r="C147" s="1301" t="s">
        <v>2154</v>
      </c>
      <c r="D147" s="1301"/>
      <c r="E147" s="1301"/>
      <c r="F147" s="1301"/>
      <c r="G147" s="1301"/>
      <c r="H147" s="1301"/>
      <c r="I147" s="1301"/>
      <c r="J147" s="1301"/>
      <c r="K147" s="1301"/>
      <c r="L147" s="1301" t="s">
        <v>2154</v>
      </c>
      <c r="M147" s="1301"/>
      <c r="N147" s="1301"/>
      <c r="O147" s="1301"/>
    </row>
    <row r="148" spans="1:16">
      <c r="A148" s="1300" t="s">
        <v>3711</v>
      </c>
      <c r="B148" s="1301" t="s">
        <v>2154</v>
      </c>
      <c r="C148" s="1301" t="s">
        <v>2154</v>
      </c>
      <c r="D148" s="1301"/>
      <c r="E148" s="1301"/>
      <c r="F148" s="1301"/>
      <c r="G148" s="1301"/>
      <c r="H148" s="1301"/>
      <c r="I148" s="1301"/>
      <c r="J148" s="1301"/>
      <c r="K148" s="1301"/>
      <c r="L148" s="1301" t="s">
        <v>2154</v>
      </c>
      <c r="M148" s="1301"/>
      <c r="N148" s="1301"/>
      <c r="O148" s="1301"/>
    </row>
    <row r="149" spans="1:16">
      <c r="A149" s="1296"/>
      <c r="B149" s="1297">
        <f t="shared" ref="B149:P149" si="8">VALUE(SUM(B131:B148))</f>
        <v>2430.73</v>
      </c>
      <c r="C149" s="1297">
        <f t="shared" si="8"/>
        <v>0</v>
      </c>
      <c r="D149" s="1297">
        <f t="shared" si="8"/>
        <v>0</v>
      </c>
      <c r="E149" s="1297">
        <f t="shared" si="8"/>
        <v>0</v>
      </c>
      <c r="F149" s="1297">
        <f t="shared" si="8"/>
        <v>0</v>
      </c>
      <c r="G149" s="1297">
        <f t="shared" si="8"/>
        <v>0</v>
      </c>
      <c r="H149" s="1297">
        <f t="shared" si="8"/>
        <v>0</v>
      </c>
      <c r="I149" s="1297">
        <f t="shared" si="8"/>
        <v>0</v>
      </c>
      <c r="J149" s="1297">
        <f t="shared" si="8"/>
        <v>0</v>
      </c>
      <c r="K149" s="1297">
        <f t="shared" si="8"/>
        <v>0</v>
      </c>
      <c r="L149" s="1297">
        <f t="shared" si="8"/>
        <v>0</v>
      </c>
      <c r="M149" s="1297">
        <f t="shared" si="8"/>
        <v>0</v>
      </c>
      <c r="N149" s="1297">
        <f t="shared" si="8"/>
        <v>0</v>
      </c>
      <c r="O149" s="1297">
        <f t="shared" si="8"/>
        <v>0</v>
      </c>
      <c r="P149" s="1291">
        <f t="shared" si="8"/>
        <v>0</v>
      </c>
    </row>
    <row r="150" spans="1:16">
      <c r="A150" s="1296"/>
      <c r="B150" s="1297"/>
      <c r="C150" s="1297"/>
      <c r="D150" s="1297"/>
      <c r="E150" s="1297"/>
      <c r="F150" s="1297"/>
      <c r="G150" s="1297"/>
      <c r="H150" s="1297"/>
      <c r="I150" s="1297"/>
      <c r="J150" s="1297"/>
      <c r="K150" s="1297"/>
      <c r="L150" s="1297"/>
      <c r="M150" s="1297"/>
      <c r="N150" s="1297"/>
      <c r="O150" s="1297"/>
    </row>
    <row r="151" spans="1:16">
      <c r="A151" s="1300" t="s">
        <v>3712</v>
      </c>
      <c r="B151" s="1297">
        <v>29533.29</v>
      </c>
      <c r="C151" s="1297">
        <v>8980.9699999999993</v>
      </c>
      <c r="D151" s="1297"/>
      <c r="E151" s="1297"/>
      <c r="F151" s="1297"/>
      <c r="G151" s="1297"/>
      <c r="H151" s="1297"/>
      <c r="I151" s="1297"/>
      <c r="J151" s="1297"/>
      <c r="K151" s="1301"/>
      <c r="L151" s="1301">
        <v>3106.24</v>
      </c>
      <c r="M151" s="1301"/>
      <c r="N151" s="1297"/>
      <c r="O151" s="1297"/>
    </row>
    <row r="152" spans="1:16">
      <c r="A152" s="1300" t="s">
        <v>3713</v>
      </c>
      <c r="B152" s="1301" t="s">
        <v>2154</v>
      </c>
      <c r="C152" s="1301" t="s">
        <v>2154</v>
      </c>
      <c r="D152" s="1301"/>
      <c r="E152" s="1301"/>
      <c r="F152" s="1301"/>
      <c r="G152" s="1301"/>
      <c r="H152" s="1301"/>
      <c r="I152" s="1301"/>
      <c r="J152" s="1301"/>
      <c r="K152" s="1301"/>
      <c r="L152" s="1301" t="s">
        <v>2154</v>
      </c>
      <c r="M152" s="1301"/>
      <c r="N152" s="1301"/>
      <c r="O152" s="1301"/>
    </row>
    <row r="153" spans="1:16">
      <c r="A153" s="1300" t="s">
        <v>3714</v>
      </c>
      <c r="B153" s="1301" t="s">
        <v>2154</v>
      </c>
      <c r="C153" s="1301" t="s">
        <v>2154</v>
      </c>
      <c r="D153" s="1301"/>
      <c r="E153" s="1301"/>
      <c r="F153" s="1301"/>
      <c r="G153" s="1301"/>
      <c r="H153" s="1301"/>
      <c r="I153" s="1301"/>
      <c r="J153" s="1301"/>
      <c r="K153" s="1301"/>
      <c r="L153" s="1301" t="s">
        <v>2154</v>
      </c>
      <c r="M153" s="1301"/>
      <c r="N153" s="1301"/>
      <c r="O153" s="1301"/>
    </row>
    <row r="154" spans="1:16">
      <c r="A154" s="1300" t="s">
        <v>3715</v>
      </c>
      <c r="B154" s="1301">
        <v>7801.45</v>
      </c>
      <c r="C154" s="1301">
        <v>1288.46</v>
      </c>
      <c r="D154" s="1301"/>
      <c r="E154" s="1301"/>
      <c r="F154" s="1301"/>
      <c r="G154" s="1301"/>
      <c r="H154" s="1301"/>
      <c r="I154" s="1301"/>
      <c r="J154" s="1297"/>
      <c r="K154" s="1301"/>
      <c r="L154" s="1301">
        <v>957.91</v>
      </c>
      <c r="M154" s="1297"/>
      <c r="N154" s="1297"/>
      <c r="O154" s="1297"/>
    </row>
    <row r="155" spans="1:16">
      <c r="A155" s="1300" t="s">
        <v>3716</v>
      </c>
      <c r="B155" s="1301" t="s">
        <v>2154</v>
      </c>
      <c r="C155" s="1301" t="s">
        <v>2154</v>
      </c>
      <c r="D155" s="1301"/>
      <c r="E155" s="1301"/>
      <c r="F155" s="1301"/>
      <c r="G155" s="1301"/>
      <c r="H155" s="1301"/>
      <c r="I155" s="1301"/>
      <c r="J155" s="1301"/>
      <c r="K155" s="1301"/>
      <c r="L155" s="1301" t="s">
        <v>2154</v>
      </c>
      <c r="M155" s="1301"/>
      <c r="N155" s="1301"/>
      <c r="O155" s="1301"/>
    </row>
    <row r="156" spans="1:16">
      <c r="A156" s="1300" t="s">
        <v>3717</v>
      </c>
      <c r="B156" s="1301" t="s">
        <v>2154</v>
      </c>
      <c r="C156" s="1301" t="s">
        <v>2154</v>
      </c>
      <c r="D156" s="1301"/>
      <c r="E156" s="1301"/>
      <c r="F156" s="1301"/>
      <c r="G156" s="1301"/>
      <c r="H156" s="1301"/>
      <c r="I156" s="1301"/>
      <c r="J156" s="1301"/>
      <c r="K156" s="1301"/>
      <c r="L156" s="1301" t="s">
        <v>2154</v>
      </c>
      <c r="M156" s="1301"/>
      <c r="N156" s="1301"/>
      <c r="O156" s="1301"/>
    </row>
    <row r="157" spans="1:16">
      <c r="A157" s="1300" t="s">
        <v>3718</v>
      </c>
      <c r="B157" s="1301" t="s">
        <v>2154</v>
      </c>
      <c r="C157" s="1301" t="s">
        <v>2154</v>
      </c>
      <c r="D157" s="1301"/>
      <c r="E157" s="1301"/>
      <c r="F157" s="1301"/>
      <c r="G157" s="1301"/>
      <c r="H157" s="1301"/>
      <c r="I157" s="1301"/>
      <c r="J157" s="1301"/>
      <c r="K157" s="1301"/>
      <c r="L157" s="1301" t="s">
        <v>2154</v>
      </c>
      <c r="M157" s="1301"/>
      <c r="N157" s="1301"/>
      <c r="O157" s="1301"/>
    </row>
    <row r="158" spans="1:16">
      <c r="A158" s="1300" t="s">
        <v>3719</v>
      </c>
      <c r="B158" s="1301" t="s">
        <v>2154</v>
      </c>
      <c r="C158" s="1301" t="s">
        <v>2154</v>
      </c>
      <c r="D158" s="1301"/>
      <c r="E158" s="1301"/>
      <c r="F158" s="1301"/>
      <c r="G158" s="1301"/>
      <c r="H158" s="1301"/>
      <c r="I158" s="1301"/>
      <c r="J158" s="1301"/>
      <c r="K158" s="1301"/>
      <c r="L158" s="1301" t="s">
        <v>2154</v>
      </c>
      <c r="M158" s="1301"/>
      <c r="N158" s="1301"/>
      <c r="O158" s="1301"/>
    </row>
    <row r="159" spans="1:16">
      <c r="A159" s="1300" t="s">
        <v>3720</v>
      </c>
      <c r="B159" s="1301" t="s">
        <v>2154</v>
      </c>
      <c r="C159" s="1301" t="s">
        <v>2154</v>
      </c>
      <c r="D159" s="1301"/>
      <c r="E159" s="1301"/>
      <c r="F159" s="1301"/>
      <c r="G159" s="1301"/>
      <c r="H159" s="1301"/>
      <c r="I159" s="1301"/>
      <c r="J159" s="1301"/>
      <c r="K159" s="1301"/>
      <c r="L159" s="1301" t="s">
        <v>2154</v>
      </c>
      <c r="M159" s="1301"/>
      <c r="N159" s="1301"/>
      <c r="O159" s="1301"/>
    </row>
    <row r="160" spans="1:16">
      <c r="A160" s="1296"/>
      <c r="B160" s="1297">
        <f t="shared" ref="B160:P160" si="9">SUM(B151:B159)</f>
        <v>37334.74</v>
      </c>
      <c r="C160" s="1297">
        <f t="shared" si="9"/>
        <v>10269.43</v>
      </c>
      <c r="D160" s="1297">
        <f t="shared" si="9"/>
        <v>0</v>
      </c>
      <c r="E160" s="1297">
        <f t="shared" si="9"/>
        <v>0</v>
      </c>
      <c r="F160" s="1297">
        <f t="shared" si="9"/>
        <v>0</v>
      </c>
      <c r="G160" s="1297">
        <f t="shared" si="9"/>
        <v>0</v>
      </c>
      <c r="H160" s="1297">
        <f t="shared" si="9"/>
        <v>0</v>
      </c>
      <c r="I160" s="1297">
        <f t="shared" si="9"/>
        <v>0</v>
      </c>
      <c r="J160" s="1297">
        <f t="shared" si="9"/>
        <v>0</v>
      </c>
      <c r="K160" s="1297">
        <f t="shared" si="9"/>
        <v>0</v>
      </c>
      <c r="L160" s="1297">
        <f t="shared" si="9"/>
        <v>4064.1499999999996</v>
      </c>
      <c r="M160" s="1297">
        <f t="shared" si="9"/>
        <v>0</v>
      </c>
      <c r="N160" s="1297">
        <f t="shared" si="9"/>
        <v>0</v>
      </c>
      <c r="O160" s="1297">
        <f t="shared" si="9"/>
        <v>0</v>
      </c>
      <c r="P160" s="1291">
        <f t="shared" si="9"/>
        <v>0</v>
      </c>
    </row>
    <row r="161" spans="1:15">
      <c r="A161" s="1296"/>
      <c r="B161" s="1297"/>
      <c r="C161" s="1297"/>
      <c r="D161" s="1297"/>
      <c r="E161" s="1297"/>
      <c r="F161" s="1297"/>
      <c r="G161" s="1297"/>
      <c r="H161" s="1297"/>
      <c r="I161" s="1297"/>
      <c r="J161" s="1297"/>
      <c r="K161" s="1297"/>
      <c r="L161" s="1297"/>
      <c r="M161" s="1297"/>
      <c r="N161" s="1297"/>
      <c r="O161" s="1297"/>
    </row>
    <row r="162" spans="1:15">
      <c r="A162" s="1300" t="s">
        <v>2245</v>
      </c>
      <c r="B162" s="1301" t="s">
        <v>2154</v>
      </c>
      <c r="C162" s="1301" t="s">
        <v>2154</v>
      </c>
      <c r="D162" s="1301"/>
      <c r="E162" s="1301"/>
      <c r="F162" s="1301"/>
      <c r="G162" s="1301"/>
      <c r="H162" s="1301"/>
      <c r="I162" s="1301"/>
      <c r="J162" s="1301"/>
      <c r="K162" s="1301"/>
      <c r="L162" s="1301" t="s">
        <v>2154</v>
      </c>
      <c r="M162" s="1301"/>
      <c r="N162" s="1301"/>
      <c r="O162" s="1301"/>
    </row>
    <row r="163" spans="1:15">
      <c r="A163" s="1300" t="s">
        <v>2246</v>
      </c>
      <c r="B163" s="1301" t="s">
        <v>2154</v>
      </c>
      <c r="C163" s="1301" t="s">
        <v>2154</v>
      </c>
      <c r="D163" s="1301"/>
      <c r="E163" s="1301"/>
      <c r="F163" s="1301"/>
      <c r="G163" s="1301"/>
      <c r="H163" s="1301"/>
      <c r="I163" s="1301"/>
      <c r="J163" s="1301"/>
      <c r="K163" s="1301"/>
      <c r="L163" s="1301" t="s">
        <v>2154</v>
      </c>
      <c r="M163" s="1301"/>
      <c r="N163" s="1301"/>
      <c r="O163" s="1301"/>
    </row>
    <row r="164" spans="1:15">
      <c r="A164" s="1300" t="s">
        <v>3721</v>
      </c>
      <c r="B164" s="1301" t="s">
        <v>2154</v>
      </c>
      <c r="C164" s="1301" t="s">
        <v>2154</v>
      </c>
      <c r="D164" s="1301"/>
      <c r="E164" s="1301"/>
      <c r="F164" s="1301"/>
      <c r="G164" s="1301"/>
      <c r="H164" s="1301"/>
      <c r="I164" s="1301"/>
      <c r="J164" s="1301"/>
      <c r="K164" s="1301"/>
      <c r="L164" s="1301" t="s">
        <v>2154</v>
      </c>
      <c r="M164" s="1301"/>
      <c r="N164" s="1301"/>
      <c r="O164" s="1301"/>
    </row>
    <row r="165" spans="1:15">
      <c r="A165" s="1300" t="s">
        <v>3722</v>
      </c>
      <c r="B165" s="1297">
        <v>4538.54</v>
      </c>
      <c r="C165" s="1297">
        <v>27446.65</v>
      </c>
      <c r="D165" s="1297"/>
      <c r="E165" s="1297"/>
      <c r="F165" s="1297"/>
      <c r="G165" s="1297"/>
      <c r="H165" s="1297"/>
      <c r="I165" s="1297"/>
      <c r="J165" s="1297"/>
      <c r="K165" s="1301"/>
      <c r="L165" s="1297">
        <v>17838.060000000001</v>
      </c>
      <c r="M165" s="1297"/>
      <c r="N165" s="1297"/>
      <c r="O165" s="1297"/>
    </row>
    <row r="166" spans="1:15">
      <c r="A166" s="1300" t="s">
        <v>3723</v>
      </c>
      <c r="B166" s="1301" t="s">
        <v>2154</v>
      </c>
      <c r="C166" s="1301" t="s">
        <v>2154</v>
      </c>
      <c r="D166" s="1301"/>
      <c r="E166" s="1301"/>
      <c r="F166" s="1301"/>
      <c r="G166" s="1301"/>
      <c r="H166" s="1301"/>
      <c r="I166" s="1301"/>
      <c r="J166" s="1301"/>
      <c r="K166" s="1301"/>
      <c r="L166" s="1301" t="s">
        <v>2154</v>
      </c>
      <c r="M166" s="1301"/>
      <c r="N166" s="1301"/>
      <c r="O166" s="1301"/>
    </row>
    <row r="167" spans="1:15">
      <c r="A167" s="1300" t="s">
        <v>3724</v>
      </c>
      <c r="B167" s="1301" t="s">
        <v>2154</v>
      </c>
      <c r="C167" s="1301" t="s">
        <v>2154</v>
      </c>
      <c r="D167" s="1301"/>
      <c r="E167" s="1301"/>
      <c r="F167" s="1301"/>
      <c r="G167" s="1301"/>
      <c r="H167" s="1301"/>
      <c r="I167" s="1301"/>
      <c r="J167" s="1301"/>
      <c r="K167" s="1301"/>
      <c r="L167" s="1301" t="s">
        <v>2154</v>
      </c>
      <c r="M167" s="1301"/>
      <c r="N167" s="1301"/>
      <c r="O167" s="1301"/>
    </row>
    <row r="168" spans="1:15">
      <c r="A168" s="1300" t="s">
        <v>3725</v>
      </c>
      <c r="B168" s="1301" t="s">
        <v>2154</v>
      </c>
      <c r="C168" s="1301" t="s">
        <v>2154</v>
      </c>
      <c r="D168" s="1301"/>
      <c r="E168" s="1301"/>
      <c r="F168" s="1301"/>
      <c r="G168" s="1301"/>
      <c r="H168" s="1301"/>
      <c r="I168" s="1301"/>
      <c r="J168" s="1301"/>
      <c r="K168" s="1301"/>
      <c r="L168" s="1301" t="s">
        <v>2154</v>
      </c>
      <c r="M168" s="1301"/>
      <c r="N168" s="1301"/>
      <c r="O168" s="1301"/>
    </row>
    <row r="169" spans="1:15">
      <c r="A169" s="1300" t="s">
        <v>3726</v>
      </c>
      <c r="B169" s="1301" t="s">
        <v>2154</v>
      </c>
      <c r="C169" s="1301" t="s">
        <v>2154</v>
      </c>
      <c r="D169" s="1301"/>
      <c r="E169" s="1301"/>
      <c r="F169" s="1301"/>
      <c r="G169" s="1301"/>
      <c r="H169" s="1301"/>
      <c r="I169" s="1301"/>
      <c r="J169" s="1301"/>
      <c r="K169" s="1301"/>
      <c r="L169" s="1301" t="s">
        <v>2154</v>
      </c>
      <c r="M169" s="1301"/>
      <c r="N169" s="1301"/>
      <c r="O169" s="1301"/>
    </row>
    <row r="170" spans="1:15">
      <c r="A170" s="1300" t="s">
        <v>3727</v>
      </c>
      <c r="B170" s="1301" t="s">
        <v>2154</v>
      </c>
      <c r="C170" s="1301" t="s">
        <v>2154</v>
      </c>
      <c r="D170" s="1301"/>
      <c r="E170" s="1301"/>
      <c r="F170" s="1301"/>
      <c r="G170" s="1301"/>
      <c r="H170" s="1301"/>
      <c r="I170" s="1301"/>
      <c r="J170" s="1301"/>
      <c r="K170" s="1301"/>
      <c r="L170" s="1301" t="s">
        <v>2154</v>
      </c>
      <c r="M170" s="1301"/>
      <c r="N170" s="1301"/>
      <c r="O170" s="1301"/>
    </row>
    <row r="171" spans="1:15">
      <c r="A171" s="1300" t="s">
        <v>3728</v>
      </c>
      <c r="B171" s="1301" t="s">
        <v>2154</v>
      </c>
      <c r="C171" s="1301" t="s">
        <v>2154</v>
      </c>
      <c r="D171" s="1301"/>
      <c r="E171" s="1301"/>
      <c r="F171" s="1301"/>
      <c r="G171" s="1301"/>
      <c r="H171" s="1301"/>
      <c r="I171" s="1301"/>
      <c r="J171" s="1301"/>
      <c r="K171" s="1301"/>
      <c r="L171" s="1301" t="s">
        <v>2154</v>
      </c>
      <c r="M171" s="1301"/>
      <c r="N171" s="1301"/>
      <c r="O171" s="1301"/>
    </row>
    <row r="172" spans="1:15">
      <c r="A172" s="1300" t="s">
        <v>3729</v>
      </c>
      <c r="B172" s="1301" t="s">
        <v>2154</v>
      </c>
      <c r="C172" s="1301" t="s">
        <v>2154</v>
      </c>
      <c r="D172" s="1301"/>
      <c r="E172" s="1301"/>
      <c r="F172" s="1301"/>
      <c r="G172" s="1301"/>
      <c r="H172" s="1301"/>
      <c r="I172" s="1301"/>
      <c r="J172" s="1301"/>
      <c r="K172" s="1301"/>
      <c r="L172" s="1301" t="s">
        <v>2154</v>
      </c>
      <c r="M172" s="1301"/>
      <c r="N172" s="1301"/>
      <c r="O172" s="1301"/>
    </row>
    <row r="173" spans="1:15">
      <c r="A173" s="1300" t="s">
        <v>3730</v>
      </c>
      <c r="B173" s="1301" t="s">
        <v>2154</v>
      </c>
      <c r="C173" s="1301" t="s">
        <v>2154</v>
      </c>
      <c r="D173" s="1301"/>
      <c r="E173" s="1301"/>
      <c r="F173" s="1301"/>
      <c r="G173" s="1301"/>
      <c r="H173" s="1301"/>
      <c r="I173" s="1301"/>
      <c r="J173" s="1301"/>
      <c r="K173" s="1301"/>
      <c r="L173" s="1301" t="s">
        <v>2154</v>
      </c>
      <c r="M173" s="1301"/>
      <c r="N173" s="1301"/>
      <c r="O173" s="1301"/>
    </row>
    <row r="174" spans="1:15">
      <c r="A174" s="1300" t="s">
        <v>3731</v>
      </c>
      <c r="B174" s="1301" t="s">
        <v>2154</v>
      </c>
      <c r="C174" s="1301" t="s">
        <v>2154</v>
      </c>
      <c r="D174" s="1301"/>
      <c r="E174" s="1301"/>
      <c r="F174" s="1301"/>
      <c r="G174" s="1301"/>
      <c r="H174" s="1301"/>
      <c r="I174" s="1301"/>
      <c r="J174" s="1301"/>
      <c r="K174" s="1301"/>
      <c r="L174" s="1301" t="s">
        <v>2154</v>
      </c>
      <c r="M174" s="1301"/>
      <c r="N174" s="1301"/>
      <c r="O174" s="1301"/>
    </row>
    <row r="175" spans="1:15">
      <c r="A175" s="1300" t="s">
        <v>3732</v>
      </c>
      <c r="B175" s="1301" t="s">
        <v>2154</v>
      </c>
      <c r="C175" s="1301" t="s">
        <v>2154</v>
      </c>
      <c r="D175" s="1301"/>
      <c r="E175" s="1301"/>
      <c r="F175" s="1301"/>
      <c r="G175" s="1301"/>
      <c r="H175" s="1301"/>
      <c r="I175" s="1301"/>
      <c r="J175" s="1301"/>
      <c r="K175" s="1301"/>
      <c r="L175" s="1301" t="s">
        <v>2154</v>
      </c>
      <c r="M175" s="1301"/>
      <c r="N175" s="1301"/>
      <c r="O175" s="1301"/>
    </row>
    <row r="176" spans="1:15">
      <c r="A176" s="1300" t="s">
        <v>3733</v>
      </c>
      <c r="B176" s="1301" t="s">
        <v>2154</v>
      </c>
      <c r="C176" s="1301" t="s">
        <v>2154</v>
      </c>
      <c r="D176" s="1301"/>
      <c r="E176" s="1301"/>
      <c r="F176" s="1301"/>
      <c r="G176" s="1301"/>
      <c r="H176" s="1301"/>
      <c r="I176" s="1301"/>
      <c r="J176" s="1301"/>
      <c r="K176" s="1301"/>
      <c r="L176" s="1301" t="s">
        <v>2154</v>
      </c>
      <c r="M176" s="1301"/>
      <c r="N176" s="1301"/>
      <c r="O176" s="1301"/>
    </row>
    <row r="177" spans="1:15">
      <c r="A177" s="1300" t="s">
        <v>3734</v>
      </c>
      <c r="B177" s="1301" t="s">
        <v>2154</v>
      </c>
      <c r="C177" s="1301" t="s">
        <v>2154</v>
      </c>
      <c r="D177" s="1301"/>
      <c r="E177" s="1301"/>
      <c r="F177" s="1301"/>
      <c r="G177" s="1301"/>
      <c r="H177" s="1301"/>
      <c r="I177" s="1301"/>
      <c r="J177" s="1301"/>
      <c r="K177" s="1301"/>
      <c r="L177" s="1301" t="s">
        <v>2154</v>
      </c>
      <c r="M177" s="1301"/>
      <c r="N177" s="1301"/>
      <c r="O177" s="1301"/>
    </row>
    <row r="178" spans="1:15">
      <c r="A178" s="1300" t="s">
        <v>3735</v>
      </c>
      <c r="B178" s="1301" t="s">
        <v>2154</v>
      </c>
      <c r="C178" s="1301" t="s">
        <v>2154</v>
      </c>
      <c r="D178" s="1301"/>
      <c r="E178" s="1301"/>
      <c r="F178" s="1301"/>
      <c r="G178" s="1301"/>
      <c r="H178" s="1301"/>
      <c r="I178" s="1301"/>
      <c r="J178" s="1301"/>
      <c r="K178" s="1301"/>
      <c r="L178" s="1301" t="s">
        <v>2154</v>
      </c>
      <c r="M178" s="1301"/>
      <c r="N178" s="1301"/>
      <c r="O178" s="1301"/>
    </row>
    <row r="179" spans="1:15">
      <c r="A179" s="1300" t="s">
        <v>3736</v>
      </c>
      <c r="B179" s="1301" t="s">
        <v>2154</v>
      </c>
      <c r="C179" s="1301" t="s">
        <v>2154</v>
      </c>
      <c r="D179" s="1301"/>
      <c r="E179" s="1301"/>
      <c r="F179" s="1301"/>
      <c r="G179" s="1301"/>
      <c r="H179" s="1301"/>
      <c r="I179" s="1301"/>
      <c r="J179" s="1301"/>
      <c r="K179" s="1301"/>
      <c r="L179" s="1301" t="s">
        <v>2154</v>
      </c>
      <c r="M179" s="1301"/>
      <c r="N179" s="1301"/>
      <c r="O179" s="1301"/>
    </row>
    <row r="180" spans="1:15">
      <c r="A180" s="1300" t="s">
        <v>3737</v>
      </c>
      <c r="B180" s="1301" t="s">
        <v>2154</v>
      </c>
      <c r="C180" s="1301" t="s">
        <v>2154</v>
      </c>
      <c r="D180" s="1301"/>
      <c r="E180" s="1301"/>
      <c r="F180" s="1301"/>
      <c r="G180" s="1301"/>
      <c r="H180" s="1301"/>
      <c r="I180" s="1301"/>
      <c r="J180" s="1301"/>
      <c r="K180" s="1301"/>
      <c r="L180" s="1301" t="s">
        <v>2154</v>
      </c>
      <c r="M180" s="1301"/>
      <c r="N180" s="1301"/>
      <c r="O180" s="1301"/>
    </row>
    <row r="181" spans="1:15">
      <c r="A181" s="1300" t="s">
        <v>3738</v>
      </c>
      <c r="B181" s="1301" t="s">
        <v>2154</v>
      </c>
      <c r="C181" s="1301" t="s">
        <v>2154</v>
      </c>
      <c r="D181" s="1301"/>
      <c r="E181" s="1301"/>
      <c r="F181" s="1301"/>
      <c r="G181" s="1301"/>
      <c r="H181" s="1301"/>
      <c r="I181" s="1301"/>
      <c r="J181" s="1301"/>
      <c r="K181" s="1301"/>
      <c r="L181" s="1301" t="s">
        <v>2154</v>
      </c>
      <c r="M181" s="1301"/>
      <c r="N181" s="1301"/>
      <c r="O181" s="1301"/>
    </row>
    <row r="182" spans="1:15">
      <c r="A182" s="1300" t="s">
        <v>3739</v>
      </c>
      <c r="B182" s="1301" t="s">
        <v>2154</v>
      </c>
      <c r="C182" s="1301" t="s">
        <v>2154</v>
      </c>
      <c r="D182" s="1301"/>
      <c r="E182" s="1301"/>
      <c r="F182" s="1301"/>
      <c r="G182" s="1301"/>
      <c r="H182" s="1301"/>
      <c r="I182" s="1301"/>
      <c r="J182" s="1301"/>
      <c r="K182" s="1301"/>
      <c r="L182" s="1301" t="s">
        <v>2154</v>
      </c>
      <c r="M182" s="1301"/>
      <c r="N182" s="1301"/>
      <c r="O182" s="1301"/>
    </row>
    <row r="183" spans="1:15">
      <c r="A183" s="1300" t="s">
        <v>3740</v>
      </c>
      <c r="B183" s="1301" t="s">
        <v>2154</v>
      </c>
      <c r="C183" s="1301" t="s">
        <v>2154</v>
      </c>
      <c r="D183" s="1301"/>
      <c r="E183" s="1301"/>
      <c r="F183" s="1301"/>
      <c r="G183" s="1301"/>
      <c r="H183" s="1301"/>
      <c r="I183" s="1301"/>
      <c r="J183" s="1301"/>
      <c r="K183" s="1301"/>
      <c r="L183" s="1301" t="s">
        <v>2154</v>
      </c>
      <c r="M183" s="1301"/>
      <c r="N183" s="1301"/>
      <c r="O183" s="1301"/>
    </row>
    <row r="184" spans="1:15">
      <c r="A184" s="1300" t="s">
        <v>3741</v>
      </c>
      <c r="B184" s="1301" t="s">
        <v>2154</v>
      </c>
      <c r="C184" s="1301" t="s">
        <v>2154</v>
      </c>
      <c r="D184" s="1301"/>
      <c r="E184" s="1301"/>
      <c r="F184" s="1301"/>
      <c r="G184" s="1301"/>
      <c r="H184" s="1301"/>
      <c r="I184" s="1301"/>
      <c r="J184" s="1301"/>
      <c r="K184" s="1301"/>
      <c r="L184" s="1301" t="s">
        <v>2154</v>
      </c>
      <c r="M184" s="1301"/>
      <c r="N184" s="1301"/>
      <c r="O184" s="1301"/>
    </row>
    <row r="185" spans="1:15">
      <c r="A185" s="1300" t="s">
        <v>3742</v>
      </c>
      <c r="B185" s="1301" t="s">
        <v>2154</v>
      </c>
      <c r="C185" s="1301" t="s">
        <v>2154</v>
      </c>
      <c r="D185" s="1301"/>
      <c r="E185" s="1301"/>
      <c r="F185" s="1301"/>
      <c r="G185" s="1301"/>
      <c r="H185" s="1301"/>
      <c r="I185" s="1301"/>
      <c r="J185" s="1301"/>
      <c r="K185" s="1301"/>
      <c r="L185" s="1301" t="s">
        <v>2154</v>
      </c>
      <c r="M185" s="1301"/>
      <c r="N185" s="1301"/>
      <c r="O185" s="1301"/>
    </row>
    <row r="186" spans="1:15">
      <c r="A186" s="1300" t="s">
        <v>3743</v>
      </c>
      <c r="B186" s="1301" t="s">
        <v>2154</v>
      </c>
      <c r="C186" s="1301" t="s">
        <v>2154</v>
      </c>
      <c r="D186" s="1301"/>
      <c r="E186" s="1301"/>
      <c r="F186" s="1301"/>
      <c r="G186" s="1301"/>
      <c r="H186" s="1301"/>
      <c r="I186" s="1301"/>
      <c r="J186" s="1301"/>
      <c r="K186" s="1301"/>
      <c r="L186" s="1301" t="s">
        <v>2154</v>
      </c>
      <c r="M186" s="1301"/>
      <c r="N186" s="1301"/>
      <c r="O186" s="1301"/>
    </row>
    <row r="187" spans="1:15">
      <c r="A187" s="1300" t="s">
        <v>3744</v>
      </c>
      <c r="B187" s="1301" t="s">
        <v>2154</v>
      </c>
      <c r="C187" s="1301" t="s">
        <v>2154</v>
      </c>
      <c r="D187" s="1301"/>
      <c r="E187" s="1301"/>
      <c r="F187" s="1301"/>
      <c r="G187" s="1301"/>
      <c r="H187" s="1301"/>
      <c r="I187" s="1301"/>
      <c r="J187" s="1301"/>
      <c r="K187" s="1301"/>
      <c r="L187" s="1301" t="s">
        <v>2154</v>
      </c>
      <c r="M187" s="1301"/>
      <c r="N187" s="1301"/>
      <c r="O187" s="1301"/>
    </row>
    <row r="188" spans="1:15">
      <c r="A188" s="1300" t="s">
        <v>3745</v>
      </c>
      <c r="B188" s="1301" t="s">
        <v>2154</v>
      </c>
      <c r="C188" s="1301" t="s">
        <v>2154</v>
      </c>
      <c r="D188" s="1301"/>
      <c r="E188" s="1301"/>
      <c r="F188" s="1301"/>
      <c r="G188" s="1301"/>
      <c r="H188" s="1301"/>
      <c r="I188" s="1301"/>
      <c r="J188" s="1301"/>
      <c r="K188" s="1301"/>
      <c r="L188" s="1301" t="s">
        <v>2154</v>
      </c>
      <c r="M188" s="1301"/>
      <c r="N188" s="1301"/>
      <c r="O188" s="1301"/>
    </row>
    <row r="189" spans="1:15">
      <c r="A189" s="1300" t="s">
        <v>3746</v>
      </c>
      <c r="B189" s="1301" t="s">
        <v>2154</v>
      </c>
      <c r="C189" s="1301" t="s">
        <v>2154</v>
      </c>
      <c r="D189" s="1301"/>
      <c r="E189" s="1301"/>
      <c r="F189" s="1301"/>
      <c r="G189" s="1301"/>
      <c r="H189" s="1301"/>
      <c r="I189" s="1301"/>
      <c r="J189" s="1301"/>
      <c r="K189" s="1301"/>
      <c r="L189" s="1301" t="s">
        <v>2154</v>
      </c>
      <c r="M189" s="1301"/>
      <c r="N189" s="1301"/>
      <c r="O189" s="1301"/>
    </row>
    <row r="190" spans="1:15">
      <c r="A190" s="1300" t="s">
        <v>3711</v>
      </c>
      <c r="B190" s="1301" t="s">
        <v>2154</v>
      </c>
      <c r="C190" s="1301" t="s">
        <v>2154</v>
      </c>
      <c r="D190" s="1301"/>
      <c r="E190" s="1301"/>
      <c r="F190" s="1301"/>
      <c r="G190" s="1301"/>
      <c r="H190" s="1301"/>
      <c r="I190" s="1301"/>
      <c r="J190" s="1301"/>
      <c r="K190" s="1301"/>
      <c r="L190" s="1301" t="s">
        <v>2154</v>
      </c>
      <c r="M190" s="1301"/>
      <c r="N190" s="1301"/>
      <c r="O190" s="1301"/>
    </row>
    <row r="191" spans="1:15">
      <c r="A191" s="1300" t="s">
        <v>3747</v>
      </c>
      <c r="B191" s="1301" t="s">
        <v>2154</v>
      </c>
      <c r="C191" s="1301" t="s">
        <v>2154</v>
      </c>
      <c r="D191" s="1301"/>
      <c r="E191" s="1301"/>
      <c r="F191" s="1301"/>
      <c r="G191" s="1301"/>
      <c r="H191" s="1301"/>
      <c r="I191" s="1301"/>
      <c r="J191" s="1301"/>
      <c r="K191" s="1301"/>
      <c r="L191" s="1301" t="s">
        <v>2154</v>
      </c>
      <c r="M191" s="1301"/>
      <c r="N191" s="1301"/>
      <c r="O191" s="1301"/>
    </row>
    <row r="192" spans="1:15">
      <c r="A192" s="1300" t="s">
        <v>3748</v>
      </c>
      <c r="B192" s="1301" t="s">
        <v>2154</v>
      </c>
      <c r="C192" s="1301" t="s">
        <v>2154</v>
      </c>
      <c r="D192" s="1301"/>
      <c r="E192" s="1301"/>
      <c r="F192" s="1301"/>
      <c r="G192" s="1301"/>
      <c r="H192" s="1301"/>
      <c r="I192" s="1301"/>
      <c r="J192" s="1301"/>
      <c r="K192" s="1301"/>
      <c r="L192" s="1301" t="s">
        <v>2154</v>
      </c>
      <c r="M192" s="1301"/>
      <c r="N192" s="1301"/>
      <c r="O192" s="1301"/>
    </row>
    <row r="193" spans="1:15">
      <c r="A193" s="1300" t="s">
        <v>3749</v>
      </c>
      <c r="B193" s="1301" t="s">
        <v>2154</v>
      </c>
      <c r="C193" s="1301" t="s">
        <v>2154</v>
      </c>
      <c r="D193" s="1301"/>
      <c r="E193" s="1301"/>
      <c r="F193" s="1301"/>
      <c r="G193" s="1301"/>
      <c r="H193" s="1301"/>
      <c r="I193" s="1301"/>
      <c r="J193" s="1301"/>
      <c r="K193" s="1301"/>
      <c r="L193" s="1301" t="s">
        <v>2154</v>
      </c>
      <c r="M193" s="1301"/>
      <c r="N193" s="1301"/>
      <c r="O193" s="1301"/>
    </row>
    <row r="194" spans="1:15">
      <c r="A194" s="1300" t="s">
        <v>3750</v>
      </c>
      <c r="B194" s="1301" t="s">
        <v>2154</v>
      </c>
      <c r="C194" s="1301" t="s">
        <v>2154</v>
      </c>
      <c r="D194" s="1301"/>
      <c r="E194" s="1301"/>
      <c r="F194" s="1301"/>
      <c r="G194" s="1301"/>
      <c r="H194" s="1301"/>
      <c r="I194" s="1301"/>
      <c r="J194" s="1301"/>
      <c r="K194" s="1301"/>
      <c r="L194" s="1301" t="s">
        <v>2154</v>
      </c>
      <c r="M194" s="1301"/>
      <c r="N194" s="1301"/>
      <c r="O194" s="1301"/>
    </row>
    <row r="195" spans="1:15">
      <c r="A195" s="1300" t="s">
        <v>3751</v>
      </c>
      <c r="B195" s="1301" t="s">
        <v>2154</v>
      </c>
      <c r="C195" s="1301" t="s">
        <v>2154</v>
      </c>
      <c r="D195" s="1301"/>
      <c r="E195" s="1301"/>
      <c r="F195" s="1301"/>
      <c r="G195" s="1301"/>
      <c r="H195" s="1301"/>
      <c r="I195" s="1301"/>
      <c r="J195" s="1301"/>
      <c r="K195" s="1301"/>
      <c r="L195" s="1301" t="s">
        <v>2154</v>
      </c>
      <c r="M195" s="1301"/>
      <c r="N195" s="1301"/>
      <c r="O195" s="1301"/>
    </row>
    <row r="196" spans="1:15">
      <c r="A196" s="1300" t="s">
        <v>3752</v>
      </c>
      <c r="B196" s="1297">
        <v>283.58</v>
      </c>
      <c r="C196" s="1297">
        <v>6.3</v>
      </c>
      <c r="D196" s="1297"/>
      <c r="E196" s="1297"/>
      <c r="F196" s="1297"/>
      <c r="G196" s="1297"/>
      <c r="H196" s="1297"/>
      <c r="I196" s="1297"/>
      <c r="J196" s="1297"/>
      <c r="K196" s="1301"/>
      <c r="L196" s="1297">
        <v>11.33</v>
      </c>
      <c r="M196" s="1297"/>
      <c r="N196" s="1297"/>
      <c r="O196" s="1297"/>
    </row>
    <row r="197" spans="1:15">
      <c r="A197" s="1300" t="s">
        <v>3753</v>
      </c>
      <c r="B197" s="1301" t="s">
        <v>2154</v>
      </c>
      <c r="C197" s="1301" t="s">
        <v>2154</v>
      </c>
      <c r="D197" s="1301"/>
      <c r="E197" s="1301"/>
      <c r="F197" s="1301"/>
      <c r="G197" s="1301"/>
      <c r="H197" s="1301"/>
      <c r="I197" s="1301"/>
      <c r="J197" s="1301"/>
      <c r="K197" s="1301"/>
      <c r="L197" s="1301" t="s">
        <v>2154</v>
      </c>
      <c r="M197" s="1301"/>
      <c r="N197" s="1301"/>
      <c r="O197" s="1301"/>
    </row>
    <row r="198" spans="1:15">
      <c r="A198" s="1300" t="s">
        <v>3754</v>
      </c>
      <c r="B198" s="1301" t="s">
        <v>2154</v>
      </c>
      <c r="C198" s="1301" t="s">
        <v>2154</v>
      </c>
      <c r="D198" s="1301"/>
      <c r="E198" s="1301"/>
      <c r="F198" s="1301"/>
      <c r="G198" s="1301"/>
      <c r="H198" s="1301"/>
      <c r="I198" s="1301"/>
      <c r="J198" s="1301"/>
      <c r="K198" s="1301"/>
      <c r="L198" s="1301" t="s">
        <v>2154</v>
      </c>
      <c r="M198" s="1301"/>
      <c r="N198" s="1301"/>
      <c r="O198" s="1301"/>
    </row>
    <row r="199" spans="1:15">
      <c r="A199" s="1300" t="s">
        <v>3755</v>
      </c>
      <c r="B199" s="1301" t="s">
        <v>2154</v>
      </c>
      <c r="C199" s="1301" t="s">
        <v>2154</v>
      </c>
      <c r="D199" s="1301"/>
      <c r="E199" s="1301"/>
      <c r="F199" s="1301"/>
      <c r="G199" s="1301"/>
      <c r="H199" s="1301"/>
      <c r="I199" s="1301"/>
      <c r="J199" s="1301"/>
      <c r="K199" s="1301"/>
      <c r="L199" s="1301" t="s">
        <v>2154</v>
      </c>
      <c r="M199" s="1301"/>
      <c r="N199" s="1301"/>
      <c r="O199" s="1301"/>
    </row>
    <row r="200" spans="1:15">
      <c r="A200" s="1300" t="s">
        <v>3756</v>
      </c>
      <c r="B200" s="1301" t="s">
        <v>2154</v>
      </c>
      <c r="C200" s="1301" t="s">
        <v>2154</v>
      </c>
      <c r="D200" s="1301"/>
      <c r="E200" s="1301"/>
      <c r="F200" s="1301"/>
      <c r="G200" s="1301"/>
      <c r="H200" s="1301"/>
      <c r="I200" s="1301"/>
      <c r="J200" s="1301"/>
      <c r="K200" s="1301"/>
      <c r="L200" s="1301" t="s">
        <v>2154</v>
      </c>
      <c r="M200" s="1301"/>
      <c r="N200" s="1301"/>
      <c r="O200" s="1301"/>
    </row>
    <row r="201" spans="1:15">
      <c r="A201" s="1300" t="s">
        <v>3757</v>
      </c>
      <c r="B201" s="1301" t="s">
        <v>2154</v>
      </c>
      <c r="C201" s="1301" t="s">
        <v>2154</v>
      </c>
      <c r="D201" s="1301"/>
      <c r="E201" s="1301"/>
      <c r="F201" s="1301"/>
      <c r="G201" s="1301"/>
      <c r="H201" s="1301"/>
      <c r="I201" s="1301"/>
      <c r="J201" s="1301"/>
      <c r="K201" s="1301"/>
      <c r="L201" s="1301" t="s">
        <v>2154</v>
      </c>
      <c r="M201" s="1301"/>
      <c r="N201" s="1301"/>
      <c r="O201" s="1301"/>
    </row>
    <row r="202" spans="1:15">
      <c r="A202" s="1300" t="s">
        <v>3758</v>
      </c>
      <c r="B202" s="1301" t="s">
        <v>2154</v>
      </c>
      <c r="C202" s="1301" t="s">
        <v>2154</v>
      </c>
      <c r="D202" s="1301"/>
      <c r="E202" s="1301"/>
      <c r="F202" s="1301"/>
      <c r="G202" s="1301"/>
      <c r="H202" s="1301"/>
      <c r="I202" s="1301"/>
      <c r="J202" s="1301"/>
      <c r="K202" s="1301"/>
      <c r="L202" s="1301" t="s">
        <v>2154</v>
      </c>
      <c r="M202" s="1301"/>
      <c r="N202" s="1301"/>
      <c r="O202" s="1301"/>
    </row>
    <row r="203" spans="1:15">
      <c r="A203" s="1300" t="s">
        <v>3759</v>
      </c>
      <c r="B203" s="1301" t="s">
        <v>2154</v>
      </c>
      <c r="C203" s="1301" t="s">
        <v>2154</v>
      </c>
      <c r="D203" s="1301"/>
      <c r="E203" s="1301"/>
      <c r="F203" s="1301"/>
      <c r="G203" s="1301"/>
      <c r="H203" s="1301"/>
      <c r="I203" s="1301"/>
      <c r="J203" s="1301"/>
      <c r="K203" s="1301"/>
      <c r="L203" s="1301" t="s">
        <v>2154</v>
      </c>
      <c r="M203" s="1301"/>
      <c r="N203" s="1301"/>
      <c r="O203" s="1301"/>
    </row>
    <row r="204" spans="1:15">
      <c r="A204" s="1300" t="s">
        <v>3760</v>
      </c>
      <c r="B204" s="1301" t="s">
        <v>2154</v>
      </c>
      <c r="C204" s="1301" t="s">
        <v>2154</v>
      </c>
      <c r="D204" s="1301"/>
      <c r="E204" s="1301"/>
      <c r="F204" s="1301"/>
      <c r="G204" s="1301"/>
      <c r="H204" s="1301"/>
      <c r="I204" s="1301"/>
      <c r="J204" s="1301"/>
      <c r="K204" s="1301"/>
      <c r="L204" s="1301" t="s">
        <v>2154</v>
      </c>
      <c r="M204" s="1301"/>
      <c r="N204" s="1301"/>
      <c r="O204" s="1301"/>
    </row>
    <row r="205" spans="1:15">
      <c r="A205" s="1300" t="s">
        <v>3761</v>
      </c>
      <c r="B205" s="1301" t="s">
        <v>2154</v>
      </c>
      <c r="C205" s="1301" t="s">
        <v>2154</v>
      </c>
      <c r="D205" s="1301"/>
      <c r="E205" s="1301"/>
      <c r="F205" s="1301"/>
      <c r="G205" s="1301"/>
      <c r="H205" s="1301"/>
      <c r="I205" s="1301"/>
      <c r="J205" s="1301"/>
      <c r="K205" s="1301"/>
      <c r="L205" s="1301" t="s">
        <v>2154</v>
      </c>
      <c r="M205" s="1301"/>
      <c r="N205" s="1301"/>
      <c r="O205" s="1301"/>
    </row>
    <row r="206" spans="1:15">
      <c r="A206" s="1300" t="s">
        <v>3762</v>
      </c>
      <c r="B206" s="1301" t="s">
        <v>2154</v>
      </c>
      <c r="C206" s="1301" t="s">
        <v>2154</v>
      </c>
      <c r="D206" s="1301"/>
      <c r="E206" s="1301"/>
      <c r="F206" s="1301"/>
      <c r="G206" s="1301"/>
      <c r="H206" s="1301"/>
      <c r="I206" s="1301"/>
      <c r="J206" s="1301"/>
      <c r="K206" s="1301"/>
      <c r="L206" s="1301" t="s">
        <v>2154</v>
      </c>
      <c r="M206" s="1301"/>
      <c r="N206" s="1301"/>
      <c r="O206" s="1301"/>
    </row>
    <row r="207" spans="1:15">
      <c r="A207" s="1300" t="s">
        <v>3763</v>
      </c>
      <c r="B207" s="1301" t="s">
        <v>2154</v>
      </c>
      <c r="C207" s="1301" t="s">
        <v>2154</v>
      </c>
      <c r="D207" s="1301"/>
      <c r="E207" s="1301"/>
      <c r="F207" s="1301"/>
      <c r="G207" s="1301"/>
      <c r="H207" s="1301"/>
      <c r="I207" s="1301"/>
      <c r="J207" s="1301"/>
      <c r="K207" s="1301"/>
      <c r="L207" s="1301" t="s">
        <v>2154</v>
      </c>
      <c r="M207" s="1301"/>
      <c r="N207" s="1301"/>
      <c r="O207" s="1301"/>
    </row>
    <row r="208" spans="1:15">
      <c r="A208" s="1300" t="s">
        <v>2346</v>
      </c>
      <c r="B208" s="1301" t="s">
        <v>2154</v>
      </c>
      <c r="C208" s="1301" t="s">
        <v>2154</v>
      </c>
      <c r="D208" s="1301"/>
      <c r="E208" s="1301"/>
      <c r="F208" s="1301"/>
      <c r="G208" s="1301"/>
      <c r="H208" s="1301"/>
      <c r="I208" s="1301"/>
      <c r="J208" s="1301"/>
      <c r="K208" s="1301"/>
      <c r="L208" s="1301" t="s">
        <v>2154</v>
      </c>
      <c r="M208" s="1301"/>
      <c r="N208" s="1301"/>
      <c r="O208" s="1301"/>
    </row>
    <row r="209" spans="1:16">
      <c r="A209" s="1300" t="s">
        <v>2347</v>
      </c>
      <c r="B209" s="1301" t="s">
        <v>2154</v>
      </c>
      <c r="C209" s="1301" t="s">
        <v>2154</v>
      </c>
      <c r="D209" s="1301"/>
      <c r="E209" s="1301"/>
      <c r="F209" s="1301"/>
      <c r="G209" s="1301"/>
      <c r="H209" s="1301"/>
      <c r="I209" s="1301"/>
      <c r="J209" s="1301"/>
      <c r="K209" s="1301"/>
      <c r="L209" s="1301" t="s">
        <v>2154</v>
      </c>
      <c r="M209" s="1301"/>
      <c r="N209" s="1301"/>
      <c r="O209" s="1301"/>
    </row>
    <row r="210" spans="1:16">
      <c r="A210" s="1300" t="s">
        <v>2348</v>
      </c>
      <c r="B210" s="1301" t="s">
        <v>2154</v>
      </c>
      <c r="C210" s="1301" t="s">
        <v>2154</v>
      </c>
      <c r="D210" s="1301"/>
      <c r="E210" s="1301"/>
      <c r="F210" s="1301"/>
      <c r="G210" s="1301"/>
      <c r="H210" s="1301"/>
      <c r="I210" s="1301"/>
      <c r="J210" s="1301"/>
      <c r="K210" s="1301"/>
      <c r="L210" s="1301" t="s">
        <v>2154</v>
      </c>
      <c r="M210" s="1301"/>
      <c r="N210" s="1301"/>
      <c r="O210" s="1301"/>
    </row>
    <row r="211" spans="1:16">
      <c r="A211" s="1300" t="s">
        <v>2349</v>
      </c>
      <c r="B211" s="1301" t="s">
        <v>2154</v>
      </c>
      <c r="C211" s="1301" t="s">
        <v>2154</v>
      </c>
      <c r="D211" s="1301"/>
      <c r="E211" s="1301"/>
      <c r="F211" s="1301"/>
      <c r="G211" s="1301"/>
      <c r="H211" s="1301"/>
      <c r="I211" s="1301"/>
      <c r="J211" s="1301"/>
      <c r="K211" s="1301"/>
      <c r="L211" s="1301" t="s">
        <v>2154</v>
      </c>
      <c r="M211" s="1301"/>
      <c r="N211" s="1301"/>
      <c r="O211" s="1301"/>
    </row>
    <row r="212" spans="1:16">
      <c r="A212" s="1300" t="s">
        <v>2350</v>
      </c>
      <c r="B212" s="1301" t="s">
        <v>2154</v>
      </c>
      <c r="C212" s="1301" t="s">
        <v>2154</v>
      </c>
      <c r="D212" s="1301"/>
      <c r="E212" s="1301"/>
      <c r="F212" s="1301"/>
      <c r="G212" s="1301"/>
      <c r="H212" s="1301"/>
      <c r="I212" s="1301"/>
      <c r="J212" s="1301"/>
      <c r="K212" s="1301"/>
      <c r="L212" s="1301" t="s">
        <v>2154</v>
      </c>
      <c r="M212" s="1301"/>
      <c r="N212" s="1301"/>
      <c r="O212" s="1301"/>
    </row>
    <row r="213" spans="1:16">
      <c r="A213" s="1300" t="s">
        <v>2351</v>
      </c>
      <c r="B213" s="1301" t="s">
        <v>2154</v>
      </c>
      <c r="C213" s="1301" t="s">
        <v>2154</v>
      </c>
      <c r="D213" s="1301"/>
      <c r="E213" s="1301"/>
      <c r="F213" s="1301"/>
      <c r="G213" s="1301"/>
      <c r="H213" s="1301"/>
      <c r="I213" s="1301"/>
      <c r="J213" s="1301"/>
      <c r="K213" s="1301"/>
      <c r="L213" s="1301" t="s">
        <v>2154</v>
      </c>
      <c r="M213" s="1301"/>
      <c r="N213" s="1301"/>
      <c r="O213" s="1301"/>
    </row>
    <row r="214" spans="1:16">
      <c r="A214" s="1300" t="s">
        <v>2352</v>
      </c>
      <c r="B214" s="1301" t="s">
        <v>2154</v>
      </c>
      <c r="C214" s="1301" t="s">
        <v>2154</v>
      </c>
      <c r="D214" s="1301"/>
      <c r="E214" s="1301"/>
      <c r="F214" s="1301"/>
      <c r="G214" s="1301"/>
      <c r="H214" s="1301"/>
      <c r="I214" s="1301"/>
      <c r="J214" s="1301"/>
      <c r="K214" s="1301"/>
      <c r="L214" s="1301" t="s">
        <v>2154</v>
      </c>
      <c r="M214" s="1301"/>
      <c r="N214" s="1301"/>
      <c r="O214" s="1301"/>
    </row>
    <row r="215" spans="1:16">
      <c r="A215" s="1300" t="s">
        <v>2353</v>
      </c>
      <c r="B215" s="1301" t="s">
        <v>2154</v>
      </c>
      <c r="C215" s="1301" t="s">
        <v>2154</v>
      </c>
      <c r="D215" s="1301"/>
      <c r="E215" s="1301"/>
      <c r="F215" s="1301"/>
      <c r="G215" s="1301"/>
      <c r="H215" s="1301"/>
      <c r="I215" s="1301"/>
      <c r="J215" s="1301"/>
      <c r="K215" s="1301"/>
      <c r="L215" s="1301" t="s">
        <v>2154</v>
      </c>
      <c r="M215" s="1301"/>
      <c r="N215" s="1301"/>
      <c r="O215" s="1301"/>
    </row>
    <row r="216" spans="1:16">
      <c r="A216" s="1300" t="s">
        <v>2354</v>
      </c>
      <c r="B216" s="1301" t="s">
        <v>2154</v>
      </c>
      <c r="C216" s="1301" t="s">
        <v>2154</v>
      </c>
      <c r="D216" s="1301"/>
      <c r="E216" s="1301"/>
      <c r="F216" s="1301"/>
      <c r="G216" s="1301"/>
      <c r="H216" s="1301"/>
      <c r="I216" s="1301"/>
      <c r="J216" s="1301"/>
      <c r="K216" s="1301"/>
      <c r="L216" s="1301" t="s">
        <v>2154</v>
      </c>
      <c r="M216" s="1301"/>
      <c r="N216" s="1301"/>
      <c r="O216" s="1301"/>
    </row>
    <row r="217" spans="1:16">
      <c r="A217" s="1296"/>
      <c r="B217" s="1297">
        <f t="shared" ref="B217:P217" si="10">SUM(B164:B216)-B162-B163</f>
        <v>4822.12</v>
      </c>
      <c r="C217" s="1297">
        <f t="shared" si="10"/>
        <v>27452.95</v>
      </c>
      <c r="D217" s="1297">
        <f t="shared" si="10"/>
        <v>0</v>
      </c>
      <c r="E217" s="1297">
        <f t="shared" si="10"/>
        <v>0</v>
      </c>
      <c r="F217" s="1297">
        <f t="shared" si="10"/>
        <v>0</v>
      </c>
      <c r="G217" s="1297">
        <f t="shared" si="10"/>
        <v>0</v>
      </c>
      <c r="H217" s="1297">
        <f t="shared" si="10"/>
        <v>0</v>
      </c>
      <c r="I217" s="1297">
        <f t="shared" si="10"/>
        <v>0</v>
      </c>
      <c r="J217" s="1297">
        <f t="shared" si="10"/>
        <v>0</v>
      </c>
      <c r="K217" s="1297">
        <f t="shared" si="10"/>
        <v>0</v>
      </c>
      <c r="L217" s="1297">
        <f t="shared" si="10"/>
        <v>17849.390000000003</v>
      </c>
      <c r="M217" s="1297">
        <f t="shared" si="10"/>
        <v>0</v>
      </c>
      <c r="N217" s="1297">
        <f t="shared" si="10"/>
        <v>0</v>
      </c>
      <c r="O217" s="1297">
        <f t="shared" si="10"/>
        <v>0</v>
      </c>
      <c r="P217" s="1291">
        <f t="shared" si="10"/>
        <v>0</v>
      </c>
    </row>
    <row r="218" spans="1:16">
      <c r="A218" s="1296"/>
      <c r="B218" s="1297"/>
      <c r="C218" s="1297"/>
      <c r="D218" s="1297"/>
      <c r="E218" s="1297"/>
      <c r="F218" s="1297"/>
      <c r="G218" s="1297"/>
      <c r="H218" s="1297"/>
      <c r="I218" s="1297"/>
      <c r="J218" s="1297"/>
      <c r="K218" s="1297"/>
      <c r="L218" s="1297"/>
      <c r="M218" s="1297"/>
      <c r="N218" s="1297"/>
      <c r="O218" s="1297"/>
    </row>
    <row r="219" spans="1:16">
      <c r="A219" s="1300" t="s">
        <v>2355</v>
      </c>
      <c r="B219" s="1301" t="s">
        <v>2154</v>
      </c>
      <c r="C219" s="1301" t="s">
        <v>2154</v>
      </c>
      <c r="D219" s="1301"/>
      <c r="E219" s="1301"/>
      <c r="F219" s="1301"/>
      <c r="G219" s="1301"/>
      <c r="H219" s="1301"/>
      <c r="I219" s="1301"/>
      <c r="J219" s="1301"/>
      <c r="K219" s="1301"/>
      <c r="L219" s="1301" t="s">
        <v>2154</v>
      </c>
      <c r="M219" s="1301"/>
      <c r="N219" s="1301"/>
      <c r="O219" s="1301"/>
    </row>
    <row r="220" spans="1:16">
      <c r="A220" s="1300" t="s">
        <v>2356</v>
      </c>
      <c r="B220" s="1301" t="s">
        <v>2154</v>
      </c>
      <c r="C220" s="1301" t="s">
        <v>2154</v>
      </c>
      <c r="D220" s="1301"/>
      <c r="E220" s="1301"/>
      <c r="F220" s="1301"/>
      <c r="G220" s="1301"/>
      <c r="H220" s="1301"/>
      <c r="I220" s="1301"/>
      <c r="J220" s="1301"/>
      <c r="K220" s="1301"/>
      <c r="L220" s="1301" t="s">
        <v>2154</v>
      </c>
      <c r="M220" s="1301"/>
      <c r="N220" s="1301"/>
      <c r="O220" s="1301"/>
    </row>
    <row r="221" spans="1:16">
      <c r="A221" s="1300" t="s">
        <v>2357</v>
      </c>
      <c r="B221" s="1301" t="s">
        <v>2154</v>
      </c>
      <c r="C221" s="1301" t="s">
        <v>2154</v>
      </c>
      <c r="D221" s="1301"/>
      <c r="E221" s="1301"/>
      <c r="F221" s="1301"/>
      <c r="G221" s="1301"/>
      <c r="H221" s="1301"/>
      <c r="I221" s="1301"/>
      <c r="J221" s="1301"/>
      <c r="K221" s="1301"/>
      <c r="L221" s="1301" t="s">
        <v>2154</v>
      </c>
      <c r="M221" s="1301"/>
      <c r="N221" s="1301"/>
      <c r="O221" s="1301"/>
    </row>
    <row r="222" spans="1:16">
      <c r="A222" s="1300" t="s">
        <v>2358</v>
      </c>
      <c r="B222" s="1301" t="s">
        <v>2154</v>
      </c>
      <c r="C222" s="1301" t="s">
        <v>2154</v>
      </c>
      <c r="D222" s="1301"/>
      <c r="E222" s="1301"/>
      <c r="F222" s="1301"/>
      <c r="G222" s="1301"/>
      <c r="H222" s="1301"/>
      <c r="I222" s="1301"/>
      <c r="J222" s="1301"/>
      <c r="K222" s="1301"/>
      <c r="L222" s="1301" t="s">
        <v>2154</v>
      </c>
      <c r="M222" s="1301"/>
      <c r="N222" s="1301"/>
      <c r="O222" s="1301"/>
    </row>
    <row r="223" spans="1:16">
      <c r="A223" s="1300" t="s">
        <v>266</v>
      </c>
      <c r="B223" s="1301" t="s">
        <v>2154</v>
      </c>
      <c r="C223" s="1301" t="s">
        <v>2154</v>
      </c>
      <c r="D223" s="1297"/>
      <c r="E223" s="1297"/>
      <c r="F223" s="1297"/>
      <c r="G223" s="1301"/>
      <c r="H223" s="1301"/>
      <c r="I223" s="1301"/>
      <c r="J223" s="1297"/>
      <c r="K223" s="1301"/>
      <c r="L223" s="1301" t="s">
        <v>2154</v>
      </c>
      <c r="M223" s="1301"/>
      <c r="N223" s="1297"/>
      <c r="O223" s="1297"/>
    </row>
    <row r="224" spans="1:16">
      <c r="A224" s="1300" t="s">
        <v>267</v>
      </c>
      <c r="B224" s="1301" t="s">
        <v>2154</v>
      </c>
      <c r="C224" s="1301" t="s">
        <v>2154</v>
      </c>
      <c r="D224" s="1301"/>
      <c r="E224" s="1301"/>
      <c r="F224" s="1301"/>
      <c r="G224" s="1301"/>
      <c r="H224" s="1301"/>
      <c r="I224" s="1301"/>
      <c r="J224" s="1301"/>
      <c r="K224" s="1301"/>
      <c r="L224" s="1301" t="s">
        <v>2154</v>
      </c>
      <c r="M224" s="1301"/>
      <c r="N224" s="1301"/>
      <c r="O224" s="1301"/>
    </row>
    <row r="225" spans="1:16">
      <c r="A225" s="1300" t="s">
        <v>268</v>
      </c>
      <c r="B225" s="1301" t="s">
        <v>2154</v>
      </c>
      <c r="C225" s="1301" t="s">
        <v>2154</v>
      </c>
      <c r="D225" s="1301"/>
      <c r="E225" s="1301"/>
      <c r="F225" s="1301"/>
      <c r="G225" s="1301"/>
      <c r="H225" s="1301"/>
      <c r="I225" s="1301"/>
      <c r="J225" s="1301"/>
      <c r="K225" s="1301"/>
      <c r="L225" s="1301" t="s">
        <v>2154</v>
      </c>
      <c r="M225" s="1301"/>
      <c r="N225" s="1301"/>
      <c r="O225" s="1301"/>
    </row>
    <row r="226" spans="1:16">
      <c r="A226" s="1300" t="s">
        <v>269</v>
      </c>
      <c r="B226" s="1301" t="s">
        <v>2154</v>
      </c>
      <c r="C226" s="1301" t="s">
        <v>2154</v>
      </c>
      <c r="D226" s="1301"/>
      <c r="E226" s="1301"/>
      <c r="F226" s="1301"/>
      <c r="G226" s="1301"/>
      <c r="H226" s="1301"/>
      <c r="I226" s="1301"/>
      <c r="J226" s="1301"/>
      <c r="K226" s="1301"/>
      <c r="L226" s="1301" t="s">
        <v>2154</v>
      </c>
      <c r="M226" s="1301"/>
      <c r="N226" s="1301"/>
      <c r="O226" s="1301"/>
    </row>
    <row r="227" spans="1:16">
      <c r="A227" s="1300" t="s">
        <v>270</v>
      </c>
      <c r="B227" s="1301" t="s">
        <v>2154</v>
      </c>
      <c r="C227" s="1301" t="s">
        <v>2154</v>
      </c>
      <c r="D227" s="1301"/>
      <c r="E227" s="1301"/>
      <c r="F227" s="1301"/>
      <c r="G227" s="1301"/>
      <c r="H227" s="1301"/>
      <c r="I227" s="1301"/>
      <c r="J227" s="1301"/>
      <c r="K227" s="1301"/>
      <c r="L227" s="1301" t="s">
        <v>2154</v>
      </c>
      <c r="M227" s="1301"/>
      <c r="N227" s="1301"/>
      <c r="O227" s="1301"/>
    </row>
    <row r="228" spans="1:16">
      <c r="A228" s="1300" t="s">
        <v>2349</v>
      </c>
      <c r="B228" s="1301" t="s">
        <v>2154</v>
      </c>
      <c r="C228" s="1301" t="s">
        <v>2154</v>
      </c>
      <c r="D228" s="1301"/>
      <c r="E228" s="1301"/>
      <c r="F228" s="1301"/>
      <c r="G228" s="1301"/>
      <c r="H228" s="1301"/>
      <c r="I228" s="1301"/>
      <c r="J228" s="1301"/>
      <c r="K228" s="1301"/>
      <c r="L228" s="1301" t="s">
        <v>2154</v>
      </c>
      <c r="M228" s="1301"/>
      <c r="N228" s="1301"/>
      <c r="O228" s="1301"/>
    </row>
    <row r="229" spans="1:16">
      <c r="A229" s="1300" t="s">
        <v>271</v>
      </c>
      <c r="B229" s="1301" t="s">
        <v>2154</v>
      </c>
      <c r="C229" s="1301" t="s">
        <v>2154</v>
      </c>
      <c r="D229" s="1301"/>
      <c r="E229" s="1301"/>
      <c r="F229" s="1301"/>
      <c r="G229" s="1301"/>
      <c r="H229" s="1301"/>
      <c r="I229" s="1301"/>
      <c r="J229" s="1301"/>
      <c r="K229" s="1301"/>
      <c r="L229" s="1301" t="s">
        <v>2154</v>
      </c>
      <c r="M229" s="1301"/>
      <c r="N229" s="1301"/>
      <c r="O229" s="1301"/>
    </row>
    <row r="230" spans="1:16">
      <c r="A230" s="1300" t="s">
        <v>272</v>
      </c>
      <c r="B230" s="1301" t="s">
        <v>2154</v>
      </c>
      <c r="C230" s="1301" t="s">
        <v>2154</v>
      </c>
      <c r="D230" s="1297"/>
      <c r="E230" s="1297"/>
      <c r="F230" s="1297"/>
      <c r="G230" s="1301"/>
      <c r="H230" s="1301"/>
      <c r="I230" s="1301"/>
      <c r="J230" s="1297"/>
      <c r="K230" s="1301"/>
      <c r="L230" s="1301" t="s">
        <v>2154</v>
      </c>
      <c r="M230" s="1301"/>
      <c r="N230" s="1297"/>
      <c r="O230" s="1297"/>
    </row>
    <row r="231" spans="1:16">
      <c r="A231" s="1300" t="s">
        <v>273</v>
      </c>
      <c r="B231" s="1301" t="s">
        <v>2154</v>
      </c>
      <c r="C231" s="1301" t="s">
        <v>2154</v>
      </c>
      <c r="D231" s="1301"/>
      <c r="E231" s="1301"/>
      <c r="F231" s="1301"/>
      <c r="G231" s="1301"/>
      <c r="H231" s="1301"/>
      <c r="I231" s="1301"/>
      <c r="J231" s="1301"/>
      <c r="K231" s="1301"/>
      <c r="L231" s="1301" t="s">
        <v>2154</v>
      </c>
      <c r="M231" s="1301"/>
      <c r="N231" s="1301"/>
      <c r="O231" s="1301"/>
    </row>
    <row r="232" spans="1:16">
      <c r="A232" s="1296"/>
      <c r="B232" s="1297">
        <f t="shared" ref="B232:P232" si="11">SUM(B219:B231)</f>
        <v>0</v>
      </c>
      <c r="C232" s="1297">
        <f t="shared" si="11"/>
        <v>0</v>
      </c>
      <c r="D232" s="1297">
        <f t="shared" si="11"/>
        <v>0</v>
      </c>
      <c r="E232" s="1297">
        <f t="shared" si="11"/>
        <v>0</v>
      </c>
      <c r="F232" s="1297">
        <f t="shared" si="11"/>
        <v>0</v>
      </c>
      <c r="G232" s="1297">
        <f t="shared" si="11"/>
        <v>0</v>
      </c>
      <c r="H232" s="1297">
        <f t="shared" si="11"/>
        <v>0</v>
      </c>
      <c r="I232" s="1297">
        <f t="shared" si="11"/>
        <v>0</v>
      </c>
      <c r="J232" s="1297">
        <f t="shared" si="11"/>
        <v>0</v>
      </c>
      <c r="K232" s="1297">
        <f t="shared" si="11"/>
        <v>0</v>
      </c>
      <c r="L232" s="1297">
        <f t="shared" si="11"/>
        <v>0</v>
      </c>
      <c r="M232" s="1297">
        <f t="shared" si="11"/>
        <v>0</v>
      </c>
      <c r="N232" s="1297">
        <f t="shared" si="11"/>
        <v>0</v>
      </c>
      <c r="O232" s="1297">
        <f t="shared" si="11"/>
        <v>0</v>
      </c>
      <c r="P232" s="1291">
        <f t="shared" si="11"/>
        <v>0</v>
      </c>
    </row>
    <row r="233" spans="1:16">
      <c r="A233" s="1296"/>
      <c r="B233" s="1297"/>
      <c r="C233" s="1297"/>
      <c r="D233" s="1297"/>
      <c r="E233" s="1297"/>
      <c r="F233" s="1297"/>
      <c r="G233" s="1297"/>
      <c r="H233" s="1297"/>
      <c r="I233" s="1297"/>
      <c r="J233" s="1297"/>
      <c r="K233" s="1297"/>
      <c r="L233" s="1297"/>
      <c r="M233" s="1297"/>
      <c r="N233" s="1297"/>
      <c r="O233" s="1297"/>
    </row>
    <row r="234" spans="1:16">
      <c r="A234" s="1296"/>
      <c r="B234" s="1297"/>
      <c r="C234" s="1297"/>
      <c r="D234" s="1297"/>
      <c r="E234" s="1297"/>
      <c r="F234" s="1297"/>
      <c r="G234" s="1297"/>
      <c r="H234" s="1297"/>
      <c r="I234" s="1297"/>
      <c r="J234" s="1297"/>
      <c r="K234" s="1297"/>
      <c r="L234" s="1297"/>
      <c r="M234" s="1297"/>
      <c r="N234" s="1297"/>
      <c r="O234" s="1297"/>
    </row>
    <row r="235" spans="1:16">
      <c r="A235" s="1300" t="s">
        <v>670</v>
      </c>
      <c r="B235" s="1301" t="s">
        <v>2154</v>
      </c>
      <c r="C235" s="1301" t="s">
        <v>2154</v>
      </c>
      <c r="D235" s="1301"/>
      <c r="E235" s="1301"/>
      <c r="F235" s="1301"/>
      <c r="G235" s="1301"/>
      <c r="H235" s="1301"/>
      <c r="I235" s="1301"/>
      <c r="J235" s="1301"/>
      <c r="K235" s="1301"/>
      <c r="L235" s="1301" t="s">
        <v>2154</v>
      </c>
      <c r="M235" s="1301"/>
      <c r="N235" s="1301"/>
      <c r="O235" s="1301"/>
    </row>
    <row r="236" spans="1:16">
      <c r="A236" s="1300" t="s">
        <v>671</v>
      </c>
      <c r="B236" s="1297">
        <v>7408248.2400000002</v>
      </c>
      <c r="C236" s="1297">
        <v>2443767.89</v>
      </c>
      <c r="D236" s="1297"/>
      <c r="E236" s="1297"/>
      <c r="F236" s="1297"/>
      <c r="G236" s="1297"/>
      <c r="H236" s="1297"/>
      <c r="I236" s="1297"/>
      <c r="J236" s="1297"/>
      <c r="K236" s="1301"/>
      <c r="L236" s="1297">
        <v>149601.9</v>
      </c>
      <c r="M236" s="1297"/>
      <c r="N236" s="1297"/>
      <c r="O236" s="1297"/>
    </row>
    <row r="237" spans="1:16">
      <c r="A237" s="1300" t="s">
        <v>672</v>
      </c>
      <c r="B237" s="1301" t="s">
        <v>2154</v>
      </c>
      <c r="C237" s="1301" t="s">
        <v>2154</v>
      </c>
      <c r="D237" s="1301"/>
      <c r="E237" s="1301"/>
      <c r="F237" s="1301"/>
      <c r="G237" s="1301"/>
      <c r="H237" s="1301"/>
      <c r="I237" s="1301"/>
      <c r="J237" s="1301"/>
      <c r="K237" s="1301"/>
      <c r="L237" s="1301" t="s">
        <v>2154</v>
      </c>
      <c r="M237" s="1301"/>
      <c r="N237" s="1301"/>
      <c r="O237" s="1301"/>
    </row>
    <row r="238" spans="1:16">
      <c r="A238" s="1300" t="s">
        <v>673</v>
      </c>
      <c r="B238" s="1301" t="s">
        <v>2154</v>
      </c>
      <c r="C238" s="1301" t="s">
        <v>2154</v>
      </c>
      <c r="D238" s="1301"/>
      <c r="E238" s="1301"/>
      <c r="F238" s="1301"/>
      <c r="G238" s="1301"/>
      <c r="H238" s="1301"/>
      <c r="I238" s="1301"/>
      <c r="J238" s="1301"/>
      <c r="K238" s="1301"/>
      <c r="L238" s="1301" t="s">
        <v>2154</v>
      </c>
      <c r="M238" s="1301"/>
      <c r="N238" s="1301"/>
      <c r="O238" s="1301"/>
    </row>
    <row r="239" spans="1:16">
      <c r="A239" s="1300" t="s">
        <v>674</v>
      </c>
      <c r="B239" s="1301" t="s">
        <v>2154</v>
      </c>
      <c r="C239" s="1301" t="s">
        <v>2154</v>
      </c>
      <c r="D239" s="1301"/>
      <c r="E239" s="1301"/>
      <c r="F239" s="1301"/>
      <c r="G239" s="1301"/>
      <c r="H239" s="1301"/>
      <c r="I239" s="1301"/>
      <c r="J239" s="1301"/>
      <c r="K239" s="1301"/>
      <c r="L239" s="1301" t="s">
        <v>2154</v>
      </c>
      <c r="M239" s="1301"/>
      <c r="N239" s="1301"/>
      <c r="O239" s="1301"/>
    </row>
    <row r="240" spans="1:16">
      <c r="A240" s="1300" t="s">
        <v>675</v>
      </c>
      <c r="B240" s="1301" t="s">
        <v>2154</v>
      </c>
      <c r="C240" s="1301" t="s">
        <v>2154</v>
      </c>
      <c r="D240" s="1301"/>
      <c r="E240" s="1301"/>
      <c r="F240" s="1301"/>
      <c r="G240" s="1301"/>
      <c r="H240" s="1301"/>
      <c r="I240" s="1301"/>
      <c r="J240" s="1301"/>
      <c r="K240" s="1301"/>
      <c r="L240" s="1301" t="s">
        <v>2154</v>
      </c>
      <c r="M240" s="1301"/>
      <c r="N240" s="1301"/>
      <c r="O240" s="1301"/>
    </row>
    <row r="241" spans="1:16">
      <c r="A241" s="1296"/>
      <c r="B241" s="1297"/>
      <c r="C241" s="1297"/>
      <c r="D241" s="1297"/>
      <c r="E241" s="1297"/>
      <c r="F241" s="1297"/>
      <c r="G241" s="1297"/>
      <c r="H241" s="1297"/>
      <c r="I241" s="1297"/>
      <c r="J241" s="1297"/>
      <c r="K241" s="1297"/>
      <c r="L241" s="1297"/>
      <c r="M241" s="1297"/>
      <c r="N241" s="1297"/>
      <c r="O241" s="1297"/>
    </row>
    <row r="242" spans="1:16">
      <c r="A242" s="1296"/>
      <c r="B242" s="1297">
        <f t="shared" ref="B242:P242" si="12">SUM(B235,B237:B240)-B236</f>
        <v>-7408248.2400000002</v>
      </c>
      <c r="C242" s="1297">
        <f t="shared" si="12"/>
        <v>-2443767.89</v>
      </c>
      <c r="D242" s="1297">
        <f t="shared" si="12"/>
        <v>0</v>
      </c>
      <c r="E242" s="1297">
        <f t="shared" si="12"/>
        <v>0</v>
      </c>
      <c r="F242" s="1297">
        <f t="shared" si="12"/>
        <v>0</v>
      </c>
      <c r="G242" s="1297">
        <f t="shared" si="12"/>
        <v>0</v>
      </c>
      <c r="H242" s="1297">
        <f t="shared" si="12"/>
        <v>0</v>
      </c>
      <c r="I242" s="1297">
        <f t="shared" si="12"/>
        <v>0</v>
      </c>
      <c r="J242" s="1297">
        <f t="shared" si="12"/>
        <v>0</v>
      </c>
      <c r="K242" s="1297">
        <f t="shared" si="12"/>
        <v>0</v>
      </c>
      <c r="L242" s="1297">
        <f t="shared" si="12"/>
        <v>-149601.9</v>
      </c>
      <c r="M242" s="1297">
        <f t="shared" si="12"/>
        <v>0</v>
      </c>
      <c r="N242" s="1297">
        <f t="shared" si="12"/>
        <v>0</v>
      </c>
      <c r="O242" s="1297">
        <f t="shared" si="12"/>
        <v>0</v>
      </c>
      <c r="P242" s="1291">
        <f t="shared" si="12"/>
        <v>0</v>
      </c>
    </row>
    <row r="243" spans="1:16">
      <c r="A243" s="1296"/>
      <c r="B243" s="1297"/>
      <c r="C243" s="1297"/>
      <c r="D243" s="1297"/>
      <c r="E243" s="1297"/>
      <c r="F243" s="1297"/>
      <c r="G243" s="1297"/>
      <c r="H243" s="1297"/>
      <c r="I243" s="1297"/>
      <c r="J243" s="1297"/>
      <c r="K243" s="1297"/>
      <c r="L243" s="1297"/>
      <c r="M243" s="1297"/>
      <c r="N243" s="1297"/>
      <c r="O243" s="1297"/>
    </row>
    <row r="244" spans="1:16">
      <c r="A244" s="1300" t="s">
        <v>676</v>
      </c>
      <c r="B244" s="1301" t="s">
        <v>2154</v>
      </c>
      <c r="C244" s="1301" t="s">
        <v>2154</v>
      </c>
      <c r="D244" s="1301"/>
      <c r="E244" s="1301"/>
      <c r="F244" s="1301"/>
      <c r="G244" s="1301"/>
      <c r="H244" s="1301"/>
      <c r="I244" s="1301"/>
      <c r="J244" s="1301"/>
      <c r="K244" s="1301"/>
      <c r="L244" s="1301" t="s">
        <v>2154</v>
      </c>
      <c r="M244" s="1301"/>
      <c r="N244" s="1301"/>
      <c r="O244" s="1301"/>
    </row>
    <row r="245" spans="1:16">
      <c r="A245" s="1300" t="s">
        <v>677</v>
      </c>
      <c r="B245" s="1301" t="s">
        <v>2154</v>
      </c>
      <c r="C245" s="1301" t="s">
        <v>2154</v>
      </c>
      <c r="D245" s="1301"/>
      <c r="E245" s="1301"/>
      <c r="F245" s="1301"/>
      <c r="G245" s="1301"/>
      <c r="H245" s="1301"/>
      <c r="I245" s="1301"/>
      <c r="J245" s="1301"/>
      <c r="K245" s="1301"/>
      <c r="L245" s="1301" t="s">
        <v>2154</v>
      </c>
      <c r="M245" s="1301"/>
      <c r="N245" s="1301"/>
      <c r="O245" s="1301"/>
    </row>
    <row r="246" spans="1:16">
      <c r="A246" s="1300" t="s">
        <v>678</v>
      </c>
      <c r="B246" s="1301" t="s">
        <v>2154</v>
      </c>
      <c r="C246" s="1301" t="s">
        <v>2154</v>
      </c>
      <c r="D246" s="1301"/>
      <c r="E246" s="1301"/>
      <c r="F246" s="1301"/>
      <c r="G246" s="1301"/>
      <c r="H246" s="1301"/>
      <c r="I246" s="1301"/>
      <c r="J246" s="1301"/>
      <c r="K246" s="1301"/>
      <c r="L246" s="1301" t="s">
        <v>2154</v>
      </c>
      <c r="M246" s="1301"/>
      <c r="N246" s="1301"/>
      <c r="O246" s="1301"/>
    </row>
    <row r="247" spans="1:16">
      <c r="A247" s="1300" t="s">
        <v>679</v>
      </c>
      <c r="B247" s="1301" t="s">
        <v>2154</v>
      </c>
      <c r="C247" s="1301" t="s">
        <v>2154</v>
      </c>
      <c r="D247" s="1301"/>
      <c r="E247" s="1301"/>
      <c r="F247" s="1301"/>
      <c r="G247" s="1301"/>
      <c r="H247" s="1301"/>
      <c r="I247" s="1301"/>
      <c r="J247" s="1301"/>
      <c r="K247" s="1301"/>
      <c r="L247" s="1301" t="s">
        <v>2154</v>
      </c>
      <c r="M247" s="1301"/>
      <c r="N247" s="1301"/>
      <c r="O247" s="1301"/>
    </row>
    <row r="248" spans="1:16">
      <c r="A248" s="1300" t="s">
        <v>680</v>
      </c>
      <c r="B248" s="1301" t="s">
        <v>2154</v>
      </c>
      <c r="C248" s="1301" t="s">
        <v>2154</v>
      </c>
      <c r="D248" s="1301"/>
      <c r="E248" s="1301"/>
      <c r="F248" s="1301"/>
      <c r="G248" s="1301"/>
      <c r="H248" s="1301"/>
      <c r="I248" s="1301"/>
      <c r="J248" s="1301"/>
      <c r="K248" s="1301"/>
      <c r="L248" s="1301" t="s">
        <v>2154</v>
      </c>
      <c r="M248" s="1301"/>
      <c r="N248" s="1301"/>
      <c r="O248" s="1301"/>
    </row>
    <row r="249" spans="1:16">
      <c r="A249" s="1300" t="s">
        <v>681</v>
      </c>
      <c r="B249" s="1301" t="s">
        <v>2154</v>
      </c>
      <c r="C249" s="1301" t="s">
        <v>2154</v>
      </c>
      <c r="D249" s="1301"/>
      <c r="E249" s="1301"/>
      <c r="F249" s="1301"/>
      <c r="G249" s="1301"/>
      <c r="H249" s="1301"/>
      <c r="I249" s="1301"/>
      <c r="J249" s="1301"/>
      <c r="K249" s="1301"/>
      <c r="L249" s="1301" t="s">
        <v>2154</v>
      </c>
      <c r="M249" s="1301"/>
      <c r="N249" s="1301"/>
      <c r="O249" s="1301"/>
    </row>
    <row r="250" spans="1:16">
      <c r="A250" s="1300" t="s">
        <v>682</v>
      </c>
      <c r="B250" s="1301" t="s">
        <v>2154</v>
      </c>
      <c r="C250" s="1301" t="s">
        <v>2154</v>
      </c>
      <c r="D250" s="1301"/>
      <c r="E250" s="1301"/>
      <c r="F250" s="1301"/>
      <c r="G250" s="1301"/>
      <c r="H250" s="1301"/>
      <c r="I250" s="1301"/>
      <c r="J250" s="1301"/>
      <c r="K250" s="1301"/>
      <c r="L250" s="1301" t="s">
        <v>2154</v>
      </c>
      <c r="M250" s="1301"/>
      <c r="N250" s="1301"/>
      <c r="O250" s="1301"/>
    </row>
    <row r="251" spans="1:16">
      <c r="A251" s="1300" t="s">
        <v>683</v>
      </c>
      <c r="B251" s="1301" t="s">
        <v>2154</v>
      </c>
      <c r="C251" s="1301" t="s">
        <v>2154</v>
      </c>
      <c r="D251" s="1301"/>
      <c r="E251" s="1301"/>
      <c r="F251" s="1301"/>
      <c r="G251" s="1301"/>
      <c r="H251" s="1301"/>
      <c r="I251" s="1301"/>
      <c r="J251" s="1301"/>
      <c r="K251" s="1301"/>
      <c r="L251" s="1301" t="s">
        <v>2154</v>
      </c>
      <c r="M251" s="1301"/>
      <c r="N251" s="1301"/>
      <c r="O251" s="1301"/>
    </row>
    <row r="252" spans="1:16">
      <c r="A252" s="1300" t="s">
        <v>684</v>
      </c>
      <c r="B252" s="1301" t="s">
        <v>2154</v>
      </c>
      <c r="C252" s="1301" t="s">
        <v>2154</v>
      </c>
      <c r="D252" s="1301"/>
      <c r="E252" s="1301"/>
      <c r="F252" s="1301"/>
      <c r="G252" s="1301"/>
      <c r="H252" s="1301"/>
      <c r="I252" s="1301"/>
      <c r="J252" s="1301"/>
      <c r="K252" s="1301"/>
      <c r="L252" s="1301" t="s">
        <v>2154</v>
      </c>
      <c r="M252" s="1301"/>
      <c r="N252" s="1301"/>
      <c r="O252" s="1301"/>
    </row>
    <row r="253" spans="1:16">
      <c r="A253" s="1300" t="s">
        <v>685</v>
      </c>
      <c r="B253" s="1297">
        <v>8437798.1400000006</v>
      </c>
      <c r="C253" s="1297">
        <v>2019179.99</v>
      </c>
      <c r="D253" s="1297"/>
      <c r="E253" s="1297"/>
      <c r="F253" s="1297"/>
      <c r="G253" s="1297"/>
      <c r="H253" s="1297"/>
      <c r="I253" s="1297"/>
      <c r="J253" s="1297"/>
      <c r="K253" s="1301"/>
      <c r="L253" s="1297">
        <v>98634.67</v>
      </c>
      <c r="M253" s="1297"/>
      <c r="N253" s="1297"/>
      <c r="O253" s="1297"/>
    </row>
    <row r="254" spans="1:16">
      <c r="A254" s="1300" t="s">
        <v>686</v>
      </c>
      <c r="B254" s="1301" t="s">
        <v>2154</v>
      </c>
      <c r="C254" s="1301" t="s">
        <v>2154</v>
      </c>
      <c r="D254" s="1301"/>
      <c r="E254" s="1301"/>
      <c r="F254" s="1301"/>
      <c r="G254" s="1301"/>
      <c r="H254" s="1301"/>
      <c r="I254" s="1301"/>
      <c r="J254" s="1301"/>
      <c r="K254" s="1301"/>
      <c r="L254" s="1301" t="s">
        <v>2154</v>
      </c>
      <c r="M254" s="1301"/>
      <c r="N254" s="1301"/>
      <c r="O254" s="1301"/>
    </row>
    <row r="255" spans="1:16">
      <c r="A255" s="1300" t="s">
        <v>687</v>
      </c>
      <c r="B255" s="1301" t="s">
        <v>2154</v>
      </c>
      <c r="C255" s="1301" t="s">
        <v>2154</v>
      </c>
      <c r="D255" s="1301"/>
      <c r="E255" s="1301"/>
      <c r="F255" s="1301"/>
      <c r="G255" s="1301"/>
      <c r="H255" s="1301"/>
      <c r="I255" s="1301"/>
      <c r="J255" s="1301"/>
      <c r="K255" s="1301"/>
      <c r="L255" s="1301" t="s">
        <v>2154</v>
      </c>
      <c r="M255" s="1301"/>
      <c r="N255" s="1301"/>
      <c r="O255" s="1301"/>
    </row>
    <row r="256" spans="1:16">
      <c r="A256" s="1300" t="s">
        <v>688</v>
      </c>
      <c r="B256" s="1301" t="s">
        <v>2154</v>
      </c>
      <c r="C256" s="1301" t="s">
        <v>2154</v>
      </c>
      <c r="D256" s="1301"/>
      <c r="E256" s="1301"/>
      <c r="F256" s="1301"/>
      <c r="G256" s="1301"/>
      <c r="H256" s="1301"/>
      <c r="I256" s="1301"/>
      <c r="J256" s="1301"/>
      <c r="K256" s="1301"/>
      <c r="L256" s="1301" t="s">
        <v>2154</v>
      </c>
      <c r="M256" s="1301"/>
      <c r="N256" s="1301"/>
      <c r="O256" s="1301"/>
    </row>
    <row r="257" spans="1:16">
      <c r="A257" s="1296"/>
      <c r="B257" s="1297">
        <f t="shared" ref="B257:P257" si="13">SUM(B244:B256)</f>
        <v>8437798.1400000006</v>
      </c>
      <c r="C257" s="1297">
        <f t="shared" si="13"/>
        <v>2019179.99</v>
      </c>
      <c r="D257" s="1297">
        <f t="shared" si="13"/>
        <v>0</v>
      </c>
      <c r="E257" s="1297">
        <f t="shared" si="13"/>
        <v>0</v>
      </c>
      <c r="F257" s="1297">
        <f t="shared" si="13"/>
        <v>0</v>
      </c>
      <c r="G257" s="1297">
        <f t="shared" si="13"/>
        <v>0</v>
      </c>
      <c r="H257" s="1297">
        <f t="shared" si="13"/>
        <v>0</v>
      </c>
      <c r="I257" s="1297">
        <f t="shared" si="13"/>
        <v>0</v>
      </c>
      <c r="J257" s="1297">
        <f t="shared" si="13"/>
        <v>0</v>
      </c>
      <c r="K257" s="1297">
        <f t="shared" si="13"/>
        <v>0</v>
      </c>
      <c r="L257" s="1297">
        <f t="shared" si="13"/>
        <v>98634.67</v>
      </c>
      <c r="M257" s="1297">
        <f t="shared" si="13"/>
        <v>0</v>
      </c>
      <c r="N257" s="1297">
        <f t="shared" si="13"/>
        <v>0</v>
      </c>
      <c r="O257" s="1297">
        <f t="shared" si="13"/>
        <v>0</v>
      </c>
      <c r="P257" s="1291">
        <f t="shared" si="13"/>
        <v>0</v>
      </c>
    </row>
    <row r="258" spans="1:16">
      <c r="A258" s="1296"/>
      <c r="B258" s="1297"/>
      <c r="C258" s="1297"/>
      <c r="D258" s="1297"/>
      <c r="E258" s="1297"/>
      <c r="F258" s="1297"/>
      <c r="G258" s="1297"/>
      <c r="H258" s="1297"/>
      <c r="I258" s="1297"/>
      <c r="J258" s="1297"/>
      <c r="K258" s="1297"/>
      <c r="L258" s="1297"/>
      <c r="M258" s="1297"/>
      <c r="N258" s="1297"/>
      <c r="O258" s="1297"/>
    </row>
    <row r="259" spans="1:16">
      <c r="A259" s="1300" t="s">
        <v>1306</v>
      </c>
      <c r="B259" s="1301" t="s">
        <v>2154</v>
      </c>
      <c r="C259" s="1301" t="s">
        <v>2154</v>
      </c>
      <c r="D259" s="1301"/>
      <c r="E259" s="1301"/>
      <c r="F259" s="1301"/>
      <c r="G259" s="1301"/>
      <c r="H259" s="1301"/>
      <c r="I259" s="1301"/>
      <c r="J259" s="1301"/>
      <c r="K259" s="1301"/>
      <c r="L259" s="1301" t="s">
        <v>2154</v>
      </c>
      <c r="M259" s="1301"/>
      <c r="N259" s="1301"/>
      <c r="O259" s="1301"/>
    </row>
    <row r="260" spans="1:16">
      <c r="A260" s="1300" t="s">
        <v>1307</v>
      </c>
      <c r="B260" s="1301" t="s">
        <v>2154</v>
      </c>
      <c r="C260" s="1301" t="s">
        <v>2154</v>
      </c>
      <c r="D260" s="1301"/>
      <c r="E260" s="1301"/>
      <c r="F260" s="1301"/>
      <c r="G260" s="1301"/>
      <c r="H260" s="1301"/>
      <c r="I260" s="1301"/>
      <c r="J260" s="1297"/>
      <c r="K260" s="1301"/>
      <c r="L260" s="1301" t="s">
        <v>2154</v>
      </c>
      <c r="M260" s="1301"/>
      <c r="N260" s="1297"/>
      <c r="O260" s="1297"/>
    </row>
    <row r="261" spans="1:16">
      <c r="A261" s="1296"/>
      <c r="B261" s="1297"/>
      <c r="C261" s="1297"/>
      <c r="D261" s="1297"/>
      <c r="E261" s="1297"/>
      <c r="F261" s="1297"/>
      <c r="G261" s="1297"/>
      <c r="H261" s="1297"/>
      <c r="I261" s="1297"/>
      <c r="J261" s="1297"/>
      <c r="K261" s="1297"/>
      <c r="L261" s="1297"/>
      <c r="M261" s="1297"/>
      <c r="N261" s="1297"/>
      <c r="O261" s="1297"/>
    </row>
    <row r="262" spans="1:16">
      <c r="A262" s="1296"/>
      <c r="B262" s="1297"/>
      <c r="C262" s="1297"/>
      <c r="D262" s="1297"/>
      <c r="E262" s="1297"/>
      <c r="F262" s="1297"/>
      <c r="G262" s="1297"/>
      <c r="H262" s="1297"/>
      <c r="I262" s="1297"/>
      <c r="J262" s="1297"/>
      <c r="K262" s="1297"/>
      <c r="L262" s="1297"/>
      <c r="M262" s="1297"/>
      <c r="N262" s="1297"/>
      <c r="O262" s="1297"/>
    </row>
    <row r="263" spans="1:16">
      <c r="A263" s="1300" t="s">
        <v>689</v>
      </c>
      <c r="B263" s="1301" t="s">
        <v>2154</v>
      </c>
      <c r="C263" s="1301" t="s">
        <v>2154</v>
      </c>
      <c r="D263" s="1301"/>
      <c r="E263" s="1301"/>
      <c r="F263" s="1301"/>
      <c r="G263" s="1301"/>
      <c r="H263" s="1301"/>
      <c r="I263" s="1301"/>
      <c r="J263" s="1301"/>
      <c r="K263" s="1301"/>
      <c r="L263" s="1301" t="s">
        <v>2154</v>
      </c>
      <c r="M263" s="1301"/>
      <c r="N263" s="1301"/>
      <c r="O263" s="1301"/>
    </row>
    <row r="264" spans="1:16">
      <c r="A264" s="1296"/>
      <c r="B264" s="1297"/>
      <c r="C264" s="1297"/>
      <c r="D264" s="1297"/>
      <c r="E264" s="1297"/>
      <c r="F264" s="1297"/>
      <c r="G264" s="1297"/>
      <c r="H264" s="1297"/>
      <c r="I264" s="1297"/>
      <c r="J264" s="1297"/>
      <c r="K264" s="1297"/>
      <c r="L264" s="1297"/>
      <c r="M264" s="1297"/>
      <c r="N264" s="1297"/>
      <c r="O264" s="1297"/>
    </row>
    <row r="265" spans="1:16">
      <c r="A265" s="1300" t="s">
        <v>690</v>
      </c>
      <c r="B265" s="1301" t="s">
        <v>2154</v>
      </c>
      <c r="C265" s="1301">
        <v>-1128.52</v>
      </c>
      <c r="D265" s="1297"/>
      <c r="E265" s="1297"/>
      <c r="F265" s="1297"/>
      <c r="G265" s="1297"/>
      <c r="H265" s="1297"/>
      <c r="I265" s="1297"/>
      <c r="J265" s="1297"/>
      <c r="K265" s="1301"/>
      <c r="L265" s="1301">
        <v>-121.47</v>
      </c>
      <c r="M265" s="1301"/>
      <c r="N265" s="1297"/>
      <c r="O265" s="1297"/>
    </row>
    <row r="266" spans="1:16">
      <c r="A266" s="1300" t="s">
        <v>691</v>
      </c>
      <c r="B266" s="1297">
        <v>-6731.78</v>
      </c>
      <c r="C266" s="1297">
        <v>-21334.55</v>
      </c>
      <c r="D266" s="1297"/>
      <c r="E266" s="1297"/>
      <c r="F266" s="1297"/>
      <c r="G266" s="1297"/>
      <c r="H266" s="1297"/>
      <c r="I266" s="1297"/>
      <c r="J266" s="1297"/>
      <c r="K266" s="1301"/>
      <c r="L266" s="1297">
        <v>-1834.4099999999999</v>
      </c>
      <c r="M266" s="1297"/>
      <c r="N266" s="1297"/>
      <c r="O266" s="1297"/>
    </row>
    <row r="267" spans="1:16">
      <c r="A267" s="1300" t="s">
        <v>2234</v>
      </c>
      <c r="B267" s="1297">
        <v>-54099.929999999993</v>
      </c>
      <c r="C267" s="1297">
        <v>-38914.6</v>
      </c>
      <c r="D267" s="1297"/>
      <c r="E267" s="1297"/>
      <c r="F267" s="1297"/>
      <c r="G267" s="1297"/>
      <c r="H267" s="1297"/>
      <c r="I267" s="1297"/>
      <c r="J267" s="1297"/>
      <c r="K267" s="1301"/>
      <c r="L267" s="1297">
        <v>-11859.31</v>
      </c>
      <c r="M267" s="1297"/>
      <c r="N267" s="1297"/>
      <c r="O267" s="1297"/>
    </row>
    <row r="268" spans="1:16">
      <c r="B268" s="1292"/>
      <c r="C268" s="1292"/>
      <c r="D268" s="1292"/>
      <c r="E268" s="1292"/>
      <c r="F268" s="1292"/>
      <c r="G268" s="1292"/>
      <c r="H268" s="1292"/>
      <c r="I268" s="1292"/>
      <c r="J268" s="1292"/>
      <c r="K268" s="1292"/>
      <c r="L268" s="1292"/>
      <c r="M268" s="1292"/>
      <c r="N268" s="1292"/>
      <c r="O268" s="1292"/>
    </row>
  </sheetData>
  <phoneticPr fontId="36" type="noConversion"/>
  <pageMargins left="0.75" right="0.75" top="1" bottom="1" header="0.5" footer="0.5"/>
  <pageSetup scale="64" fitToHeight="3" orientation="portrait" r:id="rId1"/>
  <headerFooter alignWithMargins="0"/>
</worksheet>
</file>

<file path=xl/worksheets/sheet24.xml><?xml version="1.0" encoding="utf-8"?>
<worksheet xmlns="http://schemas.openxmlformats.org/spreadsheetml/2006/main" xmlns:r="http://schemas.openxmlformats.org/officeDocument/2006/relationships">
  <sheetPr codeName="Sheet31" enableFormatConditionsCalculation="0">
    <tabColor indexed="42"/>
    <pageSetUpPr autoPageBreaks="0"/>
  </sheetPr>
  <dimension ref="B3:S40"/>
  <sheetViews>
    <sheetView showGridLines="0" zoomScale="90" zoomScaleNormal="70" workbookViewId="0">
      <pane xSplit="3" ySplit="6" topLeftCell="D7" activePane="bottomRight" state="frozen"/>
      <selection activeCell="G17" sqref="G17"/>
      <selection pane="topRight" activeCell="G17" sqref="G17"/>
      <selection pane="bottomLeft" activeCell="G17" sqref="G17"/>
      <selection pane="bottomRight" activeCell="D7" sqref="D7"/>
    </sheetView>
  </sheetViews>
  <sheetFormatPr defaultColWidth="18.7109375" defaultRowHeight="11.25"/>
  <cols>
    <col min="1" max="2" width="2.7109375" style="2641" customWidth="1"/>
    <col min="3" max="3" width="25.7109375" style="2641" customWidth="1"/>
    <col min="4" max="19" width="12.7109375" style="2641" customWidth="1"/>
    <col min="20" max="16384" width="18.7109375" style="2641"/>
  </cols>
  <sheetData>
    <row r="3" spans="2:19">
      <c r="B3" s="1304" t="s">
        <v>1756</v>
      </c>
      <c r="D3" s="2642" t="s">
        <v>692</v>
      </c>
      <c r="E3" s="2642" t="str">
        <f>'1.3 OmniBal'!B3</f>
        <v>LOC_00494</v>
      </c>
      <c r="F3" s="2642" t="str">
        <f>'1.3 OmniBal'!C3</f>
        <v>LOC_01828</v>
      </c>
      <c r="G3" s="2642" t="str">
        <f>'1.3 OmniBal'!D3</f>
        <v/>
      </c>
      <c r="H3" s="2642" t="str">
        <f>'1.3 OmniBal'!E3</f>
        <v/>
      </c>
      <c r="I3" s="2642" t="str">
        <f>'1.3 OmniBal'!F3</f>
        <v/>
      </c>
      <c r="J3" s="2642" t="str">
        <f>'1.3 OmniBal'!G3</f>
        <v/>
      </c>
      <c r="K3" s="2642" t="str">
        <f>'1.3 OmniBal'!H3</f>
        <v/>
      </c>
      <c r="L3" s="2642" t="str">
        <f>'1.3 OmniBal'!I3</f>
        <v/>
      </c>
      <c r="M3" s="2642" t="str">
        <f>'1.3 OmniBal'!J3</f>
        <v/>
      </c>
      <c r="N3" s="2642" t="str">
        <f>'1.3 OmniBal'!K3</f>
        <v/>
      </c>
      <c r="O3" s="2642" t="str">
        <f>'1.3 OmniBal'!L3</f>
        <v>LOC_05951</v>
      </c>
      <c r="P3" s="2642" t="str">
        <f>'1.3 OmniBal'!M3</f>
        <v/>
      </c>
      <c r="Q3" s="2642" t="str">
        <f>'1.3 OmniBal'!N3</f>
        <v/>
      </c>
      <c r="R3" s="2642" t="str">
        <f>'1.3 OmniBal'!O3</f>
        <v/>
      </c>
      <c r="S3" s="2642" t="str">
        <f>'1.3 OmniBal'!P3</f>
        <v/>
      </c>
    </row>
    <row r="4" spans="2:19">
      <c r="D4" s="2642"/>
      <c r="E4" s="2642" t="str">
        <f>'1.3 OmniBal'!B4</f>
        <v>Actual</v>
      </c>
      <c r="F4" s="2642" t="str">
        <f>'1.3 OmniBal'!C4</f>
        <v>Actual</v>
      </c>
      <c r="G4" s="2642" t="str">
        <f>'1.3 OmniBal'!D4</f>
        <v/>
      </c>
      <c r="H4" s="2642" t="str">
        <f>'1.3 OmniBal'!E4</f>
        <v/>
      </c>
      <c r="I4" s="2642" t="str">
        <f>'1.3 OmniBal'!F4</f>
        <v/>
      </c>
      <c r="J4" s="2642" t="str">
        <f>'1.3 OmniBal'!G4</f>
        <v/>
      </c>
      <c r="K4" s="2642" t="str">
        <f>'1.3 OmniBal'!H4</f>
        <v/>
      </c>
      <c r="L4" s="2642" t="str">
        <f>'1.3 OmniBal'!I4</f>
        <v/>
      </c>
      <c r="M4" s="2642" t="str">
        <f>'1.3 OmniBal'!J4</f>
        <v/>
      </c>
      <c r="N4" s="2642" t="str">
        <f>'1.3 OmniBal'!K4</f>
        <v/>
      </c>
      <c r="O4" s="2642" t="str">
        <f>'1.3 OmniBal'!L4</f>
        <v>Actual</v>
      </c>
      <c r="P4" s="2642" t="str">
        <f>'1.3 OmniBal'!M4</f>
        <v/>
      </c>
      <c r="Q4" s="2642" t="str">
        <f>'1.3 OmniBal'!N4</f>
        <v/>
      </c>
      <c r="R4" s="2642" t="str">
        <f>'1.3 OmniBal'!O4</f>
        <v/>
      </c>
      <c r="S4" s="2642" t="str">
        <f>'1.3 OmniBal'!P4</f>
        <v/>
      </c>
    </row>
    <row r="5" spans="2:19">
      <c r="D5" s="2642"/>
      <c r="E5" s="2642" t="str">
        <f>'1.3 OmniBal'!B5</f>
        <v>FY13</v>
      </c>
      <c r="F5" s="2642" t="str">
        <f>'1.3 OmniBal'!C5</f>
        <v>FY13</v>
      </c>
      <c r="G5" s="2642" t="str">
        <f>'1.3 OmniBal'!D5</f>
        <v/>
      </c>
      <c r="H5" s="2642" t="str">
        <f>'1.3 OmniBal'!E5</f>
        <v/>
      </c>
      <c r="I5" s="2642" t="str">
        <f>'1.3 OmniBal'!F5</f>
        <v/>
      </c>
      <c r="J5" s="2642" t="str">
        <f>'1.3 OmniBal'!G5</f>
        <v/>
      </c>
      <c r="K5" s="2642" t="str">
        <f>'1.3 OmniBal'!H5</f>
        <v/>
      </c>
      <c r="L5" s="2642" t="str">
        <f>'1.3 OmniBal'!I5</f>
        <v/>
      </c>
      <c r="M5" s="2642" t="str">
        <f>'1.3 OmniBal'!J5</f>
        <v/>
      </c>
      <c r="N5" s="2642" t="str">
        <f>'1.3 OmniBal'!K5</f>
        <v/>
      </c>
      <c r="O5" s="2642" t="str">
        <f>'1.3 OmniBal'!L5</f>
        <v>FY13</v>
      </c>
      <c r="P5" s="2642" t="str">
        <f>'1.3 OmniBal'!M5</f>
        <v/>
      </c>
      <c r="Q5" s="2642" t="str">
        <f>'1.3 OmniBal'!N5</f>
        <v/>
      </c>
      <c r="R5" s="2642" t="str">
        <f>'1.3 OmniBal'!O5</f>
        <v/>
      </c>
      <c r="S5" s="2642" t="str">
        <f>'1.3 OmniBal'!P5</f>
        <v/>
      </c>
    </row>
    <row r="6" spans="2:19">
      <c r="D6" s="2643"/>
      <c r="E6" s="2643" t="str">
        <f>'1.3 OmniBal'!B6</f>
        <v>Nov</v>
      </c>
      <c r="F6" s="2643" t="str">
        <f>'1.3 OmniBal'!C6</f>
        <v>Nov</v>
      </c>
      <c r="G6" s="2643" t="str">
        <f>'1.3 OmniBal'!D6</f>
        <v/>
      </c>
      <c r="H6" s="2643" t="str">
        <f>'1.3 OmniBal'!E6</f>
        <v/>
      </c>
      <c r="I6" s="2643" t="str">
        <f>'1.3 OmniBal'!F6</f>
        <v/>
      </c>
      <c r="J6" s="2643" t="str">
        <f>'1.3 OmniBal'!G6</f>
        <v/>
      </c>
      <c r="K6" s="2643" t="str">
        <f>'1.3 OmniBal'!H6</f>
        <v/>
      </c>
      <c r="L6" s="2643" t="str">
        <f>'1.3 OmniBal'!I6</f>
        <v/>
      </c>
      <c r="M6" s="2643" t="str">
        <f>'1.3 OmniBal'!J6</f>
        <v/>
      </c>
      <c r="N6" s="2643" t="str">
        <f>'1.3 OmniBal'!K6</f>
        <v/>
      </c>
      <c r="O6" s="2643" t="str">
        <f>'1.3 OmniBal'!L6</f>
        <v>Nov</v>
      </c>
      <c r="P6" s="2643" t="str">
        <f>'1.3 OmniBal'!M6</f>
        <v/>
      </c>
      <c r="Q6" s="2643" t="str">
        <f>'1.3 OmniBal'!N6</f>
        <v/>
      </c>
      <c r="R6" s="2643" t="str">
        <f>'1.3 OmniBal'!O6</f>
        <v/>
      </c>
      <c r="S6" s="2643" t="str">
        <f>'1.3 OmniBal'!P6</f>
        <v/>
      </c>
    </row>
    <row r="7" spans="2:19">
      <c r="D7" s="2644"/>
      <c r="E7" s="2644"/>
      <c r="F7" s="2644"/>
      <c r="G7" s="2644"/>
      <c r="H7" s="2644"/>
      <c r="I7" s="2644"/>
      <c r="J7" s="2644"/>
      <c r="K7" s="2644"/>
      <c r="L7" s="2644"/>
      <c r="M7" s="2644"/>
      <c r="N7" s="2644"/>
      <c r="O7" s="2644"/>
      <c r="P7" s="2644"/>
      <c r="Q7" s="2644"/>
      <c r="R7" s="2644"/>
      <c r="S7" s="2644"/>
    </row>
    <row r="8" spans="2:19">
      <c r="B8" s="2641" t="s">
        <v>664</v>
      </c>
      <c r="D8" s="2642"/>
      <c r="E8" s="2642"/>
      <c r="F8" s="2642"/>
      <c r="G8" s="2642"/>
      <c r="H8" s="2642"/>
      <c r="I8" s="2642"/>
      <c r="J8" s="2642"/>
      <c r="K8" s="2642"/>
      <c r="L8" s="2642"/>
      <c r="M8" s="2642"/>
      <c r="N8" s="2642"/>
      <c r="O8" s="2642"/>
      <c r="P8" s="2642"/>
      <c r="Q8" s="2642"/>
      <c r="R8" s="2642"/>
      <c r="S8" s="2642"/>
    </row>
    <row r="9" spans="2:19">
      <c r="C9" s="2641" t="s">
        <v>1404</v>
      </c>
      <c r="D9" s="2645">
        <f>SUMIF(E$40:S$40,"yes",E9:S9)</f>
        <v>-8535.08</v>
      </c>
      <c r="E9" s="2645">
        <f>'1.3 OmniBal'!B8</f>
        <v>-8535.08</v>
      </c>
      <c r="F9" s="2645" t="str">
        <f>'1.3 OmniBal'!C8</f>
        <v>0</v>
      </c>
      <c r="G9" s="2645">
        <f>'1.3 OmniBal'!D8</f>
        <v>0</v>
      </c>
      <c r="H9" s="2645">
        <f>'1.3 OmniBal'!E8</f>
        <v>0</v>
      </c>
      <c r="I9" s="2645">
        <f>'1.3 OmniBal'!F8</f>
        <v>0</v>
      </c>
      <c r="J9" s="2645">
        <f>'1.3 OmniBal'!G8</f>
        <v>0</v>
      </c>
      <c r="K9" s="2645">
        <f>'1.3 OmniBal'!H8</f>
        <v>0</v>
      </c>
      <c r="L9" s="2645">
        <f>'1.3 OmniBal'!I8</f>
        <v>0</v>
      </c>
      <c r="M9" s="2645">
        <f>'1.3 OmniBal'!J8</f>
        <v>0</v>
      </c>
      <c r="N9" s="2645">
        <f>'1.3 OmniBal'!K8</f>
        <v>0</v>
      </c>
      <c r="O9" s="2645" t="str">
        <f>'1.3 OmniBal'!L8</f>
        <v>0</v>
      </c>
      <c r="P9" s="2645">
        <f>'1.3 OmniBal'!M8</f>
        <v>0</v>
      </c>
      <c r="Q9" s="2645">
        <f>'1.3 OmniBal'!N8</f>
        <v>0</v>
      </c>
      <c r="R9" s="2645">
        <f>'1.3 OmniBal'!O8</f>
        <v>0</v>
      </c>
      <c r="S9" s="2645">
        <f>'1.3 OmniBal'!P8</f>
        <v>0</v>
      </c>
    </row>
    <row r="10" spans="2:19">
      <c r="C10" s="2641" t="s">
        <v>1405</v>
      </c>
      <c r="D10" s="2645">
        <f>SUMIF(E$40:S$40,"yes",E10:S10)</f>
        <v>429248.52999999997</v>
      </c>
      <c r="E10" s="2645">
        <f>'1.3 OmniBal'!B25</f>
        <v>216636.94</v>
      </c>
      <c r="F10" s="2645">
        <f>'1.3 OmniBal'!C25</f>
        <v>189852.16999999998</v>
      </c>
      <c r="G10" s="2645">
        <f>'1.3 OmniBal'!D25</f>
        <v>0</v>
      </c>
      <c r="H10" s="2645">
        <f>'1.3 OmniBal'!E25</f>
        <v>0</v>
      </c>
      <c r="I10" s="2645">
        <f>'1.3 OmniBal'!F25</f>
        <v>0</v>
      </c>
      <c r="J10" s="2645">
        <f>'1.3 OmniBal'!G25</f>
        <v>0</v>
      </c>
      <c r="K10" s="2645">
        <f>'1.3 OmniBal'!H25</f>
        <v>0</v>
      </c>
      <c r="L10" s="2645">
        <f>'1.3 OmniBal'!I25</f>
        <v>0</v>
      </c>
      <c r="M10" s="2645">
        <f>'1.3 OmniBal'!J25</f>
        <v>0</v>
      </c>
      <c r="N10" s="2645">
        <f>'1.3 OmniBal'!K25</f>
        <v>0</v>
      </c>
      <c r="O10" s="2645">
        <f>'1.3 OmniBal'!L25</f>
        <v>22759.42</v>
      </c>
      <c r="P10" s="2645">
        <f>'1.3 OmniBal'!M25</f>
        <v>0</v>
      </c>
      <c r="Q10" s="2645">
        <f>'1.3 OmniBal'!N25</f>
        <v>0</v>
      </c>
      <c r="R10" s="2645">
        <f>'1.3 OmniBal'!O25</f>
        <v>0</v>
      </c>
      <c r="S10" s="2645">
        <f>'1.3 OmniBal'!P25</f>
        <v>0</v>
      </c>
    </row>
    <row r="11" spans="2:19">
      <c r="C11" s="2641" t="s">
        <v>1406</v>
      </c>
      <c r="D11" s="2645">
        <f>SUMIF(E$40:S$40,"yes",E11:S11)</f>
        <v>20537.03</v>
      </c>
      <c r="E11" s="2645">
        <f>'1.3 OmniBal'!B27</f>
        <v>14519.77</v>
      </c>
      <c r="F11" s="2645">
        <f>'1.3 OmniBal'!C27</f>
        <v>4836.91</v>
      </c>
      <c r="G11" s="2645">
        <f>'1.3 OmniBal'!D27</f>
        <v>0</v>
      </c>
      <c r="H11" s="2645">
        <f>'1.3 OmniBal'!E27</f>
        <v>0</v>
      </c>
      <c r="I11" s="2645">
        <f>'1.3 OmniBal'!F27</f>
        <v>0</v>
      </c>
      <c r="J11" s="2645">
        <f>'1.3 OmniBal'!G27</f>
        <v>0</v>
      </c>
      <c r="K11" s="2645">
        <f>'1.3 OmniBal'!H27</f>
        <v>0</v>
      </c>
      <c r="L11" s="2645">
        <f>'1.3 OmniBal'!I27</f>
        <v>0</v>
      </c>
      <c r="M11" s="2645">
        <f>'1.3 OmniBal'!J27</f>
        <v>0</v>
      </c>
      <c r="N11" s="2645">
        <f>'1.3 OmniBal'!K27</f>
        <v>0</v>
      </c>
      <c r="O11" s="2645">
        <f>'1.3 OmniBal'!L27</f>
        <v>1180.3500000000001</v>
      </c>
      <c r="P11" s="2645">
        <f>'1.3 OmniBal'!M27</f>
        <v>0</v>
      </c>
      <c r="Q11" s="2645">
        <f>'1.3 OmniBal'!N27</f>
        <v>0</v>
      </c>
      <c r="R11" s="2645">
        <f>'1.3 OmniBal'!O27</f>
        <v>0</v>
      </c>
      <c r="S11" s="2645">
        <f>'1.3 OmniBal'!P27</f>
        <v>0</v>
      </c>
    </row>
    <row r="12" spans="2:19">
      <c r="C12" s="2641" t="s">
        <v>665</v>
      </c>
      <c r="D12" s="2646">
        <f>SUMIF(E$40:S$40,"yes",E12:S12)</f>
        <v>16135.26</v>
      </c>
      <c r="E12" s="2646">
        <f>'1.3 OmniBal'!B50</f>
        <v>16135.26</v>
      </c>
      <c r="F12" s="2646">
        <f>'1.3 OmniBal'!C50</f>
        <v>0</v>
      </c>
      <c r="G12" s="2646">
        <f>'1.3 OmniBal'!D50</f>
        <v>0</v>
      </c>
      <c r="H12" s="2646">
        <f>'1.3 OmniBal'!E50</f>
        <v>0</v>
      </c>
      <c r="I12" s="2646">
        <f>'1.3 OmniBal'!F50</f>
        <v>0</v>
      </c>
      <c r="J12" s="2646">
        <f>'1.3 OmniBal'!G50</f>
        <v>0</v>
      </c>
      <c r="K12" s="2646">
        <f>'1.3 OmniBal'!H50</f>
        <v>0</v>
      </c>
      <c r="L12" s="2646">
        <f>'1.3 OmniBal'!I50</f>
        <v>0</v>
      </c>
      <c r="M12" s="2646">
        <f>'1.3 OmniBal'!J50</f>
        <v>0</v>
      </c>
      <c r="N12" s="2646">
        <f>'1.3 OmniBal'!K50</f>
        <v>0</v>
      </c>
      <c r="O12" s="2646">
        <f>'1.3 OmniBal'!L50</f>
        <v>0</v>
      </c>
      <c r="P12" s="2646">
        <f>'1.3 OmniBal'!M50</f>
        <v>0</v>
      </c>
      <c r="Q12" s="2646">
        <f>'1.3 OmniBal'!N50</f>
        <v>0</v>
      </c>
      <c r="R12" s="2646">
        <f>'1.3 OmniBal'!O50</f>
        <v>0</v>
      </c>
      <c r="S12" s="2646">
        <f>'1.3 OmniBal'!P50</f>
        <v>0</v>
      </c>
    </row>
    <row r="13" spans="2:19">
      <c r="C13" s="2641" t="s">
        <v>1407</v>
      </c>
      <c r="D13" s="2645">
        <f>SUMIF(E$40:S$40,"yes",E13:S13)</f>
        <v>457385.74</v>
      </c>
      <c r="E13" s="2645">
        <f t="shared" ref="E13:S13" si="0">SUM(E9:E12)</f>
        <v>238756.89</v>
      </c>
      <c r="F13" s="2645">
        <f t="shared" si="0"/>
        <v>194689.08</v>
      </c>
      <c r="G13" s="2645">
        <f t="shared" si="0"/>
        <v>0</v>
      </c>
      <c r="H13" s="2645">
        <f t="shared" si="0"/>
        <v>0</v>
      </c>
      <c r="I13" s="2645">
        <f t="shared" si="0"/>
        <v>0</v>
      </c>
      <c r="J13" s="2645">
        <f t="shared" si="0"/>
        <v>0</v>
      </c>
      <c r="K13" s="2645">
        <f t="shared" si="0"/>
        <v>0</v>
      </c>
      <c r="L13" s="2645">
        <f t="shared" si="0"/>
        <v>0</v>
      </c>
      <c r="M13" s="2645">
        <f t="shared" si="0"/>
        <v>0</v>
      </c>
      <c r="N13" s="2645">
        <f t="shared" si="0"/>
        <v>0</v>
      </c>
      <c r="O13" s="2645">
        <f t="shared" si="0"/>
        <v>23939.769999999997</v>
      </c>
      <c r="P13" s="2645">
        <f t="shared" si="0"/>
        <v>0</v>
      </c>
      <c r="Q13" s="2645">
        <f t="shared" si="0"/>
        <v>0</v>
      </c>
      <c r="R13" s="2645">
        <f t="shared" si="0"/>
        <v>0</v>
      </c>
      <c r="S13" s="2645">
        <f t="shared" si="0"/>
        <v>0</v>
      </c>
    </row>
    <row r="14" spans="2:19">
      <c r="D14" s="2645"/>
      <c r="E14" s="2645"/>
      <c r="F14" s="2645"/>
      <c r="G14" s="2645"/>
      <c r="H14" s="2645"/>
      <c r="I14" s="2645"/>
      <c r="J14" s="2645"/>
      <c r="K14" s="2645"/>
      <c r="L14" s="2645"/>
      <c r="M14" s="2645"/>
      <c r="N14" s="2645"/>
      <c r="O14" s="2645"/>
      <c r="P14" s="2645"/>
      <c r="Q14" s="2645"/>
      <c r="R14" s="2645"/>
      <c r="S14" s="2645"/>
    </row>
    <row r="15" spans="2:19">
      <c r="C15" s="2641" t="s">
        <v>666</v>
      </c>
      <c r="D15" s="2645">
        <f t="shared" ref="D15:D21" si="1">SUMIF(E$40:S$40,"yes",E15:S15)</f>
        <v>1635282.54</v>
      </c>
      <c r="E15" s="2645">
        <f>'1.3 OmniBal'!B71</f>
        <v>1528564</v>
      </c>
      <c r="F15" s="2645">
        <f>'1.3 OmniBal'!C71</f>
        <v>9156.86</v>
      </c>
      <c r="G15" s="2645">
        <f>'1.3 OmniBal'!D71</f>
        <v>0</v>
      </c>
      <c r="H15" s="2645">
        <f>'1.3 OmniBal'!E71</f>
        <v>0</v>
      </c>
      <c r="I15" s="2645">
        <f>'1.3 OmniBal'!F71</f>
        <v>0</v>
      </c>
      <c r="J15" s="2645">
        <f>'1.3 OmniBal'!G71</f>
        <v>0</v>
      </c>
      <c r="K15" s="2645">
        <f>'1.3 OmniBal'!H71</f>
        <v>0</v>
      </c>
      <c r="L15" s="2645">
        <f>'1.3 OmniBal'!I71</f>
        <v>0</v>
      </c>
      <c r="M15" s="2645">
        <f>'1.3 OmniBal'!J71</f>
        <v>0</v>
      </c>
      <c r="N15" s="2645">
        <f>'1.3 OmniBal'!K71</f>
        <v>0</v>
      </c>
      <c r="O15" s="2645">
        <f>'1.3 OmniBal'!L71</f>
        <v>97561.680000000008</v>
      </c>
      <c r="P15" s="2645">
        <f>'1.3 OmniBal'!M71</f>
        <v>0</v>
      </c>
      <c r="Q15" s="2645">
        <f>'1.3 OmniBal'!N71</f>
        <v>0</v>
      </c>
      <c r="R15" s="2645">
        <f>'1.3 OmniBal'!O71</f>
        <v>0</v>
      </c>
      <c r="S15" s="2645">
        <f>'1.3 OmniBal'!P71</f>
        <v>0</v>
      </c>
    </row>
    <row r="16" spans="2:19">
      <c r="C16" s="2641" t="s">
        <v>1409</v>
      </c>
      <c r="D16" s="2645">
        <f t="shared" si="1"/>
        <v>-757663.99</v>
      </c>
      <c r="E16" s="2645">
        <f>'1.3 OmniBal'!B90</f>
        <v>-689565.98</v>
      </c>
      <c r="F16" s="2645">
        <f>'1.3 OmniBal'!C90</f>
        <v>-5960.67</v>
      </c>
      <c r="G16" s="2645">
        <f>'1.3 OmniBal'!D90</f>
        <v>0</v>
      </c>
      <c r="H16" s="2645">
        <f>'1.3 OmniBal'!E90</f>
        <v>0</v>
      </c>
      <c r="I16" s="2645">
        <f>'1.3 OmniBal'!F90</f>
        <v>0</v>
      </c>
      <c r="J16" s="2645">
        <f>'1.3 OmniBal'!G90</f>
        <v>0</v>
      </c>
      <c r="K16" s="2645">
        <f>'1.3 OmniBal'!H90</f>
        <v>0</v>
      </c>
      <c r="L16" s="2645">
        <f>'1.3 OmniBal'!I90</f>
        <v>0</v>
      </c>
      <c r="M16" s="2645">
        <f>'1.3 OmniBal'!J90</f>
        <v>0</v>
      </c>
      <c r="N16" s="2645">
        <f>'1.3 OmniBal'!K90</f>
        <v>0</v>
      </c>
      <c r="O16" s="2645">
        <f>'1.3 OmniBal'!L90</f>
        <v>-62137.340000000004</v>
      </c>
      <c r="P16" s="2645">
        <f>'1.3 OmniBal'!M90</f>
        <v>0</v>
      </c>
      <c r="Q16" s="2645">
        <f>'1.3 OmniBal'!N90</f>
        <v>0</v>
      </c>
      <c r="R16" s="2645">
        <f>'1.3 OmniBal'!O90</f>
        <v>0</v>
      </c>
      <c r="S16" s="2645">
        <f>'1.3 OmniBal'!P90</f>
        <v>0</v>
      </c>
    </row>
    <row r="17" spans="2:19">
      <c r="C17" s="2641" t="s">
        <v>667</v>
      </c>
      <c r="D17" s="2645">
        <f t="shared" si="1"/>
        <v>2000</v>
      </c>
      <c r="E17" s="2645">
        <f>SUM('1.3 OmniBal'!B93:B99)</f>
        <v>2000</v>
      </c>
      <c r="F17" s="2645">
        <f>SUM('1.3 OmniBal'!C93:C99)</f>
        <v>0</v>
      </c>
      <c r="G17" s="2645">
        <f>SUM('1.3 OmniBal'!D93:D99)</f>
        <v>0</v>
      </c>
      <c r="H17" s="2645">
        <f>SUM('1.3 OmniBal'!E93:E99)</f>
        <v>0</v>
      </c>
      <c r="I17" s="2645">
        <f>SUM('1.3 OmniBal'!F93:F99)</f>
        <v>0</v>
      </c>
      <c r="J17" s="2645">
        <f>SUM('1.3 OmniBal'!G93:G99)</f>
        <v>0</v>
      </c>
      <c r="K17" s="2645">
        <f>SUM('1.3 OmniBal'!H93:H99)</f>
        <v>0</v>
      </c>
      <c r="L17" s="2645">
        <f>SUM('1.3 OmniBal'!I93:I99)</f>
        <v>0</v>
      </c>
      <c r="M17" s="2645">
        <f>SUM('1.3 OmniBal'!J93:J99)</f>
        <v>0</v>
      </c>
      <c r="N17" s="2645">
        <f>SUM('1.3 OmniBal'!K93:K99)</f>
        <v>0</v>
      </c>
      <c r="O17" s="2645">
        <f>SUM('1.3 OmniBal'!L93:L99)</f>
        <v>0</v>
      </c>
      <c r="P17" s="2645">
        <f>SUM('1.3 OmniBal'!M93:M99)</f>
        <v>0</v>
      </c>
      <c r="Q17" s="2645">
        <f>SUM('1.3 OmniBal'!N93:N99)</f>
        <v>0</v>
      </c>
      <c r="R17" s="2645">
        <f>SUM('1.3 OmniBal'!O93:O99)</f>
        <v>0</v>
      </c>
      <c r="S17" s="2645">
        <f>SUM('1.3 OmniBal'!P93:P99)</f>
        <v>0</v>
      </c>
    </row>
    <row r="18" spans="2:19">
      <c r="C18" s="2641" t="s">
        <v>668</v>
      </c>
      <c r="D18" s="2645">
        <f t="shared" si="1"/>
        <v>0</v>
      </c>
      <c r="E18" s="2645">
        <f>SUM('1.3 OmniBal'!B118:B120)</f>
        <v>0</v>
      </c>
      <c r="F18" s="2645">
        <f>SUM('1.3 OmniBal'!C118:C120)</f>
        <v>0</v>
      </c>
      <c r="G18" s="2645">
        <f>SUM('1.3 OmniBal'!D118:D120)</f>
        <v>0</v>
      </c>
      <c r="H18" s="2645">
        <f>SUM('1.3 OmniBal'!E118:E120)</f>
        <v>0</v>
      </c>
      <c r="I18" s="2645">
        <f>SUM('1.3 OmniBal'!F118:F120)</f>
        <v>0</v>
      </c>
      <c r="J18" s="2645">
        <f>SUM('1.3 OmniBal'!G118:G120)</f>
        <v>0</v>
      </c>
      <c r="K18" s="2645">
        <f>SUM('1.3 OmniBal'!H118:H120)</f>
        <v>0</v>
      </c>
      <c r="L18" s="2645">
        <f>SUM('1.3 OmniBal'!I118:I120)</f>
        <v>0</v>
      </c>
      <c r="M18" s="2645">
        <f>SUM('1.3 OmniBal'!J118:J120)</f>
        <v>0</v>
      </c>
      <c r="N18" s="2645">
        <f>SUM('1.3 OmniBal'!K118:K120)</f>
        <v>0</v>
      </c>
      <c r="O18" s="2645">
        <f>SUM('1.3 OmniBal'!L118:L120)</f>
        <v>0</v>
      </c>
      <c r="P18" s="2645">
        <f>SUM('1.3 OmniBal'!M118:M120)</f>
        <v>0</v>
      </c>
      <c r="Q18" s="2645">
        <f>SUM('1.3 OmniBal'!N118:N120)</f>
        <v>0</v>
      </c>
      <c r="R18" s="2645">
        <f>SUM('1.3 OmniBal'!O118:O120)</f>
        <v>0</v>
      </c>
      <c r="S18" s="2645">
        <f>SUM('1.3 OmniBal'!P118:P120)</f>
        <v>0</v>
      </c>
    </row>
    <row r="19" spans="2:19">
      <c r="C19" s="2641" t="s">
        <v>669</v>
      </c>
      <c r="D19" s="2645">
        <f t="shared" si="1"/>
        <v>0</v>
      </c>
      <c r="E19" s="2645">
        <f>SUM('1.3 OmniBal'!B121:B124)</f>
        <v>0</v>
      </c>
      <c r="F19" s="2645">
        <f>SUM('1.3 OmniBal'!C121:C124)</f>
        <v>0</v>
      </c>
      <c r="G19" s="2645">
        <f>SUM('1.3 OmniBal'!D121:D124)</f>
        <v>0</v>
      </c>
      <c r="H19" s="2645">
        <f>SUM('1.3 OmniBal'!E121:E124)</f>
        <v>0</v>
      </c>
      <c r="I19" s="2645">
        <f>SUM('1.3 OmniBal'!F121:F124)</f>
        <v>0</v>
      </c>
      <c r="J19" s="2645">
        <f>SUM('1.3 OmniBal'!G121:G124)</f>
        <v>0</v>
      </c>
      <c r="K19" s="2645">
        <f>SUM('1.3 OmniBal'!H121:H124)</f>
        <v>0</v>
      </c>
      <c r="L19" s="2645">
        <f>SUM('1.3 OmniBal'!I121:I124)</f>
        <v>0</v>
      </c>
      <c r="M19" s="2645">
        <f>SUM('1.3 OmniBal'!J121:J124)</f>
        <v>0</v>
      </c>
      <c r="N19" s="2645">
        <f>SUM('1.3 OmniBal'!K121:K124)</f>
        <v>0</v>
      </c>
      <c r="O19" s="2645">
        <f>SUM('1.3 OmniBal'!L121:L124)</f>
        <v>0</v>
      </c>
      <c r="P19" s="2645">
        <f>SUM('1.3 OmniBal'!M121:M124)</f>
        <v>0</v>
      </c>
      <c r="Q19" s="2645">
        <f>SUM('1.3 OmniBal'!N121:N124)</f>
        <v>0</v>
      </c>
      <c r="R19" s="2645">
        <f>SUM('1.3 OmniBal'!O121:O124)</f>
        <v>0</v>
      </c>
      <c r="S19" s="2645">
        <f>SUM('1.3 OmniBal'!P121:P124)</f>
        <v>0</v>
      </c>
    </row>
    <row r="20" spans="2:19">
      <c r="C20" s="2641" t="s">
        <v>2170</v>
      </c>
      <c r="D20" s="2645">
        <f t="shared" si="1"/>
        <v>0</v>
      </c>
      <c r="E20" s="2645">
        <f>SUM('1.3 OmniBal'!B101:B109)</f>
        <v>0</v>
      </c>
      <c r="F20" s="2645">
        <f>SUM('1.3 OmniBal'!C101:C109)</f>
        <v>0</v>
      </c>
      <c r="G20" s="2645">
        <f>SUM('1.3 OmniBal'!D101:D109)</f>
        <v>0</v>
      </c>
      <c r="H20" s="2645">
        <f>SUM('1.3 OmniBal'!E101:E109)</f>
        <v>0</v>
      </c>
      <c r="I20" s="2645">
        <f>SUM('1.3 OmniBal'!F101:F109)</f>
        <v>0</v>
      </c>
      <c r="J20" s="2645">
        <f>SUM('1.3 OmniBal'!G101:G109)</f>
        <v>0</v>
      </c>
      <c r="K20" s="2645">
        <f>SUM('1.3 OmniBal'!H101:H109)</f>
        <v>0</v>
      </c>
      <c r="L20" s="2645">
        <f>SUM('1.3 OmniBal'!I101:I109)</f>
        <v>0</v>
      </c>
      <c r="M20" s="2645">
        <f>SUM('1.3 OmniBal'!J101:J109)</f>
        <v>0</v>
      </c>
      <c r="N20" s="2645">
        <f>SUM('1.3 OmniBal'!K101:K109)</f>
        <v>0</v>
      </c>
      <c r="O20" s="2645">
        <f>SUM('1.3 OmniBal'!L101:L109)</f>
        <v>0</v>
      </c>
      <c r="P20" s="2645">
        <f>SUM('1.3 OmniBal'!M101:M109)</f>
        <v>0</v>
      </c>
      <c r="Q20" s="2645">
        <f>SUM('1.3 OmniBal'!N101:N109)</f>
        <v>0</v>
      </c>
      <c r="R20" s="2645">
        <f>SUM('1.3 OmniBal'!O101:O109)</f>
        <v>0</v>
      </c>
      <c r="S20" s="2645">
        <f>SUM('1.3 OmniBal'!P101:P109)</f>
        <v>0</v>
      </c>
    </row>
    <row r="21" spans="2:19">
      <c r="C21" s="2641" t="s">
        <v>2171</v>
      </c>
      <c r="D21" s="2645">
        <f t="shared" si="1"/>
        <v>0</v>
      </c>
      <c r="E21" s="2645">
        <f>SUM('1.3 OmniBal'!B110:B115)</f>
        <v>0</v>
      </c>
      <c r="F21" s="2645">
        <f>SUM('1.3 OmniBal'!C110:C115)</f>
        <v>0</v>
      </c>
      <c r="G21" s="2645">
        <f>SUM('1.3 OmniBal'!D110:D115)</f>
        <v>0</v>
      </c>
      <c r="H21" s="2645">
        <f>SUM('1.3 OmniBal'!E110:E115)</f>
        <v>0</v>
      </c>
      <c r="I21" s="2645">
        <f>SUM('1.3 OmniBal'!F110:F115)</f>
        <v>0</v>
      </c>
      <c r="J21" s="2645">
        <f>SUM('1.3 OmniBal'!G110:G115)</f>
        <v>0</v>
      </c>
      <c r="K21" s="2645">
        <f>SUM('1.3 OmniBal'!H110:H115)</f>
        <v>0</v>
      </c>
      <c r="L21" s="2645">
        <f>SUM('1.3 OmniBal'!I110:I115)</f>
        <v>0</v>
      </c>
      <c r="M21" s="2645">
        <f>SUM('1.3 OmniBal'!J110:J115)</f>
        <v>0</v>
      </c>
      <c r="N21" s="2645">
        <f>SUM('1.3 OmniBal'!K110:K115)</f>
        <v>0</v>
      </c>
      <c r="O21" s="2645">
        <f>SUM('1.3 OmniBal'!L110:L115)</f>
        <v>0</v>
      </c>
      <c r="P21" s="2645">
        <f>SUM('1.3 OmniBal'!M110:M115)</f>
        <v>0</v>
      </c>
      <c r="Q21" s="2645">
        <f>SUM('1.3 OmniBal'!N110:N115)</f>
        <v>0</v>
      </c>
      <c r="R21" s="2645">
        <f>SUM('1.3 OmniBal'!O110:O115)</f>
        <v>0</v>
      </c>
      <c r="S21" s="2645">
        <f>SUM('1.3 OmniBal'!P110:P115)</f>
        <v>0</v>
      </c>
    </row>
    <row r="22" spans="2:19">
      <c r="D22" s="2645"/>
      <c r="E22" s="2645"/>
      <c r="F22" s="2645"/>
      <c r="G22" s="2645"/>
      <c r="H22" s="2645"/>
      <c r="I22" s="2645"/>
      <c r="J22" s="2645"/>
      <c r="K22" s="2645"/>
      <c r="L22" s="2645"/>
      <c r="M22" s="2645"/>
      <c r="N22" s="2645"/>
      <c r="O22" s="2645"/>
      <c r="P22" s="2645"/>
      <c r="Q22" s="2645"/>
      <c r="R22" s="2645"/>
      <c r="S22" s="2645"/>
    </row>
    <row r="23" spans="2:19" ht="12" thickBot="1">
      <c r="B23" s="2641" t="s">
        <v>2172</v>
      </c>
      <c r="D23" s="2647">
        <f>SUMIF(E$40:S$40,"yes",E23:S23)</f>
        <v>1337004.2900000003</v>
      </c>
      <c r="E23" s="2647">
        <f t="shared" ref="E23:S23" si="2">SUM(E15:E21)+E13</f>
        <v>1079754.9100000001</v>
      </c>
      <c r="F23" s="2647">
        <f t="shared" si="2"/>
        <v>197885.27</v>
      </c>
      <c r="G23" s="2647">
        <f t="shared" si="2"/>
        <v>0</v>
      </c>
      <c r="H23" s="2647">
        <f t="shared" si="2"/>
        <v>0</v>
      </c>
      <c r="I23" s="2647">
        <f t="shared" si="2"/>
        <v>0</v>
      </c>
      <c r="J23" s="2647">
        <f t="shared" si="2"/>
        <v>0</v>
      </c>
      <c r="K23" s="2647">
        <f t="shared" si="2"/>
        <v>0</v>
      </c>
      <c r="L23" s="2647">
        <f t="shared" si="2"/>
        <v>0</v>
      </c>
      <c r="M23" s="2647">
        <f t="shared" si="2"/>
        <v>0</v>
      </c>
      <c r="N23" s="2647">
        <f t="shared" si="2"/>
        <v>0</v>
      </c>
      <c r="O23" s="2647">
        <f t="shared" si="2"/>
        <v>59364.11</v>
      </c>
      <c r="P23" s="2647">
        <f t="shared" si="2"/>
        <v>0</v>
      </c>
      <c r="Q23" s="2647">
        <f t="shared" si="2"/>
        <v>0</v>
      </c>
      <c r="R23" s="2647">
        <f t="shared" si="2"/>
        <v>0</v>
      </c>
      <c r="S23" s="2647">
        <f t="shared" si="2"/>
        <v>0</v>
      </c>
    </row>
    <row r="24" spans="2:19" ht="12" thickTop="1">
      <c r="D24" s="2645"/>
      <c r="E24" s="2645"/>
      <c r="F24" s="2645"/>
      <c r="G24" s="2645"/>
      <c r="H24" s="2645"/>
      <c r="I24" s="2645"/>
      <c r="J24" s="2645"/>
      <c r="K24" s="2645"/>
      <c r="L24" s="2645"/>
      <c r="M24" s="2645"/>
      <c r="N24" s="2645"/>
      <c r="O24" s="2645"/>
      <c r="P24" s="2645"/>
      <c r="Q24" s="2645"/>
      <c r="R24" s="2645"/>
      <c r="S24" s="2645"/>
    </row>
    <row r="25" spans="2:19">
      <c r="B25" s="2641" t="s">
        <v>2173</v>
      </c>
      <c r="D25" s="2645"/>
      <c r="E25" s="2645"/>
      <c r="F25" s="2645"/>
      <c r="G25" s="2645"/>
      <c r="H25" s="2645"/>
      <c r="I25" s="2645"/>
      <c r="J25" s="2645"/>
      <c r="K25" s="2645"/>
      <c r="L25" s="2645"/>
      <c r="M25" s="2645"/>
      <c r="N25" s="2645"/>
      <c r="O25" s="2645"/>
      <c r="P25" s="2645"/>
      <c r="Q25" s="2645"/>
      <c r="R25" s="2645"/>
      <c r="S25" s="2645"/>
    </row>
    <row r="26" spans="2:19">
      <c r="C26" s="2641" t="s">
        <v>2174</v>
      </c>
      <c r="D26" s="2645">
        <f>SUMIF(E$40:S$40,"yes",E26:S26)</f>
        <v>2430.73</v>
      </c>
      <c r="E26" s="2645">
        <f>SUM('1.3 OmniBal'!B149)</f>
        <v>2430.73</v>
      </c>
      <c r="F26" s="2645">
        <f>SUM('1.3 OmniBal'!C149)</f>
        <v>0</v>
      </c>
      <c r="G26" s="2645">
        <f>SUM('1.3 OmniBal'!D149)</f>
        <v>0</v>
      </c>
      <c r="H26" s="2645">
        <f>SUM('1.3 OmniBal'!E149)</f>
        <v>0</v>
      </c>
      <c r="I26" s="2645">
        <f>SUM('1.3 OmniBal'!F149)</f>
        <v>0</v>
      </c>
      <c r="J26" s="2645">
        <f>SUM('1.3 OmniBal'!G149)</f>
        <v>0</v>
      </c>
      <c r="K26" s="2645">
        <f>SUM('1.3 OmniBal'!H149)</f>
        <v>0</v>
      </c>
      <c r="L26" s="2645">
        <f>SUM('1.3 OmniBal'!I149)</f>
        <v>0</v>
      </c>
      <c r="M26" s="2645">
        <f>SUM('1.3 OmniBal'!J149)</f>
        <v>0</v>
      </c>
      <c r="N26" s="2645">
        <f>SUM('1.3 OmniBal'!K149)</f>
        <v>0</v>
      </c>
      <c r="O26" s="2645">
        <f>SUM('1.3 OmniBal'!L149)</f>
        <v>0</v>
      </c>
      <c r="P26" s="2645">
        <f>SUM('1.3 OmniBal'!M149)</f>
        <v>0</v>
      </c>
      <c r="Q26" s="2645">
        <f>SUM('1.3 OmniBal'!N149)</f>
        <v>0</v>
      </c>
      <c r="R26" s="2645">
        <f>SUM('1.3 OmniBal'!O149)</f>
        <v>0</v>
      </c>
      <c r="S26" s="2645">
        <f>SUM('1.3 OmniBal'!P149)</f>
        <v>0</v>
      </c>
    </row>
    <row r="27" spans="2:19">
      <c r="C27" s="2641" t="s">
        <v>2175</v>
      </c>
      <c r="D27" s="2645">
        <f>SUMIF(E$40:S$40,"yes",E27:S27)</f>
        <v>51668.32</v>
      </c>
      <c r="E27" s="2645">
        <f>'1.3 OmniBal'!B160</f>
        <v>37334.74</v>
      </c>
      <c r="F27" s="2645">
        <f>'1.3 OmniBal'!C160</f>
        <v>10269.43</v>
      </c>
      <c r="G27" s="2645">
        <f>'1.3 OmniBal'!D160</f>
        <v>0</v>
      </c>
      <c r="H27" s="2645">
        <f>'1.3 OmniBal'!E160</f>
        <v>0</v>
      </c>
      <c r="I27" s="2645">
        <f>'1.3 OmniBal'!F160</f>
        <v>0</v>
      </c>
      <c r="J27" s="2645">
        <f>'1.3 OmniBal'!G160</f>
        <v>0</v>
      </c>
      <c r="K27" s="2645">
        <f>'1.3 OmniBal'!H160</f>
        <v>0</v>
      </c>
      <c r="L27" s="2645">
        <f>'1.3 OmniBal'!I160</f>
        <v>0</v>
      </c>
      <c r="M27" s="2645">
        <f>'1.3 OmniBal'!J160</f>
        <v>0</v>
      </c>
      <c r="N27" s="2645">
        <f>'1.3 OmniBal'!K160</f>
        <v>0</v>
      </c>
      <c r="O27" s="2645">
        <f>'1.3 OmniBal'!L160</f>
        <v>4064.1499999999996</v>
      </c>
      <c r="P27" s="2645">
        <f>'1.3 OmniBal'!M160</f>
        <v>0</v>
      </c>
      <c r="Q27" s="2645">
        <f>'1.3 OmniBal'!N160</f>
        <v>0</v>
      </c>
      <c r="R27" s="2645">
        <f>'1.3 OmniBal'!O160</f>
        <v>0</v>
      </c>
      <c r="S27" s="2645">
        <f>'1.3 OmniBal'!P160</f>
        <v>0</v>
      </c>
    </row>
    <row r="28" spans="2:19">
      <c r="C28" s="2641" t="s">
        <v>2176</v>
      </c>
      <c r="D28" s="2646">
        <f>SUMIF(E$40:S$40,"yes",E28:S28)</f>
        <v>50124.460000000006</v>
      </c>
      <c r="E28" s="2646">
        <f>'1.3 OmniBal'!B217</f>
        <v>4822.12</v>
      </c>
      <c r="F28" s="2646">
        <f>'1.3 OmniBal'!C217</f>
        <v>27452.95</v>
      </c>
      <c r="G28" s="2646">
        <f>'1.3 OmniBal'!D217</f>
        <v>0</v>
      </c>
      <c r="H28" s="2646">
        <f>'1.3 OmniBal'!E217</f>
        <v>0</v>
      </c>
      <c r="I28" s="2646">
        <f>'1.3 OmniBal'!F217</f>
        <v>0</v>
      </c>
      <c r="J28" s="2646">
        <f>'1.3 OmniBal'!G217</f>
        <v>0</v>
      </c>
      <c r="K28" s="2646">
        <f>'1.3 OmniBal'!H217</f>
        <v>0</v>
      </c>
      <c r="L28" s="2646">
        <f>'1.3 OmniBal'!I217</f>
        <v>0</v>
      </c>
      <c r="M28" s="2646">
        <f>'1.3 OmniBal'!J217</f>
        <v>0</v>
      </c>
      <c r="N28" s="2646">
        <f>'1.3 OmniBal'!K217</f>
        <v>0</v>
      </c>
      <c r="O28" s="2646">
        <f>'1.3 OmniBal'!L217</f>
        <v>17849.390000000003</v>
      </c>
      <c r="P28" s="2646">
        <f>'1.3 OmniBal'!M217</f>
        <v>0</v>
      </c>
      <c r="Q28" s="2646">
        <f>'1.3 OmniBal'!N217</f>
        <v>0</v>
      </c>
      <c r="R28" s="2646">
        <f>'1.3 OmniBal'!O217</f>
        <v>0</v>
      </c>
      <c r="S28" s="2646">
        <f>'1.3 OmniBal'!P217</f>
        <v>0</v>
      </c>
    </row>
    <row r="29" spans="2:19">
      <c r="C29" s="2641" t="s">
        <v>2177</v>
      </c>
      <c r="D29" s="2645">
        <f>SUMIF(E$40:S$40,"yes",E29:S29)</f>
        <v>104223.51000000001</v>
      </c>
      <c r="E29" s="2645">
        <f t="shared" ref="E29:S29" si="3">SUM(E26:E28)</f>
        <v>44587.590000000004</v>
      </c>
      <c r="F29" s="2645">
        <f t="shared" si="3"/>
        <v>37722.380000000005</v>
      </c>
      <c r="G29" s="2645">
        <f t="shared" si="3"/>
        <v>0</v>
      </c>
      <c r="H29" s="2645">
        <f t="shared" si="3"/>
        <v>0</v>
      </c>
      <c r="I29" s="2645">
        <f t="shared" si="3"/>
        <v>0</v>
      </c>
      <c r="J29" s="2645">
        <f t="shared" si="3"/>
        <v>0</v>
      </c>
      <c r="K29" s="2645">
        <f t="shared" si="3"/>
        <v>0</v>
      </c>
      <c r="L29" s="2645">
        <f t="shared" si="3"/>
        <v>0</v>
      </c>
      <c r="M29" s="2645">
        <f t="shared" si="3"/>
        <v>0</v>
      </c>
      <c r="N29" s="2645">
        <f t="shared" si="3"/>
        <v>0</v>
      </c>
      <c r="O29" s="2645">
        <f t="shared" si="3"/>
        <v>21913.54</v>
      </c>
      <c r="P29" s="2645">
        <f t="shared" si="3"/>
        <v>0</v>
      </c>
      <c r="Q29" s="2645">
        <f t="shared" si="3"/>
        <v>0</v>
      </c>
      <c r="R29" s="2645">
        <f t="shared" si="3"/>
        <v>0</v>
      </c>
      <c r="S29" s="2645">
        <f t="shared" si="3"/>
        <v>0</v>
      </c>
    </row>
    <row r="30" spans="2:19">
      <c r="D30" s="2645"/>
      <c r="E30" s="2645"/>
      <c r="F30" s="2645"/>
      <c r="G30" s="2645"/>
      <c r="H30" s="2645"/>
      <c r="I30" s="2645"/>
      <c r="J30" s="2645"/>
      <c r="K30" s="2645"/>
      <c r="L30" s="2645"/>
      <c r="M30" s="2645"/>
      <c r="N30" s="2645"/>
      <c r="O30" s="2645"/>
      <c r="P30" s="2645"/>
      <c r="Q30" s="2645"/>
      <c r="R30" s="2645"/>
      <c r="S30" s="2645"/>
    </row>
    <row r="31" spans="2:19">
      <c r="C31" s="2641" t="s">
        <v>2178</v>
      </c>
      <c r="D31" s="2646">
        <f>SUMIF(E$40:S$40,"yes",E31:S31)</f>
        <v>0</v>
      </c>
      <c r="E31" s="2646">
        <f>'1.3 OmniBal'!B232</f>
        <v>0</v>
      </c>
      <c r="F31" s="2646">
        <f>'1.3 OmniBal'!C232</f>
        <v>0</v>
      </c>
      <c r="G31" s="2646">
        <f>'1.3 OmniBal'!D232</f>
        <v>0</v>
      </c>
      <c r="H31" s="2646">
        <f>'1.3 OmniBal'!E232</f>
        <v>0</v>
      </c>
      <c r="I31" s="2646">
        <f>'1.3 OmniBal'!F232</f>
        <v>0</v>
      </c>
      <c r="J31" s="2646">
        <f>'1.3 OmniBal'!G232</f>
        <v>0</v>
      </c>
      <c r="K31" s="2646">
        <f>'1.3 OmniBal'!H232</f>
        <v>0</v>
      </c>
      <c r="L31" s="2646">
        <f>'1.3 OmniBal'!I232</f>
        <v>0</v>
      </c>
      <c r="M31" s="2646">
        <f>'1.3 OmniBal'!J232</f>
        <v>0</v>
      </c>
      <c r="N31" s="2646">
        <f>'1.3 OmniBal'!K232</f>
        <v>0</v>
      </c>
      <c r="O31" s="2646">
        <f>'1.3 OmniBal'!L232</f>
        <v>0</v>
      </c>
      <c r="P31" s="2646">
        <f>'1.3 OmniBal'!M232</f>
        <v>0</v>
      </c>
      <c r="Q31" s="2646">
        <f>'1.3 OmniBal'!N232</f>
        <v>0</v>
      </c>
      <c r="R31" s="2646">
        <f>'1.3 OmniBal'!O232</f>
        <v>0</v>
      </c>
      <c r="S31" s="2646">
        <f>'1.3 OmniBal'!P232</f>
        <v>0</v>
      </c>
    </row>
    <row r="32" spans="2:19">
      <c r="C32" s="2641" t="s">
        <v>1418</v>
      </c>
      <c r="D32" s="2645">
        <f>SUMIF(E$40:S$40,"yes",E32:S32)</f>
        <v>104223.51000000001</v>
      </c>
      <c r="E32" s="2645">
        <f t="shared" ref="E32:S32" si="4">E31+E29</f>
        <v>44587.590000000004</v>
      </c>
      <c r="F32" s="2645">
        <f t="shared" si="4"/>
        <v>37722.380000000005</v>
      </c>
      <c r="G32" s="2645">
        <f t="shared" si="4"/>
        <v>0</v>
      </c>
      <c r="H32" s="2645">
        <f t="shared" si="4"/>
        <v>0</v>
      </c>
      <c r="I32" s="2645">
        <f t="shared" si="4"/>
        <v>0</v>
      </c>
      <c r="J32" s="2645">
        <f t="shared" si="4"/>
        <v>0</v>
      </c>
      <c r="K32" s="2645">
        <f t="shared" si="4"/>
        <v>0</v>
      </c>
      <c r="L32" s="2645">
        <f t="shared" si="4"/>
        <v>0</v>
      </c>
      <c r="M32" s="2645">
        <f t="shared" si="4"/>
        <v>0</v>
      </c>
      <c r="N32" s="2645">
        <f t="shared" si="4"/>
        <v>0</v>
      </c>
      <c r="O32" s="2645">
        <f t="shared" si="4"/>
        <v>21913.54</v>
      </c>
      <c r="P32" s="2645">
        <f t="shared" si="4"/>
        <v>0</v>
      </c>
      <c r="Q32" s="2645">
        <f t="shared" si="4"/>
        <v>0</v>
      </c>
      <c r="R32" s="2645">
        <f t="shared" si="4"/>
        <v>0</v>
      </c>
      <c r="S32" s="2645">
        <f t="shared" si="4"/>
        <v>0</v>
      </c>
    </row>
    <row r="33" spans="2:19">
      <c r="D33" s="2645"/>
      <c r="E33" s="2645"/>
      <c r="F33" s="2645"/>
      <c r="G33" s="2645"/>
      <c r="H33" s="2645"/>
      <c r="I33" s="2645"/>
      <c r="J33" s="2645"/>
      <c r="K33" s="2645"/>
      <c r="L33" s="2645"/>
      <c r="M33" s="2645"/>
      <c r="N33" s="2645"/>
      <c r="O33" s="2645"/>
      <c r="P33" s="2645"/>
      <c r="Q33" s="2645"/>
      <c r="R33" s="2645"/>
      <c r="S33" s="2645"/>
    </row>
    <row r="34" spans="2:19">
      <c r="C34" s="2641" t="s">
        <v>2179</v>
      </c>
      <c r="D34" s="2645">
        <f>SUMIF(E$40:S$40,"yes",E34:S34)</f>
        <v>-10001618.030000001</v>
      </c>
      <c r="E34" s="2645">
        <f>'1.3 OmniBal'!B242</f>
        <v>-7408248.2400000002</v>
      </c>
      <c r="F34" s="2645">
        <f>'1.3 OmniBal'!C242</f>
        <v>-2443767.89</v>
      </c>
      <c r="G34" s="2645">
        <f>'1.3 OmniBal'!D242</f>
        <v>0</v>
      </c>
      <c r="H34" s="2645">
        <f>'1.3 OmniBal'!E242</f>
        <v>0</v>
      </c>
      <c r="I34" s="2645">
        <f>'1.3 OmniBal'!F242</f>
        <v>0</v>
      </c>
      <c r="J34" s="2645">
        <f>'1.3 OmniBal'!G242</f>
        <v>0</v>
      </c>
      <c r="K34" s="2645">
        <f>'1.3 OmniBal'!H242</f>
        <v>0</v>
      </c>
      <c r="L34" s="2645">
        <f>'1.3 OmniBal'!I242</f>
        <v>0</v>
      </c>
      <c r="M34" s="2645">
        <f>'1.3 OmniBal'!J242</f>
        <v>0</v>
      </c>
      <c r="N34" s="2645">
        <f>'1.3 OmniBal'!K242</f>
        <v>0</v>
      </c>
      <c r="O34" s="2645">
        <f>'1.3 OmniBal'!L242</f>
        <v>-149601.9</v>
      </c>
      <c r="P34" s="2645">
        <f>'1.3 OmniBal'!M242</f>
        <v>0</v>
      </c>
      <c r="Q34" s="2645">
        <f>'1.3 OmniBal'!N242</f>
        <v>0</v>
      </c>
      <c r="R34" s="2645">
        <f>'1.3 OmniBal'!O242</f>
        <v>0</v>
      </c>
      <c r="S34" s="2645">
        <f>'1.3 OmniBal'!P242</f>
        <v>0</v>
      </c>
    </row>
    <row r="35" spans="2:19">
      <c r="C35" s="2641" t="s">
        <v>2180</v>
      </c>
      <c r="D35" s="2646">
        <f>SUMIF(E$40:S$40,"yes",E35:S35)</f>
        <v>11234398.810000001</v>
      </c>
      <c r="E35" s="2646">
        <f t="shared" ref="E35:S35" si="5">E23-E32-E34</f>
        <v>8443415.5600000005</v>
      </c>
      <c r="F35" s="2646">
        <f t="shared" si="5"/>
        <v>2603930.7800000003</v>
      </c>
      <c r="G35" s="2646">
        <f t="shared" si="5"/>
        <v>0</v>
      </c>
      <c r="H35" s="2646">
        <f t="shared" si="5"/>
        <v>0</v>
      </c>
      <c r="I35" s="2646">
        <f t="shared" si="5"/>
        <v>0</v>
      </c>
      <c r="J35" s="2646">
        <f t="shared" si="5"/>
        <v>0</v>
      </c>
      <c r="K35" s="2646">
        <f t="shared" si="5"/>
        <v>0</v>
      </c>
      <c r="L35" s="2646">
        <f t="shared" si="5"/>
        <v>0</v>
      </c>
      <c r="M35" s="2646">
        <f t="shared" si="5"/>
        <v>0</v>
      </c>
      <c r="N35" s="2646">
        <f t="shared" si="5"/>
        <v>0</v>
      </c>
      <c r="O35" s="2646">
        <f t="shared" si="5"/>
        <v>187052.47</v>
      </c>
      <c r="P35" s="2646">
        <f t="shared" si="5"/>
        <v>0</v>
      </c>
      <c r="Q35" s="2646">
        <f t="shared" si="5"/>
        <v>0</v>
      </c>
      <c r="R35" s="2646">
        <f t="shared" si="5"/>
        <v>0</v>
      </c>
      <c r="S35" s="2646">
        <f t="shared" si="5"/>
        <v>0</v>
      </c>
    </row>
    <row r="36" spans="2:19">
      <c r="C36" s="2641" t="s">
        <v>2181</v>
      </c>
      <c r="D36" s="2645">
        <f>SUMIF(E$40:S$40,"yes",E36:S36)</f>
        <v>1232780.7800000005</v>
      </c>
      <c r="E36" s="2645">
        <f t="shared" ref="E36:S36" si="6">SUM(E34:E35)</f>
        <v>1035167.3200000003</v>
      </c>
      <c r="F36" s="2645">
        <f t="shared" si="6"/>
        <v>160162.89000000013</v>
      </c>
      <c r="G36" s="2645">
        <f t="shared" si="6"/>
        <v>0</v>
      </c>
      <c r="H36" s="2645">
        <f t="shared" si="6"/>
        <v>0</v>
      </c>
      <c r="I36" s="2645">
        <f t="shared" si="6"/>
        <v>0</v>
      </c>
      <c r="J36" s="2645">
        <f t="shared" si="6"/>
        <v>0</v>
      </c>
      <c r="K36" s="2645">
        <f t="shared" si="6"/>
        <v>0</v>
      </c>
      <c r="L36" s="2645">
        <f t="shared" si="6"/>
        <v>0</v>
      </c>
      <c r="M36" s="2645">
        <f t="shared" si="6"/>
        <v>0</v>
      </c>
      <c r="N36" s="2645">
        <f t="shared" si="6"/>
        <v>0</v>
      </c>
      <c r="O36" s="2645">
        <f t="shared" si="6"/>
        <v>37450.570000000007</v>
      </c>
      <c r="P36" s="2645">
        <f t="shared" si="6"/>
        <v>0</v>
      </c>
      <c r="Q36" s="2645">
        <f t="shared" si="6"/>
        <v>0</v>
      </c>
      <c r="R36" s="2645">
        <f t="shared" si="6"/>
        <v>0</v>
      </c>
      <c r="S36" s="2645">
        <f t="shared" si="6"/>
        <v>0</v>
      </c>
    </row>
    <row r="37" spans="2:19">
      <c r="D37" s="2645"/>
      <c r="E37" s="2645"/>
      <c r="F37" s="2645"/>
      <c r="G37" s="2645"/>
      <c r="H37" s="2645"/>
      <c r="I37" s="2645"/>
      <c r="J37" s="2645"/>
      <c r="K37" s="2645"/>
      <c r="L37" s="2645"/>
      <c r="M37" s="2645"/>
      <c r="N37" s="2645"/>
      <c r="O37" s="2645"/>
      <c r="P37" s="2645"/>
      <c r="Q37" s="2645"/>
      <c r="R37" s="2645"/>
      <c r="S37" s="2645"/>
    </row>
    <row r="38" spans="2:19" ht="12" thickBot="1">
      <c r="B38" s="2641" t="s">
        <v>2182</v>
      </c>
      <c r="D38" s="2647">
        <f>SUMIF(E$40:S$40,"yes",E38:S38)</f>
        <v>1337004.2900000007</v>
      </c>
      <c r="E38" s="2647">
        <f t="shared" ref="E38:S38" si="7">E36+E32</f>
        <v>1079754.9100000004</v>
      </c>
      <c r="F38" s="2647">
        <f t="shared" si="7"/>
        <v>197885.27000000014</v>
      </c>
      <c r="G38" s="2647">
        <f t="shared" si="7"/>
        <v>0</v>
      </c>
      <c r="H38" s="2647">
        <f t="shared" si="7"/>
        <v>0</v>
      </c>
      <c r="I38" s="2647">
        <f t="shared" si="7"/>
        <v>0</v>
      </c>
      <c r="J38" s="2647">
        <f t="shared" si="7"/>
        <v>0</v>
      </c>
      <c r="K38" s="2647">
        <f t="shared" si="7"/>
        <v>0</v>
      </c>
      <c r="L38" s="2647">
        <f t="shared" si="7"/>
        <v>0</v>
      </c>
      <c r="M38" s="2647">
        <f t="shared" si="7"/>
        <v>0</v>
      </c>
      <c r="N38" s="2647">
        <f t="shared" si="7"/>
        <v>0</v>
      </c>
      <c r="O38" s="2647">
        <f t="shared" si="7"/>
        <v>59364.110000000008</v>
      </c>
      <c r="P38" s="2647">
        <f t="shared" si="7"/>
        <v>0</v>
      </c>
      <c r="Q38" s="2647">
        <f t="shared" si="7"/>
        <v>0</v>
      </c>
      <c r="R38" s="2647">
        <f t="shared" si="7"/>
        <v>0</v>
      </c>
      <c r="S38" s="2647">
        <f t="shared" si="7"/>
        <v>0</v>
      </c>
    </row>
    <row r="39" spans="2:19" ht="12" thickTop="1">
      <c r="D39" s="2645"/>
      <c r="E39" s="2645"/>
      <c r="F39" s="2645"/>
      <c r="G39" s="2645"/>
      <c r="H39" s="2645"/>
      <c r="I39" s="2645"/>
      <c r="J39" s="2645"/>
      <c r="K39" s="2645"/>
      <c r="L39" s="2645"/>
      <c r="M39" s="2645"/>
      <c r="N39" s="2645"/>
      <c r="O39" s="2645"/>
      <c r="P39" s="2645"/>
      <c r="Q39" s="2645"/>
      <c r="R39" s="2645"/>
      <c r="S39" s="2645"/>
    </row>
    <row r="40" spans="2:19">
      <c r="B40" s="2641" t="s">
        <v>2915</v>
      </c>
      <c r="D40" s="2645"/>
      <c r="E40" s="2645" t="str">
        <f>IF('1.1 Parents'!$J$17=1,"yes","no")</f>
        <v>yes</v>
      </c>
      <c r="F40" s="2645" t="str">
        <f>IF('1.1 Parents'!$J$18=1,"yes","no")</f>
        <v>yes</v>
      </c>
      <c r="G40" s="2645" t="str">
        <f>IF('1.1 Parents'!$J$19=1,"yes","no")</f>
        <v>no</v>
      </c>
      <c r="H40" s="2645" t="str">
        <f>IF('1.1 Parents'!$J$20=1,"yes","no")</f>
        <v>no</v>
      </c>
      <c r="I40" s="2645" t="str">
        <f>IF('1.1 Parents'!$J$21=1,"yes","no")</f>
        <v>no</v>
      </c>
      <c r="J40" s="2645" t="str">
        <f>IF('1.1 Parents'!$J$22=1,"yes","no")</f>
        <v>no</v>
      </c>
      <c r="K40" s="2645" t="str">
        <f>IF('1.1 Parents'!$J$23=1,"yes","no")</f>
        <v>no</v>
      </c>
      <c r="L40" s="2645" t="str">
        <f>IF('1.1 Parents'!$J$24=1,"yes","no")</f>
        <v>no</v>
      </c>
      <c r="M40" s="2645" t="str">
        <f>IF('1.1 Parents'!$J$25=1,"yes","no")</f>
        <v>no</v>
      </c>
      <c r="N40" s="2645" t="str">
        <f>IF('1.1 Parents'!$J$26=1,"yes","no")</f>
        <v>no</v>
      </c>
      <c r="O40" s="2645" t="str">
        <f>IF('1.1 Parents'!$J$30=1,"yes","no")</f>
        <v>yes</v>
      </c>
      <c r="P40" s="2645" t="str">
        <f>IF('1.1 Parents'!$J$31=1,"yes","no")</f>
        <v>no</v>
      </c>
      <c r="Q40" s="2645" t="str">
        <f>IF('1.1 Parents'!$J$32=1,"yes","no")</f>
        <v>no</v>
      </c>
      <c r="R40" s="2645" t="str">
        <f>IF('1.1 Parents'!$J$33=1,"yes","no")</f>
        <v>no</v>
      </c>
      <c r="S40" s="2645" t="str">
        <f>IF('1.1 Parents'!$J$34=1,"yes","no")</f>
        <v>no</v>
      </c>
    </row>
  </sheetData>
  <phoneticPr fontId="36" type="noConversion"/>
  <printOptions horizontalCentered="1"/>
  <pageMargins left="0.25" right="0.25" top="1.5" bottom="1.5" header="0.75" footer="0.25"/>
  <pageSetup scale="66" orientation="portrait" r:id="rId1"/>
  <headerFooter alignWithMargins="0">
    <oddHeader>&amp;L&amp;"Times New Roman,Bold"&amp;14Balance Sheet</oddHeader>
    <oddFooter>&amp;C&amp;"Times New Roman,Regular"&amp;6&amp;T &amp;D</oddFooter>
  </headerFooter>
  <legacyDrawing r:id="rId2"/>
</worksheet>
</file>

<file path=xl/worksheets/sheet25.xml><?xml version="1.0" encoding="utf-8"?>
<worksheet xmlns="http://schemas.openxmlformats.org/spreadsheetml/2006/main" xmlns:r="http://schemas.openxmlformats.org/officeDocument/2006/relationships">
  <sheetPr codeName="Sheet12" enableFormatConditionsCalculation="0">
    <tabColor indexed="48"/>
    <pageSetUpPr autoPageBreaks="0"/>
  </sheetPr>
  <dimension ref="A1:BZ114"/>
  <sheetViews>
    <sheetView showGridLines="0" zoomScale="75" zoomScaleNormal="75" workbookViewId="0">
      <pane xSplit="14" ySplit="16" topLeftCell="O75" activePane="bottomRight" state="frozen"/>
      <selection pane="topRight" activeCell="O1" sqref="O1"/>
      <selection pane="bottomLeft" activeCell="A17" sqref="A17"/>
      <selection pane="bottomRight" activeCell="S95" sqref="S95"/>
    </sheetView>
  </sheetViews>
  <sheetFormatPr defaultRowHeight="12.75" outlineLevelCol="2"/>
  <cols>
    <col min="1" max="2" width="2.7109375" style="152" customWidth="1"/>
    <col min="3" max="3" width="2.7109375" style="861" customWidth="1"/>
    <col min="4" max="4" width="4.28515625" style="788" customWidth="1"/>
    <col min="5" max="5" width="20.7109375" style="788" customWidth="1"/>
    <col min="6" max="6" width="11.7109375" style="788" customWidth="1"/>
    <col min="7" max="7" width="11.7109375" style="792" customWidth="1"/>
    <col min="8" max="8" width="12.7109375" style="1019" customWidth="1"/>
    <col min="9" max="9" width="11.7109375" style="783" customWidth="1"/>
    <col min="10" max="10" width="11.7109375" style="786" customWidth="1"/>
    <col min="11" max="12" width="11.7109375" style="782" customWidth="1"/>
    <col min="13" max="13" width="11.7109375" style="788" customWidth="1"/>
    <col min="14" max="14" width="2.7109375" style="861" customWidth="1"/>
    <col min="15" max="15" width="2.7109375" style="152" customWidth="1"/>
    <col min="16" max="16" width="2.7109375" style="861" customWidth="1"/>
    <col min="17" max="17" width="6.7109375" style="789" customWidth="1" outlineLevel="2"/>
    <col min="18" max="78" width="6.7109375" style="786" customWidth="1" outlineLevel="2"/>
    <col min="79" max="16384" width="9.140625" style="786"/>
  </cols>
  <sheetData>
    <row r="1" spans="1:21">
      <c r="A1" s="861"/>
      <c r="B1" s="861"/>
      <c r="D1" s="786"/>
      <c r="E1" s="786"/>
      <c r="F1" s="786"/>
      <c r="G1" s="782"/>
      <c r="H1" s="852"/>
      <c r="I1" s="2204">
        <v>1</v>
      </c>
      <c r="J1" s="2205">
        <v>2</v>
      </c>
      <c r="K1" s="2206">
        <v>3</v>
      </c>
      <c r="L1" s="2206">
        <v>4</v>
      </c>
      <c r="M1" s="2205">
        <v>5</v>
      </c>
      <c r="O1" s="861"/>
      <c r="Q1" s="2910"/>
      <c r="R1" s="2415" t="s">
        <v>4239</v>
      </c>
      <c r="S1" s="2415" t="s">
        <v>2105</v>
      </c>
    </row>
    <row r="2" spans="1:21" s="791" customFormat="1">
      <c r="A2" s="861"/>
      <c r="B2" s="862"/>
      <c r="C2" s="1470" t="s">
        <v>1850</v>
      </c>
      <c r="D2" s="804"/>
      <c r="E2" s="804"/>
      <c r="F2" s="804"/>
      <c r="G2" s="804"/>
      <c r="H2" s="858"/>
      <c r="I2" s="804"/>
      <c r="J2" s="804"/>
      <c r="K2" s="804"/>
      <c r="L2" s="784" t="s">
        <v>1237</v>
      </c>
      <c r="M2" s="804" t="str">
        <f>Type</f>
        <v>DeNovo</v>
      </c>
      <c r="N2" s="862"/>
      <c r="O2" s="862"/>
      <c r="P2" s="861"/>
      <c r="Q2" s="2939" t="s">
        <v>4240</v>
      </c>
      <c r="R2" s="2940">
        <f ca="1">IRR</f>
        <v>0.23353215518875942</v>
      </c>
      <c r="S2" s="2941">
        <v>0.25280278773700382</v>
      </c>
    </row>
    <row r="3" spans="1:21" s="781" customFormat="1">
      <c r="A3" s="152"/>
      <c r="B3" s="862"/>
      <c r="C3" s="861"/>
      <c r="D3" s="786"/>
      <c r="E3" s="806"/>
      <c r="F3" s="806"/>
      <c r="G3" s="785"/>
      <c r="H3" s="1008"/>
      <c r="I3" s="60"/>
      <c r="K3" s="785"/>
      <c r="L3" s="785"/>
      <c r="N3" s="861"/>
      <c r="O3" s="862"/>
      <c r="P3" s="861"/>
      <c r="Q3" s="2942" t="s">
        <v>3779</v>
      </c>
      <c r="R3" s="2943">
        <f ca="1">coc</f>
        <v>0.15709863598518339</v>
      </c>
      <c r="S3" s="2944">
        <v>0.16339315169017318</v>
      </c>
    </row>
    <row r="4" spans="1:21" s="781" customFormat="1">
      <c r="A4" s="152"/>
      <c r="B4" s="862"/>
      <c r="C4" s="1275" t="s">
        <v>2493</v>
      </c>
      <c r="D4" s="1276"/>
      <c r="E4" s="1277"/>
      <c r="F4" s="1277"/>
      <c r="G4" s="1278"/>
      <c r="H4" s="1279"/>
      <c r="I4" s="1220"/>
      <c r="J4" s="1278"/>
      <c r="K4" s="1278"/>
      <c r="L4" s="1278"/>
      <c r="M4" s="1278"/>
      <c r="N4" s="1280"/>
      <c r="O4" s="862"/>
      <c r="P4" s="861"/>
      <c r="Q4" s="2939" t="s">
        <v>4241</v>
      </c>
      <c r="R4" s="2945">
        <f ca="1">PartnerIRRPretax</f>
        <v>0.19894642120911973</v>
      </c>
      <c r="S4" s="2946">
        <v>0.22826372724361915</v>
      </c>
    </row>
    <row r="5" spans="1:21" s="781" customFormat="1">
      <c r="A5" s="152"/>
      <c r="B5" s="862"/>
      <c r="C5" s="861"/>
      <c r="D5" s="786"/>
      <c r="E5" s="806"/>
      <c r="F5" s="806"/>
      <c r="G5" s="785"/>
      <c r="H5" s="1008"/>
      <c r="I5" s="60"/>
      <c r="K5" s="785"/>
      <c r="L5" s="785"/>
      <c r="N5" s="861"/>
      <c r="O5" s="862"/>
      <c r="P5" s="861"/>
      <c r="Q5" s="617"/>
      <c r="R5" s="618"/>
      <c r="S5" s="617"/>
      <c r="T5" s="617"/>
      <c r="U5" s="791"/>
    </row>
    <row r="6" spans="1:21">
      <c r="B6" s="862"/>
      <c r="D6" s="786"/>
      <c r="E6" s="786"/>
      <c r="F6" s="798" t="s">
        <v>3121</v>
      </c>
      <c r="G6" s="798" t="str">
        <f>Type</f>
        <v>DeNovo</v>
      </c>
      <c r="H6" s="1009"/>
      <c r="I6" s="795" t="s">
        <v>1463</v>
      </c>
      <c r="J6" s="796"/>
      <c r="K6" s="796"/>
      <c r="L6" s="796"/>
      <c r="M6" s="797"/>
      <c r="O6" s="862"/>
      <c r="Q6" s="617"/>
      <c r="R6" s="618"/>
      <c r="S6" s="617"/>
      <c r="T6" s="617"/>
      <c r="U6" s="791"/>
    </row>
    <row r="7" spans="1:21">
      <c r="B7" s="862"/>
      <c r="D7" s="786"/>
      <c r="E7" s="786"/>
      <c r="F7" s="787" t="s">
        <v>1857</v>
      </c>
      <c r="G7" s="787" t="s">
        <v>1857</v>
      </c>
      <c r="H7" s="1010"/>
      <c r="I7" s="2723" t="s">
        <v>1090</v>
      </c>
      <c r="J7" s="2724" t="s">
        <v>1091</v>
      </c>
      <c r="K7" s="2724" t="s">
        <v>2165</v>
      </c>
      <c r="L7" s="2724" t="s">
        <v>2166</v>
      </c>
      <c r="M7" s="2725" t="s">
        <v>2167</v>
      </c>
      <c r="O7" s="862"/>
      <c r="Q7" s="617"/>
      <c r="R7" s="618"/>
      <c r="S7" s="617"/>
      <c r="T7" s="617"/>
      <c r="U7" s="791"/>
    </row>
    <row r="8" spans="1:21" s="791" customFormat="1">
      <c r="A8" s="152"/>
      <c r="B8" s="862"/>
      <c r="C8" s="861"/>
      <c r="D8" s="2733" t="s">
        <v>4153</v>
      </c>
      <c r="E8" s="809"/>
      <c r="F8" s="250">
        <v>15</v>
      </c>
      <c r="G8" s="250">
        <v>23</v>
      </c>
      <c r="H8" s="859"/>
      <c r="I8" s="250">
        <f t="shared" ref="I8:I13" si="0">G8</f>
        <v>23</v>
      </c>
      <c r="J8" s="250">
        <f t="shared" ref="J8:M12" si="1">I8</f>
        <v>23</v>
      </c>
      <c r="K8" s="250">
        <f t="shared" si="1"/>
        <v>23</v>
      </c>
      <c r="L8" s="250">
        <f t="shared" si="1"/>
        <v>23</v>
      </c>
      <c r="M8" s="250">
        <f t="shared" si="1"/>
        <v>23</v>
      </c>
      <c r="N8" s="861"/>
      <c r="O8" s="862"/>
      <c r="P8" s="861"/>
      <c r="Q8" s="617"/>
      <c r="R8" s="618"/>
      <c r="S8" s="617"/>
      <c r="T8" s="617"/>
    </row>
    <row r="9" spans="1:21" s="791" customFormat="1">
      <c r="A9" s="152"/>
      <c r="B9" s="862"/>
      <c r="C9" s="861"/>
      <c r="D9" s="793" t="s">
        <v>2503</v>
      </c>
      <c r="E9" s="809"/>
      <c r="F9" s="250">
        <v>1</v>
      </c>
      <c r="G9" s="250">
        <f>'1Tab_Input'!B45</f>
        <v>1</v>
      </c>
      <c r="H9" s="859"/>
      <c r="I9" s="250">
        <f t="shared" si="0"/>
        <v>1</v>
      </c>
      <c r="J9" s="250">
        <f>I9</f>
        <v>1</v>
      </c>
      <c r="K9" s="250">
        <f>J9</f>
        <v>1</v>
      </c>
      <c r="L9" s="250">
        <f>K9</f>
        <v>1</v>
      </c>
      <c r="M9" s="250">
        <f>L9</f>
        <v>1</v>
      </c>
      <c r="N9" s="861"/>
      <c r="O9" s="862"/>
      <c r="P9" s="861"/>
      <c r="Q9" s="617"/>
      <c r="R9" s="618"/>
      <c r="S9" s="617"/>
      <c r="T9" s="617"/>
    </row>
    <row r="10" spans="1:21" s="791" customFormat="1">
      <c r="A10" s="152"/>
      <c r="B10" s="862"/>
      <c r="C10" s="861"/>
      <c r="D10" s="793" t="s">
        <v>3667</v>
      </c>
      <c r="E10" s="809"/>
      <c r="F10" s="44">
        <v>3</v>
      </c>
      <c r="G10" s="44">
        <v>3</v>
      </c>
      <c r="H10" s="859"/>
      <c r="I10" s="44">
        <f t="shared" si="0"/>
        <v>3</v>
      </c>
      <c r="J10" s="44">
        <f t="shared" si="1"/>
        <v>3</v>
      </c>
      <c r="K10" s="44">
        <f t="shared" si="1"/>
        <v>3</v>
      </c>
      <c r="L10" s="44">
        <f t="shared" si="1"/>
        <v>3</v>
      </c>
      <c r="M10" s="44">
        <f t="shared" si="1"/>
        <v>3</v>
      </c>
      <c r="N10" s="861"/>
      <c r="O10" s="862"/>
      <c r="P10" s="861"/>
      <c r="Q10" s="617"/>
      <c r="R10" s="618"/>
      <c r="S10" s="617"/>
      <c r="T10" s="617"/>
    </row>
    <row r="11" spans="1:21" s="791" customFormat="1">
      <c r="A11" s="152"/>
      <c r="B11" s="862"/>
      <c r="C11" s="861"/>
      <c r="D11" s="793" t="s">
        <v>3668</v>
      </c>
      <c r="E11" s="809"/>
      <c r="F11" s="44">
        <v>3</v>
      </c>
      <c r="G11" s="44">
        <v>1</v>
      </c>
      <c r="H11" s="859"/>
      <c r="I11" s="44">
        <f t="shared" si="0"/>
        <v>1</v>
      </c>
      <c r="J11" s="44">
        <f t="shared" si="1"/>
        <v>1</v>
      </c>
      <c r="K11" s="44">
        <f t="shared" si="1"/>
        <v>1</v>
      </c>
      <c r="L11" s="44">
        <f t="shared" si="1"/>
        <v>1</v>
      </c>
      <c r="M11" s="44">
        <v>2</v>
      </c>
      <c r="N11" s="861"/>
      <c r="O11" s="862"/>
      <c r="P11" s="861"/>
      <c r="Q11" s="617"/>
      <c r="R11" s="618"/>
      <c r="S11" s="617"/>
      <c r="T11" s="617"/>
    </row>
    <row r="12" spans="1:21" s="791" customFormat="1">
      <c r="A12" s="152"/>
      <c r="B12" s="862"/>
      <c r="C12" s="861"/>
      <c r="D12" s="2733" t="s">
        <v>4132</v>
      </c>
      <c r="E12" s="809"/>
      <c r="F12" s="44">
        <v>2</v>
      </c>
      <c r="G12" s="44">
        <v>2</v>
      </c>
      <c r="H12" s="859"/>
      <c r="I12" s="44">
        <f t="shared" si="0"/>
        <v>2</v>
      </c>
      <c r="J12" s="44">
        <f t="shared" si="1"/>
        <v>2</v>
      </c>
      <c r="K12" s="44">
        <f t="shared" si="1"/>
        <v>2</v>
      </c>
      <c r="L12" s="44">
        <f t="shared" si="1"/>
        <v>2</v>
      </c>
      <c r="M12" s="44">
        <f t="shared" si="1"/>
        <v>2</v>
      </c>
      <c r="N12" s="861"/>
      <c r="O12" s="862"/>
      <c r="P12" s="861"/>
      <c r="Q12" s="617"/>
      <c r="R12" s="618"/>
      <c r="S12" s="617"/>
      <c r="T12" s="617"/>
    </row>
    <row r="13" spans="1:21" s="791" customFormat="1">
      <c r="A13" s="152"/>
      <c r="B13" s="862"/>
      <c r="C13" s="861"/>
      <c r="D13" s="2733" t="s">
        <v>4133</v>
      </c>
      <c r="E13" s="809"/>
      <c r="F13" s="44">
        <v>2</v>
      </c>
      <c r="G13" s="44">
        <v>2</v>
      </c>
      <c r="H13" s="859"/>
      <c r="I13" s="44">
        <f t="shared" si="0"/>
        <v>2</v>
      </c>
      <c r="J13" s="44">
        <f>I13</f>
        <v>2</v>
      </c>
      <c r="K13" s="44">
        <f>J13</f>
        <v>2</v>
      </c>
      <c r="L13" s="44">
        <f>K13</f>
        <v>2</v>
      </c>
      <c r="M13" s="44">
        <f>L13</f>
        <v>2</v>
      </c>
      <c r="N13" s="861"/>
      <c r="O13" s="862"/>
      <c r="P13" s="861"/>
      <c r="Q13" s="617"/>
      <c r="R13" s="618"/>
      <c r="S13" s="617"/>
      <c r="T13" s="617"/>
    </row>
    <row r="14" spans="1:21" s="791" customFormat="1">
      <c r="A14" s="152"/>
      <c r="B14" s="862"/>
      <c r="C14" s="861"/>
      <c r="D14" s="2733" t="s">
        <v>4134</v>
      </c>
      <c r="E14" s="809"/>
      <c r="F14" s="1776">
        <f>F8*(F10+F11)</f>
        <v>90</v>
      </c>
      <c r="G14" s="1776">
        <f>G8*(G10+G11)</f>
        <v>92</v>
      </c>
      <c r="H14" s="859"/>
      <c r="I14" s="1776">
        <f>I8*(I10+I11)</f>
        <v>92</v>
      </c>
      <c r="J14" s="1776">
        <f>J8*(J10+J11)</f>
        <v>92</v>
      </c>
      <c r="K14" s="1776">
        <f>K8*(K10+K11)</f>
        <v>92</v>
      </c>
      <c r="L14" s="1776">
        <f>L8*(L10+L11)</f>
        <v>92</v>
      </c>
      <c r="M14" s="1776">
        <f>M8*(M10+M11)</f>
        <v>115</v>
      </c>
      <c r="N14" s="861"/>
      <c r="O14" s="862"/>
      <c r="P14" s="861"/>
    </row>
    <row r="15" spans="1:21" s="791" customFormat="1">
      <c r="A15" s="152"/>
      <c r="B15" s="862"/>
      <c r="C15" s="861"/>
      <c r="D15" s="786"/>
      <c r="E15" s="786"/>
      <c r="F15" s="846" t="s">
        <v>489</v>
      </c>
      <c r="G15" s="1478">
        <v>0</v>
      </c>
      <c r="H15" s="859"/>
      <c r="I15" s="791" t="str">
        <f>IF(BuildoutYear=I1,"Revise cells I8:I13 as needed", "")</f>
        <v/>
      </c>
      <c r="K15" s="1790" t="str">
        <f>IF(BuildoutYear=K1,"Revise cells K8:K13 as needed", "")</f>
        <v/>
      </c>
      <c r="M15" s="791" t="str">
        <f>IF(BuildoutYear=M1,"Revise cells M8:M13 as needed", "")</f>
        <v/>
      </c>
      <c r="N15" s="861"/>
      <c r="O15" s="862"/>
      <c r="P15" s="861"/>
      <c r="Q15" s="617"/>
    </row>
    <row r="16" spans="1:21" s="848" customFormat="1">
      <c r="A16" s="861"/>
      <c r="B16" s="862"/>
      <c r="C16" s="861"/>
      <c r="G16" s="852"/>
      <c r="H16" s="852"/>
      <c r="I16" s="861"/>
      <c r="J16" s="791" t="str">
        <f>IF(BuildoutYear=J1,"Revise cells J8:J13 as needed", "")</f>
        <v/>
      </c>
      <c r="K16" s="852"/>
      <c r="L16" s="791" t="str">
        <f>IF(BuildoutYear=L1,"Revise cells L8:L13 as needed", "")</f>
        <v/>
      </c>
      <c r="M16" s="852"/>
      <c r="N16" s="861"/>
      <c r="O16" s="862"/>
      <c r="P16" s="861"/>
      <c r="Q16" s="850"/>
    </row>
    <row r="17" spans="1:78" s="815" customFormat="1">
      <c r="A17" s="863"/>
      <c r="B17" s="862"/>
      <c r="C17" s="861"/>
      <c r="D17" s="810" t="str">
        <f>"Parent(s) Facilities without"&amp;" "&amp;Type</f>
        <v>Parent(s) Facilities without DeNovo</v>
      </c>
      <c r="E17" s="176"/>
      <c r="F17" s="176"/>
      <c r="G17" s="176"/>
      <c r="H17" s="860"/>
      <c r="I17" s="1484" t="str">
        <f>IF(IsolationStations=0,"Must File for a Waiver to Have Zero Isolation Stations","")</f>
        <v/>
      </c>
      <c r="J17" s="176"/>
      <c r="K17" s="176"/>
      <c r="L17" s="176"/>
      <c r="M17" s="176"/>
      <c r="N17" s="861"/>
      <c r="O17" s="862"/>
      <c r="P17" s="861"/>
      <c r="Q17" s="277"/>
      <c r="R17" s="1680">
        <v>1</v>
      </c>
      <c r="S17" s="1680">
        <f>R17+1</f>
        <v>2</v>
      </c>
      <c r="T17" s="1680">
        <f t="shared" ref="T17:AC17" si="2">S17+1</f>
        <v>3</v>
      </c>
      <c r="U17" s="1680">
        <f t="shared" si="2"/>
        <v>4</v>
      </c>
      <c r="V17" s="1680">
        <f t="shared" si="2"/>
        <v>5</v>
      </c>
      <c r="W17" s="1680">
        <f t="shared" si="2"/>
        <v>6</v>
      </c>
      <c r="X17" s="1680">
        <f t="shared" si="2"/>
        <v>7</v>
      </c>
      <c r="Y17" s="1680">
        <f t="shared" si="2"/>
        <v>8</v>
      </c>
      <c r="Z17" s="1680">
        <f t="shared" si="2"/>
        <v>9</v>
      </c>
      <c r="AA17" s="1680">
        <f t="shared" si="2"/>
        <v>10</v>
      </c>
      <c r="AB17" s="1680">
        <f t="shared" si="2"/>
        <v>11</v>
      </c>
      <c r="AC17" s="1680">
        <f t="shared" si="2"/>
        <v>12</v>
      </c>
      <c r="AD17" s="1680">
        <v>1</v>
      </c>
      <c r="AE17" s="1680">
        <f>AD17+1</f>
        <v>2</v>
      </c>
      <c r="AF17" s="1680">
        <f t="shared" ref="AF17:AO17" si="3">AE17+1</f>
        <v>3</v>
      </c>
      <c r="AG17" s="1680">
        <f t="shared" si="3"/>
        <v>4</v>
      </c>
      <c r="AH17" s="1680">
        <f t="shared" si="3"/>
        <v>5</v>
      </c>
      <c r="AI17" s="1680">
        <f t="shared" si="3"/>
        <v>6</v>
      </c>
      <c r="AJ17" s="1680">
        <f t="shared" si="3"/>
        <v>7</v>
      </c>
      <c r="AK17" s="1680">
        <f t="shared" si="3"/>
        <v>8</v>
      </c>
      <c r="AL17" s="1680">
        <f t="shared" si="3"/>
        <v>9</v>
      </c>
      <c r="AM17" s="1680">
        <f t="shared" si="3"/>
        <v>10</v>
      </c>
      <c r="AN17" s="1680">
        <f t="shared" si="3"/>
        <v>11</v>
      </c>
      <c r="AO17" s="1680">
        <f t="shared" si="3"/>
        <v>12</v>
      </c>
      <c r="AP17" s="1680">
        <v>1</v>
      </c>
      <c r="AQ17" s="1680">
        <f>AP17+1</f>
        <v>2</v>
      </c>
      <c r="AR17" s="1680">
        <f t="shared" ref="AR17:BA17" si="4">AQ17+1</f>
        <v>3</v>
      </c>
      <c r="AS17" s="1680">
        <f t="shared" si="4"/>
        <v>4</v>
      </c>
      <c r="AT17" s="1680">
        <f t="shared" si="4"/>
        <v>5</v>
      </c>
      <c r="AU17" s="1680">
        <f t="shared" si="4"/>
        <v>6</v>
      </c>
      <c r="AV17" s="1680">
        <f t="shared" si="4"/>
        <v>7</v>
      </c>
      <c r="AW17" s="1680">
        <f t="shared" si="4"/>
        <v>8</v>
      </c>
      <c r="AX17" s="1680">
        <f t="shared" si="4"/>
        <v>9</v>
      </c>
      <c r="AY17" s="1680">
        <f t="shared" si="4"/>
        <v>10</v>
      </c>
      <c r="AZ17" s="1680">
        <f t="shared" si="4"/>
        <v>11</v>
      </c>
      <c r="BA17" s="1680">
        <f t="shared" si="4"/>
        <v>12</v>
      </c>
      <c r="BB17" s="1680">
        <v>1</v>
      </c>
      <c r="BC17" s="1680">
        <f>BB17+1</f>
        <v>2</v>
      </c>
      <c r="BD17" s="1680">
        <f t="shared" ref="BD17:BM17" si="5">BC17+1</f>
        <v>3</v>
      </c>
      <c r="BE17" s="1680">
        <f t="shared" si="5"/>
        <v>4</v>
      </c>
      <c r="BF17" s="1680">
        <f t="shared" si="5"/>
        <v>5</v>
      </c>
      <c r="BG17" s="1680">
        <f t="shared" si="5"/>
        <v>6</v>
      </c>
      <c r="BH17" s="1680">
        <f t="shared" si="5"/>
        <v>7</v>
      </c>
      <c r="BI17" s="1680">
        <f t="shared" si="5"/>
        <v>8</v>
      </c>
      <c r="BJ17" s="1680">
        <f t="shared" si="5"/>
        <v>9</v>
      </c>
      <c r="BK17" s="1680">
        <f t="shared" si="5"/>
        <v>10</v>
      </c>
      <c r="BL17" s="1680">
        <f t="shared" si="5"/>
        <v>11</v>
      </c>
      <c r="BM17" s="1680">
        <f t="shared" si="5"/>
        <v>12</v>
      </c>
      <c r="BN17" s="1680">
        <v>1</v>
      </c>
      <c r="BO17" s="1680">
        <f>BN17+1</f>
        <v>2</v>
      </c>
      <c r="BP17" s="1680">
        <f t="shared" ref="BP17:BY17" si="6">BO17+1</f>
        <v>3</v>
      </c>
      <c r="BQ17" s="1680">
        <f t="shared" si="6"/>
        <v>4</v>
      </c>
      <c r="BR17" s="1680">
        <f t="shared" si="6"/>
        <v>5</v>
      </c>
      <c r="BS17" s="1680">
        <f t="shared" si="6"/>
        <v>6</v>
      </c>
      <c r="BT17" s="1680">
        <f t="shared" si="6"/>
        <v>7</v>
      </c>
      <c r="BU17" s="1680">
        <f t="shared" si="6"/>
        <v>8</v>
      </c>
      <c r="BV17" s="1680">
        <f t="shared" si="6"/>
        <v>9</v>
      </c>
      <c r="BW17" s="1680">
        <f t="shared" si="6"/>
        <v>10</v>
      </c>
      <c r="BX17" s="1680">
        <f t="shared" si="6"/>
        <v>11</v>
      </c>
      <c r="BY17" s="1680">
        <f t="shared" si="6"/>
        <v>12</v>
      </c>
    </row>
    <row r="18" spans="1:78" s="815" customFormat="1">
      <c r="A18" s="863"/>
      <c r="B18" s="862"/>
      <c r="C18" s="861"/>
      <c r="D18" s="810"/>
      <c r="E18" s="176"/>
      <c r="F18" s="176"/>
      <c r="G18" s="176"/>
      <c r="H18" s="860"/>
      <c r="I18" s="176"/>
      <c r="J18" s="176"/>
      <c r="K18" s="176"/>
      <c r="L18" s="176"/>
      <c r="M18" s="176"/>
      <c r="N18" s="861"/>
      <c r="O18" s="862"/>
      <c r="P18" s="861"/>
      <c r="Q18" s="277"/>
      <c r="R18" s="838" t="s">
        <v>1090</v>
      </c>
      <c r="S18" s="839"/>
      <c r="T18" s="839"/>
      <c r="U18" s="839"/>
      <c r="V18" s="839"/>
      <c r="W18" s="839"/>
      <c r="X18" s="839"/>
      <c r="Y18" s="839"/>
      <c r="Z18" s="839"/>
      <c r="AA18" s="839"/>
      <c r="AB18" s="839"/>
      <c r="AC18" s="840"/>
      <c r="AD18" s="838" t="s">
        <v>1091</v>
      </c>
      <c r="AE18" s="839"/>
      <c r="AF18" s="839"/>
      <c r="AG18" s="839"/>
      <c r="AH18" s="839"/>
      <c r="AI18" s="839"/>
      <c r="AJ18" s="839"/>
      <c r="AK18" s="839"/>
      <c r="AL18" s="839"/>
      <c r="AM18" s="839"/>
      <c r="AN18" s="839"/>
      <c r="AO18" s="840"/>
      <c r="AP18" s="838" t="s">
        <v>2165</v>
      </c>
      <c r="AQ18" s="839"/>
      <c r="AR18" s="839"/>
      <c r="AS18" s="839"/>
      <c r="AT18" s="839"/>
      <c r="AU18" s="839"/>
      <c r="AV18" s="839"/>
      <c r="AW18" s="839"/>
      <c r="AX18" s="839"/>
      <c r="AY18" s="839"/>
      <c r="AZ18" s="839"/>
      <c r="BA18" s="840"/>
      <c r="BB18" s="838" t="s">
        <v>2166</v>
      </c>
      <c r="BC18" s="839"/>
      <c r="BD18" s="839"/>
      <c r="BE18" s="839"/>
      <c r="BF18" s="839"/>
      <c r="BG18" s="839"/>
      <c r="BH18" s="839"/>
      <c r="BI18" s="839"/>
      <c r="BJ18" s="839"/>
      <c r="BK18" s="839"/>
      <c r="BL18" s="839"/>
      <c r="BM18" s="840"/>
      <c r="BN18" s="838" t="s">
        <v>2167</v>
      </c>
      <c r="BO18" s="839"/>
      <c r="BP18" s="839"/>
      <c r="BQ18" s="839"/>
      <c r="BR18" s="839"/>
      <c r="BS18" s="839"/>
      <c r="BT18" s="839"/>
      <c r="BU18" s="839"/>
      <c r="BV18" s="839"/>
      <c r="BW18" s="839"/>
      <c r="BX18" s="839"/>
      <c r="BY18" s="840"/>
    </row>
    <row r="19" spans="1:78" s="819" customFormat="1" ht="13.5" thickBot="1">
      <c r="A19" s="863"/>
      <c r="B19" s="862"/>
      <c r="C19" s="861"/>
      <c r="D19" s="794"/>
      <c r="E19" s="794"/>
      <c r="F19" s="816" t="s">
        <v>1553</v>
      </c>
      <c r="G19" s="816" t="s">
        <v>1552</v>
      </c>
      <c r="H19" s="1011"/>
      <c r="I19" s="816" t="str">
        <f>$I$7</f>
        <v>Year 1</v>
      </c>
      <c r="J19" s="816" t="str">
        <f>$J$7</f>
        <v>Year 2</v>
      </c>
      <c r="K19" s="816" t="str">
        <f>$K$7</f>
        <v>Year 3</v>
      </c>
      <c r="L19" s="816" t="str">
        <f>$L$7</f>
        <v>Year 4</v>
      </c>
      <c r="M19" s="816" t="str">
        <f>$M$7</f>
        <v>Year 5</v>
      </c>
      <c r="N19" s="861"/>
      <c r="O19" s="862"/>
      <c r="P19" s="1679"/>
      <c r="Q19" s="817">
        <v>0</v>
      </c>
      <c r="R19" s="841">
        <f>Q19+1</f>
        <v>1</v>
      </c>
      <c r="S19" s="842">
        <f t="shared" ref="S19:BX19" si="7">R19+1</f>
        <v>2</v>
      </c>
      <c r="T19" s="842">
        <f t="shared" si="7"/>
        <v>3</v>
      </c>
      <c r="U19" s="842">
        <f t="shared" si="7"/>
        <v>4</v>
      </c>
      <c r="V19" s="842">
        <f t="shared" si="7"/>
        <v>5</v>
      </c>
      <c r="W19" s="842">
        <f t="shared" si="7"/>
        <v>6</v>
      </c>
      <c r="X19" s="842">
        <f t="shared" si="7"/>
        <v>7</v>
      </c>
      <c r="Y19" s="842">
        <f t="shared" si="7"/>
        <v>8</v>
      </c>
      <c r="Z19" s="842">
        <f t="shared" si="7"/>
        <v>9</v>
      </c>
      <c r="AA19" s="842">
        <f t="shared" si="7"/>
        <v>10</v>
      </c>
      <c r="AB19" s="842">
        <f t="shared" si="7"/>
        <v>11</v>
      </c>
      <c r="AC19" s="843">
        <f t="shared" si="7"/>
        <v>12</v>
      </c>
      <c r="AD19" s="841">
        <f t="shared" si="7"/>
        <v>13</v>
      </c>
      <c r="AE19" s="842">
        <f t="shared" si="7"/>
        <v>14</v>
      </c>
      <c r="AF19" s="842">
        <f t="shared" si="7"/>
        <v>15</v>
      </c>
      <c r="AG19" s="842">
        <f t="shared" si="7"/>
        <v>16</v>
      </c>
      <c r="AH19" s="842">
        <f t="shared" si="7"/>
        <v>17</v>
      </c>
      <c r="AI19" s="842">
        <f t="shared" si="7"/>
        <v>18</v>
      </c>
      <c r="AJ19" s="842">
        <f t="shared" si="7"/>
        <v>19</v>
      </c>
      <c r="AK19" s="842">
        <f t="shared" si="7"/>
        <v>20</v>
      </c>
      <c r="AL19" s="842">
        <f t="shared" si="7"/>
        <v>21</v>
      </c>
      <c r="AM19" s="842">
        <f t="shared" si="7"/>
        <v>22</v>
      </c>
      <c r="AN19" s="842">
        <f t="shared" si="7"/>
        <v>23</v>
      </c>
      <c r="AO19" s="843">
        <f t="shared" si="7"/>
        <v>24</v>
      </c>
      <c r="AP19" s="841">
        <f t="shared" si="7"/>
        <v>25</v>
      </c>
      <c r="AQ19" s="842">
        <f t="shared" si="7"/>
        <v>26</v>
      </c>
      <c r="AR19" s="842">
        <f t="shared" si="7"/>
        <v>27</v>
      </c>
      <c r="AS19" s="842">
        <f t="shared" si="7"/>
        <v>28</v>
      </c>
      <c r="AT19" s="842">
        <f t="shared" si="7"/>
        <v>29</v>
      </c>
      <c r="AU19" s="842">
        <f t="shared" si="7"/>
        <v>30</v>
      </c>
      <c r="AV19" s="842">
        <f t="shared" si="7"/>
        <v>31</v>
      </c>
      <c r="AW19" s="842">
        <f t="shared" si="7"/>
        <v>32</v>
      </c>
      <c r="AX19" s="842">
        <f t="shared" si="7"/>
        <v>33</v>
      </c>
      <c r="AY19" s="842">
        <f t="shared" si="7"/>
        <v>34</v>
      </c>
      <c r="AZ19" s="842">
        <f t="shared" si="7"/>
        <v>35</v>
      </c>
      <c r="BA19" s="843">
        <f t="shared" si="7"/>
        <v>36</v>
      </c>
      <c r="BB19" s="841">
        <f t="shared" si="7"/>
        <v>37</v>
      </c>
      <c r="BC19" s="842">
        <f t="shared" si="7"/>
        <v>38</v>
      </c>
      <c r="BD19" s="842">
        <f t="shared" si="7"/>
        <v>39</v>
      </c>
      <c r="BE19" s="842">
        <f t="shared" si="7"/>
        <v>40</v>
      </c>
      <c r="BF19" s="842">
        <f t="shared" si="7"/>
        <v>41</v>
      </c>
      <c r="BG19" s="842">
        <f t="shared" si="7"/>
        <v>42</v>
      </c>
      <c r="BH19" s="842">
        <f t="shared" si="7"/>
        <v>43</v>
      </c>
      <c r="BI19" s="842">
        <f t="shared" si="7"/>
        <v>44</v>
      </c>
      <c r="BJ19" s="842">
        <f t="shared" si="7"/>
        <v>45</v>
      </c>
      <c r="BK19" s="842">
        <f t="shared" si="7"/>
        <v>46</v>
      </c>
      <c r="BL19" s="842">
        <f t="shared" si="7"/>
        <v>47</v>
      </c>
      <c r="BM19" s="843">
        <f t="shared" si="7"/>
        <v>48</v>
      </c>
      <c r="BN19" s="841">
        <f t="shared" si="7"/>
        <v>49</v>
      </c>
      <c r="BO19" s="842">
        <f t="shared" si="7"/>
        <v>50</v>
      </c>
      <c r="BP19" s="842">
        <f t="shared" si="7"/>
        <v>51</v>
      </c>
      <c r="BQ19" s="842">
        <f t="shared" si="7"/>
        <v>52</v>
      </c>
      <c r="BR19" s="842">
        <f t="shared" si="7"/>
        <v>53</v>
      </c>
      <c r="BS19" s="842">
        <f t="shared" si="7"/>
        <v>54</v>
      </c>
      <c r="BT19" s="842">
        <f t="shared" si="7"/>
        <v>55</v>
      </c>
      <c r="BU19" s="842">
        <f t="shared" si="7"/>
        <v>56</v>
      </c>
      <c r="BV19" s="842">
        <f t="shared" si="7"/>
        <v>57</v>
      </c>
      <c r="BW19" s="842">
        <f t="shared" si="7"/>
        <v>58</v>
      </c>
      <c r="BX19" s="842">
        <f t="shared" si="7"/>
        <v>59</v>
      </c>
      <c r="BY19" s="843">
        <f>BX19+1</f>
        <v>60</v>
      </c>
      <c r="BZ19" s="818" t="s">
        <v>1694</v>
      </c>
    </row>
    <row r="20" spans="1:78" s="823" customFormat="1">
      <c r="A20" s="863"/>
      <c r="B20" s="862"/>
      <c r="C20" s="861"/>
      <c r="D20" s="812"/>
      <c r="E20" s="820" t="s">
        <v>1825</v>
      </c>
      <c r="F20" s="1483">
        <f>'1.2 EssPL'!G39</f>
        <v>6972</v>
      </c>
      <c r="G20" s="821">
        <f>ROUND(F20/144,0)</f>
        <v>48</v>
      </c>
      <c r="H20" s="1012" t="s">
        <v>3665</v>
      </c>
      <c r="I20" s="1003">
        <v>0</v>
      </c>
      <c r="J20" s="1004">
        <v>0</v>
      </c>
      <c r="K20" s="1004">
        <v>0</v>
      </c>
      <c r="L20" s="1004">
        <v>0</v>
      </c>
      <c r="M20" s="1004">
        <v>0</v>
      </c>
      <c r="N20" s="861"/>
      <c r="O20" s="862"/>
      <c r="P20" s="861"/>
      <c r="Q20" s="1020"/>
      <c r="R20" s="1021"/>
      <c r="S20" s="1022"/>
      <c r="T20" s="1022"/>
      <c r="U20" s="1022"/>
      <c r="V20" s="1022"/>
      <c r="W20" s="1022"/>
      <c r="X20" s="1022"/>
      <c r="Y20" s="1022"/>
      <c r="Z20" s="1022"/>
      <c r="AA20" s="1022"/>
      <c r="AB20" s="1022"/>
      <c r="AC20" s="1023"/>
      <c r="AD20" s="1021"/>
      <c r="AE20" s="1022"/>
      <c r="AF20" s="1022"/>
      <c r="AG20" s="1022"/>
      <c r="AH20" s="1022"/>
      <c r="AI20" s="1022"/>
      <c r="AJ20" s="1022"/>
      <c r="AK20" s="1022"/>
      <c r="AL20" s="1022"/>
      <c r="AM20" s="1022"/>
      <c r="AN20" s="1022"/>
      <c r="AO20" s="1023"/>
      <c r="AP20" s="1021"/>
      <c r="AQ20" s="1022"/>
      <c r="AR20" s="1022"/>
      <c r="AS20" s="1022"/>
      <c r="AT20" s="1022"/>
      <c r="AU20" s="1022"/>
      <c r="AV20" s="1022"/>
      <c r="AW20" s="1022"/>
      <c r="AX20" s="1022"/>
      <c r="AY20" s="1022"/>
      <c r="AZ20" s="1022"/>
      <c r="BA20" s="1023"/>
      <c r="BB20" s="1021"/>
      <c r="BC20" s="1022"/>
      <c r="BD20" s="1022"/>
      <c r="BE20" s="1022"/>
      <c r="BF20" s="1022"/>
      <c r="BG20" s="1022"/>
      <c r="BH20" s="1022"/>
      <c r="BI20" s="1022"/>
      <c r="BJ20" s="1022"/>
      <c r="BK20" s="1022"/>
      <c r="BL20" s="1022"/>
      <c r="BM20" s="1023"/>
      <c r="BN20" s="1021"/>
      <c r="BO20" s="1022"/>
      <c r="BP20" s="1022"/>
      <c r="BQ20" s="1022"/>
      <c r="BR20" s="1022"/>
      <c r="BS20" s="1022"/>
      <c r="BT20" s="1022"/>
      <c r="BU20" s="1022"/>
      <c r="BV20" s="1022"/>
      <c r="BW20" s="1022"/>
      <c r="BX20" s="1022"/>
      <c r="BY20" s="1023"/>
      <c r="BZ20" s="844"/>
    </row>
    <row r="21" spans="1:78" s="819" customFormat="1">
      <c r="A21" s="863"/>
      <c r="B21" s="862"/>
      <c r="C21" s="861"/>
      <c r="D21" s="2721" t="s">
        <v>3324</v>
      </c>
      <c r="E21" s="824"/>
      <c r="F21" s="1068"/>
      <c r="G21" s="2070"/>
      <c r="H21" s="1013" t="s">
        <v>3932</v>
      </c>
      <c r="I21" s="1005">
        <f>I20+G20</f>
        <v>48</v>
      </c>
      <c r="J21" s="1006">
        <f>J20+I21</f>
        <v>48</v>
      </c>
      <c r="K21" s="1006">
        <f>K20+J21</f>
        <v>48</v>
      </c>
      <c r="L21" s="1006">
        <f>L20+K21</f>
        <v>48</v>
      </c>
      <c r="M21" s="1006">
        <f>M20+L21</f>
        <v>48</v>
      </c>
      <c r="N21" s="861"/>
      <c r="O21" s="862"/>
      <c r="P21" s="1734" t="s">
        <v>725</v>
      </c>
      <c r="Q21" s="1024">
        <f>G20</f>
        <v>48</v>
      </c>
      <c r="R21" s="2223">
        <f>MIN(Q21+$I20/12,$F$14-R23)</f>
        <v>48</v>
      </c>
      <c r="S21" s="2224">
        <f t="shared" ref="S21:AC21" si="8">MIN(R21+$I20/12,$F$14-S23)</f>
        <v>48</v>
      </c>
      <c r="T21" s="2224">
        <f t="shared" si="8"/>
        <v>48</v>
      </c>
      <c r="U21" s="2224">
        <f t="shared" si="8"/>
        <v>48</v>
      </c>
      <c r="V21" s="2224">
        <f t="shared" si="8"/>
        <v>48</v>
      </c>
      <c r="W21" s="2224">
        <f t="shared" si="8"/>
        <v>48</v>
      </c>
      <c r="X21" s="2224">
        <f t="shared" si="8"/>
        <v>48</v>
      </c>
      <c r="Y21" s="2224">
        <f t="shared" si="8"/>
        <v>48</v>
      </c>
      <c r="Z21" s="2224">
        <f t="shared" si="8"/>
        <v>48</v>
      </c>
      <c r="AA21" s="2224">
        <f t="shared" si="8"/>
        <v>48</v>
      </c>
      <c r="AB21" s="2224">
        <f t="shared" si="8"/>
        <v>48</v>
      </c>
      <c r="AC21" s="2225">
        <f t="shared" si="8"/>
        <v>48</v>
      </c>
      <c r="AD21" s="2223">
        <f>MIN(AC21+$J20/12,$F$14-AD23)</f>
        <v>48</v>
      </c>
      <c r="AE21" s="2224">
        <f t="shared" ref="AE21:AO21" si="9">MIN(AD21+$J20/12,$F$14-AE23)</f>
        <v>48</v>
      </c>
      <c r="AF21" s="2224">
        <f t="shared" si="9"/>
        <v>48</v>
      </c>
      <c r="AG21" s="2224">
        <f t="shared" si="9"/>
        <v>48</v>
      </c>
      <c r="AH21" s="2224">
        <f t="shared" si="9"/>
        <v>48</v>
      </c>
      <c r="AI21" s="2224">
        <f t="shared" si="9"/>
        <v>48</v>
      </c>
      <c r="AJ21" s="2224">
        <f t="shared" si="9"/>
        <v>48</v>
      </c>
      <c r="AK21" s="2224">
        <f t="shared" si="9"/>
        <v>48</v>
      </c>
      <c r="AL21" s="2224">
        <f t="shared" si="9"/>
        <v>48</v>
      </c>
      <c r="AM21" s="2224">
        <f t="shared" si="9"/>
        <v>48</v>
      </c>
      <c r="AN21" s="2224">
        <f t="shared" si="9"/>
        <v>48</v>
      </c>
      <c r="AO21" s="2225">
        <f t="shared" si="9"/>
        <v>48</v>
      </c>
      <c r="AP21" s="2223">
        <f>MIN(AO21+$K20/12,$F$14-AP23)</f>
        <v>48</v>
      </c>
      <c r="AQ21" s="2224">
        <f t="shared" ref="AQ21:BA21" si="10">MIN(AP21+$K20/12,$F$14-AQ23)</f>
        <v>48</v>
      </c>
      <c r="AR21" s="2224">
        <f t="shared" si="10"/>
        <v>48</v>
      </c>
      <c r="AS21" s="2224">
        <f t="shared" si="10"/>
        <v>48</v>
      </c>
      <c r="AT21" s="2224">
        <f t="shared" si="10"/>
        <v>48</v>
      </c>
      <c r="AU21" s="2224">
        <f t="shared" si="10"/>
        <v>48</v>
      </c>
      <c r="AV21" s="2224">
        <f t="shared" si="10"/>
        <v>48</v>
      </c>
      <c r="AW21" s="2224">
        <f t="shared" si="10"/>
        <v>48</v>
      </c>
      <c r="AX21" s="2224">
        <f t="shared" si="10"/>
        <v>48</v>
      </c>
      <c r="AY21" s="2224">
        <f t="shared" si="10"/>
        <v>48</v>
      </c>
      <c r="AZ21" s="2224">
        <f t="shared" si="10"/>
        <v>48</v>
      </c>
      <c r="BA21" s="2225">
        <f t="shared" si="10"/>
        <v>48</v>
      </c>
      <c r="BB21" s="2223">
        <f>MIN(BA21+$L20/12,$F$14-BB23)</f>
        <v>48</v>
      </c>
      <c r="BC21" s="2224">
        <f t="shared" ref="BC21:BM21" si="11">MIN(BB21+$L20/12,$F$14-BC23)</f>
        <v>48</v>
      </c>
      <c r="BD21" s="2224">
        <f t="shared" si="11"/>
        <v>48</v>
      </c>
      <c r="BE21" s="2224">
        <f t="shared" si="11"/>
        <v>48</v>
      </c>
      <c r="BF21" s="2224">
        <f t="shared" si="11"/>
        <v>48</v>
      </c>
      <c r="BG21" s="2224">
        <f t="shared" si="11"/>
        <v>48</v>
      </c>
      <c r="BH21" s="2224">
        <f t="shared" si="11"/>
        <v>48</v>
      </c>
      <c r="BI21" s="2224">
        <f t="shared" si="11"/>
        <v>48</v>
      </c>
      <c r="BJ21" s="2224">
        <f t="shared" si="11"/>
        <v>48</v>
      </c>
      <c r="BK21" s="2224">
        <f t="shared" si="11"/>
        <v>48</v>
      </c>
      <c r="BL21" s="2224">
        <f t="shared" si="11"/>
        <v>48</v>
      </c>
      <c r="BM21" s="2225">
        <f t="shared" si="11"/>
        <v>48</v>
      </c>
      <c r="BN21" s="2223">
        <f>MIN(BM21+$M20/12,$F$14-BN23)</f>
        <v>48</v>
      </c>
      <c r="BO21" s="2224">
        <f t="shared" ref="BO21:BY21" si="12">MIN(BN21+$M20/12,$F$14-BO23)</f>
        <v>48</v>
      </c>
      <c r="BP21" s="2224">
        <f t="shared" si="12"/>
        <v>48</v>
      </c>
      <c r="BQ21" s="2224">
        <f t="shared" si="12"/>
        <v>48</v>
      </c>
      <c r="BR21" s="2224">
        <f t="shared" si="12"/>
        <v>48</v>
      </c>
      <c r="BS21" s="2224">
        <f t="shared" si="12"/>
        <v>48</v>
      </c>
      <c r="BT21" s="2224">
        <f t="shared" si="12"/>
        <v>48</v>
      </c>
      <c r="BU21" s="2224">
        <f t="shared" si="12"/>
        <v>48</v>
      </c>
      <c r="BV21" s="2224">
        <f t="shared" si="12"/>
        <v>48</v>
      </c>
      <c r="BW21" s="2224">
        <f t="shared" si="12"/>
        <v>48</v>
      </c>
      <c r="BX21" s="2224">
        <f t="shared" si="12"/>
        <v>48</v>
      </c>
      <c r="BY21" s="2225">
        <f t="shared" si="12"/>
        <v>48</v>
      </c>
      <c r="BZ21" s="845">
        <f>ROUND(BY21-M21,1)</f>
        <v>0</v>
      </c>
    </row>
    <row r="22" spans="1:78" s="823" customFormat="1">
      <c r="A22" s="863"/>
      <c r="B22" s="862"/>
      <c r="C22" s="861"/>
      <c r="D22" s="812"/>
      <c r="E22" s="820" t="s">
        <v>4100</v>
      </c>
      <c r="F22" s="1483">
        <f>'1.2 EssPL'!G41</f>
        <v>320</v>
      </c>
      <c r="G22" s="821">
        <f>ROUND(F22/144,0)</f>
        <v>2</v>
      </c>
      <c r="H22" s="1012" t="s">
        <v>3665</v>
      </c>
      <c r="I22" s="1003">
        <v>0</v>
      </c>
      <c r="J22" s="1004">
        <v>0</v>
      </c>
      <c r="K22" s="1004">
        <v>0</v>
      </c>
      <c r="L22" s="1004">
        <v>0</v>
      </c>
      <c r="M22" s="1004">
        <v>0</v>
      </c>
      <c r="N22" s="861"/>
      <c r="O22" s="862"/>
      <c r="P22" s="861"/>
      <c r="Q22" s="1020"/>
      <c r="R22" s="2223"/>
      <c r="S22" s="2224"/>
      <c r="T22" s="2224"/>
      <c r="U22" s="2224"/>
      <c r="V22" s="2224"/>
      <c r="W22" s="2224"/>
      <c r="X22" s="2224"/>
      <c r="Y22" s="2224"/>
      <c r="Z22" s="2224"/>
      <c r="AA22" s="2224"/>
      <c r="AB22" s="2224"/>
      <c r="AC22" s="2225"/>
      <c r="AD22" s="2223"/>
      <c r="AE22" s="2224"/>
      <c r="AF22" s="2224"/>
      <c r="AG22" s="2224"/>
      <c r="AH22" s="2224"/>
      <c r="AI22" s="2224"/>
      <c r="AJ22" s="2224"/>
      <c r="AK22" s="2224"/>
      <c r="AL22" s="2224"/>
      <c r="AM22" s="2224"/>
      <c r="AN22" s="2224"/>
      <c r="AO22" s="2225"/>
      <c r="AP22" s="2223"/>
      <c r="AQ22" s="2224"/>
      <c r="AR22" s="2224"/>
      <c r="AS22" s="2224"/>
      <c r="AT22" s="2224"/>
      <c r="AU22" s="2224"/>
      <c r="AV22" s="2224"/>
      <c r="AW22" s="2224"/>
      <c r="AX22" s="2224"/>
      <c r="AY22" s="2224"/>
      <c r="AZ22" s="2224"/>
      <c r="BA22" s="2225"/>
      <c r="BB22" s="2223"/>
      <c r="BC22" s="2224"/>
      <c r="BD22" s="2224"/>
      <c r="BE22" s="2224"/>
      <c r="BF22" s="2224"/>
      <c r="BG22" s="2224"/>
      <c r="BH22" s="2224"/>
      <c r="BI22" s="2224"/>
      <c r="BJ22" s="2224"/>
      <c r="BK22" s="2224"/>
      <c r="BL22" s="2224"/>
      <c r="BM22" s="2225"/>
      <c r="BN22" s="2223"/>
      <c r="BO22" s="2224"/>
      <c r="BP22" s="2224"/>
      <c r="BQ22" s="2224"/>
      <c r="BR22" s="2224"/>
      <c r="BS22" s="2224"/>
      <c r="BT22" s="2224"/>
      <c r="BU22" s="2224"/>
      <c r="BV22" s="2224"/>
      <c r="BW22" s="2224"/>
      <c r="BX22" s="2224"/>
      <c r="BY22" s="2225"/>
      <c r="BZ22" s="844"/>
    </row>
    <row r="23" spans="1:78" s="819" customFormat="1">
      <c r="A23" s="863"/>
      <c r="B23" s="862"/>
      <c r="C23" s="861"/>
      <c r="D23" s="812"/>
      <c r="E23" s="2741"/>
      <c r="F23" s="1068"/>
      <c r="G23" s="825"/>
      <c r="H23" s="1013" t="s">
        <v>3932</v>
      </c>
      <c r="I23" s="1005">
        <f>I22+G22</f>
        <v>2</v>
      </c>
      <c r="J23" s="1006">
        <f>J22+I23</f>
        <v>2</v>
      </c>
      <c r="K23" s="1006">
        <f>K22+J23</f>
        <v>2</v>
      </c>
      <c r="L23" s="1006">
        <f>L22+K23</f>
        <v>2</v>
      </c>
      <c r="M23" s="1006">
        <f>M22+L23</f>
        <v>2</v>
      </c>
      <c r="N23" s="861"/>
      <c r="O23" s="862"/>
      <c r="P23" s="861"/>
      <c r="Q23" s="1024">
        <f>G22</f>
        <v>2</v>
      </c>
      <c r="R23" s="2223">
        <f>MIN(Q23+$I22/12,$F$14)</f>
        <v>2</v>
      </c>
      <c r="S23" s="2224">
        <f t="shared" ref="S23:AC23" si="13">MIN(R23+$I22/12,$F$14)</f>
        <v>2</v>
      </c>
      <c r="T23" s="2224">
        <f t="shared" si="13"/>
        <v>2</v>
      </c>
      <c r="U23" s="2224">
        <f t="shared" si="13"/>
        <v>2</v>
      </c>
      <c r="V23" s="2224">
        <f t="shared" si="13"/>
        <v>2</v>
      </c>
      <c r="W23" s="2224">
        <f t="shared" si="13"/>
        <v>2</v>
      </c>
      <c r="X23" s="2224">
        <f t="shared" si="13"/>
        <v>2</v>
      </c>
      <c r="Y23" s="2224">
        <f t="shared" si="13"/>
        <v>2</v>
      </c>
      <c r="Z23" s="2224">
        <f t="shared" si="13"/>
        <v>2</v>
      </c>
      <c r="AA23" s="2224">
        <f t="shared" si="13"/>
        <v>2</v>
      </c>
      <c r="AB23" s="2224">
        <f t="shared" si="13"/>
        <v>2</v>
      </c>
      <c r="AC23" s="2225">
        <f t="shared" si="13"/>
        <v>2</v>
      </c>
      <c r="AD23" s="2223">
        <f>MIN(AC23+$J22/12,$F$14)</f>
        <v>2</v>
      </c>
      <c r="AE23" s="2224">
        <f t="shared" ref="AE23:AO23" si="14">MIN(AD23+$J22/12,$F$14)</f>
        <v>2</v>
      </c>
      <c r="AF23" s="2224">
        <f t="shared" si="14"/>
        <v>2</v>
      </c>
      <c r="AG23" s="2224">
        <f t="shared" si="14"/>
        <v>2</v>
      </c>
      <c r="AH23" s="2224">
        <f t="shared" si="14"/>
        <v>2</v>
      </c>
      <c r="AI23" s="2224">
        <f t="shared" si="14"/>
        <v>2</v>
      </c>
      <c r="AJ23" s="2224">
        <f t="shared" si="14"/>
        <v>2</v>
      </c>
      <c r="AK23" s="2224">
        <f t="shared" si="14"/>
        <v>2</v>
      </c>
      <c r="AL23" s="2224">
        <f t="shared" si="14"/>
        <v>2</v>
      </c>
      <c r="AM23" s="2224">
        <f t="shared" si="14"/>
        <v>2</v>
      </c>
      <c r="AN23" s="2224">
        <f t="shared" si="14"/>
        <v>2</v>
      </c>
      <c r="AO23" s="2225">
        <f t="shared" si="14"/>
        <v>2</v>
      </c>
      <c r="AP23" s="2223">
        <f>MIN(AO23+$K22/12,$F$14)</f>
        <v>2</v>
      </c>
      <c r="AQ23" s="2224">
        <f t="shared" ref="AQ23:BA23" si="15">MIN(AP23+$K22/12,$F$14)</f>
        <v>2</v>
      </c>
      <c r="AR23" s="2224">
        <f t="shared" si="15"/>
        <v>2</v>
      </c>
      <c r="AS23" s="2224">
        <f t="shared" si="15"/>
        <v>2</v>
      </c>
      <c r="AT23" s="2224">
        <f t="shared" si="15"/>
        <v>2</v>
      </c>
      <c r="AU23" s="2224">
        <f t="shared" si="15"/>
        <v>2</v>
      </c>
      <c r="AV23" s="2224">
        <f t="shared" si="15"/>
        <v>2</v>
      </c>
      <c r="AW23" s="2224">
        <f t="shared" si="15"/>
        <v>2</v>
      </c>
      <c r="AX23" s="2224">
        <f t="shared" si="15"/>
        <v>2</v>
      </c>
      <c r="AY23" s="2224">
        <f t="shared" si="15"/>
        <v>2</v>
      </c>
      <c r="AZ23" s="2224">
        <f t="shared" si="15"/>
        <v>2</v>
      </c>
      <c r="BA23" s="2225">
        <f t="shared" si="15"/>
        <v>2</v>
      </c>
      <c r="BB23" s="2223">
        <f>MIN(BA23+$L22/12,$F$14)</f>
        <v>2</v>
      </c>
      <c r="BC23" s="2224">
        <f t="shared" ref="BC23:BM23" si="16">MIN(BB23+$L22/12,$F$14)</f>
        <v>2</v>
      </c>
      <c r="BD23" s="2224">
        <f t="shared" si="16"/>
        <v>2</v>
      </c>
      <c r="BE23" s="2224">
        <f t="shared" si="16"/>
        <v>2</v>
      </c>
      <c r="BF23" s="2224">
        <f t="shared" si="16"/>
        <v>2</v>
      </c>
      <c r="BG23" s="2224">
        <f t="shared" si="16"/>
        <v>2</v>
      </c>
      <c r="BH23" s="2224">
        <f t="shared" si="16"/>
        <v>2</v>
      </c>
      <c r="BI23" s="2224">
        <f t="shared" si="16"/>
        <v>2</v>
      </c>
      <c r="BJ23" s="2224">
        <f t="shared" si="16"/>
        <v>2</v>
      </c>
      <c r="BK23" s="2224">
        <f t="shared" si="16"/>
        <v>2</v>
      </c>
      <c r="BL23" s="2224">
        <f t="shared" si="16"/>
        <v>2</v>
      </c>
      <c r="BM23" s="2225">
        <f t="shared" si="16"/>
        <v>2</v>
      </c>
      <c r="BN23" s="2223">
        <f>MIN(BM23+$M22/12,$F$14)</f>
        <v>2</v>
      </c>
      <c r="BO23" s="2224">
        <f t="shared" ref="BO23:BY23" si="17">MIN(BN23+$M22/12,$F$14)</f>
        <v>2</v>
      </c>
      <c r="BP23" s="2224">
        <f t="shared" si="17"/>
        <v>2</v>
      </c>
      <c r="BQ23" s="2224">
        <f t="shared" si="17"/>
        <v>2</v>
      </c>
      <c r="BR23" s="2224">
        <f t="shared" si="17"/>
        <v>2</v>
      </c>
      <c r="BS23" s="2224">
        <f t="shared" si="17"/>
        <v>2</v>
      </c>
      <c r="BT23" s="2224">
        <f t="shared" si="17"/>
        <v>2</v>
      </c>
      <c r="BU23" s="2224">
        <f t="shared" si="17"/>
        <v>2</v>
      </c>
      <c r="BV23" s="2224">
        <f t="shared" si="17"/>
        <v>2</v>
      </c>
      <c r="BW23" s="2224">
        <f t="shared" si="17"/>
        <v>2</v>
      </c>
      <c r="BX23" s="2224">
        <f t="shared" si="17"/>
        <v>2</v>
      </c>
      <c r="BY23" s="2225">
        <f t="shared" si="17"/>
        <v>2</v>
      </c>
      <c r="BZ23" s="845">
        <f>ROUND(BY23-M23,1)</f>
        <v>0</v>
      </c>
    </row>
    <row r="24" spans="1:78" s="819" customFormat="1">
      <c r="A24" s="863"/>
      <c r="B24" s="862"/>
      <c r="C24" s="861"/>
      <c r="D24" s="812"/>
      <c r="E24" s="2718" t="s">
        <v>4101</v>
      </c>
      <c r="F24" s="989"/>
      <c r="G24" s="826">
        <f>IF(SUM(F20,F22)=0,0,F22/SUM(F20,F22))</f>
        <v>4.3883708173340648E-2</v>
      </c>
      <c r="H24" s="1014"/>
      <c r="I24" s="1488">
        <f>IF(SUM(I21,I23)=0,0,I23/SUM(I21,I23))</f>
        <v>0.04</v>
      </c>
      <c r="J24" s="1487">
        <f>IF(SUM(J21,J23)=0,0,J23/SUM(J21,J23))</f>
        <v>0.04</v>
      </c>
      <c r="K24" s="1487">
        <f>IF(SUM(K21,K23)=0,0,K23/SUM(K21,K23))</f>
        <v>0.04</v>
      </c>
      <c r="L24" s="1487">
        <f>IF(SUM(L21,L23)=0,0,L23/SUM(L21,L23))</f>
        <v>0.04</v>
      </c>
      <c r="M24" s="1487">
        <f>IF(SUM(M21,M23)=0,0,M23/SUM(M21,M23))</f>
        <v>0.04</v>
      </c>
      <c r="N24" s="861"/>
      <c r="O24" s="862"/>
      <c r="P24" s="861"/>
      <c r="Q24" s="1024"/>
      <c r="R24" s="1025"/>
      <c r="S24" s="1024"/>
      <c r="T24" s="1024"/>
      <c r="U24" s="1024"/>
      <c r="V24" s="1024"/>
      <c r="W24" s="1024"/>
      <c r="X24" s="1024"/>
      <c r="Y24" s="1024"/>
      <c r="Z24" s="1024"/>
      <c r="AA24" s="1024"/>
      <c r="AB24" s="1024"/>
      <c r="AC24" s="1026"/>
      <c r="AD24" s="1025"/>
      <c r="AE24" s="1024"/>
      <c r="AF24" s="1024"/>
      <c r="AG24" s="1024"/>
      <c r="AH24" s="1024"/>
      <c r="AI24" s="1024"/>
      <c r="AJ24" s="1024"/>
      <c r="AK24" s="1024"/>
      <c r="AL24" s="1024"/>
      <c r="AM24" s="1024"/>
      <c r="AN24" s="1024"/>
      <c r="AO24" s="1026"/>
      <c r="AP24" s="1025"/>
      <c r="AQ24" s="1024"/>
      <c r="AR24" s="1024"/>
      <c r="AS24" s="1024"/>
      <c r="AT24" s="1024"/>
      <c r="AU24" s="1024"/>
      <c r="AV24" s="1024"/>
      <c r="AW24" s="1024"/>
      <c r="AX24" s="1024"/>
      <c r="AY24" s="1024"/>
      <c r="AZ24" s="1024"/>
      <c r="BA24" s="1026"/>
      <c r="BB24" s="1025"/>
      <c r="BC24" s="1024"/>
      <c r="BD24" s="1024"/>
      <c r="BE24" s="1024"/>
      <c r="BF24" s="1024"/>
      <c r="BG24" s="1024"/>
      <c r="BH24" s="1024"/>
      <c r="BI24" s="1024"/>
      <c r="BJ24" s="1024"/>
      <c r="BK24" s="1024"/>
      <c r="BL24" s="1024"/>
      <c r="BM24" s="1026"/>
      <c r="BN24" s="1025"/>
      <c r="BO24" s="1024"/>
      <c r="BP24" s="1024"/>
      <c r="BQ24" s="1024"/>
      <c r="BR24" s="1024"/>
      <c r="BS24" s="1024"/>
      <c r="BT24" s="1024"/>
      <c r="BU24" s="1024"/>
      <c r="BV24" s="1024"/>
      <c r="BW24" s="1024"/>
      <c r="BX24" s="1024"/>
      <c r="BY24" s="1026"/>
      <c r="BZ24" s="844"/>
    </row>
    <row r="25" spans="1:78" s="819" customFormat="1" ht="13.5" thickBot="1">
      <c r="A25" s="863"/>
      <c r="B25" s="862"/>
      <c r="C25" s="861"/>
      <c r="D25" s="812"/>
      <c r="E25" s="829" t="s">
        <v>1551</v>
      </c>
      <c r="F25" s="991"/>
      <c r="G25" s="830">
        <f>IF(G20+G22=0,"NA",(G20+G22)/($F$8*$F$10+$F$8*$F$11))</f>
        <v>0.55555555555555558</v>
      </c>
      <c r="H25" s="1015"/>
      <c r="I25" s="831">
        <f>IF(I21+I23=0,"NA",(I21+I23)/($F$8*$F$10+$F$8*$F$11))</f>
        <v>0.55555555555555558</v>
      </c>
      <c r="J25" s="832">
        <f>IF(J21+J23=0,"NA",(J21+J23)/($F$8*$F$10+$F$8*$F$11))</f>
        <v>0.55555555555555558</v>
      </c>
      <c r="K25" s="832">
        <f>IF(K21+K23=0,"NA",(K21+K23)/($F$8*$F$10+$F$8*$F$11))</f>
        <v>0.55555555555555558</v>
      </c>
      <c r="L25" s="832">
        <f>IF(L21+L23=0,"NA",(L21+L23)/($F$8*$F$10+$F$8*$F$11))</f>
        <v>0.55555555555555558</v>
      </c>
      <c r="M25" s="832">
        <f>IF(M21+M23=0,"NA",(M21+M23)/($F$8*$F$10+$F$8*$F$11))</f>
        <v>0.55555555555555558</v>
      </c>
      <c r="N25" s="861"/>
      <c r="O25" s="862"/>
      <c r="P25" s="861"/>
      <c r="Q25" s="1024"/>
      <c r="R25" s="1025"/>
      <c r="S25" s="1024"/>
      <c r="T25" s="1024"/>
      <c r="U25" s="1024"/>
      <c r="V25" s="1024"/>
      <c r="W25" s="1024"/>
      <c r="X25" s="1024"/>
      <c r="Y25" s="1024"/>
      <c r="Z25" s="1024"/>
      <c r="AA25" s="1024"/>
      <c r="AB25" s="1024"/>
      <c r="AC25" s="1026"/>
      <c r="AD25" s="1025"/>
      <c r="AE25" s="1024"/>
      <c r="AF25" s="1024"/>
      <c r="AG25" s="1024"/>
      <c r="AH25" s="1024"/>
      <c r="AI25" s="1024"/>
      <c r="AJ25" s="1024"/>
      <c r="AK25" s="1024"/>
      <c r="AL25" s="1024"/>
      <c r="AM25" s="1024"/>
      <c r="AN25" s="1024"/>
      <c r="AO25" s="1026"/>
      <c r="AP25" s="1025"/>
      <c r="AQ25" s="1024"/>
      <c r="AR25" s="1024"/>
      <c r="AS25" s="1024"/>
      <c r="AT25" s="1024"/>
      <c r="AU25" s="1024"/>
      <c r="AV25" s="1024"/>
      <c r="AW25" s="1024"/>
      <c r="AX25" s="1024"/>
      <c r="AY25" s="1024"/>
      <c r="AZ25" s="1024"/>
      <c r="BA25" s="1026"/>
      <c r="BB25" s="1025"/>
      <c r="BC25" s="1024"/>
      <c r="BD25" s="1024"/>
      <c r="BE25" s="1024"/>
      <c r="BF25" s="1024"/>
      <c r="BG25" s="1024"/>
      <c r="BH25" s="1024"/>
      <c r="BI25" s="1024"/>
      <c r="BJ25" s="1024"/>
      <c r="BK25" s="1024"/>
      <c r="BL25" s="1024"/>
      <c r="BM25" s="1026"/>
      <c r="BN25" s="1025"/>
      <c r="BO25" s="1024"/>
      <c r="BP25" s="1024"/>
      <c r="BQ25" s="1024"/>
      <c r="BR25" s="1024"/>
      <c r="BS25" s="1024"/>
      <c r="BT25" s="1024"/>
      <c r="BU25" s="1024"/>
      <c r="BV25" s="1024"/>
      <c r="BW25" s="1024"/>
      <c r="BX25" s="1024"/>
      <c r="BY25" s="1026"/>
      <c r="BZ25" s="845"/>
    </row>
    <row r="26" spans="1:78" s="823" customFormat="1">
      <c r="A26" s="863"/>
      <c r="B26" s="862"/>
      <c r="C26" s="861"/>
      <c r="D26" s="812"/>
      <c r="E26" s="820" t="str">
        <f>$E$20</f>
        <v>Government</v>
      </c>
      <c r="F26" s="1483">
        <f>'1.2 EssPL'!G44</f>
        <v>1967.4285714285716</v>
      </c>
      <c r="G26" s="821">
        <f>ROUND(F26/144,0)</f>
        <v>14</v>
      </c>
      <c r="H26" s="1012" t="s">
        <v>3665</v>
      </c>
      <c r="I26" s="1003">
        <v>0</v>
      </c>
      <c r="J26" s="1004">
        <v>0</v>
      </c>
      <c r="K26" s="1004">
        <v>0</v>
      </c>
      <c r="L26" s="1004">
        <v>0</v>
      </c>
      <c r="M26" s="1004">
        <v>0</v>
      </c>
      <c r="N26" s="861"/>
      <c r="O26" s="862"/>
      <c r="P26" s="861"/>
      <c r="Q26" s="1020"/>
      <c r="R26" s="1027"/>
      <c r="S26" s="1020"/>
      <c r="T26" s="1020"/>
      <c r="U26" s="1020"/>
      <c r="V26" s="1020"/>
      <c r="W26" s="1020"/>
      <c r="X26" s="1020"/>
      <c r="Y26" s="1020"/>
      <c r="Z26" s="1020"/>
      <c r="AA26" s="1020"/>
      <c r="AB26" s="1020"/>
      <c r="AC26" s="1028"/>
      <c r="AD26" s="1027"/>
      <c r="AE26" s="1020"/>
      <c r="AF26" s="1020"/>
      <c r="AG26" s="1020"/>
      <c r="AH26" s="1020"/>
      <c r="AI26" s="1020"/>
      <c r="AJ26" s="1020"/>
      <c r="AK26" s="1020"/>
      <c r="AL26" s="1020"/>
      <c r="AM26" s="1020"/>
      <c r="AN26" s="1020"/>
      <c r="AO26" s="1028"/>
      <c r="AP26" s="1027"/>
      <c r="AQ26" s="1020"/>
      <c r="AR26" s="1020"/>
      <c r="AS26" s="1020"/>
      <c r="AT26" s="1020"/>
      <c r="AU26" s="1020"/>
      <c r="AV26" s="1020"/>
      <c r="AW26" s="1020"/>
      <c r="AX26" s="1020"/>
      <c r="AY26" s="1020"/>
      <c r="AZ26" s="1020"/>
      <c r="BA26" s="1028"/>
      <c r="BB26" s="1027"/>
      <c r="BC26" s="1020"/>
      <c r="BD26" s="1020"/>
      <c r="BE26" s="1020"/>
      <c r="BF26" s="1020"/>
      <c r="BG26" s="1020"/>
      <c r="BH26" s="1020"/>
      <c r="BI26" s="1020"/>
      <c r="BJ26" s="1020"/>
      <c r="BK26" s="1020"/>
      <c r="BL26" s="1020"/>
      <c r="BM26" s="1028"/>
      <c r="BN26" s="1027"/>
      <c r="BO26" s="1020"/>
      <c r="BP26" s="1020"/>
      <c r="BQ26" s="1020"/>
      <c r="BR26" s="1020"/>
      <c r="BS26" s="1020"/>
      <c r="BT26" s="1020"/>
      <c r="BU26" s="1020"/>
      <c r="BV26" s="1020"/>
      <c r="BW26" s="1020"/>
      <c r="BX26" s="1020"/>
      <c r="BY26" s="1028"/>
      <c r="BZ26" s="844"/>
    </row>
    <row r="27" spans="1:78" s="819" customFormat="1">
      <c r="A27" s="863"/>
      <c r="B27" s="862"/>
      <c r="C27" s="861"/>
      <c r="D27" s="812" t="s">
        <v>6</v>
      </c>
      <c r="E27" s="824"/>
      <c r="F27" s="1068"/>
      <c r="G27" s="2070"/>
      <c r="H27" s="1013" t="s">
        <v>3932</v>
      </c>
      <c r="I27" s="1005">
        <f>I26+G26</f>
        <v>14</v>
      </c>
      <c r="J27" s="1006">
        <f>J26+I27</f>
        <v>14</v>
      </c>
      <c r="K27" s="1006">
        <f>K26+J27</f>
        <v>14</v>
      </c>
      <c r="L27" s="1006">
        <f>L26+K27</f>
        <v>14</v>
      </c>
      <c r="M27" s="1006">
        <f>M26+L27</f>
        <v>14</v>
      </c>
      <c r="N27" s="861"/>
      <c r="O27" s="862"/>
      <c r="P27" s="861"/>
      <c r="Q27" s="1024">
        <f>G26</f>
        <v>14</v>
      </c>
      <c r="R27" s="1025">
        <f t="shared" ref="R27:AC27" si="18">Q27+$I26/12</f>
        <v>14</v>
      </c>
      <c r="S27" s="1024">
        <f t="shared" si="18"/>
        <v>14</v>
      </c>
      <c r="T27" s="1024">
        <f t="shared" si="18"/>
        <v>14</v>
      </c>
      <c r="U27" s="1024">
        <f t="shared" si="18"/>
        <v>14</v>
      </c>
      <c r="V27" s="1024">
        <f t="shared" si="18"/>
        <v>14</v>
      </c>
      <c r="W27" s="1024">
        <f t="shared" si="18"/>
        <v>14</v>
      </c>
      <c r="X27" s="1024">
        <f t="shared" si="18"/>
        <v>14</v>
      </c>
      <c r="Y27" s="1024">
        <f t="shared" si="18"/>
        <v>14</v>
      </c>
      <c r="Z27" s="1024">
        <f t="shared" si="18"/>
        <v>14</v>
      </c>
      <c r="AA27" s="1024">
        <f t="shared" si="18"/>
        <v>14</v>
      </c>
      <c r="AB27" s="1024">
        <f t="shared" si="18"/>
        <v>14</v>
      </c>
      <c r="AC27" s="1026">
        <f t="shared" si="18"/>
        <v>14</v>
      </c>
      <c r="AD27" s="1025">
        <f t="shared" ref="AD27:AO27" si="19">AC27+$J26/12</f>
        <v>14</v>
      </c>
      <c r="AE27" s="1024">
        <f t="shared" si="19"/>
        <v>14</v>
      </c>
      <c r="AF27" s="1024">
        <f t="shared" si="19"/>
        <v>14</v>
      </c>
      <c r="AG27" s="1024">
        <f t="shared" si="19"/>
        <v>14</v>
      </c>
      <c r="AH27" s="1024">
        <f t="shared" si="19"/>
        <v>14</v>
      </c>
      <c r="AI27" s="1024">
        <f t="shared" si="19"/>
        <v>14</v>
      </c>
      <c r="AJ27" s="1024">
        <f t="shared" si="19"/>
        <v>14</v>
      </c>
      <c r="AK27" s="1024">
        <f t="shared" si="19"/>
        <v>14</v>
      </c>
      <c r="AL27" s="1024">
        <f t="shared" si="19"/>
        <v>14</v>
      </c>
      <c r="AM27" s="1024">
        <f t="shared" si="19"/>
        <v>14</v>
      </c>
      <c r="AN27" s="1024">
        <f t="shared" si="19"/>
        <v>14</v>
      </c>
      <c r="AO27" s="1026">
        <f t="shared" si="19"/>
        <v>14</v>
      </c>
      <c r="AP27" s="1025">
        <f t="shared" ref="AP27:BA27" si="20">AO27+$K26/12</f>
        <v>14</v>
      </c>
      <c r="AQ27" s="1024">
        <f t="shared" si="20"/>
        <v>14</v>
      </c>
      <c r="AR27" s="1024">
        <f t="shared" si="20"/>
        <v>14</v>
      </c>
      <c r="AS27" s="1024">
        <f t="shared" si="20"/>
        <v>14</v>
      </c>
      <c r="AT27" s="1024">
        <f t="shared" si="20"/>
        <v>14</v>
      </c>
      <c r="AU27" s="1024">
        <f t="shared" si="20"/>
        <v>14</v>
      </c>
      <c r="AV27" s="1024">
        <f t="shared" si="20"/>
        <v>14</v>
      </c>
      <c r="AW27" s="1024">
        <f t="shared" si="20"/>
        <v>14</v>
      </c>
      <c r="AX27" s="1024">
        <f t="shared" si="20"/>
        <v>14</v>
      </c>
      <c r="AY27" s="1024">
        <f t="shared" si="20"/>
        <v>14</v>
      </c>
      <c r="AZ27" s="1024">
        <f t="shared" si="20"/>
        <v>14</v>
      </c>
      <c r="BA27" s="1026">
        <f t="shared" si="20"/>
        <v>14</v>
      </c>
      <c r="BB27" s="1025">
        <f t="shared" ref="BB27:BM27" si="21">BA27+$L26/12</f>
        <v>14</v>
      </c>
      <c r="BC27" s="1024">
        <f t="shared" si="21"/>
        <v>14</v>
      </c>
      <c r="BD27" s="1024">
        <f t="shared" si="21"/>
        <v>14</v>
      </c>
      <c r="BE27" s="1024">
        <f t="shared" si="21"/>
        <v>14</v>
      </c>
      <c r="BF27" s="1024">
        <f t="shared" si="21"/>
        <v>14</v>
      </c>
      <c r="BG27" s="1024">
        <f t="shared" si="21"/>
        <v>14</v>
      </c>
      <c r="BH27" s="1024">
        <f t="shared" si="21"/>
        <v>14</v>
      </c>
      <c r="BI27" s="1024">
        <f t="shared" si="21"/>
        <v>14</v>
      </c>
      <c r="BJ27" s="1024">
        <f t="shared" si="21"/>
        <v>14</v>
      </c>
      <c r="BK27" s="1024">
        <f t="shared" si="21"/>
        <v>14</v>
      </c>
      <c r="BL27" s="1024">
        <f t="shared" si="21"/>
        <v>14</v>
      </c>
      <c r="BM27" s="1026">
        <f t="shared" si="21"/>
        <v>14</v>
      </c>
      <c r="BN27" s="1025">
        <f t="shared" ref="BN27:BY27" si="22">BM27+$M26/12</f>
        <v>14</v>
      </c>
      <c r="BO27" s="1024">
        <f t="shared" si="22"/>
        <v>14</v>
      </c>
      <c r="BP27" s="1024">
        <f t="shared" si="22"/>
        <v>14</v>
      </c>
      <c r="BQ27" s="1024">
        <f t="shared" si="22"/>
        <v>14</v>
      </c>
      <c r="BR27" s="1024">
        <f t="shared" si="22"/>
        <v>14</v>
      </c>
      <c r="BS27" s="1024">
        <f t="shared" si="22"/>
        <v>14</v>
      </c>
      <c r="BT27" s="1024">
        <f t="shared" si="22"/>
        <v>14</v>
      </c>
      <c r="BU27" s="1024">
        <f t="shared" si="22"/>
        <v>14</v>
      </c>
      <c r="BV27" s="1024">
        <f t="shared" si="22"/>
        <v>14</v>
      </c>
      <c r="BW27" s="1024">
        <f t="shared" si="22"/>
        <v>14</v>
      </c>
      <c r="BX27" s="1024">
        <f t="shared" si="22"/>
        <v>14</v>
      </c>
      <c r="BY27" s="1026">
        <f t="shared" si="22"/>
        <v>14</v>
      </c>
      <c r="BZ27" s="845">
        <f>ROUND(BY27-M27,1)</f>
        <v>0</v>
      </c>
    </row>
    <row r="28" spans="1:78" s="823" customFormat="1">
      <c r="A28" s="863"/>
      <c r="B28" s="862"/>
      <c r="C28" s="861"/>
      <c r="D28" s="812"/>
      <c r="E28" s="820" t="str">
        <f>$E$22</f>
        <v>Non-Government</v>
      </c>
      <c r="F28" s="1483">
        <f>'1.2 EssPL'!G46</f>
        <v>906.85714285714278</v>
      </c>
      <c r="G28" s="821">
        <f>ROUND(F28/144,0)</f>
        <v>6</v>
      </c>
      <c r="H28" s="1012" t="s">
        <v>3665</v>
      </c>
      <c r="I28" s="1003">
        <v>0</v>
      </c>
      <c r="J28" s="1004">
        <v>0</v>
      </c>
      <c r="K28" s="1004">
        <v>0</v>
      </c>
      <c r="L28" s="1004">
        <v>0</v>
      </c>
      <c r="M28" s="1004">
        <v>0</v>
      </c>
      <c r="N28" s="861"/>
      <c r="O28" s="862"/>
      <c r="P28" s="861"/>
      <c r="Q28" s="1020"/>
      <c r="R28" s="1027"/>
      <c r="S28" s="1020"/>
      <c r="T28" s="1020"/>
      <c r="U28" s="1020"/>
      <c r="V28" s="1020"/>
      <c r="W28" s="1020"/>
      <c r="X28" s="1020"/>
      <c r="Y28" s="1020"/>
      <c r="Z28" s="1020"/>
      <c r="AA28" s="1020"/>
      <c r="AB28" s="1020"/>
      <c r="AC28" s="1028"/>
      <c r="AD28" s="1027"/>
      <c r="AE28" s="1020"/>
      <c r="AF28" s="1020"/>
      <c r="AG28" s="1020"/>
      <c r="AH28" s="1020"/>
      <c r="AI28" s="1020"/>
      <c r="AJ28" s="1020"/>
      <c r="AK28" s="1020"/>
      <c r="AL28" s="1020"/>
      <c r="AM28" s="1020"/>
      <c r="AN28" s="1020"/>
      <c r="AO28" s="1028"/>
      <c r="AP28" s="1027"/>
      <c r="AQ28" s="1020"/>
      <c r="AR28" s="1020"/>
      <c r="AS28" s="1020"/>
      <c r="AT28" s="1020"/>
      <c r="AU28" s="1020"/>
      <c r="AV28" s="1020"/>
      <c r="AW28" s="1020"/>
      <c r="AX28" s="1020"/>
      <c r="AY28" s="1020"/>
      <c r="AZ28" s="1020"/>
      <c r="BA28" s="1028"/>
      <c r="BB28" s="1027"/>
      <c r="BC28" s="1020"/>
      <c r="BD28" s="1020"/>
      <c r="BE28" s="1020"/>
      <c r="BF28" s="1020"/>
      <c r="BG28" s="1020"/>
      <c r="BH28" s="1020"/>
      <c r="BI28" s="1020"/>
      <c r="BJ28" s="1020"/>
      <c r="BK28" s="1020"/>
      <c r="BL28" s="1020"/>
      <c r="BM28" s="1028"/>
      <c r="BN28" s="1027"/>
      <c r="BO28" s="1020"/>
      <c r="BP28" s="1020"/>
      <c r="BQ28" s="1020"/>
      <c r="BR28" s="1020"/>
      <c r="BS28" s="1020"/>
      <c r="BT28" s="1020"/>
      <c r="BU28" s="1020"/>
      <c r="BV28" s="1020"/>
      <c r="BW28" s="1020"/>
      <c r="BX28" s="1020"/>
      <c r="BY28" s="1028"/>
      <c r="BZ28" s="844"/>
    </row>
    <row r="29" spans="1:78" s="819" customFormat="1">
      <c r="A29" s="863"/>
      <c r="B29" s="862"/>
      <c r="C29" s="861"/>
      <c r="D29" s="812"/>
      <c r="E29" s="2741"/>
      <c r="F29" s="1068"/>
      <c r="G29" s="825"/>
      <c r="H29" s="1013" t="s">
        <v>3932</v>
      </c>
      <c r="I29" s="1005">
        <f>I28+G28</f>
        <v>6</v>
      </c>
      <c r="J29" s="1006">
        <f>J28+I29</f>
        <v>6</v>
      </c>
      <c r="K29" s="1006">
        <f>K28+J29</f>
        <v>6</v>
      </c>
      <c r="L29" s="1006">
        <f>L28+K29</f>
        <v>6</v>
      </c>
      <c r="M29" s="1006">
        <f>M28+L29</f>
        <v>6</v>
      </c>
      <c r="N29" s="861"/>
      <c r="O29" s="862"/>
      <c r="P29" s="861"/>
      <c r="Q29" s="1024">
        <f>G28</f>
        <v>6</v>
      </c>
      <c r="R29" s="1025">
        <f t="shared" ref="R29:AC29" si="23">Q29+$I28/12</f>
        <v>6</v>
      </c>
      <c r="S29" s="1024">
        <f t="shared" si="23"/>
        <v>6</v>
      </c>
      <c r="T29" s="1024">
        <f t="shared" si="23"/>
        <v>6</v>
      </c>
      <c r="U29" s="1024">
        <f t="shared" si="23"/>
        <v>6</v>
      </c>
      <c r="V29" s="1024">
        <f t="shared" si="23"/>
        <v>6</v>
      </c>
      <c r="W29" s="1024">
        <f t="shared" si="23"/>
        <v>6</v>
      </c>
      <c r="X29" s="1024">
        <f t="shared" si="23"/>
        <v>6</v>
      </c>
      <c r="Y29" s="1024">
        <f t="shared" si="23"/>
        <v>6</v>
      </c>
      <c r="Z29" s="1024">
        <f t="shared" si="23"/>
        <v>6</v>
      </c>
      <c r="AA29" s="1024">
        <f t="shared" si="23"/>
        <v>6</v>
      </c>
      <c r="AB29" s="1024">
        <f t="shared" si="23"/>
        <v>6</v>
      </c>
      <c r="AC29" s="1026">
        <f t="shared" si="23"/>
        <v>6</v>
      </c>
      <c r="AD29" s="1025">
        <f t="shared" ref="AD29:AO29" si="24">AC29+$J28/12</f>
        <v>6</v>
      </c>
      <c r="AE29" s="1024">
        <f t="shared" si="24"/>
        <v>6</v>
      </c>
      <c r="AF29" s="1024">
        <f t="shared" si="24"/>
        <v>6</v>
      </c>
      <c r="AG29" s="1024">
        <f t="shared" si="24"/>
        <v>6</v>
      </c>
      <c r="AH29" s="1024">
        <f t="shared" si="24"/>
        <v>6</v>
      </c>
      <c r="AI29" s="1024">
        <f t="shared" si="24"/>
        <v>6</v>
      </c>
      <c r="AJ29" s="1024">
        <f t="shared" si="24"/>
        <v>6</v>
      </c>
      <c r="AK29" s="1024">
        <f t="shared" si="24"/>
        <v>6</v>
      </c>
      <c r="AL29" s="1024">
        <f t="shared" si="24"/>
        <v>6</v>
      </c>
      <c r="AM29" s="1024">
        <f t="shared" si="24"/>
        <v>6</v>
      </c>
      <c r="AN29" s="1024">
        <f t="shared" si="24"/>
        <v>6</v>
      </c>
      <c r="AO29" s="1026">
        <f t="shared" si="24"/>
        <v>6</v>
      </c>
      <c r="AP29" s="1025">
        <f t="shared" ref="AP29:BA29" si="25">AO29+$K28/12</f>
        <v>6</v>
      </c>
      <c r="AQ29" s="1024">
        <f t="shared" si="25"/>
        <v>6</v>
      </c>
      <c r="AR29" s="1024">
        <f t="shared" si="25"/>
        <v>6</v>
      </c>
      <c r="AS29" s="1024">
        <f t="shared" si="25"/>
        <v>6</v>
      </c>
      <c r="AT29" s="1024">
        <f t="shared" si="25"/>
        <v>6</v>
      </c>
      <c r="AU29" s="1024">
        <f t="shared" si="25"/>
        <v>6</v>
      </c>
      <c r="AV29" s="1024">
        <f t="shared" si="25"/>
        <v>6</v>
      </c>
      <c r="AW29" s="1024">
        <f t="shared" si="25"/>
        <v>6</v>
      </c>
      <c r="AX29" s="1024">
        <f t="shared" si="25"/>
        <v>6</v>
      </c>
      <c r="AY29" s="1024">
        <f t="shared" si="25"/>
        <v>6</v>
      </c>
      <c r="AZ29" s="1024">
        <f t="shared" si="25"/>
        <v>6</v>
      </c>
      <c r="BA29" s="1026">
        <f t="shared" si="25"/>
        <v>6</v>
      </c>
      <c r="BB29" s="1025">
        <f t="shared" ref="BB29:BM29" si="26">BA29+$L28/12</f>
        <v>6</v>
      </c>
      <c r="BC29" s="1024">
        <f t="shared" si="26"/>
        <v>6</v>
      </c>
      <c r="BD29" s="1024">
        <f t="shared" si="26"/>
        <v>6</v>
      </c>
      <c r="BE29" s="1024">
        <f t="shared" si="26"/>
        <v>6</v>
      </c>
      <c r="BF29" s="1024">
        <f t="shared" si="26"/>
        <v>6</v>
      </c>
      <c r="BG29" s="1024">
        <f t="shared" si="26"/>
        <v>6</v>
      </c>
      <c r="BH29" s="1024">
        <f t="shared" si="26"/>
        <v>6</v>
      </c>
      <c r="BI29" s="1024">
        <f t="shared" si="26"/>
        <v>6</v>
      </c>
      <c r="BJ29" s="1024">
        <f t="shared" si="26"/>
        <v>6</v>
      </c>
      <c r="BK29" s="1024">
        <f t="shared" si="26"/>
        <v>6</v>
      </c>
      <c r="BL29" s="1024">
        <f t="shared" si="26"/>
        <v>6</v>
      </c>
      <c r="BM29" s="1026">
        <f t="shared" si="26"/>
        <v>6</v>
      </c>
      <c r="BN29" s="1025">
        <f t="shared" ref="BN29:BY29" si="27">BM29+$M28/12</f>
        <v>6</v>
      </c>
      <c r="BO29" s="1024">
        <f t="shared" si="27"/>
        <v>6</v>
      </c>
      <c r="BP29" s="1024">
        <f t="shared" si="27"/>
        <v>6</v>
      </c>
      <c r="BQ29" s="1024">
        <f t="shared" si="27"/>
        <v>6</v>
      </c>
      <c r="BR29" s="1024">
        <f t="shared" si="27"/>
        <v>6</v>
      </c>
      <c r="BS29" s="1024">
        <f t="shared" si="27"/>
        <v>6</v>
      </c>
      <c r="BT29" s="1024">
        <f t="shared" si="27"/>
        <v>6</v>
      </c>
      <c r="BU29" s="1024">
        <f t="shared" si="27"/>
        <v>6</v>
      </c>
      <c r="BV29" s="1024">
        <f t="shared" si="27"/>
        <v>6</v>
      </c>
      <c r="BW29" s="1024">
        <f t="shared" si="27"/>
        <v>6</v>
      </c>
      <c r="BX29" s="1024">
        <f t="shared" si="27"/>
        <v>6</v>
      </c>
      <c r="BY29" s="1026">
        <f t="shared" si="27"/>
        <v>6</v>
      </c>
      <c r="BZ29" s="845">
        <f>ROUND(BY29-M29,1)</f>
        <v>0</v>
      </c>
    </row>
    <row r="30" spans="1:78" s="819" customFormat="1">
      <c r="A30" s="863"/>
      <c r="B30" s="862"/>
      <c r="C30" s="861"/>
      <c r="D30" s="812"/>
      <c r="E30" s="2718" t="s">
        <v>4101</v>
      </c>
      <c r="F30" s="989"/>
      <c r="G30" s="826">
        <f>IF(SUM(F26,F28)=0,0,F28/SUM(F26,F28))</f>
        <v>0.31550695825049702</v>
      </c>
      <c r="H30" s="1014"/>
      <c r="I30" s="827">
        <f>IF(SUM(I27,I29)=0,0,I29/SUM(I27,I29))</f>
        <v>0.3</v>
      </c>
      <c r="J30" s="828">
        <f>IF(SUM(J27,J29)=0,0,J29/SUM(J27,J29))</f>
        <v>0.3</v>
      </c>
      <c r="K30" s="828">
        <f>IF(SUM(K27,K29)=0,0,K29/SUM(K27,K29))</f>
        <v>0.3</v>
      </c>
      <c r="L30" s="828">
        <f>IF(SUM(L27,L29)=0,0,L29/SUM(L27,L29))</f>
        <v>0.3</v>
      </c>
      <c r="M30" s="828">
        <f>IF(SUM(M27,M29)=0,0,M29/SUM(M27,M29))</f>
        <v>0.3</v>
      </c>
      <c r="N30" s="861"/>
      <c r="O30" s="862"/>
      <c r="P30" s="861"/>
      <c r="Q30" s="1024"/>
      <c r="R30" s="1025"/>
      <c r="S30" s="1024"/>
      <c r="T30" s="1024"/>
      <c r="U30" s="1024"/>
      <c r="V30" s="1024"/>
      <c r="W30" s="1024"/>
      <c r="X30" s="1024"/>
      <c r="Y30" s="1024"/>
      <c r="Z30" s="1024"/>
      <c r="AA30" s="1024"/>
      <c r="AB30" s="1024"/>
      <c r="AC30" s="1026"/>
      <c r="AD30" s="1025"/>
      <c r="AE30" s="1024"/>
      <c r="AF30" s="1024"/>
      <c r="AG30" s="1024"/>
      <c r="AH30" s="1024"/>
      <c r="AI30" s="1024"/>
      <c r="AJ30" s="1024"/>
      <c r="AK30" s="1024"/>
      <c r="AL30" s="1024"/>
      <c r="AM30" s="1024"/>
      <c r="AN30" s="1024"/>
      <c r="AO30" s="1026"/>
      <c r="AP30" s="1025"/>
      <c r="AQ30" s="1024"/>
      <c r="AR30" s="1024"/>
      <c r="AS30" s="1024"/>
      <c r="AT30" s="1024"/>
      <c r="AU30" s="1024"/>
      <c r="AV30" s="1024"/>
      <c r="AW30" s="1024"/>
      <c r="AX30" s="1024"/>
      <c r="AY30" s="1024"/>
      <c r="AZ30" s="1024"/>
      <c r="BA30" s="1026"/>
      <c r="BB30" s="1025"/>
      <c r="BC30" s="1024"/>
      <c r="BD30" s="1024"/>
      <c r="BE30" s="1024"/>
      <c r="BF30" s="1024"/>
      <c r="BG30" s="1024"/>
      <c r="BH30" s="1024"/>
      <c r="BI30" s="1024"/>
      <c r="BJ30" s="1024"/>
      <c r="BK30" s="1024"/>
      <c r="BL30" s="1024"/>
      <c r="BM30" s="1026"/>
      <c r="BN30" s="1025"/>
      <c r="BO30" s="1024"/>
      <c r="BP30" s="1024"/>
      <c r="BQ30" s="1024"/>
      <c r="BR30" s="1024"/>
      <c r="BS30" s="1024"/>
      <c r="BT30" s="1024"/>
      <c r="BU30" s="1024"/>
      <c r="BV30" s="1024"/>
      <c r="BW30" s="1024"/>
      <c r="BX30" s="1024"/>
      <c r="BY30" s="1026"/>
      <c r="BZ30" s="844"/>
    </row>
    <row r="31" spans="1:78" s="819" customFormat="1" ht="13.5" thickBot="1">
      <c r="A31" s="863"/>
      <c r="B31" s="862"/>
      <c r="C31" s="861"/>
      <c r="D31" s="812"/>
      <c r="E31" s="829" t="s">
        <v>1551</v>
      </c>
      <c r="F31" s="991"/>
      <c r="G31" s="830">
        <f>IF(G26+G28=0,"NA",(G26+G28)/($F$12*20))</f>
        <v>0.5</v>
      </c>
      <c r="H31" s="1015"/>
      <c r="I31" s="831">
        <f>IF(OR(I27+I29=0,$F$12=0),"NA",(I27+I29)/($F$12*20))</f>
        <v>0.5</v>
      </c>
      <c r="J31" s="832">
        <f>IF(OR(J27+J29=0,$F$12=0),"NA",(J27+J29)/($F$12*20))</f>
        <v>0.5</v>
      </c>
      <c r="K31" s="832">
        <f>IF(OR(K27+K29=0,$F$12=0),"NA",(K27+K29)/($F$12*20))</f>
        <v>0.5</v>
      </c>
      <c r="L31" s="832">
        <f>IF(OR(L27+L29=0,$F$12=0),"NA",(L27+L29)/($F$12*20))</f>
        <v>0.5</v>
      </c>
      <c r="M31" s="832">
        <f>IF(OR(M27+M29=0,$F$12=0),"NA",(M27+M29)/($F$12*20))</f>
        <v>0.5</v>
      </c>
      <c r="N31" s="861"/>
      <c r="O31" s="862"/>
      <c r="P31" s="861"/>
      <c r="Q31" s="1024"/>
      <c r="R31" s="1025"/>
      <c r="S31" s="1024"/>
      <c r="T31" s="1024"/>
      <c r="U31" s="1024"/>
      <c r="V31" s="1024"/>
      <c r="W31" s="1024"/>
      <c r="X31" s="1024"/>
      <c r="Y31" s="1024"/>
      <c r="Z31" s="1024"/>
      <c r="AA31" s="1024"/>
      <c r="AB31" s="1024"/>
      <c r="AC31" s="1026"/>
      <c r="AD31" s="1025"/>
      <c r="AE31" s="1024"/>
      <c r="AF31" s="1024"/>
      <c r="AG31" s="1024"/>
      <c r="AH31" s="1024"/>
      <c r="AI31" s="1024"/>
      <c r="AJ31" s="1024"/>
      <c r="AK31" s="1024"/>
      <c r="AL31" s="1024"/>
      <c r="AM31" s="1024"/>
      <c r="AN31" s="1024"/>
      <c r="AO31" s="1026"/>
      <c r="AP31" s="1025"/>
      <c r="AQ31" s="1024"/>
      <c r="AR31" s="1024"/>
      <c r="AS31" s="1024"/>
      <c r="AT31" s="1024"/>
      <c r="AU31" s="1024"/>
      <c r="AV31" s="1024"/>
      <c r="AW31" s="1024"/>
      <c r="AX31" s="1024"/>
      <c r="AY31" s="1024"/>
      <c r="AZ31" s="1024"/>
      <c r="BA31" s="1026"/>
      <c r="BB31" s="1025"/>
      <c r="BC31" s="1024"/>
      <c r="BD31" s="1024"/>
      <c r="BE31" s="1024"/>
      <c r="BF31" s="1024"/>
      <c r="BG31" s="1024"/>
      <c r="BH31" s="1024"/>
      <c r="BI31" s="1024"/>
      <c r="BJ31" s="1024"/>
      <c r="BK31" s="1024"/>
      <c r="BL31" s="1024"/>
      <c r="BM31" s="1026"/>
      <c r="BN31" s="1025"/>
      <c r="BO31" s="1024"/>
      <c r="BP31" s="1024"/>
      <c r="BQ31" s="1024"/>
      <c r="BR31" s="1024"/>
      <c r="BS31" s="1024"/>
      <c r="BT31" s="1024"/>
      <c r="BU31" s="1024"/>
      <c r="BV31" s="1024"/>
      <c r="BW31" s="1024"/>
      <c r="BX31" s="1024"/>
      <c r="BY31" s="1026"/>
      <c r="BZ31" s="845"/>
    </row>
    <row r="32" spans="1:78" s="823" customFormat="1">
      <c r="A32" s="863"/>
      <c r="B32" s="862"/>
      <c r="C32" s="861"/>
      <c r="D32" s="812"/>
      <c r="E32" s="820" t="str">
        <f>$E$20</f>
        <v>Government</v>
      </c>
      <c r="F32" s="1483">
        <f>'1.2 EssPL'!G177</f>
        <v>1012</v>
      </c>
      <c r="G32" s="821">
        <f>ROUND((F32*(3/4.3)/144),0)</f>
        <v>5</v>
      </c>
      <c r="H32" s="1012" t="s">
        <v>3665</v>
      </c>
      <c r="I32" s="1003">
        <v>0</v>
      </c>
      <c r="J32" s="1004">
        <v>0</v>
      </c>
      <c r="K32" s="1004">
        <v>0</v>
      </c>
      <c r="L32" s="1004">
        <v>0</v>
      </c>
      <c r="M32" s="1004">
        <v>0</v>
      </c>
      <c r="N32" s="861"/>
      <c r="O32" s="862"/>
      <c r="P32" s="861"/>
      <c r="Q32" s="1020"/>
      <c r="R32" s="1027"/>
      <c r="S32" s="1020"/>
      <c r="T32" s="1020"/>
      <c r="U32" s="1020"/>
      <c r="V32" s="1020"/>
      <c r="W32" s="1020"/>
      <c r="X32" s="1020"/>
      <c r="Y32" s="1020"/>
      <c r="Z32" s="1020"/>
      <c r="AA32" s="1020"/>
      <c r="AB32" s="1020"/>
      <c r="AC32" s="1028"/>
      <c r="AD32" s="1027"/>
      <c r="AE32" s="1020"/>
      <c r="AF32" s="1020"/>
      <c r="AG32" s="1020"/>
      <c r="AH32" s="1020"/>
      <c r="AI32" s="1020"/>
      <c r="AJ32" s="1020"/>
      <c r="AK32" s="1020"/>
      <c r="AL32" s="1020"/>
      <c r="AM32" s="1020"/>
      <c r="AN32" s="1020"/>
      <c r="AO32" s="1028"/>
      <c r="AP32" s="1027"/>
      <c r="AQ32" s="1020"/>
      <c r="AR32" s="1020"/>
      <c r="AS32" s="1020"/>
      <c r="AT32" s="1020"/>
      <c r="AU32" s="1020"/>
      <c r="AV32" s="1020"/>
      <c r="AW32" s="1020"/>
      <c r="AX32" s="1020"/>
      <c r="AY32" s="1020"/>
      <c r="AZ32" s="1020"/>
      <c r="BA32" s="1028"/>
      <c r="BB32" s="1027"/>
      <c r="BC32" s="1020"/>
      <c r="BD32" s="1020"/>
      <c r="BE32" s="1020"/>
      <c r="BF32" s="1020"/>
      <c r="BG32" s="1020"/>
      <c r="BH32" s="1020"/>
      <c r="BI32" s="1020"/>
      <c r="BJ32" s="1020"/>
      <c r="BK32" s="1020"/>
      <c r="BL32" s="1020"/>
      <c r="BM32" s="1028"/>
      <c r="BN32" s="1027"/>
      <c r="BO32" s="1020"/>
      <c r="BP32" s="1020"/>
      <c r="BQ32" s="1020"/>
      <c r="BR32" s="1020"/>
      <c r="BS32" s="1020"/>
      <c r="BT32" s="1020"/>
      <c r="BU32" s="1020"/>
      <c r="BV32" s="1020"/>
      <c r="BW32" s="1020"/>
      <c r="BX32" s="1020"/>
      <c r="BY32" s="1028"/>
      <c r="BZ32" s="844"/>
    </row>
    <row r="33" spans="1:78" s="819" customFormat="1">
      <c r="A33" s="863"/>
      <c r="B33" s="862"/>
      <c r="C33" s="861"/>
      <c r="D33" s="812" t="s">
        <v>1402</v>
      </c>
      <c r="E33" s="824"/>
      <c r="F33" s="1068"/>
      <c r="G33" s="2070"/>
      <c r="H33" s="1013" t="s">
        <v>3932</v>
      </c>
      <c r="I33" s="1005">
        <f>I32+G32</f>
        <v>5</v>
      </c>
      <c r="J33" s="1006">
        <f>J32+I33</f>
        <v>5</v>
      </c>
      <c r="K33" s="1006">
        <f>K32+J33</f>
        <v>5</v>
      </c>
      <c r="L33" s="1006">
        <f>L32+K33</f>
        <v>5</v>
      </c>
      <c r="M33" s="1006">
        <f>M32+L33</f>
        <v>5</v>
      </c>
      <c r="N33" s="861"/>
      <c r="O33" s="862"/>
      <c r="P33" s="861"/>
      <c r="Q33" s="1024">
        <f>G32</f>
        <v>5</v>
      </c>
      <c r="R33" s="1025">
        <f t="shared" ref="R33:AC33" si="28">Q33+$I32/12</f>
        <v>5</v>
      </c>
      <c r="S33" s="1024">
        <f t="shared" si="28"/>
        <v>5</v>
      </c>
      <c r="T33" s="1024">
        <f t="shared" si="28"/>
        <v>5</v>
      </c>
      <c r="U33" s="1024">
        <f t="shared" si="28"/>
        <v>5</v>
      </c>
      <c r="V33" s="1024">
        <f t="shared" si="28"/>
        <v>5</v>
      </c>
      <c r="W33" s="1024">
        <f t="shared" si="28"/>
        <v>5</v>
      </c>
      <c r="X33" s="1024">
        <f t="shared" si="28"/>
        <v>5</v>
      </c>
      <c r="Y33" s="1024">
        <f t="shared" si="28"/>
        <v>5</v>
      </c>
      <c r="Z33" s="1024">
        <f t="shared" si="28"/>
        <v>5</v>
      </c>
      <c r="AA33" s="1024">
        <f t="shared" si="28"/>
        <v>5</v>
      </c>
      <c r="AB33" s="1024">
        <f t="shared" si="28"/>
        <v>5</v>
      </c>
      <c r="AC33" s="1026">
        <f t="shared" si="28"/>
        <v>5</v>
      </c>
      <c r="AD33" s="1025">
        <f t="shared" ref="AD33:AO33" si="29">AC33+$J32/12</f>
        <v>5</v>
      </c>
      <c r="AE33" s="1024">
        <f t="shared" si="29"/>
        <v>5</v>
      </c>
      <c r="AF33" s="1024">
        <f t="shared" si="29"/>
        <v>5</v>
      </c>
      <c r="AG33" s="1024">
        <f t="shared" si="29"/>
        <v>5</v>
      </c>
      <c r="AH33" s="1024">
        <f t="shared" si="29"/>
        <v>5</v>
      </c>
      <c r="AI33" s="1024">
        <f t="shared" si="29"/>
        <v>5</v>
      </c>
      <c r="AJ33" s="1024">
        <f t="shared" si="29"/>
        <v>5</v>
      </c>
      <c r="AK33" s="1024">
        <f t="shared" si="29"/>
        <v>5</v>
      </c>
      <c r="AL33" s="1024">
        <f t="shared" si="29"/>
        <v>5</v>
      </c>
      <c r="AM33" s="1024">
        <f t="shared" si="29"/>
        <v>5</v>
      </c>
      <c r="AN33" s="1024">
        <f t="shared" si="29"/>
        <v>5</v>
      </c>
      <c r="AO33" s="1026">
        <f t="shared" si="29"/>
        <v>5</v>
      </c>
      <c r="AP33" s="1025">
        <f t="shared" ref="AP33:BA33" si="30">AO33+$K32/12</f>
        <v>5</v>
      </c>
      <c r="AQ33" s="1024">
        <f t="shared" si="30"/>
        <v>5</v>
      </c>
      <c r="AR33" s="1024">
        <f t="shared" si="30"/>
        <v>5</v>
      </c>
      <c r="AS33" s="1024">
        <f t="shared" si="30"/>
        <v>5</v>
      </c>
      <c r="AT33" s="1024">
        <f t="shared" si="30"/>
        <v>5</v>
      </c>
      <c r="AU33" s="1024">
        <f t="shared" si="30"/>
        <v>5</v>
      </c>
      <c r="AV33" s="1024">
        <f t="shared" si="30"/>
        <v>5</v>
      </c>
      <c r="AW33" s="1024">
        <f t="shared" si="30"/>
        <v>5</v>
      </c>
      <c r="AX33" s="1024">
        <f t="shared" si="30"/>
        <v>5</v>
      </c>
      <c r="AY33" s="1024">
        <f t="shared" si="30"/>
        <v>5</v>
      </c>
      <c r="AZ33" s="1024">
        <f t="shared" si="30"/>
        <v>5</v>
      </c>
      <c r="BA33" s="1026">
        <f t="shared" si="30"/>
        <v>5</v>
      </c>
      <c r="BB33" s="1025">
        <f t="shared" ref="BB33:BM33" si="31">BA33+$L32/12</f>
        <v>5</v>
      </c>
      <c r="BC33" s="1024">
        <f t="shared" si="31"/>
        <v>5</v>
      </c>
      <c r="BD33" s="1024">
        <f t="shared" si="31"/>
        <v>5</v>
      </c>
      <c r="BE33" s="1024">
        <f t="shared" si="31"/>
        <v>5</v>
      </c>
      <c r="BF33" s="1024">
        <f t="shared" si="31"/>
        <v>5</v>
      </c>
      <c r="BG33" s="1024">
        <f t="shared" si="31"/>
        <v>5</v>
      </c>
      <c r="BH33" s="1024">
        <f t="shared" si="31"/>
        <v>5</v>
      </c>
      <c r="BI33" s="1024">
        <f t="shared" si="31"/>
        <v>5</v>
      </c>
      <c r="BJ33" s="1024">
        <f t="shared" si="31"/>
        <v>5</v>
      </c>
      <c r="BK33" s="1024">
        <f t="shared" si="31"/>
        <v>5</v>
      </c>
      <c r="BL33" s="1024">
        <f t="shared" si="31"/>
        <v>5</v>
      </c>
      <c r="BM33" s="1026">
        <f t="shared" si="31"/>
        <v>5</v>
      </c>
      <c r="BN33" s="1025">
        <f t="shared" ref="BN33:BY33" si="32">BM33+$M32/12</f>
        <v>5</v>
      </c>
      <c r="BO33" s="1024">
        <f t="shared" si="32"/>
        <v>5</v>
      </c>
      <c r="BP33" s="1024">
        <f t="shared" si="32"/>
        <v>5</v>
      </c>
      <c r="BQ33" s="1024">
        <f t="shared" si="32"/>
        <v>5</v>
      </c>
      <c r="BR33" s="1024">
        <f t="shared" si="32"/>
        <v>5</v>
      </c>
      <c r="BS33" s="1024">
        <f t="shared" si="32"/>
        <v>5</v>
      </c>
      <c r="BT33" s="1024">
        <f t="shared" si="32"/>
        <v>5</v>
      </c>
      <c r="BU33" s="1024">
        <f t="shared" si="32"/>
        <v>5</v>
      </c>
      <c r="BV33" s="1024">
        <f t="shared" si="32"/>
        <v>5</v>
      </c>
      <c r="BW33" s="1024">
        <f t="shared" si="32"/>
        <v>5</v>
      </c>
      <c r="BX33" s="1024">
        <f t="shared" si="32"/>
        <v>5</v>
      </c>
      <c r="BY33" s="1026">
        <f t="shared" si="32"/>
        <v>5</v>
      </c>
      <c r="BZ33" s="845">
        <f>ROUND(BY33-M33,1)</f>
        <v>0</v>
      </c>
    </row>
    <row r="34" spans="1:78" s="823" customFormat="1">
      <c r="A34" s="863"/>
      <c r="B34" s="862"/>
      <c r="C34" s="861"/>
      <c r="D34" s="812"/>
      <c r="E34" s="820" t="str">
        <f>$E$22</f>
        <v>Non-Government</v>
      </c>
      <c r="F34" s="1483">
        <f>'1.2 EssPL'!G179</f>
        <v>0</v>
      </c>
      <c r="G34" s="821">
        <f>ROUND((F34*(3/4.3)/144),0)</f>
        <v>0</v>
      </c>
      <c r="H34" s="1012" t="s">
        <v>3665</v>
      </c>
      <c r="I34" s="1003">
        <v>0</v>
      </c>
      <c r="J34" s="1004">
        <v>0</v>
      </c>
      <c r="K34" s="1004">
        <v>0</v>
      </c>
      <c r="L34" s="1004">
        <v>0</v>
      </c>
      <c r="M34" s="1004">
        <v>0</v>
      </c>
      <c r="N34" s="861"/>
      <c r="O34" s="862"/>
      <c r="P34" s="861"/>
      <c r="Q34" s="1020"/>
      <c r="R34" s="1027"/>
      <c r="S34" s="1020"/>
      <c r="T34" s="1020"/>
      <c r="U34" s="1020"/>
      <c r="V34" s="1020"/>
      <c r="W34" s="1020"/>
      <c r="X34" s="1020"/>
      <c r="Y34" s="1020"/>
      <c r="Z34" s="1020"/>
      <c r="AA34" s="1020"/>
      <c r="AB34" s="1020"/>
      <c r="AC34" s="1028"/>
      <c r="AD34" s="1027"/>
      <c r="AE34" s="1020"/>
      <c r="AF34" s="1020"/>
      <c r="AG34" s="1020"/>
      <c r="AH34" s="1020"/>
      <c r="AI34" s="1020"/>
      <c r="AJ34" s="1020"/>
      <c r="AK34" s="1020"/>
      <c r="AL34" s="1020"/>
      <c r="AM34" s="1020"/>
      <c r="AN34" s="1020"/>
      <c r="AO34" s="1028"/>
      <c r="AP34" s="1027"/>
      <c r="AQ34" s="1020"/>
      <c r="AR34" s="1020"/>
      <c r="AS34" s="1020"/>
      <c r="AT34" s="1020"/>
      <c r="AU34" s="1020"/>
      <c r="AV34" s="1020"/>
      <c r="AW34" s="1020"/>
      <c r="AX34" s="1020"/>
      <c r="AY34" s="1020"/>
      <c r="AZ34" s="1020"/>
      <c r="BA34" s="1028"/>
      <c r="BB34" s="1027"/>
      <c r="BC34" s="1020"/>
      <c r="BD34" s="1020"/>
      <c r="BE34" s="1020"/>
      <c r="BF34" s="1020"/>
      <c r="BG34" s="1020"/>
      <c r="BH34" s="1020"/>
      <c r="BI34" s="1020"/>
      <c r="BJ34" s="1020"/>
      <c r="BK34" s="1020"/>
      <c r="BL34" s="1020"/>
      <c r="BM34" s="1028"/>
      <c r="BN34" s="1027"/>
      <c r="BO34" s="1020"/>
      <c r="BP34" s="1020"/>
      <c r="BQ34" s="1020"/>
      <c r="BR34" s="1020"/>
      <c r="BS34" s="1020"/>
      <c r="BT34" s="1020"/>
      <c r="BU34" s="1020"/>
      <c r="BV34" s="1020"/>
      <c r="BW34" s="1020"/>
      <c r="BX34" s="1020"/>
      <c r="BY34" s="1028"/>
      <c r="BZ34" s="844"/>
    </row>
    <row r="35" spans="1:78" s="819" customFormat="1">
      <c r="A35" s="863"/>
      <c r="B35" s="862"/>
      <c r="C35" s="861"/>
      <c r="D35" s="812"/>
      <c r="E35" s="2741"/>
      <c r="F35" s="1068"/>
      <c r="G35" s="825"/>
      <c r="H35" s="1013" t="s">
        <v>3932</v>
      </c>
      <c r="I35" s="1005">
        <f>I34+G34</f>
        <v>0</v>
      </c>
      <c r="J35" s="1006">
        <f>J34+I35</f>
        <v>0</v>
      </c>
      <c r="K35" s="1006">
        <f>K34+J35</f>
        <v>0</v>
      </c>
      <c r="L35" s="1006">
        <f>L34+K35</f>
        <v>0</v>
      </c>
      <c r="M35" s="1006">
        <f>M34+L35</f>
        <v>0</v>
      </c>
      <c r="N35" s="861"/>
      <c r="O35" s="862"/>
      <c r="P35" s="861"/>
      <c r="Q35" s="1024">
        <f>G34</f>
        <v>0</v>
      </c>
      <c r="R35" s="1025">
        <f t="shared" ref="R35:AC35" si="33">Q35+$I34/12</f>
        <v>0</v>
      </c>
      <c r="S35" s="1024">
        <f t="shared" si="33"/>
        <v>0</v>
      </c>
      <c r="T35" s="1024">
        <f t="shared" si="33"/>
        <v>0</v>
      </c>
      <c r="U35" s="1024">
        <f t="shared" si="33"/>
        <v>0</v>
      </c>
      <c r="V35" s="1024">
        <f t="shared" si="33"/>
        <v>0</v>
      </c>
      <c r="W35" s="1024">
        <f t="shared" si="33"/>
        <v>0</v>
      </c>
      <c r="X35" s="1024">
        <f t="shared" si="33"/>
        <v>0</v>
      </c>
      <c r="Y35" s="1024">
        <f t="shared" si="33"/>
        <v>0</v>
      </c>
      <c r="Z35" s="1024">
        <f t="shared" si="33"/>
        <v>0</v>
      </c>
      <c r="AA35" s="1024">
        <f t="shared" si="33"/>
        <v>0</v>
      </c>
      <c r="AB35" s="1024">
        <f t="shared" si="33"/>
        <v>0</v>
      </c>
      <c r="AC35" s="1026">
        <f t="shared" si="33"/>
        <v>0</v>
      </c>
      <c r="AD35" s="1025">
        <f t="shared" ref="AD35:AO35" si="34">AC35+$J34/12</f>
        <v>0</v>
      </c>
      <c r="AE35" s="1024">
        <f t="shared" si="34"/>
        <v>0</v>
      </c>
      <c r="AF35" s="1024">
        <f t="shared" si="34"/>
        <v>0</v>
      </c>
      <c r="AG35" s="1024">
        <f t="shared" si="34"/>
        <v>0</v>
      </c>
      <c r="AH35" s="1024">
        <f t="shared" si="34"/>
        <v>0</v>
      </c>
      <c r="AI35" s="1024">
        <f t="shared" si="34"/>
        <v>0</v>
      </c>
      <c r="AJ35" s="1024">
        <f t="shared" si="34"/>
        <v>0</v>
      </c>
      <c r="AK35" s="1024">
        <f t="shared" si="34"/>
        <v>0</v>
      </c>
      <c r="AL35" s="1024">
        <f t="shared" si="34"/>
        <v>0</v>
      </c>
      <c r="AM35" s="1024">
        <f t="shared" si="34"/>
        <v>0</v>
      </c>
      <c r="AN35" s="1024">
        <f t="shared" si="34"/>
        <v>0</v>
      </c>
      <c r="AO35" s="1026">
        <f t="shared" si="34"/>
        <v>0</v>
      </c>
      <c r="AP35" s="1025">
        <f t="shared" ref="AP35:BA35" si="35">AO35+$K34/12</f>
        <v>0</v>
      </c>
      <c r="AQ35" s="1024">
        <f t="shared" si="35"/>
        <v>0</v>
      </c>
      <c r="AR35" s="1024">
        <f t="shared" si="35"/>
        <v>0</v>
      </c>
      <c r="AS35" s="1024">
        <f t="shared" si="35"/>
        <v>0</v>
      </c>
      <c r="AT35" s="1024">
        <f t="shared" si="35"/>
        <v>0</v>
      </c>
      <c r="AU35" s="1024">
        <f t="shared" si="35"/>
        <v>0</v>
      </c>
      <c r="AV35" s="1024">
        <f t="shared" si="35"/>
        <v>0</v>
      </c>
      <c r="AW35" s="1024">
        <f t="shared" si="35"/>
        <v>0</v>
      </c>
      <c r="AX35" s="1024">
        <f t="shared" si="35"/>
        <v>0</v>
      </c>
      <c r="AY35" s="1024">
        <f t="shared" si="35"/>
        <v>0</v>
      </c>
      <c r="AZ35" s="1024">
        <f t="shared" si="35"/>
        <v>0</v>
      </c>
      <c r="BA35" s="1026">
        <f t="shared" si="35"/>
        <v>0</v>
      </c>
      <c r="BB35" s="1025">
        <f t="shared" ref="BB35:BM35" si="36">BA35+$L34/12</f>
        <v>0</v>
      </c>
      <c r="BC35" s="1024">
        <f t="shared" si="36"/>
        <v>0</v>
      </c>
      <c r="BD35" s="1024">
        <f t="shared" si="36"/>
        <v>0</v>
      </c>
      <c r="BE35" s="1024">
        <f t="shared" si="36"/>
        <v>0</v>
      </c>
      <c r="BF35" s="1024">
        <f t="shared" si="36"/>
        <v>0</v>
      </c>
      <c r="BG35" s="1024">
        <f t="shared" si="36"/>
        <v>0</v>
      </c>
      <c r="BH35" s="1024">
        <f t="shared" si="36"/>
        <v>0</v>
      </c>
      <c r="BI35" s="1024">
        <f t="shared" si="36"/>
        <v>0</v>
      </c>
      <c r="BJ35" s="1024">
        <f t="shared" si="36"/>
        <v>0</v>
      </c>
      <c r="BK35" s="1024">
        <f t="shared" si="36"/>
        <v>0</v>
      </c>
      <c r="BL35" s="1024">
        <f t="shared" si="36"/>
        <v>0</v>
      </c>
      <c r="BM35" s="1026">
        <f t="shared" si="36"/>
        <v>0</v>
      </c>
      <c r="BN35" s="1025">
        <f t="shared" ref="BN35:BY35" si="37">BM35+$M34/12</f>
        <v>0</v>
      </c>
      <c r="BO35" s="1024">
        <f t="shared" si="37"/>
        <v>0</v>
      </c>
      <c r="BP35" s="1024">
        <f t="shared" si="37"/>
        <v>0</v>
      </c>
      <c r="BQ35" s="1024">
        <f t="shared" si="37"/>
        <v>0</v>
      </c>
      <c r="BR35" s="1024">
        <f t="shared" si="37"/>
        <v>0</v>
      </c>
      <c r="BS35" s="1024">
        <f t="shared" si="37"/>
        <v>0</v>
      </c>
      <c r="BT35" s="1024">
        <f t="shared" si="37"/>
        <v>0</v>
      </c>
      <c r="BU35" s="1024">
        <f t="shared" si="37"/>
        <v>0</v>
      </c>
      <c r="BV35" s="1024">
        <f t="shared" si="37"/>
        <v>0</v>
      </c>
      <c r="BW35" s="1024">
        <f t="shared" si="37"/>
        <v>0</v>
      </c>
      <c r="BX35" s="1024">
        <f t="shared" si="37"/>
        <v>0</v>
      </c>
      <c r="BY35" s="1026">
        <f t="shared" si="37"/>
        <v>0</v>
      </c>
      <c r="BZ35" s="845">
        <f>ROUND(BY35-M35,1)</f>
        <v>0</v>
      </c>
    </row>
    <row r="36" spans="1:78" s="819" customFormat="1">
      <c r="A36" s="863"/>
      <c r="B36" s="862"/>
      <c r="C36" s="861"/>
      <c r="D36" s="812"/>
      <c r="E36" s="2718" t="s">
        <v>4101</v>
      </c>
      <c r="F36" s="989"/>
      <c r="G36" s="826">
        <f>IF(SUM(F32,F34)=0,0,F34/SUM(F32,F34))</f>
        <v>0</v>
      </c>
      <c r="H36" s="1014"/>
      <c r="I36" s="827">
        <f>IF(SUM(I33,I35)=0,0,I35/SUM(I33,I35))</f>
        <v>0</v>
      </c>
      <c r="J36" s="828">
        <f>IF(SUM(J33,J35)=0,0,J35/SUM(J33,J35))</f>
        <v>0</v>
      </c>
      <c r="K36" s="828">
        <f>IF(SUM(K33,K35)=0,0,K35/SUM(K33,K35))</f>
        <v>0</v>
      </c>
      <c r="L36" s="828">
        <f>IF(SUM(L33,L35)=0,0,L35/SUM(L33,L35))</f>
        <v>0</v>
      </c>
      <c r="M36" s="828">
        <f>IF(SUM(M33,M35)=0,0,M35/SUM(M33,M35))</f>
        <v>0</v>
      </c>
      <c r="N36" s="861"/>
      <c r="O36" s="862"/>
      <c r="P36" s="861"/>
      <c r="Q36" s="1024"/>
      <c r="R36" s="1025"/>
      <c r="S36" s="1024"/>
      <c r="T36" s="1024"/>
      <c r="U36" s="1024"/>
      <c r="V36" s="1024"/>
      <c r="W36" s="1024"/>
      <c r="X36" s="1024"/>
      <c r="Y36" s="1024"/>
      <c r="Z36" s="1024"/>
      <c r="AA36" s="1024"/>
      <c r="AB36" s="1024"/>
      <c r="AC36" s="1026"/>
      <c r="AD36" s="1025"/>
      <c r="AE36" s="1024"/>
      <c r="AF36" s="1024"/>
      <c r="AG36" s="1024"/>
      <c r="AH36" s="1024"/>
      <c r="AI36" s="1024"/>
      <c r="AJ36" s="1024"/>
      <c r="AK36" s="1024"/>
      <c r="AL36" s="1024"/>
      <c r="AM36" s="1024"/>
      <c r="AN36" s="1024"/>
      <c r="AO36" s="1026"/>
      <c r="AP36" s="1025"/>
      <c r="AQ36" s="1024"/>
      <c r="AR36" s="1024"/>
      <c r="AS36" s="1024"/>
      <c r="AT36" s="1024"/>
      <c r="AU36" s="1024"/>
      <c r="AV36" s="1024"/>
      <c r="AW36" s="1024"/>
      <c r="AX36" s="1024"/>
      <c r="AY36" s="1024"/>
      <c r="AZ36" s="1024"/>
      <c r="BA36" s="1026"/>
      <c r="BB36" s="1025"/>
      <c r="BC36" s="1024"/>
      <c r="BD36" s="1024"/>
      <c r="BE36" s="1024"/>
      <c r="BF36" s="1024"/>
      <c r="BG36" s="1024"/>
      <c r="BH36" s="1024"/>
      <c r="BI36" s="1024"/>
      <c r="BJ36" s="1024"/>
      <c r="BK36" s="1024"/>
      <c r="BL36" s="1024"/>
      <c r="BM36" s="1026"/>
      <c r="BN36" s="1025"/>
      <c r="BO36" s="1024"/>
      <c r="BP36" s="1024"/>
      <c r="BQ36" s="1024"/>
      <c r="BR36" s="1024"/>
      <c r="BS36" s="1024"/>
      <c r="BT36" s="1024"/>
      <c r="BU36" s="1024"/>
      <c r="BV36" s="1024"/>
      <c r="BW36" s="1024"/>
      <c r="BX36" s="1024"/>
      <c r="BY36" s="1026"/>
      <c r="BZ36" s="844"/>
    </row>
    <row r="37" spans="1:78" s="819" customFormat="1" ht="13.5" thickBot="1">
      <c r="A37" s="863"/>
      <c r="B37" s="862"/>
      <c r="C37" s="861"/>
      <c r="D37" s="794"/>
      <c r="E37" s="829" t="s">
        <v>1551</v>
      </c>
      <c r="F37" s="991"/>
      <c r="G37" s="1860">
        <f>IF(G32+G34=0,"NA",(G32+G34)/($F$13*20))</f>
        <v>0.125</v>
      </c>
      <c r="H37" s="1015"/>
      <c r="I37" s="831">
        <f>IF(I33+I35=0,"NA",(I33+I35)/($F$13*20))</f>
        <v>0.125</v>
      </c>
      <c r="J37" s="832">
        <f>IF(J33+J35=0,"NA",(J33+J35)/($F$13*20))</f>
        <v>0.125</v>
      </c>
      <c r="K37" s="832">
        <f>IF(K33+K35=0,"NA",(K33+K35)/($F$13*20))</f>
        <v>0.125</v>
      </c>
      <c r="L37" s="832">
        <f>IF(L33+L35=0,"NA",(L33+L35)/($F$13*20))</f>
        <v>0.125</v>
      </c>
      <c r="M37" s="832">
        <f>IF(M33+M35=0,"NA",(M33+M35)/($F$13*20))</f>
        <v>0.125</v>
      </c>
      <c r="N37" s="861"/>
      <c r="O37" s="862"/>
      <c r="P37" s="861"/>
      <c r="Q37" s="1024"/>
      <c r="R37" s="1025"/>
      <c r="S37" s="1024"/>
      <c r="T37" s="1024"/>
      <c r="U37" s="1024"/>
      <c r="V37" s="1024"/>
      <c r="W37" s="1024"/>
      <c r="X37" s="1024"/>
      <c r="Y37" s="1024"/>
      <c r="Z37" s="1024"/>
      <c r="AA37" s="1024"/>
      <c r="AB37" s="1024"/>
      <c r="AC37" s="1026"/>
      <c r="AD37" s="1025"/>
      <c r="AE37" s="1024"/>
      <c r="AF37" s="1024"/>
      <c r="AG37" s="1024"/>
      <c r="AH37" s="1024"/>
      <c r="AI37" s="1024"/>
      <c r="AJ37" s="1024"/>
      <c r="AK37" s="1024"/>
      <c r="AL37" s="1024"/>
      <c r="AM37" s="1024"/>
      <c r="AN37" s="1024"/>
      <c r="AO37" s="1026"/>
      <c r="AP37" s="1025"/>
      <c r="AQ37" s="1024"/>
      <c r="AR37" s="1024"/>
      <c r="AS37" s="1024"/>
      <c r="AT37" s="1024"/>
      <c r="AU37" s="1024"/>
      <c r="AV37" s="1024"/>
      <c r="AW37" s="1024"/>
      <c r="AX37" s="1024"/>
      <c r="AY37" s="1024"/>
      <c r="AZ37" s="1024"/>
      <c r="BA37" s="1026"/>
      <c r="BB37" s="1025"/>
      <c r="BC37" s="1024"/>
      <c r="BD37" s="1024"/>
      <c r="BE37" s="1024"/>
      <c r="BF37" s="1024"/>
      <c r="BG37" s="1024"/>
      <c r="BH37" s="1024"/>
      <c r="BI37" s="1024"/>
      <c r="BJ37" s="1024"/>
      <c r="BK37" s="1024"/>
      <c r="BL37" s="1024"/>
      <c r="BM37" s="1026"/>
      <c r="BN37" s="1025"/>
      <c r="BO37" s="1024"/>
      <c r="BP37" s="1024"/>
      <c r="BQ37" s="1024"/>
      <c r="BR37" s="1024"/>
      <c r="BS37" s="1024"/>
      <c r="BT37" s="1024"/>
      <c r="BU37" s="1024"/>
      <c r="BV37" s="1024"/>
      <c r="BW37" s="1024"/>
      <c r="BX37" s="1024"/>
      <c r="BY37" s="1026"/>
      <c r="BZ37" s="845"/>
    </row>
    <row r="38" spans="1:78" s="819" customFormat="1">
      <c r="A38" s="863"/>
      <c r="B38" s="862"/>
      <c r="C38" s="861"/>
      <c r="D38" s="813"/>
      <c r="E38" s="820" t="str">
        <f>$E$20</f>
        <v>Government</v>
      </c>
      <c r="F38" s="992"/>
      <c r="G38" s="834">
        <f>G20+G26+G32</f>
        <v>67</v>
      </c>
      <c r="H38" s="856"/>
      <c r="I38" s="992">
        <f>I21+I27+I33</f>
        <v>67</v>
      </c>
      <c r="J38" s="992">
        <f>J21+J27+J33</f>
        <v>67</v>
      </c>
      <c r="K38" s="992">
        <f>K21+K27+K33</f>
        <v>67</v>
      </c>
      <c r="L38" s="992">
        <f>L21+L27+L33</f>
        <v>67</v>
      </c>
      <c r="M38" s="992">
        <f>M21+M27+M33</f>
        <v>67</v>
      </c>
      <c r="N38" s="861"/>
      <c r="O38" s="862"/>
      <c r="P38" s="861"/>
      <c r="Q38" s="1024">
        <f>Q21+Q27+Q33</f>
        <v>67</v>
      </c>
      <c r="R38" s="1025">
        <f t="shared" ref="R38:BZ38" si="38">R21+R27+R33</f>
        <v>67</v>
      </c>
      <c r="S38" s="1024">
        <f t="shared" si="38"/>
        <v>67</v>
      </c>
      <c r="T38" s="1024">
        <f t="shared" si="38"/>
        <v>67</v>
      </c>
      <c r="U38" s="1024">
        <f t="shared" si="38"/>
        <v>67</v>
      </c>
      <c r="V38" s="1024">
        <f t="shared" si="38"/>
        <v>67</v>
      </c>
      <c r="W38" s="1024">
        <f t="shared" si="38"/>
        <v>67</v>
      </c>
      <c r="X38" s="1024">
        <f t="shared" si="38"/>
        <v>67</v>
      </c>
      <c r="Y38" s="1024">
        <f t="shared" si="38"/>
        <v>67</v>
      </c>
      <c r="Z38" s="1024">
        <f t="shared" si="38"/>
        <v>67</v>
      </c>
      <c r="AA38" s="1024">
        <f t="shared" si="38"/>
        <v>67</v>
      </c>
      <c r="AB38" s="1024">
        <f t="shared" si="38"/>
        <v>67</v>
      </c>
      <c r="AC38" s="1026">
        <f t="shared" si="38"/>
        <v>67</v>
      </c>
      <c r="AD38" s="1025">
        <f t="shared" si="38"/>
        <v>67</v>
      </c>
      <c r="AE38" s="1024">
        <f t="shared" si="38"/>
        <v>67</v>
      </c>
      <c r="AF38" s="1024">
        <f t="shared" si="38"/>
        <v>67</v>
      </c>
      <c r="AG38" s="1024">
        <f t="shared" si="38"/>
        <v>67</v>
      </c>
      <c r="AH38" s="1024">
        <f t="shared" si="38"/>
        <v>67</v>
      </c>
      <c r="AI38" s="1024">
        <f t="shared" si="38"/>
        <v>67</v>
      </c>
      <c r="AJ38" s="1024">
        <f t="shared" si="38"/>
        <v>67</v>
      </c>
      <c r="AK38" s="1024">
        <f t="shared" si="38"/>
        <v>67</v>
      </c>
      <c r="AL38" s="1024">
        <f t="shared" si="38"/>
        <v>67</v>
      </c>
      <c r="AM38" s="1024">
        <f t="shared" si="38"/>
        <v>67</v>
      </c>
      <c r="AN38" s="1024">
        <f t="shared" si="38"/>
        <v>67</v>
      </c>
      <c r="AO38" s="1026">
        <f t="shared" si="38"/>
        <v>67</v>
      </c>
      <c r="AP38" s="1025">
        <f t="shared" si="38"/>
        <v>67</v>
      </c>
      <c r="AQ38" s="1024">
        <f t="shared" si="38"/>
        <v>67</v>
      </c>
      <c r="AR38" s="1024">
        <f t="shared" si="38"/>
        <v>67</v>
      </c>
      <c r="AS38" s="1024">
        <f t="shared" si="38"/>
        <v>67</v>
      </c>
      <c r="AT38" s="1024">
        <f t="shared" si="38"/>
        <v>67</v>
      </c>
      <c r="AU38" s="1024">
        <f t="shared" si="38"/>
        <v>67</v>
      </c>
      <c r="AV38" s="1024">
        <f t="shared" si="38"/>
        <v>67</v>
      </c>
      <c r="AW38" s="1024">
        <f t="shared" si="38"/>
        <v>67</v>
      </c>
      <c r="AX38" s="1024">
        <f t="shared" si="38"/>
        <v>67</v>
      </c>
      <c r="AY38" s="1024">
        <f t="shared" si="38"/>
        <v>67</v>
      </c>
      <c r="AZ38" s="1024">
        <f t="shared" si="38"/>
        <v>67</v>
      </c>
      <c r="BA38" s="1026">
        <f t="shared" si="38"/>
        <v>67</v>
      </c>
      <c r="BB38" s="1025">
        <f t="shared" si="38"/>
        <v>67</v>
      </c>
      <c r="BC38" s="1024">
        <f t="shared" si="38"/>
        <v>67</v>
      </c>
      <c r="BD38" s="1024">
        <f t="shared" si="38"/>
        <v>67</v>
      </c>
      <c r="BE38" s="1024">
        <f t="shared" si="38"/>
        <v>67</v>
      </c>
      <c r="BF38" s="1024">
        <f t="shared" si="38"/>
        <v>67</v>
      </c>
      <c r="BG38" s="1024">
        <f t="shared" si="38"/>
        <v>67</v>
      </c>
      <c r="BH38" s="1024">
        <f t="shared" si="38"/>
        <v>67</v>
      </c>
      <c r="BI38" s="1024">
        <f t="shared" si="38"/>
        <v>67</v>
      </c>
      <c r="BJ38" s="1024">
        <f t="shared" si="38"/>
        <v>67</v>
      </c>
      <c r="BK38" s="1024">
        <f t="shared" si="38"/>
        <v>67</v>
      </c>
      <c r="BL38" s="1024">
        <f t="shared" si="38"/>
        <v>67</v>
      </c>
      <c r="BM38" s="1026">
        <f t="shared" si="38"/>
        <v>67</v>
      </c>
      <c r="BN38" s="1025">
        <f t="shared" si="38"/>
        <v>67</v>
      </c>
      <c r="BO38" s="1024">
        <f t="shared" si="38"/>
        <v>67</v>
      </c>
      <c r="BP38" s="1024">
        <f t="shared" si="38"/>
        <v>67</v>
      </c>
      <c r="BQ38" s="1024">
        <f t="shared" si="38"/>
        <v>67</v>
      </c>
      <c r="BR38" s="1024">
        <f t="shared" si="38"/>
        <v>67</v>
      </c>
      <c r="BS38" s="1024">
        <f t="shared" si="38"/>
        <v>67</v>
      </c>
      <c r="BT38" s="1024">
        <f t="shared" si="38"/>
        <v>67</v>
      </c>
      <c r="BU38" s="1024">
        <f t="shared" si="38"/>
        <v>67</v>
      </c>
      <c r="BV38" s="1024">
        <f t="shared" si="38"/>
        <v>67</v>
      </c>
      <c r="BW38" s="1024">
        <f t="shared" si="38"/>
        <v>67</v>
      </c>
      <c r="BX38" s="1024">
        <f t="shared" si="38"/>
        <v>67</v>
      </c>
      <c r="BY38" s="1026">
        <f t="shared" si="38"/>
        <v>67</v>
      </c>
      <c r="BZ38" s="845">
        <f t="shared" si="38"/>
        <v>0</v>
      </c>
    </row>
    <row r="39" spans="1:78" s="819" customFormat="1">
      <c r="A39" s="863"/>
      <c r="B39" s="862"/>
      <c r="C39" s="861"/>
      <c r="D39" s="813"/>
      <c r="E39" s="820" t="str">
        <f>$E$22</f>
        <v>Non-Government</v>
      </c>
      <c r="F39" s="992"/>
      <c r="G39" s="834">
        <f>G22+G28+G34</f>
        <v>8</v>
      </c>
      <c r="H39" s="856"/>
      <c r="I39" s="992">
        <f>I23+I29+I35</f>
        <v>8</v>
      </c>
      <c r="J39" s="992">
        <f>J23+J29+J35</f>
        <v>8</v>
      </c>
      <c r="K39" s="992">
        <f>K23+K29+K35</f>
        <v>8</v>
      </c>
      <c r="L39" s="992">
        <f>L23+L29+L35</f>
        <v>8</v>
      </c>
      <c r="M39" s="992">
        <f>M23+M29+M35</f>
        <v>8</v>
      </c>
      <c r="N39" s="861"/>
      <c r="O39" s="862"/>
      <c r="P39" s="861"/>
      <c r="Q39" s="1024">
        <f>Q23+Q29+Q35</f>
        <v>8</v>
      </c>
      <c r="R39" s="1025">
        <f t="shared" ref="R39:BZ39" si="39">R23+R29+R35</f>
        <v>8</v>
      </c>
      <c r="S39" s="1024">
        <f t="shared" si="39"/>
        <v>8</v>
      </c>
      <c r="T39" s="1024">
        <f t="shared" si="39"/>
        <v>8</v>
      </c>
      <c r="U39" s="1024">
        <f t="shared" si="39"/>
        <v>8</v>
      </c>
      <c r="V39" s="1024">
        <f t="shared" si="39"/>
        <v>8</v>
      </c>
      <c r="W39" s="1024">
        <f t="shared" si="39"/>
        <v>8</v>
      </c>
      <c r="X39" s="1024">
        <f t="shared" si="39"/>
        <v>8</v>
      </c>
      <c r="Y39" s="1024">
        <f t="shared" si="39"/>
        <v>8</v>
      </c>
      <c r="Z39" s="1024">
        <f t="shared" si="39"/>
        <v>8</v>
      </c>
      <c r="AA39" s="1024">
        <f t="shared" si="39"/>
        <v>8</v>
      </c>
      <c r="AB39" s="1024">
        <f t="shared" si="39"/>
        <v>8</v>
      </c>
      <c r="AC39" s="1026">
        <f t="shared" si="39"/>
        <v>8</v>
      </c>
      <c r="AD39" s="1025">
        <f t="shared" si="39"/>
        <v>8</v>
      </c>
      <c r="AE39" s="1024">
        <f t="shared" si="39"/>
        <v>8</v>
      </c>
      <c r="AF39" s="1024">
        <f t="shared" si="39"/>
        <v>8</v>
      </c>
      <c r="AG39" s="1024">
        <f t="shared" si="39"/>
        <v>8</v>
      </c>
      <c r="AH39" s="1024">
        <f t="shared" si="39"/>
        <v>8</v>
      </c>
      <c r="AI39" s="1024">
        <f t="shared" si="39"/>
        <v>8</v>
      </c>
      <c r="AJ39" s="1024">
        <f t="shared" si="39"/>
        <v>8</v>
      </c>
      <c r="AK39" s="1024">
        <f t="shared" si="39"/>
        <v>8</v>
      </c>
      <c r="AL39" s="1024">
        <f t="shared" si="39"/>
        <v>8</v>
      </c>
      <c r="AM39" s="1024">
        <f t="shared" si="39"/>
        <v>8</v>
      </c>
      <c r="AN39" s="1024">
        <f t="shared" si="39"/>
        <v>8</v>
      </c>
      <c r="AO39" s="1026">
        <f t="shared" si="39"/>
        <v>8</v>
      </c>
      <c r="AP39" s="1025">
        <f t="shared" si="39"/>
        <v>8</v>
      </c>
      <c r="AQ39" s="1024">
        <f t="shared" si="39"/>
        <v>8</v>
      </c>
      <c r="AR39" s="1024">
        <f t="shared" si="39"/>
        <v>8</v>
      </c>
      <c r="AS39" s="1024">
        <f t="shared" si="39"/>
        <v>8</v>
      </c>
      <c r="AT39" s="1024">
        <f t="shared" si="39"/>
        <v>8</v>
      </c>
      <c r="AU39" s="1024">
        <f t="shared" si="39"/>
        <v>8</v>
      </c>
      <c r="AV39" s="1024">
        <f t="shared" si="39"/>
        <v>8</v>
      </c>
      <c r="AW39" s="1024">
        <f t="shared" si="39"/>
        <v>8</v>
      </c>
      <c r="AX39" s="1024">
        <f t="shared" si="39"/>
        <v>8</v>
      </c>
      <c r="AY39" s="1024">
        <f t="shared" si="39"/>
        <v>8</v>
      </c>
      <c r="AZ39" s="1024">
        <f t="shared" si="39"/>
        <v>8</v>
      </c>
      <c r="BA39" s="1026">
        <f t="shared" si="39"/>
        <v>8</v>
      </c>
      <c r="BB39" s="1025">
        <f t="shared" si="39"/>
        <v>8</v>
      </c>
      <c r="BC39" s="1024">
        <f t="shared" si="39"/>
        <v>8</v>
      </c>
      <c r="BD39" s="1024">
        <f t="shared" si="39"/>
        <v>8</v>
      </c>
      <c r="BE39" s="1024">
        <f t="shared" si="39"/>
        <v>8</v>
      </c>
      <c r="BF39" s="1024">
        <f t="shared" si="39"/>
        <v>8</v>
      </c>
      <c r="BG39" s="1024">
        <f t="shared" si="39"/>
        <v>8</v>
      </c>
      <c r="BH39" s="1024">
        <f t="shared" si="39"/>
        <v>8</v>
      </c>
      <c r="BI39" s="1024">
        <f t="shared" si="39"/>
        <v>8</v>
      </c>
      <c r="BJ39" s="1024">
        <f t="shared" si="39"/>
        <v>8</v>
      </c>
      <c r="BK39" s="1024">
        <f t="shared" si="39"/>
        <v>8</v>
      </c>
      <c r="BL39" s="1024">
        <f t="shared" si="39"/>
        <v>8</v>
      </c>
      <c r="BM39" s="1026">
        <f t="shared" si="39"/>
        <v>8</v>
      </c>
      <c r="BN39" s="1025">
        <f t="shared" si="39"/>
        <v>8</v>
      </c>
      <c r="BO39" s="1024">
        <f t="shared" si="39"/>
        <v>8</v>
      </c>
      <c r="BP39" s="1024">
        <f t="shared" si="39"/>
        <v>8</v>
      </c>
      <c r="BQ39" s="1024">
        <f t="shared" si="39"/>
        <v>8</v>
      </c>
      <c r="BR39" s="1024">
        <f t="shared" si="39"/>
        <v>8</v>
      </c>
      <c r="BS39" s="1024">
        <f t="shared" si="39"/>
        <v>8</v>
      </c>
      <c r="BT39" s="1024">
        <f t="shared" si="39"/>
        <v>8</v>
      </c>
      <c r="BU39" s="1024">
        <f t="shared" si="39"/>
        <v>8</v>
      </c>
      <c r="BV39" s="1024">
        <f t="shared" si="39"/>
        <v>8</v>
      </c>
      <c r="BW39" s="1024">
        <f t="shared" si="39"/>
        <v>8</v>
      </c>
      <c r="BX39" s="1024">
        <f t="shared" si="39"/>
        <v>8</v>
      </c>
      <c r="BY39" s="1026">
        <f t="shared" si="39"/>
        <v>8</v>
      </c>
      <c r="BZ39" s="845">
        <f t="shared" si="39"/>
        <v>0</v>
      </c>
    </row>
    <row r="40" spans="1:78" s="819" customFormat="1">
      <c r="A40" s="863"/>
      <c r="B40" s="862"/>
      <c r="C40" s="861"/>
      <c r="D40" s="813"/>
      <c r="E40" s="833" t="s">
        <v>814</v>
      </c>
      <c r="F40" s="992"/>
      <c r="G40" s="834">
        <f>G38+G39</f>
        <v>75</v>
      </c>
      <c r="H40" s="856"/>
      <c r="I40" s="992">
        <f>I38+I39</f>
        <v>75</v>
      </c>
      <c r="J40" s="992">
        <f>J38+J39</f>
        <v>75</v>
      </c>
      <c r="K40" s="992">
        <f>K38+K39</f>
        <v>75</v>
      </c>
      <c r="L40" s="992">
        <f>L38+L39</f>
        <v>75</v>
      </c>
      <c r="M40" s="992">
        <f>M38+M39</f>
        <v>75</v>
      </c>
      <c r="N40" s="861"/>
      <c r="O40" s="862"/>
      <c r="P40" s="861"/>
      <c r="Q40" s="1024">
        <f t="shared" ref="Q40:AV40" si="40">Q38+Q39</f>
        <v>75</v>
      </c>
      <c r="R40" s="1025">
        <f t="shared" si="40"/>
        <v>75</v>
      </c>
      <c r="S40" s="1024">
        <f t="shared" si="40"/>
        <v>75</v>
      </c>
      <c r="T40" s="1024">
        <f t="shared" si="40"/>
        <v>75</v>
      </c>
      <c r="U40" s="1024">
        <f t="shared" si="40"/>
        <v>75</v>
      </c>
      <c r="V40" s="1024">
        <f t="shared" si="40"/>
        <v>75</v>
      </c>
      <c r="W40" s="1024">
        <f t="shared" si="40"/>
        <v>75</v>
      </c>
      <c r="X40" s="1024">
        <f t="shared" si="40"/>
        <v>75</v>
      </c>
      <c r="Y40" s="1024">
        <f t="shared" si="40"/>
        <v>75</v>
      </c>
      <c r="Z40" s="1024">
        <f t="shared" si="40"/>
        <v>75</v>
      </c>
      <c r="AA40" s="1024">
        <f t="shared" si="40"/>
        <v>75</v>
      </c>
      <c r="AB40" s="1024">
        <f t="shared" si="40"/>
        <v>75</v>
      </c>
      <c r="AC40" s="1026">
        <f t="shared" si="40"/>
        <v>75</v>
      </c>
      <c r="AD40" s="1025">
        <f t="shared" si="40"/>
        <v>75</v>
      </c>
      <c r="AE40" s="1024">
        <f t="shared" si="40"/>
        <v>75</v>
      </c>
      <c r="AF40" s="1024">
        <f t="shared" si="40"/>
        <v>75</v>
      </c>
      <c r="AG40" s="1024">
        <f t="shared" si="40"/>
        <v>75</v>
      </c>
      <c r="AH40" s="1024">
        <f t="shared" si="40"/>
        <v>75</v>
      </c>
      <c r="AI40" s="1024">
        <f t="shared" si="40"/>
        <v>75</v>
      </c>
      <c r="AJ40" s="1024">
        <f t="shared" si="40"/>
        <v>75</v>
      </c>
      <c r="AK40" s="1024">
        <f t="shared" si="40"/>
        <v>75</v>
      </c>
      <c r="AL40" s="1024">
        <f t="shared" si="40"/>
        <v>75</v>
      </c>
      <c r="AM40" s="1024">
        <f t="shared" si="40"/>
        <v>75</v>
      </c>
      <c r="AN40" s="1024">
        <f t="shared" si="40"/>
        <v>75</v>
      </c>
      <c r="AO40" s="1026">
        <f t="shared" si="40"/>
        <v>75</v>
      </c>
      <c r="AP40" s="1025">
        <f t="shared" si="40"/>
        <v>75</v>
      </c>
      <c r="AQ40" s="1024">
        <f t="shared" si="40"/>
        <v>75</v>
      </c>
      <c r="AR40" s="1024">
        <f t="shared" si="40"/>
        <v>75</v>
      </c>
      <c r="AS40" s="1024">
        <f t="shared" si="40"/>
        <v>75</v>
      </c>
      <c r="AT40" s="1024">
        <f t="shared" si="40"/>
        <v>75</v>
      </c>
      <c r="AU40" s="1024">
        <f t="shared" si="40"/>
        <v>75</v>
      </c>
      <c r="AV40" s="1024">
        <f t="shared" si="40"/>
        <v>75</v>
      </c>
      <c r="AW40" s="1024">
        <f t="shared" ref="AW40:BZ40" si="41">AW38+AW39</f>
        <v>75</v>
      </c>
      <c r="AX40" s="1024">
        <f t="shared" si="41"/>
        <v>75</v>
      </c>
      <c r="AY40" s="1024">
        <f t="shared" si="41"/>
        <v>75</v>
      </c>
      <c r="AZ40" s="1024">
        <f t="shared" si="41"/>
        <v>75</v>
      </c>
      <c r="BA40" s="1026">
        <f t="shared" si="41"/>
        <v>75</v>
      </c>
      <c r="BB40" s="1025">
        <f t="shared" si="41"/>
        <v>75</v>
      </c>
      <c r="BC40" s="1024">
        <f t="shared" si="41"/>
        <v>75</v>
      </c>
      <c r="BD40" s="1024">
        <f t="shared" si="41"/>
        <v>75</v>
      </c>
      <c r="BE40" s="1024">
        <f t="shared" si="41"/>
        <v>75</v>
      </c>
      <c r="BF40" s="1024">
        <f t="shared" si="41"/>
        <v>75</v>
      </c>
      <c r="BG40" s="1024">
        <f t="shared" si="41"/>
        <v>75</v>
      </c>
      <c r="BH40" s="1024">
        <f t="shared" si="41"/>
        <v>75</v>
      </c>
      <c r="BI40" s="1024">
        <f t="shared" si="41"/>
        <v>75</v>
      </c>
      <c r="BJ40" s="1024">
        <f t="shared" si="41"/>
        <v>75</v>
      </c>
      <c r="BK40" s="1024">
        <f t="shared" si="41"/>
        <v>75</v>
      </c>
      <c r="BL40" s="1024">
        <f t="shared" si="41"/>
        <v>75</v>
      </c>
      <c r="BM40" s="1026">
        <f t="shared" si="41"/>
        <v>75</v>
      </c>
      <c r="BN40" s="1025">
        <f t="shared" si="41"/>
        <v>75</v>
      </c>
      <c r="BO40" s="1024">
        <f t="shared" si="41"/>
        <v>75</v>
      </c>
      <c r="BP40" s="1024">
        <f t="shared" si="41"/>
        <v>75</v>
      </c>
      <c r="BQ40" s="1024">
        <f t="shared" si="41"/>
        <v>75</v>
      </c>
      <c r="BR40" s="1024">
        <f t="shared" si="41"/>
        <v>75</v>
      </c>
      <c r="BS40" s="1024">
        <f t="shared" si="41"/>
        <v>75</v>
      </c>
      <c r="BT40" s="1024">
        <f t="shared" si="41"/>
        <v>75</v>
      </c>
      <c r="BU40" s="1024">
        <f t="shared" si="41"/>
        <v>75</v>
      </c>
      <c r="BV40" s="1024">
        <f t="shared" si="41"/>
        <v>75</v>
      </c>
      <c r="BW40" s="1024">
        <f t="shared" si="41"/>
        <v>75</v>
      </c>
      <c r="BX40" s="1024">
        <f t="shared" si="41"/>
        <v>75</v>
      </c>
      <c r="BY40" s="1026">
        <f t="shared" si="41"/>
        <v>75</v>
      </c>
      <c r="BZ40" s="845">
        <f t="shared" si="41"/>
        <v>0</v>
      </c>
    </row>
    <row r="41" spans="1:78" s="819" customFormat="1" ht="13.5" thickBot="1">
      <c r="A41" s="863"/>
      <c r="B41" s="862"/>
      <c r="C41" s="861"/>
      <c r="D41" s="794"/>
      <c r="E41" s="829" t="s">
        <v>4101</v>
      </c>
      <c r="F41" s="993"/>
      <c r="G41" s="835">
        <f>G39/G40</f>
        <v>0.10666666666666667</v>
      </c>
      <c r="H41" s="1011"/>
      <c r="I41" s="835">
        <f>I39/I40</f>
        <v>0.10666666666666667</v>
      </c>
      <c r="J41" s="835">
        <f>J39/J40</f>
        <v>0.10666666666666667</v>
      </c>
      <c r="K41" s="835">
        <f>K39/K40</f>
        <v>0.10666666666666667</v>
      </c>
      <c r="L41" s="835">
        <f>L39/L40</f>
        <v>0.10666666666666667</v>
      </c>
      <c r="M41" s="835">
        <f>M39/M40</f>
        <v>0.10666666666666667</v>
      </c>
      <c r="N41" s="861"/>
      <c r="O41" s="862"/>
      <c r="P41" s="861"/>
      <c r="Q41" s="1024"/>
      <c r="R41" s="1029"/>
      <c r="S41" s="1030"/>
      <c r="T41" s="1030"/>
      <c r="U41" s="1030"/>
      <c r="V41" s="1030"/>
      <c r="W41" s="1030"/>
      <c r="X41" s="1030"/>
      <c r="Y41" s="1030"/>
      <c r="Z41" s="1030"/>
      <c r="AA41" s="1030"/>
      <c r="AB41" s="1030"/>
      <c r="AC41" s="1031"/>
      <c r="AD41" s="1029"/>
      <c r="AE41" s="1030"/>
      <c r="AF41" s="1030"/>
      <c r="AG41" s="1030"/>
      <c r="AH41" s="1030"/>
      <c r="AI41" s="1030"/>
      <c r="AJ41" s="1030"/>
      <c r="AK41" s="1030"/>
      <c r="AL41" s="1030"/>
      <c r="AM41" s="1030"/>
      <c r="AN41" s="1030"/>
      <c r="AO41" s="1031"/>
      <c r="AP41" s="1029"/>
      <c r="AQ41" s="1030"/>
      <c r="AR41" s="1030"/>
      <c r="AS41" s="1030"/>
      <c r="AT41" s="1030"/>
      <c r="AU41" s="1030"/>
      <c r="AV41" s="1030"/>
      <c r="AW41" s="1030"/>
      <c r="AX41" s="1030"/>
      <c r="AY41" s="1030"/>
      <c r="AZ41" s="1030"/>
      <c r="BA41" s="1031"/>
      <c r="BB41" s="1029"/>
      <c r="BC41" s="1030"/>
      <c r="BD41" s="1030"/>
      <c r="BE41" s="1030"/>
      <c r="BF41" s="1030"/>
      <c r="BG41" s="1030"/>
      <c r="BH41" s="1030"/>
      <c r="BI41" s="1030"/>
      <c r="BJ41" s="1030"/>
      <c r="BK41" s="1030"/>
      <c r="BL41" s="1030"/>
      <c r="BM41" s="1031"/>
      <c r="BN41" s="1029"/>
      <c r="BO41" s="1030"/>
      <c r="BP41" s="1030"/>
      <c r="BQ41" s="1030"/>
      <c r="BR41" s="1030"/>
      <c r="BS41" s="1030"/>
      <c r="BT41" s="1030"/>
      <c r="BU41" s="1030"/>
      <c r="BV41" s="1030"/>
      <c r="BW41" s="1030"/>
      <c r="BX41" s="1030"/>
      <c r="BY41" s="1031"/>
      <c r="BZ41" s="844"/>
    </row>
    <row r="42" spans="1:78" s="848" customFormat="1">
      <c r="A42" s="863"/>
      <c r="B42" s="862"/>
      <c r="C42" s="861"/>
      <c r="D42" s="856"/>
      <c r="E42" s="854"/>
      <c r="F42" s="994"/>
      <c r="G42" s="854"/>
      <c r="H42" s="854"/>
      <c r="I42" s="854"/>
      <c r="J42" s="854"/>
      <c r="K42" s="854"/>
      <c r="L42" s="854"/>
      <c r="M42" s="854"/>
      <c r="N42" s="861"/>
      <c r="O42" s="862"/>
      <c r="P42" s="861"/>
      <c r="Q42" s="850"/>
    </row>
    <row r="43" spans="1:78" s="848" customFormat="1">
      <c r="A43" s="863"/>
      <c r="B43" s="862"/>
      <c r="C43" s="861"/>
      <c r="D43" s="856"/>
      <c r="E43" s="854"/>
      <c r="F43" s="994"/>
      <c r="G43" s="854"/>
      <c r="H43" s="854"/>
      <c r="I43" s="854"/>
      <c r="J43" s="854"/>
      <c r="K43" s="854"/>
      <c r="L43" s="854"/>
      <c r="M43" s="854"/>
      <c r="N43" s="861"/>
      <c r="O43" s="862"/>
      <c r="P43" s="861"/>
      <c r="Q43" s="850"/>
    </row>
    <row r="44" spans="1:78" s="815" customFormat="1">
      <c r="A44" s="863"/>
      <c r="B44" s="862"/>
      <c r="C44" s="861"/>
      <c r="D44" s="341" t="s">
        <v>3103</v>
      </c>
      <c r="E44" s="176"/>
      <c r="F44" s="995"/>
      <c r="G44" s="810"/>
      <c r="H44" s="860"/>
      <c r="I44" s="176"/>
      <c r="J44" s="176"/>
      <c r="K44" s="176"/>
      <c r="L44" s="176"/>
      <c r="M44" s="176"/>
      <c r="N44" s="861"/>
      <c r="O44" s="862"/>
      <c r="P44" s="861"/>
      <c r="Q44" s="277"/>
      <c r="R44" s="838" t="s">
        <v>1090</v>
      </c>
      <c r="S44" s="839"/>
      <c r="T44" s="839"/>
      <c r="U44" s="839"/>
      <c r="V44" s="839"/>
      <c r="W44" s="839"/>
      <c r="X44" s="839"/>
      <c r="Y44" s="839"/>
      <c r="Z44" s="839"/>
      <c r="AA44" s="839"/>
      <c r="AB44" s="839"/>
      <c r="AC44" s="840"/>
      <c r="AD44" s="838" t="s">
        <v>1091</v>
      </c>
      <c r="AE44" s="839"/>
      <c r="AF44" s="839"/>
      <c r="AG44" s="839"/>
      <c r="AH44" s="839"/>
      <c r="AI44" s="839"/>
      <c r="AJ44" s="839"/>
      <c r="AK44" s="839"/>
      <c r="AL44" s="839"/>
      <c r="AM44" s="839"/>
      <c r="AN44" s="839"/>
      <c r="AO44" s="840"/>
      <c r="AP44" s="838" t="s">
        <v>2165</v>
      </c>
      <c r="AQ44" s="839"/>
      <c r="AR44" s="839"/>
      <c r="AS44" s="839"/>
      <c r="AT44" s="839"/>
      <c r="AU44" s="839"/>
      <c r="AV44" s="839"/>
      <c r="AW44" s="839"/>
      <c r="AX44" s="839"/>
      <c r="AY44" s="839"/>
      <c r="AZ44" s="839"/>
      <c r="BA44" s="840"/>
      <c r="BB44" s="838" t="s">
        <v>2166</v>
      </c>
      <c r="BC44" s="839"/>
      <c r="BD44" s="839"/>
      <c r="BE44" s="839"/>
      <c r="BF44" s="839"/>
      <c r="BG44" s="839"/>
      <c r="BH44" s="839"/>
      <c r="BI44" s="839"/>
      <c r="BJ44" s="839"/>
      <c r="BK44" s="839"/>
      <c r="BL44" s="839"/>
      <c r="BM44" s="840"/>
      <c r="BN44" s="838" t="s">
        <v>2167</v>
      </c>
      <c r="BO44" s="839"/>
      <c r="BP44" s="839"/>
      <c r="BQ44" s="839"/>
      <c r="BR44" s="839"/>
      <c r="BS44" s="839"/>
      <c r="BT44" s="839"/>
      <c r="BU44" s="839"/>
      <c r="BV44" s="839"/>
      <c r="BW44" s="839"/>
      <c r="BX44" s="839"/>
      <c r="BY44" s="840"/>
    </row>
    <row r="45" spans="1:78" s="819" customFormat="1" ht="27.95" customHeight="1" thickBot="1">
      <c r="A45" s="863"/>
      <c r="B45" s="862"/>
      <c r="C45" s="861"/>
      <c r="D45" s="794"/>
      <c r="E45" s="794"/>
      <c r="F45" s="996" t="s">
        <v>490</v>
      </c>
      <c r="G45" s="811" t="s">
        <v>491</v>
      </c>
      <c r="H45" s="1011"/>
      <c r="I45" s="816" t="str">
        <f>$I$7</f>
        <v>Year 1</v>
      </c>
      <c r="J45" s="816" t="str">
        <f>$J$7</f>
        <v>Year 2</v>
      </c>
      <c r="K45" s="816" t="str">
        <f>$K$7</f>
        <v>Year 3</v>
      </c>
      <c r="L45" s="816" t="str">
        <f>$L$7</f>
        <v>Year 4</v>
      </c>
      <c r="M45" s="816" t="str">
        <f>$M$7</f>
        <v>Year 5</v>
      </c>
      <c r="N45" s="861"/>
      <c r="O45" s="862"/>
      <c r="P45" s="1679"/>
      <c r="Q45" s="817">
        <v>0</v>
      </c>
      <c r="R45" s="841">
        <f>Q45+1</f>
        <v>1</v>
      </c>
      <c r="S45" s="842">
        <f t="shared" ref="S45:BX45" si="42">R45+1</f>
        <v>2</v>
      </c>
      <c r="T45" s="842">
        <f t="shared" si="42"/>
        <v>3</v>
      </c>
      <c r="U45" s="842">
        <f t="shared" si="42"/>
        <v>4</v>
      </c>
      <c r="V45" s="842">
        <f t="shared" si="42"/>
        <v>5</v>
      </c>
      <c r="W45" s="842">
        <f t="shared" si="42"/>
        <v>6</v>
      </c>
      <c r="X45" s="842">
        <f t="shared" si="42"/>
        <v>7</v>
      </c>
      <c r="Y45" s="842">
        <f t="shared" si="42"/>
        <v>8</v>
      </c>
      <c r="Z45" s="842">
        <f t="shared" si="42"/>
        <v>9</v>
      </c>
      <c r="AA45" s="842">
        <f t="shared" si="42"/>
        <v>10</v>
      </c>
      <c r="AB45" s="842">
        <f t="shared" si="42"/>
        <v>11</v>
      </c>
      <c r="AC45" s="843">
        <f t="shared" si="42"/>
        <v>12</v>
      </c>
      <c r="AD45" s="841">
        <f t="shared" si="42"/>
        <v>13</v>
      </c>
      <c r="AE45" s="842">
        <f t="shared" si="42"/>
        <v>14</v>
      </c>
      <c r="AF45" s="842">
        <f t="shared" si="42"/>
        <v>15</v>
      </c>
      <c r="AG45" s="842">
        <f t="shared" si="42"/>
        <v>16</v>
      </c>
      <c r="AH45" s="842">
        <f t="shared" si="42"/>
        <v>17</v>
      </c>
      <c r="AI45" s="842">
        <f t="shared" si="42"/>
        <v>18</v>
      </c>
      <c r="AJ45" s="842">
        <f t="shared" si="42"/>
        <v>19</v>
      </c>
      <c r="AK45" s="842">
        <f t="shared" si="42"/>
        <v>20</v>
      </c>
      <c r="AL45" s="842">
        <f t="shared" si="42"/>
        <v>21</v>
      </c>
      <c r="AM45" s="842">
        <f t="shared" si="42"/>
        <v>22</v>
      </c>
      <c r="AN45" s="842">
        <f t="shared" si="42"/>
        <v>23</v>
      </c>
      <c r="AO45" s="843">
        <f t="shared" si="42"/>
        <v>24</v>
      </c>
      <c r="AP45" s="841">
        <f t="shared" si="42"/>
        <v>25</v>
      </c>
      <c r="AQ45" s="842">
        <f t="shared" si="42"/>
        <v>26</v>
      </c>
      <c r="AR45" s="842">
        <f t="shared" si="42"/>
        <v>27</v>
      </c>
      <c r="AS45" s="842">
        <f t="shared" si="42"/>
        <v>28</v>
      </c>
      <c r="AT45" s="842">
        <f t="shared" si="42"/>
        <v>29</v>
      </c>
      <c r="AU45" s="842">
        <f t="shared" si="42"/>
        <v>30</v>
      </c>
      <c r="AV45" s="842">
        <f t="shared" si="42"/>
        <v>31</v>
      </c>
      <c r="AW45" s="842">
        <f t="shared" si="42"/>
        <v>32</v>
      </c>
      <c r="AX45" s="842">
        <f t="shared" si="42"/>
        <v>33</v>
      </c>
      <c r="AY45" s="842">
        <f t="shared" si="42"/>
        <v>34</v>
      </c>
      <c r="AZ45" s="842">
        <f t="shared" si="42"/>
        <v>35</v>
      </c>
      <c r="BA45" s="843">
        <f t="shared" si="42"/>
        <v>36</v>
      </c>
      <c r="BB45" s="841">
        <f t="shared" si="42"/>
        <v>37</v>
      </c>
      <c r="BC45" s="842">
        <f t="shared" si="42"/>
        <v>38</v>
      </c>
      <c r="BD45" s="842">
        <f t="shared" si="42"/>
        <v>39</v>
      </c>
      <c r="BE45" s="842">
        <f t="shared" si="42"/>
        <v>40</v>
      </c>
      <c r="BF45" s="842">
        <f t="shared" si="42"/>
        <v>41</v>
      </c>
      <c r="BG45" s="842">
        <f t="shared" si="42"/>
        <v>42</v>
      </c>
      <c r="BH45" s="842">
        <f t="shared" si="42"/>
        <v>43</v>
      </c>
      <c r="BI45" s="842">
        <f t="shared" si="42"/>
        <v>44</v>
      </c>
      <c r="BJ45" s="842">
        <f t="shared" si="42"/>
        <v>45</v>
      </c>
      <c r="BK45" s="842">
        <f t="shared" si="42"/>
        <v>46</v>
      </c>
      <c r="BL45" s="842">
        <f t="shared" si="42"/>
        <v>47</v>
      </c>
      <c r="BM45" s="843">
        <f t="shared" si="42"/>
        <v>48</v>
      </c>
      <c r="BN45" s="841">
        <f t="shared" si="42"/>
        <v>49</v>
      </c>
      <c r="BO45" s="842">
        <f t="shared" si="42"/>
        <v>50</v>
      </c>
      <c r="BP45" s="842">
        <f t="shared" si="42"/>
        <v>51</v>
      </c>
      <c r="BQ45" s="842">
        <f t="shared" si="42"/>
        <v>52</v>
      </c>
      <c r="BR45" s="842">
        <f t="shared" si="42"/>
        <v>53</v>
      </c>
      <c r="BS45" s="842">
        <f t="shared" si="42"/>
        <v>54</v>
      </c>
      <c r="BT45" s="842">
        <f t="shared" si="42"/>
        <v>55</v>
      </c>
      <c r="BU45" s="842">
        <f t="shared" si="42"/>
        <v>56</v>
      </c>
      <c r="BV45" s="842">
        <f t="shared" si="42"/>
        <v>57</v>
      </c>
      <c r="BW45" s="842">
        <f t="shared" si="42"/>
        <v>58</v>
      </c>
      <c r="BX45" s="842">
        <f t="shared" si="42"/>
        <v>59</v>
      </c>
      <c r="BY45" s="843">
        <f>BX45+1</f>
        <v>60</v>
      </c>
      <c r="BZ45" s="818" t="s">
        <v>1694</v>
      </c>
    </row>
    <row r="46" spans="1:78" s="823" customFormat="1">
      <c r="A46" s="863"/>
      <c r="B46" s="862"/>
      <c r="C46" s="861"/>
      <c r="D46" s="812"/>
      <c r="E46" s="820" t="str">
        <f>$E$20</f>
        <v>Government</v>
      </c>
      <c r="F46" s="997">
        <f>IF(Type="DeNovo", '1Tab_Input'!$C$52,G20)</f>
        <v>0</v>
      </c>
      <c r="G46" s="836">
        <f>G20-F46</f>
        <v>48</v>
      </c>
      <c r="H46" s="1016" t="s">
        <v>3665</v>
      </c>
      <c r="I46" s="1003">
        <v>0</v>
      </c>
      <c r="J46" s="1004">
        <v>0</v>
      </c>
      <c r="K46" s="1004">
        <v>0</v>
      </c>
      <c r="L46" s="1004">
        <v>0</v>
      </c>
      <c r="M46" s="1004">
        <v>0</v>
      </c>
      <c r="N46" s="861"/>
      <c r="O46" s="862"/>
      <c r="P46" s="861"/>
      <c r="Q46" s="1020"/>
      <c r="R46" s="1021"/>
      <c r="S46" s="1022"/>
      <c r="T46" s="1022"/>
      <c r="U46" s="1022"/>
      <c r="V46" s="1022"/>
      <c r="W46" s="1022"/>
      <c r="X46" s="1022"/>
      <c r="Y46" s="1022"/>
      <c r="Z46" s="1022"/>
      <c r="AA46" s="1022"/>
      <c r="AB46" s="1022"/>
      <c r="AC46" s="1023"/>
      <c r="AD46" s="1021"/>
      <c r="AE46" s="1022"/>
      <c r="AF46" s="1022"/>
      <c r="AG46" s="1022"/>
      <c r="AH46" s="1022"/>
      <c r="AI46" s="1022"/>
      <c r="AJ46" s="1022"/>
      <c r="AK46" s="1022"/>
      <c r="AL46" s="1022"/>
      <c r="AM46" s="1022"/>
      <c r="AN46" s="1022"/>
      <c r="AO46" s="1023"/>
      <c r="AP46" s="1021"/>
      <c r="AQ46" s="1022"/>
      <c r="AR46" s="1022"/>
      <c r="AS46" s="1022"/>
      <c r="AT46" s="1022"/>
      <c r="AU46" s="1022"/>
      <c r="AV46" s="1022"/>
      <c r="AW46" s="1022"/>
      <c r="AX46" s="1022"/>
      <c r="AY46" s="1022"/>
      <c r="AZ46" s="1022"/>
      <c r="BA46" s="1023"/>
      <c r="BB46" s="1021"/>
      <c r="BC46" s="1022"/>
      <c r="BD46" s="1022"/>
      <c r="BE46" s="1022"/>
      <c r="BF46" s="1022"/>
      <c r="BG46" s="1022"/>
      <c r="BH46" s="1022"/>
      <c r="BI46" s="1022"/>
      <c r="BJ46" s="1022"/>
      <c r="BK46" s="1022"/>
      <c r="BL46" s="1022"/>
      <c r="BM46" s="1023"/>
      <c r="BN46" s="1021"/>
      <c r="BO46" s="1022"/>
      <c r="BP46" s="1022"/>
      <c r="BQ46" s="1022"/>
      <c r="BR46" s="1022"/>
      <c r="BS46" s="1022"/>
      <c r="BT46" s="1022"/>
      <c r="BU46" s="1022"/>
      <c r="BV46" s="1022"/>
      <c r="BW46" s="1022"/>
      <c r="BX46" s="1022"/>
      <c r="BY46" s="1023"/>
      <c r="BZ46" s="844"/>
    </row>
    <row r="47" spans="1:78" s="819" customFormat="1">
      <c r="A47" s="863"/>
      <c r="B47" s="862"/>
      <c r="C47" s="861"/>
      <c r="D47" s="812" t="str">
        <f>$D$21</f>
        <v>ICHD</v>
      </c>
      <c r="E47" s="824"/>
      <c r="F47" s="2484"/>
      <c r="G47" s="825"/>
      <c r="H47" s="1017" t="s">
        <v>3932</v>
      </c>
      <c r="I47" s="1005">
        <f>I46+G46</f>
        <v>48</v>
      </c>
      <c r="J47" s="1006">
        <f>J46+I47</f>
        <v>48</v>
      </c>
      <c r="K47" s="1006">
        <f>K46+J47</f>
        <v>48</v>
      </c>
      <c r="L47" s="1006">
        <f>L46+K47</f>
        <v>48</v>
      </c>
      <c r="M47" s="1006">
        <f>M46+L47</f>
        <v>48</v>
      </c>
      <c r="N47" s="861"/>
      <c r="O47" s="862"/>
      <c r="P47" s="1734" t="s">
        <v>729</v>
      </c>
      <c r="Q47" s="1024">
        <f>G46</f>
        <v>48</v>
      </c>
      <c r="R47" s="2223">
        <f t="shared" ref="R47:AC47" si="43">MIN(Q47+$I46/12,$F$14-R49)</f>
        <v>48</v>
      </c>
      <c r="S47" s="2224">
        <f t="shared" si="43"/>
        <v>48</v>
      </c>
      <c r="T47" s="2224">
        <f t="shared" si="43"/>
        <v>48</v>
      </c>
      <c r="U47" s="2224">
        <f t="shared" si="43"/>
        <v>48</v>
      </c>
      <c r="V47" s="2224">
        <f t="shared" si="43"/>
        <v>48</v>
      </c>
      <c r="W47" s="2224">
        <f t="shared" si="43"/>
        <v>48</v>
      </c>
      <c r="X47" s="2224">
        <f t="shared" si="43"/>
        <v>48</v>
      </c>
      <c r="Y47" s="2224">
        <f t="shared" si="43"/>
        <v>48</v>
      </c>
      <c r="Z47" s="2224">
        <f t="shared" si="43"/>
        <v>48</v>
      </c>
      <c r="AA47" s="2224">
        <f t="shared" si="43"/>
        <v>48</v>
      </c>
      <c r="AB47" s="2224">
        <f t="shared" si="43"/>
        <v>48</v>
      </c>
      <c r="AC47" s="2225">
        <f t="shared" si="43"/>
        <v>48</v>
      </c>
      <c r="AD47" s="2223">
        <f t="shared" ref="AD47:AO47" si="44">MIN(AC47+$J46/12,$F$14-AD49)</f>
        <v>48</v>
      </c>
      <c r="AE47" s="2224">
        <f t="shared" si="44"/>
        <v>48</v>
      </c>
      <c r="AF47" s="2224">
        <f t="shared" si="44"/>
        <v>48</v>
      </c>
      <c r="AG47" s="2224">
        <f t="shared" si="44"/>
        <v>48</v>
      </c>
      <c r="AH47" s="2224">
        <f t="shared" si="44"/>
        <v>48</v>
      </c>
      <c r="AI47" s="2224">
        <f t="shared" si="44"/>
        <v>48</v>
      </c>
      <c r="AJ47" s="2224">
        <f t="shared" si="44"/>
        <v>48</v>
      </c>
      <c r="AK47" s="2224">
        <f t="shared" si="44"/>
        <v>48</v>
      </c>
      <c r="AL47" s="2224">
        <f t="shared" si="44"/>
        <v>48</v>
      </c>
      <c r="AM47" s="2224">
        <f t="shared" si="44"/>
        <v>48</v>
      </c>
      <c r="AN47" s="2224">
        <f t="shared" si="44"/>
        <v>48</v>
      </c>
      <c r="AO47" s="2225">
        <f t="shared" si="44"/>
        <v>48</v>
      </c>
      <c r="AP47" s="2223">
        <f t="shared" ref="AP47:BA47" si="45">MIN(AO47+$K46/12,$F$14-AP49)</f>
        <v>48</v>
      </c>
      <c r="AQ47" s="2224">
        <f t="shared" si="45"/>
        <v>48</v>
      </c>
      <c r="AR47" s="2224">
        <f t="shared" si="45"/>
        <v>48</v>
      </c>
      <c r="AS47" s="2224">
        <f t="shared" si="45"/>
        <v>48</v>
      </c>
      <c r="AT47" s="2224">
        <f t="shared" si="45"/>
        <v>48</v>
      </c>
      <c r="AU47" s="2224">
        <f t="shared" si="45"/>
        <v>48</v>
      </c>
      <c r="AV47" s="2224">
        <f t="shared" si="45"/>
        <v>48</v>
      </c>
      <c r="AW47" s="2224">
        <f t="shared" si="45"/>
        <v>48</v>
      </c>
      <c r="AX47" s="2224">
        <f t="shared" si="45"/>
        <v>48</v>
      </c>
      <c r="AY47" s="2224">
        <f t="shared" si="45"/>
        <v>48</v>
      </c>
      <c r="AZ47" s="2224">
        <f t="shared" si="45"/>
        <v>48</v>
      </c>
      <c r="BA47" s="2225">
        <f t="shared" si="45"/>
        <v>48</v>
      </c>
      <c r="BB47" s="2223">
        <f t="shared" ref="BB47:BM47" si="46">MIN(BA47+$L46/12,$F$14-BB49)</f>
        <v>48</v>
      </c>
      <c r="BC47" s="2224">
        <f t="shared" si="46"/>
        <v>48</v>
      </c>
      <c r="BD47" s="2224">
        <f t="shared" si="46"/>
        <v>48</v>
      </c>
      <c r="BE47" s="2224">
        <f t="shared" si="46"/>
        <v>48</v>
      </c>
      <c r="BF47" s="2224">
        <f t="shared" si="46"/>
        <v>48</v>
      </c>
      <c r="BG47" s="2224">
        <f t="shared" si="46"/>
        <v>48</v>
      </c>
      <c r="BH47" s="2224">
        <f t="shared" si="46"/>
        <v>48</v>
      </c>
      <c r="BI47" s="2224">
        <f t="shared" si="46"/>
        <v>48</v>
      </c>
      <c r="BJ47" s="2224">
        <f t="shared" si="46"/>
        <v>48</v>
      </c>
      <c r="BK47" s="2224">
        <f t="shared" si="46"/>
        <v>48</v>
      </c>
      <c r="BL47" s="2224">
        <f t="shared" si="46"/>
        <v>48</v>
      </c>
      <c r="BM47" s="2225">
        <f t="shared" si="46"/>
        <v>48</v>
      </c>
      <c r="BN47" s="2223">
        <f t="shared" ref="BN47:BY47" si="47">MIN(BM47+$M46/12,$F$14-BN49)</f>
        <v>48</v>
      </c>
      <c r="BO47" s="2224">
        <f t="shared" si="47"/>
        <v>48</v>
      </c>
      <c r="BP47" s="2224">
        <f t="shared" si="47"/>
        <v>48</v>
      </c>
      <c r="BQ47" s="2224">
        <f t="shared" si="47"/>
        <v>48</v>
      </c>
      <c r="BR47" s="2224">
        <f t="shared" si="47"/>
        <v>48</v>
      </c>
      <c r="BS47" s="2224">
        <f t="shared" si="47"/>
        <v>48</v>
      </c>
      <c r="BT47" s="2224">
        <f t="shared" si="47"/>
        <v>48</v>
      </c>
      <c r="BU47" s="2224">
        <f t="shared" si="47"/>
        <v>48</v>
      </c>
      <c r="BV47" s="2224">
        <f t="shared" si="47"/>
        <v>48</v>
      </c>
      <c r="BW47" s="2224">
        <f t="shared" si="47"/>
        <v>48</v>
      </c>
      <c r="BX47" s="2224">
        <f t="shared" si="47"/>
        <v>48</v>
      </c>
      <c r="BY47" s="2225">
        <f t="shared" si="47"/>
        <v>48</v>
      </c>
      <c r="BZ47" s="845">
        <f>ROUND(BY47-M47,1)</f>
        <v>0</v>
      </c>
    </row>
    <row r="48" spans="1:78" s="823" customFormat="1">
      <c r="A48" s="863"/>
      <c r="B48" s="862"/>
      <c r="C48" s="861"/>
      <c r="D48" s="812"/>
      <c r="E48" s="820" t="str">
        <f>$E$22</f>
        <v>Non-Government</v>
      </c>
      <c r="F48" s="997">
        <f>IF(Type="DeNovo",'1Tab_Input'!$C$53,G22)</f>
        <v>0</v>
      </c>
      <c r="G48" s="836">
        <f>G22-F48</f>
        <v>2</v>
      </c>
      <c r="H48" s="1016" t="s">
        <v>3665</v>
      </c>
      <c r="I48" s="1003">
        <v>0</v>
      </c>
      <c r="J48" s="1004">
        <v>0</v>
      </c>
      <c r="K48" s="1004">
        <v>0</v>
      </c>
      <c r="L48" s="1004">
        <v>0</v>
      </c>
      <c r="M48" s="1004">
        <v>0</v>
      </c>
      <c r="N48" s="861"/>
      <c r="O48" s="862"/>
      <c r="P48" s="861"/>
      <c r="Q48" s="1020"/>
      <c r="R48" s="2223"/>
      <c r="S48" s="2224"/>
      <c r="T48" s="2224"/>
      <c r="U48" s="2224"/>
      <c r="V48" s="2224"/>
      <c r="W48" s="2224"/>
      <c r="X48" s="2224"/>
      <c r="Y48" s="2224"/>
      <c r="Z48" s="2224"/>
      <c r="AA48" s="2224"/>
      <c r="AB48" s="2224"/>
      <c r="AC48" s="2225"/>
      <c r="AD48" s="2223"/>
      <c r="AE48" s="2224"/>
      <c r="AF48" s="2224"/>
      <c r="AG48" s="2224"/>
      <c r="AH48" s="2224"/>
      <c r="AI48" s="2224"/>
      <c r="AJ48" s="2224"/>
      <c r="AK48" s="2224"/>
      <c r="AL48" s="2224"/>
      <c r="AM48" s="2224"/>
      <c r="AN48" s="2224"/>
      <c r="AO48" s="2225"/>
      <c r="AP48" s="2223"/>
      <c r="AQ48" s="2224"/>
      <c r="AR48" s="2224"/>
      <c r="AS48" s="2224"/>
      <c r="AT48" s="2224"/>
      <c r="AU48" s="2224"/>
      <c r="AV48" s="2224"/>
      <c r="AW48" s="2224"/>
      <c r="AX48" s="2224"/>
      <c r="AY48" s="2224"/>
      <c r="AZ48" s="2224"/>
      <c r="BA48" s="2225"/>
      <c r="BB48" s="2223"/>
      <c r="BC48" s="2224"/>
      <c r="BD48" s="2224"/>
      <c r="BE48" s="2224"/>
      <c r="BF48" s="2224"/>
      <c r="BG48" s="2224"/>
      <c r="BH48" s="2224"/>
      <c r="BI48" s="2224"/>
      <c r="BJ48" s="2224"/>
      <c r="BK48" s="2224"/>
      <c r="BL48" s="2224"/>
      <c r="BM48" s="2225"/>
      <c r="BN48" s="2223"/>
      <c r="BO48" s="2224"/>
      <c r="BP48" s="2224"/>
      <c r="BQ48" s="2224"/>
      <c r="BR48" s="2224"/>
      <c r="BS48" s="2224"/>
      <c r="BT48" s="2224"/>
      <c r="BU48" s="2224"/>
      <c r="BV48" s="2224"/>
      <c r="BW48" s="2224"/>
      <c r="BX48" s="2224"/>
      <c r="BY48" s="2225"/>
      <c r="BZ48" s="844"/>
    </row>
    <row r="49" spans="1:78" s="819" customFormat="1">
      <c r="A49" s="863"/>
      <c r="B49" s="862"/>
      <c r="C49" s="861"/>
      <c r="D49" s="812"/>
      <c r="E49" s="824"/>
      <c r="F49" s="2705"/>
      <c r="G49" s="825"/>
      <c r="H49" s="1013" t="s">
        <v>3932</v>
      </c>
      <c r="I49" s="1005">
        <f>I48+G48</f>
        <v>2</v>
      </c>
      <c r="J49" s="1006">
        <f>J48+I49</f>
        <v>2</v>
      </c>
      <c r="K49" s="1006">
        <f>K48+J49</f>
        <v>2</v>
      </c>
      <c r="L49" s="1006">
        <f>L48+K49</f>
        <v>2</v>
      </c>
      <c r="M49" s="1006">
        <f>M48+L49</f>
        <v>2</v>
      </c>
      <c r="N49" s="861"/>
      <c r="O49" s="862"/>
      <c r="P49" s="861"/>
      <c r="Q49" s="1024">
        <f>G48</f>
        <v>2</v>
      </c>
      <c r="R49" s="2223">
        <f t="shared" ref="R49:AC49" si="48">MIN(Q49+$I48/12,$F$14)</f>
        <v>2</v>
      </c>
      <c r="S49" s="2224">
        <f t="shared" si="48"/>
        <v>2</v>
      </c>
      <c r="T49" s="2224">
        <f t="shared" si="48"/>
        <v>2</v>
      </c>
      <c r="U49" s="2224">
        <f t="shared" si="48"/>
        <v>2</v>
      </c>
      <c r="V49" s="2224">
        <f t="shared" si="48"/>
        <v>2</v>
      </c>
      <c r="W49" s="2224">
        <f t="shared" si="48"/>
        <v>2</v>
      </c>
      <c r="X49" s="2224">
        <f t="shared" si="48"/>
        <v>2</v>
      </c>
      <c r="Y49" s="2224">
        <f t="shared" si="48"/>
        <v>2</v>
      </c>
      <c r="Z49" s="2224">
        <f t="shared" si="48"/>
        <v>2</v>
      </c>
      <c r="AA49" s="2224">
        <f t="shared" si="48"/>
        <v>2</v>
      </c>
      <c r="AB49" s="2224">
        <f t="shared" si="48"/>
        <v>2</v>
      </c>
      <c r="AC49" s="2225">
        <f t="shared" si="48"/>
        <v>2</v>
      </c>
      <c r="AD49" s="2223">
        <f t="shared" ref="AD49:AO49" si="49">MIN(AC49+$J48/12,$F$14)</f>
        <v>2</v>
      </c>
      <c r="AE49" s="2224">
        <f t="shared" si="49"/>
        <v>2</v>
      </c>
      <c r="AF49" s="2224">
        <f t="shared" si="49"/>
        <v>2</v>
      </c>
      <c r="AG49" s="2224">
        <f t="shared" si="49"/>
        <v>2</v>
      </c>
      <c r="AH49" s="2224">
        <f t="shared" si="49"/>
        <v>2</v>
      </c>
      <c r="AI49" s="2224">
        <f t="shared" si="49"/>
        <v>2</v>
      </c>
      <c r="AJ49" s="2224">
        <f t="shared" si="49"/>
        <v>2</v>
      </c>
      <c r="AK49" s="2224">
        <f t="shared" si="49"/>
        <v>2</v>
      </c>
      <c r="AL49" s="2224">
        <f t="shared" si="49"/>
        <v>2</v>
      </c>
      <c r="AM49" s="2224">
        <f t="shared" si="49"/>
        <v>2</v>
      </c>
      <c r="AN49" s="2224">
        <f t="shared" si="49"/>
        <v>2</v>
      </c>
      <c r="AO49" s="2225">
        <f t="shared" si="49"/>
        <v>2</v>
      </c>
      <c r="AP49" s="2223">
        <f t="shared" ref="AP49:BA49" si="50">MIN(AO49+$K48/12,$F$14)</f>
        <v>2</v>
      </c>
      <c r="AQ49" s="2224">
        <f t="shared" si="50"/>
        <v>2</v>
      </c>
      <c r="AR49" s="2224">
        <f t="shared" si="50"/>
        <v>2</v>
      </c>
      <c r="AS49" s="2224">
        <f t="shared" si="50"/>
        <v>2</v>
      </c>
      <c r="AT49" s="2224">
        <f t="shared" si="50"/>
        <v>2</v>
      </c>
      <c r="AU49" s="2224">
        <f t="shared" si="50"/>
        <v>2</v>
      </c>
      <c r="AV49" s="2224">
        <f t="shared" si="50"/>
        <v>2</v>
      </c>
      <c r="AW49" s="2224">
        <f t="shared" si="50"/>
        <v>2</v>
      </c>
      <c r="AX49" s="2224">
        <f t="shared" si="50"/>
        <v>2</v>
      </c>
      <c r="AY49" s="2224">
        <f t="shared" si="50"/>
        <v>2</v>
      </c>
      <c r="AZ49" s="2224">
        <f t="shared" si="50"/>
        <v>2</v>
      </c>
      <c r="BA49" s="2225">
        <f t="shared" si="50"/>
        <v>2</v>
      </c>
      <c r="BB49" s="2223">
        <f t="shared" ref="BB49:BM49" si="51">MIN(BA49+$L48/12,$F$14)</f>
        <v>2</v>
      </c>
      <c r="BC49" s="2224">
        <f t="shared" si="51"/>
        <v>2</v>
      </c>
      <c r="BD49" s="2224">
        <f t="shared" si="51"/>
        <v>2</v>
      </c>
      <c r="BE49" s="2224">
        <f t="shared" si="51"/>
        <v>2</v>
      </c>
      <c r="BF49" s="2224">
        <f t="shared" si="51"/>
        <v>2</v>
      </c>
      <c r="BG49" s="2224">
        <f t="shared" si="51"/>
        <v>2</v>
      </c>
      <c r="BH49" s="2224">
        <f t="shared" si="51"/>
        <v>2</v>
      </c>
      <c r="BI49" s="2224">
        <f t="shared" si="51"/>
        <v>2</v>
      </c>
      <c r="BJ49" s="2224">
        <f t="shared" si="51"/>
        <v>2</v>
      </c>
      <c r="BK49" s="2224">
        <f t="shared" si="51"/>
        <v>2</v>
      </c>
      <c r="BL49" s="2224">
        <f t="shared" si="51"/>
        <v>2</v>
      </c>
      <c r="BM49" s="2225">
        <f t="shared" si="51"/>
        <v>2</v>
      </c>
      <c r="BN49" s="2223">
        <f t="shared" ref="BN49:BY49" si="52">MIN(BM49+$M48/12,$F$14)</f>
        <v>2</v>
      </c>
      <c r="BO49" s="2224">
        <f t="shared" si="52"/>
        <v>2</v>
      </c>
      <c r="BP49" s="2224">
        <f t="shared" si="52"/>
        <v>2</v>
      </c>
      <c r="BQ49" s="2224">
        <f t="shared" si="52"/>
        <v>2</v>
      </c>
      <c r="BR49" s="2224">
        <f t="shared" si="52"/>
        <v>2</v>
      </c>
      <c r="BS49" s="2224">
        <f t="shared" si="52"/>
        <v>2</v>
      </c>
      <c r="BT49" s="2224">
        <f t="shared" si="52"/>
        <v>2</v>
      </c>
      <c r="BU49" s="2224">
        <f t="shared" si="52"/>
        <v>2</v>
      </c>
      <c r="BV49" s="2224">
        <f t="shared" si="52"/>
        <v>2</v>
      </c>
      <c r="BW49" s="2224">
        <f t="shared" si="52"/>
        <v>2</v>
      </c>
      <c r="BX49" s="2224">
        <f t="shared" si="52"/>
        <v>2</v>
      </c>
      <c r="BY49" s="2225">
        <f t="shared" si="52"/>
        <v>2</v>
      </c>
      <c r="BZ49" s="845">
        <f>ROUND(BY49-M49,1)</f>
        <v>0</v>
      </c>
    </row>
    <row r="50" spans="1:78" s="819" customFormat="1">
      <c r="A50" s="863"/>
      <c r="B50" s="862"/>
      <c r="C50" s="861"/>
      <c r="D50" s="812"/>
      <c r="E50" s="2718" t="s">
        <v>4101</v>
      </c>
      <c r="F50" s="2706"/>
      <c r="G50" s="826">
        <f>IF(SUM(G46,G48)=0,0,G48/SUM(G46,G48))</f>
        <v>0.04</v>
      </c>
      <c r="H50" s="1014"/>
      <c r="I50" s="827">
        <f>IF(SUM(I47,I49)=0,0,I49/SUM(I47,I49))</f>
        <v>0.04</v>
      </c>
      <c r="J50" s="828">
        <f>IF(SUM(J47,J49)=0,0,J49/SUM(J47,J49))</f>
        <v>0.04</v>
      </c>
      <c r="K50" s="828">
        <f>IF(SUM(K47,K49)=0,0,K49/SUM(K47,K49))</f>
        <v>0.04</v>
      </c>
      <c r="L50" s="828">
        <f>IF(SUM(L47,L49)=0,0,L49/SUM(L47,L49))</f>
        <v>0.04</v>
      </c>
      <c r="M50" s="828">
        <f>IF(SUM(M47,M49)=0,0,M49/SUM(M47,M49))</f>
        <v>0.04</v>
      </c>
      <c r="N50" s="861"/>
      <c r="O50" s="862"/>
      <c r="P50" s="861"/>
      <c r="Q50" s="1024"/>
      <c r="R50" s="1025"/>
      <c r="S50" s="1024"/>
      <c r="T50" s="1024"/>
      <c r="U50" s="1024"/>
      <c r="V50" s="1024"/>
      <c r="W50" s="1024"/>
      <c r="X50" s="1024"/>
      <c r="Y50" s="1024"/>
      <c r="Z50" s="1024"/>
      <c r="AA50" s="1024"/>
      <c r="AB50" s="1024"/>
      <c r="AC50" s="1026"/>
      <c r="AD50" s="1025"/>
      <c r="AE50" s="1024"/>
      <c r="AF50" s="1024"/>
      <c r="AG50" s="1024"/>
      <c r="AH50" s="1024"/>
      <c r="AI50" s="1024"/>
      <c r="AJ50" s="1024"/>
      <c r="AK50" s="1024"/>
      <c r="AL50" s="1024"/>
      <c r="AM50" s="1024"/>
      <c r="AN50" s="1024"/>
      <c r="AO50" s="1026"/>
      <c r="AP50" s="1025"/>
      <c r="AQ50" s="1024"/>
      <c r="AR50" s="1024"/>
      <c r="AS50" s="1024"/>
      <c r="AT50" s="1024"/>
      <c r="AU50" s="1024"/>
      <c r="AV50" s="1024"/>
      <c r="AW50" s="1024"/>
      <c r="AX50" s="1024"/>
      <c r="AY50" s="1024"/>
      <c r="AZ50" s="1024"/>
      <c r="BA50" s="1026"/>
      <c r="BB50" s="1025"/>
      <c r="BC50" s="1024"/>
      <c r="BD50" s="1024"/>
      <c r="BE50" s="1024"/>
      <c r="BF50" s="1024"/>
      <c r="BG50" s="1024"/>
      <c r="BH50" s="1024"/>
      <c r="BI50" s="1024"/>
      <c r="BJ50" s="1024"/>
      <c r="BK50" s="1024"/>
      <c r="BL50" s="1024"/>
      <c r="BM50" s="1026"/>
      <c r="BN50" s="1025"/>
      <c r="BO50" s="1024"/>
      <c r="BP50" s="1024"/>
      <c r="BQ50" s="1024"/>
      <c r="BR50" s="1024"/>
      <c r="BS50" s="1024"/>
      <c r="BT50" s="1024"/>
      <c r="BU50" s="1024"/>
      <c r="BV50" s="1024"/>
      <c r="BW50" s="1024"/>
      <c r="BX50" s="1024"/>
      <c r="BY50" s="1026"/>
      <c r="BZ50" s="844"/>
    </row>
    <row r="51" spans="1:78" s="819" customFormat="1" ht="13.5" thickBot="1">
      <c r="A51" s="863"/>
      <c r="B51" s="862"/>
      <c r="C51" s="861"/>
      <c r="D51" s="812"/>
      <c r="E51" s="829" t="s">
        <v>1551</v>
      </c>
      <c r="F51" s="2707"/>
      <c r="G51" s="830">
        <f>IF(G46+G48=0,"NA",(G46+G48)/($F$8*$F$10+$F$8*$F$11))</f>
        <v>0.55555555555555558</v>
      </c>
      <c r="H51" s="1015"/>
      <c r="I51" s="831">
        <f>IF(I47+I49=0,"NA",(I47+I49)/($F$8*$F$10+$F$8*$F$11))</f>
        <v>0.55555555555555558</v>
      </c>
      <c r="J51" s="832">
        <f>IF(J47+J49=0,"NA",(J47+J49)/($F$8*$F$10+$F$8*$F$11))</f>
        <v>0.55555555555555558</v>
      </c>
      <c r="K51" s="832">
        <f>IF(K47+K49=0,"NA",(K47+K49)/($F$8*$F$10+$F$8*$F$11))</f>
        <v>0.55555555555555558</v>
      </c>
      <c r="L51" s="832">
        <f>IF(L47+L49=0,"NA",(L47+L49)/($F$8*$F$10+$F$8*$F$11))</f>
        <v>0.55555555555555558</v>
      </c>
      <c r="M51" s="832">
        <f>IF(M47+M49=0,"NA",(M47+M49)/($F$8*$F$10+$F$8*$F$11))</f>
        <v>0.55555555555555558</v>
      </c>
      <c r="N51" s="861"/>
      <c r="O51" s="862"/>
      <c r="P51" s="861"/>
      <c r="Q51" s="1024"/>
      <c r="R51" s="1025"/>
      <c r="S51" s="1024"/>
      <c r="T51" s="1024"/>
      <c r="U51" s="1024"/>
      <c r="V51" s="1024"/>
      <c r="W51" s="1024"/>
      <c r="X51" s="1024"/>
      <c r="Y51" s="1024"/>
      <c r="Z51" s="1024"/>
      <c r="AA51" s="1024"/>
      <c r="AB51" s="1024"/>
      <c r="AC51" s="1026"/>
      <c r="AD51" s="1025"/>
      <c r="AE51" s="1024"/>
      <c r="AF51" s="1024"/>
      <c r="AG51" s="1024"/>
      <c r="AH51" s="1024"/>
      <c r="AI51" s="1024"/>
      <c r="AJ51" s="1024"/>
      <c r="AK51" s="1024"/>
      <c r="AL51" s="1024"/>
      <c r="AM51" s="1024"/>
      <c r="AN51" s="1024"/>
      <c r="AO51" s="1026"/>
      <c r="AP51" s="1025"/>
      <c r="AQ51" s="1024"/>
      <c r="AR51" s="1024"/>
      <c r="AS51" s="1024"/>
      <c r="AT51" s="1024"/>
      <c r="AU51" s="1024"/>
      <c r="AV51" s="1024"/>
      <c r="AW51" s="1024"/>
      <c r="AX51" s="1024"/>
      <c r="AY51" s="1024"/>
      <c r="AZ51" s="1024"/>
      <c r="BA51" s="1026"/>
      <c r="BB51" s="1025"/>
      <c r="BC51" s="1024"/>
      <c r="BD51" s="1024"/>
      <c r="BE51" s="1024"/>
      <c r="BF51" s="1024"/>
      <c r="BG51" s="1024"/>
      <c r="BH51" s="1024"/>
      <c r="BI51" s="1024"/>
      <c r="BJ51" s="1024"/>
      <c r="BK51" s="1024"/>
      <c r="BL51" s="1024"/>
      <c r="BM51" s="1026"/>
      <c r="BN51" s="1025"/>
      <c r="BO51" s="1024"/>
      <c r="BP51" s="1024"/>
      <c r="BQ51" s="1024"/>
      <c r="BR51" s="1024"/>
      <c r="BS51" s="1024"/>
      <c r="BT51" s="1024"/>
      <c r="BU51" s="1024"/>
      <c r="BV51" s="1024"/>
      <c r="BW51" s="1024"/>
      <c r="BX51" s="1024"/>
      <c r="BY51" s="1026"/>
      <c r="BZ51" s="845"/>
    </row>
    <row r="52" spans="1:78" s="823" customFormat="1">
      <c r="A52" s="863"/>
      <c r="B52" s="862"/>
      <c r="C52" s="861"/>
      <c r="D52" s="812"/>
      <c r="E52" s="820" t="str">
        <f>$E$20</f>
        <v>Government</v>
      </c>
      <c r="F52" s="997">
        <f>IF(Type="DeNovo",'1Tab_Input'!$C$54,G26)</f>
        <v>0</v>
      </c>
      <c r="G52" s="836">
        <f>G26-F52</f>
        <v>14</v>
      </c>
      <c r="H52" s="1016" t="s">
        <v>3665</v>
      </c>
      <c r="I52" s="1003">
        <v>0</v>
      </c>
      <c r="J52" s="1004">
        <v>0</v>
      </c>
      <c r="K52" s="1004">
        <v>0</v>
      </c>
      <c r="L52" s="1004">
        <v>0</v>
      </c>
      <c r="M52" s="1004">
        <v>0</v>
      </c>
      <c r="N52" s="861"/>
      <c r="O52" s="862"/>
      <c r="P52" s="861"/>
      <c r="Q52" s="1020"/>
      <c r="R52" s="1027"/>
      <c r="S52" s="1020"/>
      <c r="T52" s="1020"/>
      <c r="U52" s="1020"/>
      <c r="V52" s="1020"/>
      <c r="W52" s="1020"/>
      <c r="X52" s="1020"/>
      <c r="Y52" s="1020"/>
      <c r="Z52" s="1020"/>
      <c r="AA52" s="1020"/>
      <c r="AB52" s="1020"/>
      <c r="AC52" s="1028"/>
      <c r="AD52" s="1027"/>
      <c r="AE52" s="1020"/>
      <c r="AF52" s="1020"/>
      <c r="AG52" s="1020"/>
      <c r="AH52" s="1020"/>
      <c r="AI52" s="1020"/>
      <c r="AJ52" s="1020"/>
      <c r="AK52" s="1020"/>
      <c r="AL52" s="1020"/>
      <c r="AM52" s="1020"/>
      <c r="AN52" s="1020"/>
      <c r="AO52" s="1028"/>
      <c r="AP52" s="1027"/>
      <c r="AQ52" s="1020"/>
      <c r="AR52" s="1020"/>
      <c r="AS52" s="1020"/>
      <c r="AT52" s="1020"/>
      <c r="AU52" s="1020"/>
      <c r="AV52" s="1020"/>
      <c r="AW52" s="1020"/>
      <c r="AX52" s="1020"/>
      <c r="AY52" s="1020"/>
      <c r="AZ52" s="1020"/>
      <c r="BA52" s="1028"/>
      <c r="BB52" s="1027"/>
      <c r="BC52" s="1020"/>
      <c r="BD52" s="1020"/>
      <c r="BE52" s="1020"/>
      <c r="BF52" s="1020"/>
      <c r="BG52" s="1020"/>
      <c r="BH52" s="1020"/>
      <c r="BI52" s="1020"/>
      <c r="BJ52" s="1020"/>
      <c r="BK52" s="1020"/>
      <c r="BL52" s="1020"/>
      <c r="BM52" s="1028"/>
      <c r="BN52" s="1027"/>
      <c r="BO52" s="1020"/>
      <c r="BP52" s="1020"/>
      <c r="BQ52" s="1020"/>
      <c r="BR52" s="1020"/>
      <c r="BS52" s="1020"/>
      <c r="BT52" s="1020"/>
      <c r="BU52" s="1020"/>
      <c r="BV52" s="1020"/>
      <c r="BW52" s="1020"/>
      <c r="BX52" s="1020"/>
      <c r="BY52" s="1028"/>
      <c r="BZ52" s="844"/>
    </row>
    <row r="53" spans="1:78" s="819" customFormat="1">
      <c r="A53" s="863"/>
      <c r="B53" s="862"/>
      <c r="C53" s="861"/>
      <c r="D53" s="812" t="str">
        <f>$D$27</f>
        <v>PD</v>
      </c>
      <c r="E53" s="824"/>
      <c r="F53" s="2484"/>
      <c r="G53" s="825"/>
      <c r="H53" s="1017" t="s">
        <v>3932</v>
      </c>
      <c r="I53" s="1005">
        <f>I52+G52</f>
        <v>14</v>
      </c>
      <c r="J53" s="1006">
        <f>J52+I53</f>
        <v>14</v>
      </c>
      <c r="K53" s="1006">
        <f>K52+J53</f>
        <v>14</v>
      </c>
      <c r="L53" s="1006">
        <f>L52+K53</f>
        <v>14</v>
      </c>
      <c r="M53" s="1006">
        <f>M52+L53</f>
        <v>14</v>
      </c>
      <c r="N53" s="861"/>
      <c r="O53" s="862"/>
      <c r="P53" s="861"/>
      <c r="Q53" s="1024">
        <f>G52</f>
        <v>14</v>
      </c>
      <c r="R53" s="1025">
        <f t="shared" ref="R53:AC53" si="53">Q53+$I52/12</f>
        <v>14</v>
      </c>
      <c r="S53" s="1024">
        <f t="shared" si="53"/>
        <v>14</v>
      </c>
      <c r="T53" s="1024">
        <f t="shared" si="53"/>
        <v>14</v>
      </c>
      <c r="U53" s="1024">
        <f t="shared" si="53"/>
        <v>14</v>
      </c>
      <c r="V53" s="1024">
        <f t="shared" si="53"/>
        <v>14</v>
      </c>
      <c r="W53" s="1024">
        <f t="shared" si="53"/>
        <v>14</v>
      </c>
      <c r="X53" s="1024">
        <f t="shared" si="53"/>
        <v>14</v>
      </c>
      <c r="Y53" s="1024">
        <f t="shared" si="53"/>
        <v>14</v>
      </c>
      <c r="Z53" s="1024">
        <f t="shared" si="53"/>
        <v>14</v>
      </c>
      <c r="AA53" s="1024">
        <f t="shared" si="53"/>
        <v>14</v>
      </c>
      <c r="AB53" s="1024">
        <f t="shared" si="53"/>
        <v>14</v>
      </c>
      <c r="AC53" s="1026">
        <f t="shared" si="53"/>
        <v>14</v>
      </c>
      <c r="AD53" s="1025">
        <f t="shared" ref="AD53:AO53" si="54">AC53+$J52/12</f>
        <v>14</v>
      </c>
      <c r="AE53" s="1024">
        <f t="shared" si="54"/>
        <v>14</v>
      </c>
      <c r="AF53" s="1024">
        <f t="shared" si="54"/>
        <v>14</v>
      </c>
      <c r="AG53" s="1024">
        <f t="shared" si="54"/>
        <v>14</v>
      </c>
      <c r="AH53" s="1024">
        <f t="shared" si="54"/>
        <v>14</v>
      </c>
      <c r="AI53" s="1024">
        <f t="shared" si="54"/>
        <v>14</v>
      </c>
      <c r="AJ53" s="1024">
        <f t="shared" si="54"/>
        <v>14</v>
      </c>
      <c r="AK53" s="1024">
        <f t="shared" si="54"/>
        <v>14</v>
      </c>
      <c r="AL53" s="1024">
        <f t="shared" si="54"/>
        <v>14</v>
      </c>
      <c r="AM53" s="1024">
        <f t="shared" si="54"/>
        <v>14</v>
      </c>
      <c r="AN53" s="1024">
        <f t="shared" si="54"/>
        <v>14</v>
      </c>
      <c r="AO53" s="1026">
        <f t="shared" si="54"/>
        <v>14</v>
      </c>
      <c r="AP53" s="1025">
        <f t="shared" ref="AP53:BA53" si="55">AO53+$K52/12</f>
        <v>14</v>
      </c>
      <c r="AQ53" s="1024">
        <f t="shared" si="55"/>
        <v>14</v>
      </c>
      <c r="AR53" s="1024">
        <f t="shared" si="55"/>
        <v>14</v>
      </c>
      <c r="AS53" s="1024">
        <f t="shared" si="55"/>
        <v>14</v>
      </c>
      <c r="AT53" s="1024">
        <f t="shared" si="55"/>
        <v>14</v>
      </c>
      <c r="AU53" s="1024">
        <f t="shared" si="55"/>
        <v>14</v>
      </c>
      <c r="AV53" s="1024">
        <f t="shared" si="55"/>
        <v>14</v>
      </c>
      <c r="AW53" s="1024">
        <f t="shared" si="55"/>
        <v>14</v>
      </c>
      <c r="AX53" s="1024">
        <f t="shared" si="55"/>
        <v>14</v>
      </c>
      <c r="AY53" s="1024">
        <f t="shared" si="55"/>
        <v>14</v>
      </c>
      <c r="AZ53" s="1024">
        <f t="shared" si="55"/>
        <v>14</v>
      </c>
      <c r="BA53" s="1026">
        <f t="shared" si="55"/>
        <v>14</v>
      </c>
      <c r="BB53" s="1025">
        <f t="shared" ref="BB53:BM53" si="56">BA53+$L52/12</f>
        <v>14</v>
      </c>
      <c r="BC53" s="1024">
        <f t="shared" si="56"/>
        <v>14</v>
      </c>
      <c r="BD53" s="1024">
        <f t="shared" si="56"/>
        <v>14</v>
      </c>
      <c r="BE53" s="1024">
        <f t="shared" si="56"/>
        <v>14</v>
      </c>
      <c r="BF53" s="1024">
        <f t="shared" si="56"/>
        <v>14</v>
      </c>
      <c r="BG53" s="1024">
        <f t="shared" si="56"/>
        <v>14</v>
      </c>
      <c r="BH53" s="1024">
        <f t="shared" si="56"/>
        <v>14</v>
      </c>
      <c r="BI53" s="1024">
        <f t="shared" si="56"/>
        <v>14</v>
      </c>
      <c r="BJ53" s="1024">
        <f t="shared" si="56"/>
        <v>14</v>
      </c>
      <c r="BK53" s="1024">
        <f t="shared" si="56"/>
        <v>14</v>
      </c>
      <c r="BL53" s="1024">
        <f t="shared" si="56"/>
        <v>14</v>
      </c>
      <c r="BM53" s="1026">
        <f t="shared" si="56"/>
        <v>14</v>
      </c>
      <c r="BN53" s="1025">
        <f t="shared" ref="BN53:BY53" si="57">BM53+$M52/12</f>
        <v>14</v>
      </c>
      <c r="BO53" s="1024">
        <f t="shared" si="57"/>
        <v>14</v>
      </c>
      <c r="BP53" s="1024">
        <f t="shared" si="57"/>
        <v>14</v>
      </c>
      <c r="BQ53" s="1024">
        <f t="shared" si="57"/>
        <v>14</v>
      </c>
      <c r="BR53" s="1024">
        <f t="shared" si="57"/>
        <v>14</v>
      </c>
      <c r="BS53" s="1024">
        <f t="shared" si="57"/>
        <v>14</v>
      </c>
      <c r="BT53" s="1024">
        <f t="shared" si="57"/>
        <v>14</v>
      </c>
      <c r="BU53" s="1024">
        <f t="shared" si="57"/>
        <v>14</v>
      </c>
      <c r="BV53" s="1024">
        <f t="shared" si="57"/>
        <v>14</v>
      </c>
      <c r="BW53" s="1024">
        <f t="shared" si="57"/>
        <v>14</v>
      </c>
      <c r="BX53" s="1024">
        <f t="shared" si="57"/>
        <v>14</v>
      </c>
      <c r="BY53" s="1026">
        <f t="shared" si="57"/>
        <v>14</v>
      </c>
      <c r="BZ53" s="845">
        <f>ROUND(BY53-M53,1)</f>
        <v>0</v>
      </c>
    </row>
    <row r="54" spans="1:78" s="823" customFormat="1">
      <c r="A54" s="863"/>
      <c r="B54" s="862"/>
      <c r="C54" s="861"/>
      <c r="D54" s="812"/>
      <c r="E54" s="820" t="str">
        <f>$E$22</f>
        <v>Non-Government</v>
      </c>
      <c r="F54" s="997">
        <f>IF(Type="DeNovo",'1Tab_Input'!$C$55,G28)</f>
        <v>0</v>
      </c>
      <c r="G54" s="836">
        <f>G28-F54</f>
        <v>6</v>
      </c>
      <c r="H54" s="1016" t="s">
        <v>3665</v>
      </c>
      <c r="I54" s="1003">
        <v>0</v>
      </c>
      <c r="J54" s="1004">
        <v>0</v>
      </c>
      <c r="K54" s="1004">
        <v>0</v>
      </c>
      <c r="L54" s="1004">
        <v>0</v>
      </c>
      <c r="M54" s="1004">
        <v>0</v>
      </c>
      <c r="N54" s="861"/>
      <c r="O54" s="862"/>
      <c r="P54" s="861"/>
      <c r="Q54" s="1020"/>
      <c r="R54" s="1027"/>
      <c r="S54" s="1020"/>
      <c r="T54" s="1020"/>
      <c r="U54" s="1020"/>
      <c r="V54" s="1020"/>
      <c r="W54" s="1020"/>
      <c r="X54" s="1020"/>
      <c r="Y54" s="1020"/>
      <c r="Z54" s="1020"/>
      <c r="AA54" s="1020"/>
      <c r="AB54" s="1020"/>
      <c r="AC54" s="1028"/>
      <c r="AD54" s="1027"/>
      <c r="AE54" s="1020"/>
      <c r="AF54" s="1020"/>
      <c r="AG54" s="1020"/>
      <c r="AH54" s="1020"/>
      <c r="AI54" s="1020"/>
      <c r="AJ54" s="1020"/>
      <c r="AK54" s="1020"/>
      <c r="AL54" s="1020"/>
      <c r="AM54" s="1020"/>
      <c r="AN54" s="1020"/>
      <c r="AO54" s="1028"/>
      <c r="AP54" s="1027"/>
      <c r="AQ54" s="1020"/>
      <c r="AR54" s="1020"/>
      <c r="AS54" s="1020"/>
      <c r="AT54" s="1020"/>
      <c r="AU54" s="1020"/>
      <c r="AV54" s="1020"/>
      <c r="AW54" s="1020"/>
      <c r="AX54" s="1020"/>
      <c r="AY54" s="1020"/>
      <c r="AZ54" s="1020"/>
      <c r="BA54" s="1028"/>
      <c r="BB54" s="1027"/>
      <c r="BC54" s="1020"/>
      <c r="BD54" s="1020"/>
      <c r="BE54" s="1020"/>
      <c r="BF54" s="1020"/>
      <c r="BG54" s="1020"/>
      <c r="BH54" s="1020"/>
      <c r="BI54" s="1020"/>
      <c r="BJ54" s="1020"/>
      <c r="BK54" s="1020"/>
      <c r="BL54" s="1020"/>
      <c r="BM54" s="1028"/>
      <c r="BN54" s="1027"/>
      <c r="BO54" s="1020"/>
      <c r="BP54" s="1020"/>
      <c r="BQ54" s="1020"/>
      <c r="BR54" s="1020"/>
      <c r="BS54" s="1020"/>
      <c r="BT54" s="1020"/>
      <c r="BU54" s="1020"/>
      <c r="BV54" s="1020"/>
      <c r="BW54" s="1020"/>
      <c r="BX54" s="1020"/>
      <c r="BY54" s="1028"/>
      <c r="BZ54" s="844"/>
    </row>
    <row r="55" spans="1:78" s="819" customFormat="1">
      <c r="A55" s="863"/>
      <c r="B55" s="862"/>
      <c r="C55" s="861"/>
      <c r="D55" s="812"/>
      <c r="E55" s="824"/>
      <c r="F55" s="2705"/>
      <c r="G55" s="825"/>
      <c r="H55" s="1013" t="s">
        <v>3932</v>
      </c>
      <c r="I55" s="1005">
        <f>I54+G54</f>
        <v>6</v>
      </c>
      <c r="J55" s="1006">
        <f>J54+I55</f>
        <v>6</v>
      </c>
      <c r="K55" s="1006">
        <f>K54+J55</f>
        <v>6</v>
      </c>
      <c r="L55" s="1006">
        <f>L54+K55</f>
        <v>6</v>
      </c>
      <c r="M55" s="1006">
        <f>M54+L55</f>
        <v>6</v>
      </c>
      <c r="N55" s="861"/>
      <c r="O55" s="862"/>
      <c r="P55" s="861"/>
      <c r="Q55" s="1024">
        <f>G54</f>
        <v>6</v>
      </c>
      <c r="R55" s="1025">
        <f t="shared" ref="R55:AC55" si="58">Q55+$I54/12</f>
        <v>6</v>
      </c>
      <c r="S55" s="1024">
        <f t="shared" si="58"/>
        <v>6</v>
      </c>
      <c r="T55" s="1024">
        <f t="shared" si="58"/>
        <v>6</v>
      </c>
      <c r="U55" s="1024">
        <f t="shared" si="58"/>
        <v>6</v>
      </c>
      <c r="V55" s="1024">
        <f t="shared" si="58"/>
        <v>6</v>
      </c>
      <c r="W55" s="1024">
        <f t="shared" si="58"/>
        <v>6</v>
      </c>
      <c r="X55" s="1024">
        <f t="shared" si="58"/>
        <v>6</v>
      </c>
      <c r="Y55" s="1024">
        <f t="shared" si="58"/>
        <v>6</v>
      </c>
      <c r="Z55" s="1024">
        <f t="shared" si="58"/>
        <v>6</v>
      </c>
      <c r="AA55" s="1024">
        <f t="shared" si="58"/>
        <v>6</v>
      </c>
      <c r="AB55" s="1024">
        <f t="shared" si="58"/>
        <v>6</v>
      </c>
      <c r="AC55" s="1026">
        <f t="shared" si="58"/>
        <v>6</v>
      </c>
      <c r="AD55" s="1025">
        <f t="shared" ref="AD55:AO55" si="59">AC55+$J54/12</f>
        <v>6</v>
      </c>
      <c r="AE55" s="1024">
        <f t="shared" si="59"/>
        <v>6</v>
      </c>
      <c r="AF55" s="1024">
        <f t="shared" si="59"/>
        <v>6</v>
      </c>
      <c r="AG55" s="1024">
        <f t="shared" si="59"/>
        <v>6</v>
      </c>
      <c r="AH55" s="1024">
        <f t="shared" si="59"/>
        <v>6</v>
      </c>
      <c r="AI55" s="1024">
        <f t="shared" si="59"/>
        <v>6</v>
      </c>
      <c r="AJ55" s="1024">
        <f t="shared" si="59"/>
        <v>6</v>
      </c>
      <c r="AK55" s="1024">
        <f t="shared" si="59"/>
        <v>6</v>
      </c>
      <c r="AL55" s="1024">
        <f t="shared" si="59"/>
        <v>6</v>
      </c>
      <c r="AM55" s="1024">
        <f t="shared" si="59"/>
        <v>6</v>
      </c>
      <c r="AN55" s="1024">
        <f t="shared" si="59"/>
        <v>6</v>
      </c>
      <c r="AO55" s="1026">
        <f t="shared" si="59"/>
        <v>6</v>
      </c>
      <c r="AP55" s="1025">
        <f t="shared" ref="AP55:BA55" si="60">AO55+$K54/12</f>
        <v>6</v>
      </c>
      <c r="AQ55" s="1024">
        <f t="shared" si="60"/>
        <v>6</v>
      </c>
      <c r="AR55" s="1024">
        <f t="shared" si="60"/>
        <v>6</v>
      </c>
      <c r="AS55" s="1024">
        <f t="shared" si="60"/>
        <v>6</v>
      </c>
      <c r="AT55" s="1024">
        <f t="shared" si="60"/>
        <v>6</v>
      </c>
      <c r="AU55" s="1024">
        <f t="shared" si="60"/>
        <v>6</v>
      </c>
      <c r="AV55" s="1024">
        <f t="shared" si="60"/>
        <v>6</v>
      </c>
      <c r="AW55" s="1024">
        <f t="shared" si="60"/>
        <v>6</v>
      </c>
      <c r="AX55" s="1024">
        <f t="shared" si="60"/>
        <v>6</v>
      </c>
      <c r="AY55" s="1024">
        <f t="shared" si="60"/>
        <v>6</v>
      </c>
      <c r="AZ55" s="1024">
        <f t="shared" si="60"/>
        <v>6</v>
      </c>
      <c r="BA55" s="1026">
        <f t="shared" si="60"/>
        <v>6</v>
      </c>
      <c r="BB55" s="1025">
        <f t="shared" ref="BB55:BM55" si="61">BA55+$L54/12</f>
        <v>6</v>
      </c>
      <c r="BC55" s="1024">
        <f t="shared" si="61"/>
        <v>6</v>
      </c>
      <c r="BD55" s="1024">
        <f t="shared" si="61"/>
        <v>6</v>
      </c>
      <c r="BE55" s="1024">
        <f t="shared" si="61"/>
        <v>6</v>
      </c>
      <c r="BF55" s="1024">
        <f t="shared" si="61"/>
        <v>6</v>
      </c>
      <c r="BG55" s="1024">
        <f t="shared" si="61"/>
        <v>6</v>
      </c>
      <c r="BH55" s="1024">
        <f t="shared" si="61"/>
        <v>6</v>
      </c>
      <c r="BI55" s="1024">
        <f t="shared" si="61"/>
        <v>6</v>
      </c>
      <c r="BJ55" s="1024">
        <f t="shared" si="61"/>
        <v>6</v>
      </c>
      <c r="BK55" s="1024">
        <f t="shared" si="61"/>
        <v>6</v>
      </c>
      <c r="BL55" s="1024">
        <f t="shared" si="61"/>
        <v>6</v>
      </c>
      <c r="BM55" s="1026">
        <f t="shared" si="61"/>
        <v>6</v>
      </c>
      <c r="BN55" s="1025">
        <f t="shared" ref="BN55:BY55" si="62">BM55+$M54/12</f>
        <v>6</v>
      </c>
      <c r="BO55" s="1024">
        <f t="shared" si="62"/>
        <v>6</v>
      </c>
      <c r="BP55" s="1024">
        <f t="shared" si="62"/>
        <v>6</v>
      </c>
      <c r="BQ55" s="1024">
        <f t="shared" si="62"/>
        <v>6</v>
      </c>
      <c r="BR55" s="1024">
        <f t="shared" si="62"/>
        <v>6</v>
      </c>
      <c r="BS55" s="1024">
        <f t="shared" si="62"/>
        <v>6</v>
      </c>
      <c r="BT55" s="1024">
        <f t="shared" si="62"/>
        <v>6</v>
      </c>
      <c r="BU55" s="1024">
        <f t="shared" si="62"/>
        <v>6</v>
      </c>
      <c r="BV55" s="1024">
        <f t="shared" si="62"/>
        <v>6</v>
      </c>
      <c r="BW55" s="1024">
        <f t="shared" si="62"/>
        <v>6</v>
      </c>
      <c r="BX55" s="1024">
        <f t="shared" si="62"/>
        <v>6</v>
      </c>
      <c r="BY55" s="1026">
        <f t="shared" si="62"/>
        <v>6</v>
      </c>
      <c r="BZ55" s="845">
        <f>ROUND(BY55-M55,1)</f>
        <v>0</v>
      </c>
    </row>
    <row r="56" spans="1:78" s="819" customFormat="1">
      <c r="A56" s="863"/>
      <c r="B56" s="862"/>
      <c r="C56" s="861"/>
      <c r="D56" s="812"/>
      <c r="E56" s="2718" t="s">
        <v>4101</v>
      </c>
      <c r="F56" s="2708"/>
      <c r="G56" s="826">
        <f>IF(SUM(G52,G54)=0,0,G54/SUM(G52,G54))</f>
        <v>0.3</v>
      </c>
      <c r="H56" s="1014"/>
      <c r="I56" s="827">
        <f>IF(SUM(I53,I55)=0,0,I55/SUM(I53,I55))</f>
        <v>0.3</v>
      </c>
      <c r="J56" s="828">
        <f>IF(SUM(J53,J55)=0,0,J55/SUM(J53,J55))</f>
        <v>0.3</v>
      </c>
      <c r="K56" s="828">
        <f>IF(SUM(K53,K55)=0,0,K55/SUM(K53,K55))</f>
        <v>0.3</v>
      </c>
      <c r="L56" s="828">
        <f>IF(SUM(L53,L55)=0,0,L55/SUM(L53,L55))</f>
        <v>0.3</v>
      </c>
      <c r="M56" s="828">
        <f>IF(SUM(M53,M55)=0,0,M55/SUM(M53,M55))</f>
        <v>0.3</v>
      </c>
      <c r="N56" s="861"/>
      <c r="O56" s="862"/>
      <c r="P56" s="861"/>
      <c r="Q56" s="1024"/>
      <c r="R56" s="1025"/>
      <c r="S56" s="1024"/>
      <c r="T56" s="1024"/>
      <c r="U56" s="1024"/>
      <c r="V56" s="1024"/>
      <c r="W56" s="1024"/>
      <c r="X56" s="1024"/>
      <c r="Y56" s="1024"/>
      <c r="Z56" s="1024"/>
      <c r="AA56" s="1024"/>
      <c r="AB56" s="1024"/>
      <c r="AC56" s="1026"/>
      <c r="AD56" s="1025"/>
      <c r="AE56" s="1024"/>
      <c r="AF56" s="1024"/>
      <c r="AG56" s="1024"/>
      <c r="AH56" s="1024"/>
      <c r="AI56" s="1024"/>
      <c r="AJ56" s="1024"/>
      <c r="AK56" s="1024"/>
      <c r="AL56" s="1024"/>
      <c r="AM56" s="1024"/>
      <c r="AN56" s="1024"/>
      <c r="AO56" s="1026"/>
      <c r="AP56" s="1025"/>
      <c r="AQ56" s="1024"/>
      <c r="AR56" s="1024"/>
      <c r="AS56" s="1024"/>
      <c r="AT56" s="1024"/>
      <c r="AU56" s="1024"/>
      <c r="AV56" s="1024"/>
      <c r="AW56" s="1024"/>
      <c r="AX56" s="1024"/>
      <c r="AY56" s="1024"/>
      <c r="AZ56" s="1024"/>
      <c r="BA56" s="1026"/>
      <c r="BB56" s="1025"/>
      <c r="BC56" s="1024"/>
      <c r="BD56" s="1024"/>
      <c r="BE56" s="1024"/>
      <c r="BF56" s="1024"/>
      <c r="BG56" s="1024"/>
      <c r="BH56" s="1024"/>
      <c r="BI56" s="1024"/>
      <c r="BJ56" s="1024"/>
      <c r="BK56" s="1024"/>
      <c r="BL56" s="1024"/>
      <c r="BM56" s="1026"/>
      <c r="BN56" s="1025"/>
      <c r="BO56" s="1024"/>
      <c r="BP56" s="1024"/>
      <c r="BQ56" s="1024"/>
      <c r="BR56" s="1024"/>
      <c r="BS56" s="1024"/>
      <c r="BT56" s="1024"/>
      <c r="BU56" s="1024"/>
      <c r="BV56" s="1024"/>
      <c r="BW56" s="1024"/>
      <c r="BX56" s="1024"/>
      <c r="BY56" s="1026"/>
      <c r="BZ56" s="844"/>
    </row>
    <row r="57" spans="1:78" s="819" customFormat="1" ht="13.5" thickBot="1">
      <c r="A57" s="863"/>
      <c r="B57" s="862"/>
      <c r="C57" s="861"/>
      <c r="D57" s="812"/>
      <c r="E57" s="829" t="s">
        <v>1551</v>
      </c>
      <c r="F57" s="2707"/>
      <c r="G57" s="830">
        <f>IF(G52+G54=0,"NA",(G52+G54)/($F$12*20))</f>
        <v>0.5</v>
      </c>
      <c r="H57" s="1015"/>
      <c r="I57" s="831">
        <f>IF(I53+I55=0,"NA",(I53+I55)/($F$12*20))</f>
        <v>0.5</v>
      </c>
      <c r="J57" s="832">
        <f>IF(J53+J55=0,"NA",(J53+J55)/($F$12*20))</f>
        <v>0.5</v>
      </c>
      <c r="K57" s="832">
        <f>IF(K53+K55=0,"NA",(K53+K55)/($F$12*20))</f>
        <v>0.5</v>
      </c>
      <c r="L57" s="832">
        <f>IF(L53+L55=0,"NA",(L53+L55)/($F$12*20))</f>
        <v>0.5</v>
      </c>
      <c r="M57" s="832">
        <f>IF(M53+M55=0,"NA",(M53+M55)/($F$12*20))</f>
        <v>0.5</v>
      </c>
      <c r="N57" s="861"/>
      <c r="O57" s="862"/>
      <c r="P57" s="861"/>
      <c r="Q57" s="1024"/>
      <c r="R57" s="1025"/>
      <c r="S57" s="1024"/>
      <c r="T57" s="1024"/>
      <c r="U57" s="1024"/>
      <c r="V57" s="1024"/>
      <c r="W57" s="1024"/>
      <c r="X57" s="1024"/>
      <c r="Y57" s="1024"/>
      <c r="Z57" s="1024"/>
      <c r="AA57" s="1024"/>
      <c r="AB57" s="1024"/>
      <c r="AC57" s="1026"/>
      <c r="AD57" s="1025"/>
      <c r="AE57" s="1024"/>
      <c r="AF57" s="1024"/>
      <c r="AG57" s="1024"/>
      <c r="AH57" s="1024"/>
      <c r="AI57" s="1024"/>
      <c r="AJ57" s="1024"/>
      <c r="AK57" s="1024"/>
      <c r="AL57" s="1024"/>
      <c r="AM57" s="1024"/>
      <c r="AN57" s="1024"/>
      <c r="AO57" s="1026"/>
      <c r="AP57" s="1025"/>
      <c r="AQ57" s="1024"/>
      <c r="AR57" s="1024"/>
      <c r="AS57" s="1024"/>
      <c r="AT57" s="1024"/>
      <c r="AU57" s="1024"/>
      <c r="AV57" s="1024"/>
      <c r="AW57" s="1024"/>
      <c r="AX57" s="1024"/>
      <c r="AY57" s="1024"/>
      <c r="AZ57" s="1024"/>
      <c r="BA57" s="1026"/>
      <c r="BB57" s="1025"/>
      <c r="BC57" s="1024"/>
      <c r="BD57" s="1024"/>
      <c r="BE57" s="1024"/>
      <c r="BF57" s="1024"/>
      <c r="BG57" s="1024"/>
      <c r="BH57" s="1024"/>
      <c r="BI57" s="1024"/>
      <c r="BJ57" s="1024"/>
      <c r="BK57" s="1024"/>
      <c r="BL57" s="1024"/>
      <c r="BM57" s="1026"/>
      <c r="BN57" s="1025"/>
      <c r="BO57" s="1024"/>
      <c r="BP57" s="1024"/>
      <c r="BQ57" s="1024"/>
      <c r="BR57" s="1024"/>
      <c r="BS57" s="1024"/>
      <c r="BT57" s="1024"/>
      <c r="BU57" s="1024"/>
      <c r="BV57" s="1024"/>
      <c r="BW57" s="1024"/>
      <c r="BX57" s="1024"/>
      <c r="BY57" s="1026"/>
      <c r="BZ57" s="845"/>
    </row>
    <row r="58" spans="1:78" s="823" customFormat="1">
      <c r="A58" s="863"/>
      <c r="B58" s="862"/>
      <c r="C58" s="861"/>
      <c r="D58" s="812"/>
      <c r="E58" s="820" t="str">
        <f>$E$20</f>
        <v>Government</v>
      </c>
      <c r="F58" s="997">
        <f>IF(Type="DeNovo",'1Tab_Input'!$C$56,G32)</f>
        <v>0</v>
      </c>
      <c r="G58" s="836">
        <f>G32-F58</f>
        <v>5</v>
      </c>
      <c r="H58" s="1016" t="s">
        <v>3665</v>
      </c>
      <c r="I58" s="1003">
        <v>0</v>
      </c>
      <c r="J58" s="1004">
        <v>0</v>
      </c>
      <c r="K58" s="1004">
        <v>0</v>
      </c>
      <c r="L58" s="1004">
        <v>0</v>
      </c>
      <c r="M58" s="1004">
        <v>0</v>
      </c>
      <c r="N58" s="861"/>
      <c r="O58" s="862"/>
      <c r="P58" s="861"/>
      <c r="Q58" s="1020"/>
      <c r="R58" s="1027"/>
      <c r="S58" s="1020"/>
      <c r="T58" s="1020"/>
      <c r="U58" s="1020"/>
      <c r="V58" s="1020"/>
      <c r="W58" s="1020"/>
      <c r="X58" s="1020"/>
      <c r="Y58" s="1020"/>
      <c r="Z58" s="1020"/>
      <c r="AA58" s="1020"/>
      <c r="AB58" s="1020"/>
      <c r="AC58" s="1028"/>
      <c r="AD58" s="1027"/>
      <c r="AE58" s="1020"/>
      <c r="AF58" s="1020"/>
      <c r="AG58" s="1020"/>
      <c r="AH58" s="1020"/>
      <c r="AI58" s="1020"/>
      <c r="AJ58" s="1020"/>
      <c r="AK58" s="1020"/>
      <c r="AL58" s="1020"/>
      <c r="AM58" s="1020"/>
      <c r="AN58" s="1020"/>
      <c r="AO58" s="1028"/>
      <c r="AP58" s="1027"/>
      <c r="AQ58" s="1020"/>
      <c r="AR58" s="1020"/>
      <c r="AS58" s="1020"/>
      <c r="AT58" s="1020"/>
      <c r="AU58" s="1020"/>
      <c r="AV58" s="1020"/>
      <c r="AW58" s="1020"/>
      <c r="AX58" s="1020"/>
      <c r="AY58" s="1020"/>
      <c r="AZ58" s="1020"/>
      <c r="BA58" s="1028"/>
      <c r="BB58" s="1027"/>
      <c r="BC58" s="1020"/>
      <c r="BD58" s="1020"/>
      <c r="BE58" s="1020"/>
      <c r="BF58" s="1020"/>
      <c r="BG58" s="1020"/>
      <c r="BH58" s="1020"/>
      <c r="BI58" s="1020"/>
      <c r="BJ58" s="1020"/>
      <c r="BK58" s="1020"/>
      <c r="BL58" s="1020"/>
      <c r="BM58" s="1028"/>
      <c r="BN58" s="1027"/>
      <c r="BO58" s="1020"/>
      <c r="BP58" s="1020"/>
      <c r="BQ58" s="1020"/>
      <c r="BR58" s="1020"/>
      <c r="BS58" s="1020"/>
      <c r="BT58" s="1020"/>
      <c r="BU58" s="1020"/>
      <c r="BV58" s="1020"/>
      <c r="BW58" s="1020"/>
      <c r="BX58" s="1020"/>
      <c r="BY58" s="1028"/>
      <c r="BZ58" s="844"/>
    </row>
    <row r="59" spans="1:78" s="819" customFormat="1">
      <c r="A59" s="863"/>
      <c r="B59" s="862"/>
      <c r="C59" s="861"/>
      <c r="D59" s="812" t="str">
        <f>$D$33</f>
        <v>HHD</v>
      </c>
      <c r="E59" s="824"/>
      <c r="F59" s="2484"/>
      <c r="G59" s="825"/>
      <c r="H59" s="1017" t="s">
        <v>3932</v>
      </c>
      <c r="I59" s="1005">
        <f>I58+G58</f>
        <v>5</v>
      </c>
      <c r="J59" s="1006">
        <f>J58+I59</f>
        <v>5</v>
      </c>
      <c r="K59" s="1006">
        <f>K58+J59</f>
        <v>5</v>
      </c>
      <c r="L59" s="1006">
        <f>L58+K59</f>
        <v>5</v>
      </c>
      <c r="M59" s="1006">
        <f>M58+L59</f>
        <v>5</v>
      </c>
      <c r="N59" s="861"/>
      <c r="O59" s="862"/>
      <c r="P59" s="861"/>
      <c r="Q59" s="1024">
        <f>G58</f>
        <v>5</v>
      </c>
      <c r="R59" s="1025">
        <f t="shared" ref="R59:AC59" si="63">Q59+$I58/12</f>
        <v>5</v>
      </c>
      <c r="S59" s="1024">
        <f t="shared" si="63"/>
        <v>5</v>
      </c>
      <c r="T59" s="1024">
        <f t="shared" si="63"/>
        <v>5</v>
      </c>
      <c r="U59" s="1024">
        <f t="shared" si="63"/>
        <v>5</v>
      </c>
      <c r="V59" s="1024">
        <f t="shared" si="63"/>
        <v>5</v>
      </c>
      <c r="W59" s="1024">
        <f t="shared" si="63"/>
        <v>5</v>
      </c>
      <c r="X59" s="1024">
        <f t="shared" si="63"/>
        <v>5</v>
      </c>
      <c r="Y59" s="1024">
        <f t="shared" si="63"/>
        <v>5</v>
      </c>
      <c r="Z59" s="1024">
        <f t="shared" si="63"/>
        <v>5</v>
      </c>
      <c r="AA59" s="1024">
        <f t="shared" si="63"/>
        <v>5</v>
      </c>
      <c r="AB59" s="1024">
        <f t="shared" si="63"/>
        <v>5</v>
      </c>
      <c r="AC59" s="1026">
        <f t="shared" si="63"/>
        <v>5</v>
      </c>
      <c r="AD59" s="1025">
        <f t="shared" ref="AD59:AO59" si="64">AC59+$J58/12</f>
        <v>5</v>
      </c>
      <c r="AE59" s="1024">
        <f t="shared" si="64"/>
        <v>5</v>
      </c>
      <c r="AF59" s="1024">
        <f t="shared" si="64"/>
        <v>5</v>
      </c>
      <c r="AG59" s="1024">
        <f t="shared" si="64"/>
        <v>5</v>
      </c>
      <c r="AH59" s="1024">
        <f t="shared" si="64"/>
        <v>5</v>
      </c>
      <c r="AI59" s="1024">
        <f t="shared" si="64"/>
        <v>5</v>
      </c>
      <c r="AJ59" s="1024">
        <f t="shared" si="64"/>
        <v>5</v>
      </c>
      <c r="AK59" s="1024">
        <f t="shared" si="64"/>
        <v>5</v>
      </c>
      <c r="AL59" s="1024">
        <f t="shared" si="64"/>
        <v>5</v>
      </c>
      <c r="AM59" s="1024">
        <f t="shared" si="64"/>
        <v>5</v>
      </c>
      <c r="AN59" s="1024">
        <f t="shared" si="64"/>
        <v>5</v>
      </c>
      <c r="AO59" s="1026">
        <f t="shared" si="64"/>
        <v>5</v>
      </c>
      <c r="AP59" s="1025">
        <f t="shared" ref="AP59:BA59" si="65">AO59+$K58/12</f>
        <v>5</v>
      </c>
      <c r="AQ59" s="1024">
        <f t="shared" si="65"/>
        <v>5</v>
      </c>
      <c r="AR59" s="1024">
        <f t="shared" si="65"/>
        <v>5</v>
      </c>
      <c r="AS59" s="1024">
        <f t="shared" si="65"/>
        <v>5</v>
      </c>
      <c r="AT59" s="1024">
        <f t="shared" si="65"/>
        <v>5</v>
      </c>
      <c r="AU59" s="1024">
        <f t="shared" si="65"/>
        <v>5</v>
      </c>
      <c r="AV59" s="1024">
        <f t="shared" si="65"/>
        <v>5</v>
      </c>
      <c r="AW59" s="1024">
        <f t="shared" si="65"/>
        <v>5</v>
      </c>
      <c r="AX59" s="1024">
        <f t="shared" si="65"/>
        <v>5</v>
      </c>
      <c r="AY59" s="1024">
        <f t="shared" si="65"/>
        <v>5</v>
      </c>
      <c r="AZ59" s="1024">
        <f t="shared" si="65"/>
        <v>5</v>
      </c>
      <c r="BA59" s="1026">
        <f t="shared" si="65"/>
        <v>5</v>
      </c>
      <c r="BB59" s="1025">
        <f t="shared" ref="BB59:BM59" si="66">BA59+$L58/12</f>
        <v>5</v>
      </c>
      <c r="BC59" s="1024">
        <f t="shared" si="66"/>
        <v>5</v>
      </c>
      <c r="BD59" s="1024">
        <f t="shared" si="66"/>
        <v>5</v>
      </c>
      <c r="BE59" s="1024">
        <f t="shared" si="66"/>
        <v>5</v>
      </c>
      <c r="BF59" s="1024">
        <f t="shared" si="66"/>
        <v>5</v>
      </c>
      <c r="BG59" s="1024">
        <f t="shared" si="66"/>
        <v>5</v>
      </c>
      <c r="BH59" s="1024">
        <f t="shared" si="66"/>
        <v>5</v>
      </c>
      <c r="BI59" s="1024">
        <f t="shared" si="66"/>
        <v>5</v>
      </c>
      <c r="BJ59" s="1024">
        <f t="shared" si="66"/>
        <v>5</v>
      </c>
      <c r="BK59" s="1024">
        <f t="shared" si="66"/>
        <v>5</v>
      </c>
      <c r="BL59" s="1024">
        <f t="shared" si="66"/>
        <v>5</v>
      </c>
      <c r="BM59" s="1026">
        <f t="shared" si="66"/>
        <v>5</v>
      </c>
      <c r="BN59" s="1025">
        <f t="shared" ref="BN59:BY59" si="67">BM59+$M58/12</f>
        <v>5</v>
      </c>
      <c r="BO59" s="1024">
        <f t="shared" si="67"/>
        <v>5</v>
      </c>
      <c r="BP59" s="1024">
        <f t="shared" si="67"/>
        <v>5</v>
      </c>
      <c r="BQ59" s="1024">
        <f t="shared" si="67"/>
        <v>5</v>
      </c>
      <c r="BR59" s="1024">
        <f t="shared" si="67"/>
        <v>5</v>
      </c>
      <c r="BS59" s="1024">
        <f t="shared" si="67"/>
        <v>5</v>
      </c>
      <c r="BT59" s="1024">
        <f t="shared" si="67"/>
        <v>5</v>
      </c>
      <c r="BU59" s="1024">
        <f t="shared" si="67"/>
        <v>5</v>
      </c>
      <c r="BV59" s="1024">
        <f t="shared" si="67"/>
        <v>5</v>
      </c>
      <c r="BW59" s="1024">
        <f t="shared" si="67"/>
        <v>5</v>
      </c>
      <c r="BX59" s="1024">
        <f t="shared" si="67"/>
        <v>5</v>
      </c>
      <c r="BY59" s="1026">
        <f t="shared" si="67"/>
        <v>5</v>
      </c>
      <c r="BZ59" s="845">
        <f>ROUND(BY59-M59,1)</f>
        <v>0</v>
      </c>
    </row>
    <row r="60" spans="1:78" s="823" customFormat="1">
      <c r="A60" s="863"/>
      <c r="B60" s="862"/>
      <c r="C60" s="861"/>
      <c r="D60" s="812"/>
      <c r="E60" s="820" t="str">
        <f>$E$22</f>
        <v>Non-Government</v>
      </c>
      <c r="F60" s="997">
        <f>IF(Type="DeNovo",'1Tab_Input'!$C$57,G34)</f>
        <v>0</v>
      </c>
      <c r="G60" s="836">
        <f>G34-F60</f>
        <v>0</v>
      </c>
      <c r="H60" s="1016" t="s">
        <v>3665</v>
      </c>
      <c r="I60" s="1003">
        <v>0</v>
      </c>
      <c r="J60" s="1004">
        <v>0</v>
      </c>
      <c r="K60" s="1004">
        <v>0</v>
      </c>
      <c r="L60" s="1004">
        <v>0</v>
      </c>
      <c r="M60" s="1004">
        <v>0</v>
      </c>
      <c r="N60" s="861"/>
      <c r="O60" s="862"/>
      <c r="P60" s="861"/>
      <c r="Q60" s="1020"/>
      <c r="R60" s="1027"/>
      <c r="S60" s="1020"/>
      <c r="T60" s="1020"/>
      <c r="U60" s="1020"/>
      <c r="V60" s="1020"/>
      <c r="W60" s="1020"/>
      <c r="X60" s="1020"/>
      <c r="Y60" s="1020"/>
      <c r="Z60" s="1020"/>
      <c r="AA60" s="1020"/>
      <c r="AB60" s="1020"/>
      <c r="AC60" s="1028"/>
      <c r="AD60" s="1027"/>
      <c r="AE60" s="1020"/>
      <c r="AF60" s="1020"/>
      <c r="AG60" s="1020"/>
      <c r="AH60" s="1020"/>
      <c r="AI60" s="1020"/>
      <c r="AJ60" s="1020"/>
      <c r="AK60" s="1020"/>
      <c r="AL60" s="1020"/>
      <c r="AM60" s="1020"/>
      <c r="AN60" s="1020"/>
      <c r="AO60" s="1028"/>
      <c r="AP60" s="1027"/>
      <c r="AQ60" s="1020"/>
      <c r="AR60" s="1020"/>
      <c r="AS60" s="1020"/>
      <c r="AT60" s="1020"/>
      <c r="AU60" s="1020"/>
      <c r="AV60" s="1020"/>
      <c r="AW60" s="1020"/>
      <c r="AX60" s="1020"/>
      <c r="AY60" s="1020"/>
      <c r="AZ60" s="1020"/>
      <c r="BA60" s="1028"/>
      <c r="BB60" s="1027"/>
      <c r="BC60" s="1020"/>
      <c r="BD60" s="1020"/>
      <c r="BE60" s="1020"/>
      <c r="BF60" s="1020"/>
      <c r="BG60" s="1020"/>
      <c r="BH60" s="1020"/>
      <c r="BI60" s="1020"/>
      <c r="BJ60" s="1020"/>
      <c r="BK60" s="1020"/>
      <c r="BL60" s="1020"/>
      <c r="BM60" s="1028"/>
      <c r="BN60" s="1027"/>
      <c r="BO60" s="1020"/>
      <c r="BP60" s="1020"/>
      <c r="BQ60" s="1020"/>
      <c r="BR60" s="1020"/>
      <c r="BS60" s="1020"/>
      <c r="BT60" s="1020"/>
      <c r="BU60" s="1020"/>
      <c r="BV60" s="1020"/>
      <c r="BW60" s="1020"/>
      <c r="BX60" s="1020"/>
      <c r="BY60" s="1028"/>
      <c r="BZ60" s="844"/>
    </row>
    <row r="61" spans="1:78" s="819" customFormat="1">
      <c r="A61" s="863"/>
      <c r="B61" s="862"/>
      <c r="C61" s="861"/>
      <c r="D61" s="812"/>
      <c r="E61" s="824"/>
      <c r="F61" s="998"/>
      <c r="G61" s="825"/>
      <c r="H61" s="1013" t="s">
        <v>3932</v>
      </c>
      <c r="I61" s="1005">
        <f>I60+G60</f>
        <v>0</v>
      </c>
      <c r="J61" s="1006">
        <f>J60+I61</f>
        <v>0</v>
      </c>
      <c r="K61" s="1006">
        <f>K60+J61</f>
        <v>0</v>
      </c>
      <c r="L61" s="1006">
        <f>L60+K61</f>
        <v>0</v>
      </c>
      <c r="M61" s="1006">
        <f>M60+L61</f>
        <v>0</v>
      </c>
      <c r="N61" s="861"/>
      <c r="O61" s="862"/>
      <c r="P61" s="861"/>
      <c r="Q61" s="1024">
        <f>G60</f>
        <v>0</v>
      </c>
      <c r="R61" s="1025">
        <f t="shared" ref="R61:AC61" si="68">Q61+$I60/12</f>
        <v>0</v>
      </c>
      <c r="S61" s="1024">
        <f t="shared" si="68"/>
        <v>0</v>
      </c>
      <c r="T61" s="1024">
        <f t="shared" si="68"/>
        <v>0</v>
      </c>
      <c r="U61" s="1024">
        <f t="shared" si="68"/>
        <v>0</v>
      </c>
      <c r="V61" s="1024">
        <f t="shared" si="68"/>
        <v>0</v>
      </c>
      <c r="W61" s="1024">
        <f t="shared" si="68"/>
        <v>0</v>
      </c>
      <c r="X61" s="1024">
        <f t="shared" si="68"/>
        <v>0</v>
      </c>
      <c r="Y61" s="1024">
        <f t="shared" si="68"/>
        <v>0</v>
      </c>
      <c r="Z61" s="1024">
        <f t="shared" si="68"/>
        <v>0</v>
      </c>
      <c r="AA61" s="1024">
        <f t="shared" si="68"/>
        <v>0</v>
      </c>
      <c r="AB61" s="1024">
        <f t="shared" si="68"/>
        <v>0</v>
      </c>
      <c r="AC61" s="1026">
        <f t="shared" si="68"/>
        <v>0</v>
      </c>
      <c r="AD61" s="1025">
        <f t="shared" ref="AD61:AO61" si="69">AC61+$J60/12</f>
        <v>0</v>
      </c>
      <c r="AE61" s="1024">
        <f t="shared" si="69"/>
        <v>0</v>
      </c>
      <c r="AF61" s="1024">
        <f t="shared" si="69"/>
        <v>0</v>
      </c>
      <c r="AG61" s="1024">
        <f t="shared" si="69"/>
        <v>0</v>
      </c>
      <c r="AH61" s="1024">
        <f t="shared" si="69"/>
        <v>0</v>
      </c>
      <c r="AI61" s="1024">
        <f t="shared" si="69"/>
        <v>0</v>
      </c>
      <c r="AJ61" s="1024">
        <f t="shared" si="69"/>
        <v>0</v>
      </c>
      <c r="AK61" s="1024">
        <f t="shared" si="69"/>
        <v>0</v>
      </c>
      <c r="AL61" s="1024">
        <f t="shared" si="69"/>
        <v>0</v>
      </c>
      <c r="AM61" s="1024">
        <f t="shared" si="69"/>
        <v>0</v>
      </c>
      <c r="AN61" s="1024">
        <f t="shared" si="69"/>
        <v>0</v>
      </c>
      <c r="AO61" s="1026">
        <f t="shared" si="69"/>
        <v>0</v>
      </c>
      <c r="AP61" s="1025">
        <f t="shared" ref="AP61:BA61" si="70">AO61+$K60/12</f>
        <v>0</v>
      </c>
      <c r="AQ61" s="1024">
        <f t="shared" si="70"/>
        <v>0</v>
      </c>
      <c r="AR61" s="1024">
        <f t="shared" si="70"/>
        <v>0</v>
      </c>
      <c r="AS61" s="1024">
        <f t="shared" si="70"/>
        <v>0</v>
      </c>
      <c r="AT61" s="1024">
        <f t="shared" si="70"/>
        <v>0</v>
      </c>
      <c r="AU61" s="1024">
        <f t="shared" si="70"/>
        <v>0</v>
      </c>
      <c r="AV61" s="1024">
        <f t="shared" si="70"/>
        <v>0</v>
      </c>
      <c r="AW61" s="1024">
        <f t="shared" si="70"/>
        <v>0</v>
      </c>
      <c r="AX61" s="1024">
        <f t="shared" si="70"/>
        <v>0</v>
      </c>
      <c r="AY61" s="1024">
        <f t="shared" si="70"/>
        <v>0</v>
      </c>
      <c r="AZ61" s="1024">
        <f t="shared" si="70"/>
        <v>0</v>
      </c>
      <c r="BA61" s="1026">
        <f t="shared" si="70"/>
        <v>0</v>
      </c>
      <c r="BB61" s="1025">
        <f t="shared" ref="BB61:BM61" si="71">BA61+$L60/12</f>
        <v>0</v>
      </c>
      <c r="BC61" s="1024">
        <f t="shared" si="71"/>
        <v>0</v>
      </c>
      <c r="BD61" s="1024">
        <f t="shared" si="71"/>
        <v>0</v>
      </c>
      <c r="BE61" s="1024">
        <f t="shared" si="71"/>
        <v>0</v>
      </c>
      <c r="BF61" s="1024">
        <f t="shared" si="71"/>
        <v>0</v>
      </c>
      <c r="BG61" s="1024">
        <f t="shared" si="71"/>
        <v>0</v>
      </c>
      <c r="BH61" s="1024">
        <f t="shared" si="71"/>
        <v>0</v>
      </c>
      <c r="BI61" s="1024">
        <f t="shared" si="71"/>
        <v>0</v>
      </c>
      <c r="BJ61" s="1024">
        <f t="shared" si="71"/>
        <v>0</v>
      </c>
      <c r="BK61" s="1024">
        <f t="shared" si="71"/>
        <v>0</v>
      </c>
      <c r="BL61" s="1024">
        <f t="shared" si="71"/>
        <v>0</v>
      </c>
      <c r="BM61" s="1026">
        <f t="shared" si="71"/>
        <v>0</v>
      </c>
      <c r="BN61" s="1025">
        <f t="shared" ref="BN61:BY61" si="72">BM61+$M60/12</f>
        <v>0</v>
      </c>
      <c r="BO61" s="1024">
        <f t="shared" si="72"/>
        <v>0</v>
      </c>
      <c r="BP61" s="1024">
        <f t="shared" si="72"/>
        <v>0</v>
      </c>
      <c r="BQ61" s="1024">
        <f t="shared" si="72"/>
        <v>0</v>
      </c>
      <c r="BR61" s="1024">
        <f t="shared" si="72"/>
        <v>0</v>
      </c>
      <c r="BS61" s="1024">
        <f t="shared" si="72"/>
        <v>0</v>
      </c>
      <c r="BT61" s="1024">
        <f t="shared" si="72"/>
        <v>0</v>
      </c>
      <c r="BU61" s="1024">
        <f t="shared" si="72"/>
        <v>0</v>
      </c>
      <c r="BV61" s="1024">
        <f t="shared" si="72"/>
        <v>0</v>
      </c>
      <c r="BW61" s="1024">
        <f t="shared" si="72"/>
        <v>0</v>
      </c>
      <c r="BX61" s="1024">
        <f t="shared" si="72"/>
        <v>0</v>
      </c>
      <c r="BY61" s="1026">
        <f t="shared" si="72"/>
        <v>0</v>
      </c>
      <c r="BZ61" s="845">
        <f>ROUND(BY61-M61,1)</f>
        <v>0</v>
      </c>
    </row>
    <row r="62" spans="1:78" s="819" customFormat="1">
      <c r="A62" s="863"/>
      <c r="B62" s="862"/>
      <c r="C62" s="861"/>
      <c r="D62" s="812"/>
      <c r="E62" s="2718" t="s">
        <v>4101</v>
      </c>
      <c r="F62" s="999"/>
      <c r="G62" s="826">
        <f>IF(SUM(G58,G60)=0,0,G60/SUM(G58,G60))</f>
        <v>0</v>
      </c>
      <c r="H62" s="1014"/>
      <c r="I62" s="827">
        <f>IF(SUM(I59,I61)=0,0,I61/SUM(I59,I61))</f>
        <v>0</v>
      </c>
      <c r="J62" s="828">
        <f>IF(SUM(J59,J61)=0,0,J61/SUM(J59,J61))</f>
        <v>0</v>
      </c>
      <c r="K62" s="828">
        <f>IF(SUM(K59,K61)=0,0,K61/SUM(K59,K61))</f>
        <v>0</v>
      </c>
      <c r="L62" s="828">
        <f>IF(SUM(L59,L61)=0,0,L61/SUM(L59,L61))</f>
        <v>0</v>
      </c>
      <c r="M62" s="828">
        <f>IF(SUM(M59,M61)=0,0,M61/SUM(M59,M61))</f>
        <v>0</v>
      </c>
      <c r="N62" s="861"/>
      <c r="O62" s="862"/>
      <c r="P62" s="861"/>
      <c r="Q62" s="1024"/>
      <c r="R62" s="1025"/>
      <c r="S62" s="1024"/>
      <c r="T62" s="1024"/>
      <c r="U62" s="1024"/>
      <c r="V62" s="1024"/>
      <c r="W62" s="1024"/>
      <c r="X62" s="1024"/>
      <c r="Y62" s="1024"/>
      <c r="Z62" s="1024"/>
      <c r="AA62" s="1024"/>
      <c r="AB62" s="1024"/>
      <c r="AC62" s="1026"/>
      <c r="AD62" s="1025"/>
      <c r="AE62" s="1024"/>
      <c r="AF62" s="1024"/>
      <c r="AG62" s="1024"/>
      <c r="AH62" s="1024"/>
      <c r="AI62" s="1024"/>
      <c r="AJ62" s="1024"/>
      <c r="AK62" s="1024"/>
      <c r="AL62" s="1024"/>
      <c r="AM62" s="1024"/>
      <c r="AN62" s="1024"/>
      <c r="AO62" s="1026"/>
      <c r="AP62" s="1025"/>
      <c r="AQ62" s="1024"/>
      <c r="AR62" s="1024"/>
      <c r="AS62" s="1024"/>
      <c r="AT62" s="1024"/>
      <c r="AU62" s="1024"/>
      <c r="AV62" s="1024"/>
      <c r="AW62" s="1024"/>
      <c r="AX62" s="1024"/>
      <c r="AY62" s="1024"/>
      <c r="AZ62" s="1024"/>
      <c r="BA62" s="1026"/>
      <c r="BB62" s="1025"/>
      <c r="BC62" s="1024"/>
      <c r="BD62" s="1024"/>
      <c r="BE62" s="1024"/>
      <c r="BF62" s="1024"/>
      <c r="BG62" s="1024"/>
      <c r="BH62" s="1024"/>
      <c r="BI62" s="1024"/>
      <c r="BJ62" s="1024"/>
      <c r="BK62" s="1024"/>
      <c r="BL62" s="1024"/>
      <c r="BM62" s="1026"/>
      <c r="BN62" s="1025"/>
      <c r="BO62" s="1024"/>
      <c r="BP62" s="1024"/>
      <c r="BQ62" s="1024"/>
      <c r="BR62" s="1024"/>
      <c r="BS62" s="1024"/>
      <c r="BT62" s="1024"/>
      <c r="BU62" s="1024"/>
      <c r="BV62" s="1024"/>
      <c r="BW62" s="1024"/>
      <c r="BX62" s="1024"/>
      <c r="BY62" s="1026"/>
      <c r="BZ62" s="844"/>
    </row>
    <row r="63" spans="1:78" s="819" customFormat="1" ht="13.5" thickBot="1">
      <c r="A63" s="863"/>
      <c r="B63" s="862"/>
      <c r="C63" s="861"/>
      <c r="D63" s="812"/>
      <c r="E63" s="829" t="s">
        <v>1551</v>
      </c>
      <c r="F63" s="1000"/>
      <c r="G63" s="830">
        <f>IF(G58+G60=0,"NA",(G58+G60)/($F$13*20))</f>
        <v>0.125</v>
      </c>
      <c r="H63" s="1015"/>
      <c r="I63" s="831">
        <f>IF(I59+I61=0,"NA",(I59+I61)/($F$13*20))</f>
        <v>0.125</v>
      </c>
      <c r="J63" s="832">
        <f>IF(J59+J61=0,"NA",(J59+J61)/($F$13*20))</f>
        <v>0.125</v>
      </c>
      <c r="K63" s="832">
        <f>IF(K59+K61=0,"NA",(K59+K61)/($F$13*20))</f>
        <v>0.125</v>
      </c>
      <c r="L63" s="832">
        <f>IF(L59+L61=0,"NA",(L59+L61)/($F$13*20))</f>
        <v>0.125</v>
      </c>
      <c r="M63" s="832">
        <f>IF(M59+M61=0,"NA",(M59+M61)/($F$13*20))</f>
        <v>0.125</v>
      </c>
      <c r="N63" s="861"/>
      <c r="O63" s="862"/>
      <c r="P63" s="861"/>
      <c r="Q63" s="1024"/>
      <c r="R63" s="1025"/>
      <c r="S63" s="1024"/>
      <c r="T63" s="1024"/>
      <c r="U63" s="1024"/>
      <c r="V63" s="1024"/>
      <c r="W63" s="1024"/>
      <c r="X63" s="1024"/>
      <c r="Y63" s="1024"/>
      <c r="Z63" s="1024"/>
      <c r="AA63" s="1024"/>
      <c r="AB63" s="1024"/>
      <c r="AC63" s="1026"/>
      <c r="AD63" s="1025"/>
      <c r="AE63" s="1024"/>
      <c r="AF63" s="1024"/>
      <c r="AG63" s="1024"/>
      <c r="AH63" s="1024"/>
      <c r="AI63" s="1024"/>
      <c r="AJ63" s="1024"/>
      <c r="AK63" s="1024"/>
      <c r="AL63" s="1024"/>
      <c r="AM63" s="1024"/>
      <c r="AN63" s="1024"/>
      <c r="AO63" s="1026"/>
      <c r="AP63" s="1025"/>
      <c r="AQ63" s="1024"/>
      <c r="AR63" s="1024"/>
      <c r="AS63" s="1024"/>
      <c r="AT63" s="1024"/>
      <c r="AU63" s="1024"/>
      <c r="AV63" s="1024"/>
      <c r="AW63" s="1024"/>
      <c r="AX63" s="1024"/>
      <c r="AY63" s="1024"/>
      <c r="AZ63" s="1024"/>
      <c r="BA63" s="1026"/>
      <c r="BB63" s="1025"/>
      <c r="BC63" s="1024"/>
      <c r="BD63" s="1024"/>
      <c r="BE63" s="1024"/>
      <c r="BF63" s="1024"/>
      <c r="BG63" s="1024"/>
      <c r="BH63" s="1024"/>
      <c r="BI63" s="1024"/>
      <c r="BJ63" s="1024"/>
      <c r="BK63" s="1024"/>
      <c r="BL63" s="1024"/>
      <c r="BM63" s="1026"/>
      <c r="BN63" s="1025"/>
      <c r="BO63" s="1024"/>
      <c r="BP63" s="1024"/>
      <c r="BQ63" s="1024"/>
      <c r="BR63" s="1024"/>
      <c r="BS63" s="1024"/>
      <c r="BT63" s="1024"/>
      <c r="BU63" s="1024"/>
      <c r="BV63" s="1024"/>
      <c r="BW63" s="1024"/>
      <c r="BX63" s="1024"/>
      <c r="BY63" s="1026"/>
      <c r="BZ63" s="845"/>
    </row>
    <row r="64" spans="1:78" s="819" customFormat="1">
      <c r="A64" s="863"/>
      <c r="B64" s="862"/>
      <c r="C64" s="861"/>
      <c r="D64" s="813"/>
      <c r="E64" s="820" t="str">
        <f>$E$20</f>
        <v>Government</v>
      </c>
      <c r="F64" s="992">
        <f>SUM(F46,F52,F58)</f>
        <v>0</v>
      </c>
      <c r="G64" s="834">
        <f>G46+G52+G58</f>
        <v>67</v>
      </c>
      <c r="H64" s="856"/>
      <c r="I64" s="992">
        <f>I47+I53+I59</f>
        <v>67</v>
      </c>
      <c r="J64" s="992">
        <f>J47+J53+J59</f>
        <v>67</v>
      </c>
      <c r="K64" s="992">
        <f>K47+K53+K59</f>
        <v>67</v>
      </c>
      <c r="L64" s="992">
        <f>L47+L53+L59</f>
        <v>67</v>
      </c>
      <c r="M64" s="992">
        <f>M47+M53+M59</f>
        <v>67</v>
      </c>
      <c r="N64" s="861"/>
      <c r="O64" s="862"/>
      <c r="P64" s="861"/>
      <c r="Q64" s="1024">
        <f>Q47+Q53+Q59</f>
        <v>67</v>
      </c>
      <c r="R64" s="1025">
        <f t="shared" ref="R64:BZ64" si="73">R47+R53+R59</f>
        <v>67</v>
      </c>
      <c r="S64" s="1024">
        <f t="shared" si="73"/>
        <v>67</v>
      </c>
      <c r="T64" s="1024">
        <f t="shared" si="73"/>
        <v>67</v>
      </c>
      <c r="U64" s="1024">
        <f t="shared" si="73"/>
        <v>67</v>
      </c>
      <c r="V64" s="1024">
        <f t="shared" si="73"/>
        <v>67</v>
      </c>
      <c r="W64" s="1024">
        <f t="shared" si="73"/>
        <v>67</v>
      </c>
      <c r="X64" s="1024">
        <f t="shared" si="73"/>
        <v>67</v>
      </c>
      <c r="Y64" s="1024">
        <f t="shared" si="73"/>
        <v>67</v>
      </c>
      <c r="Z64" s="1024">
        <f t="shared" si="73"/>
        <v>67</v>
      </c>
      <c r="AA64" s="1024">
        <f t="shared" si="73"/>
        <v>67</v>
      </c>
      <c r="AB64" s="1024">
        <f t="shared" si="73"/>
        <v>67</v>
      </c>
      <c r="AC64" s="1026">
        <f t="shared" si="73"/>
        <v>67</v>
      </c>
      <c r="AD64" s="1025">
        <f t="shared" si="73"/>
        <v>67</v>
      </c>
      <c r="AE64" s="1024">
        <f t="shared" si="73"/>
        <v>67</v>
      </c>
      <c r="AF64" s="1024">
        <f t="shared" si="73"/>
        <v>67</v>
      </c>
      <c r="AG64" s="1024">
        <f t="shared" si="73"/>
        <v>67</v>
      </c>
      <c r="AH64" s="1024">
        <f t="shared" si="73"/>
        <v>67</v>
      </c>
      <c r="AI64" s="1024">
        <f t="shared" si="73"/>
        <v>67</v>
      </c>
      <c r="AJ64" s="1024">
        <f t="shared" si="73"/>
        <v>67</v>
      </c>
      <c r="AK64" s="1024">
        <f t="shared" si="73"/>
        <v>67</v>
      </c>
      <c r="AL64" s="1024">
        <f t="shared" si="73"/>
        <v>67</v>
      </c>
      <c r="AM64" s="1024">
        <f t="shared" si="73"/>
        <v>67</v>
      </c>
      <c r="AN64" s="1024">
        <f t="shared" si="73"/>
        <v>67</v>
      </c>
      <c r="AO64" s="1026">
        <f t="shared" si="73"/>
        <v>67</v>
      </c>
      <c r="AP64" s="1025">
        <f t="shared" si="73"/>
        <v>67</v>
      </c>
      <c r="AQ64" s="1024">
        <f t="shared" si="73"/>
        <v>67</v>
      </c>
      <c r="AR64" s="1024">
        <f t="shared" si="73"/>
        <v>67</v>
      </c>
      <c r="AS64" s="1024">
        <f t="shared" si="73"/>
        <v>67</v>
      </c>
      <c r="AT64" s="1024">
        <f t="shared" si="73"/>
        <v>67</v>
      </c>
      <c r="AU64" s="1024">
        <f t="shared" si="73"/>
        <v>67</v>
      </c>
      <c r="AV64" s="1024">
        <f t="shared" si="73"/>
        <v>67</v>
      </c>
      <c r="AW64" s="1024">
        <f t="shared" si="73"/>
        <v>67</v>
      </c>
      <c r="AX64" s="1024">
        <f t="shared" si="73"/>
        <v>67</v>
      </c>
      <c r="AY64" s="1024">
        <f t="shared" si="73"/>
        <v>67</v>
      </c>
      <c r="AZ64" s="1024">
        <f t="shared" si="73"/>
        <v>67</v>
      </c>
      <c r="BA64" s="1026">
        <f t="shared" si="73"/>
        <v>67</v>
      </c>
      <c r="BB64" s="1025">
        <f t="shared" si="73"/>
        <v>67</v>
      </c>
      <c r="BC64" s="1024">
        <f t="shared" si="73"/>
        <v>67</v>
      </c>
      <c r="BD64" s="1024">
        <f t="shared" si="73"/>
        <v>67</v>
      </c>
      <c r="BE64" s="1024">
        <f t="shared" si="73"/>
        <v>67</v>
      </c>
      <c r="BF64" s="1024">
        <f t="shared" si="73"/>
        <v>67</v>
      </c>
      <c r="BG64" s="1024">
        <f t="shared" si="73"/>
        <v>67</v>
      </c>
      <c r="BH64" s="1024">
        <f t="shared" si="73"/>
        <v>67</v>
      </c>
      <c r="BI64" s="1024">
        <f t="shared" si="73"/>
        <v>67</v>
      </c>
      <c r="BJ64" s="1024">
        <f t="shared" si="73"/>
        <v>67</v>
      </c>
      <c r="BK64" s="1024">
        <f t="shared" si="73"/>
        <v>67</v>
      </c>
      <c r="BL64" s="1024">
        <f t="shared" si="73"/>
        <v>67</v>
      </c>
      <c r="BM64" s="1026">
        <f t="shared" si="73"/>
        <v>67</v>
      </c>
      <c r="BN64" s="1025">
        <f t="shared" si="73"/>
        <v>67</v>
      </c>
      <c r="BO64" s="1024">
        <f t="shared" si="73"/>
        <v>67</v>
      </c>
      <c r="BP64" s="1024">
        <f t="shared" si="73"/>
        <v>67</v>
      </c>
      <c r="BQ64" s="1024">
        <f t="shared" si="73"/>
        <v>67</v>
      </c>
      <c r="BR64" s="1024">
        <f t="shared" si="73"/>
        <v>67</v>
      </c>
      <c r="BS64" s="1024">
        <f t="shared" si="73"/>
        <v>67</v>
      </c>
      <c r="BT64" s="1024">
        <f t="shared" si="73"/>
        <v>67</v>
      </c>
      <c r="BU64" s="1024">
        <f t="shared" si="73"/>
        <v>67</v>
      </c>
      <c r="BV64" s="1024">
        <f t="shared" si="73"/>
        <v>67</v>
      </c>
      <c r="BW64" s="1024">
        <f t="shared" si="73"/>
        <v>67</v>
      </c>
      <c r="BX64" s="1024">
        <f t="shared" si="73"/>
        <v>67</v>
      </c>
      <c r="BY64" s="1026">
        <f t="shared" si="73"/>
        <v>67</v>
      </c>
      <c r="BZ64" s="845">
        <f t="shared" si="73"/>
        <v>0</v>
      </c>
    </row>
    <row r="65" spans="1:78" s="819" customFormat="1">
      <c r="A65" s="863"/>
      <c r="B65" s="862"/>
      <c r="C65" s="861"/>
      <c r="D65" s="813"/>
      <c r="E65" s="820" t="str">
        <f>$E$22</f>
        <v>Non-Government</v>
      </c>
      <c r="F65" s="992">
        <f>SUM(F48,F54,F60)</f>
        <v>0</v>
      </c>
      <c r="G65" s="834">
        <f>G48+G54+G60</f>
        <v>8</v>
      </c>
      <c r="H65" s="856"/>
      <c r="I65" s="992">
        <f>I49+I55+I61</f>
        <v>8</v>
      </c>
      <c r="J65" s="992">
        <f>J49+J55+J61</f>
        <v>8</v>
      </c>
      <c r="K65" s="992">
        <f>K49+K55+K61</f>
        <v>8</v>
      </c>
      <c r="L65" s="992">
        <f>L49+L55+L61</f>
        <v>8</v>
      </c>
      <c r="M65" s="992">
        <f>M49+M55+M61</f>
        <v>8</v>
      </c>
      <c r="N65" s="861"/>
      <c r="O65" s="862"/>
      <c r="P65" s="861"/>
      <c r="Q65" s="1024">
        <f>Q49+Q55+Q61</f>
        <v>8</v>
      </c>
      <c r="R65" s="1025">
        <f t="shared" ref="R65:BZ65" si="74">R49+R55+R61</f>
        <v>8</v>
      </c>
      <c r="S65" s="1024">
        <f t="shared" si="74"/>
        <v>8</v>
      </c>
      <c r="T65" s="1024">
        <f t="shared" si="74"/>
        <v>8</v>
      </c>
      <c r="U65" s="1024">
        <f t="shared" si="74"/>
        <v>8</v>
      </c>
      <c r="V65" s="1024">
        <f t="shared" si="74"/>
        <v>8</v>
      </c>
      <c r="W65" s="1024">
        <f t="shared" si="74"/>
        <v>8</v>
      </c>
      <c r="X65" s="1024">
        <f t="shared" si="74"/>
        <v>8</v>
      </c>
      <c r="Y65" s="1024">
        <f t="shared" si="74"/>
        <v>8</v>
      </c>
      <c r="Z65" s="1024">
        <f t="shared" si="74"/>
        <v>8</v>
      </c>
      <c r="AA65" s="1024">
        <f t="shared" si="74"/>
        <v>8</v>
      </c>
      <c r="AB65" s="1024">
        <f t="shared" si="74"/>
        <v>8</v>
      </c>
      <c r="AC65" s="1026">
        <f t="shared" si="74"/>
        <v>8</v>
      </c>
      <c r="AD65" s="1025">
        <f t="shared" si="74"/>
        <v>8</v>
      </c>
      <c r="AE65" s="1024">
        <f t="shared" si="74"/>
        <v>8</v>
      </c>
      <c r="AF65" s="1024">
        <f t="shared" si="74"/>
        <v>8</v>
      </c>
      <c r="AG65" s="1024">
        <f t="shared" si="74"/>
        <v>8</v>
      </c>
      <c r="AH65" s="1024">
        <f t="shared" si="74"/>
        <v>8</v>
      </c>
      <c r="AI65" s="1024">
        <f t="shared" si="74"/>
        <v>8</v>
      </c>
      <c r="AJ65" s="1024">
        <f t="shared" si="74"/>
        <v>8</v>
      </c>
      <c r="AK65" s="1024">
        <f t="shared" si="74"/>
        <v>8</v>
      </c>
      <c r="AL65" s="1024">
        <f t="shared" si="74"/>
        <v>8</v>
      </c>
      <c r="AM65" s="1024">
        <f t="shared" si="74"/>
        <v>8</v>
      </c>
      <c r="AN65" s="1024">
        <f t="shared" si="74"/>
        <v>8</v>
      </c>
      <c r="AO65" s="1026">
        <f t="shared" si="74"/>
        <v>8</v>
      </c>
      <c r="AP65" s="1025">
        <f t="shared" si="74"/>
        <v>8</v>
      </c>
      <c r="AQ65" s="1024">
        <f t="shared" si="74"/>
        <v>8</v>
      </c>
      <c r="AR65" s="1024">
        <f t="shared" si="74"/>
        <v>8</v>
      </c>
      <c r="AS65" s="1024">
        <f t="shared" si="74"/>
        <v>8</v>
      </c>
      <c r="AT65" s="1024">
        <f t="shared" si="74"/>
        <v>8</v>
      </c>
      <c r="AU65" s="1024">
        <f t="shared" si="74"/>
        <v>8</v>
      </c>
      <c r="AV65" s="1024">
        <f t="shared" si="74"/>
        <v>8</v>
      </c>
      <c r="AW65" s="1024">
        <f t="shared" si="74"/>
        <v>8</v>
      </c>
      <c r="AX65" s="1024">
        <f t="shared" si="74"/>
        <v>8</v>
      </c>
      <c r="AY65" s="1024">
        <f t="shared" si="74"/>
        <v>8</v>
      </c>
      <c r="AZ65" s="1024">
        <f t="shared" si="74"/>
        <v>8</v>
      </c>
      <c r="BA65" s="1026">
        <f t="shared" si="74"/>
        <v>8</v>
      </c>
      <c r="BB65" s="1025">
        <f t="shared" si="74"/>
        <v>8</v>
      </c>
      <c r="BC65" s="1024">
        <f t="shared" si="74"/>
        <v>8</v>
      </c>
      <c r="BD65" s="1024">
        <f t="shared" si="74"/>
        <v>8</v>
      </c>
      <c r="BE65" s="1024">
        <f t="shared" si="74"/>
        <v>8</v>
      </c>
      <c r="BF65" s="1024">
        <f t="shared" si="74"/>
        <v>8</v>
      </c>
      <c r="BG65" s="1024">
        <f t="shared" si="74"/>
        <v>8</v>
      </c>
      <c r="BH65" s="1024">
        <f t="shared" si="74"/>
        <v>8</v>
      </c>
      <c r="BI65" s="1024">
        <f t="shared" si="74"/>
        <v>8</v>
      </c>
      <c r="BJ65" s="1024">
        <f t="shared" si="74"/>
        <v>8</v>
      </c>
      <c r="BK65" s="1024">
        <f t="shared" si="74"/>
        <v>8</v>
      </c>
      <c r="BL65" s="1024">
        <f t="shared" si="74"/>
        <v>8</v>
      </c>
      <c r="BM65" s="1026">
        <f t="shared" si="74"/>
        <v>8</v>
      </c>
      <c r="BN65" s="1025">
        <f t="shared" si="74"/>
        <v>8</v>
      </c>
      <c r="BO65" s="1024">
        <f t="shared" si="74"/>
        <v>8</v>
      </c>
      <c r="BP65" s="1024">
        <f t="shared" si="74"/>
        <v>8</v>
      </c>
      <c r="BQ65" s="1024">
        <f t="shared" si="74"/>
        <v>8</v>
      </c>
      <c r="BR65" s="1024">
        <f t="shared" si="74"/>
        <v>8</v>
      </c>
      <c r="BS65" s="1024">
        <f t="shared" si="74"/>
        <v>8</v>
      </c>
      <c r="BT65" s="1024">
        <f t="shared" si="74"/>
        <v>8</v>
      </c>
      <c r="BU65" s="1024">
        <f t="shared" si="74"/>
        <v>8</v>
      </c>
      <c r="BV65" s="1024">
        <f t="shared" si="74"/>
        <v>8</v>
      </c>
      <c r="BW65" s="1024">
        <f t="shared" si="74"/>
        <v>8</v>
      </c>
      <c r="BX65" s="1024">
        <f t="shared" si="74"/>
        <v>8</v>
      </c>
      <c r="BY65" s="1026">
        <f t="shared" si="74"/>
        <v>8</v>
      </c>
      <c r="BZ65" s="845">
        <f t="shared" si="74"/>
        <v>0</v>
      </c>
    </row>
    <row r="66" spans="1:78" s="819" customFormat="1">
      <c r="A66" s="863"/>
      <c r="B66" s="862"/>
      <c r="C66" s="861"/>
      <c r="D66" s="813"/>
      <c r="E66" s="833" t="s">
        <v>814</v>
      </c>
      <c r="F66" s="992">
        <f>F64+F65</f>
        <v>0</v>
      </c>
      <c r="G66" s="837">
        <f>G64+G65</f>
        <v>75</v>
      </c>
      <c r="H66" s="854"/>
      <c r="I66" s="1002">
        <f>I64+I65</f>
        <v>75</v>
      </c>
      <c r="J66" s="1002">
        <f>J64+J65</f>
        <v>75</v>
      </c>
      <c r="K66" s="1002">
        <f>K64+K65</f>
        <v>75</v>
      </c>
      <c r="L66" s="1002">
        <f>L64+L65</f>
        <v>75</v>
      </c>
      <c r="M66" s="1002">
        <f>M64+M65</f>
        <v>75</v>
      </c>
      <c r="N66" s="861"/>
      <c r="O66" s="862"/>
      <c r="P66" s="861"/>
      <c r="Q66" s="1024">
        <f>Q64+Q65</f>
        <v>75</v>
      </c>
      <c r="R66" s="1025">
        <f t="shared" ref="R66:BZ66" si="75">R64+R65</f>
        <v>75</v>
      </c>
      <c r="S66" s="1024">
        <f t="shared" si="75"/>
        <v>75</v>
      </c>
      <c r="T66" s="1024">
        <f t="shared" si="75"/>
        <v>75</v>
      </c>
      <c r="U66" s="1024">
        <f t="shared" si="75"/>
        <v>75</v>
      </c>
      <c r="V66" s="1024">
        <f t="shared" si="75"/>
        <v>75</v>
      </c>
      <c r="W66" s="1024">
        <f t="shared" si="75"/>
        <v>75</v>
      </c>
      <c r="X66" s="1024">
        <f t="shared" si="75"/>
        <v>75</v>
      </c>
      <c r="Y66" s="1024">
        <f t="shared" si="75"/>
        <v>75</v>
      </c>
      <c r="Z66" s="1024">
        <f t="shared" si="75"/>
        <v>75</v>
      </c>
      <c r="AA66" s="1024">
        <f t="shared" si="75"/>
        <v>75</v>
      </c>
      <c r="AB66" s="1024">
        <f t="shared" si="75"/>
        <v>75</v>
      </c>
      <c r="AC66" s="1026">
        <f t="shared" si="75"/>
        <v>75</v>
      </c>
      <c r="AD66" s="1025">
        <f t="shared" si="75"/>
        <v>75</v>
      </c>
      <c r="AE66" s="1024">
        <f t="shared" si="75"/>
        <v>75</v>
      </c>
      <c r="AF66" s="1024">
        <f t="shared" si="75"/>
        <v>75</v>
      </c>
      <c r="AG66" s="1024">
        <f t="shared" si="75"/>
        <v>75</v>
      </c>
      <c r="AH66" s="1024">
        <f t="shared" si="75"/>
        <v>75</v>
      </c>
      <c r="AI66" s="1024">
        <f t="shared" si="75"/>
        <v>75</v>
      </c>
      <c r="AJ66" s="1024">
        <f t="shared" si="75"/>
        <v>75</v>
      </c>
      <c r="AK66" s="1024">
        <f t="shared" si="75"/>
        <v>75</v>
      </c>
      <c r="AL66" s="1024">
        <f t="shared" si="75"/>
        <v>75</v>
      </c>
      <c r="AM66" s="1024">
        <f t="shared" si="75"/>
        <v>75</v>
      </c>
      <c r="AN66" s="1024">
        <f t="shared" si="75"/>
        <v>75</v>
      </c>
      <c r="AO66" s="1026">
        <f t="shared" si="75"/>
        <v>75</v>
      </c>
      <c r="AP66" s="1025">
        <f t="shared" si="75"/>
        <v>75</v>
      </c>
      <c r="AQ66" s="1024">
        <f t="shared" si="75"/>
        <v>75</v>
      </c>
      <c r="AR66" s="1024">
        <f t="shared" si="75"/>
        <v>75</v>
      </c>
      <c r="AS66" s="1024">
        <f t="shared" si="75"/>
        <v>75</v>
      </c>
      <c r="AT66" s="1024">
        <f t="shared" si="75"/>
        <v>75</v>
      </c>
      <c r="AU66" s="1024">
        <f t="shared" si="75"/>
        <v>75</v>
      </c>
      <c r="AV66" s="1024">
        <f t="shared" si="75"/>
        <v>75</v>
      </c>
      <c r="AW66" s="1024">
        <f t="shared" si="75"/>
        <v>75</v>
      </c>
      <c r="AX66" s="1024">
        <f t="shared" si="75"/>
        <v>75</v>
      </c>
      <c r="AY66" s="1024">
        <f t="shared" si="75"/>
        <v>75</v>
      </c>
      <c r="AZ66" s="1024">
        <f t="shared" si="75"/>
        <v>75</v>
      </c>
      <c r="BA66" s="1026">
        <f t="shared" si="75"/>
        <v>75</v>
      </c>
      <c r="BB66" s="1025">
        <f t="shared" si="75"/>
        <v>75</v>
      </c>
      <c r="BC66" s="1024">
        <f t="shared" si="75"/>
        <v>75</v>
      </c>
      <c r="BD66" s="1024">
        <f t="shared" si="75"/>
        <v>75</v>
      </c>
      <c r="BE66" s="1024">
        <f t="shared" si="75"/>
        <v>75</v>
      </c>
      <c r="BF66" s="1024">
        <f t="shared" si="75"/>
        <v>75</v>
      </c>
      <c r="BG66" s="1024">
        <f t="shared" si="75"/>
        <v>75</v>
      </c>
      <c r="BH66" s="1024">
        <f t="shared" si="75"/>
        <v>75</v>
      </c>
      <c r="BI66" s="1024">
        <f t="shared" si="75"/>
        <v>75</v>
      </c>
      <c r="BJ66" s="1024">
        <f t="shared" si="75"/>
        <v>75</v>
      </c>
      <c r="BK66" s="1024">
        <f t="shared" si="75"/>
        <v>75</v>
      </c>
      <c r="BL66" s="1024">
        <f t="shared" si="75"/>
        <v>75</v>
      </c>
      <c r="BM66" s="1026">
        <f t="shared" si="75"/>
        <v>75</v>
      </c>
      <c r="BN66" s="1025">
        <f t="shared" si="75"/>
        <v>75</v>
      </c>
      <c r="BO66" s="1024">
        <f t="shared" si="75"/>
        <v>75</v>
      </c>
      <c r="BP66" s="1024">
        <f t="shared" si="75"/>
        <v>75</v>
      </c>
      <c r="BQ66" s="1024">
        <f t="shared" si="75"/>
        <v>75</v>
      </c>
      <c r="BR66" s="1024">
        <f t="shared" si="75"/>
        <v>75</v>
      </c>
      <c r="BS66" s="1024">
        <f t="shared" si="75"/>
        <v>75</v>
      </c>
      <c r="BT66" s="1024">
        <f t="shared" si="75"/>
        <v>75</v>
      </c>
      <c r="BU66" s="1024">
        <f t="shared" si="75"/>
        <v>75</v>
      </c>
      <c r="BV66" s="1024">
        <f t="shared" si="75"/>
        <v>75</v>
      </c>
      <c r="BW66" s="1024">
        <f t="shared" si="75"/>
        <v>75</v>
      </c>
      <c r="BX66" s="1024">
        <f t="shared" si="75"/>
        <v>75</v>
      </c>
      <c r="BY66" s="1026">
        <f t="shared" si="75"/>
        <v>75</v>
      </c>
      <c r="BZ66" s="845">
        <f t="shared" si="75"/>
        <v>0</v>
      </c>
    </row>
    <row r="67" spans="1:78" s="819" customFormat="1" ht="13.5" thickBot="1">
      <c r="A67" s="863"/>
      <c r="B67" s="862"/>
      <c r="C67" s="861"/>
      <c r="D67" s="794"/>
      <c r="E67" s="829" t="s">
        <v>4101</v>
      </c>
      <c r="F67" s="993"/>
      <c r="G67" s="835">
        <f>G65/G66</f>
        <v>0.10666666666666667</v>
      </c>
      <c r="H67" s="1011"/>
      <c r="I67" s="835">
        <f>I65/I66</f>
        <v>0.10666666666666667</v>
      </c>
      <c r="J67" s="835">
        <f>J65/J66</f>
        <v>0.10666666666666667</v>
      </c>
      <c r="K67" s="835">
        <f>K65/K66</f>
        <v>0.10666666666666667</v>
      </c>
      <c r="L67" s="835">
        <f>L65/L66</f>
        <v>0.10666666666666667</v>
      </c>
      <c r="M67" s="835">
        <f>M65/M66</f>
        <v>0.10666666666666667</v>
      </c>
      <c r="N67" s="861"/>
      <c r="O67" s="862"/>
      <c r="P67" s="861"/>
      <c r="Q67" s="1024"/>
      <c r="R67" s="1029"/>
      <c r="S67" s="1030"/>
      <c r="T67" s="1030"/>
      <c r="U67" s="1030"/>
      <c r="V67" s="1030"/>
      <c r="W67" s="1030"/>
      <c r="X67" s="1030"/>
      <c r="Y67" s="1030"/>
      <c r="Z67" s="1030"/>
      <c r="AA67" s="1030"/>
      <c r="AB67" s="1030"/>
      <c r="AC67" s="1031"/>
      <c r="AD67" s="1029"/>
      <c r="AE67" s="1030"/>
      <c r="AF67" s="1030"/>
      <c r="AG67" s="1030"/>
      <c r="AH67" s="1030"/>
      <c r="AI67" s="1030"/>
      <c r="AJ67" s="1030"/>
      <c r="AK67" s="1030"/>
      <c r="AL67" s="1030"/>
      <c r="AM67" s="1030"/>
      <c r="AN67" s="1030"/>
      <c r="AO67" s="1031"/>
      <c r="AP67" s="1029"/>
      <c r="AQ67" s="1030"/>
      <c r="AR67" s="1030"/>
      <c r="AS67" s="1030"/>
      <c r="AT67" s="1030"/>
      <c r="AU67" s="1030"/>
      <c r="AV67" s="1030"/>
      <c r="AW67" s="1030"/>
      <c r="AX67" s="1030"/>
      <c r="AY67" s="1030"/>
      <c r="AZ67" s="1030"/>
      <c r="BA67" s="1031"/>
      <c r="BB67" s="1029"/>
      <c r="BC67" s="1030"/>
      <c r="BD67" s="1030"/>
      <c r="BE67" s="1030"/>
      <c r="BF67" s="1030"/>
      <c r="BG67" s="1030"/>
      <c r="BH67" s="1030"/>
      <c r="BI67" s="1030"/>
      <c r="BJ67" s="1030"/>
      <c r="BK67" s="1030"/>
      <c r="BL67" s="1030"/>
      <c r="BM67" s="1031"/>
      <c r="BN67" s="1029"/>
      <c r="BO67" s="1030"/>
      <c r="BP67" s="1030"/>
      <c r="BQ67" s="1030"/>
      <c r="BR67" s="1030"/>
      <c r="BS67" s="1030"/>
      <c r="BT67" s="1030"/>
      <c r="BU67" s="1030"/>
      <c r="BV67" s="1030"/>
      <c r="BW67" s="1030"/>
      <c r="BX67" s="1030"/>
      <c r="BY67" s="1031"/>
      <c r="BZ67" s="844"/>
    </row>
    <row r="68" spans="1:78" s="848" customFormat="1">
      <c r="A68" s="863"/>
      <c r="B68" s="862"/>
      <c r="C68" s="861"/>
      <c r="D68" s="855"/>
      <c r="E68" s="854"/>
      <c r="F68" s="994"/>
      <c r="G68" s="854"/>
      <c r="H68" s="854"/>
      <c r="I68" s="854"/>
      <c r="J68" s="854"/>
      <c r="K68" s="854"/>
      <c r="L68" s="854"/>
      <c r="M68" s="854"/>
      <c r="N68" s="861"/>
      <c r="O68" s="862"/>
      <c r="P68" s="861"/>
      <c r="Q68" s="850"/>
    </row>
    <row r="69" spans="1:78" s="848" customFormat="1">
      <c r="A69" s="863"/>
      <c r="B69" s="862"/>
      <c r="C69" s="861"/>
      <c r="D69" s="856"/>
      <c r="E69" s="854"/>
      <c r="F69" s="994"/>
      <c r="G69" s="857"/>
      <c r="H69" s="854"/>
      <c r="I69" s="857"/>
      <c r="J69" s="857"/>
      <c r="K69" s="857"/>
      <c r="L69" s="857"/>
      <c r="M69" s="857"/>
      <c r="N69" s="861"/>
      <c r="O69" s="862"/>
      <c r="P69" s="861"/>
      <c r="Q69" s="850"/>
    </row>
    <row r="70" spans="1:78" s="848" customFormat="1">
      <c r="A70" s="863"/>
      <c r="B70" s="862"/>
      <c r="C70" s="861"/>
      <c r="D70" s="856"/>
      <c r="E70" s="854"/>
      <c r="F70" s="994"/>
      <c r="G70" s="857"/>
      <c r="H70" s="854"/>
      <c r="I70" s="857"/>
      <c r="J70" s="857"/>
      <c r="K70" s="857"/>
      <c r="L70" s="857"/>
      <c r="M70" s="857"/>
      <c r="N70" s="861"/>
      <c r="O70" s="862"/>
      <c r="P70" s="861"/>
      <c r="Q70" s="850"/>
    </row>
    <row r="71" spans="1:78" s="815" customFormat="1">
      <c r="A71" s="863"/>
      <c r="B71" s="862"/>
      <c r="C71" s="861"/>
      <c r="D71" s="341" t="str">
        <f>"The " &amp;Type</f>
        <v>The DeNovo</v>
      </c>
      <c r="E71" s="176"/>
      <c r="F71" s="995"/>
      <c r="G71" s="810"/>
      <c r="H71" s="860"/>
      <c r="I71" s="176"/>
      <c r="J71" s="176"/>
      <c r="K71" s="176"/>
      <c r="L71" s="176"/>
      <c r="M71" s="176"/>
      <c r="N71" s="861"/>
      <c r="O71" s="862"/>
      <c r="P71" s="861"/>
      <c r="Q71" s="277"/>
      <c r="R71" s="838" t="s">
        <v>1090</v>
      </c>
      <c r="S71" s="839"/>
      <c r="T71" s="839"/>
      <c r="U71" s="839"/>
      <c r="V71" s="839"/>
      <c r="W71" s="839"/>
      <c r="X71" s="839"/>
      <c r="Y71" s="839"/>
      <c r="Z71" s="839"/>
      <c r="AA71" s="839"/>
      <c r="AB71" s="839"/>
      <c r="AC71" s="840"/>
      <c r="AD71" s="838" t="s">
        <v>1091</v>
      </c>
      <c r="AE71" s="839"/>
      <c r="AF71" s="839"/>
      <c r="AG71" s="839"/>
      <c r="AH71" s="839"/>
      <c r="AI71" s="839"/>
      <c r="AJ71" s="839"/>
      <c r="AK71" s="839"/>
      <c r="AL71" s="839"/>
      <c r="AM71" s="839"/>
      <c r="AN71" s="839"/>
      <c r="AO71" s="840"/>
      <c r="AP71" s="838" t="s">
        <v>2165</v>
      </c>
      <c r="AQ71" s="839"/>
      <c r="AR71" s="839"/>
      <c r="AS71" s="839"/>
      <c r="AT71" s="839"/>
      <c r="AU71" s="839"/>
      <c r="AV71" s="839"/>
      <c r="AW71" s="839"/>
      <c r="AX71" s="839"/>
      <c r="AY71" s="839"/>
      <c r="AZ71" s="839"/>
      <c r="BA71" s="840"/>
      <c r="BB71" s="838" t="s">
        <v>2166</v>
      </c>
      <c r="BC71" s="839"/>
      <c r="BD71" s="839"/>
      <c r="BE71" s="839"/>
      <c r="BF71" s="839"/>
      <c r="BG71" s="839"/>
      <c r="BH71" s="839"/>
      <c r="BI71" s="839"/>
      <c r="BJ71" s="839"/>
      <c r="BK71" s="839"/>
      <c r="BL71" s="839"/>
      <c r="BM71" s="840"/>
      <c r="BN71" s="838" t="s">
        <v>2167</v>
      </c>
      <c r="BO71" s="839"/>
      <c r="BP71" s="839"/>
      <c r="BQ71" s="839"/>
      <c r="BR71" s="839"/>
      <c r="BS71" s="839"/>
      <c r="BT71" s="839"/>
      <c r="BU71" s="839"/>
      <c r="BV71" s="839"/>
      <c r="BW71" s="839"/>
      <c r="BX71" s="839"/>
      <c r="BY71" s="840"/>
    </row>
    <row r="72" spans="1:78" s="819" customFormat="1" ht="27.95" customHeight="1" thickBot="1">
      <c r="A72" s="863"/>
      <c r="B72" s="862"/>
      <c r="C72" s="861"/>
      <c r="D72" s="794"/>
      <c r="E72" s="794"/>
      <c r="F72" s="996" t="s">
        <v>1554</v>
      </c>
      <c r="G72" s="814" t="s">
        <v>1555</v>
      </c>
      <c r="H72" s="1011"/>
      <c r="I72" s="816" t="str">
        <f>$I$7</f>
        <v>Year 1</v>
      </c>
      <c r="J72" s="816" t="str">
        <f>$J$7</f>
        <v>Year 2</v>
      </c>
      <c r="K72" s="816" t="str">
        <f>$K$7</f>
        <v>Year 3</v>
      </c>
      <c r="L72" s="816" t="str">
        <f>$L$7</f>
        <v>Year 4</v>
      </c>
      <c r="M72" s="816" t="str">
        <f>$M$7</f>
        <v>Year 5</v>
      </c>
      <c r="N72" s="861"/>
      <c r="O72" s="862"/>
      <c r="P72" s="1679"/>
      <c r="Q72" s="817">
        <v>0</v>
      </c>
      <c r="R72" s="841">
        <f>Q72+1</f>
        <v>1</v>
      </c>
      <c r="S72" s="842">
        <f t="shared" ref="S72:BX72" si="76">R72+1</f>
        <v>2</v>
      </c>
      <c r="T72" s="842">
        <f t="shared" si="76"/>
        <v>3</v>
      </c>
      <c r="U72" s="842">
        <f t="shared" si="76"/>
        <v>4</v>
      </c>
      <c r="V72" s="842">
        <f t="shared" si="76"/>
        <v>5</v>
      </c>
      <c r="W72" s="842">
        <f t="shared" si="76"/>
        <v>6</v>
      </c>
      <c r="X72" s="842">
        <f t="shared" si="76"/>
        <v>7</v>
      </c>
      <c r="Y72" s="842">
        <f t="shared" si="76"/>
        <v>8</v>
      </c>
      <c r="Z72" s="842">
        <f t="shared" si="76"/>
        <v>9</v>
      </c>
      <c r="AA72" s="842">
        <f t="shared" si="76"/>
        <v>10</v>
      </c>
      <c r="AB72" s="842">
        <f t="shared" si="76"/>
        <v>11</v>
      </c>
      <c r="AC72" s="843">
        <f t="shared" si="76"/>
        <v>12</v>
      </c>
      <c r="AD72" s="841">
        <f t="shared" si="76"/>
        <v>13</v>
      </c>
      <c r="AE72" s="842">
        <f t="shared" si="76"/>
        <v>14</v>
      </c>
      <c r="AF72" s="842">
        <f t="shared" si="76"/>
        <v>15</v>
      </c>
      <c r="AG72" s="842">
        <f t="shared" si="76"/>
        <v>16</v>
      </c>
      <c r="AH72" s="842">
        <f t="shared" si="76"/>
        <v>17</v>
      </c>
      <c r="AI72" s="842">
        <f t="shared" si="76"/>
        <v>18</v>
      </c>
      <c r="AJ72" s="842">
        <f t="shared" si="76"/>
        <v>19</v>
      </c>
      <c r="AK72" s="842">
        <f t="shared" si="76"/>
        <v>20</v>
      </c>
      <c r="AL72" s="842">
        <f t="shared" si="76"/>
        <v>21</v>
      </c>
      <c r="AM72" s="842">
        <f t="shared" si="76"/>
        <v>22</v>
      </c>
      <c r="AN72" s="842">
        <f t="shared" si="76"/>
        <v>23</v>
      </c>
      <c r="AO72" s="843">
        <f t="shared" si="76"/>
        <v>24</v>
      </c>
      <c r="AP72" s="841">
        <f t="shared" si="76"/>
        <v>25</v>
      </c>
      <c r="AQ72" s="842">
        <f t="shared" si="76"/>
        <v>26</v>
      </c>
      <c r="AR72" s="842">
        <f t="shared" si="76"/>
        <v>27</v>
      </c>
      <c r="AS72" s="842">
        <f t="shared" si="76"/>
        <v>28</v>
      </c>
      <c r="AT72" s="842">
        <f t="shared" si="76"/>
        <v>29</v>
      </c>
      <c r="AU72" s="842">
        <f t="shared" si="76"/>
        <v>30</v>
      </c>
      <c r="AV72" s="842">
        <f t="shared" si="76"/>
        <v>31</v>
      </c>
      <c r="AW72" s="842">
        <f t="shared" si="76"/>
        <v>32</v>
      </c>
      <c r="AX72" s="842">
        <f t="shared" si="76"/>
        <v>33</v>
      </c>
      <c r="AY72" s="842">
        <f t="shared" si="76"/>
        <v>34</v>
      </c>
      <c r="AZ72" s="842">
        <f t="shared" si="76"/>
        <v>35</v>
      </c>
      <c r="BA72" s="843">
        <f t="shared" si="76"/>
        <v>36</v>
      </c>
      <c r="BB72" s="841">
        <f t="shared" si="76"/>
        <v>37</v>
      </c>
      <c r="BC72" s="842">
        <f t="shared" si="76"/>
        <v>38</v>
      </c>
      <c r="BD72" s="842">
        <f t="shared" si="76"/>
        <v>39</v>
      </c>
      <c r="BE72" s="842">
        <f t="shared" si="76"/>
        <v>40</v>
      </c>
      <c r="BF72" s="842">
        <f t="shared" si="76"/>
        <v>41</v>
      </c>
      <c r="BG72" s="842">
        <f t="shared" si="76"/>
        <v>42</v>
      </c>
      <c r="BH72" s="842">
        <f t="shared" si="76"/>
        <v>43</v>
      </c>
      <c r="BI72" s="842">
        <f t="shared" si="76"/>
        <v>44</v>
      </c>
      <c r="BJ72" s="842">
        <f t="shared" si="76"/>
        <v>45</v>
      </c>
      <c r="BK72" s="842">
        <f t="shared" si="76"/>
        <v>46</v>
      </c>
      <c r="BL72" s="842">
        <f t="shared" si="76"/>
        <v>47</v>
      </c>
      <c r="BM72" s="843">
        <f t="shared" si="76"/>
        <v>48</v>
      </c>
      <c r="BN72" s="841">
        <f t="shared" si="76"/>
        <v>49</v>
      </c>
      <c r="BO72" s="842">
        <f t="shared" si="76"/>
        <v>50</v>
      </c>
      <c r="BP72" s="842">
        <f t="shared" si="76"/>
        <v>51</v>
      </c>
      <c r="BQ72" s="842">
        <f t="shared" si="76"/>
        <v>52</v>
      </c>
      <c r="BR72" s="842">
        <f t="shared" si="76"/>
        <v>53</v>
      </c>
      <c r="BS72" s="842">
        <f t="shared" si="76"/>
        <v>54</v>
      </c>
      <c r="BT72" s="842">
        <f t="shared" si="76"/>
        <v>55</v>
      </c>
      <c r="BU72" s="842">
        <f t="shared" si="76"/>
        <v>56</v>
      </c>
      <c r="BV72" s="842">
        <f t="shared" si="76"/>
        <v>57</v>
      </c>
      <c r="BW72" s="842">
        <f t="shared" si="76"/>
        <v>58</v>
      </c>
      <c r="BX72" s="842">
        <f t="shared" si="76"/>
        <v>59</v>
      </c>
      <c r="BY72" s="843">
        <f>BX72+1</f>
        <v>60</v>
      </c>
      <c r="BZ72" s="818" t="s">
        <v>1694</v>
      </c>
    </row>
    <row r="73" spans="1:78" s="823" customFormat="1">
      <c r="A73" s="863"/>
      <c r="B73" s="862"/>
      <c r="C73" s="861"/>
      <c r="D73" s="812"/>
      <c r="E73" s="820" t="str">
        <f>$E$20</f>
        <v>Government</v>
      </c>
      <c r="F73" s="2149">
        <f>F46</f>
        <v>0</v>
      </c>
      <c r="G73" s="821">
        <f>'1Tab_Input'!C61</f>
        <v>0</v>
      </c>
      <c r="H73" s="1018" t="s">
        <v>3665</v>
      </c>
      <c r="I73" s="1003">
        <v>23</v>
      </c>
      <c r="J73" s="1003">
        <v>18</v>
      </c>
      <c r="K73" s="1003">
        <v>12</v>
      </c>
      <c r="L73" s="1003">
        <v>12</v>
      </c>
      <c r="M73" s="1003">
        <v>8</v>
      </c>
      <c r="N73" s="861"/>
      <c r="O73" s="862"/>
      <c r="P73" s="861"/>
      <c r="Q73" s="1020"/>
      <c r="R73" s="1021"/>
      <c r="S73" s="1022"/>
      <c r="T73" s="1022"/>
      <c r="U73" s="1022"/>
      <c r="V73" s="1022"/>
      <c r="W73" s="1022"/>
      <c r="X73" s="1022"/>
      <c r="Y73" s="1022"/>
      <c r="Z73" s="1022"/>
      <c r="AA73" s="1022"/>
      <c r="AB73" s="1022"/>
      <c r="AC73" s="1023"/>
      <c r="AD73" s="1021"/>
      <c r="AE73" s="1022"/>
      <c r="AF73" s="1022"/>
      <c r="AG73" s="1022"/>
      <c r="AH73" s="1022"/>
      <c r="AI73" s="1022"/>
      <c r="AJ73" s="1022"/>
      <c r="AK73" s="1022"/>
      <c r="AL73" s="1022"/>
      <c r="AM73" s="1022"/>
      <c r="AN73" s="1022"/>
      <c r="AO73" s="1023"/>
      <c r="AP73" s="1021"/>
      <c r="AQ73" s="1022"/>
      <c r="AR73" s="1022"/>
      <c r="AS73" s="1022"/>
      <c r="AT73" s="1022"/>
      <c r="AU73" s="1022"/>
      <c r="AV73" s="1022"/>
      <c r="AW73" s="1022"/>
      <c r="AX73" s="1022"/>
      <c r="AY73" s="1022"/>
      <c r="AZ73" s="1022"/>
      <c r="BA73" s="1023"/>
      <c r="BB73" s="1021"/>
      <c r="BC73" s="1022"/>
      <c r="BD73" s="1022"/>
      <c r="BE73" s="1022"/>
      <c r="BF73" s="1022"/>
      <c r="BG73" s="1022"/>
      <c r="BH73" s="1022"/>
      <c r="BI73" s="1022"/>
      <c r="BJ73" s="1022"/>
      <c r="BK73" s="1022"/>
      <c r="BL73" s="1022"/>
      <c r="BM73" s="1023"/>
      <c r="BN73" s="1021"/>
      <c r="BO73" s="1022"/>
      <c r="BP73" s="1022"/>
      <c r="BQ73" s="1022"/>
      <c r="BR73" s="1022"/>
      <c r="BS73" s="1022"/>
      <c r="BT73" s="1022"/>
      <c r="BU73" s="1022"/>
      <c r="BV73" s="1022"/>
      <c r="BW73" s="1022"/>
      <c r="BX73" s="1022"/>
      <c r="BY73" s="1023"/>
      <c r="BZ73" s="844"/>
    </row>
    <row r="74" spans="1:78" s="819" customFormat="1">
      <c r="A74" s="863"/>
      <c r="B74" s="862"/>
      <c r="C74" s="861"/>
      <c r="D74" s="812" t="str">
        <f>$D$21</f>
        <v>ICHD</v>
      </c>
      <c r="E74" s="824"/>
      <c r="F74" s="990"/>
      <c r="G74" s="2485"/>
      <c r="H74" s="1017" t="s">
        <v>3932</v>
      </c>
      <c r="I74" s="1007">
        <f>I73+G73+F73</f>
        <v>23</v>
      </c>
      <c r="J74" s="1006">
        <f>J73+I74</f>
        <v>41</v>
      </c>
      <c r="K74" s="1006">
        <f>K73+J74</f>
        <v>53</v>
      </c>
      <c r="L74" s="1006">
        <f>L73+K74</f>
        <v>65</v>
      </c>
      <c r="M74" s="1006">
        <f>M73+L74</f>
        <v>73</v>
      </c>
      <c r="N74" s="861"/>
      <c r="O74" s="862"/>
      <c r="P74" s="1734" t="s">
        <v>727</v>
      </c>
      <c r="Q74" s="1842">
        <f>G73</f>
        <v>0</v>
      </c>
      <c r="R74" s="2209">
        <f>IF(Type="DeNovo",Q74+$F73/3+$I73/12,Q74+$F73+$I73/12)</f>
        <v>1.9166666666666667</v>
      </c>
      <c r="S74" s="1842">
        <f>IF(Type="DeNovo",R74+$F73/3+$I73/12,R74+$I73/12)</f>
        <v>3.8333333333333335</v>
      </c>
      <c r="T74" s="1842">
        <f>IF(Type="DeNovo",S74+$F73/3+$I73/12,S74+$I73/12)</f>
        <v>5.75</v>
      </c>
      <c r="U74" s="1024">
        <f>T74+$I73/12</f>
        <v>7.666666666666667</v>
      </c>
      <c r="V74" s="1024">
        <f t="shared" ref="V74:AC74" si="77">U74+$I73/12</f>
        <v>9.5833333333333339</v>
      </c>
      <c r="W74" s="1024">
        <f t="shared" si="77"/>
        <v>11.5</v>
      </c>
      <c r="X74" s="1024">
        <f t="shared" si="77"/>
        <v>13.416666666666666</v>
      </c>
      <c r="Y74" s="1024">
        <f t="shared" si="77"/>
        <v>15.333333333333332</v>
      </c>
      <c r="Z74" s="1024">
        <f t="shared" si="77"/>
        <v>17.25</v>
      </c>
      <c r="AA74" s="1024">
        <f t="shared" si="77"/>
        <v>19.166666666666668</v>
      </c>
      <c r="AB74" s="1024">
        <f t="shared" si="77"/>
        <v>21.083333333333336</v>
      </c>
      <c r="AC74" s="1026">
        <f t="shared" si="77"/>
        <v>23.000000000000004</v>
      </c>
      <c r="AD74" s="1025">
        <f t="shared" ref="AD74:AO74" si="78">AC74+$J73/12</f>
        <v>24.500000000000004</v>
      </c>
      <c r="AE74" s="1024">
        <f t="shared" si="78"/>
        <v>26.000000000000004</v>
      </c>
      <c r="AF74" s="1024">
        <f t="shared" si="78"/>
        <v>27.500000000000004</v>
      </c>
      <c r="AG74" s="1024">
        <f t="shared" si="78"/>
        <v>29.000000000000004</v>
      </c>
      <c r="AH74" s="1024">
        <f t="shared" si="78"/>
        <v>30.500000000000004</v>
      </c>
      <c r="AI74" s="1024">
        <f t="shared" si="78"/>
        <v>32</v>
      </c>
      <c r="AJ74" s="1024">
        <f t="shared" si="78"/>
        <v>33.5</v>
      </c>
      <c r="AK74" s="1024">
        <f t="shared" si="78"/>
        <v>35</v>
      </c>
      <c r="AL74" s="1024">
        <f t="shared" si="78"/>
        <v>36.5</v>
      </c>
      <c r="AM74" s="1024">
        <f t="shared" si="78"/>
        <v>38</v>
      </c>
      <c r="AN74" s="1024">
        <f t="shared" si="78"/>
        <v>39.5</v>
      </c>
      <c r="AO74" s="1026">
        <f t="shared" si="78"/>
        <v>41</v>
      </c>
      <c r="AP74" s="1025">
        <f t="shared" ref="AP74:BA74" si="79">AO74+$K73/12</f>
        <v>42</v>
      </c>
      <c r="AQ74" s="1024">
        <f t="shared" si="79"/>
        <v>43</v>
      </c>
      <c r="AR74" s="1024">
        <f t="shared" si="79"/>
        <v>44</v>
      </c>
      <c r="AS74" s="1024">
        <f t="shared" si="79"/>
        <v>45</v>
      </c>
      <c r="AT74" s="1024">
        <f t="shared" si="79"/>
        <v>46</v>
      </c>
      <c r="AU74" s="1024">
        <f t="shared" si="79"/>
        <v>47</v>
      </c>
      <c r="AV74" s="1024">
        <f t="shared" si="79"/>
        <v>48</v>
      </c>
      <c r="AW74" s="1024">
        <f t="shared" si="79"/>
        <v>49</v>
      </c>
      <c r="AX74" s="1024">
        <f t="shared" si="79"/>
        <v>50</v>
      </c>
      <c r="AY74" s="1024">
        <f t="shared" si="79"/>
        <v>51</v>
      </c>
      <c r="AZ74" s="1024">
        <f t="shared" si="79"/>
        <v>52</v>
      </c>
      <c r="BA74" s="1026">
        <f t="shared" si="79"/>
        <v>53</v>
      </c>
      <c r="BB74" s="1025">
        <f t="shared" ref="BB74:BM74" si="80">BA74+$L73/12</f>
        <v>54</v>
      </c>
      <c r="BC74" s="1024">
        <f t="shared" si="80"/>
        <v>55</v>
      </c>
      <c r="BD74" s="1024">
        <f t="shared" si="80"/>
        <v>56</v>
      </c>
      <c r="BE74" s="1024">
        <f t="shared" si="80"/>
        <v>57</v>
      </c>
      <c r="BF74" s="1024">
        <f t="shared" si="80"/>
        <v>58</v>
      </c>
      <c r="BG74" s="1024">
        <f t="shared" si="80"/>
        <v>59</v>
      </c>
      <c r="BH74" s="1024">
        <f t="shared" si="80"/>
        <v>60</v>
      </c>
      <c r="BI74" s="1024">
        <f t="shared" si="80"/>
        <v>61</v>
      </c>
      <c r="BJ74" s="1024">
        <f t="shared" si="80"/>
        <v>62</v>
      </c>
      <c r="BK74" s="1024">
        <f t="shared" si="80"/>
        <v>63</v>
      </c>
      <c r="BL74" s="1024">
        <f t="shared" si="80"/>
        <v>64</v>
      </c>
      <c r="BM74" s="1026">
        <f t="shared" si="80"/>
        <v>65</v>
      </c>
      <c r="BN74" s="1025">
        <f t="shared" ref="BN74:BY74" si="81">BM74+$M73/12</f>
        <v>65.666666666666671</v>
      </c>
      <c r="BO74" s="1024">
        <f t="shared" si="81"/>
        <v>66.333333333333343</v>
      </c>
      <c r="BP74" s="1024">
        <f t="shared" si="81"/>
        <v>67.000000000000014</v>
      </c>
      <c r="BQ74" s="1024">
        <f t="shared" si="81"/>
        <v>67.666666666666686</v>
      </c>
      <c r="BR74" s="1024">
        <f t="shared" si="81"/>
        <v>68.333333333333357</v>
      </c>
      <c r="BS74" s="1024">
        <f t="shared" si="81"/>
        <v>69.000000000000028</v>
      </c>
      <c r="BT74" s="1024">
        <f t="shared" si="81"/>
        <v>69.6666666666667</v>
      </c>
      <c r="BU74" s="1024">
        <f t="shared" si="81"/>
        <v>70.333333333333371</v>
      </c>
      <c r="BV74" s="1024">
        <f t="shared" si="81"/>
        <v>71.000000000000043</v>
      </c>
      <c r="BW74" s="1024">
        <f t="shared" si="81"/>
        <v>71.666666666666714</v>
      </c>
      <c r="BX74" s="1024">
        <f t="shared" si="81"/>
        <v>72.333333333333385</v>
      </c>
      <c r="BY74" s="1026">
        <f t="shared" si="81"/>
        <v>73.000000000000057</v>
      </c>
      <c r="BZ74" s="845">
        <f>ROUND(BY74-M74,1)</f>
        <v>0</v>
      </c>
    </row>
    <row r="75" spans="1:78" s="823" customFormat="1">
      <c r="A75" s="863"/>
      <c r="B75" s="862"/>
      <c r="C75" s="861"/>
      <c r="D75" s="812"/>
      <c r="E75" s="820" t="str">
        <f>$E$22</f>
        <v>Non-Government</v>
      </c>
      <c r="F75" s="2150">
        <f>F48</f>
        <v>0</v>
      </c>
      <c r="G75" s="821">
        <v>1</v>
      </c>
      <c r="H75" s="1018" t="s">
        <v>3665</v>
      </c>
      <c r="I75" s="1003">
        <v>2</v>
      </c>
      <c r="J75" s="1003">
        <v>2</v>
      </c>
      <c r="K75" s="1003">
        <v>1</v>
      </c>
      <c r="L75" s="1003">
        <v>1</v>
      </c>
      <c r="M75" s="1003">
        <v>1</v>
      </c>
      <c r="N75" s="861"/>
      <c r="O75" s="862"/>
      <c r="P75" s="861"/>
      <c r="Q75" s="1020"/>
      <c r="R75" s="1027"/>
      <c r="S75" s="1020"/>
      <c r="T75" s="1020"/>
      <c r="U75" s="1020"/>
      <c r="V75" s="1020"/>
      <c r="W75" s="1020"/>
      <c r="X75" s="1020"/>
      <c r="Y75" s="1020"/>
      <c r="Z75" s="1020"/>
      <c r="AA75" s="1020"/>
      <c r="AB75" s="1020"/>
      <c r="AC75" s="1028"/>
      <c r="AD75" s="1027"/>
      <c r="AE75" s="1020"/>
      <c r="AF75" s="1020"/>
      <c r="AG75" s="1020"/>
      <c r="AH75" s="1020"/>
      <c r="AI75" s="1020"/>
      <c r="AJ75" s="1020"/>
      <c r="AK75" s="1020"/>
      <c r="AL75" s="1020"/>
      <c r="AM75" s="1020"/>
      <c r="AN75" s="1020"/>
      <c r="AO75" s="1028"/>
      <c r="AP75" s="1027"/>
      <c r="AQ75" s="1020"/>
      <c r="AR75" s="1020"/>
      <c r="AS75" s="1020"/>
      <c r="AT75" s="1020"/>
      <c r="AU75" s="1020"/>
      <c r="AV75" s="1020"/>
      <c r="AW75" s="1020"/>
      <c r="AX75" s="1020"/>
      <c r="AY75" s="1020"/>
      <c r="AZ75" s="1020"/>
      <c r="BA75" s="1028"/>
      <c r="BB75" s="1027"/>
      <c r="BC75" s="1020"/>
      <c r="BD75" s="1020"/>
      <c r="BE75" s="1020"/>
      <c r="BF75" s="1020"/>
      <c r="BG75" s="1020"/>
      <c r="BH75" s="1020"/>
      <c r="BI75" s="1020"/>
      <c r="BJ75" s="1020"/>
      <c r="BK75" s="1020"/>
      <c r="BL75" s="1020"/>
      <c r="BM75" s="1028"/>
      <c r="BN75" s="1027"/>
      <c r="BO75" s="1020"/>
      <c r="BP75" s="1020"/>
      <c r="BQ75" s="1020"/>
      <c r="BR75" s="1020"/>
      <c r="BS75" s="1020"/>
      <c r="BT75" s="1020"/>
      <c r="BU75" s="1020"/>
      <c r="BV75" s="1020"/>
      <c r="BW75" s="1020"/>
      <c r="BX75" s="1020"/>
      <c r="BY75" s="1028"/>
      <c r="BZ75" s="844"/>
    </row>
    <row r="76" spans="1:78" s="819" customFormat="1">
      <c r="A76" s="863"/>
      <c r="B76" s="862"/>
      <c r="C76" s="861"/>
      <c r="D76" s="812"/>
      <c r="E76" s="824"/>
      <c r="F76" s="990"/>
      <c r="G76" s="825"/>
      <c r="H76" s="1013" t="s">
        <v>3932</v>
      </c>
      <c r="I76" s="1005">
        <f>I75+G75+F75</f>
        <v>3</v>
      </c>
      <c r="J76" s="1006">
        <f>J75+I76</f>
        <v>5</v>
      </c>
      <c r="K76" s="1006">
        <f>K75+J76</f>
        <v>6</v>
      </c>
      <c r="L76" s="1006">
        <f>L75+K76</f>
        <v>7</v>
      </c>
      <c r="M76" s="1006">
        <f>M75+L76</f>
        <v>8</v>
      </c>
      <c r="N76" s="861"/>
      <c r="O76" s="862"/>
      <c r="P76" s="861"/>
      <c r="Q76" s="1842">
        <f>G75+SensitivityIncChrPts</f>
        <v>1</v>
      </c>
      <c r="R76" s="2209">
        <f>IF(Type="DeNovo",Q76+$F75/3+$I75/12,Q76+$F75+$I75/12)</f>
        <v>1.1666666666666667</v>
      </c>
      <c r="S76" s="1842">
        <f>IF(Type="DeNovo",R76+$F75/3+$I75/12,R76+$I75/12)</f>
        <v>1.3333333333333335</v>
      </c>
      <c r="T76" s="1842">
        <f>IF(Type="DeNovo",S76+$F75/3+$I75/12,S76+$I75/12)</f>
        <v>1.5000000000000002</v>
      </c>
      <c r="U76" s="1024">
        <f>T76+$I75/12</f>
        <v>1.666666666666667</v>
      </c>
      <c r="V76" s="1024">
        <f t="shared" ref="V76:AC76" si="82">U76+$I75/12</f>
        <v>1.8333333333333337</v>
      </c>
      <c r="W76" s="1024">
        <f t="shared" si="82"/>
        <v>2.0000000000000004</v>
      </c>
      <c r="X76" s="1024">
        <f t="shared" si="82"/>
        <v>2.166666666666667</v>
      </c>
      <c r="Y76" s="1024">
        <f t="shared" si="82"/>
        <v>2.3333333333333335</v>
      </c>
      <c r="Z76" s="1024">
        <f t="shared" si="82"/>
        <v>2.5</v>
      </c>
      <c r="AA76" s="1024">
        <f t="shared" si="82"/>
        <v>2.6666666666666665</v>
      </c>
      <c r="AB76" s="1024">
        <f t="shared" si="82"/>
        <v>2.833333333333333</v>
      </c>
      <c r="AC76" s="1026">
        <f t="shared" si="82"/>
        <v>2.9999999999999996</v>
      </c>
      <c r="AD76" s="1025">
        <f t="shared" ref="AD76:AO76" si="83">AC76+$J75/12</f>
        <v>3.1666666666666661</v>
      </c>
      <c r="AE76" s="1024">
        <f t="shared" si="83"/>
        <v>3.3333333333333326</v>
      </c>
      <c r="AF76" s="1024">
        <f t="shared" si="83"/>
        <v>3.4999999999999991</v>
      </c>
      <c r="AG76" s="1024">
        <f t="shared" si="83"/>
        <v>3.6666666666666656</v>
      </c>
      <c r="AH76" s="1024">
        <f t="shared" si="83"/>
        <v>3.8333333333333321</v>
      </c>
      <c r="AI76" s="1024">
        <f t="shared" si="83"/>
        <v>3.9999999999999987</v>
      </c>
      <c r="AJ76" s="1024">
        <f t="shared" si="83"/>
        <v>4.1666666666666652</v>
      </c>
      <c r="AK76" s="1024">
        <f t="shared" si="83"/>
        <v>4.3333333333333321</v>
      </c>
      <c r="AL76" s="1024">
        <f t="shared" si="83"/>
        <v>4.4999999999999991</v>
      </c>
      <c r="AM76" s="1024">
        <f t="shared" si="83"/>
        <v>4.6666666666666661</v>
      </c>
      <c r="AN76" s="1024">
        <f t="shared" si="83"/>
        <v>4.833333333333333</v>
      </c>
      <c r="AO76" s="1026">
        <f t="shared" si="83"/>
        <v>5</v>
      </c>
      <c r="AP76" s="1025">
        <f t="shared" ref="AP76:BA76" si="84">AO76+$K75/12</f>
        <v>5.083333333333333</v>
      </c>
      <c r="AQ76" s="1024">
        <f t="shared" si="84"/>
        <v>5.1666666666666661</v>
      </c>
      <c r="AR76" s="1024">
        <f t="shared" si="84"/>
        <v>5.2499999999999991</v>
      </c>
      <c r="AS76" s="1024">
        <f t="shared" si="84"/>
        <v>5.3333333333333321</v>
      </c>
      <c r="AT76" s="1024">
        <f t="shared" si="84"/>
        <v>5.4166666666666652</v>
      </c>
      <c r="AU76" s="1024">
        <f t="shared" si="84"/>
        <v>5.4999999999999982</v>
      </c>
      <c r="AV76" s="1024">
        <f t="shared" si="84"/>
        <v>5.5833333333333313</v>
      </c>
      <c r="AW76" s="1024">
        <f t="shared" si="84"/>
        <v>5.6666666666666643</v>
      </c>
      <c r="AX76" s="1024">
        <f t="shared" si="84"/>
        <v>5.7499999999999973</v>
      </c>
      <c r="AY76" s="1024">
        <f t="shared" si="84"/>
        <v>5.8333333333333304</v>
      </c>
      <c r="AZ76" s="1024">
        <f t="shared" si="84"/>
        <v>5.9166666666666634</v>
      </c>
      <c r="BA76" s="1026">
        <f t="shared" si="84"/>
        <v>5.9999999999999964</v>
      </c>
      <c r="BB76" s="1025">
        <f t="shared" ref="BB76:BM76" si="85">BA76+$L75/12</f>
        <v>6.0833333333333295</v>
      </c>
      <c r="BC76" s="1024">
        <f t="shared" si="85"/>
        <v>6.1666666666666625</v>
      </c>
      <c r="BD76" s="1024">
        <f t="shared" si="85"/>
        <v>6.2499999999999956</v>
      </c>
      <c r="BE76" s="1024">
        <f t="shared" si="85"/>
        <v>6.3333333333333286</v>
      </c>
      <c r="BF76" s="1024">
        <f t="shared" si="85"/>
        <v>6.4166666666666616</v>
      </c>
      <c r="BG76" s="1024">
        <f t="shared" si="85"/>
        <v>6.4999999999999947</v>
      </c>
      <c r="BH76" s="1024">
        <f t="shared" si="85"/>
        <v>6.5833333333333277</v>
      </c>
      <c r="BI76" s="1024">
        <f t="shared" si="85"/>
        <v>6.6666666666666607</v>
      </c>
      <c r="BJ76" s="1024">
        <f t="shared" si="85"/>
        <v>6.7499999999999938</v>
      </c>
      <c r="BK76" s="1024">
        <f t="shared" si="85"/>
        <v>6.8333333333333268</v>
      </c>
      <c r="BL76" s="1024">
        <f t="shared" si="85"/>
        <v>6.9166666666666599</v>
      </c>
      <c r="BM76" s="1026">
        <f t="shared" si="85"/>
        <v>6.9999999999999929</v>
      </c>
      <c r="BN76" s="1025">
        <f t="shared" ref="BN76:BY76" si="86">BM76+$M75/12</f>
        <v>7.0833333333333259</v>
      </c>
      <c r="BO76" s="1024">
        <f t="shared" si="86"/>
        <v>7.166666666666659</v>
      </c>
      <c r="BP76" s="1024">
        <f t="shared" si="86"/>
        <v>7.249999999999992</v>
      </c>
      <c r="BQ76" s="1024">
        <f t="shared" si="86"/>
        <v>7.333333333333325</v>
      </c>
      <c r="BR76" s="1024">
        <f t="shared" si="86"/>
        <v>7.4166666666666581</v>
      </c>
      <c r="BS76" s="1024">
        <f t="shared" si="86"/>
        <v>7.4999999999999911</v>
      </c>
      <c r="BT76" s="1024">
        <f t="shared" si="86"/>
        <v>7.5833333333333242</v>
      </c>
      <c r="BU76" s="1024">
        <f t="shared" si="86"/>
        <v>7.6666666666666572</v>
      </c>
      <c r="BV76" s="1024">
        <f t="shared" si="86"/>
        <v>7.7499999999999902</v>
      </c>
      <c r="BW76" s="1024">
        <f t="shared" si="86"/>
        <v>7.8333333333333233</v>
      </c>
      <c r="BX76" s="1024">
        <f t="shared" si="86"/>
        <v>7.9166666666666563</v>
      </c>
      <c r="BY76" s="1026">
        <f t="shared" si="86"/>
        <v>7.9999999999999893</v>
      </c>
      <c r="BZ76" s="845">
        <f>ROUND(BY76-M76,1)</f>
        <v>0</v>
      </c>
    </row>
    <row r="77" spans="1:78" s="819" customFormat="1">
      <c r="A77" s="863"/>
      <c r="B77" s="862"/>
      <c r="C77" s="861"/>
      <c r="D77" s="812"/>
      <c r="E77" s="2718" t="s">
        <v>4101</v>
      </c>
      <c r="F77" s="1001"/>
      <c r="G77" s="826">
        <f>IF(SUM(G73,G75)=0,0,G75/SUM(G73,G75))</f>
        <v>1</v>
      </c>
      <c r="H77" s="1014"/>
      <c r="I77" s="1488">
        <f>IF(SUM(I74,I76)=0,0,I76/SUM(I74,I76))</f>
        <v>0.11538461538461539</v>
      </c>
      <c r="J77" s="1487">
        <f>IF(SUM(J74,J76)=0,0,J76/SUM(J74,J76))</f>
        <v>0.10869565217391304</v>
      </c>
      <c r="K77" s="1487">
        <f>IF(SUM(K74,K76)=0,0,K76/SUM(K74,K76))</f>
        <v>0.10169491525423729</v>
      </c>
      <c r="L77" s="1487">
        <f>IF(SUM(L74,L76)=0,0,L76/SUM(L74,L76))</f>
        <v>9.7222222222222224E-2</v>
      </c>
      <c r="M77" s="1487">
        <f>IF(SUM(M74,M76)=0,0,M76/SUM(M74,M76))</f>
        <v>9.8765432098765427E-2</v>
      </c>
      <c r="N77" s="861"/>
      <c r="O77" s="862"/>
      <c r="P77" s="861"/>
      <c r="Q77" s="1024"/>
      <c r="R77" s="1025"/>
      <c r="S77" s="1024"/>
      <c r="T77" s="1024"/>
      <c r="U77" s="1024"/>
      <c r="V77" s="1024"/>
      <c r="W77" s="1024"/>
      <c r="X77" s="1024"/>
      <c r="Y77" s="1024"/>
      <c r="Z77" s="1024"/>
      <c r="AA77" s="1024"/>
      <c r="AB77" s="1024"/>
      <c r="AC77" s="1026"/>
      <c r="AD77" s="1025"/>
      <c r="AE77" s="1024"/>
      <c r="AF77" s="1024"/>
      <c r="AG77" s="1024"/>
      <c r="AH77" s="1024"/>
      <c r="AI77" s="1024"/>
      <c r="AJ77" s="1024"/>
      <c r="AK77" s="1024"/>
      <c r="AL77" s="1024"/>
      <c r="AM77" s="1024"/>
      <c r="AN77" s="1024"/>
      <c r="AO77" s="1026"/>
      <c r="AP77" s="1025"/>
      <c r="AQ77" s="1024"/>
      <c r="AR77" s="1024"/>
      <c r="AS77" s="1024"/>
      <c r="AT77" s="1024"/>
      <c r="AU77" s="1024"/>
      <c r="AV77" s="1024"/>
      <c r="AW77" s="1024"/>
      <c r="AX77" s="1024"/>
      <c r="AY77" s="1024"/>
      <c r="AZ77" s="1024"/>
      <c r="BA77" s="1026"/>
      <c r="BB77" s="1025"/>
      <c r="BC77" s="1024"/>
      <c r="BD77" s="1024"/>
      <c r="BE77" s="1024"/>
      <c r="BF77" s="1024"/>
      <c r="BG77" s="1024"/>
      <c r="BH77" s="1024"/>
      <c r="BI77" s="1024"/>
      <c r="BJ77" s="1024"/>
      <c r="BK77" s="1024"/>
      <c r="BL77" s="1024"/>
      <c r="BM77" s="1026"/>
      <c r="BN77" s="1025"/>
      <c r="BO77" s="1024"/>
      <c r="BP77" s="1024"/>
      <c r="BQ77" s="1024"/>
      <c r="BR77" s="1024"/>
      <c r="BS77" s="1024"/>
      <c r="BT77" s="1024"/>
      <c r="BU77" s="1024"/>
      <c r="BV77" s="1024"/>
      <c r="BW77" s="1024"/>
      <c r="BX77" s="1024"/>
      <c r="BY77" s="1026"/>
      <c r="BZ77" s="844"/>
    </row>
    <row r="78" spans="1:78" s="819" customFormat="1" ht="13.5" thickBot="1">
      <c r="A78" s="863"/>
      <c r="B78" s="862"/>
      <c r="C78" s="861"/>
      <c r="D78" s="812"/>
      <c r="E78" s="829" t="s">
        <v>1551</v>
      </c>
      <c r="F78" s="991"/>
      <c r="G78" s="830">
        <f>IF(G73+G75=0,"NA",(G73+G75)/G14)</f>
        <v>1.0869565217391304E-2</v>
      </c>
      <c r="H78" s="1015"/>
      <c r="I78" s="831">
        <f>IF(I74+I76=0,"NA",(I74+I76)/I14)</f>
        <v>0.28260869565217389</v>
      </c>
      <c r="J78" s="832">
        <f>IF(J74+J76=0,"NA",(J74+J76)/J14)</f>
        <v>0.5</v>
      </c>
      <c r="K78" s="832">
        <f>IF(K74+K76=0,"NA",(K74+K76)/K14)</f>
        <v>0.64130434782608692</v>
      </c>
      <c r="L78" s="832">
        <f>IF(L74+L76=0,"NA",(L74+L76)/L14)</f>
        <v>0.78260869565217395</v>
      </c>
      <c r="M78" s="832">
        <f>IF(M74+M76=0,"NA",(M74+M76)/M14)</f>
        <v>0.70434782608695656</v>
      </c>
      <c r="N78" s="861"/>
      <c r="O78" s="862"/>
      <c r="P78" s="861"/>
      <c r="Q78" s="1024"/>
      <c r="R78" s="1025"/>
      <c r="S78" s="1024"/>
      <c r="T78" s="1024"/>
      <c r="U78" s="1024"/>
      <c r="V78" s="1024"/>
      <c r="W78" s="1024"/>
      <c r="X78" s="1024"/>
      <c r="Y78" s="1024"/>
      <c r="Z78" s="1024"/>
      <c r="AA78" s="1024"/>
      <c r="AB78" s="1024"/>
      <c r="AC78" s="1026"/>
      <c r="AD78" s="1025"/>
      <c r="AE78" s="1024"/>
      <c r="AF78" s="1024"/>
      <c r="AG78" s="1024"/>
      <c r="AH78" s="1024"/>
      <c r="AI78" s="1024"/>
      <c r="AJ78" s="1024"/>
      <c r="AK78" s="1024"/>
      <c r="AL78" s="1024"/>
      <c r="AM78" s="1024"/>
      <c r="AN78" s="1024"/>
      <c r="AO78" s="1026"/>
      <c r="AP78" s="1025"/>
      <c r="AQ78" s="1024"/>
      <c r="AR78" s="1024"/>
      <c r="AS78" s="1024"/>
      <c r="AT78" s="1024"/>
      <c r="AU78" s="1024"/>
      <c r="AV78" s="1024"/>
      <c r="AW78" s="1024"/>
      <c r="AX78" s="1024"/>
      <c r="AY78" s="1024"/>
      <c r="AZ78" s="1024"/>
      <c r="BA78" s="1026"/>
      <c r="BB78" s="1025"/>
      <c r="BC78" s="1024"/>
      <c r="BD78" s="1024"/>
      <c r="BE78" s="1024"/>
      <c r="BF78" s="1024"/>
      <c r="BG78" s="1024"/>
      <c r="BH78" s="1024"/>
      <c r="BI78" s="1024"/>
      <c r="BJ78" s="1024"/>
      <c r="BK78" s="1024"/>
      <c r="BL78" s="1024"/>
      <c r="BM78" s="1026"/>
      <c r="BN78" s="1025"/>
      <c r="BO78" s="1024"/>
      <c r="BP78" s="1024"/>
      <c r="BQ78" s="1024"/>
      <c r="BR78" s="1024"/>
      <c r="BS78" s="1024"/>
      <c r="BT78" s="1024"/>
      <c r="BU78" s="1024"/>
      <c r="BV78" s="1024"/>
      <c r="BW78" s="1024"/>
      <c r="BX78" s="1024"/>
      <c r="BY78" s="1026"/>
      <c r="BZ78" s="845"/>
    </row>
    <row r="79" spans="1:78" s="823" customFormat="1">
      <c r="A79" s="863"/>
      <c r="B79" s="862"/>
      <c r="C79" s="861"/>
      <c r="D79" s="812"/>
      <c r="E79" s="820" t="str">
        <f>$E$20</f>
        <v>Government</v>
      </c>
      <c r="F79" s="2486">
        <f>F52</f>
        <v>0</v>
      </c>
      <c r="G79" s="821">
        <f>'1Tab_Input'!C63</f>
        <v>0</v>
      </c>
      <c r="H79" s="1018" t="s">
        <v>3665</v>
      </c>
      <c r="I79" s="1003">
        <v>6</v>
      </c>
      <c r="J79" s="1003">
        <v>5</v>
      </c>
      <c r="K79" s="1003">
        <v>4</v>
      </c>
      <c r="L79" s="1003">
        <v>4</v>
      </c>
      <c r="M79" s="1003">
        <v>2</v>
      </c>
      <c r="N79" s="861"/>
      <c r="O79" s="862"/>
      <c r="P79" s="861"/>
      <c r="Q79" s="1020"/>
      <c r="R79" s="1027"/>
      <c r="S79" s="1020"/>
      <c r="T79" s="1020"/>
      <c r="U79" s="1020"/>
      <c r="V79" s="1020"/>
      <c r="W79" s="1020"/>
      <c r="X79" s="1020"/>
      <c r="Y79" s="1020"/>
      <c r="Z79" s="1020"/>
      <c r="AA79" s="1020"/>
      <c r="AB79" s="1020"/>
      <c r="AC79" s="1028"/>
      <c r="AD79" s="1027"/>
      <c r="AE79" s="1020"/>
      <c r="AF79" s="1020"/>
      <c r="AG79" s="1020"/>
      <c r="AH79" s="1020"/>
      <c r="AI79" s="1020"/>
      <c r="AJ79" s="1020"/>
      <c r="AK79" s="1020"/>
      <c r="AL79" s="1020"/>
      <c r="AM79" s="1020"/>
      <c r="AN79" s="1020"/>
      <c r="AO79" s="1028"/>
      <c r="AP79" s="1027"/>
      <c r="AQ79" s="1020"/>
      <c r="AR79" s="1020"/>
      <c r="AS79" s="1020"/>
      <c r="AT79" s="1020"/>
      <c r="AU79" s="1020"/>
      <c r="AV79" s="1020"/>
      <c r="AW79" s="1020"/>
      <c r="AX79" s="1020"/>
      <c r="AY79" s="1020"/>
      <c r="AZ79" s="1020"/>
      <c r="BA79" s="1028"/>
      <c r="BB79" s="1027"/>
      <c r="BC79" s="1020"/>
      <c r="BD79" s="1020"/>
      <c r="BE79" s="1020"/>
      <c r="BF79" s="1020"/>
      <c r="BG79" s="1020"/>
      <c r="BH79" s="1020"/>
      <c r="BI79" s="1020"/>
      <c r="BJ79" s="1020"/>
      <c r="BK79" s="1020"/>
      <c r="BL79" s="1020"/>
      <c r="BM79" s="1028"/>
      <c r="BN79" s="1027"/>
      <c r="BO79" s="1020"/>
      <c r="BP79" s="1020"/>
      <c r="BQ79" s="1020"/>
      <c r="BR79" s="1020"/>
      <c r="BS79" s="1020"/>
      <c r="BT79" s="1020"/>
      <c r="BU79" s="1020"/>
      <c r="BV79" s="1020"/>
      <c r="BW79" s="1020"/>
      <c r="BX79" s="1020"/>
      <c r="BY79" s="1028"/>
      <c r="BZ79" s="844"/>
    </row>
    <row r="80" spans="1:78" s="819" customFormat="1">
      <c r="A80" s="863"/>
      <c r="B80" s="862"/>
      <c r="C80" s="861"/>
      <c r="D80" s="812" t="str">
        <f>$D$27</f>
        <v>PD</v>
      </c>
      <c r="E80" s="824"/>
      <c r="F80" s="2487"/>
      <c r="G80" s="2485"/>
      <c r="H80" s="1017" t="s">
        <v>3932</v>
      </c>
      <c r="I80" s="1007">
        <f>I79+G79+F79</f>
        <v>6</v>
      </c>
      <c r="J80" s="1006">
        <f>J79+I80</f>
        <v>11</v>
      </c>
      <c r="K80" s="1006">
        <f>K79+J80</f>
        <v>15</v>
      </c>
      <c r="L80" s="1006">
        <f>L79+K80</f>
        <v>19</v>
      </c>
      <c r="M80" s="1006">
        <f>M79+L80</f>
        <v>21</v>
      </c>
      <c r="N80" s="861"/>
      <c r="O80" s="862"/>
      <c r="P80" s="861"/>
      <c r="Q80" s="1842">
        <f>G79</f>
        <v>0</v>
      </c>
      <c r="R80" s="2209">
        <f>IF(Type="DeNovo",Q80+$F79/3+$I79/12,Q80+$F79+$I79/12)</f>
        <v>0.5</v>
      </c>
      <c r="S80" s="1842">
        <f>IF(Type="DeNovo",R80+$F79/3+$I79/12,R80+$I79/12)</f>
        <v>1</v>
      </c>
      <c r="T80" s="1842">
        <f>IF(Type="DeNovo",S80+$F79/3+$I79/12,S80+$I79/12)</f>
        <v>1.5</v>
      </c>
      <c r="U80" s="1024">
        <f>T80+$I79/12</f>
        <v>2</v>
      </c>
      <c r="V80" s="1024">
        <f t="shared" ref="V80:AC80" si="87">U80+$I79/12</f>
        <v>2.5</v>
      </c>
      <c r="W80" s="1024">
        <f t="shared" si="87"/>
        <v>3</v>
      </c>
      <c r="X80" s="1024">
        <f t="shared" si="87"/>
        <v>3.5</v>
      </c>
      <c r="Y80" s="1024">
        <f t="shared" si="87"/>
        <v>4</v>
      </c>
      <c r="Z80" s="1024">
        <f t="shared" si="87"/>
        <v>4.5</v>
      </c>
      <c r="AA80" s="1024">
        <f t="shared" si="87"/>
        <v>5</v>
      </c>
      <c r="AB80" s="1024">
        <f t="shared" si="87"/>
        <v>5.5</v>
      </c>
      <c r="AC80" s="1026">
        <f t="shared" si="87"/>
        <v>6</v>
      </c>
      <c r="AD80" s="1025">
        <f t="shared" ref="AD80:AO80" si="88">AC80+$J79/12</f>
        <v>6.416666666666667</v>
      </c>
      <c r="AE80" s="1024">
        <f t="shared" si="88"/>
        <v>6.8333333333333339</v>
      </c>
      <c r="AF80" s="1024">
        <f t="shared" si="88"/>
        <v>7.2500000000000009</v>
      </c>
      <c r="AG80" s="1024">
        <f t="shared" si="88"/>
        <v>7.6666666666666679</v>
      </c>
      <c r="AH80" s="1024">
        <f t="shared" si="88"/>
        <v>8.0833333333333339</v>
      </c>
      <c r="AI80" s="1024">
        <f t="shared" si="88"/>
        <v>8.5</v>
      </c>
      <c r="AJ80" s="1024">
        <f t="shared" si="88"/>
        <v>8.9166666666666661</v>
      </c>
      <c r="AK80" s="1024">
        <f t="shared" si="88"/>
        <v>9.3333333333333321</v>
      </c>
      <c r="AL80" s="1024">
        <f t="shared" si="88"/>
        <v>9.7499999999999982</v>
      </c>
      <c r="AM80" s="1024">
        <f t="shared" si="88"/>
        <v>10.166666666666664</v>
      </c>
      <c r="AN80" s="1024">
        <f t="shared" si="88"/>
        <v>10.58333333333333</v>
      </c>
      <c r="AO80" s="1026">
        <f t="shared" si="88"/>
        <v>10.999999999999996</v>
      </c>
      <c r="AP80" s="1025">
        <f t="shared" ref="AP80:BA80" si="89">AO80+$K79/12</f>
        <v>11.33333333333333</v>
      </c>
      <c r="AQ80" s="1024">
        <f t="shared" si="89"/>
        <v>11.666666666666664</v>
      </c>
      <c r="AR80" s="1024">
        <f t="shared" si="89"/>
        <v>11.999999999999998</v>
      </c>
      <c r="AS80" s="1024">
        <f t="shared" si="89"/>
        <v>12.333333333333332</v>
      </c>
      <c r="AT80" s="1024">
        <f t="shared" si="89"/>
        <v>12.666666666666666</v>
      </c>
      <c r="AU80" s="1024">
        <f t="shared" si="89"/>
        <v>13</v>
      </c>
      <c r="AV80" s="1024">
        <f t="shared" si="89"/>
        <v>13.333333333333334</v>
      </c>
      <c r="AW80" s="1024">
        <f t="shared" si="89"/>
        <v>13.666666666666668</v>
      </c>
      <c r="AX80" s="1024">
        <f t="shared" si="89"/>
        <v>14.000000000000002</v>
      </c>
      <c r="AY80" s="1024">
        <f t="shared" si="89"/>
        <v>14.333333333333336</v>
      </c>
      <c r="AZ80" s="1024">
        <f t="shared" si="89"/>
        <v>14.66666666666667</v>
      </c>
      <c r="BA80" s="1026">
        <f t="shared" si="89"/>
        <v>15.000000000000004</v>
      </c>
      <c r="BB80" s="1025">
        <f t="shared" ref="BB80:BM80" si="90">BA80+$L79/12</f>
        <v>15.333333333333337</v>
      </c>
      <c r="BC80" s="1024">
        <f t="shared" si="90"/>
        <v>15.666666666666671</v>
      </c>
      <c r="BD80" s="1024">
        <f t="shared" si="90"/>
        <v>16.000000000000004</v>
      </c>
      <c r="BE80" s="1024">
        <f t="shared" si="90"/>
        <v>16.333333333333336</v>
      </c>
      <c r="BF80" s="1024">
        <f t="shared" si="90"/>
        <v>16.666666666666668</v>
      </c>
      <c r="BG80" s="1024">
        <f t="shared" si="90"/>
        <v>17</v>
      </c>
      <c r="BH80" s="1024">
        <f t="shared" si="90"/>
        <v>17.333333333333332</v>
      </c>
      <c r="BI80" s="1024">
        <f t="shared" si="90"/>
        <v>17.666666666666664</v>
      </c>
      <c r="BJ80" s="1024">
        <f t="shared" si="90"/>
        <v>17.999999999999996</v>
      </c>
      <c r="BK80" s="1024">
        <f t="shared" si="90"/>
        <v>18.333333333333329</v>
      </c>
      <c r="BL80" s="1024">
        <f t="shared" si="90"/>
        <v>18.666666666666661</v>
      </c>
      <c r="BM80" s="1026">
        <f t="shared" si="90"/>
        <v>18.999999999999993</v>
      </c>
      <c r="BN80" s="1025">
        <f t="shared" ref="BN80:BY80" si="91">BM80+$M79/12</f>
        <v>19.166666666666661</v>
      </c>
      <c r="BO80" s="1024">
        <f t="shared" si="91"/>
        <v>19.333333333333329</v>
      </c>
      <c r="BP80" s="1024">
        <f t="shared" si="91"/>
        <v>19.499999999999996</v>
      </c>
      <c r="BQ80" s="1024">
        <f t="shared" si="91"/>
        <v>19.666666666666664</v>
      </c>
      <c r="BR80" s="1024">
        <f t="shared" si="91"/>
        <v>19.833333333333332</v>
      </c>
      <c r="BS80" s="1024">
        <f t="shared" si="91"/>
        <v>20</v>
      </c>
      <c r="BT80" s="1024">
        <f t="shared" si="91"/>
        <v>20.166666666666668</v>
      </c>
      <c r="BU80" s="1024">
        <f t="shared" si="91"/>
        <v>20.333333333333336</v>
      </c>
      <c r="BV80" s="1024">
        <f t="shared" si="91"/>
        <v>20.500000000000004</v>
      </c>
      <c r="BW80" s="1024">
        <f t="shared" si="91"/>
        <v>20.666666666666671</v>
      </c>
      <c r="BX80" s="1024">
        <f t="shared" si="91"/>
        <v>20.833333333333339</v>
      </c>
      <c r="BY80" s="1026">
        <f t="shared" si="91"/>
        <v>21.000000000000007</v>
      </c>
      <c r="BZ80" s="845">
        <f>ROUND(BY80-M80,1)</f>
        <v>0</v>
      </c>
    </row>
    <row r="81" spans="1:78" s="823" customFormat="1">
      <c r="A81" s="863"/>
      <c r="B81" s="862"/>
      <c r="C81" s="861"/>
      <c r="D81" s="812"/>
      <c r="E81" s="820" t="str">
        <f>$E$22</f>
        <v>Non-Government</v>
      </c>
      <c r="F81" s="2486">
        <f>F54</f>
        <v>0</v>
      </c>
      <c r="G81" s="821">
        <v>1</v>
      </c>
      <c r="H81" s="1018" t="s">
        <v>3665</v>
      </c>
      <c r="I81" s="1003">
        <v>0</v>
      </c>
      <c r="J81" s="1003">
        <v>1</v>
      </c>
      <c r="K81" s="1003">
        <v>0</v>
      </c>
      <c r="L81" s="1003">
        <v>1</v>
      </c>
      <c r="M81" s="1003">
        <v>1</v>
      </c>
      <c r="N81" s="861"/>
      <c r="O81" s="862"/>
      <c r="P81" s="861"/>
      <c r="Q81" s="1020"/>
      <c r="R81" s="1027"/>
      <c r="S81" s="1020"/>
      <c r="T81" s="1020"/>
      <c r="U81" s="1020"/>
      <c r="V81" s="1020"/>
      <c r="W81" s="1020"/>
      <c r="X81" s="1020"/>
      <c r="Y81" s="1020"/>
      <c r="Z81" s="1020"/>
      <c r="AA81" s="1020"/>
      <c r="AB81" s="1020"/>
      <c r="AC81" s="1028"/>
      <c r="AD81" s="1027"/>
      <c r="AE81" s="1020"/>
      <c r="AF81" s="1020"/>
      <c r="AG81" s="1020"/>
      <c r="AH81" s="1020"/>
      <c r="AI81" s="1020"/>
      <c r="AJ81" s="1020"/>
      <c r="AK81" s="1020"/>
      <c r="AL81" s="1020"/>
      <c r="AM81" s="1020"/>
      <c r="AN81" s="1020"/>
      <c r="AO81" s="1028"/>
      <c r="AP81" s="1027"/>
      <c r="AQ81" s="1020"/>
      <c r="AR81" s="1020"/>
      <c r="AS81" s="1020"/>
      <c r="AT81" s="1020"/>
      <c r="AU81" s="1020"/>
      <c r="AV81" s="1020"/>
      <c r="AW81" s="1020"/>
      <c r="AX81" s="1020"/>
      <c r="AY81" s="1020"/>
      <c r="AZ81" s="1020"/>
      <c r="BA81" s="1028"/>
      <c r="BB81" s="1027"/>
      <c r="BC81" s="1020"/>
      <c r="BD81" s="1020"/>
      <c r="BE81" s="1020"/>
      <c r="BF81" s="1020"/>
      <c r="BG81" s="1020"/>
      <c r="BH81" s="1020"/>
      <c r="BI81" s="1020"/>
      <c r="BJ81" s="1020"/>
      <c r="BK81" s="1020"/>
      <c r="BL81" s="1020"/>
      <c r="BM81" s="1028"/>
      <c r="BN81" s="1027"/>
      <c r="BO81" s="1020"/>
      <c r="BP81" s="1020"/>
      <c r="BQ81" s="1020"/>
      <c r="BR81" s="1020"/>
      <c r="BS81" s="1020"/>
      <c r="BT81" s="1020"/>
      <c r="BU81" s="1020"/>
      <c r="BV81" s="1020"/>
      <c r="BW81" s="1020"/>
      <c r="BX81" s="1020"/>
      <c r="BY81" s="1028"/>
      <c r="BZ81" s="844"/>
    </row>
    <row r="82" spans="1:78" s="819" customFormat="1">
      <c r="A82" s="863"/>
      <c r="B82" s="862"/>
      <c r="C82" s="861"/>
      <c r="D82" s="812"/>
      <c r="E82" s="824"/>
      <c r="F82" s="998"/>
      <c r="G82" s="825"/>
      <c r="H82" s="1013" t="s">
        <v>3932</v>
      </c>
      <c r="I82" s="1005">
        <f>I81+G81+F81</f>
        <v>1</v>
      </c>
      <c r="J82" s="1006">
        <f>J81+I82</f>
        <v>2</v>
      </c>
      <c r="K82" s="1006">
        <f>K81+J82</f>
        <v>2</v>
      </c>
      <c r="L82" s="1006">
        <f>L81+K82</f>
        <v>3</v>
      </c>
      <c r="M82" s="1006">
        <f>M81+L82</f>
        <v>4</v>
      </c>
      <c r="N82" s="861"/>
      <c r="O82" s="862"/>
      <c r="P82" s="861"/>
      <c r="Q82" s="1842">
        <f>G81+SensitivityIncPDPts</f>
        <v>1</v>
      </c>
      <c r="R82" s="2209">
        <f>IF(Type="DeNovo",Q82+$F81/3+$I81/12,Q82+$F81+$I81/12)</f>
        <v>1</v>
      </c>
      <c r="S82" s="1842">
        <f>IF(Type="DeNovo",R82+$F81/3+$I81/12,R82+$I81/12)</f>
        <v>1</v>
      </c>
      <c r="T82" s="1842">
        <f>IF(Type="DeNovo",S82+$F81/3+$I81/12,S82+$I81/12)</f>
        <v>1</v>
      </c>
      <c r="U82" s="1024">
        <f>T82+$I81/12</f>
        <v>1</v>
      </c>
      <c r="V82" s="1024">
        <f t="shared" ref="V82:AC82" si="92">U82+$I81/12</f>
        <v>1</v>
      </c>
      <c r="W82" s="1024">
        <f t="shared" si="92"/>
        <v>1</v>
      </c>
      <c r="X82" s="1024">
        <f t="shared" si="92"/>
        <v>1</v>
      </c>
      <c r="Y82" s="1024">
        <f t="shared" si="92"/>
        <v>1</v>
      </c>
      <c r="Z82" s="1024">
        <f t="shared" si="92"/>
        <v>1</v>
      </c>
      <c r="AA82" s="1024">
        <f t="shared" si="92"/>
        <v>1</v>
      </c>
      <c r="AB82" s="1024">
        <f t="shared" si="92"/>
        <v>1</v>
      </c>
      <c r="AC82" s="1026">
        <f t="shared" si="92"/>
        <v>1</v>
      </c>
      <c r="AD82" s="1025">
        <f t="shared" ref="AD82:AO82" si="93">AC82+$J81/12</f>
        <v>1.0833333333333333</v>
      </c>
      <c r="AE82" s="1024">
        <f t="shared" si="93"/>
        <v>1.1666666666666665</v>
      </c>
      <c r="AF82" s="1024">
        <f t="shared" si="93"/>
        <v>1.2499999999999998</v>
      </c>
      <c r="AG82" s="1024">
        <f t="shared" si="93"/>
        <v>1.333333333333333</v>
      </c>
      <c r="AH82" s="1024">
        <f t="shared" si="93"/>
        <v>1.4166666666666663</v>
      </c>
      <c r="AI82" s="1024">
        <f t="shared" si="93"/>
        <v>1.4999999999999996</v>
      </c>
      <c r="AJ82" s="1024">
        <f t="shared" si="93"/>
        <v>1.5833333333333328</v>
      </c>
      <c r="AK82" s="1024">
        <f t="shared" si="93"/>
        <v>1.6666666666666661</v>
      </c>
      <c r="AL82" s="1024">
        <f t="shared" si="93"/>
        <v>1.7499999999999993</v>
      </c>
      <c r="AM82" s="1024">
        <f t="shared" si="93"/>
        <v>1.8333333333333326</v>
      </c>
      <c r="AN82" s="1024">
        <f t="shared" si="93"/>
        <v>1.9166666666666659</v>
      </c>
      <c r="AO82" s="1026">
        <f t="shared" si="93"/>
        <v>1.9999999999999991</v>
      </c>
      <c r="AP82" s="1025">
        <f t="shared" ref="AP82:BA82" si="94">AO82+$K81/12</f>
        <v>1.9999999999999991</v>
      </c>
      <c r="AQ82" s="1024">
        <f t="shared" si="94"/>
        <v>1.9999999999999991</v>
      </c>
      <c r="AR82" s="1024">
        <f t="shared" si="94"/>
        <v>1.9999999999999991</v>
      </c>
      <c r="AS82" s="1024">
        <f t="shared" si="94"/>
        <v>1.9999999999999991</v>
      </c>
      <c r="AT82" s="1024">
        <f t="shared" si="94"/>
        <v>1.9999999999999991</v>
      </c>
      <c r="AU82" s="1024">
        <f t="shared" si="94"/>
        <v>1.9999999999999991</v>
      </c>
      <c r="AV82" s="1024">
        <f t="shared" si="94"/>
        <v>1.9999999999999991</v>
      </c>
      <c r="AW82" s="1024">
        <f t="shared" si="94"/>
        <v>1.9999999999999991</v>
      </c>
      <c r="AX82" s="1024">
        <f t="shared" si="94"/>
        <v>1.9999999999999991</v>
      </c>
      <c r="AY82" s="1024">
        <f t="shared" si="94"/>
        <v>1.9999999999999991</v>
      </c>
      <c r="AZ82" s="1024">
        <f t="shared" si="94"/>
        <v>1.9999999999999991</v>
      </c>
      <c r="BA82" s="1026">
        <f t="shared" si="94"/>
        <v>1.9999999999999991</v>
      </c>
      <c r="BB82" s="1025">
        <f t="shared" ref="BB82:BM82" si="95">BA82+$L81/12</f>
        <v>2.0833333333333326</v>
      </c>
      <c r="BC82" s="1024">
        <f t="shared" si="95"/>
        <v>2.1666666666666661</v>
      </c>
      <c r="BD82" s="1024">
        <f t="shared" si="95"/>
        <v>2.2499999999999996</v>
      </c>
      <c r="BE82" s="1024">
        <f t="shared" si="95"/>
        <v>2.333333333333333</v>
      </c>
      <c r="BF82" s="1024">
        <f t="shared" si="95"/>
        <v>2.4166666666666665</v>
      </c>
      <c r="BG82" s="1024">
        <f t="shared" si="95"/>
        <v>2.5</v>
      </c>
      <c r="BH82" s="1024">
        <f t="shared" si="95"/>
        <v>2.5833333333333335</v>
      </c>
      <c r="BI82" s="1024">
        <f t="shared" si="95"/>
        <v>2.666666666666667</v>
      </c>
      <c r="BJ82" s="1024">
        <f t="shared" si="95"/>
        <v>2.7500000000000004</v>
      </c>
      <c r="BK82" s="1024">
        <f t="shared" si="95"/>
        <v>2.8333333333333339</v>
      </c>
      <c r="BL82" s="1024">
        <f t="shared" si="95"/>
        <v>2.9166666666666674</v>
      </c>
      <c r="BM82" s="1026">
        <f t="shared" si="95"/>
        <v>3.0000000000000009</v>
      </c>
      <c r="BN82" s="1025">
        <f t="shared" ref="BN82:BY82" si="96">BM82+$M81/12</f>
        <v>3.0833333333333344</v>
      </c>
      <c r="BO82" s="1024">
        <f t="shared" si="96"/>
        <v>3.1666666666666679</v>
      </c>
      <c r="BP82" s="1024">
        <f t="shared" si="96"/>
        <v>3.2500000000000013</v>
      </c>
      <c r="BQ82" s="1024">
        <f t="shared" si="96"/>
        <v>3.3333333333333348</v>
      </c>
      <c r="BR82" s="1024">
        <f t="shared" si="96"/>
        <v>3.4166666666666683</v>
      </c>
      <c r="BS82" s="1024">
        <f t="shared" si="96"/>
        <v>3.5000000000000018</v>
      </c>
      <c r="BT82" s="1024">
        <f t="shared" si="96"/>
        <v>3.5833333333333353</v>
      </c>
      <c r="BU82" s="1024">
        <f t="shared" si="96"/>
        <v>3.6666666666666687</v>
      </c>
      <c r="BV82" s="1024">
        <f t="shared" si="96"/>
        <v>3.7500000000000022</v>
      </c>
      <c r="BW82" s="1024">
        <f t="shared" si="96"/>
        <v>3.8333333333333357</v>
      </c>
      <c r="BX82" s="1024">
        <f t="shared" si="96"/>
        <v>3.9166666666666692</v>
      </c>
      <c r="BY82" s="1026">
        <f t="shared" si="96"/>
        <v>4.0000000000000027</v>
      </c>
      <c r="BZ82" s="845">
        <f>ROUND(BY82-M82,1)</f>
        <v>0</v>
      </c>
    </row>
    <row r="83" spans="1:78" s="819" customFormat="1">
      <c r="A83" s="863"/>
      <c r="B83" s="862"/>
      <c r="C83" s="861"/>
      <c r="D83" s="812"/>
      <c r="E83" s="2718" t="s">
        <v>4101</v>
      </c>
      <c r="F83" s="999"/>
      <c r="G83" s="826">
        <f>IF(SUM(G79,G81)=0,0,G81/SUM(G79,G81))</f>
        <v>1</v>
      </c>
      <c r="H83" s="1014"/>
      <c r="I83" s="827">
        <f>IF(SUM(I80,I82)=0,0,I82/SUM(I80,I82))</f>
        <v>0.14285714285714285</v>
      </c>
      <c r="J83" s="828">
        <f>IF(SUM(J80,J82)=0,0,J82/SUM(J80,J82))</f>
        <v>0.15384615384615385</v>
      </c>
      <c r="K83" s="828">
        <f>IF(SUM(K80,K82)=0,0,K82/SUM(K80,K82))</f>
        <v>0.11764705882352941</v>
      </c>
      <c r="L83" s="828">
        <f>IF(SUM(L80,L82)=0,0,L82/SUM(L80,L82))</f>
        <v>0.13636363636363635</v>
      </c>
      <c r="M83" s="828">
        <f>IF(SUM(M80,M82)=0,0,M82/SUM(M80,M82))</f>
        <v>0.16</v>
      </c>
      <c r="N83" s="861"/>
      <c r="O83" s="862"/>
      <c r="P83" s="861"/>
      <c r="Q83" s="1024"/>
      <c r="R83" s="1025"/>
      <c r="S83" s="1024"/>
      <c r="T83" s="1024"/>
      <c r="U83" s="1024"/>
      <c r="V83" s="1024"/>
      <c r="W83" s="1024"/>
      <c r="X83" s="1024"/>
      <c r="Y83" s="1024"/>
      <c r="Z83" s="1024"/>
      <c r="AA83" s="1024"/>
      <c r="AB83" s="1024"/>
      <c r="AC83" s="1026"/>
      <c r="AD83" s="1025"/>
      <c r="AE83" s="1024"/>
      <c r="AF83" s="1024"/>
      <c r="AG83" s="1024"/>
      <c r="AH83" s="1024"/>
      <c r="AI83" s="1024"/>
      <c r="AJ83" s="1024"/>
      <c r="AK83" s="1024"/>
      <c r="AL83" s="1024"/>
      <c r="AM83" s="1024"/>
      <c r="AN83" s="1024"/>
      <c r="AO83" s="1026"/>
      <c r="AP83" s="1025"/>
      <c r="AQ83" s="1024"/>
      <c r="AR83" s="1024"/>
      <c r="AS83" s="1024"/>
      <c r="AT83" s="1024"/>
      <c r="AU83" s="1024"/>
      <c r="AV83" s="1024"/>
      <c r="AW83" s="1024"/>
      <c r="AX83" s="1024"/>
      <c r="AY83" s="1024"/>
      <c r="AZ83" s="1024"/>
      <c r="BA83" s="1026"/>
      <c r="BB83" s="1025"/>
      <c r="BC83" s="1024"/>
      <c r="BD83" s="1024"/>
      <c r="BE83" s="1024"/>
      <c r="BF83" s="1024"/>
      <c r="BG83" s="1024"/>
      <c r="BH83" s="1024"/>
      <c r="BI83" s="1024"/>
      <c r="BJ83" s="1024"/>
      <c r="BK83" s="1024"/>
      <c r="BL83" s="1024"/>
      <c r="BM83" s="1026"/>
      <c r="BN83" s="1025"/>
      <c r="BO83" s="1024"/>
      <c r="BP83" s="1024"/>
      <c r="BQ83" s="1024"/>
      <c r="BR83" s="1024"/>
      <c r="BS83" s="1024"/>
      <c r="BT83" s="1024"/>
      <c r="BU83" s="1024"/>
      <c r="BV83" s="1024"/>
      <c r="BW83" s="1024"/>
      <c r="BX83" s="1024"/>
      <c r="BY83" s="1026"/>
      <c r="BZ83" s="844"/>
    </row>
    <row r="84" spans="1:78" s="819" customFormat="1" ht="13.5" thickBot="1">
      <c r="A84" s="863"/>
      <c r="B84" s="862"/>
      <c r="C84" s="861"/>
      <c r="D84" s="812"/>
      <c r="E84" s="829" t="s">
        <v>1551</v>
      </c>
      <c r="F84" s="1000"/>
      <c r="G84" s="830">
        <f>IF(G79+G81=0,"NA",(G79+G81)/($G$12*20))</f>
        <v>2.5000000000000001E-2</v>
      </c>
      <c r="H84" s="1015"/>
      <c r="I84" s="831">
        <f>IF(I80+I82=0,"NA",(I80+I82)/($G$12*20))</f>
        <v>0.17499999999999999</v>
      </c>
      <c r="J84" s="832">
        <f>IF(J80+J82=0,"NA",(J80+J82)/($G$12*20))</f>
        <v>0.32500000000000001</v>
      </c>
      <c r="K84" s="832">
        <f>IF(K80+K82=0,"NA",(K80+K82)/($G$12*20))</f>
        <v>0.42499999999999999</v>
      </c>
      <c r="L84" s="832">
        <f>IF(L80+L82=0,"NA",(L80+L82)/($G$12*20))</f>
        <v>0.55000000000000004</v>
      </c>
      <c r="M84" s="832">
        <f>IF(M80+M82=0,"NA",(M80+M82)/($G$12*20))</f>
        <v>0.625</v>
      </c>
      <c r="N84" s="861"/>
      <c r="O84" s="862"/>
      <c r="P84" s="861"/>
      <c r="Q84" s="1024"/>
      <c r="R84" s="1025"/>
      <c r="S84" s="1024"/>
      <c r="T84" s="1024"/>
      <c r="U84" s="1024"/>
      <c r="V84" s="1024"/>
      <c r="W84" s="1024"/>
      <c r="X84" s="1024"/>
      <c r="Y84" s="1024"/>
      <c r="Z84" s="1024"/>
      <c r="AA84" s="1024"/>
      <c r="AB84" s="1024"/>
      <c r="AC84" s="1026"/>
      <c r="AD84" s="1025"/>
      <c r="AE84" s="1024"/>
      <c r="AF84" s="1024"/>
      <c r="AG84" s="1024"/>
      <c r="AH84" s="1024"/>
      <c r="AI84" s="1024"/>
      <c r="AJ84" s="1024"/>
      <c r="AK84" s="1024"/>
      <c r="AL84" s="1024"/>
      <c r="AM84" s="1024"/>
      <c r="AN84" s="1024"/>
      <c r="AO84" s="1026"/>
      <c r="AP84" s="1025"/>
      <c r="AQ84" s="1024"/>
      <c r="AR84" s="1024"/>
      <c r="AS84" s="1024"/>
      <c r="AT84" s="1024"/>
      <c r="AU84" s="1024"/>
      <c r="AV84" s="1024"/>
      <c r="AW84" s="1024"/>
      <c r="AX84" s="1024"/>
      <c r="AY84" s="1024"/>
      <c r="AZ84" s="1024"/>
      <c r="BA84" s="1026"/>
      <c r="BB84" s="1025"/>
      <c r="BC84" s="1024"/>
      <c r="BD84" s="1024"/>
      <c r="BE84" s="1024"/>
      <c r="BF84" s="1024"/>
      <c r="BG84" s="1024"/>
      <c r="BH84" s="1024"/>
      <c r="BI84" s="1024"/>
      <c r="BJ84" s="1024"/>
      <c r="BK84" s="1024"/>
      <c r="BL84" s="1024"/>
      <c r="BM84" s="1026"/>
      <c r="BN84" s="1025"/>
      <c r="BO84" s="1024"/>
      <c r="BP84" s="1024"/>
      <c r="BQ84" s="1024"/>
      <c r="BR84" s="1024"/>
      <c r="BS84" s="1024"/>
      <c r="BT84" s="1024"/>
      <c r="BU84" s="1024"/>
      <c r="BV84" s="1024"/>
      <c r="BW84" s="1024"/>
      <c r="BX84" s="1024"/>
      <c r="BY84" s="1026"/>
      <c r="BZ84" s="845"/>
    </row>
    <row r="85" spans="1:78" s="823" customFormat="1">
      <c r="A85" s="863"/>
      <c r="B85" s="862"/>
      <c r="C85" s="861"/>
      <c r="D85" s="812"/>
      <c r="E85" s="820" t="str">
        <f>$E$20</f>
        <v>Government</v>
      </c>
      <c r="F85" s="2150">
        <f>F58</f>
        <v>0</v>
      </c>
      <c r="G85" s="821">
        <f>'1Tab_Input'!C65</f>
        <v>0</v>
      </c>
      <c r="H85" s="1018" t="s">
        <v>3665</v>
      </c>
      <c r="I85" s="1003">
        <v>2</v>
      </c>
      <c r="J85" s="1003">
        <v>3</v>
      </c>
      <c r="K85" s="1003">
        <v>1</v>
      </c>
      <c r="L85" s="1003">
        <v>1</v>
      </c>
      <c r="M85" s="1003">
        <v>1</v>
      </c>
      <c r="N85" s="861"/>
      <c r="O85" s="862"/>
      <c r="P85" s="861"/>
      <c r="Q85" s="1020"/>
      <c r="R85" s="1027"/>
      <c r="S85" s="1020"/>
      <c r="T85" s="1020"/>
      <c r="U85" s="1020"/>
      <c r="V85" s="1020"/>
      <c r="W85" s="1020"/>
      <c r="X85" s="1020"/>
      <c r="Y85" s="1020"/>
      <c r="Z85" s="1020"/>
      <c r="AA85" s="1020"/>
      <c r="AB85" s="1020"/>
      <c r="AC85" s="1028"/>
      <c r="AD85" s="1027"/>
      <c r="AE85" s="1020"/>
      <c r="AF85" s="1020"/>
      <c r="AG85" s="1020"/>
      <c r="AH85" s="1020"/>
      <c r="AI85" s="1020"/>
      <c r="AJ85" s="1020"/>
      <c r="AK85" s="1020"/>
      <c r="AL85" s="1020"/>
      <c r="AM85" s="1020"/>
      <c r="AN85" s="1020"/>
      <c r="AO85" s="1028"/>
      <c r="AP85" s="1027"/>
      <c r="AQ85" s="1020"/>
      <c r="AR85" s="1020"/>
      <c r="AS85" s="1020"/>
      <c r="AT85" s="1020"/>
      <c r="AU85" s="1020"/>
      <c r="AV85" s="1020"/>
      <c r="AW85" s="1020"/>
      <c r="AX85" s="1020"/>
      <c r="AY85" s="1020"/>
      <c r="AZ85" s="1020"/>
      <c r="BA85" s="1028"/>
      <c r="BB85" s="1027"/>
      <c r="BC85" s="1020"/>
      <c r="BD85" s="1020"/>
      <c r="BE85" s="1020"/>
      <c r="BF85" s="1020"/>
      <c r="BG85" s="1020"/>
      <c r="BH85" s="1020"/>
      <c r="BI85" s="1020"/>
      <c r="BJ85" s="1020"/>
      <c r="BK85" s="1020"/>
      <c r="BL85" s="1020"/>
      <c r="BM85" s="1028"/>
      <c r="BN85" s="1027"/>
      <c r="BO85" s="1020"/>
      <c r="BP85" s="1020"/>
      <c r="BQ85" s="1020"/>
      <c r="BR85" s="1020"/>
      <c r="BS85" s="1020"/>
      <c r="BT85" s="1020"/>
      <c r="BU85" s="1020"/>
      <c r="BV85" s="1020"/>
      <c r="BW85" s="1020"/>
      <c r="BX85" s="1020"/>
      <c r="BY85" s="1028"/>
      <c r="BZ85" s="844"/>
    </row>
    <row r="86" spans="1:78" s="819" customFormat="1">
      <c r="A86" s="863"/>
      <c r="B86" s="862"/>
      <c r="C86" s="861"/>
      <c r="D86" s="812" t="str">
        <f>$D$33</f>
        <v>HHD</v>
      </c>
      <c r="E86" s="824"/>
      <c r="F86" s="990"/>
      <c r="G86" s="2485"/>
      <c r="H86" s="1017" t="s">
        <v>3932</v>
      </c>
      <c r="I86" s="1007">
        <f>I85+G85+F85</f>
        <v>2</v>
      </c>
      <c r="J86" s="1006">
        <f>J85+I86</f>
        <v>5</v>
      </c>
      <c r="K86" s="1006">
        <f>K85+J86</f>
        <v>6</v>
      </c>
      <c r="L86" s="1006">
        <f>L85+K86</f>
        <v>7</v>
      </c>
      <c r="M86" s="1006">
        <f>M85+L86</f>
        <v>8</v>
      </c>
      <c r="N86" s="861"/>
      <c r="O86" s="862"/>
      <c r="P86" s="861"/>
      <c r="Q86" s="1842">
        <f>G85</f>
        <v>0</v>
      </c>
      <c r="R86" s="2209">
        <f>IF(Type="DeNovo",Q86+$F85/3+$I85/12,Q86+$F85+$I85/12)</f>
        <v>0.16666666666666666</v>
      </c>
      <c r="S86" s="1842">
        <f>IF(Type="DeNovo",R86+$F85/3+$I85/12,R86+$I85/12)</f>
        <v>0.33333333333333331</v>
      </c>
      <c r="T86" s="1842">
        <f>IF(Type="DeNovo",S86+$F85/3+$I85/12,S86+$I85/12)</f>
        <v>0.5</v>
      </c>
      <c r="U86" s="1024">
        <f>T86+$I85/12</f>
        <v>0.66666666666666663</v>
      </c>
      <c r="V86" s="1024">
        <f t="shared" ref="V86:AC86" si="97">U86+$I85/12</f>
        <v>0.83333333333333326</v>
      </c>
      <c r="W86" s="1024">
        <f t="shared" si="97"/>
        <v>0.99999999999999989</v>
      </c>
      <c r="X86" s="1024">
        <f t="shared" si="97"/>
        <v>1.1666666666666665</v>
      </c>
      <c r="Y86" s="1024">
        <f t="shared" si="97"/>
        <v>1.3333333333333333</v>
      </c>
      <c r="Z86" s="1024">
        <f t="shared" si="97"/>
        <v>1.5</v>
      </c>
      <c r="AA86" s="1024">
        <f t="shared" si="97"/>
        <v>1.6666666666666667</v>
      </c>
      <c r="AB86" s="1024">
        <f t="shared" si="97"/>
        <v>1.8333333333333335</v>
      </c>
      <c r="AC86" s="1026">
        <f t="shared" si="97"/>
        <v>2</v>
      </c>
      <c r="AD86" s="1025">
        <f t="shared" ref="AD86:AO86" si="98">AC86+$J85/12</f>
        <v>2.25</v>
      </c>
      <c r="AE86" s="1024">
        <f t="shared" si="98"/>
        <v>2.5</v>
      </c>
      <c r="AF86" s="1024">
        <f t="shared" si="98"/>
        <v>2.75</v>
      </c>
      <c r="AG86" s="1024">
        <f t="shared" si="98"/>
        <v>3</v>
      </c>
      <c r="AH86" s="1024">
        <f t="shared" si="98"/>
        <v>3.25</v>
      </c>
      <c r="AI86" s="1024">
        <f t="shared" si="98"/>
        <v>3.5</v>
      </c>
      <c r="AJ86" s="1024">
        <f t="shared" si="98"/>
        <v>3.75</v>
      </c>
      <c r="AK86" s="1024">
        <f t="shared" si="98"/>
        <v>4</v>
      </c>
      <c r="AL86" s="1024">
        <f t="shared" si="98"/>
        <v>4.25</v>
      </c>
      <c r="AM86" s="1024">
        <f t="shared" si="98"/>
        <v>4.5</v>
      </c>
      <c r="AN86" s="1024">
        <f t="shared" si="98"/>
        <v>4.75</v>
      </c>
      <c r="AO86" s="1026">
        <f t="shared" si="98"/>
        <v>5</v>
      </c>
      <c r="AP86" s="1025">
        <f t="shared" ref="AP86:BA86" si="99">AO86+$K85/12</f>
        <v>5.083333333333333</v>
      </c>
      <c r="AQ86" s="1024">
        <f t="shared" si="99"/>
        <v>5.1666666666666661</v>
      </c>
      <c r="AR86" s="1024">
        <f t="shared" si="99"/>
        <v>5.2499999999999991</v>
      </c>
      <c r="AS86" s="1024">
        <f t="shared" si="99"/>
        <v>5.3333333333333321</v>
      </c>
      <c r="AT86" s="1024">
        <f t="shared" si="99"/>
        <v>5.4166666666666652</v>
      </c>
      <c r="AU86" s="1024">
        <f t="shared" si="99"/>
        <v>5.4999999999999982</v>
      </c>
      <c r="AV86" s="1024">
        <f t="shared" si="99"/>
        <v>5.5833333333333313</v>
      </c>
      <c r="AW86" s="1024">
        <f t="shared" si="99"/>
        <v>5.6666666666666643</v>
      </c>
      <c r="AX86" s="1024">
        <f t="shared" si="99"/>
        <v>5.7499999999999973</v>
      </c>
      <c r="AY86" s="1024">
        <f t="shared" si="99"/>
        <v>5.8333333333333304</v>
      </c>
      <c r="AZ86" s="1024">
        <f t="shared" si="99"/>
        <v>5.9166666666666634</v>
      </c>
      <c r="BA86" s="1026">
        <f t="shared" si="99"/>
        <v>5.9999999999999964</v>
      </c>
      <c r="BB86" s="1025">
        <f t="shared" ref="BB86:BM86" si="100">BA86+$L85/12</f>
        <v>6.0833333333333295</v>
      </c>
      <c r="BC86" s="1024">
        <f t="shared" si="100"/>
        <v>6.1666666666666625</v>
      </c>
      <c r="BD86" s="1024">
        <f t="shared" si="100"/>
        <v>6.2499999999999956</v>
      </c>
      <c r="BE86" s="1024">
        <f t="shared" si="100"/>
        <v>6.3333333333333286</v>
      </c>
      <c r="BF86" s="1024">
        <f t="shared" si="100"/>
        <v>6.4166666666666616</v>
      </c>
      <c r="BG86" s="1024">
        <f t="shared" si="100"/>
        <v>6.4999999999999947</v>
      </c>
      <c r="BH86" s="1024">
        <f t="shared" si="100"/>
        <v>6.5833333333333277</v>
      </c>
      <c r="BI86" s="1024">
        <f t="shared" si="100"/>
        <v>6.6666666666666607</v>
      </c>
      <c r="BJ86" s="1024">
        <f t="shared" si="100"/>
        <v>6.7499999999999938</v>
      </c>
      <c r="BK86" s="1024">
        <f t="shared" si="100"/>
        <v>6.8333333333333268</v>
      </c>
      <c r="BL86" s="1024">
        <f t="shared" si="100"/>
        <v>6.9166666666666599</v>
      </c>
      <c r="BM86" s="1026">
        <f t="shared" si="100"/>
        <v>6.9999999999999929</v>
      </c>
      <c r="BN86" s="1025">
        <f t="shared" ref="BN86:BY86" si="101">BM86+$M85/12</f>
        <v>7.0833333333333259</v>
      </c>
      <c r="BO86" s="1024">
        <f t="shared" si="101"/>
        <v>7.166666666666659</v>
      </c>
      <c r="BP86" s="1024">
        <f t="shared" si="101"/>
        <v>7.249999999999992</v>
      </c>
      <c r="BQ86" s="1024">
        <f t="shared" si="101"/>
        <v>7.333333333333325</v>
      </c>
      <c r="BR86" s="1024">
        <f t="shared" si="101"/>
        <v>7.4166666666666581</v>
      </c>
      <c r="BS86" s="1024">
        <f t="shared" si="101"/>
        <v>7.4999999999999911</v>
      </c>
      <c r="BT86" s="1024">
        <f t="shared" si="101"/>
        <v>7.5833333333333242</v>
      </c>
      <c r="BU86" s="1024">
        <f t="shared" si="101"/>
        <v>7.6666666666666572</v>
      </c>
      <c r="BV86" s="1024">
        <f t="shared" si="101"/>
        <v>7.7499999999999902</v>
      </c>
      <c r="BW86" s="1024">
        <f t="shared" si="101"/>
        <v>7.8333333333333233</v>
      </c>
      <c r="BX86" s="1024">
        <f t="shared" si="101"/>
        <v>7.9166666666666563</v>
      </c>
      <c r="BY86" s="1026">
        <f t="shared" si="101"/>
        <v>7.9999999999999893</v>
      </c>
      <c r="BZ86" s="845">
        <f>ROUND(BY86-M86,1)</f>
        <v>0</v>
      </c>
    </row>
    <row r="87" spans="1:78" s="823" customFormat="1">
      <c r="A87" s="863"/>
      <c r="B87" s="862"/>
      <c r="C87" s="861"/>
      <c r="D87" s="812"/>
      <c r="E87" s="820" t="str">
        <f>$E$22</f>
        <v>Non-Government</v>
      </c>
      <c r="F87" s="2150">
        <f>F60</f>
        <v>0</v>
      </c>
      <c r="G87" s="821">
        <v>1</v>
      </c>
      <c r="H87" s="1018" t="s">
        <v>3665</v>
      </c>
      <c r="I87" s="1003">
        <v>0</v>
      </c>
      <c r="J87" s="1003">
        <v>0</v>
      </c>
      <c r="K87" s="1003">
        <v>1</v>
      </c>
      <c r="L87" s="1003">
        <v>0</v>
      </c>
      <c r="M87" s="1003">
        <v>0</v>
      </c>
      <c r="N87" s="861"/>
      <c r="O87" s="862"/>
      <c r="P87" s="861"/>
      <c r="Q87" s="1020"/>
      <c r="R87" s="1027"/>
      <c r="S87" s="1020"/>
      <c r="T87" s="1020"/>
      <c r="U87" s="1020"/>
      <c r="V87" s="1020"/>
      <c r="W87" s="1020"/>
      <c r="X87" s="1020"/>
      <c r="Y87" s="1020"/>
      <c r="Z87" s="1020"/>
      <c r="AA87" s="1020"/>
      <c r="AB87" s="1020"/>
      <c r="AC87" s="1028"/>
      <c r="AD87" s="1027"/>
      <c r="AE87" s="1020"/>
      <c r="AF87" s="1020"/>
      <c r="AG87" s="1020"/>
      <c r="AH87" s="1020"/>
      <c r="AI87" s="1020"/>
      <c r="AJ87" s="1020"/>
      <c r="AK87" s="1020"/>
      <c r="AL87" s="1020"/>
      <c r="AM87" s="1020"/>
      <c r="AN87" s="1020"/>
      <c r="AO87" s="1028"/>
      <c r="AP87" s="1027"/>
      <c r="AQ87" s="1020"/>
      <c r="AR87" s="1020"/>
      <c r="AS87" s="1020"/>
      <c r="AT87" s="1020"/>
      <c r="AU87" s="1020"/>
      <c r="AV87" s="1020"/>
      <c r="AW87" s="1020"/>
      <c r="AX87" s="1020"/>
      <c r="AY87" s="1020"/>
      <c r="AZ87" s="1020"/>
      <c r="BA87" s="1028"/>
      <c r="BB87" s="1027"/>
      <c r="BC87" s="1020"/>
      <c r="BD87" s="1020"/>
      <c r="BE87" s="1020"/>
      <c r="BF87" s="1020"/>
      <c r="BG87" s="1020"/>
      <c r="BH87" s="1020"/>
      <c r="BI87" s="1020"/>
      <c r="BJ87" s="1020"/>
      <c r="BK87" s="1020"/>
      <c r="BL87" s="1020"/>
      <c r="BM87" s="1028"/>
      <c r="BN87" s="1027"/>
      <c r="BO87" s="1020"/>
      <c r="BP87" s="1020"/>
      <c r="BQ87" s="1020"/>
      <c r="BR87" s="1020"/>
      <c r="BS87" s="1020"/>
      <c r="BT87" s="1020"/>
      <c r="BU87" s="1020"/>
      <c r="BV87" s="1020"/>
      <c r="BW87" s="1020"/>
      <c r="BX87" s="1020"/>
      <c r="BY87" s="1028"/>
      <c r="BZ87" s="844"/>
    </row>
    <row r="88" spans="1:78" s="819" customFormat="1">
      <c r="A88" s="863"/>
      <c r="B88" s="862"/>
      <c r="C88" s="861"/>
      <c r="D88" s="812"/>
      <c r="E88" s="824"/>
      <c r="F88" s="998"/>
      <c r="G88" s="825"/>
      <c r="H88" s="1013" t="s">
        <v>3932</v>
      </c>
      <c r="I88" s="1005">
        <f>I87+G87+F87</f>
        <v>1</v>
      </c>
      <c r="J88" s="1006">
        <f>J87+I88</f>
        <v>1</v>
      </c>
      <c r="K88" s="1006">
        <f>K87+J88</f>
        <v>2</v>
      </c>
      <c r="L88" s="1006">
        <f>L87+K88</f>
        <v>2</v>
      </c>
      <c r="M88" s="1006">
        <f>M87+L88</f>
        <v>2</v>
      </c>
      <c r="N88" s="861"/>
      <c r="O88" s="862"/>
      <c r="P88" s="861"/>
      <c r="Q88" s="1842">
        <f>G87+SensitivityIncHHDPts</f>
        <v>1</v>
      </c>
      <c r="R88" s="2209">
        <f>IF(Type="DeNovo",Q88+$F87/3+$I87/12,Q88+$F87+$I87/12)</f>
        <v>1</v>
      </c>
      <c r="S88" s="1842">
        <f>IF(Type="DeNovo",R88+$F87/3+$I87/12,R88+$I87/12)</f>
        <v>1</v>
      </c>
      <c r="T88" s="1842">
        <f>IF(Type="DeNovo",S88+$F87/3+$I87/12,S88+$I87/12)</f>
        <v>1</v>
      </c>
      <c r="U88" s="1024">
        <f>T88+$I87/12</f>
        <v>1</v>
      </c>
      <c r="V88" s="1024">
        <f t="shared" ref="V88:AC88" si="102">U88+$I87/12</f>
        <v>1</v>
      </c>
      <c r="W88" s="1024">
        <f t="shared" si="102"/>
        <v>1</v>
      </c>
      <c r="X88" s="1024">
        <f t="shared" si="102"/>
        <v>1</v>
      </c>
      <c r="Y88" s="1024">
        <f t="shared" si="102"/>
        <v>1</v>
      </c>
      <c r="Z88" s="1024">
        <f t="shared" si="102"/>
        <v>1</v>
      </c>
      <c r="AA88" s="1024">
        <f t="shared" si="102"/>
        <v>1</v>
      </c>
      <c r="AB88" s="1024">
        <f t="shared" si="102"/>
        <v>1</v>
      </c>
      <c r="AC88" s="1026">
        <f t="shared" si="102"/>
        <v>1</v>
      </c>
      <c r="AD88" s="1025">
        <f t="shared" ref="AD88:AO88" si="103">AC88+$J87/12</f>
        <v>1</v>
      </c>
      <c r="AE88" s="1024">
        <f t="shared" si="103"/>
        <v>1</v>
      </c>
      <c r="AF88" s="1024">
        <f t="shared" si="103"/>
        <v>1</v>
      </c>
      <c r="AG88" s="1024">
        <f t="shared" si="103"/>
        <v>1</v>
      </c>
      <c r="AH88" s="1024">
        <f t="shared" si="103"/>
        <v>1</v>
      </c>
      <c r="AI88" s="1024">
        <f t="shared" si="103"/>
        <v>1</v>
      </c>
      <c r="AJ88" s="1024">
        <f t="shared" si="103"/>
        <v>1</v>
      </c>
      <c r="AK88" s="1024">
        <f t="shared" si="103"/>
        <v>1</v>
      </c>
      <c r="AL88" s="1024">
        <f t="shared" si="103"/>
        <v>1</v>
      </c>
      <c r="AM88" s="1024">
        <f t="shared" si="103"/>
        <v>1</v>
      </c>
      <c r="AN88" s="1024">
        <f t="shared" si="103"/>
        <v>1</v>
      </c>
      <c r="AO88" s="1026">
        <f t="shared" si="103"/>
        <v>1</v>
      </c>
      <c r="AP88" s="1025">
        <f t="shared" ref="AP88:BA88" si="104">AO88+$K87/12</f>
        <v>1.0833333333333333</v>
      </c>
      <c r="AQ88" s="1024">
        <f t="shared" si="104"/>
        <v>1.1666666666666665</v>
      </c>
      <c r="AR88" s="1024">
        <f t="shared" si="104"/>
        <v>1.2499999999999998</v>
      </c>
      <c r="AS88" s="1024">
        <f t="shared" si="104"/>
        <v>1.333333333333333</v>
      </c>
      <c r="AT88" s="1024">
        <f t="shared" si="104"/>
        <v>1.4166666666666663</v>
      </c>
      <c r="AU88" s="1024">
        <f t="shared" si="104"/>
        <v>1.4999999999999996</v>
      </c>
      <c r="AV88" s="1024">
        <f t="shared" si="104"/>
        <v>1.5833333333333328</v>
      </c>
      <c r="AW88" s="1024">
        <f t="shared" si="104"/>
        <v>1.6666666666666661</v>
      </c>
      <c r="AX88" s="1024">
        <f t="shared" si="104"/>
        <v>1.7499999999999993</v>
      </c>
      <c r="AY88" s="1024">
        <f t="shared" si="104"/>
        <v>1.8333333333333326</v>
      </c>
      <c r="AZ88" s="1024">
        <f t="shared" si="104"/>
        <v>1.9166666666666659</v>
      </c>
      <c r="BA88" s="1026">
        <f t="shared" si="104"/>
        <v>1.9999999999999991</v>
      </c>
      <c r="BB88" s="1025">
        <f t="shared" ref="BB88:BM88" si="105">BA88+$L87/12</f>
        <v>1.9999999999999991</v>
      </c>
      <c r="BC88" s="1024">
        <f t="shared" si="105"/>
        <v>1.9999999999999991</v>
      </c>
      <c r="BD88" s="1024">
        <f t="shared" si="105"/>
        <v>1.9999999999999991</v>
      </c>
      <c r="BE88" s="1024">
        <f t="shared" si="105"/>
        <v>1.9999999999999991</v>
      </c>
      <c r="BF88" s="1024">
        <f t="shared" si="105"/>
        <v>1.9999999999999991</v>
      </c>
      <c r="BG88" s="1024">
        <f t="shared" si="105"/>
        <v>1.9999999999999991</v>
      </c>
      <c r="BH88" s="1024">
        <f t="shared" si="105"/>
        <v>1.9999999999999991</v>
      </c>
      <c r="BI88" s="1024">
        <f t="shared" si="105"/>
        <v>1.9999999999999991</v>
      </c>
      <c r="BJ88" s="1024">
        <f t="shared" si="105"/>
        <v>1.9999999999999991</v>
      </c>
      <c r="BK88" s="1024">
        <f t="shared" si="105"/>
        <v>1.9999999999999991</v>
      </c>
      <c r="BL88" s="1024">
        <f t="shared" si="105"/>
        <v>1.9999999999999991</v>
      </c>
      <c r="BM88" s="1026">
        <f t="shared" si="105"/>
        <v>1.9999999999999991</v>
      </c>
      <c r="BN88" s="1025">
        <f t="shared" ref="BN88:BY88" si="106">BM88+$M87/12</f>
        <v>1.9999999999999991</v>
      </c>
      <c r="BO88" s="1024">
        <f t="shared" si="106"/>
        <v>1.9999999999999991</v>
      </c>
      <c r="BP88" s="1024">
        <f t="shared" si="106"/>
        <v>1.9999999999999991</v>
      </c>
      <c r="BQ88" s="1024">
        <f t="shared" si="106"/>
        <v>1.9999999999999991</v>
      </c>
      <c r="BR88" s="1024">
        <f t="shared" si="106"/>
        <v>1.9999999999999991</v>
      </c>
      <c r="BS88" s="1024">
        <f t="shared" si="106"/>
        <v>1.9999999999999991</v>
      </c>
      <c r="BT88" s="1024">
        <f t="shared" si="106"/>
        <v>1.9999999999999991</v>
      </c>
      <c r="BU88" s="1024">
        <f t="shared" si="106"/>
        <v>1.9999999999999991</v>
      </c>
      <c r="BV88" s="1024">
        <f t="shared" si="106"/>
        <v>1.9999999999999991</v>
      </c>
      <c r="BW88" s="1024">
        <f t="shared" si="106"/>
        <v>1.9999999999999991</v>
      </c>
      <c r="BX88" s="1024">
        <f t="shared" si="106"/>
        <v>1.9999999999999991</v>
      </c>
      <c r="BY88" s="1026">
        <f t="shared" si="106"/>
        <v>1.9999999999999991</v>
      </c>
      <c r="BZ88" s="845">
        <f>ROUND(BY88-M88,1)</f>
        <v>0</v>
      </c>
    </row>
    <row r="89" spans="1:78" s="819" customFormat="1">
      <c r="A89" s="863"/>
      <c r="B89" s="862"/>
      <c r="C89" s="861"/>
      <c r="D89" s="812"/>
      <c r="E89" s="2718" t="s">
        <v>4101</v>
      </c>
      <c r="F89" s="999"/>
      <c r="G89" s="826">
        <f>IF(SUM(G85,G87)=0,0,G87/SUM(G85,G87))</f>
        <v>1</v>
      </c>
      <c r="H89" s="1014"/>
      <c r="I89" s="827">
        <f>IF(SUM(I86,I88)=0,0,I88/SUM(I86,I88))</f>
        <v>0.33333333333333331</v>
      </c>
      <c r="J89" s="828">
        <f>IF(SUM(J86,J88)=0,0,J88/SUM(J86,J88))</f>
        <v>0.16666666666666666</v>
      </c>
      <c r="K89" s="828">
        <f>IF(SUM(K86,K88)=0,0,K88/SUM(K86,K88))</f>
        <v>0.25</v>
      </c>
      <c r="L89" s="828">
        <f>IF(SUM(L86,L88)=0,0,L88/SUM(L86,L88))</f>
        <v>0.22222222222222221</v>
      </c>
      <c r="M89" s="828">
        <f>IF(SUM(M86,M88)=0,0,M88/SUM(M86,M88))</f>
        <v>0.2</v>
      </c>
      <c r="N89" s="861"/>
      <c r="O89" s="862"/>
      <c r="P89" s="861"/>
      <c r="Q89" s="1024"/>
      <c r="R89" s="1025"/>
      <c r="S89" s="1024"/>
      <c r="T89" s="1024"/>
      <c r="U89" s="1024"/>
      <c r="V89" s="1024"/>
      <c r="W89" s="1024"/>
      <c r="X89" s="1024"/>
      <c r="Y89" s="1024"/>
      <c r="Z89" s="1024"/>
      <c r="AA89" s="1024"/>
      <c r="AB89" s="1024"/>
      <c r="AC89" s="1026"/>
      <c r="AD89" s="1025"/>
      <c r="AE89" s="1024"/>
      <c r="AF89" s="1024"/>
      <c r="AG89" s="1024"/>
      <c r="AH89" s="1024"/>
      <c r="AI89" s="1024"/>
      <c r="AJ89" s="1024"/>
      <c r="AK89" s="1024"/>
      <c r="AL89" s="1024"/>
      <c r="AM89" s="1024"/>
      <c r="AN89" s="1024"/>
      <c r="AO89" s="1026"/>
      <c r="AP89" s="1025"/>
      <c r="AQ89" s="1024"/>
      <c r="AR89" s="1024"/>
      <c r="AS89" s="1024"/>
      <c r="AT89" s="1024"/>
      <c r="AU89" s="1024"/>
      <c r="AV89" s="1024"/>
      <c r="AW89" s="1024"/>
      <c r="AX89" s="1024"/>
      <c r="AY89" s="1024"/>
      <c r="AZ89" s="1024"/>
      <c r="BA89" s="1026"/>
      <c r="BB89" s="1025"/>
      <c r="BC89" s="1024"/>
      <c r="BD89" s="1024"/>
      <c r="BE89" s="1024"/>
      <c r="BF89" s="1024"/>
      <c r="BG89" s="1024"/>
      <c r="BH89" s="1024"/>
      <c r="BI89" s="1024"/>
      <c r="BJ89" s="1024"/>
      <c r="BK89" s="1024"/>
      <c r="BL89" s="1024"/>
      <c r="BM89" s="1026"/>
      <c r="BN89" s="1025"/>
      <c r="BO89" s="1024"/>
      <c r="BP89" s="1024"/>
      <c r="BQ89" s="1024"/>
      <c r="BR89" s="1024"/>
      <c r="BS89" s="1024"/>
      <c r="BT89" s="1024"/>
      <c r="BU89" s="1024"/>
      <c r="BV89" s="1024"/>
      <c r="BW89" s="1024"/>
      <c r="BX89" s="1024"/>
      <c r="BY89" s="1026"/>
      <c r="BZ89" s="844"/>
    </row>
    <row r="90" spans="1:78" s="819" customFormat="1" ht="13.5" thickBot="1">
      <c r="A90" s="863"/>
      <c r="B90" s="862"/>
      <c r="C90" s="861"/>
      <c r="D90" s="812"/>
      <c r="E90" s="829" t="s">
        <v>1551</v>
      </c>
      <c r="F90" s="1000"/>
      <c r="G90" s="830">
        <f>IF(G85+G87=0,"NA",(G85+G87)/($G$13*20))</f>
        <v>2.5000000000000001E-2</v>
      </c>
      <c r="H90" s="1015"/>
      <c r="I90" s="831">
        <f>IF(I86+I88=0,"NA",(I86+I88)/($G$13*20))</f>
        <v>7.4999999999999997E-2</v>
      </c>
      <c r="J90" s="832">
        <f>IF(J86+J88=0,"NA",(J86+J88)/($G$13*20))</f>
        <v>0.15</v>
      </c>
      <c r="K90" s="832">
        <f>IF(K86+K88=0,"NA",(K86+K88)/($G$13*20))</f>
        <v>0.2</v>
      </c>
      <c r="L90" s="832">
        <f>IF(L86+L88=0,"NA",(L86+L88)/($G$13*20))</f>
        <v>0.22500000000000001</v>
      </c>
      <c r="M90" s="832">
        <f>IF(M86+M88=0,"NA",(M86+M88)/($G$13*20))</f>
        <v>0.25</v>
      </c>
      <c r="N90" s="861"/>
      <c r="O90" s="862"/>
      <c r="P90" s="861"/>
      <c r="Q90" s="1024"/>
      <c r="R90" s="1025"/>
      <c r="S90" s="1024"/>
      <c r="T90" s="1024"/>
      <c r="U90" s="1024"/>
      <c r="V90" s="1024"/>
      <c r="W90" s="1024"/>
      <c r="X90" s="1024"/>
      <c r="Y90" s="1024"/>
      <c r="Z90" s="1024"/>
      <c r="AA90" s="1024"/>
      <c r="AB90" s="1024"/>
      <c r="AC90" s="1026"/>
      <c r="AD90" s="1025"/>
      <c r="AE90" s="1024"/>
      <c r="AF90" s="1024"/>
      <c r="AG90" s="1024"/>
      <c r="AH90" s="1024"/>
      <c r="AI90" s="1024"/>
      <c r="AJ90" s="1024"/>
      <c r="AK90" s="1024"/>
      <c r="AL90" s="1024"/>
      <c r="AM90" s="1024"/>
      <c r="AN90" s="1024"/>
      <c r="AO90" s="1026"/>
      <c r="AP90" s="1025"/>
      <c r="AQ90" s="1024"/>
      <c r="AR90" s="1024"/>
      <c r="AS90" s="1024"/>
      <c r="AT90" s="1024"/>
      <c r="AU90" s="1024"/>
      <c r="AV90" s="1024"/>
      <c r="AW90" s="1024"/>
      <c r="AX90" s="1024"/>
      <c r="AY90" s="1024"/>
      <c r="AZ90" s="1024"/>
      <c r="BA90" s="1026"/>
      <c r="BB90" s="1025"/>
      <c r="BC90" s="1024"/>
      <c r="BD90" s="1024"/>
      <c r="BE90" s="1024"/>
      <c r="BF90" s="1024"/>
      <c r="BG90" s="1024"/>
      <c r="BH90" s="1024"/>
      <c r="BI90" s="1024"/>
      <c r="BJ90" s="1024"/>
      <c r="BK90" s="1024"/>
      <c r="BL90" s="1024"/>
      <c r="BM90" s="1026"/>
      <c r="BN90" s="1025"/>
      <c r="BO90" s="1024"/>
      <c r="BP90" s="1024"/>
      <c r="BQ90" s="1024"/>
      <c r="BR90" s="1024"/>
      <c r="BS90" s="1024"/>
      <c r="BT90" s="1024"/>
      <c r="BU90" s="1024"/>
      <c r="BV90" s="1024"/>
      <c r="BW90" s="1024"/>
      <c r="BX90" s="1024"/>
      <c r="BY90" s="1026"/>
      <c r="BZ90" s="845"/>
    </row>
    <row r="91" spans="1:78" s="819" customFormat="1">
      <c r="A91" s="863"/>
      <c r="B91" s="862"/>
      <c r="C91" s="861"/>
      <c r="D91" s="813"/>
      <c r="E91" s="820" t="str">
        <f>$E$20</f>
        <v>Government</v>
      </c>
      <c r="F91" s="992">
        <f>SUM(F73,F79,F85)</f>
        <v>0</v>
      </c>
      <c r="G91" s="834">
        <f>G73+G79+G85</f>
        <v>0</v>
      </c>
      <c r="H91" s="856"/>
      <c r="I91" s="992">
        <f>I74+I80+I86</f>
        <v>31</v>
      </c>
      <c r="J91" s="992">
        <f>J74+J80+J86</f>
        <v>57</v>
      </c>
      <c r="K91" s="992">
        <f>K74+K80+K86</f>
        <v>74</v>
      </c>
      <c r="L91" s="992">
        <f>L74+L80+L86</f>
        <v>91</v>
      </c>
      <c r="M91" s="992">
        <f>M74+M80+M86</f>
        <v>102</v>
      </c>
      <c r="N91" s="861"/>
      <c r="O91" s="862"/>
      <c r="P91" s="861"/>
      <c r="Q91" s="1024">
        <f>Q74+Q80+Q86</f>
        <v>0</v>
      </c>
      <c r="R91" s="1025">
        <f t="shared" ref="R91:BZ91" si="107">R74+R80+R86</f>
        <v>2.5833333333333335</v>
      </c>
      <c r="S91" s="1024">
        <f t="shared" si="107"/>
        <v>5.166666666666667</v>
      </c>
      <c r="T91" s="1024">
        <f t="shared" si="107"/>
        <v>7.75</v>
      </c>
      <c r="U91" s="1024">
        <f t="shared" si="107"/>
        <v>10.333333333333334</v>
      </c>
      <c r="V91" s="1024">
        <f t="shared" si="107"/>
        <v>12.916666666666668</v>
      </c>
      <c r="W91" s="1024">
        <f t="shared" si="107"/>
        <v>15.5</v>
      </c>
      <c r="X91" s="1024">
        <f t="shared" si="107"/>
        <v>18.083333333333332</v>
      </c>
      <c r="Y91" s="1024">
        <f t="shared" si="107"/>
        <v>20.666666666666664</v>
      </c>
      <c r="Z91" s="1024">
        <f t="shared" si="107"/>
        <v>23.25</v>
      </c>
      <c r="AA91" s="1024">
        <f t="shared" si="107"/>
        <v>25.833333333333336</v>
      </c>
      <c r="AB91" s="1024">
        <f t="shared" si="107"/>
        <v>28.416666666666668</v>
      </c>
      <c r="AC91" s="1026">
        <f t="shared" si="107"/>
        <v>31.000000000000004</v>
      </c>
      <c r="AD91" s="1025">
        <f t="shared" si="107"/>
        <v>33.166666666666671</v>
      </c>
      <c r="AE91" s="1024">
        <f t="shared" si="107"/>
        <v>35.333333333333336</v>
      </c>
      <c r="AF91" s="1024">
        <f t="shared" si="107"/>
        <v>37.500000000000007</v>
      </c>
      <c r="AG91" s="1024">
        <f t="shared" si="107"/>
        <v>39.666666666666671</v>
      </c>
      <c r="AH91" s="1024">
        <f t="shared" si="107"/>
        <v>41.833333333333336</v>
      </c>
      <c r="AI91" s="1024">
        <f t="shared" si="107"/>
        <v>44</v>
      </c>
      <c r="AJ91" s="1024">
        <f t="shared" si="107"/>
        <v>46.166666666666664</v>
      </c>
      <c r="AK91" s="1024">
        <f t="shared" si="107"/>
        <v>48.333333333333329</v>
      </c>
      <c r="AL91" s="1024">
        <f t="shared" si="107"/>
        <v>50.5</v>
      </c>
      <c r="AM91" s="1024">
        <f t="shared" si="107"/>
        <v>52.666666666666664</v>
      </c>
      <c r="AN91" s="1024">
        <f t="shared" si="107"/>
        <v>54.833333333333329</v>
      </c>
      <c r="AO91" s="1026">
        <f t="shared" si="107"/>
        <v>57</v>
      </c>
      <c r="AP91" s="1025">
        <f t="shared" si="107"/>
        <v>58.416666666666664</v>
      </c>
      <c r="AQ91" s="1024">
        <f t="shared" si="107"/>
        <v>59.833333333333329</v>
      </c>
      <c r="AR91" s="1024">
        <f t="shared" si="107"/>
        <v>61.25</v>
      </c>
      <c r="AS91" s="1024">
        <f t="shared" si="107"/>
        <v>62.666666666666657</v>
      </c>
      <c r="AT91" s="1024">
        <f t="shared" si="107"/>
        <v>64.083333333333329</v>
      </c>
      <c r="AU91" s="1024">
        <f t="shared" si="107"/>
        <v>65.5</v>
      </c>
      <c r="AV91" s="1024">
        <f t="shared" si="107"/>
        <v>66.916666666666671</v>
      </c>
      <c r="AW91" s="1024">
        <f t="shared" si="107"/>
        <v>68.333333333333343</v>
      </c>
      <c r="AX91" s="1024">
        <f t="shared" si="107"/>
        <v>69.75</v>
      </c>
      <c r="AY91" s="1024">
        <f t="shared" si="107"/>
        <v>71.166666666666671</v>
      </c>
      <c r="AZ91" s="1024">
        <f t="shared" si="107"/>
        <v>72.583333333333329</v>
      </c>
      <c r="BA91" s="1026">
        <f t="shared" si="107"/>
        <v>74</v>
      </c>
      <c r="BB91" s="1025">
        <f t="shared" si="107"/>
        <v>75.416666666666671</v>
      </c>
      <c r="BC91" s="1024">
        <f t="shared" si="107"/>
        <v>76.833333333333329</v>
      </c>
      <c r="BD91" s="1024">
        <f t="shared" si="107"/>
        <v>78.25</v>
      </c>
      <c r="BE91" s="1024">
        <f t="shared" si="107"/>
        <v>79.666666666666671</v>
      </c>
      <c r="BF91" s="1024">
        <f t="shared" si="107"/>
        <v>81.083333333333329</v>
      </c>
      <c r="BG91" s="1024">
        <f t="shared" si="107"/>
        <v>82.5</v>
      </c>
      <c r="BH91" s="1024">
        <f t="shared" si="107"/>
        <v>83.916666666666657</v>
      </c>
      <c r="BI91" s="1024">
        <f t="shared" si="107"/>
        <v>85.333333333333314</v>
      </c>
      <c r="BJ91" s="1024">
        <f t="shared" si="107"/>
        <v>86.75</v>
      </c>
      <c r="BK91" s="1024">
        <f t="shared" si="107"/>
        <v>88.166666666666657</v>
      </c>
      <c r="BL91" s="1024">
        <f t="shared" si="107"/>
        <v>89.583333333333314</v>
      </c>
      <c r="BM91" s="1026">
        <f t="shared" si="107"/>
        <v>91</v>
      </c>
      <c r="BN91" s="1025">
        <f t="shared" si="107"/>
        <v>91.916666666666657</v>
      </c>
      <c r="BO91" s="1024">
        <f t="shared" si="107"/>
        <v>92.833333333333329</v>
      </c>
      <c r="BP91" s="1024">
        <f t="shared" si="107"/>
        <v>93.75</v>
      </c>
      <c r="BQ91" s="1024">
        <f t="shared" si="107"/>
        <v>94.666666666666671</v>
      </c>
      <c r="BR91" s="1024">
        <f t="shared" si="107"/>
        <v>95.583333333333343</v>
      </c>
      <c r="BS91" s="1024">
        <f t="shared" si="107"/>
        <v>96.500000000000014</v>
      </c>
      <c r="BT91" s="1024">
        <f t="shared" si="107"/>
        <v>97.4166666666667</v>
      </c>
      <c r="BU91" s="1024">
        <f t="shared" si="107"/>
        <v>98.333333333333371</v>
      </c>
      <c r="BV91" s="1024">
        <f t="shared" si="107"/>
        <v>99.250000000000028</v>
      </c>
      <c r="BW91" s="1024">
        <f t="shared" si="107"/>
        <v>100.16666666666671</v>
      </c>
      <c r="BX91" s="1024">
        <f t="shared" si="107"/>
        <v>101.08333333333339</v>
      </c>
      <c r="BY91" s="1026">
        <f t="shared" si="107"/>
        <v>102.00000000000004</v>
      </c>
      <c r="BZ91" s="845">
        <f t="shared" si="107"/>
        <v>0</v>
      </c>
    </row>
    <row r="92" spans="1:78" s="819" customFormat="1">
      <c r="A92" s="863"/>
      <c r="B92" s="862"/>
      <c r="C92" s="861"/>
      <c r="D92" s="813"/>
      <c r="E92" s="820" t="str">
        <f>$E$22</f>
        <v>Non-Government</v>
      </c>
      <c r="F92" s="992">
        <f>SUM(F75,F81,F87)</f>
        <v>0</v>
      </c>
      <c r="G92" s="834">
        <f>G75+G81+G87</f>
        <v>3</v>
      </c>
      <c r="H92" s="856"/>
      <c r="I92" s="992">
        <f>I76+I82+I88</f>
        <v>5</v>
      </c>
      <c r="J92" s="992">
        <f>J76+J82+J88</f>
        <v>8</v>
      </c>
      <c r="K92" s="992">
        <f>K76+K82+K88</f>
        <v>10</v>
      </c>
      <c r="L92" s="992">
        <f>L76+L82+L88</f>
        <v>12</v>
      </c>
      <c r="M92" s="992">
        <f>M76+M82+M88</f>
        <v>14</v>
      </c>
      <c r="N92" s="861"/>
      <c r="O92" s="862"/>
      <c r="P92" s="861"/>
      <c r="Q92" s="1024">
        <f>Q76+Q82+Q88</f>
        <v>3</v>
      </c>
      <c r="R92" s="1025">
        <f t="shared" ref="R92:BZ92" si="108">R76+R82+R88</f>
        <v>3.166666666666667</v>
      </c>
      <c r="S92" s="1024">
        <f t="shared" si="108"/>
        <v>3.3333333333333335</v>
      </c>
      <c r="T92" s="1024">
        <f t="shared" si="108"/>
        <v>3.5</v>
      </c>
      <c r="U92" s="1024">
        <f t="shared" si="108"/>
        <v>3.666666666666667</v>
      </c>
      <c r="V92" s="1024">
        <f t="shared" si="108"/>
        <v>3.8333333333333339</v>
      </c>
      <c r="W92" s="1024">
        <f t="shared" si="108"/>
        <v>4</v>
      </c>
      <c r="X92" s="1024">
        <f t="shared" si="108"/>
        <v>4.166666666666667</v>
      </c>
      <c r="Y92" s="1024">
        <f t="shared" si="108"/>
        <v>4.3333333333333339</v>
      </c>
      <c r="Z92" s="1024">
        <f t="shared" si="108"/>
        <v>4.5</v>
      </c>
      <c r="AA92" s="1024">
        <f t="shared" si="108"/>
        <v>4.6666666666666661</v>
      </c>
      <c r="AB92" s="1024">
        <f t="shared" si="108"/>
        <v>4.833333333333333</v>
      </c>
      <c r="AC92" s="1026">
        <f t="shared" si="108"/>
        <v>5</v>
      </c>
      <c r="AD92" s="1025">
        <f t="shared" si="108"/>
        <v>5.2499999999999991</v>
      </c>
      <c r="AE92" s="1024">
        <f t="shared" si="108"/>
        <v>5.4999999999999991</v>
      </c>
      <c r="AF92" s="1024">
        <f t="shared" si="108"/>
        <v>5.7499999999999991</v>
      </c>
      <c r="AG92" s="1024">
        <f t="shared" si="108"/>
        <v>5.9999999999999982</v>
      </c>
      <c r="AH92" s="1024">
        <f t="shared" si="108"/>
        <v>6.2499999999999982</v>
      </c>
      <c r="AI92" s="1024">
        <f t="shared" si="108"/>
        <v>6.4999999999999982</v>
      </c>
      <c r="AJ92" s="1024">
        <f t="shared" si="108"/>
        <v>6.7499999999999982</v>
      </c>
      <c r="AK92" s="1024">
        <f t="shared" si="108"/>
        <v>6.9999999999999982</v>
      </c>
      <c r="AL92" s="1024">
        <f t="shared" si="108"/>
        <v>7.2499999999999982</v>
      </c>
      <c r="AM92" s="1024">
        <f t="shared" si="108"/>
        <v>7.4999999999999982</v>
      </c>
      <c r="AN92" s="1024">
        <f t="shared" si="108"/>
        <v>7.7499999999999991</v>
      </c>
      <c r="AO92" s="1026">
        <f t="shared" si="108"/>
        <v>7.9999999999999991</v>
      </c>
      <c r="AP92" s="1025">
        <f t="shared" si="108"/>
        <v>8.1666666666666661</v>
      </c>
      <c r="AQ92" s="1024">
        <f t="shared" si="108"/>
        <v>8.3333333333333321</v>
      </c>
      <c r="AR92" s="1024">
        <f t="shared" si="108"/>
        <v>8.4999999999999982</v>
      </c>
      <c r="AS92" s="1024">
        <f t="shared" si="108"/>
        <v>8.6666666666666643</v>
      </c>
      <c r="AT92" s="1024">
        <f t="shared" si="108"/>
        <v>8.8333333333333304</v>
      </c>
      <c r="AU92" s="1024">
        <f t="shared" si="108"/>
        <v>8.9999999999999964</v>
      </c>
      <c r="AV92" s="1024">
        <f t="shared" si="108"/>
        <v>9.1666666666666625</v>
      </c>
      <c r="AW92" s="1024">
        <f t="shared" si="108"/>
        <v>9.3333333333333286</v>
      </c>
      <c r="AX92" s="1024">
        <f t="shared" si="108"/>
        <v>9.4999999999999964</v>
      </c>
      <c r="AY92" s="1024">
        <f t="shared" si="108"/>
        <v>9.6666666666666625</v>
      </c>
      <c r="AZ92" s="1024">
        <f t="shared" si="108"/>
        <v>9.8333333333333286</v>
      </c>
      <c r="BA92" s="1026">
        <f t="shared" si="108"/>
        <v>9.9999999999999947</v>
      </c>
      <c r="BB92" s="1025">
        <f t="shared" si="108"/>
        <v>10.166666666666661</v>
      </c>
      <c r="BC92" s="1024">
        <f t="shared" si="108"/>
        <v>10.333333333333329</v>
      </c>
      <c r="BD92" s="1024">
        <f t="shared" si="108"/>
        <v>10.499999999999993</v>
      </c>
      <c r="BE92" s="1024">
        <f t="shared" si="108"/>
        <v>10.666666666666661</v>
      </c>
      <c r="BF92" s="1024">
        <f t="shared" si="108"/>
        <v>10.833333333333329</v>
      </c>
      <c r="BG92" s="1024">
        <f t="shared" si="108"/>
        <v>10.999999999999993</v>
      </c>
      <c r="BH92" s="1024">
        <f t="shared" si="108"/>
        <v>11.166666666666661</v>
      </c>
      <c r="BI92" s="1024">
        <f t="shared" si="108"/>
        <v>11.333333333333329</v>
      </c>
      <c r="BJ92" s="1024">
        <f t="shared" si="108"/>
        <v>11.499999999999993</v>
      </c>
      <c r="BK92" s="1024">
        <f t="shared" si="108"/>
        <v>11.666666666666661</v>
      </c>
      <c r="BL92" s="1024">
        <f t="shared" si="108"/>
        <v>11.833333333333325</v>
      </c>
      <c r="BM92" s="1026">
        <f t="shared" si="108"/>
        <v>11.999999999999993</v>
      </c>
      <c r="BN92" s="1025">
        <f t="shared" si="108"/>
        <v>12.166666666666661</v>
      </c>
      <c r="BO92" s="1024">
        <f t="shared" si="108"/>
        <v>12.333333333333325</v>
      </c>
      <c r="BP92" s="1024">
        <f t="shared" si="108"/>
        <v>12.499999999999993</v>
      </c>
      <c r="BQ92" s="1024">
        <f t="shared" si="108"/>
        <v>12.666666666666661</v>
      </c>
      <c r="BR92" s="1024">
        <f t="shared" si="108"/>
        <v>12.833333333333325</v>
      </c>
      <c r="BS92" s="1024">
        <f t="shared" si="108"/>
        <v>12.999999999999993</v>
      </c>
      <c r="BT92" s="1024">
        <f t="shared" si="108"/>
        <v>13.166666666666657</v>
      </c>
      <c r="BU92" s="1024">
        <f t="shared" si="108"/>
        <v>13.333333333333325</v>
      </c>
      <c r="BV92" s="1024">
        <f t="shared" si="108"/>
        <v>13.499999999999993</v>
      </c>
      <c r="BW92" s="1024">
        <f t="shared" si="108"/>
        <v>13.666666666666657</v>
      </c>
      <c r="BX92" s="1024">
        <f t="shared" si="108"/>
        <v>13.833333333333325</v>
      </c>
      <c r="BY92" s="1026">
        <f t="shared" si="108"/>
        <v>13.999999999999993</v>
      </c>
      <c r="BZ92" s="845">
        <f t="shared" si="108"/>
        <v>0</v>
      </c>
    </row>
    <row r="93" spans="1:78" s="819" customFormat="1">
      <c r="A93" s="863"/>
      <c r="B93" s="862"/>
      <c r="C93" s="861"/>
      <c r="D93" s="813"/>
      <c r="E93" s="833" t="s">
        <v>814</v>
      </c>
      <c r="F93" s="992">
        <f>F91+F92</f>
        <v>0</v>
      </c>
      <c r="G93" s="837">
        <f>G91+G92</f>
        <v>3</v>
      </c>
      <c r="H93" s="852"/>
      <c r="I93" s="1002">
        <f>I91+I92</f>
        <v>36</v>
      </c>
      <c r="J93" s="1002">
        <f>J91+J92</f>
        <v>65</v>
      </c>
      <c r="K93" s="1002">
        <f>K91+K92</f>
        <v>84</v>
      </c>
      <c r="L93" s="1002">
        <f>L91+L92</f>
        <v>103</v>
      </c>
      <c r="M93" s="1002">
        <f>M91+M92</f>
        <v>116</v>
      </c>
      <c r="N93" s="861"/>
      <c r="O93" s="862"/>
      <c r="P93" s="861"/>
      <c r="Q93" s="1024">
        <f t="shared" ref="Q93:AV93" si="109">Q91+Q92</f>
        <v>3</v>
      </c>
      <c r="R93" s="1025">
        <f t="shared" si="109"/>
        <v>5.75</v>
      </c>
      <c r="S93" s="1024">
        <f t="shared" si="109"/>
        <v>8.5</v>
      </c>
      <c r="T93" s="1024">
        <f t="shared" si="109"/>
        <v>11.25</v>
      </c>
      <c r="U93" s="1024">
        <f t="shared" si="109"/>
        <v>14</v>
      </c>
      <c r="V93" s="1024">
        <f t="shared" si="109"/>
        <v>16.75</v>
      </c>
      <c r="W93" s="1024">
        <f t="shared" si="109"/>
        <v>19.5</v>
      </c>
      <c r="X93" s="1024">
        <f t="shared" si="109"/>
        <v>22.25</v>
      </c>
      <c r="Y93" s="1024">
        <f t="shared" si="109"/>
        <v>25</v>
      </c>
      <c r="Z93" s="1024">
        <f t="shared" si="109"/>
        <v>27.75</v>
      </c>
      <c r="AA93" s="1024">
        <f t="shared" si="109"/>
        <v>30.5</v>
      </c>
      <c r="AB93" s="1024">
        <f t="shared" si="109"/>
        <v>33.25</v>
      </c>
      <c r="AC93" s="1026">
        <f t="shared" si="109"/>
        <v>36</v>
      </c>
      <c r="AD93" s="1025">
        <f t="shared" si="109"/>
        <v>38.416666666666671</v>
      </c>
      <c r="AE93" s="1024">
        <f t="shared" si="109"/>
        <v>40.833333333333336</v>
      </c>
      <c r="AF93" s="1024">
        <f t="shared" si="109"/>
        <v>43.250000000000007</v>
      </c>
      <c r="AG93" s="1024">
        <f t="shared" si="109"/>
        <v>45.666666666666671</v>
      </c>
      <c r="AH93" s="1024">
        <f t="shared" si="109"/>
        <v>48.083333333333336</v>
      </c>
      <c r="AI93" s="1024">
        <f t="shared" si="109"/>
        <v>50.5</v>
      </c>
      <c r="AJ93" s="1024">
        <f t="shared" si="109"/>
        <v>52.916666666666664</v>
      </c>
      <c r="AK93" s="1024">
        <f t="shared" si="109"/>
        <v>55.333333333333329</v>
      </c>
      <c r="AL93" s="1024">
        <f t="shared" si="109"/>
        <v>57.75</v>
      </c>
      <c r="AM93" s="1024">
        <f t="shared" si="109"/>
        <v>60.166666666666664</v>
      </c>
      <c r="AN93" s="1024">
        <f t="shared" si="109"/>
        <v>62.583333333333329</v>
      </c>
      <c r="AO93" s="1026">
        <f t="shared" si="109"/>
        <v>65</v>
      </c>
      <c r="AP93" s="1025">
        <f t="shared" si="109"/>
        <v>66.583333333333329</v>
      </c>
      <c r="AQ93" s="1024">
        <f t="shared" si="109"/>
        <v>68.166666666666657</v>
      </c>
      <c r="AR93" s="1024">
        <f t="shared" si="109"/>
        <v>69.75</v>
      </c>
      <c r="AS93" s="1024">
        <f t="shared" si="109"/>
        <v>71.333333333333314</v>
      </c>
      <c r="AT93" s="1024">
        <f t="shared" si="109"/>
        <v>72.916666666666657</v>
      </c>
      <c r="AU93" s="1024">
        <f t="shared" si="109"/>
        <v>74.5</v>
      </c>
      <c r="AV93" s="1024">
        <f t="shared" si="109"/>
        <v>76.083333333333329</v>
      </c>
      <c r="AW93" s="1024">
        <f t="shared" ref="AW93:BZ93" si="110">AW91+AW92</f>
        <v>77.666666666666671</v>
      </c>
      <c r="AX93" s="1024">
        <f t="shared" si="110"/>
        <v>79.25</v>
      </c>
      <c r="AY93" s="1024">
        <f t="shared" si="110"/>
        <v>80.833333333333329</v>
      </c>
      <c r="AZ93" s="1024">
        <f t="shared" si="110"/>
        <v>82.416666666666657</v>
      </c>
      <c r="BA93" s="1026">
        <f t="shared" si="110"/>
        <v>84</v>
      </c>
      <c r="BB93" s="1025">
        <f t="shared" si="110"/>
        <v>85.583333333333329</v>
      </c>
      <c r="BC93" s="1024">
        <f t="shared" si="110"/>
        <v>87.166666666666657</v>
      </c>
      <c r="BD93" s="1024">
        <f t="shared" si="110"/>
        <v>88.75</v>
      </c>
      <c r="BE93" s="1024">
        <f t="shared" si="110"/>
        <v>90.333333333333329</v>
      </c>
      <c r="BF93" s="1024">
        <f t="shared" si="110"/>
        <v>91.916666666666657</v>
      </c>
      <c r="BG93" s="1024">
        <f t="shared" si="110"/>
        <v>93.5</v>
      </c>
      <c r="BH93" s="1024">
        <f t="shared" si="110"/>
        <v>95.083333333333314</v>
      </c>
      <c r="BI93" s="1024">
        <f t="shared" si="110"/>
        <v>96.666666666666643</v>
      </c>
      <c r="BJ93" s="1024">
        <f t="shared" si="110"/>
        <v>98.25</v>
      </c>
      <c r="BK93" s="1024">
        <f t="shared" si="110"/>
        <v>99.833333333333314</v>
      </c>
      <c r="BL93" s="1024">
        <f t="shared" si="110"/>
        <v>101.41666666666664</v>
      </c>
      <c r="BM93" s="1026">
        <f t="shared" si="110"/>
        <v>103</v>
      </c>
      <c r="BN93" s="1025">
        <f t="shared" si="110"/>
        <v>104.08333333333331</v>
      </c>
      <c r="BO93" s="1024">
        <f t="shared" si="110"/>
        <v>105.16666666666666</v>
      </c>
      <c r="BP93" s="1024">
        <f t="shared" si="110"/>
        <v>106.25</v>
      </c>
      <c r="BQ93" s="1024">
        <f t="shared" si="110"/>
        <v>107.33333333333333</v>
      </c>
      <c r="BR93" s="1024">
        <f t="shared" si="110"/>
        <v>108.41666666666667</v>
      </c>
      <c r="BS93" s="1024">
        <f t="shared" si="110"/>
        <v>109.5</v>
      </c>
      <c r="BT93" s="1024">
        <f t="shared" si="110"/>
        <v>110.58333333333336</v>
      </c>
      <c r="BU93" s="1024">
        <f t="shared" si="110"/>
        <v>111.6666666666667</v>
      </c>
      <c r="BV93" s="1024">
        <f t="shared" si="110"/>
        <v>112.75000000000003</v>
      </c>
      <c r="BW93" s="1024">
        <f t="shared" si="110"/>
        <v>113.83333333333337</v>
      </c>
      <c r="BX93" s="1024">
        <f t="shared" si="110"/>
        <v>114.91666666666671</v>
      </c>
      <c r="BY93" s="1026">
        <f t="shared" si="110"/>
        <v>116.00000000000003</v>
      </c>
      <c r="BZ93" s="845">
        <f t="shared" si="110"/>
        <v>0</v>
      </c>
    </row>
    <row r="94" spans="1:78" s="819" customFormat="1" ht="13.5" thickBot="1">
      <c r="A94" s="863"/>
      <c r="B94" s="862"/>
      <c r="C94" s="861"/>
      <c r="D94" s="794"/>
      <c r="E94" s="829" t="s">
        <v>4101</v>
      </c>
      <c r="F94" s="993"/>
      <c r="G94" s="835">
        <f>G92/G93</f>
        <v>1</v>
      </c>
      <c r="H94" s="1011"/>
      <c r="I94" s="835">
        <f>I92/I93</f>
        <v>0.1388888888888889</v>
      </c>
      <c r="J94" s="835">
        <f>J92/J93</f>
        <v>0.12307692307692308</v>
      </c>
      <c r="K94" s="835">
        <f>K92/K93</f>
        <v>0.11904761904761904</v>
      </c>
      <c r="L94" s="835">
        <f>L92/L93</f>
        <v>0.11650485436893204</v>
      </c>
      <c r="M94" s="835">
        <f>M92/M93</f>
        <v>0.1206896551724138</v>
      </c>
      <c r="N94" s="861"/>
      <c r="O94" s="862"/>
      <c r="P94" s="861"/>
      <c r="Q94" s="1024"/>
      <c r="R94" s="1029"/>
      <c r="S94" s="1030"/>
      <c r="T94" s="1030"/>
      <c r="U94" s="1030"/>
      <c r="V94" s="1030"/>
      <c r="W94" s="1030"/>
      <c r="X94" s="1030"/>
      <c r="Y94" s="1030"/>
      <c r="Z94" s="1030"/>
      <c r="AA94" s="1030"/>
      <c r="AB94" s="1030"/>
      <c r="AC94" s="1031"/>
      <c r="AD94" s="1029"/>
      <c r="AE94" s="1030"/>
      <c r="AF94" s="1030"/>
      <c r="AG94" s="1030"/>
      <c r="AH94" s="1030"/>
      <c r="AI94" s="1030"/>
      <c r="AJ94" s="1030"/>
      <c r="AK94" s="1030"/>
      <c r="AL94" s="1030"/>
      <c r="AM94" s="1030"/>
      <c r="AN94" s="1030"/>
      <c r="AO94" s="1031"/>
      <c r="AP94" s="1029"/>
      <c r="AQ94" s="1030"/>
      <c r="AR94" s="1030"/>
      <c r="AS94" s="1030"/>
      <c r="AT94" s="1030"/>
      <c r="AU94" s="1030"/>
      <c r="AV94" s="1030"/>
      <c r="AW94" s="1030"/>
      <c r="AX94" s="1030"/>
      <c r="AY94" s="1030"/>
      <c r="AZ94" s="1030"/>
      <c r="BA94" s="1031"/>
      <c r="BB94" s="1029"/>
      <c r="BC94" s="1030"/>
      <c r="BD94" s="1030"/>
      <c r="BE94" s="1030"/>
      <c r="BF94" s="1030"/>
      <c r="BG94" s="1030"/>
      <c r="BH94" s="1030"/>
      <c r="BI94" s="1030"/>
      <c r="BJ94" s="1030"/>
      <c r="BK94" s="1030"/>
      <c r="BL94" s="1030"/>
      <c r="BM94" s="1031"/>
      <c r="BN94" s="1029"/>
      <c r="BO94" s="1030"/>
      <c r="BP94" s="1030"/>
      <c r="BQ94" s="1030"/>
      <c r="BR94" s="1030"/>
      <c r="BS94" s="1030"/>
      <c r="BT94" s="1030"/>
      <c r="BU94" s="1030"/>
      <c r="BV94" s="1030"/>
      <c r="BW94" s="1030"/>
      <c r="BX94" s="1030"/>
      <c r="BY94" s="1031"/>
      <c r="BZ94" s="844"/>
    </row>
    <row r="95" spans="1:78" s="848" customFormat="1">
      <c r="A95" s="152"/>
      <c r="B95" s="862"/>
      <c r="C95" s="861"/>
      <c r="E95" s="1733"/>
      <c r="F95" s="847" t="str">
        <f>IF(F66=F93,"","ERROR: Patient Movement - number of patients from parent to DeNovo differs")</f>
        <v/>
      </c>
      <c r="G95" s="847"/>
      <c r="H95" s="847"/>
      <c r="I95" s="847"/>
      <c r="J95" s="847"/>
      <c r="K95" s="847"/>
      <c r="L95" s="847"/>
      <c r="M95" s="847"/>
      <c r="N95" s="861"/>
      <c r="O95" s="862"/>
      <c r="P95" s="861"/>
      <c r="Q95" s="850"/>
    </row>
    <row r="96" spans="1:78" s="848" customFormat="1">
      <c r="A96" s="152"/>
      <c r="B96" s="862"/>
      <c r="C96" s="861"/>
      <c r="G96" s="851"/>
      <c r="H96" s="852"/>
      <c r="I96" s="853"/>
      <c r="J96" s="853"/>
      <c r="K96" s="853"/>
      <c r="L96" s="853"/>
      <c r="M96" s="853"/>
      <c r="N96" s="861"/>
      <c r="O96" s="862"/>
      <c r="P96" s="861"/>
      <c r="Q96" s="850"/>
    </row>
    <row r="97" spans="1:17" s="848" customFormat="1" ht="13.5" thickBot="1">
      <c r="A97" s="152"/>
      <c r="B97" s="862"/>
      <c r="C97" s="862"/>
      <c r="D97" s="849"/>
      <c r="E97" s="849"/>
      <c r="F97" s="849"/>
      <c r="G97" s="849"/>
      <c r="H97" s="849"/>
      <c r="I97" s="849"/>
      <c r="J97" s="849"/>
      <c r="K97" s="849"/>
      <c r="L97" s="849"/>
      <c r="M97" s="849"/>
      <c r="N97" s="862"/>
      <c r="O97" s="862"/>
      <c r="P97" s="861"/>
      <c r="Q97" s="850"/>
    </row>
    <row r="98" spans="1:17">
      <c r="B98" s="2176" t="s">
        <v>4102</v>
      </c>
      <c r="C98" s="2177"/>
      <c r="D98" s="2178"/>
      <c r="E98" s="2179"/>
      <c r="F98" s="2178"/>
      <c r="G98" s="2180"/>
      <c r="H98" s="2181"/>
      <c r="I98" s="2182"/>
      <c r="J98" s="2179"/>
      <c r="K98" s="2183"/>
      <c r="L98" s="2183"/>
      <c r="M98" s="2178"/>
      <c r="N98" s="2177"/>
      <c r="O98" s="2184"/>
    </row>
    <row r="99" spans="1:17" s="848" customFormat="1">
      <c r="A99" s="861"/>
      <c r="B99" s="2185"/>
      <c r="C99" s="760"/>
      <c r="D99" s="850"/>
      <c r="E99" s="850"/>
      <c r="F99" s="850"/>
      <c r="G99" s="1733" t="str">
        <f>$G$72</f>
        <v>New Pts @ Opening</v>
      </c>
      <c r="H99" s="1733"/>
      <c r="I99" s="2722" t="str">
        <f>$I$7</f>
        <v>Year 1</v>
      </c>
      <c r="J99" s="2722" t="str">
        <f>$J$7</f>
        <v>Year 2</v>
      </c>
      <c r="K99" s="2722" t="str">
        <f>$K$7</f>
        <v>Year 3</v>
      </c>
      <c r="L99" s="2722" t="str">
        <f>$L$7</f>
        <v>Year 4</v>
      </c>
      <c r="M99" s="2722" t="str">
        <f>$M$7</f>
        <v>Year 5</v>
      </c>
      <c r="N99" s="760"/>
      <c r="O99" s="2186"/>
      <c r="P99" s="861"/>
      <c r="Q99" s="850"/>
    </row>
    <row r="100" spans="1:17">
      <c r="B100" s="2187"/>
      <c r="C100" s="760"/>
      <c r="D100" s="2188"/>
      <c r="E100" s="2169" t="str">
        <f>$D$74&amp;" Total Patient Census"</f>
        <v>ICHD Total Patient Census</v>
      </c>
      <c r="F100" s="2188"/>
      <c r="G100" s="2174">
        <v>0</v>
      </c>
      <c r="H100" s="2189"/>
      <c r="I100" s="2174">
        <v>0</v>
      </c>
      <c r="J100" s="2174">
        <v>0</v>
      </c>
      <c r="K100" s="2174">
        <v>0</v>
      </c>
      <c r="L100" s="2174">
        <v>0</v>
      </c>
      <c r="M100" s="2174">
        <v>0</v>
      </c>
      <c r="N100" s="760"/>
      <c r="O100" s="2190"/>
    </row>
    <row r="101" spans="1:17">
      <c r="B101" s="2187"/>
      <c r="C101" s="760"/>
      <c r="D101" s="2188"/>
      <c r="E101" s="2188"/>
      <c r="F101" s="2719" t="s">
        <v>4103</v>
      </c>
      <c r="G101" s="2175">
        <v>0</v>
      </c>
      <c r="H101" s="2189"/>
      <c r="I101" s="2191"/>
      <c r="J101" s="789"/>
      <c r="K101" s="401"/>
      <c r="L101" s="401"/>
      <c r="M101" s="2188"/>
      <c r="N101" s="760"/>
      <c r="O101" s="2190"/>
    </row>
    <row r="102" spans="1:17">
      <c r="B102" s="2187"/>
      <c r="C102" s="760"/>
      <c r="D102" s="2188"/>
      <c r="E102" s="2188"/>
      <c r="F102" s="2169" t="s">
        <v>463</v>
      </c>
      <c r="G102" s="2170">
        <f>G100-G103</f>
        <v>0</v>
      </c>
      <c r="H102" s="2189"/>
      <c r="I102" s="2171">
        <f>I100-I103</f>
        <v>0</v>
      </c>
      <c r="J102" s="2171">
        <f>J100-J103</f>
        <v>0</v>
      </c>
      <c r="K102" s="2171">
        <f>K100-K103</f>
        <v>0</v>
      </c>
      <c r="L102" s="2171">
        <f>L100-L103</f>
        <v>0</v>
      </c>
      <c r="M102" s="2171">
        <f>M100-M103</f>
        <v>0</v>
      </c>
      <c r="N102" s="760"/>
      <c r="O102" s="2190"/>
    </row>
    <row r="103" spans="1:17">
      <c r="B103" s="2187"/>
      <c r="C103" s="760"/>
      <c r="D103" s="2188"/>
      <c r="E103" s="789"/>
      <c r="F103" s="2720" t="s">
        <v>4104</v>
      </c>
      <c r="G103" s="2173">
        <f>ROUND(G100*$G$101,1)</f>
        <v>0</v>
      </c>
      <c r="H103" s="2189"/>
      <c r="I103" s="2173">
        <f>ROUND(I100*$G$101,1)</f>
        <v>0</v>
      </c>
      <c r="J103" s="2173">
        <f>ROUND(J100*$G$101,1)</f>
        <v>0</v>
      </c>
      <c r="K103" s="2173">
        <f>ROUND(K100*$G$101,1)</f>
        <v>0</v>
      </c>
      <c r="L103" s="2173">
        <f>ROUND(L100*$G$101,1)</f>
        <v>0</v>
      </c>
      <c r="M103" s="2173">
        <f>ROUND(M100*$G$101,1)</f>
        <v>0</v>
      </c>
      <c r="N103" s="760"/>
      <c r="O103" s="2190"/>
    </row>
    <row r="104" spans="1:17" ht="5.0999999999999996" customHeight="1">
      <c r="B104" s="2187"/>
      <c r="C104" s="760"/>
      <c r="D104" s="2188"/>
      <c r="E104" s="789"/>
      <c r="F104" s="2169"/>
      <c r="G104" s="2172"/>
      <c r="H104" s="2189"/>
      <c r="I104" s="2172"/>
      <c r="J104" s="2172"/>
      <c r="K104" s="2172"/>
      <c r="L104" s="2172"/>
      <c r="M104" s="2172"/>
      <c r="N104" s="760"/>
      <c r="O104" s="2190"/>
    </row>
    <row r="105" spans="1:17">
      <c r="B105" s="2187"/>
      <c r="C105" s="760"/>
      <c r="D105" s="2188"/>
      <c r="E105" s="2169" t="str">
        <f>$D$80&amp;" Total Patient Census"</f>
        <v>PD Total Patient Census</v>
      </c>
      <c r="F105" s="2169"/>
      <c r="G105" s="2174">
        <v>0</v>
      </c>
      <c r="H105" s="2189"/>
      <c r="I105" s="2174">
        <v>0</v>
      </c>
      <c r="J105" s="2174">
        <v>0</v>
      </c>
      <c r="K105" s="2174">
        <v>0</v>
      </c>
      <c r="L105" s="2174">
        <v>0</v>
      </c>
      <c r="M105" s="2174">
        <v>0</v>
      </c>
      <c r="N105" s="760"/>
      <c r="O105" s="2190"/>
    </row>
    <row r="106" spans="1:17">
      <c r="B106" s="2187"/>
      <c r="C106" s="760"/>
      <c r="D106" s="2188"/>
      <c r="E106" s="789"/>
      <c r="F106" s="1733" t="str">
        <f>$F$101</f>
        <v>Non-Govt Mix Yrs1-5</v>
      </c>
      <c r="G106" s="2175">
        <v>0</v>
      </c>
      <c r="H106" s="2189"/>
      <c r="I106" s="2191"/>
      <c r="J106" s="789"/>
      <c r="K106" s="401"/>
      <c r="L106" s="401"/>
      <c r="M106" s="2188"/>
      <c r="N106" s="760"/>
      <c r="O106" s="2190"/>
    </row>
    <row r="107" spans="1:17">
      <c r="B107" s="2187"/>
      <c r="C107" s="760"/>
      <c r="D107" s="2188"/>
      <c r="E107" s="2188"/>
      <c r="F107" s="2169" t="str">
        <f>$F$102</f>
        <v>Govt</v>
      </c>
      <c r="G107" s="2170">
        <f>G105-G108</f>
        <v>0</v>
      </c>
      <c r="H107" s="2189"/>
      <c r="I107" s="2171">
        <f>I105-I108</f>
        <v>0</v>
      </c>
      <c r="J107" s="2171">
        <f>J105-J108</f>
        <v>0</v>
      </c>
      <c r="K107" s="2171">
        <f>K105-K108</f>
        <v>0</v>
      </c>
      <c r="L107" s="2171">
        <f>L105-L108</f>
        <v>0</v>
      </c>
      <c r="M107" s="2171">
        <f>M105-M108</f>
        <v>0</v>
      </c>
      <c r="N107" s="760"/>
      <c r="O107" s="2190"/>
    </row>
    <row r="108" spans="1:17">
      <c r="B108" s="2187"/>
      <c r="C108" s="760"/>
      <c r="D108" s="2188"/>
      <c r="E108" s="2188"/>
      <c r="F108" s="2169" t="str">
        <f>$F$103</f>
        <v>Non-Govt</v>
      </c>
      <c r="G108" s="2173">
        <f>ROUND(G105*$G$106,1)</f>
        <v>0</v>
      </c>
      <c r="H108" s="2189"/>
      <c r="I108" s="2173">
        <f>ROUND(I105*$G$106,1)</f>
        <v>0</v>
      </c>
      <c r="J108" s="2173">
        <f>ROUND(J105*$G$106,1)</f>
        <v>0</v>
      </c>
      <c r="K108" s="2173">
        <f>ROUND(K105*$G$106,1)</f>
        <v>0</v>
      </c>
      <c r="L108" s="2173">
        <f>ROUND(L105*$G$106,1)</f>
        <v>0</v>
      </c>
      <c r="M108" s="2173">
        <f>ROUND(M105*$G$106,1)</f>
        <v>0</v>
      </c>
      <c r="N108" s="760"/>
      <c r="O108" s="2190"/>
    </row>
    <row r="109" spans="1:17" ht="5.0999999999999996" customHeight="1">
      <c r="B109" s="2187"/>
      <c r="C109" s="760"/>
      <c r="D109" s="2188"/>
      <c r="E109" s="2188"/>
      <c r="F109" s="2169"/>
      <c r="G109" s="2172"/>
      <c r="H109" s="2189"/>
      <c r="I109" s="2172"/>
      <c r="J109" s="2172"/>
      <c r="K109" s="2172"/>
      <c r="L109" s="2172"/>
      <c r="M109" s="2172"/>
      <c r="N109" s="760"/>
      <c r="O109" s="2190"/>
    </row>
    <row r="110" spans="1:17">
      <c r="B110" s="2187"/>
      <c r="C110" s="760"/>
      <c r="D110" s="2188"/>
      <c r="E110" s="2169" t="str">
        <f>$D$86&amp;" Total Patient Census"</f>
        <v>HHD Total Patient Census</v>
      </c>
      <c r="F110" s="789"/>
      <c r="G110" s="2174">
        <v>0</v>
      </c>
      <c r="H110" s="2189"/>
      <c r="I110" s="2174">
        <v>0</v>
      </c>
      <c r="J110" s="2174">
        <v>0</v>
      </c>
      <c r="K110" s="2174">
        <v>0</v>
      </c>
      <c r="L110" s="2174">
        <v>0</v>
      </c>
      <c r="M110" s="2174">
        <v>0</v>
      </c>
      <c r="N110" s="760"/>
      <c r="O110" s="2190"/>
    </row>
    <row r="111" spans="1:17">
      <c r="B111" s="2187"/>
      <c r="C111" s="760"/>
      <c r="D111" s="2188"/>
      <c r="E111" s="2188"/>
      <c r="F111" s="1733" t="str">
        <f>$F$101</f>
        <v>Non-Govt Mix Yrs1-5</v>
      </c>
      <c r="G111" s="2175">
        <v>0</v>
      </c>
      <c r="H111" s="2189"/>
      <c r="I111" s="2191"/>
      <c r="J111" s="789"/>
      <c r="K111" s="401"/>
      <c r="L111" s="401"/>
      <c r="M111" s="2188"/>
      <c r="N111" s="760"/>
      <c r="O111" s="2190"/>
    </row>
    <row r="112" spans="1:17">
      <c r="B112" s="2187"/>
      <c r="C112" s="760"/>
      <c r="D112" s="2188"/>
      <c r="E112" s="2188"/>
      <c r="F112" s="2169" t="str">
        <f>$F$102</f>
        <v>Govt</v>
      </c>
      <c r="G112" s="2170">
        <f>G110-G113</f>
        <v>0</v>
      </c>
      <c r="H112" s="2189"/>
      <c r="I112" s="2171">
        <f>I110-I113</f>
        <v>0</v>
      </c>
      <c r="J112" s="2171">
        <f>J110-J113</f>
        <v>0</v>
      </c>
      <c r="K112" s="2171">
        <f>K110-K113</f>
        <v>0</v>
      </c>
      <c r="L112" s="2171">
        <f>L110-L113</f>
        <v>0</v>
      </c>
      <c r="M112" s="2171">
        <f>M110-M113</f>
        <v>0</v>
      </c>
      <c r="N112" s="760"/>
      <c r="O112" s="2190"/>
    </row>
    <row r="113" spans="2:15">
      <c r="B113" s="2187"/>
      <c r="C113" s="760"/>
      <c r="D113" s="2188"/>
      <c r="E113" s="2188"/>
      <c r="F113" s="2169" t="str">
        <f>$F$103</f>
        <v>Non-Govt</v>
      </c>
      <c r="G113" s="2173">
        <f>ROUND(G110*$G$111,1)</f>
        <v>0</v>
      </c>
      <c r="H113" s="2189"/>
      <c r="I113" s="2173">
        <f>ROUND(I110*$G$111,1)</f>
        <v>0</v>
      </c>
      <c r="J113" s="2173">
        <f>ROUND(J110*$G$111,1)</f>
        <v>0</v>
      </c>
      <c r="K113" s="2173">
        <f>ROUND(K110*$G$111,1)</f>
        <v>0</v>
      </c>
      <c r="L113" s="2173">
        <f>ROUND(L110*$G$111,1)</f>
        <v>0</v>
      </c>
      <c r="M113" s="2173">
        <f>ROUND(M110*$G$111,1)</f>
        <v>0</v>
      </c>
      <c r="N113" s="760"/>
      <c r="O113" s="2190"/>
    </row>
    <row r="114" spans="2:15" ht="5.0999999999999996" customHeight="1" thickBot="1">
      <c r="B114" s="2192"/>
      <c r="C114" s="2193"/>
      <c r="D114" s="2194"/>
      <c r="E114" s="2194"/>
      <c r="F114" s="2194"/>
      <c r="G114" s="2195"/>
      <c r="H114" s="2196"/>
      <c r="I114" s="2197"/>
      <c r="J114" s="2198"/>
      <c r="K114" s="2199"/>
      <c r="L114" s="2199"/>
      <c r="M114" s="2194"/>
      <c r="N114" s="2193"/>
      <c r="O114" s="2200"/>
    </row>
  </sheetData>
  <phoneticPr fontId="0" type="noConversion"/>
  <conditionalFormatting sqref="D68:F70 G69:M70">
    <cfRule type="expression" dxfId="109" priority="131" stopIfTrue="1">
      <formula>$L$2="Relocation / Expansion"</formula>
    </cfRule>
  </conditionalFormatting>
  <conditionalFormatting sqref="BZ20:BZ41 BZ46:BZ67 BZ73:BZ94">
    <cfRule type="cellIs" dxfId="108" priority="132" stopIfTrue="1" operator="notEqual">
      <formula>0</formula>
    </cfRule>
  </conditionalFormatting>
  <conditionalFormatting sqref="F91:F93 D44:D67 E61 E55 E49 E44:E45 E51 E57 E47 E53 E59 E66:E67 E63 F44:M67 D74 D80 D86 I72:M72 I99:M99">
    <cfRule type="expression" dxfId="107" priority="133" stopIfTrue="1">
      <formula>$M$2="Relocation"</formula>
    </cfRule>
    <cfRule type="expression" dxfId="106" priority="134" stopIfTrue="1">
      <formula>$M$2="Expansion"</formula>
    </cfRule>
  </conditionalFormatting>
  <conditionalFormatting sqref="I19:M19">
    <cfRule type="expression" dxfId="105" priority="5" stopIfTrue="1">
      <formula>$M$2="Relocation"</formula>
    </cfRule>
    <cfRule type="expression" dxfId="104" priority="6" stopIfTrue="1">
      <formula>$M$2="Expansion"</formula>
    </cfRule>
  </conditionalFormatting>
  <conditionalFormatting sqref="R2">
    <cfRule type="cellIs" dxfId="103" priority="4" stopIfTrue="1" operator="lessThan">
      <formula>0.12</formula>
    </cfRule>
  </conditionalFormatting>
  <conditionalFormatting sqref="R3">
    <cfRule type="cellIs" dxfId="102" priority="3" stopIfTrue="1" operator="lessThan">
      <formula>0.08</formula>
    </cfRule>
  </conditionalFormatting>
  <conditionalFormatting sqref="S2">
    <cfRule type="cellIs" dxfId="101" priority="2" stopIfTrue="1" operator="lessThan">
      <formula>0.12</formula>
    </cfRule>
  </conditionalFormatting>
  <conditionalFormatting sqref="S3">
    <cfRule type="cellIs" dxfId="100" priority="1" stopIfTrue="1" operator="lessThan">
      <formula>0.08</formula>
    </cfRule>
  </conditionalFormatting>
  <dataValidations disablePrompts="1" count="1">
    <dataValidation type="whole" allowBlank="1" showInputMessage="1" showErrorMessage="1" sqref="G15">
      <formula1>0</formula1>
      <formula2>5</formula2>
    </dataValidation>
  </dataValidations>
  <printOptions horizontalCentered="1"/>
  <pageMargins left="0.5" right="0.5" top="0.75" bottom="0.75" header="0.5" footer="0.5"/>
  <pageSetup scale="70" fitToHeight="3" orientation="portrait" horizontalDpi="4294967292" verticalDpi="96" r:id="rId1"/>
  <headerFooter alignWithMargins="0">
    <oddHeader>&amp;F</oddHeader>
    <oddFooter>&amp;L&amp;A&amp;C&amp;P of &amp;N&amp;R&amp;D &amp;T</oddFooter>
  </headerFooter>
  <rowBreaks count="1" manualBreakCount="1">
    <brk id="70" max="16383" man="1"/>
  </rowBreaks>
  <legacyDrawing r:id="rId2"/>
</worksheet>
</file>

<file path=xl/worksheets/sheet26.xml><?xml version="1.0" encoding="utf-8"?>
<worksheet xmlns="http://schemas.openxmlformats.org/spreadsheetml/2006/main" xmlns:r="http://schemas.openxmlformats.org/officeDocument/2006/relationships">
  <sheetPr>
    <tabColor indexed="8"/>
    <pageSetUpPr fitToPage="1"/>
  </sheetPr>
  <dimension ref="A1:S32"/>
  <sheetViews>
    <sheetView zoomScale="80" zoomScaleNormal="80" workbookViewId="0">
      <pane ySplit="4" topLeftCell="A5" activePane="bottomLeft" state="frozen"/>
      <selection pane="bottomLeft" activeCell="R20" sqref="R20"/>
    </sheetView>
  </sheetViews>
  <sheetFormatPr defaultRowHeight="12.75" outlineLevelRow="1"/>
  <cols>
    <col min="1" max="1" width="8.28515625" bestFit="1" customWidth="1"/>
    <col min="2" max="2" width="10.5703125" bestFit="1" customWidth="1"/>
    <col min="3" max="3" width="8.28515625" bestFit="1" customWidth="1"/>
  </cols>
  <sheetData>
    <row r="1" spans="1:18" hidden="1" outlineLevel="1">
      <c r="F1" s="1660" t="s">
        <v>4188</v>
      </c>
      <c r="G1">
        <v>4</v>
      </c>
      <c r="H1">
        <f t="shared" ref="H1:N1" si="0">G1+1</f>
        <v>5</v>
      </c>
      <c r="I1">
        <f t="shared" si="0"/>
        <v>6</v>
      </c>
      <c r="J1">
        <f t="shared" si="0"/>
        <v>7</v>
      </c>
      <c r="K1">
        <f t="shared" si="0"/>
        <v>8</v>
      </c>
      <c r="L1">
        <f t="shared" si="0"/>
        <v>9</v>
      </c>
      <c r="M1">
        <f t="shared" si="0"/>
        <v>10</v>
      </c>
      <c r="N1">
        <f t="shared" si="0"/>
        <v>11</v>
      </c>
    </row>
    <row r="2" spans="1:18" collapsed="1">
      <c r="A2" t="s">
        <v>4224</v>
      </c>
      <c r="F2" t="s">
        <v>4189</v>
      </c>
    </row>
    <row r="3" spans="1:18" hidden="1" outlineLevel="1">
      <c r="G3">
        <v>2</v>
      </c>
      <c r="H3">
        <v>1</v>
      </c>
      <c r="I3">
        <v>1</v>
      </c>
      <c r="J3">
        <v>1</v>
      </c>
      <c r="K3">
        <v>1</v>
      </c>
      <c r="L3">
        <v>1</v>
      </c>
      <c r="M3">
        <v>1</v>
      </c>
      <c r="N3">
        <f>2/12</f>
        <v>0.16666666666666666</v>
      </c>
    </row>
    <row r="4" spans="1:18" collapsed="1">
      <c r="A4" t="s">
        <v>4190</v>
      </c>
      <c r="B4" t="s">
        <v>4191</v>
      </c>
      <c r="C4" t="s">
        <v>4192</v>
      </c>
      <c r="F4" t="s">
        <v>4193</v>
      </c>
      <c r="G4" t="s">
        <v>4194</v>
      </c>
      <c r="H4" t="s">
        <v>4195</v>
      </c>
      <c r="I4" t="s">
        <v>4196</v>
      </c>
      <c r="J4" t="s">
        <v>4197</v>
      </c>
      <c r="K4" t="s">
        <v>4198</v>
      </c>
      <c r="L4" t="s">
        <v>4199</v>
      </c>
      <c r="M4" t="s">
        <v>4200</v>
      </c>
      <c r="N4" t="s">
        <v>4201</v>
      </c>
      <c r="P4" s="104">
        <v>1</v>
      </c>
    </row>
    <row r="5" spans="1:18">
      <c r="A5" s="1660" t="s">
        <v>4212</v>
      </c>
      <c r="B5">
        <v>21</v>
      </c>
      <c r="C5">
        <v>0</v>
      </c>
      <c r="F5" s="2915">
        <v>19</v>
      </c>
      <c r="G5" s="2915">
        <v>24</v>
      </c>
      <c r="H5" s="2915">
        <v>25</v>
      </c>
      <c r="I5" s="2915">
        <v>26</v>
      </c>
      <c r="J5" s="2915">
        <v>26</v>
      </c>
      <c r="K5" s="2915">
        <v>29</v>
      </c>
      <c r="L5" s="2915">
        <v>30</v>
      </c>
      <c r="M5" s="2915">
        <v>27</v>
      </c>
      <c r="N5" s="2915">
        <v>21</v>
      </c>
      <c r="O5">
        <f t="shared" ref="O5:O20" si="1">N5/F5</f>
        <v>1.1052631578947369</v>
      </c>
      <c r="P5" s="45">
        <f>SUM(F3:N3)</f>
        <v>8.1666666666666661</v>
      </c>
      <c r="Q5">
        <f t="shared" ref="Q5:Q20" si="2">$P$4/P5</f>
        <v>0.12244897959183675</v>
      </c>
      <c r="R5" s="2916">
        <f t="shared" ref="R5:R20" si="3">(O5^Q5)-$P$4</f>
        <v>1.2330519029139841E-2</v>
      </c>
    </row>
    <row r="6" spans="1:18">
      <c r="A6" s="1660" t="s">
        <v>4210</v>
      </c>
      <c r="B6">
        <v>14</v>
      </c>
      <c r="C6">
        <v>0</v>
      </c>
      <c r="F6" s="2915">
        <v>15</v>
      </c>
      <c r="G6" s="104">
        <v>16</v>
      </c>
      <c r="H6" s="104">
        <v>15</v>
      </c>
      <c r="I6" s="104">
        <v>15</v>
      </c>
      <c r="J6" s="104">
        <v>15</v>
      </c>
      <c r="K6" s="104">
        <v>18</v>
      </c>
      <c r="L6" s="104">
        <v>18</v>
      </c>
      <c r="M6" s="104">
        <v>15</v>
      </c>
      <c r="N6" s="104">
        <v>14</v>
      </c>
      <c r="O6">
        <f t="shared" si="1"/>
        <v>0.93333333333333335</v>
      </c>
      <c r="P6" s="2917">
        <f t="shared" ref="P6:P20" si="4">$P$5</f>
        <v>8.1666666666666661</v>
      </c>
      <c r="Q6">
        <f t="shared" si="2"/>
        <v>0.12244897959183675</v>
      </c>
      <c r="R6" s="2916">
        <f t="shared" si="3"/>
        <v>-8.4125217382352568E-3</v>
      </c>
    </row>
    <row r="7" spans="1:18">
      <c r="A7" s="1660" t="s">
        <v>4211</v>
      </c>
      <c r="B7">
        <v>13</v>
      </c>
      <c r="C7">
        <v>0</v>
      </c>
      <c r="F7" s="2915">
        <v>14</v>
      </c>
      <c r="G7" s="104">
        <v>14</v>
      </c>
      <c r="H7" s="104">
        <v>10</v>
      </c>
      <c r="I7" s="104">
        <v>9</v>
      </c>
      <c r="J7" s="104">
        <v>7</v>
      </c>
      <c r="K7" s="104">
        <v>9</v>
      </c>
      <c r="L7" s="104">
        <v>10</v>
      </c>
      <c r="M7" s="104">
        <v>11</v>
      </c>
      <c r="N7" s="104">
        <v>11</v>
      </c>
      <c r="O7">
        <f t="shared" si="1"/>
        <v>0.7857142857142857</v>
      </c>
      <c r="P7" s="2917">
        <f t="shared" si="4"/>
        <v>8.1666666666666661</v>
      </c>
      <c r="Q7">
        <f t="shared" si="2"/>
        <v>0.12244897959183675</v>
      </c>
      <c r="R7" s="2916">
        <f t="shared" si="3"/>
        <v>-2.9098296231590659E-2</v>
      </c>
    </row>
    <row r="8" spans="1:18">
      <c r="A8" s="1660" t="s">
        <v>4202</v>
      </c>
      <c r="B8">
        <v>43</v>
      </c>
      <c r="C8">
        <v>0</v>
      </c>
      <c r="F8" s="2915">
        <v>44</v>
      </c>
      <c r="G8" s="104">
        <v>42</v>
      </c>
      <c r="H8" s="104">
        <v>45</v>
      </c>
      <c r="I8" s="104">
        <v>40</v>
      </c>
      <c r="J8" s="104">
        <v>42</v>
      </c>
      <c r="K8" s="104">
        <v>41</v>
      </c>
      <c r="L8" s="104">
        <v>41</v>
      </c>
      <c r="M8" s="104">
        <v>41</v>
      </c>
      <c r="N8" s="104">
        <v>41</v>
      </c>
      <c r="O8">
        <f t="shared" si="1"/>
        <v>0.93181818181818177</v>
      </c>
      <c r="P8" s="2917">
        <f t="shared" si="4"/>
        <v>8.1666666666666661</v>
      </c>
      <c r="Q8">
        <f t="shared" si="2"/>
        <v>0.12244897959183675</v>
      </c>
      <c r="R8" s="2916">
        <f t="shared" si="3"/>
        <v>-8.6097708441957854E-3</v>
      </c>
    </row>
    <row r="9" spans="1:18">
      <c r="A9" s="1660" t="s">
        <v>4203</v>
      </c>
      <c r="B9">
        <v>2</v>
      </c>
      <c r="C9">
        <v>0</v>
      </c>
      <c r="F9" s="2915">
        <v>1</v>
      </c>
      <c r="G9" s="104">
        <v>1</v>
      </c>
      <c r="H9" s="104">
        <v>1</v>
      </c>
      <c r="I9" s="104">
        <v>0</v>
      </c>
      <c r="J9" s="104">
        <v>1</v>
      </c>
      <c r="K9" s="104">
        <v>1</v>
      </c>
      <c r="L9" s="104">
        <v>1</v>
      </c>
      <c r="M9" s="104">
        <v>2</v>
      </c>
      <c r="N9" s="104">
        <v>3</v>
      </c>
      <c r="O9">
        <f t="shared" si="1"/>
        <v>3</v>
      </c>
      <c r="P9" s="2917">
        <f t="shared" si="4"/>
        <v>8.1666666666666661</v>
      </c>
      <c r="Q9">
        <f t="shared" si="2"/>
        <v>0.12244897959183675</v>
      </c>
      <c r="R9" s="2916">
        <f t="shared" si="3"/>
        <v>0.14399206153338717</v>
      </c>
    </row>
    <row r="10" spans="1:18">
      <c r="A10" s="1660" t="s">
        <v>4204</v>
      </c>
      <c r="B10">
        <v>15</v>
      </c>
      <c r="C10">
        <v>0</v>
      </c>
      <c r="F10" s="2915">
        <v>10</v>
      </c>
      <c r="G10" s="104">
        <v>9</v>
      </c>
      <c r="H10" s="104">
        <v>8</v>
      </c>
      <c r="I10" s="104">
        <v>9</v>
      </c>
      <c r="J10" s="104">
        <v>12</v>
      </c>
      <c r="K10" s="104">
        <v>13</v>
      </c>
      <c r="L10" s="104">
        <v>18</v>
      </c>
      <c r="M10" s="104">
        <v>12</v>
      </c>
      <c r="N10" s="104">
        <v>11</v>
      </c>
      <c r="O10">
        <f t="shared" si="1"/>
        <v>1.1000000000000001</v>
      </c>
      <c r="P10" s="2917">
        <f t="shared" si="4"/>
        <v>8.1666666666666661</v>
      </c>
      <c r="Q10">
        <f t="shared" si="2"/>
        <v>0.12244897959183675</v>
      </c>
      <c r="R10" s="2916">
        <f t="shared" si="3"/>
        <v>1.1739001819177197E-2</v>
      </c>
    </row>
    <row r="11" spans="1:18">
      <c r="A11" s="1660" t="s">
        <v>4205</v>
      </c>
      <c r="B11">
        <v>8</v>
      </c>
      <c r="C11">
        <v>0</v>
      </c>
      <c r="F11" s="2915">
        <v>3</v>
      </c>
      <c r="G11" s="104">
        <v>3</v>
      </c>
      <c r="H11" s="104">
        <v>4</v>
      </c>
      <c r="I11" s="104">
        <v>3</v>
      </c>
      <c r="J11" s="104">
        <v>4</v>
      </c>
      <c r="K11" s="104">
        <v>8</v>
      </c>
      <c r="L11" s="104">
        <v>8</v>
      </c>
      <c r="M11" s="104">
        <v>8</v>
      </c>
      <c r="N11" s="104">
        <v>8</v>
      </c>
      <c r="O11">
        <f t="shared" si="1"/>
        <v>2.6666666666666665</v>
      </c>
      <c r="P11" s="2917">
        <f t="shared" si="4"/>
        <v>8.1666666666666661</v>
      </c>
      <c r="Q11">
        <f t="shared" si="2"/>
        <v>0.12244897959183675</v>
      </c>
      <c r="R11" s="2916">
        <f t="shared" si="3"/>
        <v>0.12761134475868019</v>
      </c>
    </row>
    <row r="12" spans="1:18">
      <c r="A12" s="1660" t="s">
        <v>4209</v>
      </c>
      <c r="B12">
        <v>16</v>
      </c>
      <c r="C12">
        <v>0</v>
      </c>
      <c r="F12" s="2915">
        <v>15</v>
      </c>
      <c r="G12" s="104">
        <v>18</v>
      </c>
      <c r="H12" s="104">
        <v>13</v>
      </c>
      <c r="I12" s="104">
        <v>15</v>
      </c>
      <c r="J12" s="104">
        <v>15</v>
      </c>
      <c r="K12" s="104">
        <v>14</v>
      </c>
      <c r="L12" s="104">
        <v>13</v>
      </c>
      <c r="M12" s="104">
        <v>13</v>
      </c>
      <c r="N12" s="104">
        <v>13</v>
      </c>
      <c r="O12">
        <f t="shared" si="1"/>
        <v>0.8666666666666667</v>
      </c>
      <c r="P12" s="2917">
        <f t="shared" si="4"/>
        <v>8.1666666666666661</v>
      </c>
      <c r="Q12">
        <f t="shared" si="2"/>
        <v>0.12244897959183675</v>
      </c>
      <c r="R12" s="2916">
        <f t="shared" si="3"/>
        <v>-1.7369925135886422E-2</v>
      </c>
    </row>
    <row r="13" spans="1:18">
      <c r="A13" s="1660" t="s">
        <v>4208</v>
      </c>
      <c r="B13">
        <v>18</v>
      </c>
      <c r="C13">
        <v>0</v>
      </c>
      <c r="F13" s="2915">
        <v>16</v>
      </c>
      <c r="G13" s="104">
        <v>15</v>
      </c>
      <c r="H13" s="104">
        <v>21</v>
      </c>
      <c r="I13" s="104">
        <v>25</v>
      </c>
      <c r="J13" s="104">
        <v>29</v>
      </c>
      <c r="K13" s="104">
        <v>26</v>
      </c>
      <c r="L13" s="104">
        <v>23</v>
      </c>
      <c r="M13" s="104">
        <v>20</v>
      </c>
      <c r="N13" s="104">
        <v>20</v>
      </c>
      <c r="O13">
        <f t="shared" si="1"/>
        <v>1.25</v>
      </c>
      <c r="P13" s="2917">
        <f t="shared" si="4"/>
        <v>8.1666666666666661</v>
      </c>
      <c r="Q13">
        <f t="shared" si="2"/>
        <v>0.12244897959183675</v>
      </c>
      <c r="R13" s="2916">
        <f t="shared" si="3"/>
        <v>2.7700415717100801E-2</v>
      </c>
    </row>
    <row r="14" spans="1:18">
      <c r="A14" s="1660" t="s">
        <v>4207</v>
      </c>
      <c r="B14">
        <v>23</v>
      </c>
      <c r="C14">
        <v>0</v>
      </c>
      <c r="F14" s="2915">
        <v>20</v>
      </c>
      <c r="G14" s="104">
        <v>19</v>
      </c>
      <c r="H14" s="104">
        <v>15</v>
      </c>
      <c r="I14" s="104">
        <v>26</v>
      </c>
      <c r="J14" s="104">
        <v>24</v>
      </c>
      <c r="K14" s="104">
        <v>24</v>
      </c>
      <c r="L14" s="104">
        <v>25</v>
      </c>
      <c r="M14" s="104">
        <v>26</v>
      </c>
      <c r="N14" s="104">
        <v>23</v>
      </c>
      <c r="O14">
        <f t="shared" si="1"/>
        <v>1.1499999999999999</v>
      </c>
      <c r="P14" s="2917">
        <f t="shared" si="4"/>
        <v>8.1666666666666661</v>
      </c>
      <c r="Q14">
        <f t="shared" si="2"/>
        <v>0.12244897959183675</v>
      </c>
      <c r="R14" s="2916">
        <f t="shared" si="3"/>
        <v>1.7260985677709506E-2</v>
      </c>
    </row>
    <row r="15" spans="1:18">
      <c r="A15" s="1660" t="s">
        <v>4213</v>
      </c>
      <c r="B15">
        <v>19</v>
      </c>
      <c r="C15">
        <v>0</v>
      </c>
      <c r="F15" s="2915">
        <v>11</v>
      </c>
      <c r="G15" s="104">
        <v>15</v>
      </c>
      <c r="H15" s="104">
        <v>18</v>
      </c>
      <c r="I15" s="104">
        <v>21</v>
      </c>
      <c r="J15" s="104">
        <v>17</v>
      </c>
      <c r="K15" s="104">
        <v>17</v>
      </c>
      <c r="L15" s="104">
        <v>15</v>
      </c>
      <c r="M15" s="104">
        <v>15</v>
      </c>
      <c r="N15" s="104">
        <v>18</v>
      </c>
      <c r="O15">
        <f t="shared" si="1"/>
        <v>1.6363636363636365</v>
      </c>
      <c r="P15" s="2917">
        <f t="shared" si="4"/>
        <v>8.1666666666666661</v>
      </c>
      <c r="Q15">
        <f t="shared" si="2"/>
        <v>0.12244897959183675</v>
      </c>
      <c r="R15" s="2916">
        <f t="shared" si="3"/>
        <v>6.2158589949217191E-2</v>
      </c>
    </row>
    <row r="16" spans="1:18">
      <c r="A16" s="1660" t="s">
        <v>4215</v>
      </c>
      <c r="B16">
        <v>36</v>
      </c>
      <c r="C16">
        <v>1</v>
      </c>
      <c r="F16" s="2915">
        <v>19</v>
      </c>
      <c r="G16" s="104">
        <v>29</v>
      </c>
      <c r="H16" s="104">
        <v>33</v>
      </c>
      <c r="I16" s="104">
        <v>28</v>
      </c>
      <c r="J16" s="104">
        <v>30</v>
      </c>
      <c r="K16" s="104">
        <v>32</v>
      </c>
      <c r="L16" s="104">
        <v>30</v>
      </c>
      <c r="M16" s="104">
        <v>32</v>
      </c>
      <c r="N16" s="104">
        <v>30</v>
      </c>
      <c r="O16">
        <f t="shared" si="1"/>
        <v>1.5789473684210527</v>
      </c>
      <c r="P16" s="2917">
        <f t="shared" si="4"/>
        <v>8.1666666666666661</v>
      </c>
      <c r="Q16">
        <f t="shared" si="2"/>
        <v>0.12244897959183675</v>
      </c>
      <c r="R16" s="2916">
        <f t="shared" si="3"/>
        <v>5.7523231803603192E-2</v>
      </c>
    </row>
    <row r="17" spans="1:19">
      <c r="A17" s="1660" t="s">
        <v>4214</v>
      </c>
      <c r="B17">
        <v>44</v>
      </c>
      <c r="C17">
        <v>1</v>
      </c>
      <c r="F17" s="2915">
        <v>31</v>
      </c>
      <c r="G17" s="104">
        <v>32</v>
      </c>
      <c r="H17" s="104">
        <v>32</v>
      </c>
      <c r="I17" s="104">
        <v>38</v>
      </c>
      <c r="J17" s="104">
        <v>34</v>
      </c>
      <c r="K17" s="104">
        <v>39</v>
      </c>
      <c r="L17" s="104">
        <v>39</v>
      </c>
      <c r="M17" s="104">
        <v>37</v>
      </c>
      <c r="N17" s="104">
        <v>38</v>
      </c>
      <c r="O17">
        <f t="shared" si="1"/>
        <v>1.2258064516129032</v>
      </c>
      <c r="P17" s="2917">
        <f t="shared" si="4"/>
        <v>8.1666666666666661</v>
      </c>
      <c r="Q17">
        <f t="shared" si="2"/>
        <v>0.12244897959183675</v>
      </c>
      <c r="R17" s="2916">
        <f t="shared" si="3"/>
        <v>2.5243847519069496E-2</v>
      </c>
    </row>
    <row r="18" spans="1:19">
      <c r="A18" s="1660" t="s">
        <v>4206</v>
      </c>
      <c r="B18">
        <v>10</v>
      </c>
      <c r="C18">
        <v>0</v>
      </c>
      <c r="F18" s="2915">
        <v>6</v>
      </c>
      <c r="G18" s="104">
        <v>3</v>
      </c>
      <c r="H18" s="104">
        <v>2</v>
      </c>
      <c r="I18" s="104">
        <v>5</v>
      </c>
      <c r="J18" s="104">
        <v>9</v>
      </c>
      <c r="K18" s="104">
        <v>9</v>
      </c>
      <c r="L18" s="104">
        <v>9</v>
      </c>
      <c r="M18" s="104">
        <v>11</v>
      </c>
      <c r="N18" s="104">
        <v>10</v>
      </c>
      <c r="O18">
        <f t="shared" si="1"/>
        <v>1.6666666666666667</v>
      </c>
      <c r="P18" s="2917">
        <f t="shared" si="4"/>
        <v>8.1666666666666661</v>
      </c>
      <c r="Q18">
        <f t="shared" si="2"/>
        <v>0.12244897959183675</v>
      </c>
      <c r="R18" s="2916">
        <f t="shared" si="3"/>
        <v>6.4547766281078278E-2</v>
      </c>
    </row>
    <row r="19" spans="1:19">
      <c r="A19" s="1660" t="s">
        <v>4225</v>
      </c>
      <c r="B19" s="1511">
        <v>3</v>
      </c>
      <c r="C19" s="1511">
        <v>0</v>
      </c>
      <c r="D19" s="2918" t="s">
        <v>4216</v>
      </c>
      <c r="F19" s="2919">
        <v>1</v>
      </c>
      <c r="G19" s="2920">
        <v>1</v>
      </c>
      <c r="H19" s="2920">
        <v>4</v>
      </c>
      <c r="I19" s="2920">
        <v>4</v>
      </c>
      <c r="J19" s="2920">
        <v>5</v>
      </c>
      <c r="K19" s="2920">
        <v>5</v>
      </c>
      <c r="L19" s="2920">
        <v>3</v>
      </c>
      <c r="M19" s="2920">
        <v>5</v>
      </c>
      <c r="N19" s="2920">
        <v>4</v>
      </c>
      <c r="O19" s="1511">
        <f t="shared" si="1"/>
        <v>4</v>
      </c>
      <c r="P19" s="2921">
        <f t="shared" si="4"/>
        <v>8.1666666666666661</v>
      </c>
      <c r="Q19" s="1511">
        <f t="shared" si="2"/>
        <v>0.12244897959183675</v>
      </c>
      <c r="R19" s="2922">
        <f t="shared" si="3"/>
        <v>0.18500895311877663</v>
      </c>
    </row>
    <row r="20" spans="1:19">
      <c r="A20" s="1660"/>
      <c r="B20">
        <f>SUM(B5:B19)</f>
        <v>285</v>
      </c>
      <c r="C20">
        <f>SUM(C5:C19)</f>
        <v>2</v>
      </c>
      <c r="D20" s="2923">
        <f>B20-C20</f>
        <v>283</v>
      </c>
      <c r="F20" s="3">
        <f t="shared" ref="F20:N20" si="5">SUM(F5:F19)</f>
        <v>225</v>
      </c>
      <c r="G20">
        <f t="shared" si="5"/>
        <v>241</v>
      </c>
      <c r="H20">
        <f t="shared" si="5"/>
        <v>246</v>
      </c>
      <c r="I20">
        <f t="shared" si="5"/>
        <v>264</v>
      </c>
      <c r="J20">
        <f t="shared" si="5"/>
        <v>270</v>
      </c>
      <c r="K20">
        <f t="shared" si="5"/>
        <v>285</v>
      </c>
      <c r="L20">
        <f t="shared" si="5"/>
        <v>283</v>
      </c>
      <c r="M20">
        <f t="shared" si="5"/>
        <v>275</v>
      </c>
      <c r="N20">
        <f t="shared" si="5"/>
        <v>265</v>
      </c>
      <c r="O20">
        <f t="shared" si="1"/>
        <v>1.1777777777777778</v>
      </c>
      <c r="P20" s="2917">
        <f t="shared" si="4"/>
        <v>8.1666666666666661</v>
      </c>
      <c r="Q20">
        <f t="shared" si="2"/>
        <v>0.12244897959183675</v>
      </c>
      <c r="R20" s="2924">
        <f t="shared" si="3"/>
        <v>2.0238329089815155E-2</v>
      </c>
      <c r="S20" s="1660" t="s">
        <v>4217</v>
      </c>
    </row>
    <row r="24" spans="1:19" outlineLevel="1">
      <c r="B24" s="1661" t="s">
        <v>4218</v>
      </c>
      <c r="C24">
        <v>1</v>
      </c>
      <c r="D24" s="1661" t="s">
        <v>2107</v>
      </c>
      <c r="E24" s="1661" t="s">
        <v>4219</v>
      </c>
      <c r="F24" s="1661" t="s">
        <v>4220</v>
      </c>
    </row>
    <row r="25" spans="1:19" outlineLevel="1">
      <c r="B25">
        <f>F20</f>
        <v>225</v>
      </c>
      <c r="C25">
        <f>P4</f>
        <v>1</v>
      </c>
      <c r="D25" s="2925">
        <f>R20</f>
        <v>2.0238329089815155E-2</v>
      </c>
      <c r="E25">
        <f>P20</f>
        <v>8.1666666666666661</v>
      </c>
      <c r="F25">
        <f>B25*(C25+D25)^E25</f>
        <v>265</v>
      </c>
    </row>
    <row r="26" spans="1:19" outlineLevel="1">
      <c r="B26">
        <f>B20</f>
        <v>285</v>
      </c>
      <c r="C26">
        <f>C25</f>
        <v>1</v>
      </c>
      <c r="D26" s="2925">
        <f>D25</f>
        <v>2.0238329089815155E-2</v>
      </c>
      <c r="E26">
        <f>E25</f>
        <v>8.1666666666666661</v>
      </c>
      <c r="F26">
        <f>ROUNDDOWN(B26*(C26+D26)^E26,0)</f>
        <v>335</v>
      </c>
      <c r="G26">
        <f>F26-B26</f>
        <v>50</v>
      </c>
    </row>
    <row r="29" spans="1:19">
      <c r="A29" s="2926">
        <f>'2.0 Patients'!M93-('2.0 Patients'!M40-'2.0 Patients'!M66)</f>
        <v>116</v>
      </c>
      <c r="B29" t="s">
        <v>4221</v>
      </c>
    </row>
    <row r="30" spans="1:19">
      <c r="A30" s="2927">
        <v>36</v>
      </c>
      <c r="B30" t="s">
        <v>4222</v>
      </c>
    </row>
    <row r="31" spans="1:19">
      <c r="A31" s="2927">
        <v>65</v>
      </c>
      <c r="B31" t="s">
        <v>4223</v>
      </c>
    </row>
    <row r="32" spans="1:19">
      <c r="A32" s="2928">
        <f>SUM(A29:A31)</f>
        <v>217</v>
      </c>
    </row>
  </sheetData>
  <pageMargins left="0.75" right="0.75" top="1" bottom="1" header="0.5" footer="0.5"/>
  <pageSetup scale="75" orientation="landscape" horizontalDpi="300" verticalDpi="300" r:id="rId1"/>
  <headerFooter alignWithMargins="0">
    <oddHeader>&amp;C&amp;F</oddHeader>
    <oddFooter>&amp;L&amp;A&amp;C&amp;P of &amp;N&amp;R&amp;D &amp;T</oddFooter>
  </headerFooter>
  <legacyDrawing r:id="rId2"/>
</worksheet>
</file>

<file path=xl/worksheets/sheet27.xml><?xml version="1.0" encoding="utf-8"?>
<worksheet xmlns="http://schemas.openxmlformats.org/spreadsheetml/2006/main" xmlns:r="http://schemas.openxmlformats.org/officeDocument/2006/relationships">
  <sheetPr codeName="Sheet26" enableFormatConditionsCalculation="0">
    <tabColor indexed="48"/>
    <pageSetUpPr autoPageBreaks="0"/>
  </sheetPr>
  <dimension ref="A1:AS155"/>
  <sheetViews>
    <sheetView showGridLines="0" topLeftCell="A12" zoomScale="75" zoomScaleNormal="75" workbookViewId="0">
      <selection activeCell="U47" sqref="U47"/>
    </sheetView>
  </sheetViews>
  <sheetFormatPr defaultRowHeight="12.75"/>
  <cols>
    <col min="1" max="3" width="2.7109375" style="805" customWidth="1"/>
    <col min="4" max="4" width="4.28515625" style="805" customWidth="1"/>
    <col min="5" max="5" width="30.140625" style="805" customWidth="1"/>
    <col min="6" max="6" width="10.5703125" style="934" bestFit="1" customWidth="1"/>
    <col min="7" max="7" width="19.28515625" style="934" customWidth="1"/>
    <col min="8" max="8" width="12.7109375" style="934" customWidth="1"/>
    <col min="9" max="9" width="12.7109375" style="933" customWidth="1"/>
    <col min="10" max="10" width="12.7109375" style="781" customWidth="1"/>
    <col min="11" max="12" width="12.7109375" style="785" customWidth="1"/>
    <col min="13" max="13" width="11" style="805" customWidth="1"/>
    <col min="14" max="14" width="12.140625" style="805" customWidth="1"/>
    <col min="15" max="17" width="2.7109375" style="805" customWidth="1"/>
    <col min="18" max="19" width="0" style="805" hidden="1" customWidth="1"/>
    <col min="20" max="20" width="2.7109375" style="805" customWidth="1"/>
    <col min="21" max="21" width="12.7109375" style="805" customWidth="1"/>
    <col min="22" max="22" width="14.7109375" style="805" customWidth="1"/>
    <col min="23" max="23" width="14.42578125" style="805" bestFit="1" customWidth="1"/>
    <col min="24" max="24" width="2.7109375" style="805" customWidth="1"/>
    <col min="25" max="25" width="9.140625" style="805" customWidth="1"/>
    <col min="26" max="26" width="4.5703125" style="805" customWidth="1"/>
    <col min="27" max="27" width="9.7109375" style="805" bestFit="1" customWidth="1"/>
    <col min="28" max="28" width="9.140625" customWidth="1"/>
    <col min="29" max="29" width="8.42578125" customWidth="1"/>
    <col min="30" max="30" width="9.7109375" style="805" bestFit="1" customWidth="1"/>
    <col min="31" max="31" width="10.7109375" style="805" bestFit="1" customWidth="1"/>
    <col min="32" max="32" width="20.7109375" style="805" customWidth="1"/>
    <col min="33" max="35" width="14.7109375" style="805" customWidth="1"/>
    <col min="36" max="36" width="18.7109375" style="805" customWidth="1"/>
    <col min="37" max="37" width="20.7109375" style="805" customWidth="1"/>
    <col min="38" max="39" width="9.140625" style="805"/>
    <col min="40" max="40" width="34.140625" style="805" bestFit="1" customWidth="1"/>
    <col min="41" max="41" width="12.7109375" style="805" customWidth="1"/>
    <col min="42" max="42" width="4.7109375" style="805" customWidth="1"/>
    <col min="43" max="43" width="12.7109375" style="805" customWidth="1"/>
    <col min="44" max="44" width="18.140625" style="805" customWidth="1"/>
    <col min="45" max="45" width="12.7109375" style="805" customWidth="1"/>
    <col min="46" max="16384" width="9.140625" style="805"/>
  </cols>
  <sheetData>
    <row r="1" spans="1:45" s="870" customFormat="1">
      <c r="F1" s="871"/>
      <c r="G1" s="871"/>
      <c r="H1" s="871"/>
      <c r="I1" s="872"/>
      <c r="K1" s="871"/>
      <c r="L1" s="871"/>
      <c r="R1" s="2101"/>
      <c r="T1" s="2263" t="s">
        <v>1664</v>
      </c>
      <c r="U1" s="2260"/>
      <c r="V1" s="2260"/>
      <c r="W1" s="2260"/>
      <c r="X1" s="2260"/>
      <c r="Y1" s="2261"/>
      <c r="Z1" s="2379">
        <v>1</v>
      </c>
      <c r="AA1" s="2379">
        <v>2</v>
      </c>
      <c r="AC1" s="2416" t="s">
        <v>3995</v>
      </c>
      <c r="AD1" s="2401" t="s">
        <v>3991</v>
      </c>
      <c r="AE1" s="2401" t="s">
        <v>3992</v>
      </c>
      <c r="AH1"/>
      <c r="AI1"/>
      <c r="AJ1"/>
      <c r="AK1"/>
    </row>
    <row r="2" spans="1:45" s="791" customFormat="1">
      <c r="B2" s="2397"/>
      <c r="C2" s="1471" t="s">
        <v>1851</v>
      </c>
      <c r="D2" s="804"/>
      <c r="E2" s="804"/>
      <c r="F2" s="804"/>
      <c r="G2" s="804"/>
      <c r="H2" s="804"/>
      <c r="I2" s="804"/>
      <c r="J2" s="804"/>
      <c r="K2" s="804"/>
      <c r="L2" s="804"/>
      <c r="M2" s="804"/>
      <c r="N2" s="804"/>
      <c r="O2" s="804"/>
      <c r="P2" s="804"/>
      <c r="R2" s="2101"/>
      <c r="T2" s="2262"/>
      <c r="U2" s="2247"/>
      <c r="V2" s="2247"/>
      <c r="W2" s="2247"/>
      <c r="X2" s="2247"/>
      <c r="Y2" s="2248"/>
      <c r="AA2"/>
      <c r="AC2" s="2415"/>
      <c r="AF2" s="2268"/>
      <c r="AG2" s="2267"/>
      <c r="AH2"/>
      <c r="AI2"/>
      <c r="AJ2"/>
      <c r="AK2"/>
    </row>
    <row r="3" spans="1:45" s="808" customFormat="1" ht="13.5" thickBot="1">
      <c r="B3" s="2397"/>
      <c r="C3" s="791"/>
      <c r="D3" s="791"/>
      <c r="E3" s="791"/>
      <c r="F3" s="37"/>
      <c r="G3" s="37"/>
      <c r="H3" s="37"/>
      <c r="I3" s="37"/>
      <c r="J3" s="791"/>
      <c r="K3" s="790"/>
      <c r="L3" s="790"/>
      <c r="M3" s="791"/>
      <c r="N3" s="791"/>
      <c r="O3" s="791"/>
      <c r="P3" s="804"/>
      <c r="Q3" s="791"/>
      <c r="R3" s="870"/>
      <c r="S3" s="781"/>
      <c r="T3" s="2249"/>
      <c r="U3" s="2398">
        <v>2</v>
      </c>
      <c r="V3" s="2251" t="s">
        <v>3985</v>
      </c>
      <c r="W3" s="737"/>
      <c r="X3" s="737"/>
      <c r="Y3" s="2250"/>
      <c r="AA3"/>
      <c r="AF3" s="791"/>
      <c r="AG3" s="177"/>
      <c r="AH3"/>
      <c r="AI3"/>
      <c r="AJ3"/>
      <c r="AK3"/>
    </row>
    <row r="4" spans="1:45" s="808" customFormat="1">
      <c r="B4" s="804"/>
      <c r="C4" s="791"/>
      <c r="D4" s="873" t="s">
        <v>1989</v>
      </c>
      <c r="E4" s="874"/>
      <c r="F4" s="43"/>
      <c r="G4" s="43"/>
      <c r="H4" s="876"/>
      <c r="I4" s="875"/>
      <c r="J4" s="876"/>
      <c r="K4" s="2907"/>
      <c r="L4" s="2907"/>
      <c r="M4" s="2908"/>
      <c r="N4" s="2909"/>
      <c r="O4" s="791"/>
      <c r="P4" s="804"/>
      <c r="Q4" s="791"/>
      <c r="R4"/>
      <c r="S4" s="781"/>
      <c r="T4" s="2252"/>
      <c r="U4" s="274"/>
      <c r="V4" s="274"/>
      <c r="W4" s="274"/>
      <c r="X4" s="274"/>
      <c r="Y4" s="2253"/>
      <c r="AA4"/>
      <c r="AB4"/>
      <c r="AF4" s="2270"/>
      <c r="AG4" s="176"/>
      <c r="AH4"/>
      <c r="AI4"/>
      <c r="AJ4"/>
      <c r="AK4"/>
    </row>
    <row r="5" spans="1:45" s="808" customFormat="1">
      <c r="B5" s="804"/>
      <c r="C5" s="791"/>
      <c r="D5" s="877"/>
      <c r="E5" s="617"/>
      <c r="F5" s="37"/>
      <c r="G5" s="37"/>
      <c r="H5" s="617"/>
      <c r="I5" s="2726" t="s">
        <v>4105</v>
      </c>
      <c r="J5" s="1367">
        <v>0.08</v>
      </c>
      <c r="K5" s="1775"/>
      <c r="L5" s="1775"/>
      <c r="M5" s="2910"/>
      <c r="N5" s="2911"/>
      <c r="O5" s="791"/>
      <c r="P5" s="804"/>
      <c r="Q5" s="791"/>
      <c r="R5"/>
      <c r="S5" s="781"/>
      <c r="T5" s="2254" t="s">
        <v>8</v>
      </c>
      <c r="U5" s="2255"/>
      <c r="V5" s="2255"/>
      <c r="W5" s="274"/>
      <c r="X5" s="274"/>
      <c r="Y5" s="2253"/>
      <c r="AA5"/>
      <c r="AB5"/>
      <c r="AF5" s="2270"/>
      <c r="AG5" s="177"/>
      <c r="AH5"/>
      <c r="AI5"/>
      <c r="AJ5"/>
      <c r="AK5"/>
    </row>
    <row r="6" spans="1:45" s="808" customFormat="1">
      <c r="B6" s="804"/>
      <c r="C6" s="791"/>
      <c r="D6" s="877"/>
      <c r="E6" s="617"/>
      <c r="F6" s="37"/>
      <c r="G6" s="37"/>
      <c r="H6" s="617"/>
      <c r="I6" s="51" t="s">
        <v>3793</v>
      </c>
      <c r="J6" s="2648">
        <v>0.05</v>
      </c>
      <c r="K6" s="1775"/>
      <c r="L6" s="1775"/>
      <c r="M6" s="2910"/>
      <c r="N6" s="2911"/>
      <c r="O6" s="791"/>
      <c r="P6" s="804"/>
      <c r="Q6" s="791"/>
      <c r="R6" s="781"/>
      <c r="S6" s="781"/>
      <c r="T6" s="2256" t="s">
        <v>2365</v>
      </c>
      <c r="U6" s="2255"/>
      <c r="V6"/>
      <c r="W6" s="2272" t="s">
        <v>1650</v>
      </c>
      <c r="Y6" s="2253"/>
      <c r="AA6"/>
      <c r="AB6"/>
      <c r="AC6"/>
      <c r="AD6"/>
      <c r="AE6"/>
      <c r="AF6" s="2270"/>
      <c r="AG6" s="2271"/>
      <c r="AH6"/>
      <c r="AI6"/>
      <c r="AJ6"/>
      <c r="AK6"/>
    </row>
    <row r="7" spans="1:45" s="808" customFormat="1">
      <c r="B7" s="804"/>
      <c r="C7" s="791"/>
      <c r="D7" s="877"/>
      <c r="E7" s="617"/>
      <c r="F7" s="37"/>
      <c r="G7" s="37"/>
      <c r="H7" s="617"/>
      <c r="I7" s="2726" t="s">
        <v>4144</v>
      </c>
      <c r="J7" s="1367">
        <v>0</v>
      </c>
      <c r="K7" s="1775"/>
      <c r="L7" s="1775"/>
      <c r="M7" s="2910"/>
      <c r="N7" s="2911"/>
      <c r="O7" s="791"/>
      <c r="P7" s="804"/>
      <c r="Q7" s="791"/>
      <c r="R7" s="781"/>
      <c r="S7" s="781"/>
      <c r="T7" s="2256"/>
      <c r="U7" s="2255" t="s">
        <v>1639</v>
      </c>
      <c r="V7"/>
      <c r="W7" s="2743"/>
      <c r="Y7" s="2257"/>
      <c r="Z7"/>
      <c r="AB7"/>
      <c r="AC7"/>
      <c r="AD7"/>
      <c r="AE7"/>
      <c r="AH7"/>
      <c r="AI7"/>
      <c r="AJ7"/>
      <c r="AK7"/>
    </row>
    <row r="8" spans="1:45" s="781" customFormat="1" ht="13.5" thickBot="1">
      <c r="A8" s="791"/>
      <c r="B8" s="804"/>
      <c r="C8" s="791"/>
      <c r="D8" s="878"/>
      <c r="E8" s="251"/>
      <c r="F8" s="879"/>
      <c r="G8" s="879"/>
      <c r="H8" s="879"/>
      <c r="I8" s="880"/>
      <c r="J8" s="881"/>
      <c r="K8" s="2912"/>
      <c r="L8" s="2912"/>
      <c r="M8" s="2913"/>
      <c r="N8" s="2914"/>
      <c r="P8" s="807"/>
      <c r="T8" s="2256"/>
      <c r="U8" s="2389" t="s">
        <v>3990</v>
      </c>
      <c r="V8"/>
      <c r="W8" s="2265">
        <f>'1.2 EssPL'!G53</f>
        <v>261.505178807947</v>
      </c>
      <c r="Y8" s="2257"/>
      <c r="AA8"/>
      <c r="AB8"/>
      <c r="AC8"/>
      <c r="AD8"/>
      <c r="AE8"/>
      <c r="AF8" s="177"/>
      <c r="AG8" s="177"/>
      <c r="AH8"/>
      <c r="AI8"/>
      <c r="AJ8"/>
      <c r="AK8"/>
    </row>
    <row r="9" spans="1:45" s="781" customFormat="1" ht="13.5" thickBot="1">
      <c r="B9" s="807"/>
      <c r="F9" s="785"/>
      <c r="G9" s="785"/>
      <c r="H9" s="785"/>
      <c r="I9" s="785"/>
      <c r="J9" s="785"/>
      <c r="K9" s="785"/>
      <c r="L9" s="785"/>
      <c r="P9" s="807"/>
      <c r="Q9" s="2250"/>
      <c r="S9" s="737"/>
      <c r="T9" s="737"/>
      <c r="U9" s="341" t="s">
        <v>1640</v>
      </c>
      <c r="V9"/>
      <c r="W9" s="2258">
        <f>CHOOSE($U$3,W7,W8)</f>
        <v>261.505178807947</v>
      </c>
      <c r="Y9" s="2257"/>
      <c r="AB9"/>
      <c r="AC9"/>
      <c r="AD9"/>
      <c r="AE9"/>
      <c r="AF9" s="2268"/>
      <c r="AG9" s="2267"/>
      <c r="AH9" s="2268"/>
      <c r="AI9" s="2268"/>
      <c r="AJ9" s="2267"/>
      <c r="AK9" s="2267"/>
    </row>
    <row r="10" spans="1:45" s="781" customFormat="1">
      <c r="B10" s="807"/>
      <c r="D10" s="873" t="s">
        <v>1815</v>
      </c>
      <c r="E10" s="874"/>
      <c r="F10" s="882"/>
      <c r="G10" s="882"/>
      <c r="H10" s="882"/>
      <c r="I10" s="882"/>
      <c r="J10" s="882"/>
      <c r="K10" s="882"/>
      <c r="L10" s="882"/>
      <c r="M10" s="874"/>
      <c r="N10" s="883"/>
      <c r="P10" s="807"/>
      <c r="T10" s="2256"/>
      <c r="Y10" s="2257"/>
      <c r="AB10"/>
      <c r="AC10"/>
      <c r="AD10"/>
      <c r="AE10"/>
      <c r="AF10" s="2268"/>
      <c r="AG10" s="2267"/>
      <c r="AK10" s="2267"/>
      <c r="AN10" s="177"/>
      <c r="AP10" s="2269"/>
      <c r="AQ10" s="177"/>
      <c r="AR10" s="177"/>
      <c r="AS10" s="177"/>
    </row>
    <row r="11" spans="1:45" s="781" customFormat="1">
      <c r="B11" s="807"/>
      <c r="D11" s="884"/>
      <c r="E11" s="737"/>
      <c r="F11" s="47"/>
      <c r="G11" s="47"/>
      <c r="H11" s="47"/>
      <c r="I11" s="47"/>
      <c r="J11" s="47"/>
      <c r="K11" s="47"/>
      <c r="L11" s="47"/>
      <c r="M11" s="737"/>
      <c r="N11" s="885"/>
      <c r="P11" s="807"/>
      <c r="T11" s="2256" t="s">
        <v>6</v>
      </c>
      <c r="U11" s="2255"/>
      <c r="V11"/>
      <c r="W11" s="2259"/>
      <c r="Y11" s="2257"/>
      <c r="AB11"/>
      <c r="AC11"/>
      <c r="AD11"/>
      <c r="AE11"/>
      <c r="AK11" s="2267"/>
      <c r="AN11" s="177"/>
      <c r="AP11" s="2269"/>
      <c r="AQ11" s="177"/>
      <c r="AR11" s="177"/>
      <c r="AS11" s="177"/>
    </row>
    <row r="12" spans="1:45" s="176" customFormat="1">
      <c r="B12" s="807"/>
      <c r="C12" s="781"/>
      <c r="D12" s="886"/>
      <c r="E12" s="274"/>
      <c r="F12" s="274"/>
      <c r="G12" s="277"/>
      <c r="H12" s="274"/>
      <c r="I12" s="274"/>
      <c r="J12" s="274"/>
      <c r="K12" s="274"/>
      <c r="L12" s="274"/>
      <c r="M12" s="3083" t="s">
        <v>2690</v>
      </c>
      <c r="N12" s="3084"/>
      <c r="O12" s="266"/>
      <c r="P12" s="807"/>
      <c r="T12" s="2256"/>
      <c r="U12" s="2255" t="str">
        <f>U7</f>
        <v>Proposed Bundled Rate</v>
      </c>
      <c r="V12"/>
      <c r="W12" s="2266">
        <f>W7</f>
        <v>0</v>
      </c>
      <c r="Y12" s="2257"/>
      <c r="AB12"/>
      <c r="AC12"/>
      <c r="AD12"/>
      <c r="AE12"/>
    </row>
    <row r="13" spans="1:45" s="176" customFormat="1" ht="13.5" thickBot="1">
      <c r="B13" s="807"/>
      <c r="C13" s="781"/>
      <c r="D13" s="935" t="s">
        <v>2529</v>
      </c>
      <c r="E13" s="936"/>
      <c r="F13" s="535" t="s">
        <v>1218</v>
      </c>
      <c r="G13" s="937"/>
      <c r="H13" s="535" t="s">
        <v>1090</v>
      </c>
      <c r="I13" s="535" t="s">
        <v>1091</v>
      </c>
      <c r="J13" s="535" t="s">
        <v>2165</v>
      </c>
      <c r="K13" s="535" t="s">
        <v>2166</v>
      </c>
      <c r="L13" s="535" t="s">
        <v>2167</v>
      </c>
      <c r="M13" s="535" t="s">
        <v>2528</v>
      </c>
      <c r="N13" s="938" t="s">
        <v>2367</v>
      </c>
      <c r="O13" s="255"/>
      <c r="P13" s="807"/>
      <c r="R13" s="1892"/>
      <c r="S13" s="1892"/>
      <c r="T13" s="2256"/>
      <c r="U13" s="2255" t="str">
        <f>U8</f>
        <v>2011 YTD of Parent</v>
      </c>
      <c r="V13"/>
      <c r="W13" s="2266">
        <f>'1.2 EssPL'!G62</f>
        <v>255.64119209809263</v>
      </c>
      <c r="Y13" s="2257"/>
      <c r="AB13"/>
      <c r="AC13"/>
      <c r="AD13"/>
      <c r="AE13"/>
      <c r="AK13" s="2267"/>
    </row>
    <row r="14" spans="1:45" s="176" customFormat="1">
      <c r="B14" s="807"/>
      <c r="C14" s="781"/>
      <c r="D14" s="939"/>
      <c r="E14" s="2728" t="s">
        <v>463</v>
      </c>
      <c r="F14" s="2071">
        <f>'1.2 EssPL'!G50+'1.2 EssPL'!G52</f>
        <v>6972</v>
      </c>
      <c r="G14" s="2947" t="s">
        <v>8</v>
      </c>
      <c r="H14" s="2391">
        <f>IF($G$118=0,0,H74*($G$116/$G$118)+H113*($G$117/$G$118))</f>
        <v>258.9182374928285</v>
      </c>
      <c r="I14" s="2395">
        <f>IF($G$118=0,0,I74*($G$116/$G$118)+I113*($G$117/$G$118))</f>
        <v>258.27094189909644</v>
      </c>
      <c r="J14" s="2396">
        <f>IF($G$118=0,0,J74*($G$116/$G$118)+J113*($G$117/$G$118))</f>
        <v>258.27094189909644</v>
      </c>
      <c r="K14" s="2396">
        <f>IF($G$118=0,0,K74*($G$116/$G$118)+K113*($G$117/$G$118))</f>
        <v>258.27094189909644</v>
      </c>
      <c r="L14" s="2394">
        <f>IF($G$118=0,0,L74*($G$116/$G$118)+L113*($G$117/$G$118))</f>
        <v>263.43636073707836</v>
      </c>
      <c r="M14" s="941"/>
      <c r="N14" s="942"/>
      <c r="O14" s="274"/>
      <c r="P14" s="807"/>
      <c r="R14"/>
      <c r="S14"/>
      <c r="T14" s="2256"/>
      <c r="U14" s="341" t="str">
        <f>U9</f>
        <v>In Use</v>
      </c>
      <c r="V14" s="177"/>
      <c r="W14" s="2258">
        <f>CHOOSE($U$3,W12,W13)</f>
        <v>255.64119209809263</v>
      </c>
      <c r="Y14" s="2257"/>
      <c r="AB14"/>
      <c r="AC14"/>
      <c r="AD14"/>
      <c r="AE14"/>
      <c r="AK14" s="2267"/>
    </row>
    <row r="15" spans="1:45" s="177" customFormat="1">
      <c r="A15" s="176"/>
      <c r="B15" s="807"/>
      <c r="C15" s="781"/>
      <c r="D15" s="2727" t="s">
        <v>3324</v>
      </c>
      <c r="E15" s="864"/>
      <c r="F15" s="1866"/>
      <c r="G15" s="1866" t="s">
        <v>3517</v>
      </c>
      <c r="H15" s="867"/>
      <c r="I15" s="2297">
        <f>IF(H14=0,0,I14/H14-1)</f>
        <v>-2.4999999999999467E-3</v>
      </c>
      <c r="J15" s="2297">
        <f>IF(I14=0,0,J14/I14-1)</f>
        <v>0</v>
      </c>
      <c r="K15" s="2297">
        <f>IF(J14=0,0,K14/J14-1)</f>
        <v>0</v>
      </c>
      <c r="L15" s="2298">
        <f>IF(K14=0,0,L14/K14-1)</f>
        <v>2.0000000000000018E-2</v>
      </c>
      <c r="M15" s="892"/>
      <c r="N15" s="893"/>
      <c r="P15" s="804"/>
      <c r="R15"/>
      <c r="S15"/>
      <c r="T15" s="2256"/>
      <c r="Y15" s="2257"/>
      <c r="AB15"/>
      <c r="AC15"/>
      <c r="AD15"/>
      <c r="AE15"/>
      <c r="AK15" s="2267"/>
    </row>
    <row r="16" spans="1:45" s="177" customFormat="1">
      <c r="B16" s="804"/>
      <c r="C16" s="791"/>
      <c r="D16" s="891"/>
      <c r="E16" s="868"/>
      <c r="F16" s="1867"/>
      <c r="G16" s="2948" t="s">
        <v>105</v>
      </c>
      <c r="H16" s="330">
        <v>3</v>
      </c>
      <c r="I16" s="2949"/>
      <c r="J16" s="2949"/>
      <c r="K16" s="2949"/>
      <c r="L16" s="2950"/>
      <c r="M16" s="896"/>
      <c r="N16" s="893"/>
      <c r="O16" s="178"/>
      <c r="P16" s="804"/>
      <c r="T16" s="2264"/>
      <c r="U16" s="2264"/>
      <c r="V16" s="2264"/>
      <c r="W16" s="2264"/>
      <c r="X16" s="2264"/>
      <c r="Y16" s="2264"/>
      <c r="AB16"/>
      <c r="AC16"/>
      <c r="AD16"/>
      <c r="AE16"/>
      <c r="AK16" s="2267"/>
    </row>
    <row r="17" spans="2:37" s="177" customFormat="1">
      <c r="B17" s="804"/>
      <c r="C17" s="791"/>
      <c r="D17" s="891"/>
      <c r="E17" s="2272" t="s">
        <v>4106</v>
      </c>
      <c r="F17" s="1861">
        <f>IF($U$43=$AD$1,W47,'1.2 EssPL'!G54)</f>
        <v>320</v>
      </c>
      <c r="G17" s="1866" t="s">
        <v>8</v>
      </c>
      <c r="H17" s="2097">
        <f>IF($U$43=$AD$1,U47,'1.2 EssPL'!G55)</f>
        <v>1016.4768204665048</v>
      </c>
      <c r="I17" s="1864">
        <f>H17*(1+$M$47)</f>
        <v>1039.8557873372342</v>
      </c>
      <c r="J17" s="1662">
        <f>IF(M19="Off",(I17*(1+M47)),IF(I17*(1+M47)&gt;N19,N19,(I17*(1+M47))))</f>
        <v>1063.7724704459906</v>
      </c>
      <c r="K17" s="1662">
        <f>IF(M19="Off",(J17*(1+M47)),IF(J17*(1+M47)&gt;N19,N19,(J17*(1+M47))))</f>
        <v>1088.2392372662482</v>
      </c>
      <c r="L17" s="1662">
        <f>IF(M19="Off",(K17*(1+M47)),IF(K17*(1+M47)&gt;N19,N19,(K17*(1+M47))))</f>
        <v>1113.2687397233717</v>
      </c>
      <c r="M17" s="898"/>
      <c r="N17" s="899"/>
      <c r="O17" s="900"/>
      <c r="P17" s="804"/>
      <c r="AB17"/>
      <c r="AC17"/>
      <c r="AD17"/>
      <c r="AE17"/>
      <c r="AK17" s="2267"/>
    </row>
    <row r="18" spans="2:37" s="177" customFormat="1">
      <c r="B18" s="804"/>
      <c r="C18" s="791"/>
      <c r="D18" s="891"/>
      <c r="E18" s="868"/>
      <c r="F18" s="1867"/>
      <c r="G18" s="2948" t="s">
        <v>105</v>
      </c>
      <c r="H18" s="330">
        <v>3</v>
      </c>
      <c r="I18" s="2949"/>
      <c r="J18" s="2949"/>
      <c r="K18" s="2949"/>
      <c r="L18" s="2950"/>
      <c r="M18" s="896"/>
      <c r="N18" s="893"/>
      <c r="O18" s="178"/>
      <c r="P18" s="804"/>
      <c r="X18" s="2269"/>
    </row>
    <row r="19" spans="2:37" s="177" customFormat="1">
      <c r="B19" s="804"/>
      <c r="C19" s="791"/>
      <c r="D19" s="891"/>
      <c r="E19" s="2272" t="s">
        <v>4107</v>
      </c>
      <c r="F19" s="2071">
        <f>IF($U$43=$AD$1,0,'1.2 EssPL'!G56)</f>
        <v>0</v>
      </c>
      <c r="G19" s="1866" t="s">
        <v>8</v>
      </c>
      <c r="H19" s="1723">
        <f>IF($U$43=$AD$1,0,'1.2 EssPL'!G57)</f>
        <v>0</v>
      </c>
      <c r="I19" s="1864">
        <f>H19*(1+M47)</f>
        <v>0</v>
      </c>
      <c r="J19" s="1662">
        <f>MIN(I19*(1+$M47),IF(M19="On",N19,10000))</f>
        <v>0</v>
      </c>
      <c r="K19" s="1662">
        <f>J19*(1+M47)</f>
        <v>0</v>
      </c>
      <c r="L19" s="1865">
        <f>K19*(1+M47)</f>
        <v>0</v>
      </c>
      <c r="M19" s="898" t="s">
        <v>2055</v>
      </c>
      <c r="N19" s="2452">
        <v>1200</v>
      </c>
      <c r="O19" s="1893"/>
      <c r="P19" s="804"/>
    </row>
    <row r="20" spans="2:37" s="177" customFormat="1" ht="13.5" thickBot="1">
      <c r="B20" s="804"/>
      <c r="C20" s="791"/>
      <c r="D20" s="891"/>
      <c r="E20" s="331"/>
      <c r="F20" s="1867"/>
      <c r="G20" s="1866" t="s">
        <v>105</v>
      </c>
      <c r="H20" s="330">
        <f>$H$18</f>
        <v>3</v>
      </c>
      <c r="I20" s="2951"/>
      <c r="J20" s="2951"/>
      <c r="K20" s="2951"/>
      <c r="L20" s="2952"/>
      <c r="M20" s="896"/>
      <c r="N20" s="893"/>
      <c r="O20" s="178"/>
      <c r="P20" s="804"/>
      <c r="AK20" s="2267"/>
    </row>
    <row r="21" spans="2:37" s="177" customFormat="1" ht="12.75" hidden="1" customHeight="1">
      <c r="B21" s="804"/>
      <c r="C21" s="791"/>
      <c r="D21" s="891"/>
      <c r="E21" s="902" t="s">
        <v>140</v>
      </c>
      <c r="F21" s="2071"/>
      <c r="G21" s="2953" t="s">
        <v>8</v>
      </c>
      <c r="H21" s="2954">
        <f>IF($F17+$F19&gt;0,($F17*H17*$H18+$F19*H19*$H20)/($F17*$H18+$F19*$H20),0)</f>
        <v>1016.4768204665048</v>
      </c>
      <c r="I21" s="2955">
        <f>IF($F17+$F19&gt;0,($F17*I17*$H18+$F19*I19*$H20)/($F17*$H18+$F19*$H20),0)</f>
        <v>1039.8557873372342</v>
      </c>
      <c r="J21" s="2956">
        <f>IF($F17+$F19&gt;0,($F17*J17*$H18+$F19*J19*$H20)/($F17*$H18+$F19*$H20),0)</f>
        <v>1063.7724704459906</v>
      </c>
      <c r="K21" s="2956">
        <f>IF($F17+$F19&gt;0,($F17*K17*$H18+$F19*K19*$H20)/($F17*$H18+$F19*$H20),0)</f>
        <v>1088.2392372662482</v>
      </c>
      <c r="L21" s="2957">
        <f>IF($F17+$F19&gt;0,($F17*L17*$H18+$F19*L19*$H20)/($F17*$H18+$F19*$H20),0)</f>
        <v>1113.2687397233715</v>
      </c>
      <c r="M21" s="906"/>
      <c r="N21" s="907"/>
      <c r="O21" s="900"/>
      <c r="P21" s="804"/>
    </row>
    <row r="22" spans="2:37" s="177" customFormat="1" ht="13.5" hidden="1" customHeight="1" thickBot="1">
      <c r="B22" s="804"/>
      <c r="C22" s="791"/>
      <c r="D22" s="891"/>
      <c r="E22" s="710"/>
      <c r="F22" s="2072"/>
      <c r="G22" s="1866"/>
      <c r="H22" s="357"/>
      <c r="I22" s="2951"/>
      <c r="J22" s="2951"/>
      <c r="K22" s="2951"/>
      <c r="L22" s="2952"/>
      <c r="M22" s="896"/>
      <c r="N22" s="893"/>
      <c r="O22" s="178"/>
      <c r="P22" s="804"/>
    </row>
    <row r="23" spans="2:37" s="177" customFormat="1">
      <c r="B23" s="804"/>
      <c r="C23" s="791"/>
      <c r="D23" s="891"/>
      <c r="E23" s="887" t="str">
        <f>$E$14</f>
        <v>Govt</v>
      </c>
      <c r="F23" s="2073">
        <f>'1.2 EssPL'!G59+'1.2 EssPL'!G61</f>
        <v>1938.2857142857144</v>
      </c>
      <c r="G23" s="2947" t="s">
        <v>8</v>
      </c>
      <c r="H23" s="2391">
        <f>IF($G$128=0,0,H96*($G$126/$G$128)+H123*($G$127/$G$128))</f>
        <v>252.16187902417448</v>
      </c>
      <c r="I23" s="2392">
        <f>IF($G$128=0,0,I96*($G$126/$G$128)+I123*($G$127/$G$128))</f>
        <v>251.53147432661413</v>
      </c>
      <c r="J23" s="2393">
        <f>IF($G$128=0,0,J96*($G$126/$G$128)+J123*($G$127/$G$128))</f>
        <v>251.53147432661413</v>
      </c>
      <c r="K23" s="2393">
        <f>IF($G$128=0,0,K96*($G$126/$G$128)+K123*($G$127/$G$128))</f>
        <v>251.53147432661413</v>
      </c>
      <c r="L23" s="2394">
        <f>IF($G$128=0,0,L96*($G$126/$G$128)+L123*($G$127/$G$128))</f>
        <v>256.56210381314639</v>
      </c>
      <c r="M23" s="889"/>
      <c r="N23" s="890"/>
      <c r="O23" s="178"/>
      <c r="P23" s="804"/>
      <c r="R23" s="1891"/>
      <c r="S23" s="1890"/>
    </row>
    <row r="24" spans="2:37" s="177" customFormat="1">
      <c r="B24" s="804"/>
      <c r="C24" s="791"/>
      <c r="D24" s="891" t="s">
        <v>6</v>
      </c>
      <c r="E24" s="710"/>
      <c r="F24" s="1866"/>
      <c r="G24" s="1866" t="s">
        <v>3517</v>
      </c>
      <c r="H24" s="2390">
        <f>H15</f>
        <v>0</v>
      </c>
      <c r="I24" s="2297">
        <f>IF(H23=0,0,I23/H23-1)</f>
        <v>-2.4999999999996136E-3</v>
      </c>
      <c r="J24" s="2297">
        <f>IF(I23=0,0,J23/I23-1)</f>
        <v>0</v>
      </c>
      <c r="K24" s="2297">
        <f>IF(J23=0,0,K23/J23-1)</f>
        <v>0</v>
      </c>
      <c r="L24" s="2298">
        <f>IF(K23=0,0,L23/K23-1)</f>
        <v>2.0000000000000018E-2</v>
      </c>
      <c r="M24" s="892"/>
      <c r="N24" s="893"/>
      <c r="P24" s="804"/>
      <c r="T24" s="178"/>
      <c r="U24" s="178"/>
      <c r="V24" s="178"/>
      <c r="W24" s="178"/>
      <c r="X24" s="178"/>
      <c r="Y24" s="178"/>
    </row>
    <row r="25" spans="2:37" s="177" customFormat="1">
      <c r="B25" s="804"/>
      <c r="C25" s="791"/>
      <c r="D25" s="891"/>
      <c r="E25" s="894"/>
      <c r="F25" s="1867"/>
      <c r="G25" s="2948" t="s">
        <v>2474</v>
      </c>
      <c r="H25" s="330">
        <f>$H$16</f>
        <v>3</v>
      </c>
      <c r="I25" s="2949"/>
      <c r="J25" s="2949"/>
      <c r="K25" s="2949"/>
      <c r="L25" s="2950"/>
      <c r="M25" s="896"/>
      <c r="N25" s="893"/>
      <c r="O25" s="178"/>
      <c r="P25" s="804"/>
    </row>
    <row r="26" spans="2:37" s="177" customFormat="1">
      <c r="B26" s="804"/>
      <c r="C26" s="791"/>
      <c r="D26" s="891"/>
      <c r="E26" s="710" t="str">
        <f>$E$17</f>
        <v>Non-Govt (rev/tx &lt; $750)</v>
      </c>
      <c r="F26" s="2958">
        <f>IF($U$43=$AD$1,W52,'1.2 EssPL'!G63)</f>
        <v>906.85714285714289</v>
      </c>
      <c r="G26" s="1866" t="s">
        <v>8</v>
      </c>
      <c r="H26" s="2959">
        <f>IF($U$43=$AD$1,U52,'1.2 EssPL'!G64)</f>
        <v>1016.4768204665048</v>
      </c>
      <c r="I26" s="1864">
        <f>H26*(1+$M$52)</f>
        <v>1039.8557873372342</v>
      </c>
      <c r="J26" s="1662">
        <f>IF(M28="Off",(I26*(1+M52)),IF(I26*(1+M52)&gt;N28,N28,(I26*(1+M52))))</f>
        <v>1063.7724704459906</v>
      </c>
      <c r="K26" s="1662">
        <f>IF(M28="Off",(J26*(1+M52)),IF(J26*(1+M52)&gt;N28,N28,(J26*(1+M52))))</f>
        <v>1088.2392372662482</v>
      </c>
      <c r="L26" s="1662">
        <f>IF(M28="Off",(K26*(1+M52)),IF(K26*(1+M52)&gt;N28,N28,(K26*(1+M52))))</f>
        <v>1113.2687397233717</v>
      </c>
      <c r="M26" s="898"/>
      <c r="N26" s="899"/>
      <c r="O26" s="900"/>
      <c r="P26" s="804"/>
    </row>
    <row r="27" spans="2:37" s="177" customFormat="1">
      <c r="B27" s="804"/>
      <c r="C27" s="791"/>
      <c r="D27" s="891"/>
      <c r="E27" s="868"/>
      <c r="F27" s="1867"/>
      <c r="G27" s="2948" t="s">
        <v>2474</v>
      </c>
      <c r="H27" s="330">
        <v>3</v>
      </c>
      <c r="I27" s="2949"/>
      <c r="J27" s="2949"/>
      <c r="K27" s="2949"/>
      <c r="L27" s="2950"/>
      <c r="M27" s="896"/>
      <c r="N27" s="893"/>
      <c r="O27" s="178"/>
      <c r="P27" s="804"/>
    </row>
    <row r="28" spans="2:37" s="177" customFormat="1">
      <c r="B28" s="804"/>
      <c r="C28" s="791"/>
      <c r="D28" s="891"/>
      <c r="E28" s="710" t="str">
        <f>$E$19</f>
        <v>Non-Govt (rev/tx &gt; $750)</v>
      </c>
      <c r="F28" s="2071">
        <f>IF($U$43=$AD$1,0,'1.2 EssPL'!G65)</f>
        <v>0</v>
      </c>
      <c r="G28" s="1866" t="s">
        <v>8</v>
      </c>
      <c r="H28" s="1723">
        <f>IF($U$43=$AD$1,0,'1.2 EssPL'!G66)</f>
        <v>0</v>
      </c>
      <c r="I28" s="1864">
        <f>H28*(1+M52)</f>
        <v>0</v>
      </c>
      <c r="J28" s="1662">
        <f>MIN(I28*(1+$M$52),IF(M28="On",N28,10000))</f>
        <v>0</v>
      </c>
      <c r="K28" s="1662">
        <f>J28*(1+$M$52)</f>
        <v>0</v>
      </c>
      <c r="L28" s="1865">
        <f>K28*(1+$M$52)</f>
        <v>0</v>
      </c>
      <c r="M28" s="898" t="s">
        <v>2055</v>
      </c>
      <c r="N28" s="2452">
        <f>N19</f>
        <v>1200</v>
      </c>
      <c r="O28" s="1893"/>
      <c r="P28" s="804"/>
      <c r="R28" s="1862"/>
      <c r="S28" s="1862"/>
    </row>
    <row r="29" spans="2:37" s="177" customFormat="1" ht="13.5" thickBot="1">
      <c r="B29" s="804"/>
      <c r="C29" s="791"/>
      <c r="D29" s="891"/>
      <c r="E29" s="331"/>
      <c r="F29" s="1867"/>
      <c r="G29" s="1866" t="s">
        <v>2474</v>
      </c>
      <c r="H29" s="330">
        <f>$H$16</f>
        <v>3</v>
      </c>
      <c r="I29" s="2951"/>
      <c r="J29" s="2951"/>
      <c r="K29" s="2951"/>
      <c r="L29" s="2952"/>
      <c r="M29" s="896"/>
      <c r="N29" s="893"/>
      <c r="O29" s="178"/>
      <c r="P29" s="804"/>
    </row>
    <row r="30" spans="2:37" s="177" customFormat="1" ht="13.5" hidden="1" thickBot="1">
      <c r="B30" s="804"/>
      <c r="C30" s="791"/>
      <c r="D30" s="891"/>
      <c r="E30" s="902" t="s">
        <v>140</v>
      </c>
      <c r="F30" s="2071"/>
      <c r="G30" s="2953" t="s">
        <v>8</v>
      </c>
      <c r="H30" s="2954">
        <f>IF($F26+$F28&gt;0,($F26*H26*$H27+$F28*H28*$H29)/($F26*$H27+$F28*$H29),0)</f>
        <v>1016.4768204665049</v>
      </c>
      <c r="I30" s="2955">
        <f>IF($F26+$F28&gt;0,($F26*I26*$H27+$F28*I28*$H29)/($F26*$H27+$F28*$H29),0)</f>
        <v>1039.8557873372342</v>
      </c>
      <c r="J30" s="2956">
        <f>IF($F26+$F28&gt;0,($F26*J26*$H27+$F28*J28*$H29)/($F26*$H27+$F28*$H29),0)</f>
        <v>1063.7724704459908</v>
      </c>
      <c r="K30" s="2956">
        <f>IF($F26+$F28&gt;0,($F26*K26*$H27+$F28*K28*$H29)/($F26*$H27+$F28*$H29),0)</f>
        <v>1088.2392372662482</v>
      </c>
      <c r="L30" s="2957">
        <f>IF($F26+$F28&gt;0,($F26*L26*$H27+$F28*L28*$H29)/($F26*$H27+$F28*$H29),0)</f>
        <v>1113.2687397233717</v>
      </c>
      <c r="M30" s="906"/>
      <c r="N30" s="907"/>
      <c r="O30" s="900"/>
      <c r="P30" s="804"/>
    </row>
    <row r="31" spans="2:37" s="177" customFormat="1" ht="13.5" hidden="1" thickBot="1">
      <c r="B31" s="804"/>
      <c r="C31" s="791"/>
      <c r="D31" s="891"/>
      <c r="E31" s="710"/>
      <c r="F31" s="2072"/>
      <c r="G31" s="1866"/>
      <c r="H31" s="357"/>
      <c r="I31" s="2951"/>
      <c r="J31" s="2951"/>
      <c r="K31" s="2951"/>
      <c r="L31" s="2952"/>
      <c r="M31" s="896"/>
      <c r="N31" s="893"/>
      <c r="O31" s="178"/>
      <c r="P31" s="804"/>
    </row>
    <row r="32" spans="2:37" s="177" customFormat="1">
      <c r="B32" s="804"/>
      <c r="C32" s="791"/>
      <c r="D32" s="891"/>
      <c r="E32" s="887" t="str">
        <f>$E$14</f>
        <v>Govt</v>
      </c>
      <c r="F32" s="2073">
        <f>'1.2 EssPL'!G184</f>
        <v>253</v>
      </c>
      <c r="G32" s="2947" t="s">
        <v>8</v>
      </c>
      <c r="H32" s="2095">
        <f>'1.2 EssPL'!G185+('1.2 EssPL'!G185*'2.1 Reimburse'!H33)</f>
        <v>260.41648221343871</v>
      </c>
      <c r="I32" s="2098">
        <f>H32*(1+I33)</f>
        <v>259.76544100790511</v>
      </c>
      <c r="J32" s="2099">
        <f>I32*(1+J33)</f>
        <v>259.76544100790511</v>
      </c>
      <c r="K32" s="2099">
        <f>J32*(1+K33)</f>
        <v>259.76544100790511</v>
      </c>
      <c r="L32" s="2096">
        <f>K32*(1+L33)</f>
        <v>264.96074982806323</v>
      </c>
      <c r="M32" s="889"/>
      <c r="N32" s="890"/>
      <c r="O32" s="178"/>
      <c r="P32" s="804"/>
      <c r="R32" s="1891"/>
      <c r="S32" s="1890"/>
      <c r="T32" s="176"/>
    </row>
    <row r="33" spans="1:27" s="177" customFormat="1">
      <c r="B33" s="804"/>
      <c r="C33" s="791"/>
      <c r="D33" s="891" t="s">
        <v>1402</v>
      </c>
      <c r="E33" s="710"/>
      <c r="F33" s="1866"/>
      <c r="G33" s="1866" t="s">
        <v>3517</v>
      </c>
      <c r="H33" s="867">
        <f>H15</f>
        <v>0</v>
      </c>
      <c r="I33" s="328">
        <f>I15</f>
        <v>-2.4999999999999467E-3</v>
      </c>
      <c r="J33" s="328">
        <f>J15</f>
        <v>0</v>
      </c>
      <c r="K33" s="328">
        <f>K15</f>
        <v>0</v>
      </c>
      <c r="L33" s="869">
        <f>L15</f>
        <v>2.0000000000000018E-2</v>
      </c>
      <c r="M33" s="892"/>
      <c r="N33" s="893"/>
      <c r="P33" s="804"/>
    </row>
    <row r="34" spans="1:27" s="177" customFormat="1">
      <c r="B34" s="804"/>
      <c r="C34" s="791"/>
      <c r="D34" s="891"/>
      <c r="E34" s="894"/>
      <c r="F34" s="1867"/>
      <c r="G34" s="2948" t="s">
        <v>2474</v>
      </c>
      <c r="H34" s="330">
        <f>$H$16</f>
        <v>3</v>
      </c>
      <c r="I34" s="2949"/>
      <c r="J34" s="2949"/>
      <c r="K34" s="2949"/>
      <c r="L34" s="2950"/>
      <c r="M34" s="896"/>
      <c r="N34" s="893"/>
      <c r="O34" s="178"/>
      <c r="P34" s="804"/>
    </row>
    <row r="35" spans="1:27" s="177" customFormat="1">
      <c r="B35" s="804"/>
      <c r="C35" s="791"/>
      <c r="D35" s="891"/>
      <c r="E35" s="710" t="str">
        <f>$E$17</f>
        <v>Non-Govt (rev/tx &lt; $750)</v>
      </c>
      <c r="F35" s="2958">
        <f>IF($U$43=$AD$1,W57,'1.2 EssPL'!G186)</f>
        <v>0</v>
      </c>
      <c r="G35" s="1866" t="s">
        <v>8</v>
      </c>
      <c r="H35" s="2959">
        <f>IF($U$43=$AD$1,U57,'1.2 EssPL'!G187)</f>
        <v>1016.4768204665048</v>
      </c>
      <c r="I35" s="1864">
        <f>H35*(1+$M$57)</f>
        <v>1039.8557873372342</v>
      </c>
      <c r="J35" s="1662">
        <f>IF(M37="Off",(I35*(1+M57)),IF(I35*(1+M57)&gt;N37,N37,(I35*(1+M57))))</f>
        <v>1063.7724704459906</v>
      </c>
      <c r="K35" s="1662">
        <f>IF(M37="Off",(J35*(1+M57)),IF(J35*(1+M57)&gt;N37,N37,(J35*(1+M57))))</f>
        <v>1088.2392372662482</v>
      </c>
      <c r="L35" s="1662">
        <f>IF(M37="Off",(K35*(1+M57)),IF(K35*(1+M57)&gt;N37,N37,(K35*(1+M57))))</f>
        <v>1113.2687397233717</v>
      </c>
      <c r="M35" s="898"/>
      <c r="N35" s="899"/>
      <c r="O35" s="900"/>
      <c r="P35" s="804"/>
    </row>
    <row r="36" spans="1:27" s="177" customFormat="1">
      <c r="B36" s="804"/>
      <c r="C36" s="791"/>
      <c r="D36" s="891"/>
      <c r="E36" s="868"/>
      <c r="F36" s="1867"/>
      <c r="G36" s="2948" t="s">
        <v>2474</v>
      </c>
      <c r="H36" s="330">
        <v>4.3</v>
      </c>
      <c r="I36" s="2949"/>
      <c r="J36" s="2949"/>
      <c r="K36" s="2949"/>
      <c r="L36" s="2950"/>
      <c r="M36" s="896"/>
      <c r="N36" s="893"/>
      <c r="O36" s="178"/>
      <c r="P36" s="804"/>
    </row>
    <row r="37" spans="1:27" s="177" customFormat="1">
      <c r="B37" s="804"/>
      <c r="C37" s="791"/>
      <c r="D37" s="891"/>
      <c r="E37" s="710" t="str">
        <f>$E$19</f>
        <v>Non-Govt (rev/tx &gt; $750)</v>
      </c>
      <c r="F37" s="2071">
        <f>IF($U$43=$AD$1,0,'1.2 EssPL'!G188)</f>
        <v>0</v>
      </c>
      <c r="G37" s="1866" t="s">
        <v>8</v>
      </c>
      <c r="H37" s="1723">
        <f>IF($U$43=$AD$1,0,'1.2 EssPL'!G189)</f>
        <v>0</v>
      </c>
      <c r="I37" s="1864">
        <f>H37*(M57+1)</f>
        <v>0</v>
      </c>
      <c r="J37" s="1662">
        <f>MIN(I37*(1+$M$57),IF(M37="On",N37,10000))</f>
        <v>0</v>
      </c>
      <c r="K37" s="1662">
        <f>J37*(1+$M$57)</f>
        <v>0</v>
      </c>
      <c r="L37" s="1865">
        <f>K37*(1+$M$57)</f>
        <v>0</v>
      </c>
      <c r="M37" s="898" t="s">
        <v>2055</v>
      </c>
      <c r="N37" s="2452">
        <f>N19</f>
        <v>1200</v>
      </c>
      <c r="O37" s="1893"/>
      <c r="P37" s="804"/>
    </row>
    <row r="38" spans="1:27" s="177" customFormat="1" ht="13.5" thickBot="1">
      <c r="B38" s="804"/>
      <c r="C38" s="791"/>
      <c r="D38" s="891"/>
      <c r="E38" s="331"/>
      <c r="F38" s="1867"/>
      <c r="G38" s="1866" t="s">
        <v>2474</v>
      </c>
      <c r="H38" s="330">
        <f>H36</f>
        <v>4.3</v>
      </c>
      <c r="I38" s="2951"/>
      <c r="J38" s="2951"/>
      <c r="K38" s="2951"/>
      <c r="L38" s="2952"/>
      <c r="M38" s="896"/>
      <c r="N38" s="893"/>
      <c r="O38" s="178"/>
      <c r="P38" s="804"/>
    </row>
    <row r="39" spans="1:27" s="177" customFormat="1" ht="13.5" hidden="1" thickBot="1">
      <c r="B39" s="804"/>
      <c r="C39" s="791"/>
      <c r="D39" s="891"/>
      <c r="E39" s="902" t="s">
        <v>140</v>
      </c>
      <c r="F39" s="888"/>
      <c r="G39" s="903" t="s">
        <v>8</v>
      </c>
      <c r="H39" s="897">
        <f>IF($F35+$F37&gt;0,($F35*H35*$H36+$F37*H37*$H38)/($F35*$H36+$F37*$H38),0)</f>
        <v>0</v>
      </c>
      <c r="I39" s="904">
        <f>IF($F35+$F37&gt;0,($F35*I35*$H36+$F37*I37*$H38)/($F35*$H36+$F37*$H38),0)</f>
        <v>0</v>
      </c>
      <c r="J39" s="905">
        <f>IF($F35+$F37&gt;0,($F35*J35*$H36+$F37*J37*$H38)/($F35*$H36+$F37*$H38),0)</f>
        <v>0</v>
      </c>
      <c r="K39" s="905">
        <f>IF($F35+$F37&gt;0,($F35*K35*$H36+$F37*K37*$H38)/($F35*$H36+$F37*$H38),0)</f>
        <v>0</v>
      </c>
      <c r="L39" s="909">
        <f>IF($F35+$F37&gt;0,($F35*L35*$H36+$F37*L37*$H38)/($F35*$H36+$F37*$H38),0)</f>
        <v>0</v>
      </c>
      <c r="M39" s="910"/>
      <c r="N39" s="907"/>
      <c r="O39" s="900"/>
      <c r="P39" s="804"/>
    </row>
    <row r="40" spans="1:27" s="177" customFormat="1" ht="13.5" hidden="1" thickBot="1">
      <c r="B40" s="804"/>
      <c r="C40" s="791"/>
      <c r="D40" s="891"/>
      <c r="E40" s="710"/>
      <c r="F40" s="908"/>
      <c r="G40" s="822"/>
      <c r="H40" s="357"/>
      <c r="I40" s="901"/>
      <c r="J40" s="901"/>
      <c r="K40" s="901"/>
      <c r="L40" s="911"/>
      <c r="M40" s="178"/>
      <c r="N40" s="893"/>
      <c r="O40" s="178"/>
      <c r="P40" s="804"/>
    </row>
    <row r="41" spans="1:27" s="178" customFormat="1">
      <c r="B41" s="912"/>
      <c r="C41" s="617"/>
      <c r="D41" s="891"/>
      <c r="E41" s="887"/>
      <c r="F41" s="913"/>
      <c r="G41" s="914"/>
      <c r="H41" s="915"/>
      <c r="I41" s="916"/>
      <c r="J41" s="916"/>
      <c r="K41" s="916"/>
      <c r="L41" s="916"/>
      <c r="M41" s="917"/>
      <c r="N41" s="890"/>
      <c r="P41" s="912"/>
      <c r="T41" s="2411" t="s">
        <v>4108</v>
      </c>
      <c r="U41" s="2412"/>
      <c r="V41" s="2412"/>
      <c r="W41" s="2412"/>
      <c r="X41" s="2413"/>
      <c r="Y41" s="2729" t="s">
        <v>4109</v>
      </c>
      <c r="Z41" s="2742" t="str">
        <f>'1.0 Summary'!$R$4</f>
        <v>Yes</v>
      </c>
      <c r="AA41" s="2404">
        <f>IF(Z41="Yes", 1, 0)</f>
        <v>1</v>
      </c>
    </row>
    <row r="42" spans="1:27" s="176" customFormat="1" ht="15">
      <c r="A42" s="177"/>
      <c r="B42" s="804"/>
      <c r="C42" s="791"/>
      <c r="D42" s="935"/>
      <c r="E42" s="274"/>
      <c r="F42" s="274"/>
      <c r="G42" s="274"/>
      <c r="H42" s="274"/>
      <c r="I42" s="274"/>
      <c r="J42" s="274"/>
      <c r="K42" s="274"/>
      <c r="L42" s="274"/>
      <c r="M42" s="255" t="s">
        <v>889</v>
      </c>
      <c r="N42" s="943"/>
      <c r="P42" s="807"/>
      <c r="T42" s="886"/>
      <c r="U42" s="2403" t="str">
        <f>$AA$45</f>
        <v>Integrated</v>
      </c>
      <c r="V42" s="2402" t="s">
        <v>3993</v>
      </c>
      <c r="W42" s="178"/>
      <c r="X42" s="943"/>
      <c r="Y42" s="2407" t="s">
        <v>3189</v>
      </c>
      <c r="Z42" s="2742" t="str">
        <f>'1.0 Summary'!$R$5</f>
        <v>Yes</v>
      </c>
      <c r="AA42" s="2404">
        <f>IF(Z42="Yes", 3, 0)</f>
        <v>3</v>
      </c>
    </row>
    <row r="43" spans="1:27" s="176" customFormat="1" ht="15.75" thickBot="1">
      <c r="B43" s="807"/>
      <c r="C43" s="781"/>
      <c r="D43" s="944" t="str">
        <f>"Rates for "&amp;Type</f>
        <v>Rates for DeNovo</v>
      </c>
      <c r="E43" s="936"/>
      <c r="F43" s="936"/>
      <c r="G43" s="936"/>
      <c r="H43" s="535" t="s">
        <v>1090</v>
      </c>
      <c r="I43" s="535" t="s">
        <v>1091</v>
      </c>
      <c r="J43" s="535" t="s">
        <v>2165</v>
      </c>
      <c r="K43" s="535" t="s">
        <v>2166</v>
      </c>
      <c r="L43" s="535" t="s">
        <v>2167</v>
      </c>
      <c r="M43" s="535" t="s">
        <v>3665</v>
      </c>
      <c r="N43" s="943"/>
      <c r="P43" s="807"/>
      <c r="T43" s="886"/>
      <c r="U43" s="2399" t="s">
        <v>3991</v>
      </c>
      <c r="V43" s="3085" t="s">
        <v>4142</v>
      </c>
      <c r="W43" s="3085"/>
      <c r="X43" s="943"/>
      <c r="Y43" s="2407" t="s">
        <v>3190</v>
      </c>
      <c r="Z43" s="2742" t="str">
        <f>'1.0 Summary'!$R$6</f>
        <v>Yes</v>
      </c>
      <c r="AA43" s="2404">
        <f>IF(Z43="Yes", 5, 0)</f>
        <v>5</v>
      </c>
    </row>
    <row r="44" spans="1:27" s="177" customFormat="1">
      <c r="A44" s="176"/>
      <c r="B44" s="807"/>
      <c r="C44" s="781"/>
      <c r="D44" s="886"/>
      <c r="E44" s="887" t="str">
        <f>$E$14</f>
        <v>Govt</v>
      </c>
      <c r="F44" s="866"/>
      <c r="G44" s="940" t="s">
        <v>8</v>
      </c>
      <c r="H44" s="2386">
        <f>H120</f>
        <v>258.9182374928285</v>
      </c>
      <c r="I44" s="2387">
        <f>I120</f>
        <v>258.27094189909644</v>
      </c>
      <c r="J44" s="2387">
        <f>J120</f>
        <v>258.27094189909644</v>
      </c>
      <c r="K44" s="2387">
        <f>K120</f>
        <v>258.27094189909644</v>
      </c>
      <c r="L44" s="2388">
        <f>L120</f>
        <v>263.43636073707836</v>
      </c>
      <c r="M44" s="918"/>
      <c r="N44" s="893"/>
      <c r="P44" s="804"/>
      <c r="T44" s="891"/>
      <c r="U44" s="178"/>
      <c r="V44" s="3085"/>
      <c r="W44" s="3085"/>
      <c r="X44" s="893"/>
      <c r="Y44" s="2405"/>
      <c r="Z44" s="2405"/>
      <c r="AA44" s="2406">
        <f>SUM(AA41:AA43)</f>
        <v>9</v>
      </c>
    </row>
    <row r="45" spans="1:27" s="177" customFormat="1">
      <c r="B45" s="804"/>
      <c r="C45" s="791"/>
      <c r="D45" s="891" t="str">
        <f>$D$15</f>
        <v>ICHD</v>
      </c>
      <c r="E45" s="710"/>
      <c r="F45" s="256"/>
      <c r="G45" s="822" t="s">
        <v>3517</v>
      </c>
      <c r="H45" s="328"/>
      <c r="I45" s="2297">
        <f>IF(H44=0,0,I44/H44-1)</f>
        <v>-2.4999999999999467E-3</v>
      </c>
      <c r="J45" s="2297">
        <f>IF(I44=0,0,J44/I44-1)</f>
        <v>0</v>
      </c>
      <c r="K45" s="2297">
        <f>IF(J44=0,0,K44/J44-1)</f>
        <v>0</v>
      </c>
      <c r="L45" s="2385">
        <f>IF(K44=0,0,L44/K44-1)</f>
        <v>2.0000000000000018E-2</v>
      </c>
      <c r="M45" s="919"/>
      <c r="N45" s="893"/>
      <c r="P45" s="804"/>
      <c r="T45" s="891"/>
      <c r="U45" s="178"/>
      <c r="V45" s="178"/>
      <c r="W45" s="178"/>
      <c r="X45" s="893"/>
      <c r="Y45" s="2405"/>
      <c r="Z45" s="2405"/>
      <c r="AA45" s="2405" t="str">
        <f>IF(AA44=1,"Integrated",IF(AA44=3,"Home Only",IF(AA44=5,"Home Only",IF(AA44=8,"Home Only",IF(AA44=4,"integrated",IF(AA44=6,"Integrated",IF(AA44=9,"Integrated","Essbase")))))))</f>
        <v>Integrated</v>
      </c>
    </row>
    <row r="46" spans="1:27" s="177" customFormat="1">
      <c r="B46" s="804"/>
      <c r="C46" s="791"/>
      <c r="D46" s="891"/>
      <c r="E46" s="894"/>
      <c r="F46" s="920"/>
      <c r="G46" s="895" t="s">
        <v>3514</v>
      </c>
      <c r="H46" s="333">
        <f>H16</f>
        <v>3</v>
      </c>
      <c r="I46" s="2949">
        <f>H46</f>
        <v>3</v>
      </c>
      <c r="J46" s="2949">
        <f>I46</f>
        <v>3</v>
      </c>
      <c r="K46" s="2949">
        <f>J46</f>
        <v>3</v>
      </c>
      <c r="L46" s="2960">
        <f>K46</f>
        <v>3</v>
      </c>
      <c r="M46" s="921"/>
      <c r="N46" s="893"/>
      <c r="P46" s="804"/>
      <c r="T46" s="891"/>
      <c r="U46" s="2389" t="str">
        <f>D45&amp;" Non-Govt RPT"</f>
        <v>ICHD Non-Govt RPT</v>
      </c>
      <c r="V46" s="178"/>
      <c r="W46" s="2389" t="str">
        <f>D45&amp;" Tx"</f>
        <v>ICHD Tx</v>
      </c>
      <c r="X46" s="893"/>
    </row>
    <row r="47" spans="1:27" s="177" customFormat="1">
      <c r="B47" s="804"/>
      <c r="C47" s="791"/>
      <c r="D47" s="891"/>
      <c r="E47" s="2272" t="s">
        <v>4104</v>
      </c>
      <c r="F47" s="256"/>
      <c r="G47" s="822" t="s">
        <v>8</v>
      </c>
      <c r="H47" s="332">
        <f>IF(($F17+$F19)=0,0,(H17*$F17+H19*$F19)/($F17+$F19))+SensitivityIncRevPerTx</f>
        <v>1016.4768204665048</v>
      </c>
      <c r="I47" s="2961">
        <f>IF(($F17+$F19)=0,0,(I17*$F17+I19*$F19)/($F17+$F19))+SensitivityIncRevPerTx</f>
        <v>1039.8557873372342</v>
      </c>
      <c r="J47" s="2961">
        <f>IF(($F17+$F19)=0,0,(J17*$F17+J19*$F19)/($F17+$F19))+SensitivityIncRevPerTx</f>
        <v>1063.7724704459906</v>
      </c>
      <c r="K47" s="2961">
        <f>IF(($F17+$F19)=0,0,(K17*$F17+K19*$F19)/($F17+$F19))+SensitivityIncRevPerTx</f>
        <v>1088.2392372662482</v>
      </c>
      <c r="L47" s="2962">
        <f>IF(($F17+$F19)=0,0,(L17*$F17+L19*$F19)/($F17+$F19))+SensitivityIncRevPerTx</f>
        <v>1113.2687397233717</v>
      </c>
      <c r="M47" s="922">
        <v>2.3E-2</v>
      </c>
      <c r="N47" s="893"/>
      <c r="P47" s="804"/>
      <c r="T47" s="891"/>
      <c r="U47" s="3006">
        <f>Sheet1!F13</f>
        <v>1016.4768204665048</v>
      </c>
      <c r="V47" s="2414" t="s">
        <v>3994</v>
      </c>
      <c r="W47" s="2400">
        <f>'1.2 EssPL'!G54+'1.2 EssPL'!G56</f>
        <v>320</v>
      </c>
      <c r="X47" s="893"/>
    </row>
    <row r="48" spans="1:27" s="177" customFormat="1" ht="13.5" thickBot="1">
      <c r="B48" s="804"/>
      <c r="C48" s="791"/>
      <c r="D48" s="891"/>
      <c r="E48" s="923"/>
      <c r="F48" s="924"/>
      <c r="G48" s="925" t="s">
        <v>3514</v>
      </c>
      <c r="H48" s="334">
        <f>H20</f>
        <v>3</v>
      </c>
      <c r="I48" s="2963">
        <f>H48</f>
        <v>3</v>
      </c>
      <c r="J48" s="2963">
        <f>I48</f>
        <v>3</v>
      </c>
      <c r="K48" s="2963">
        <f>J48</f>
        <v>3</v>
      </c>
      <c r="L48" s="2964">
        <f>K48</f>
        <v>3</v>
      </c>
      <c r="M48" s="921"/>
      <c r="N48" s="893"/>
      <c r="P48" s="804"/>
      <c r="T48" s="891"/>
      <c r="U48" s="178"/>
      <c r="V48" s="178"/>
      <c r="W48" s="178"/>
      <c r="X48" s="893"/>
    </row>
    <row r="49" spans="2:24" s="177" customFormat="1">
      <c r="B49" s="804"/>
      <c r="C49" s="791"/>
      <c r="D49" s="891"/>
      <c r="E49" s="887" t="str">
        <f>$E$14</f>
        <v>Govt</v>
      </c>
      <c r="F49" s="256"/>
      <c r="G49" s="822" t="s">
        <v>8</v>
      </c>
      <c r="H49" s="2386">
        <f>H130</f>
        <v>252.16187902417448</v>
      </c>
      <c r="I49" s="2387">
        <f>I130</f>
        <v>251.53147432661413</v>
      </c>
      <c r="J49" s="2387">
        <f>J130</f>
        <v>251.53147432661413</v>
      </c>
      <c r="K49" s="2387">
        <f>K130</f>
        <v>251.53147432661413</v>
      </c>
      <c r="L49" s="2388">
        <f>L130</f>
        <v>256.56210381314639</v>
      </c>
      <c r="M49" s="919"/>
      <c r="N49" s="893"/>
      <c r="P49" s="804"/>
      <c r="T49" s="891"/>
      <c r="U49" s="178"/>
      <c r="V49" s="178"/>
      <c r="W49" s="178"/>
      <c r="X49" s="893"/>
    </row>
    <row r="50" spans="2:24" s="177" customFormat="1">
      <c r="B50" s="804"/>
      <c r="C50" s="791"/>
      <c r="D50" s="891" t="str">
        <f>$D$24</f>
        <v>PD</v>
      </c>
      <c r="E50" s="710"/>
      <c r="F50" s="256"/>
      <c r="G50" s="822" t="s">
        <v>3517</v>
      </c>
      <c r="H50" s="328"/>
      <c r="I50" s="2297">
        <f>IF(H49=0,0,I49/H49-1)</f>
        <v>-2.4999999999996136E-3</v>
      </c>
      <c r="J50" s="2297">
        <f>IF(I49=0,0,J49/I49-1)</f>
        <v>0</v>
      </c>
      <c r="K50" s="2297">
        <f>IF(J49=0,0,K49/J49-1)</f>
        <v>0</v>
      </c>
      <c r="L50" s="2385">
        <f>IF(K49=0,0,L49/K49-1)</f>
        <v>2.0000000000000018E-2</v>
      </c>
      <c r="M50" s="919"/>
      <c r="N50" s="893"/>
      <c r="P50" s="804"/>
      <c r="T50" s="891"/>
      <c r="U50" s="178"/>
      <c r="V50" s="178"/>
      <c r="W50" s="178"/>
      <c r="X50" s="893"/>
    </row>
    <row r="51" spans="2:24" s="177" customFormat="1">
      <c r="B51" s="804"/>
      <c r="C51" s="791"/>
      <c r="D51" s="891"/>
      <c r="E51" s="894"/>
      <c r="F51" s="920"/>
      <c r="G51" s="895" t="s">
        <v>2474</v>
      </c>
      <c r="H51" s="333">
        <f>H25</f>
        <v>3</v>
      </c>
      <c r="I51" s="2949">
        <f>H51</f>
        <v>3</v>
      </c>
      <c r="J51" s="2949">
        <f>I51</f>
        <v>3</v>
      </c>
      <c r="K51" s="2949">
        <f>J51</f>
        <v>3</v>
      </c>
      <c r="L51" s="2960">
        <f>K51</f>
        <v>3</v>
      </c>
      <c r="M51" s="921"/>
      <c r="N51" s="893"/>
      <c r="P51" s="804"/>
      <c r="T51" s="891"/>
      <c r="U51" s="2389" t="str">
        <f>D50&amp;" Non-Govt RPT"</f>
        <v>PD Non-Govt RPT</v>
      </c>
      <c r="V51" s="178"/>
      <c r="W51" s="2389" t="str">
        <f>D50&amp;" Tx"</f>
        <v>PD Tx</v>
      </c>
      <c r="X51" s="893"/>
    </row>
    <row r="52" spans="2:24" s="177" customFormat="1">
      <c r="B52" s="804"/>
      <c r="C52" s="791"/>
      <c r="D52" s="891"/>
      <c r="E52" s="710" t="str">
        <f>$E$47</f>
        <v>Non-Govt</v>
      </c>
      <c r="F52" s="256"/>
      <c r="G52" s="822" t="s">
        <v>8</v>
      </c>
      <c r="H52" s="332">
        <f>IF(($F26+$F28)=0,0,(H26*$F26+H28*$F28)/($F26+$F28))+SensitivityIncPDRevPerTx</f>
        <v>1016.4768204665048</v>
      </c>
      <c r="I52" s="2961">
        <f>IF(($F26+$F28)=0,0,(I26*$F26+I28*$F28)/($F26+$F28))+SensitivityIncPDRevPerTx</f>
        <v>1039.8557873372342</v>
      </c>
      <c r="J52" s="2961">
        <f>IF(($F26+$F28)=0,0,(J26*$F26+J28*$F28)/($F26+$F28))+SensitivityIncPDRevPerTx</f>
        <v>1063.7724704459906</v>
      </c>
      <c r="K52" s="2961">
        <f>IF(($F26+$F28)=0,0,(K26*$F26+K28*$F28)/($F26+$F28))+SensitivityIncPDRevPerTx</f>
        <v>1088.2392372662482</v>
      </c>
      <c r="L52" s="2962">
        <f>IF(($F26+$F28)=0,0,(L26*$F26+L28*$F28)/($F26+$F28))+SensitivityIncPDRevPerTx</f>
        <v>1113.2687397233717</v>
      </c>
      <c r="M52" s="922">
        <v>2.3E-2</v>
      </c>
      <c r="N52" s="893"/>
      <c r="P52" s="804"/>
      <c r="T52" s="891"/>
      <c r="U52" s="2906">
        <f>$U$47</f>
        <v>1016.4768204665048</v>
      </c>
      <c r="V52" s="2414" t="s">
        <v>3994</v>
      </c>
      <c r="W52" s="2400">
        <f>'1.2 EssPL'!G63+'1.2 EssPL'!G65</f>
        <v>906.85714285714289</v>
      </c>
      <c r="X52" s="2408"/>
    </row>
    <row r="53" spans="2:24" s="177" customFormat="1" ht="13.5" thickBot="1">
      <c r="B53" s="804"/>
      <c r="C53" s="791"/>
      <c r="D53" s="891"/>
      <c r="E53" s="923"/>
      <c r="F53" s="924"/>
      <c r="G53" s="925" t="s">
        <v>2474</v>
      </c>
      <c r="H53" s="334">
        <f>H27</f>
        <v>3</v>
      </c>
      <c r="I53" s="2963">
        <f>H53</f>
        <v>3</v>
      </c>
      <c r="J53" s="2963">
        <f>I53</f>
        <v>3</v>
      </c>
      <c r="K53" s="2963">
        <f>J53</f>
        <v>3</v>
      </c>
      <c r="L53" s="2964">
        <f>K53</f>
        <v>3</v>
      </c>
      <c r="M53" s="921"/>
      <c r="N53" s="893"/>
      <c r="P53" s="804"/>
      <c r="T53" s="891"/>
      <c r="U53" s="178"/>
      <c r="V53" s="178"/>
      <c r="W53" s="178"/>
      <c r="X53" s="893"/>
    </row>
    <row r="54" spans="2:24" s="177" customFormat="1">
      <c r="B54" s="804"/>
      <c r="C54" s="791"/>
      <c r="D54" s="891"/>
      <c r="E54" s="887" t="str">
        <f>$E$14</f>
        <v>Govt</v>
      </c>
      <c r="F54" s="256"/>
      <c r="G54" s="822" t="s">
        <v>8</v>
      </c>
      <c r="H54" s="2709">
        <f>H32</f>
        <v>260.41648221343871</v>
      </c>
      <c r="I54" s="2965">
        <f>H54*(1+I55)</f>
        <v>259.76544100790511</v>
      </c>
      <c r="J54" s="2965">
        <f>I54*(1+J55)</f>
        <v>259.76544100790511</v>
      </c>
      <c r="K54" s="2965">
        <f>J54*(1+K55)</f>
        <v>259.76544100790511</v>
      </c>
      <c r="L54" s="2966">
        <f>K54*(1+L55)</f>
        <v>264.96074982806323</v>
      </c>
      <c r="M54" s="919"/>
      <c r="N54" s="926"/>
      <c r="O54" s="927"/>
      <c r="P54" s="804"/>
      <c r="T54" s="891"/>
      <c r="U54" s="178"/>
      <c r="V54" s="178"/>
      <c r="W54" s="178"/>
      <c r="X54" s="893"/>
    </row>
    <row r="55" spans="2:24" s="177" customFormat="1">
      <c r="B55" s="804"/>
      <c r="C55" s="791"/>
      <c r="D55" s="891" t="str">
        <f>$D$33</f>
        <v>HHD</v>
      </c>
      <c r="E55" s="710"/>
      <c r="F55" s="256"/>
      <c r="G55" s="822" t="s">
        <v>3517</v>
      </c>
      <c r="H55" s="328">
        <f>H15</f>
        <v>0</v>
      </c>
      <c r="I55" s="328">
        <f>I15</f>
        <v>-2.4999999999999467E-3</v>
      </c>
      <c r="J55" s="328">
        <f>J15</f>
        <v>0</v>
      </c>
      <c r="K55" s="328">
        <f>K15</f>
        <v>0</v>
      </c>
      <c r="L55" s="329">
        <f>L15</f>
        <v>2.0000000000000018E-2</v>
      </c>
      <c r="M55" s="919"/>
      <c r="N55" s="893"/>
      <c r="P55" s="804"/>
      <c r="T55" s="891"/>
      <c r="U55" s="178"/>
      <c r="V55" s="178"/>
      <c r="W55" s="178"/>
      <c r="X55" s="893"/>
    </row>
    <row r="56" spans="2:24" s="177" customFormat="1">
      <c r="B56" s="804"/>
      <c r="C56" s="791"/>
      <c r="D56" s="891"/>
      <c r="E56" s="894"/>
      <c r="F56" s="920"/>
      <c r="G56" s="895" t="s">
        <v>2474</v>
      </c>
      <c r="H56" s="333">
        <f>H34</f>
        <v>3</v>
      </c>
      <c r="I56" s="2949">
        <f>H56</f>
        <v>3</v>
      </c>
      <c r="J56" s="2949">
        <f>I56</f>
        <v>3</v>
      </c>
      <c r="K56" s="2949">
        <f>J56</f>
        <v>3</v>
      </c>
      <c r="L56" s="2960">
        <f>K56</f>
        <v>3</v>
      </c>
      <c r="M56" s="921"/>
      <c r="N56" s="893"/>
      <c r="P56" s="804"/>
      <c r="T56" s="891"/>
      <c r="U56" s="2389" t="str">
        <f>D55&amp;" Non-Govt RPT"</f>
        <v>HHD Non-Govt RPT</v>
      </c>
      <c r="V56" s="178"/>
      <c r="W56" s="2389" t="str">
        <f>D55&amp;" Tx"</f>
        <v>HHD Tx</v>
      </c>
      <c r="X56" s="893"/>
    </row>
    <row r="57" spans="2:24" s="177" customFormat="1">
      <c r="B57" s="804"/>
      <c r="C57" s="791"/>
      <c r="D57" s="891"/>
      <c r="E57" s="710" t="str">
        <f>$E$47</f>
        <v>Non-Govt</v>
      </c>
      <c r="F57" s="256"/>
      <c r="G57" s="822" t="s">
        <v>8</v>
      </c>
      <c r="H57" s="2717">
        <f>IF(($F35+$F37)=0,0,(H35*$F35+H37*$F37)/($F35+$F37))+SensitivityIncHHDRevPerTx</f>
        <v>0</v>
      </c>
      <c r="I57" s="2967">
        <f>IF(($F35+$F37)=0, 0,(I35*$F35+I37*$F37)/($F35+$F37))+SensitivityIncHHDRevPerTx</f>
        <v>0</v>
      </c>
      <c r="J57" s="2967">
        <f>IF(($F35+$F37)=0, 0,(J35*$F35+J37*$F37)/($F35+$F37))+SensitivityIncHHDRevPerTx</f>
        <v>0</v>
      </c>
      <c r="K57" s="2967">
        <f>IF(($F35+$F37)=0, 0,(K35*$F35+K37*$F37)/($F35+$F37))+SensitivityIncHHDRevPerTx</f>
        <v>0</v>
      </c>
      <c r="L57" s="2968">
        <f>IF(($F35+$F37)=0, 0,(L35*$F35+L37*$F37)/($F35+$F37))+SensitivityIncHHDRevPerTx</f>
        <v>0</v>
      </c>
      <c r="M57" s="922">
        <v>2.3E-2</v>
      </c>
      <c r="N57" s="926"/>
      <c r="O57" s="927"/>
      <c r="P57" s="804"/>
      <c r="T57" s="891"/>
      <c r="U57" s="2906">
        <f>$U$47</f>
        <v>1016.4768204665048</v>
      </c>
      <c r="V57" s="2414" t="s">
        <v>3994</v>
      </c>
      <c r="W57" s="2400">
        <f>'1.2 EssPL'!G186+'1.2 EssPL'!G188</f>
        <v>0</v>
      </c>
      <c r="X57" s="2408"/>
    </row>
    <row r="58" spans="2:24" s="177" customFormat="1" ht="13.5" thickBot="1">
      <c r="B58" s="804"/>
      <c r="C58" s="791"/>
      <c r="D58" s="891"/>
      <c r="E58" s="923"/>
      <c r="F58" s="928"/>
      <c r="G58" s="925" t="s">
        <v>2474</v>
      </c>
      <c r="H58" s="334">
        <f>H38</f>
        <v>4.3</v>
      </c>
      <c r="I58" s="2963">
        <f>H58</f>
        <v>4.3</v>
      </c>
      <c r="J58" s="2963">
        <f>I58</f>
        <v>4.3</v>
      </c>
      <c r="K58" s="2963">
        <f>J58</f>
        <v>4.3</v>
      </c>
      <c r="L58" s="2964">
        <f>K58</f>
        <v>4.3</v>
      </c>
      <c r="M58" s="929"/>
      <c r="N58" s="930"/>
      <c r="P58" s="804"/>
      <c r="T58" s="2409"/>
      <c r="U58" s="2410"/>
      <c r="V58" s="2410"/>
      <c r="W58" s="2410"/>
      <c r="X58" s="930"/>
    </row>
    <row r="59" spans="2:24" s="177" customFormat="1">
      <c r="B59" s="804"/>
      <c r="C59" s="791"/>
      <c r="D59" s="917"/>
      <c r="E59" s="178"/>
      <c r="F59" s="178"/>
      <c r="G59" s="276"/>
      <c r="H59" s="178"/>
      <c r="I59" s="178"/>
      <c r="J59" s="178"/>
      <c r="K59" s="178"/>
      <c r="L59" s="178"/>
      <c r="M59" s="178"/>
      <c r="N59" s="178"/>
      <c r="O59" s="178"/>
      <c r="P59" s="912"/>
      <c r="Q59" s="178"/>
      <c r="R59" s="178"/>
      <c r="S59" s="178"/>
      <c r="T59" s="178"/>
    </row>
    <row r="60" spans="2:24" s="177" customFormat="1">
      <c r="B60" s="804"/>
      <c r="C60" s="791"/>
      <c r="D60" s="276" t="str">
        <f>IF(Type="DeNovo","DN Blended Rev/Tx", "Blended Rev/Tx")</f>
        <v>DN Blended Rev/Tx</v>
      </c>
      <c r="E60" s="276"/>
      <c r="F60" s="178"/>
      <c r="G60" s="276"/>
      <c r="H60" s="758">
        <f>'5. Financials'!I67</f>
        <v>348.28558424445731</v>
      </c>
      <c r="I60" s="758">
        <f>'5. Financials'!J67</f>
        <v>333.45861775496024</v>
      </c>
      <c r="J60" s="758">
        <f>'5. Financials'!K67</f>
        <v>328.60042919337042</v>
      </c>
      <c r="K60" s="758">
        <f>'5. Financials'!L67</f>
        <v>327.55401839798941</v>
      </c>
      <c r="L60" s="758">
        <f>'5. Financials'!M67</f>
        <v>339.52374449443681</v>
      </c>
      <c r="M60" s="178"/>
      <c r="N60" s="178"/>
      <c r="O60" s="178"/>
      <c r="P60" s="912"/>
      <c r="Q60" s="178"/>
      <c r="R60" s="178"/>
      <c r="S60" s="178"/>
      <c r="T60" s="178"/>
    </row>
    <row r="61" spans="2:24" s="177" customFormat="1">
      <c r="B61" s="804"/>
      <c r="C61" s="791"/>
      <c r="D61" s="178"/>
      <c r="E61" s="178"/>
      <c r="F61" s="178"/>
      <c r="G61" s="276"/>
      <c r="H61" s="178"/>
      <c r="I61" s="178"/>
      <c r="J61" s="178"/>
      <c r="K61" s="178"/>
      <c r="L61" s="178"/>
      <c r="M61" s="178"/>
      <c r="N61" s="178"/>
      <c r="O61" s="178"/>
      <c r="P61" s="912"/>
      <c r="Q61" s="178"/>
      <c r="R61" s="178"/>
      <c r="S61" s="178"/>
      <c r="T61" s="178"/>
    </row>
    <row r="62" spans="2:24" s="177" customFormat="1">
      <c r="B62" s="804"/>
      <c r="C62" s="804"/>
      <c r="D62" s="804"/>
      <c r="E62" s="804"/>
      <c r="F62" s="804"/>
      <c r="G62" s="804"/>
      <c r="H62" s="2219">
        <v>360.15004893518773</v>
      </c>
      <c r="I62" s="2219">
        <v>316.84006674484436</v>
      </c>
      <c r="J62" s="2219">
        <v>316.12867253231707</v>
      </c>
      <c r="K62" s="2219">
        <v>317.97996219986851</v>
      </c>
      <c r="L62" s="2219">
        <v>321.31819643251316</v>
      </c>
      <c r="M62" s="2220" t="s">
        <v>4252</v>
      </c>
      <c r="N62" s="804"/>
      <c r="O62" s="804"/>
      <c r="P62" s="804"/>
    </row>
    <row r="63" spans="2:24" s="791" customFormat="1">
      <c r="F63" s="790"/>
      <c r="G63" s="790"/>
      <c r="H63" s="2372"/>
      <c r="I63" s="931"/>
      <c r="K63" s="52"/>
      <c r="L63" s="52"/>
    </row>
    <row r="64" spans="2:24" s="932" customFormat="1">
      <c r="C64" s="2285" t="s">
        <v>1658</v>
      </c>
      <c r="D64" s="2286"/>
      <c r="E64" s="2287"/>
      <c r="F64" s="2286"/>
      <c r="G64" s="2286"/>
      <c r="H64" s="2286"/>
      <c r="I64" s="2286"/>
      <c r="J64" s="2286"/>
      <c r="K64" s="2286"/>
      <c r="L64" s="2288"/>
    </row>
    <row r="65" spans="3:14" s="932" customFormat="1">
      <c r="C65" s="2289"/>
      <c r="D65" s="2290"/>
      <c r="E65" s="2291"/>
      <c r="F65" s="2290"/>
      <c r="G65" s="2290"/>
      <c r="H65" s="2290"/>
      <c r="I65" s="2290"/>
      <c r="J65" s="2290"/>
      <c r="K65" s="2290"/>
      <c r="L65" s="2290"/>
    </row>
    <row r="66" spans="3:14" s="932" customFormat="1">
      <c r="C66" s="2969"/>
      <c r="D66" s="2969"/>
      <c r="E66" s="2970"/>
      <c r="F66" s="2969"/>
      <c r="G66" s="2316" t="s">
        <v>1857</v>
      </c>
      <c r="H66" s="2316" t="str">
        <f>H43</f>
        <v>Year 1</v>
      </c>
      <c r="I66" s="2316" t="str">
        <f>I43</f>
        <v>Year 2</v>
      </c>
      <c r="J66" s="2316" t="str">
        <f>J43</f>
        <v>Year 3</v>
      </c>
      <c r="K66" s="2316" t="str">
        <f>K43</f>
        <v>Year 4</v>
      </c>
      <c r="L66" s="2316" t="str">
        <f>L43</f>
        <v>Year 5</v>
      </c>
    </row>
    <row r="67" spans="3:14" s="932" customFormat="1">
      <c r="C67" s="2278" t="s">
        <v>2365</v>
      </c>
      <c r="D67" s="2969"/>
      <c r="E67" s="2970"/>
      <c r="F67" s="2969"/>
      <c r="G67" s="2969"/>
      <c r="H67" s="2971"/>
      <c r="I67" s="2971"/>
      <c r="J67" s="2971"/>
      <c r="K67" s="2971"/>
      <c r="L67" s="2971"/>
    </row>
    <row r="68" spans="3:14" s="932" customFormat="1">
      <c r="C68" s="2986" t="s">
        <v>1651</v>
      </c>
      <c r="D68" s="2969"/>
      <c r="E68" s="2970"/>
      <c r="F68" s="2969"/>
      <c r="G68" s="2274">
        <v>240.36</v>
      </c>
      <c r="H68" s="2972">
        <f>G68*(1+H69)</f>
        <v>239.75910000000002</v>
      </c>
      <c r="I68" s="2972">
        <f>H68*(1+I69)</f>
        <v>239.15970225000004</v>
      </c>
      <c r="J68" s="2972">
        <f>I68*(1+J69)</f>
        <v>239.15970225000004</v>
      </c>
      <c r="K68" s="2972">
        <f>J68*(1+K69)</f>
        <v>239.15970225000004</v>
      </c>
      <c r="L68" s="2972">
        <f>K68*(1+L69)</f>
        <v>243.94289629500005</v>
      </c>
    </row>
    <row r="69" spans="3:14" s="932" customFormat="1">
      <c r="C69" s="2969"/>
      <c r="D69" s="2279" t="s">
        <v>1652</v>
      </c>
      <c r="E69" s="2280"/>
      <c r="F69" s="2279"/>
      <c r="G69" s="2279"/>
      <c r="H69" s="3004">
        <v>-2.5000000000000001E-3</v>
      </c>
      <c r="I69" s="3004">
        <v>-2.5000000000000001E-3</v>
      </c>
      <c r="J69" s="3004">
        <v>0</v>
      </c>
      <c r="K69" s="3004">
        <v>0</v>
      </c>
      <c r="L69" s="3004">
        <v>0.02</v>
      </c>
    </row>
    <row r="70" spans="3:14" s="932" customFormat="1">
      <c r="C70" s="2969"/>
      <c r="D70" s="2969"/>
      <c r="E70" s="2970"/>
      <c r="F70" s="2969"/>
      <c r="G70" s="2969"/>
      <c r="H70" s="2969"/>
      <c r="I70" s="2969"/>
      <c r="J70" s="2969"/>
      <c r="K70" s="2973"/>
      <c r="L70" s="2973"/>
    </row>
    <row r="71" spans="3:14" s="932" customFormat="1">
      <c r="C71" s="2986" t="s">
        <v>3988</v>
      </c>
      <c r="D71" s="2969"/>
      <c r="E71" s="2970"/>
      <c r="F71" s="2969"/>
      <c r="G71" s="2972">
        <f>W9/(1-G76)</f>
        <v>261.505178807947</v>
      </c>
      <c r="H71" s="2972">
        <f>H68*H72</f>
        <v>260.85141586092715</v>
      </c>
      <c r="I71" s="2972">
        <f>I68*I72</f>
        <v>260.19928732127488</v>
      </c>
      <c r="J71" s="2972">
        <f>J68*J72</f>
        <v>260.19928732127488</v>
      </c>
      <c r="K71" s="2972">
        <f>K68*K72</f>
        <v>260.19928732127488</v>
      </c>
      <c r="L71" s="2972">
        <f>L68*L72</f>
        <v>265.40327306770035</v>
      </c>
      <c r="N71" s="2382"/>
    </row>
    <row r="72" spans="3:14" s="932" customFormat="1">
      <c r="C72" s="2969"/>
      <c r="D72" s="2986" t="s">
        <v>1653</v>
      </c>
      <c r="E72" s="2970"/>
      <c r="F72" s="2969"/>
      <c r="G72" s="2974">
        <f>G71/G68</f>
        <v>1.0879729522713721</v>
      </c>
      <c r="H72" s="2281">
        <f>G72</f>
        <v>1.0879729522713721</v>
      </c>
      <c r="I72" s="2281">
        <f>H72</f>
        <v>1.0879729522713721</v>
      </c>
      <c r="J72" s="2281">
        <f>I72</f>
        <v>1.0879729522713721</v>
      </c>
      <c r="K72" s="2281">
        <f>J72</f>
        <v>1.0879729522713721</v>
      </c>
      <c r="L72" s="2281">
        <f>K72</f>
        <v>1.0879729522713721</v>
      </c>
    </row>
    <row r="73" spans="3:14" s="932" customFormat="1">
      <c r="C73" s="2969"/>
      <c r="D73" s="2986"/>
      <c r="E73" s="2970"/>
      <c r="F73" s="2969"/>
      <c r="G73" s="2974"/>
      <c r="H73" s="2974"/>
      <c r="I73" s="2281"/>
      <c r="J73" s="2281"/>
      <c r="K73" s="2281"/>
      <c r="L73" s="2281"/>
    </row>
    <row r="74" spans="3:14" s="932" customFormat="1">
      <c r="C74" s="2986" t="s">
        <v>3989</v>
      </c>
      <c r="D74" s="2986"/>
      <c r="E74" s="2970"/>
      <c r="F74" s="2969"/>
      <c r="G74" s="2283">
        <f t="shared" ref="G74:L74" si="0">G71*(1-G76)</f>
        <v>261.505178807947</v>
      </c>
      <c r="H74" s="2283">
        <f t="shared" si="0"/>
        <v>260.85141586092715</v>
      </c>
      <c r="I74" s="2972">
        <f t="shared" si="0"/>
        <v>260.19928732127488</v>
      </c>
      <c r="J74" s="2972">
        <f t="shared" si="0"/>
        <v>260.19928732127488</v>
      </c>
      <c r="K74" s="2972">
        <f t="shared" si="0"/>
        <v>260.19928732127488</v>
      </c>
      <c r="L74" s="2972">
        <f t="shared" si="0"/>
        <v>265.40327306770035</v>
      </c>
    </row>
    <row r="75" spans="3:14" s="932" customFormat="1">
      <c r="C75" s="2969"/>
      <c r="D75" s="2986"/>
      <c r="E75" s="2970"/>
      <c r="F75" s="2969"/>
      <c r="G75" s="2974"/>
      <c r="H75" s="2974"/>
      <c r="I75" s="2281"/>
      <c r="J75" s="2281"/>
      <c r="K75" s="2281"/>
      <c r="L75" s="2281"/>
    </row>
    <row r="76" spans="3:14" s="932" customFormat="1">
      <c r="C76" s="2986" t="s">
        <v>3987</v>
      </c>
      <c r="D76" s="2969"/>
      <c r="E76" s="2970"/>
      <c r="F76" s="2969"/>
      <c r="G76" s="2380">
        <v>0</v>
      </c>
      <c r="H76" s="2380">
        <v>0</v>
      </c>
      <c r="I76" s="2380">
        <v>0</v>
      </c>
      <c r="J76" s="2380">
        <v>0</v>
      </c>
      <c r="K76" s="2380">
        <v>0</v>
      </c>
      <c r="L76" s="2380">
        <v>0</v>
      </c>
      <c r="N76" s="2564"/>
    </row>
    <row r="77" spans="3:14" s="932" customFormat="1">
      <c r="C77"/>
      <c r="D77"/>
      <c r="E77"/>
      <c r="F77"/>
      <c r="G77"/>
      <c r="H77"/>
      <c r="I77"/>
      <c r="J77"/>
      <c r="K77"/>
      <c r="L77"/>
    </row>
    <row r="78" spans="3:14" s="932" customFormat="1">
      <c r="C78" s="2969"/>
      <c r="D78" s="2969"/>
      <c r="E78" s="2970"/>
      <c r="F78" s="2969"/>
      <c r="G78" s="2969"/>
      <c r="H78" s="2969"/>
      <c r="I78" s="2969"/>
      <c r="J78" s="2969"/>
      <c r="K78" s="2973"/>
      <c r="L78" s="2973"/>
    </row>
    <row r="79" spans="3:14" s="932" customFormat="1">
      <c r="C79" s="2277" t="s">
        <v>1655</v>
      </c>
      <c r="D79" s="2969"/>
      <c r="E79" s="2970"/>
      <c r="F79" s="2969"/>
      <c r="G79" s="2969"/>
      <c r="H79" s="2969"/>
      <c r="I79" s="2969"/>
      <c r="J79" s="2969"/>
      <c r="K79" s="2973"/>
      <c r="L79" s="2973"/>
    </row>
    <row r="80" spans="3:14" s="932" customFormat="1">
      <c r="C80" s="2969" t="s">
        <v>1648</v>
      </c>
      <c r="D80" s="2969"/>
      <c r="E80" s="2970"/>
      <c r="F80" s="2969"/>
      <c r="G80" s="2276">
        <v>0</v>
      </c>
      <c r="H80" s="2276">
        <v>0</v>
      </c>
      <c r="I80" s="2282">
        <f>H80</f>
        <v>0</v>
      </c>
      <c r="J80" s="2282">
        <f>I80</f>
        <v>0</v>
      </c>
      <c r="K80" s="2282">
        <f>J80</f>
        <v>0</v>
      </c>
      <c r="L80" s="2282">
        <f>K80</f>
        <v>0</v>
      </c>
    </row>
    <row r="81" spans="3:12" s="932" customFormat="1">
      <c r="C81" s="2969" t="s">
        <v>1647</v>
      </c>
      <c r="D81" s="2969"/>
      <c r="E81" s="2970"/>
      <c r="F81" s="2969"/>
      <c r="G81" s="2972">
        <f t="shared" ref="G81:L81" si="1">(G80*G68*1.51)+(1-G80)*G68</f>
        <v>240.36</v>
      </c>
      <c r="H81" s="2972">
        <f t="shared" si="1"/>
        <v>239.75910000000002</v>
      </c>
      <c r="I81" s="2972">
        <f t="shared" si="1"/>
        <v>239.15970225000004</v>
      </c>
      <c r="J81" s="2972">
        <f t="shared" si="1"/>
        <v>239.15970225000004</v>
      </c>
      <c r="K81" s="2972">
        <f t="shared" si="1"/>
        <v>239.15970225000004</v>
      </c>
      <c r="L81" s="2972">
        <f t="shared" si="1"/>
        <v>243.94289629500005</v>
      </c>
    </row>
    <row r="82" spans="3:12" s="932" customFormat="1">
      <c r="C82" s="2986" t="s">
        <v>1654</v>
      </c>
      <c r="D82" s="2969"/>
      <c r="E82" s="2970"/>
      <c r="F82" s="2969"/>
      <c r="G82" s="2972">
        <f t="shared" ref="G82:L82" si="2">(G81-G68)*(1-G76)</f>
        <v>0</v>
      </c>
      <c r="H82" s="2972">
        <f t="shared" si="2"/>
        <v>0</v>
      </c>
      <c r="I82" s="2972">
        <f t="shared" si="2"/>
        <v>0</v>
      </c>
      <c r="J82" s="2972">
        <f t="shared" si="2"/>
        <v>0</v>
      </c>
      <c r="K82" s="2972">
        <f t="shared" si="2"/>
        <v>0</v>
      </c>
      <c r="L82" s="2972">
        <f t="shared" si="2"/>
        <v>0</v>
      </c>
    </row>
    <row r="83" spans="3:12" s="932" customFormat="1">
      <c r="C83" s="2986" t="s">
        <v>1649</v>
      </c>
      <c r="D83" s="2969"/>
      <c r="E83" s="2970"/>
      <c r="F83" s="2969"/>
      <c r="G83" s="2275">
        <v>0</v>
      </c>
      <c r="H83" s="2275">
        <v>0</v>
      </c>
      <c r="I83" s="2275">
        <v>0</v>
      </c>
      <c r="J83" s="2275">
        <v>0</v>
      </c>
      <c r="K83" s="2275">
        <v>0</v>
      </c>
      <c r="L83" s="2275">
        <v>0</v>
      </c>
    </row>
    <row r="84" spans="3:12" s="932" customFormat="1">
      <c r="C84" s="2986" t="s">
        <v>1656</v>
      </c>
      <c r="D84" s="2969"/>
      <c r="E84" s="2970"/>
      <c r="F84" s="2969"/>
      <c r="G84" s="2972">
        <f t="shared" ref="G84:L84" si="3">G83*(1-G76)</f>
        <v>0</v>
      </c>
      <c r="H84" s="2972">
        <f t="shared" si="3"/>
        <v>0</v>
      </c>
      <c r="I84" s="2972">
        <f t="shared" si="3"/>
        <v>0</v>
      </c>
      <c r="J84" s="2972">
        <f t="shared" si="3"/>
        <v>0</v>
      </c>
      <c r="K84" s="2972">
        <f t="shared" si="3"/>
        <v>0</v>
      </c>
      <c r="L84" s="2972">
        <f t="shared" si="3"/>
        <v>0</v>
      </c>
    </row>
    <row r="85" spans="3:12" s="932" customFormat="1">
      <c r="C85" s="2969"/>
      <c r="D85" s="2969"/>
      <c r="E85" s="2970"/>
      <c r="F85" s="2969"/>
      <c r="G85" s="2969"/>
      <c r="H85" s="2969"/>
      <c r="I85" s="2969"/>
      <c r="J85" s="2969"/>
      <c r="K85" s="2973"/>
      <c r="L85" s="2973"/>
    </row>
    <row r="86" spans="3:12" s="932" customFormat="1">
      <c r="C86" s="2284" t="s">
        <v>1668</v>
      </c>
      <c r="D86" s="2292"/>
      <c r="E86" s="2293"/>
      <c r="F86" s="2292"/>
      <c r="G86" s="2294">
        <f t="shared" ref="G86:L86" si="4">G84+G82+G74</f>
        <v>261.505178807947</v>
      </c>
      <c r="H86" s="2294">
        <f t="shared" si="4"/>
        <v>260.85141586092715</v>
      </c>
      <c r="I86" s="2294">
        <f t="shared" si="4"/>
        <v>260.19928732127488</v>
      </c>
      <c r="J86" s="2294">
        <f t="shared" si="4"/>
        <v>260.19928732127488</v>
      </c>
      <c r="K86" s="2294">
        <f t="shared" si="4"/>
        <v>260.19928732127488</v>
      </c>
      <c r="L86" s="2295">
        <f t="shared" si="4"/>
        <v>265.40327306770035</v>
      </c>
    </row>
    <row r="87" spans="3:12" s="932" customFormat="1">
      <c r="C87" s="2277"/>
      <c r="D87" s="2969"/>
      <c r="E87" s="2970"/>
      <c r="F87" s="2969"/>
      <c r="G87" s="2969"/>
      <c r="H87" s="2972"/>
      <c r="I87" s="2972"/>
      <c r="J87" s="2972"/>
      <c r="K87" s="2972"/>
      <c r="L87" s="2972"/>
    </row>
    <row r="88" spans="3:12" s="932" customFormat="1">
      <c r="C88" s="2969"/>
      <c r="D88" s="2969"/>
      <c r="E88" s="2970"/>
      <c r="F88" s="2969"/>
      <c r="G88" s="2317" t="str">
        <f t="shared" ref="G88:L88" si="5">G66</f>
        <v>Year 0</v>
      </c>
      <c r="H88" s="2317" t="str">
        <f t="shared" si="5"/>
        <v>Year 1</v>
      </c>
      <c r="I88" s="2317" t="str">
        <f t="shared" si="5"/>
        <v>Year 2</v>
      </c>
      <c r="J88" s="2317" t="str">
        <f t="shared" si="5"/>
        <v>Year 3</v>
      </c>
      <c r="K88" s="2317" t="str">
        <f t="shared" si="5"/>
        <v>Year 4</v>
      </c>
      <c r="L88" s="2317" t="str">
        <f t="shared" si="5"/>
        <v>Year 5</v>
      </c>
    </row>
    <row r="89" spans="3:12" s="932" customFormat="1">
      <c r="C89" s="2278" t="s">
        <v>6</v>
      </c>
      <c r="D89" s="2969"/>
      <c r="E89" s="2970"/>
      <c r="F89" s="2969"/>
      <c r="G89" s="2969"/>
      <c r="H89" s="2971"/>
      <c r="I89" s="2971"/>
      <c r="J89" s="2971"/>
      <c r="K89" s="2971"/>
      <c r="L89" s="2971"/>
    </row>
    <row r="90" spans="3:12" s="932" customFormat="1">
      <c r="C90" s="2986" t="s">
        <v>1651</v>
      </c>
      <c r="D90" s="2969"/>
      <c r="E90" s="2970"/>
      <c r="F90" s="2969"/>
      <c r="G90" s="2283">
        <f>G68</f>
        <v>240.36</v>
      </c>
      <c r="H90" s="2283">
        <f>H68</f>
        <v>239.75910000000002</v>
      </c>
      <c r="I90" s="2972">
        <f>H90*(1+I91)</f>
        <v>239.15970225000004</v>
      </c>
      <c r="J90" s="2972">
        <f>I90*(1+J91)</f>
        <v>239.15970225000004</v>
      </c>
      <c r="K90" s="2972">
        <f>J90*(1+K91)</f>
        <v>239.15970225000004</v>
      </c>
      <c r="L90" s="2972">
        <f>K90*(1+L91)</f>
        <v>243.94289629500005</v>
      </c>
    </row>
    <row r="91" spans="3:12" s="932" customFormat="1">
      <c r="C91" s="2969"/>
      <c r="D91" s="2279" t="s">
        <v>1652</v>
      </c>
      <c r="E91" s="2280"/>
      <c r="F91" s="2279"/>
      <c r="G91" s="2279"/>
      <c r="H91" s="2279"/>
      <c r="I91" s="2296">
        <f>I69</f>
        <v>-2.5000000000000001E-3</v>
      </c>
      <c r="J91" s="2296">
        <f>J69</f>
        <v>0</v>
      </c>
      <c r="K91" s="2296">
        <f>K69</f>
        <v>0</v>
      </c>
      <c r="L91" s="2296">
        <f>L69</f>
        <v>0.02</v>
      </c>
    </row>
    <row r="92" spans="3:12" s="932" customFormat="1">
      <c r="C92" s="2969"/>
      <c r="D92" s="2969"/>
      <c r="E92" s="2970"/>
      <c r="F92" s="2969"/>
      <c r="G92" s="2969"/>
      <c r="H92" s="2969"/>
      <c r="I92" s="2969"/>
      <c r="J92" s="2969"/>
      <c r="K92" s="2973"/>
      <c r="L92" s="2973"/>
    </row>
    <row r="93" spans="3:12" s="932" customFormat="1">
      <c r="C93" s="2986" t="s">
        <v>3988</v>
      </c>
      <c r="D93" s="2969"/>
      <c r="E93" s="2970"/>
      <c r="F93" s="2969"/>
      <c r="G93" s="2972">
        <f>W14/(1-G98)</f>
        <v>255.64119209809263</v>
      </c>
      <c r="H93" s="2972">
        <f>H90*H94</f>
        <v>255.00208911784739</v>
      </c>
      <c r="I93" s="2972">
        <f>I90*I94</f>
        <v>254.36458389505282</v>
      </c>
      <c r="J93" s="2972">
        <f>J90*J94</f>
        <v>254.36458389505282</v>
      </c>
      <c r="K93" s="2972">
        <f>K90*K94</f>
        <v>254.36458389505282</v>
      </c>
      <c r="L93" s="2972">
        <f>L90*L94</f>
        <v>259.4518755729539</v>
      </c>
    </row>
    <row r="94" spans="3:12" s="932" customFormat="1">
      <c r="C94" s="2969"/>
      <c r="D94" s="2986" t="s">
        <v>1653</v>
      </c>
      <c r="E94" s="2970"/>
      <c r="F94" s="2969"/>
      <c r="G94" s="2974">
        <f>G93/G90</f>
        <v>1.0635762693380455</v>
      </c>
      <c r="H94" s="2281">
        <f>G94</f>
        <v>1.0635762693380455</v>
      </c>
      <c r="I94" s="2281">
        <f>H94</f>
        <v>1.0635762693380455</v>
      </c>
      <c r="J94" s="2281">
        <f>I94</f>
        <v>1.0635762693380455</v>
      </c>
      <c r="K94" s="2281">
        <f>J94</f>
        <v>1.0635762693380455</v>
      </c>
      <c r="L94" s="2281">
        <f>K94</f>
        <v>1.0635762693380455</v>
      </c>
    </row>
    <row r="95" spans="3:12" s="932" customFormat="1">
      <c r="C95" s="2969"/>
      <c r="D95" s="2986"/>
      <c r="E95" s="2970"/>
      <c r="F95" s="2969"/>
      <c r="G95" s="2969"/>
      <c r="H95" s="2969"/>
      <c r="I95" s="2969"/>
      <c r="J95" s="2969"/>
      <c r="K95" s="2973"/>
      <c r="L95" s="2973"/>
    </row>
    <row r="96" spans="3:12" s="932" customFormat="1">
      <c r="C96" s="2986" t="s">
        <v>3989</v>
      </c>
      <c r="D96" s="2986"/>
      <c r="E96" s="2970"/>
      <c r="F96" s="2969"/>
      <c r="G96" s="2972">
        <f t="shared" ref="G96:L96" si="6">G93*(1-G98)</f>
        <v>255.64119209809263</v>
      </c>
      <c r="H96" s="2972">
        <f t="shared" si="6"/>
        <v>255.00208911784739</v>
      </c>
      <c r="I96" s="2972">
        <f t="shared" si="6"/>
        <v>254.36458389505282</v>
      </c>
      <c r="J96" s="2972">
        <f t="shared" si="6"/>
        <v>254.36458389505282</v>
      </c>
      <c r="K96" s="2972">
        <f t="shared" si="6"/>
        <v>254.36458389505282</v>
      </c>
      <c r="L96" s="2972">
        <f t="shared" si="6"/>
        <v>259.4518755729539</v>
      </c>
    </row>
    <row r="97" spans="3:12" s="932" customFormat="1">
      <c r="C97" s="2969"/>
      <c r="D97" s="2986"/>
      <c r="E97" s="2970"/>
      <c r="F97" s="2969"/>
      <c r="G97" s="2974"/>
      <c r="H97" s="2974"/>
      <c r="I97" s="2281"/>
      <c r="J97" s="2281"/>
      <c r="K97" s="2281"/>
      <c r="L97" s="2281"/>
    </row>
    <row r="98" spans="3:12" s="932" customFormat="1">
      <c r="C98" s="2986" t="s">
        <v>3987</v>
      </c>
      <c r="D98" s="2969"/>
      <c r="E98" s="2970"/>
      <c r="F98" s="2969"/>
      <c r="G98" s="2381">
        <f t="shared" ref="G98:L98" si="7">G76</f>
        <v>0</v>
      </c>
      <c r="H98" s="2381">
        <f t="shared" si="7"/>
        <v>0</v>
      </c>
      <c r="I98" s="2381">
        <f t="shared" si="7"/>
        <v>0</v>
      </c>
      <c r="J98" s="2381">
        <f t="shared" si="7"/>
        <v>0</v>
      </c>
      <c r="K98" s="2381">
        <f t="shared" si="7"/>
        <v>0</v>
      </c>
      <c r="L98" s="2381">
        <f t="shared" si="7"/>
        <v>0</v>
      </c>
    </row>
    <row r="99" spans="3:12" s="932" customFormat="1">
      <c r="C99" s="2986"/>
      <c r="D99" s="2969"/>
      <c r="E99" s="2970"/>
      <c r="F99" s="2969"/>
      <c r="G99" s="2381"/>
      <c r="H99" s="2381"/>
      <c r="I99" s="2381"/>
      <c r="J99" s="2381"/>
      <c r="K99" s="2381"/>
      <c r="L99" s="2381"/>
    </row>
    <row r="100" spans="3:12" s="932" customFormat="1">
      <c r="C100" s="2969"/>
      <c r="D100" s="2969"/>
      <c r="E100" s="2970"/>
      <c r="F100" s="2969"/>
      <c r="G100" s="2969"/>
      <c r="H100" s="2969"/>
      <c r="I100" s="2969"/>
      <c r="J100" s="2969"/>
      <c r="K100" s="2973"/>
      <c r="L100" s="2973"/>
    </row>
    <row r="101" spans="3:12" s="932" customFormat="1">
      <c r="C101" s="2277" t="s">
        <v>1655</v>
      </c>
      <c r="D101" s="2969"/>
      <c r="E101" s="2970"/>
      <c r="F101" s="2969"/>
      <c r="G101" s="2969"/>
      <c r="H101" s="2969"/>
      <c r="I101" s="2969"/>
      <c r="J101" s="2969"/>
      <c r="K101" s="2973"/>
      <c r="L101" s="2973"/>
    </row>
    <row r="102" spans="3:12" s="932" customFormat="1">
      <c r="C102" s="2969" t="s">
        <v>1648</v>
      </c>
      <c r="D102" s="2969"/>
      <c r="E102" s="2970"/>
      <c r="F102" s="2969"/>
      <c r="G102" s="2276">
        <v>0</v>
      </c>
      <c r="H102" s="2276">
        <v>0</v>
      </c>
      <c r="I102" s="2282">
        <f>H102</f>
        <v>0</v>
      </c>
      <c r="J102" s="2282">
        <f>I102</f>
        <v>0</v>
      </c>
      <c r="K102" s="2282">
        <f>J102</f>
        <v>0</v>
      </c>
      <c r="L102" s="2282">
        <f>K102</f>
        <v>0</v>
      </c>
    </row>
    <row r="103" spans="3:12" s="932" customFormat="1">
      <c r="C103" s="2969" t="s">
        <v>1647</v>
      </c>
      <c r="D103" s="2969"/>
      <c r="E103" s="2970"/>
      <c r="F103" s="2969"/>
      <c r="G103" s="2972">
        <f t="shared" ref="G103:L103" si="8">(G102*G90*1.51)+(1-G102)*G90</f>
        <v>240.36</v>
      </c>
      <c r="H103" s="2972">
        <f t="shared" si="8"/>
        <v>239.75910000000002</v>
      </c>
      <c r="I103" s="2972">
        <f t="shared" si="8"/>
        <v>239.15970225000004</v>
      </c>
      <c r="J103" s="2972">
        <f t="shared" si="8"/>
        <v>239.15970225000004</v>
      </c>
      <c r="K103" s="2972">
        <f t="shared" si="8"/>
        <v>239.15970225000004</v>
      </c>
      <c r="L103" s="2972">
        <f t="shared" si="8"/>
        <v>243.94289629500005</v>
      </c>
    </row>
    <row r="104" spans="3:12" s="932" customFormat="1">
      <c r="C104" s="2986" t="s">
        <v>1654</v>
      </c>
      <c r="D104" s="2969"/>
      <c r="E104" s="2970"/>
      <c r="F104" s="2969"/>
      <c r="G104" s="2972">
        <f t="shared" ref="G104:L104" si="9">(G103-G90)*(1-G98)</f>
        <v>0</v>
      </c>
      <c r="H104" s="2972">
        <f t="shared" si="9"/>
        <v>0</v>
      </c>
      <c r="I104" s="2972">
        <f t="shared" si="9"/>
        <v>0</v>
      </c>
      <c r="J104" s="2972">
        <f t="shared" si="9"/>
        <v>0</v>
      </c>
      <c r="K104" s="2972">
        <f t="shared" si="9"/>
        <v>0</v>
      </c>
      <c r="L104" s="2972">
        <f t="shared" si="9"/>
        <v>0</v>
      </c>
    </row>
    <row r="105" spans="3:12" s="932" customFormat="1">
      <c r="C105" s="2986" t="s">
        <v>1649</v>
      </c>
      <c r="D105" s="2969"/>
      <c r="E105" s="2970"/>
      <c r="F105" s="2969"/>
      <c r="G105" s="2275">
        <v>0</v>
      </c>
      <c r="H105" s="2275">
        <v>0</v>
      </c>
      <c r="I105" s="2275">
        <v>0</v>
      </c>
      <c r="J105" s="2275">
        <v>0</v>
      </c>
      <c r="K105" s="2275">
        <v>0</v>
      </c>
      <c r="L105" s="2275">
        <v>0</v>
      </c>
    </row>
    <row r="106" spans="3:12" s="932" customFormat="1">
      <c r="C106" s="2986" t="s">
        <v>1656</v>
      </c>
      <c r="D106" s="2969"/>
      <c r="E106" s="2970"/>
      <c r="F106" s="2969"/>
      <c r="G106" s="2972">
        <f t="shared" ref="G106:L106" si="10">G105*(1-G98)</f>
        <v>0</v>
      </c>
      <c r="H106" s="2972">
        <f t="shared" si="10"/>
        <v>0</v>
      </c>
      <c r="I106" s="2972">
        <f t="shared" si="10"/>
        <v>0</v>
      </c>
      <c r="J106" s="2972">
        <f t="shared" si="10"/>
        <v>0</v>
      </c>
      <c r="K106" s="2972">
        <f t="shared" si="10"/>
        <v>0</v>
      </c>
      <c r="L106" s="2972">
        <f t="shared" si="10"/>
        <v>0</v>
      </c>
    </row>
    <row r="107" spans="3:12" s="932" customFormat="1">
      <c r="C107" s="2969"/>
      <c r="D107" s="2969"/>
      <c r="E107" s="2970"/>
      <c r="F107" s="2969"/>
      <c r="G107" s="2969"/>
      <c r="H107" s="2969"/>
      <c r="I107" s="2969"/>
      <c r="J107" s="2969"/>
      <c r="K107" s="2973"/>
      <c r="L107" s="2973"/>
    </row>
    <row r="108" spans="3:12" s="932" customFormat="1">
      <c r="C108" s="2284" t="s">
        <v>1668</v>
      </c>
      <c r="D108" s="2292"/>
      <c r="E108" s="2293"/>
      <c r="F108" s="2292"/>
      <c r="G108" s="2294">
        <f t="shared" ref="G108:L108" si="11">G106+G104+G96</f>
        <v>255.64119209809263</v>
      </c>
      <c r="H108" s="2294">
        <f t="shared" si="11"/>
        <v>255.00208911784739</v>
      </c>
      <c r="I108" s="2294">
        <f t="shared" si="11"/>
        <v>254.36458389505282</v>
      </c>
      <c r="J108" s="2294">
        <f t="shared" si="11"/>
        <v>254.36458389505282</v>
      </c>
      <c r="K108" s="2294">
        <f t="shared" si="11"/>
        <v>254.36458389505282</v>
      </c>
      <c r="L108" s="2295">
        <f t="shared" si="11"/>
        <v>259.4518755729539</v>
      </c>
    </row>
    <row r="109" spans="3:12" s="932" customFormat="1">
      <c r="E109" s="808"/>
      <c r="K109" s="780"/>
      <c r="L109" s="780"/>
    </row>
    <row r="110" spans="3:12" s="932" customFormat="1">
      <c r="C110" s="2285" t="s">
        <v>1659</v>
      </c>
      <c r="D110" s="2286"/>
      <c r="E110" s="2287"/>
      <c r="F110" s="2286"/>
      <c r="G110" s="2286"/>
      <c r="H110" s="2286"/>
      <c r="I110" s="2286"/>
      <c r="J110" s="2286"/>
      <c r="K110" s="2286"/>
      <c r="L110" s="2288"/>
    </row>
    <row r="111" spans="3:12" s="932" customFormat="1">
      <c r="E111" s="808"/>
      <c r="K111" s="780"/>
      <c r="L111" s="780"/>
    </row>
    <row r="112" spans="3:12" s="932" customFormat="1">
      <c r="C112" s="2278" t="s">
        <v>1577</v>
      </c>
      <c r="E112" s="808"/>
      <c r="H112" s="2318" t="str">
        <f>H88</f>
        <v>Year 1</v>
      </c>
      <c r="I112" s="2318" t="str">
        <f>I88</f>
        <v>Year 2</v>
      </c>
      <c r="J112" s="2318" t="str">
        <f>J88</f>
        <v>Year 3</v>
      </c>
      <c r="K112" s="2318" t="str">
        <f>K88</f>
        <v>Year 4</v>
      </c>
      <c r="L112" s="2318" t="str">
        <f>L88</f>
        <v>Year 5</v>
      </c>
    </row>
    <row r="113" spans="3:12" s="932" customFormat="1">
      <c r="C113" s="60" t="s">
        <v>1651</v>
      </c>
      <c r="E113" s="808"/>
      <c r="H113" s="2283">
        <f>'1.2 EssPL'!G51</f>
        <v>246.38991416309022</v>
      </c>
      <c r="I113" s="2273">
        <f>H113*(1+I114)</f>
        <v>245.77393937768252</v>
      </c>
      <c r="J113" s="2273">
        <f>I113*(1+J114)</f>
        <v>245.77393937768252</v>
      </c>
      <c r="K113" s="2273">
        <f>J113*(1+K114)</f>
        <v>245.77393937768252</v>
      </c>
      <c r="L113" s="2273">
        <f>K113*(1+L114)</f>
        <v>250.68941816523619</v>
      </c>
    </row>
    <row r="114" spans="3:12" s="932" customFormat="1">
      <c r="C114" s="2301"/>
      <c r="D114" s="2279" t="s">
        <v>1652</v>
      </c>
      <c r="E114" s="808"/>
      <c r="I114" s="2282">
        <f>I69</f>
        <v>-2.5000000000000001E-3</v>
      </c>
      <c r="J114" s="2282">
        <f>J69</f>
        <v>0</v>
      </c>
      <c r="K114" s="2282">
        <f>K69</f>
        <v>0</v>
      </c>
      <c r="L114" s="2282">
        <f>L69</f>
        <v>0.02</v>
      </c>
    </row>
    <row r="115" spans="3:12" s="932" customFormat="1">
      <c r="E115" s="808"/>
      <c r="K115" s="780"/>
      <c r="L115" s="780"/>
    </row>
    <row r="116" spans="3:12" s="932" customFormat="1">
      <c r="C116" s="2300" t="s">
        <v>1661</v>
      </c>
      <c r="E116" s="808"/>
      <c r="G116" s="2314">
        <f>'1.2 EssPL'!G52</f>
        <v>6040</v>
      </c>
      <c r="K116" s="780"/>
      <c r="L116" s="780"/>
    </row>
    <row r="117" spans="3:12" s="932" customFormat="1">
      <c r="C117" s="2299" t="s">
        <v>1660</v>
      </c>
      <c r="E117" s="808"/>
      <c r="G117" s="2315">
        <f>'1.2 EssPL'!G50</f>
        <v>932</v>
      </c>
      <c r="K117" s="780"/>
      <c r="L117" s="780"/>
    </row>
    <row r="118" spans="3:12" s="932" customFormat="1">
      <c r="C118" s="2302" t="s">
        <v>1662</v>
      </c>
      <c r="D118" s="2277"/>
      <c r="E118" s="2303"/>
      <c r="F118" s="2277"/>
      <c r="G118" s="2305">
        <f>G117+G116</f>
        <v>6972</v>
      </c>
      <c r="K118" s="780"/>
      <c r="L118" s="780"/>
    </row>
    <row r="119" spans="3:12" s="932" customFormat="1">
      <c r="C119" s="2299"/>
      <c r="E119" s="808"/>
      <c r="K119" s="780"/>
      <c r="L119" s="780"/>
    </row>
    <row r="120" spans="3:12" s="932" customFormat="1">
      <c r="C120" s="2306" t="s">
        <v>1663</v>
      </c>
      <c r="D120" s="2311"/>
      <c r="E120" s="2312"/>
      <c r="F120" s="2311"/>
      <c r="G120" s="2311"/>
      <c r="H120" s="2309">
        <f>IF($G$118=0,0,H113*($G$117/$G$118)+H86*($G$116/$G$118))</f>
        <v>258.9182374928285</v>
      </c>
      <c r="I120" s="2309">
        <f>IF($G$118=0,0,I113*($G$117/$G$118)+I86*($G$116/$G$118))</f>
        <v>258.27094189909644</v>
      </c>
      <c r="J120" s="2309">
        <f>IF($G$118=0,0,J113*($G$117/$G$118)+J86*($G$116/$G$118))</f>
        <v>258.27094189909644</v>
      </c>
      <c r="K120" s="2309">
        <f>IF($G$118=0,0,K113*($G$117/$G$118)+K86*($G$116/$G$118))</f>
        <v>258.27094189909644</v>
      </c>
      <c r="L120" s="2310">
        <f>IF($G$118=0,0,L113*($G$117/$G$118)+L86*($G$116/$G$118))</f>
        <v>263.43636073707836</v>
      </c>
    </row>
    <row r="121" spans="3:12" s="932" customFormat="1">
      <c r="C121" s="2299"/>
      <c r="E121" s="808"/>
      <c r="K121" s="780"/>
      <c r="L121" s="780"/>
    </row>
    <row r="122" spans="3:12" s="932" customFormat="1">
      <c r="C122" s="2304" t="s">
        <v>1594</v>
      </c>
      <c r="E122" s="808"/>
      <c r="H122" s="2318" t="str">
        <f>H112</f>
        <v>Year 1</v>
      </c>
      <c r="I122" s="2318" t="str">
        <f>I112</f>
        <v>Year 2</v>
      </c>
      <c r="J122" s="2318" t="str">
        <f>J112</f>
        <v>Year 3</v>
      </c>
      <c r="K122" s="2318" t="str">
        <f>K112</f>
        <v>Year 4</v>
      </c>
      <c r="L122" s="2318" t="str">
        <f>L112</f>
        <v>Year 5</v>
      </c>
    </row>
    <row r="123" spans="3:12" s="932" customFormat="1">
      <c r="C123" s="60" t="s">
        <v>1651</v>
      </c>
      <c r="E123" s="808"/>
      <c r="H123" s="2283">
        <f>'1.2 EssPL'!G60</f>
        <v>233.87491228070155</v>
      </c>
      <c r="I123" s="2273">
        <f>H123*(1+I124)</f>
        <v>233.29022499999982</v>
      </c>
      <c r="J123" s="2273">
        <f>I123*(1+J124)</f>
        <v>233.29022499999982</v>
      </c>
      <c r="K123" s="2273">
        <f>J123*(1+K124)</f>
        <v>233.29022499999982</v>
      </c>
      <c r="L123" s="2273">
        <f>K123*(1+L124)</f>
        <v>237.95602949999983</v>
      </c>
    </row>
    <row r="124" spans="3:12" s="932" customFormat="1">
      <c r="C124" s="2301"/>
      <c r="D124" s="2279" t="s">
        <v>1652</v>
      </c>
      <c r="E124" s="808"/>
      <c r="I124" s="2282">
        <f>I91</f>
        <v>-2.5000000000000001E-3</v>
      </c>
      <c r="J124" s="2282">
        <f>J91</f>
        <v>0</v>
      </c>
      <c r="K124" s="2282">
        <f>K91</f>
        <v>0</v>
      </c>
      <c r="L124" s="2282">
        <f>L91</f>
        <v>0.02</v>
      </c>
    </row>
    <row r="125" spans="3:12" s="932" customFormat="1">
      <c r="E125" s="808"/>
      <c r="K125" s="780"/>
      <c r="L125" s="780"/>
    </row>
    <row r="126" spans="3:12" s="932" customFormat="1">
      <c r="C126" s="2300" t="s">
        <v>1661</v>
      </c>
      <c r="E126" s="808"/>
      <c r="G126" s="2314">
        <f>'1.2 EssPL'!G61</f>
        <v>1677.7142857142858</v>
      </c>
      <c r="K126" s="780"/>
      <c r="L126" s="780"/>
    </row>
    <row r="127" spans="3:12" s="932" customFormat="1">
      <c r="C127" s="2299" t="s">
        <v>1660</v>
      </c>
      <c r="E127" s="808"/>
      <c r="G127" s="2315">
        <f>'1.2 EssPL'!G59</f>
        <v>260.57142857142873</v>
      </c>
      <c r="K127" s="780"/>
      <c r="L127" s="780"/>
    </row>
    <row r="128" spans="3:12" s="932" customFormat="1">
      <c r="C128" s="2302" t="s">
        <v>1662</v>
      </c>
      <c r="D128" s="2277"/>
      <c r="E128" s="808"/>
      <c r="G128" s="2305">
        <f>G127+G126</f>
        <v>1938.2857142857144</v>
      </c>
      <c r="K128" s="780"/>
      <c r="L128" s="780"/>
    </row>
    <row r="129" spans="1:12" s="932" customFormat="1">
      <c r="C129" s="2299"/>
      <c r="E129" s="808"/>
      <c r="K129" s="780"/>
      <c r="L129" s="780"/>
    </row>
    <row r="130" spans="1:12" s="932" customFormat="1">
      <c r="C130" s="2306" t="s">
        <v>1663</v>
      </c>
      <c r="D130" s="2307"/>
      <c r="E130" s="2308"/>
      <c r="F130" s="2307"/>
      <c r="G130" s="2307"/>
      <c r="H130" s="2309">
        <f>IF($G$128=0,0,H123*($G$127/$G$128)+H108*($G$126/$G$128))</f>
        <v>252.16187902417448</v>
      </c>
      <c r="I130" s="2309">
        <f>IF($G$128=0,0,I123*($G$127/$G$128)+I108*($G$126/$G$128))</f>
        <v>251.53147432661413</v>
      </c>
      <c r="J130" s="2309">
        <f>IF($G$128=0,0,J123*($G$127/$G$128)+J108*($G$126/$G$128))</f>
        <v>251.53147432661413</v>
      </c>
      <c r="K130" s="2309">
        <f>IF($G$128=0,0,K123*($G$127/$G$128)+K108*($G$126/$G$128))</f>
        <v>251.53147432661413</v>
      </c>
      <c r="L130" s="2310">
        <f>IF($G$128=0,0,L123*($G$127/$G$128)+L108*($G$126/$G$128))</f>
        <v>256.56210381314639</v>
      </c>
    </row>
    <row r="131" spans="1:12" s="932" customFormat="1">
      <c r="E131" s="808"/>
      <c r="K131" s="780"/>
      <c r="L131" s="780"/>
    </row>
    <row r="132" spans="1:12" s="932" customFormat="1">
      <c r="E132" s="2745" t="str">
        <f>"as of "&amp;'1.1 Parents'!$E$11&amp;"-"&amp;'1.1 Parents'!$E$12</f>
        <v>as of Nov-2013</v>
      </c>
      <c r="F132" s="2745"/>
      <c r="G132" s="2745"/>
      <c r="H132" s="2745"/>
      <c r="K132" s="780"/>
      <c r="L132" s="780"/>
    </row>
    <row r="133" spans="1:12" s="932" customFormat="1">
      <c r="E133" s="2746" t="str">
        <f>"HEMO ADJUSTMENT: "&amp;$E$65</f>
        <v xml:space="preserve">HEMO ADJUSTMENT: </v>
      </c>
      <c r="F133" s="785" t="s">
        <v>3916</v>
      </c>
      <c r="G133" s="785" t="s">
        <v>4143</v>
      </c>
      <c r="H133" s="785"/>
      <c r="K133" s="780"/>
      <c r="L133" s="780"/>
    </row>
    <row r="134" spans="1:12" s="932" customFormat="1">
      <c r="E134" s="2750" t="s">
        <v>4106</v>
      </c>
      <c r="F134" s="785">
        <f>'1.2 EssPL'!G54</f>
        <v>160</v>
      </c>
      <c r="G134" s="2747">
        <f>'1.2 EssPL'!G55</f>
        <v>1781.7030000000002</v>
      </c>
      <c r="H134" s="785">
        <f>F134*G134</f>
        <v>285072.48000000004</v>
      </c>
      <c r="I134" s="2383"/>
      <c r="J134" s="2383"/>
      <c r="K134" s="2384"/>
      <c r="L134" s="2384"/>
    </row>
    <row r="135" spans="1:12" s="932" customFormat="1">
      <c r="E135" s="2750" t="s">
        <v>4107</v>
      </c>
      <c r="F135" s="2748">
        <f>'1.2 EssPL'!G56</f>
        <v>160</v>
      </c>
      <c r="G135" s="2747">
        <f>'1.2 EssPL'!G57</f>
        <v>905.63474999999994</v>
      </c>
      <c r="H135" s="2748">
        <f>F135*G135</f>
        <v>144901.56</v>
      </c>
      <c r="K135" s="780"/>
      <c r="L135" s="780"/>
    </row>
    <row r="136" spans="1:12" s="932" customFormat="1">
      <c r="E136" s="781"/>
      <c r="F136" s="785">
        <f>SUM(F134:F135)</f>
        <v>320</v>
      </c>
      <c r="G136" s="785">
        <f>IF(F136=0,0,H136/F136)</f>
        <v>1343.6688750000001</v>
      </c>
      <c r="H136" s="785">
        <f>SUM(H134:H135)</f>
        <v>429974.04000000004</v>
      </c>
      <c r="K136" s="780"/>
      <c r="L136" s="780"/>
    </row>
    <row r="137" spans="1:12" s="932" customFormat="1">
      <c r="E137" s="781"/>
      <c r="F137" s="785"/>
      <c r="G137" s="785"/>
      <c r="H137" s="785"/>
      <c r="K137" s="780"/>
      <c r="L137" s="780"/>
    </row>
    <row r="138" spans="1:12" s="932" customFormat="1">
      <c r="E138" s="2746" t="str">
        <f>"PD ADJUSTMENT: "&amp;$E$65</f>
        <v xml:space="preserve">PD ADJUSTMENT: </v>
      </c>
      <c r="F138" s="785" t="s">
        <v>3916</v>
      </c>
      <c r="G138" s="785" t="s">
        <v>4143</v>
      </c>
      <c r="H138" s="785"/>
      <c r="K138" s="780"/>
      <c r="L138" s="780"/>
    </row>
    <row r="139" spans="1:12" s="932" customFormat="1">
      <c r="D139"/>
      <c r="E139" s="866" t="str">
        <f>$E$134</f>
        <v>Non-Govt (rev/tx &lt; $750)</v>
      </c>
      <c r="F139" s="785">
        <f>'1.2 EssPL'!G63</f>
        <v>231.49714285714282</v>
      </c>
      <c r="G139" s="2747">
        <f>'1.2 EssPL'!G64</f>
        <v>1975.4923726303325</v>
      </c>
      <c r="H139" s="785">
        <f>F139*G139</f>
        <v>457320.84000000008</v>
      </c>
    </row>
    <row r="140" spans="1:12" s="865" customFormat="1">
      <c r="A140" s="932"/>
      <c r="B140" s="808"/>
      <c r="C140" s="932"/>
      <c r="D140"/>
      <c r="E140" s="866" t="str">
        <f>$E$135</f>
        <v>Non-Govt (rev/tx &gt; $750)</v>
      </c>
      <c r="F140" s="2748">
        <f>'1.2 EssPL'!G65</f>
        <v>675.36</v>
      </c>
      <c r="G140" s="2747">
        <f>'1.2 EssPL'!G66</f>
        <v>1614.9145936981756</v>
      </c>
      <c r="H140" s="2748">
        <f>F140*G140</f>
        <v>1090648.72</v>
      </c>
    </row>
    <row r="141" spans="1:12" s="865" customFormat="1">
      <c r="D141"/>
      <c r="E141" s="781"/>
      <c r="F141" s="785">
        <f>SUM(F139:F140)</f>
        <v>906.85714285714289</v>
      </c>
      <c r="G141" s="785">
        <f>IF(F141=0,0,H141/F141)</f>
        <v>1706.9607624448645</v>
      </c>
      <c r="H141" s="785">
        <f>SUM(H139:H140)</f>
        <v>1547969.56</v>
      </c>
    </row>
    <row r="142" spans="1:12" s="865" customFormat="1">
      <c r="D142"/>
      <c r="E142" s="2745"/>
      <c r="F142" s="2745"/>
      <c r="G142" s="2749" t="str">
        <f>'1.1 Parents'!E30&amp;"-"&amp;'1.1 Parents'!F30</f>
        <v>05951-Portage</v>
      </c>
      <c r="H142" s="2745"/>
    </row>
    <row r="143" spans="1:12" s="865" customFormat="1">
      <c r="D143"/>
      <c r="E143" s="2746" t="str">
        <f>"HHD ADJUSTMENT: "&amp;$E$65</f>
        <v xml:space="preserve">HHD ADJUSTMENT: </v>
      </c>
      <c r="F143" s="785" t="s">
        <v>3916</v>
      </c>
      <c r="G143" s="785" t="s">
        <v>4143</v>
      </c>
      <c r="H143" s="785"/>
    </row>
    <row r="144" spans="1:12" s="865" customFormat="1">
      <c r="D144"/>
      <c r="E144" s="866" t="str">
        <f>$E$134</f>
        <v>Non-Govt (rev/tx &lt; $750)</v>
      </c>
      <c r="F144" s="785">
        <f>'1.2 EssPL'!G186</f>
        <v>-24</v>
      </c>
      <c r="G144" s="2747">
        <f>'1.2 EssPL'!G187</f>
        <v>457.80625000000009</v>
      </c>
      <c r="H144" s="785">
        <f>F144*G144</f>
        <v>-10987.350000000002</v>
      </c>
    </row>
    <row r="145" spans="4:12" s="865" customFormat="1">
      <c r="D145"/>
      <c r="E145" s="866" t="str">
        <f>$E$135</f>
        <v>Non-Govt (rev/tx &gt; $750)</v>
      </c>
      <c r="F145" s="2748">
        <f>'1.2 EssPL'!G188</f>
        <v>24</v>
      </c>
      <c r="G145" s="2747">
        <f>'1.2 EssPL'!G189</f>
        <v>771.56500000000005</v>
      </c>
      <c r="H145" s="2748">
        <f>F145*G145</f>
        <v>18517.560000000001</v>
      </c>
    </row>
    <row r="146" spans="4:12" s="865" customFormat="1">
      <c r="D146"/>
      <c r="E146" s="781"/>
      <c r="F146" s="785">
        <f>SUM(F144:F145)</f>
        <v>0</v>
      </c>
      <c r="G146" s="785">
        <f>IF(F146=0,0,H146/F146)</f>
        <v>0</v>
      </c>
      <c r="H146" s="785">
        <f>SUM(H144:H145)</f>
        <v>7530.2099999999991</v>
      </c>
    </row>
    <row r="147" spans="4:12" s="865" customFormat="1">
      <c r="D147"/>
      <c r="E147"/>
      <c r="F147"/>
      <c r="G147"/>
      <c r="H147"/>
    </row>
    <row r="148" spans="4:12" s="865" customFormat="1">
      <c r="D148"/>
      <c r="E148"/>
      <c r="F148"/>
      <c r="G148"/>
      <c r="H148"/>
    </row>
    <row r="149" spans="4:12" s="865" customFormat="1">
      <c r="D149"/>
      <c r="E149"/>
      <c r="F149"/>
      <c r="G149"/>
      <c r="H149"/>
    </row>
    <row r="150" spans="4:12" s="865" customFormat="1">
      <c r="D150"/>
      <c r="E150"/>
      <c r="F150"/>
      <c r="G150"/>
      <c r="H150"/>
    </row>
    <row r="151" spans="4:12" s="865" customFormat="1">
      <c r="D151"/>
      <c r="E151"/>
      <c r="F151"/>
      <c r="G151"/>
      <c r="H151"/>
    </row>
    <row r="152" spans="4:12" s="865" customFormat="1">
      <c r="D152"/>
      <c r="E152"/>
      <c r="F152"/>
      <c r="G152"/>
      <c r="H152"/>
    </row>
    <row r="153" spans="4:12" s="865" customFormat="1">
      <c r="D153"/>
      <c r="E153"/>
      <c r="F153"/>
      <c r="G153"/>
      <c r="H153"/>
    </row>
    <row r="154" spans="4:12" s="865" customFormat="1">
      <c r="D154"/>
      <c r="E154"/>
      <c r="F154"/>
      <c r="G154"/>
      <c r="H154"/>
    </row>
    <row r="155" spans="4:12" s="781" customFormat="1">
      <c r="D155"/>
      <c r="E155"/>
      <c r="F155"/>
      <c r="G155"/>
      <c r="H155"/>
      <c r="I155" s="933"/>
      <c r="K155" s="785"/>
      <c r="L155" s="785"/>
    </row>
  </sheetData>
  <mergeCells count="2">
    <mergeCell ref="M12:N12"/>
    <mergeCell ref="V43:W44"/>
  </mergeCells>
  <phoneticPr fontId="0" type="noConversion"/>
  <conditionalFormatting sqref="J28:L28 J19:L19 J37:L37">
    <cfRule type="expression" dxfId="99" priority="31" stopIfTrue="1">
      <formula>$M19="ON"</formula>
    </cfRule>
  </conditionalFormatting>
  <conditionalFormatting sqref="J26:L26 J17:L17 J35:L35">
    <cfRule type="expression" dxfId="98" priority="32" stopIfTrue="1">
      <formula>$M19="ON"</formula>
    </cfRule>
  </conditionalFormatting>
  <conditionalFormatting sqref="J30:L30 J21:L21 J39:L39">
    <cfRule type="expression" dxfId="97" priority="33" stopIfTrue="1">
      <formula>$M$28="ON"</formula>
    </cfRule>
  </conditionalFormatting>
  <conditionalFormatting sqref="F17 H17">
    <cfRule type="expression" dxfId="96" priority="37" stopIfTrue="1">
      <formula>$U$43="Integrated"</formula>
    </cfRule>
  </conditionalFormatting>
  <conditionalFormatting sqref="F26 H26 F35 H35">
    <cfRule type="expression" dxfId="95" priority="39" stopIfTrue="1">
      <formula>$U$43="Home Only"</formula>
    </cfRule>
  </conditionalFormatting>
  <conditionalFormatting sqref="U47">
    <cfRule type="expression" dxfId="94" priority="18" stopIfTrue="1">
      <formula>$U$43="Integrated"</formula>
    </cfRule>
  </conditionalFormatting>
  <conditionalFormatting sqref="U52">
    <cfRule type="expression" dxfId="93" priority="17" stopIfTrue="1">
      <formula>$U$43="Home Only"</formula>
    </cfRule>
  </conditionalFormatting>
  <conditionalFormatting sqref="U57">
    <cfRule type="expression" dxfId="92" priority="16" stopIfTrue="1">
      <formula>$U$43="Home Only"</formula>
    </cfRule>
  </conditionalFormatting>
  <conditionalFormatting sqref="U57">
    <cfRule type="expression" dxfId="91" priority="15" stopIfTrue="1">
      <formula>$U$43="Home Only"</formula>
    </cfRule>
  </conditionalFormatting>
  <conditionalFormatting sqref="V47">
    <cfRule type="expression" dxfId="90" priority="14" stopIfTrue="1">
      <formula>$U$43="Integrated"</formula>
    </cfRule>
  </conditionalFormatting>
  <conditionalFormatting sqref="V52">
    <cfRule type="expression" dxfId="89" priority="13" stopIfTrue="1">
      <formula>$U$43="Home Only"</formula>
    </cfRule>
  </conditionalFormatting>
  <conditionalFormatting sqref="V57">
    <cfRule type="expression" dxfId="88" priority="12" stopIfTrue="1">
      <formula>$U$43="Home Only"</formula>
    </cfRule>
  </conditionalFormatting>
  <conditionalFormatting sqref="U57">
    <cfRule type="expression" dxfId="87" priority="11" stopIfTrue="1">
      <formula>$U$43="Home Only"</formula>
    </cfRule>
  </conditionalFormatting>
  <conditionalFormatting sqref="J28:L28 J19:L19 J37:L37">
    <cfRule type="expression" dxfId="86" priority="10" stopIfTrue="1">
      <formula>$M19="ON"</formula>
    </cfRule>
  </conditionalFormatting>
  <conditionalFormatting sqref="J26:L26 J17:L17 J35:L35">
    <cfRule type="expression" dxfId="85" priority="9" stopIfTrue="1">
      <formula>$M19="ON"</formula>
    </cfRule>
  </conditionalFormatting>
  <conditionalFormatting sqref="J30:L30 J21:L21">
    <cfRule type="expression" dxfId="84" priority="8" stopIfTrue="1">
      <formula>$M$28="ON"</formula>
    </cfRule>
  </conditionalFormatting>
  <conditionalFormatting sqref="F17 H17">
    <cfRule type="expression" dxfId="83" priority="7" stopIfTrue="1">
      <formula>$U$43="Integrated"</formula>
    </cfRule>
  </conditionalFormatting>
  <conditionalFormatting sqref="F26 H26 F35 H35">
    <cfRule type="expression" dxfId="82" priority="6" stopIfTrue="1">
      <formula>$U$43="Home Only"</formula>
    </cfRule>
  </conditionalFormatting>
  <conditionalFormatting sqref="J28:L28 J19:L19 J37:L37">
    <cfRule type="expression" dxfId="81" priority="5" stopIfTrue="1">
      <formula>$M19="ON"</formula>
    </cfRule>
  </conditionalFormatting>
  <conditionalFormatting sqref="J26:L26 J17:L17 J35:L35">
    <cfRule type="expression" dxfId="80" priority="4" stopIfTrue="1">
      <formula>$M19="ON"</formula>
    </cfRule>
  </conditionalFormatting>
  <conditionalFormatting sqref="J30:L30 J21:L21">
    <cfRule type="expression" dxfId="79" priority="3" stopIfTrue="1">
      <formula>$M$28="ON"</formula>
    </cfRule>
  </conditionalFormatting>
  <conditionalFormatting sqref="F17 H17">
    <cfRule type="expression" dxfId="78" priority="2" stopIfTrue="1">
      <formula>$U$43="Integrated"</formula>
    </cfRule>
  </conditionalFormatting>
  <conditionalFormatting sqref="F26 H26 F35 H35">
    <cfRule type="expression" dxfId="77" priority="1" stopIfTrue="1">
      <formula>$U$43="Home Only"</formula>
    </cfRule>
  </conditionalFormatting>
  <dataValidations count="6">
    <dataValidation type="list" allowBlank="1" showInputMessage="1" showErrorMessage="1" sqref="U43">
      <formula1>$AC$1:$AE$1</formula1>
    </dataValidation>
    <dataValidation type="decimal" allowBlank="1" showInputMessage="1" showErrorMessage="1" errorTitle="Error" error="Please enter a value between 3.0 and 7.0" sqref="H29 I29:L31 I39:L40 H40 I21:L22 H27:L27 H31 H18:L18 H38:I38 H25:L25 H16:L16 K34:L34 H36:I36 K36:L36 H34:I34 K38:L38 H22 H20:L20 H48:L48 H46:L46 H53:L53 H51:L51 H56:L56 H58:L58">
      <formula1>3</formula1>
      <formula2>7</formula2>
    </dataValidation>
    <dataValidation allowBlank="1" showInputMessage="1" showErrorMessage="1" sqref="M37"/>
    <dataValidation allowBlank="1" showInputMessage="1" showErrorMessage="1" errorTitle="Error" error="Please enter a value between 3.0 and 7.0" sqref="H39 H30 H21"/>
    <dataValidation type="list" allowBlank="1" showInputMessage="1" showErrorMessage="1" sqref="U3">
      <formula1>$Z$1:$AA$1</formula1>
    </dataValidation>
    <dataValidation allowBlank="1" showInputMessage="1" showErrorMessage="1" sqref="M28"/>
  </dataValidations>
  <pageMargins left="0.5" right="0.5" top="0.75" bottom="0.75" header="0.5" footer="0.5"/>
  <pageSetup scale="60" fitToHeight="3" orientation="portrait" horizontalDpi="4294967292" verticalDpi="96" r:id="rId1"/>
  <headerFooter alignWithMargins="0">
    <oddHeader>&amp;F</oddHeader>
    <oddFooter>&amp;L&amp;A&amp;C&amp;P of &amp;N&amp;R&amp;D &amp;T</oddFooter>
  </headerFooter>
  <drawing r:id="rId2"/>
  <legacyDrawing r:id="rId3"/>
</worksheet>
</file>

<file path=xl/worksheets/sheet28.xml><?xml version="1.0" encoding="utf-8"?>
<worksheet xmlns="http://schemas.openxmlformats.org/spreadsheetml/2006/main" xmlns:r="http://schemas.openxmlformats.org/officeDocument/2006/relationships">
  <dimension ref="A1:L20"/>
  <sheetViews>
    <sheetView workbookViewId="0">
      <selection activeCell="F20" sqref="F20"/>
    </sheetView>
  </sheetViews>
  <sheetFormatPr defaultRowHeight="12.75"/>
  <cols>
    <col min="1" max="1" width="26.28515625" customWidth="1"/>
    <col min="2" max="2" width="23.42578125" bestFit="1" customWidth="1"/>
    <col min="6" max="6" width="12.85546875" bestFit="1" customWidth="1"/>
  </cols>
  <sheetData>
    <row r="1" spans="1:12">
      <c r="C1" s="1660" t="s">
        <v>898</v>
      </c>
      <c r="D1" s="1660" t="s">
        <v>899</v>
      </c>
      <c r="E1" s="1660" t="s">
        <v>4257</v>
      </c>
      <c r="F1" s="1660"/>
      <c r="G1" s="326" t="s">
        <v>1579</v>
      </c>
      <c r="H1" s="1660" t="s">
        <v>900</v>
      </c>
      <c r="I1" s="1660" t="s">
        <v>897</v>
      </c>
      <c r="J1" s="1660" t="s">
        <v>3632</v>
      </c>
      <c r="K1" s="1660"/>
      <c r="L1" s="1660"/>
    </row>
    <row r="2" spans="1:12">
      <c r="A2" s="1660"/>
      <c r="B2" s="1660"/>
      <c r="C2" s="1660" t="str">
        <f>'[4]1.2 OmniTot'!M4</f>
        <v>FY13</v>
      </c>
      <c r="D2" s="1660" t="str">
        <f>'[4]1.2 OmniTot'!N4</f>
        <v>FY13</v>
      </c>
      <c r="E2" s="1660" t="str">
        <f>'[4]1.2 OmniTot'!O4</f>
        <v>FY13</v>
      </c>
    </row>
    <row r="3" spans="1:12">
      <c r="C3" s="1660" t="str">
        <f>'[4]1.2 OmniTot'!M5</f>
        <v>Sep</v>
      </c>
      <c r="D3" s="1660" t="str">
        <f>'[4]1.2 OmniTot'!N5</f>
        <v>Oct</v>
      </c>
      <c r="E3" s="1660" t="str">
        <f>'[4]1.2 OmniTot'!O5</f>
        <v>Nov</v>
      </c>
    </row>
    <row r="5" spans="1:12">
      <c r="A5" s="1660" t="s">
        <v>4258</v>
      </c>
      <c r="B5" s="326" t="s">
        <v>2151</v>
      </c>
      <c r="C5">
        <v>86.822857142857146</v>
      </c>
      <c r="D5">
        <v>73.857142857142861</v>
      </c>
      <c r="E5">
        <v>68.714285714285722</v>
      </c>
      <c r="F5" s="105">
        <f>SUM(C5:E5)</f>
        <v>229.39428571428573</v>
      </c>
    </row>
    <row r="6" spans="1:12">
      <c r="B6" s="326" t="s">
        <v>1580</v>
      </c>
      <c r="C6">
        <v>289.93000000000757</v>
      </c>
      <c r="D6">
        <v>68567.570000000007</v>
      </c>
      <c r="E6">
        <v>50638.26</v>
      </c>
      <c r="F6" s="105">
        <f>SUM(C6:E6)</f>
        <v>119495.76000000001</v>
      </c>
    </row>
    <row r="7" spans="1:12">
      <c r="C7" s="3005">
        <f>C6/C5</f>
        <v>3.3393280242201739</v>
      </c>
      <c r="D7" s="3005">
        <f>D6/D5</f>
        <v>928.38102514506772</v>
      </c>
      <c r="E7" s="3005">
        <f>E6/E5</f>
        <v>736.93933471933462</v>
      </c>
      <c r="F7" s="3005">
        <f>F6/F5</f>
        <v>520.9186428856118</v>
      </c>
    </row>
    <row r="8" spans="1:12">
      <c r="F8" s="105"/>
    </row>
    <row r="9" spans="1:12">
      <c r="F9" s="105"/>
    </row>
    <row r="10" spans="1:12">
      <c r="F10" s="105"/>
    </row>
    <row r="11" spans="1:12">
      <c r="A11" s="1660" t="s">
        <v>4259</v>
      </c>
      <c r="B11" s="326" t="s">
        <v>2151</v>
      </c>
      <c r="C11">
        <v>1693.537142857143</v>
      </c>
      <c r="D11">
        <v>1878.8571428571429</v>
      </c>
      <c r="E11">
        <v>1565.1428571428571</v>
      </c>
      <c r="F11" s="105">
        <f>SUM(C11:E11)</f>
        <v>5137.5371428571425</v>
      </c>
    </row>
    <row r="12" spans="1:12">
      <c r="B12" s="326" t="s">
        <v>1580</v>
      </c>
      <c r="C12">
        <v>2400864.46</v>
      </c>
      <c r="D12">
        <v>1241564.5500000003</v>
      </c>
      <c r="E12">
        <v>1579758.4100000001</v>
      </c>
      <c r="F12" s="105">
        <f>SUM(C12:E12)</f>
        <v>5222187.42</v>
      </c>
    </row>
    <row r="13" spans="1:12">
      <c r="C13" s="3005">
        <f>C12/C11</f>
        <v>1417.6627126993712</v>
      </c>
      <c r="D13" s="3005">
        <f>D12/D11</f>
        <v>660.80838275547455</v>
      </c>
      <c r="E13" s="3005">
        <f>E12/E11</f>
        <v>1009.338158999635</v>
      </c>
      <c r="F13" s="3005">
        <f>F12/F11</f>
        <v>1016.4768204665048</v>
      </c>
    </row>
    <row r="18" spans="1:6">
      <c r="A18" s="1660" t="s">
        <v>4260</v>
      </c>
      <c r="B18" s="326" t="s">
        <v>2151</v>
      </c>
      <c r="D18">
        <v>60.857142857142861</v>
      </c>
      <c r="E18">
        <v>55.714285714285722</v>
      </c>
      <c r="F18" s="105">
        <f>SUM(C18:E18)</f>
        <v>116.57142857142858</v>
      </c>
    </row>
    <row r="19" spans="1:6">
      <c r="B19" s="326" t="s">
        <v>1580</v>
      </c>
      <c r="D19">
        <v>66746.430000000008</v>
      </c>
      <c r="E19">
        <v>47663.86</v>
      </c>
      <c r="F19" s="105">
        <f>SUM(C19:E19)</f>
        <v>114410.29000000001</v>
      </c>
    </row>
    <row r="20" spans="1:6">
      <c r="C20" s="3005"/>
      <c r="D20" s="3005">
        <f>D19/D18</f>
        <v>1096.7723239436621</v>
      </c>
      <c r="E20" s="3005">
        <f>E19/E18</f>
        <v>855.50517948717936</v>
      </c>
      <c r="F20" s="3005">
        <f>F19/F18</f>
        <v>981.46082107843131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sheetPr codeName="Sheet15" enableFormatConditionsCalculation="0">
    <tabColor indexed="48"/>
    <pageSetUpPr autoPageBreaks="0"/>
  </sheetPr>
  <dimension ref="A1:AG142"/>
  <sheetViews>
    <sheetView showGridLines="0" zoomScale="75" zoomScaleNormal="75" workbookViewId="0">
      <pane ySplit="7" topLeftCell="A8" activePane="bottomLeft" state="frozen"/>
      <selection pane="bottomLeft" activeCell="P38" sqref="P38"/>
    </sheetView>
  </sheetViews>
  <sheetFormatPr defaultRowHeight="12.75" outlineLevelCol="1"/>
  <cols>
    <col min="1" max="5" width="2.7109375" style="178" customWidth="1"/>
    <col min="6" max="6" width="20.7109375" style="178" customWidth="1"/>
    <col min="7" max="7" width="12.7109375" style="178" customWidth="1"/>
    <col min="8" max="11" width="5.7109375" style="178" customWidth="1" outlineLevel="1"/>
    <col min="12" max="16" width="5.7109375" style="178" customWidth="1"/>
    <col min="17" max="17" width="2.7109375" style="178" customWidth="1"/>
    <col min="18" max="21" width="12.7109375" style="178" hidden="1" customWidth="1" outlineLevel="1"/>
    <col min="22" max="22" width="12.7109375" style="178" customWidth="1" collapsed="1"/>
    <col min="23" max="26" width="12.7109375" style="178" customWidth="1"/>
    <col min="27" max="29" width="2.7109375" style="178" customWidth="1"/>
    <col min="30" max="30" width="9.140625" style="178"/>
    <col min="31" max="31" width="11.7109375" style="178" customWidth="1"/>
    <col min="32" max="33" width="9.140625" style="178"/>
    <col min="34" max="34" width="11.7109375" style="178" customWidth="1"/>
    <col min="35" max="16384" width="9.140625" style="178"/>
  </cols>
  <sheetData>
    <row r="1" spans="1:33" s="335" customFormat="1"/>
    <row r="2" spans="1:33" s="731" customFormat="1">
      <c r="A2" s="335"/>
      <c r="B2" s="730"/>
      <c r="C2" s="1472" t="s">
        <v>815</v>
      </c>
      <c r="D2" s="730"/>
      <c r="E2" s="730"/>
      <c r="F2" s="730"/>
      <c r="G2" s="730"/>
      <c r="H2" s="730"/>
      <c r="I2" s="730"/>
      <c r="J2" s="730"/>
      <c r="K2" s="730"/>
      <c r="L2" s="730"/>
      <c r="M2" s="730"/>
      <c r="N2" s="730"/>
      <c r="O2" s="730"/>
      <c r="P2" s="730"/>
      <c r="Q2" s="730"/>
      <c r="R2" s="730"/>
      <c r="S2" s="730"/>
      <c r="T2" s="730"/>
      <c r="U2" s="730"/>
      <c r="V2" s="730"/>
      <c r="W2" s="730"/>
      <c r="X2" s="730"/>
      <c r="Y2" s="730"/>
      <c r="Z2" s="730"/>
      <c r="AA2" s="730"/>
      <c r="AB2" s="730"/>
      <c r="AD2" s="737"/>
      <c r="AE2" s="737"/>
      <c r="AF2" s="737"/>
      <c r="AG2" s="277"/>
    </row>
    <row r="3" spans="1:33" s="731" customFormat="1">
      <c r="B3" s="730"/>
      <c r="C3" s="732"/>
      <c r="D3" s="732"/>
      <c r="E3" s="732"/>
      <c r="AB3" s="730"/>
      <c r="AD3" s="737"/>
      <c r="AE3" s="737"/>
      <c r="AF3" s="737"/>
      <c r="AG3" s="277"/>
    </row>
    <row r="4" spans="1:33">
      <c r="A4" s="731"/>
      <c r="B4" s="730"/>
      <c r="C4" s="732"/>
      <c r="D4" s="732"/>
      <c r="E4" s="718" t="str">
        <f>Type&amp;" Staffing Projections"</f>
        <v>DeNovo Staffing Projections</v>
      </c>
      <c r="F4" s="718"/>
      <c r="G4" s="720"/>
      <c r="H4" s="719"/>
      <c r="I4" s="719"/>
      <c r="J4" s="719"/>
      <c r="K4" s="719"/>
      <c r="L4" s="719"/>
      <c r="M4" s="719"/>
      <c r="N4" s="721"/>
      <c r="O4" s="721"/>
      <c r="P4" s="721"/>
      <c r="Q4" s="721"/>
      <c r="R4" s="721"/>
      <c r="S4" s="721"/>
      <c r="T4" s="721"/>
      <c r="U4" s="721"/>
      <c r="V4" s="721"/>
      <c r="W4" s="722"/>
      <c r="X4" s="722"/>
      <c r="Y4" s="722"/>
      <c r="Z4" s="722"/>
      <c r="AA4" s="722"/>
      <c r="AB4" s="337"/>
      <c r="AD4" s="737"/>
      <c r="AE4" s="737"/>
      <c r="AF4" s="737"/>
      <c r="AG4" s="277"/>
    </row>
    <row r="5" spans="1:33">
      <c r="B5" s="337"/>
      <c r="C5" s="276"/>
      <c r="D5" s="276"/>
      <c r="E5" s="276"/>
      <c r="F5" s="341"/>
      <c r="G5" s="274"/>
      <c r="H5" s="274"/>
      <c r="I5" s="274"/>
      <c r="J5" s="274"/>
      <c r="K5" s="274"/>
      <c r="L5" s="274"/>
      <c r="M5" s="274"/>
      <c r="N5" s="723"/>
      <c r="O5" s="723"/>
      <c r="P5" s="723"/>
      <c r="Q5" s="723"/>
      <c r="R5" s="723"/>
      <c r="S5" s="723"/>
      <c r="T5" s="723"/>
      <c r="U5" s="723"/>
      <c r="V5" s="723"/>
      <c r="AB5" s="337"/>
      <c r="AD5" s="737"/>
      <c r="AE5" s="737"/>
      <c r="AF5" s="737"/>
      <c r="AG5" s="277"/>
    </row>
    <row r="6" spans="1:33" s="274" customFormat="1">
      <c r="B6" s="336"/>
      <c r="C6" s="277"/>
      <c r="D6" s="277"/>
      <c r="E6" s="277"/>
      <c r="AB6" s="336"/>
      <c r="AC6" s="277"/>
      <c r="AD6" s="737"/>
      <c r="AE6" s="737"/>
      <c r="AF6" s="737"/>
      <c r="AG6" s="277"/>
    </row>
    <row r="7" spans="1:33" s="274" customFormat="1">
      <c r="B7" s="336"/>
      <c r="C7" s="277"/>
      <c r="D7" s="277"/>
      <c r="E7" s="277"/>
      <c r="AB7" s="336"/>
      <c r="AC7" s="277"/>
      <c r="AD7" s="737"/>
      <c r="AE7" s="737"/>
      <c r="AF7" s="737"/>
      <c r="AG7" s="277"/>
    </row>
    <row r="8" spans="1:33" s="274" customFormat="1">
      <c r="B8" s="336"/>
      <c r="C8" s="277"/>
      <c r="D8" s="277"/>
      <c r="E8" s="277"/>
      <c r="H8" s="2389" t="s">
        <v>4255</v>
      </c>
      <c r="AB8" s="336"/>
      <c r="AC8" s="277"/>
      <c r="AD8" s="737"/>
      <c r="AE8" s="737"/>
      <c r="AF8" s="737"/>
      <c r="AG8" s="277"/>
    </row>
    <row r="9" spans="1:33" s="274" customFormat="1">
      <c r="B9" s="336"/>
      <c r="C9" s="277"/>
      <c r="D9" s="341" t="s">
        <v>3134</v>
      </c>
      <c r="E9" s="335"/>
      <c r="H9" s="2389" t="s">
        <v>4256</v>
      </c>
      <c r="AB9" s="336"/>
      <c r="AC9" s="277"/>
      <c r="AD9" s="737"/>
      <c r="AE9" s="737"/>
      <c r="AF9" s="737"/>
      <c r="AG9" s="277"/>
    </row>
    <row r="10" spans="1:33" s="274" customFormat="1">
      <c r="B10" s="336"/>
      <c r="C10" s="277"/>
      <c r="D10" s="341"/>
      <c r="E10" s="335"/>
      <c r="AB10" s="336"/>
      <c r="AC10" s="277"/>
      <c r="AD10" s="737"/>
      <c r="AE10" s="737"/>
      <c r="AF10" s="737"/>
      <c r="AG10" s="277"/>
    </row>
    <row r="11" spans="1:33" s="274" customFormat="1">
      <c r="B11" s="336"/>
      <c r="C11" s="277"/>
      <c r="D11" s="277"/>
      <c r="E11" s="277"/>
      <c r="H11" s="739" t="s">
        <v>3131</v>
      </c>
      <c r="I11" s="739"/>
      <c r="J11" s="739"/>
      <c r="K11" s="739"/>
      <c r="L11" s="739" t="s">
        <v>3131</v>
      </c>
      <c r="M11" s="739"/>
      <c r="N11" s="739"/>
      <c r="O11" s="739"/>
      <c r="P11" s="739"/>
      <c r="R11" s="739"/>
      <c r="S11" s="739"/>
      <c r="T11" s="739"/>
      <c r="U11" s="739"/>
      <c r="V11" s="739" t="s">
        <v>3132</v>
      </c>
      <c r="W11" s="739"/>
      <c r="X11" s="739"/>
      <c r="Y11" s="739"/>
      <c r="Z11" s="739"/>
      <c r="AB11" s="336"/>
      <c r="AC11" s="277"/>
      <c r="AD11" s="737"/>
      <c r="AE11" s="737"/>
      <c r="AF11" s="737"/>
      <c r="AG11" s="277"/>
    </row>
    <row r="12" spans="1:33" s="274" customFormat="1">
      <c r="B12" s="336"/>
      <c r="C12" s="277"/>
      <c r="D12" s="277"/>
      <c r="E12" s="277"/>
      <c r="F12" s="335" t="s">
        <v>3217</v>
      </c>
      <c r="G12" s="2632">
        <v>0.03</v>
      </c>
      <c r="H12" s="747" t="s">
        <v>1090</v>
      </c>
      <c r="I12" s="747"/>
      <c r="J12" s="747"/>
      <c r="K12" s="747"/>
      <c r="R12" s="1314">
        <f>V13</f>
        <v>1</v>
      </c>
      <c r="S12" s="719"/>
      <c r="T12" s="719"/>
      <c r="U12" s="719"/>
      <c r="AB12" s="336"/>
      <c r="AC12" s="277"/>
    </row>
    <row r="13" spans="1:33" s="274" customFormat="1">
      <c r="B13" s="336"/>
      <c r="C13" s="277"/>
      <c r="D13" s="277"/>
      <c r="E13" s="277"/>
      <c r="F13" s="748" t="s">
        <v>2706</v>
      </c>
      <c r="G13" s="738" t="s">
        <v>3133</v>
      </c>
      <c r="H13" s="1201" t="s">
        <v>3117</v>
      </c>
      <c r="I13" s="1202" t="s">
        <v>3118</v>
      </c>
      <c r="J13" s="1202" t="s">
        <v>3119</v>
      </c>
      <c r="K13" s="1203" t="s">
        <v>3120</v>
      </c>
      <c r="L13" s="738" t="s">
        <v>3126</v>
      </c>
      <c r="M13" s="738" t="s">
        <v>3127</v>
      </c>
      <c r="N13" s="738" t="s">
        <v>3128</v>
      </c>
      <c r="O13" s="738" t="s">
        <v>3129</v>
      </c>
      <c r="P13" s="738" t="s">
        <v>3130</v>
      </c>
      <c r="Q13" s="748"/>
      <c r="R13" s="1315" t="s">
        <v>3117</v>
      </c>
      <c r="S13" s="1316" t="s">
        <v>3118</v>
      </c>
      <c r="T13" s="1316" t="s">
        <v>3119</v>
      </c>
      <c r="U13" s="1317" t="s">
        <v>3120</v>
      </c>
      <c r="V13" s="750">
        <v>1</v>
      </c>
      <c r="W13" s="750">
        <v>2</v>
      </c>
      <c r="X13" s="750">
        <v>3</v>
      </c>
      <c r="Y13" s="750">
        <v>4</v>
      </c>
      <c r="Z13" s="750">
        <v>5</v>
      </c>
      <c r="AB13" s="336"/>
      <c r="AC13" s="277"/>
    </row>
    <row r="14" spans="1:33">
      <c r="A14" s="274"/>
      <c r="B14" s="336"/>
      <c r="C14" s="277"/>
      <c r="D14" s="277"/>
      <c r="E14" s="277"/>
      <c r="F14" s="1186" t="str">
        <f>'1Tab_Input'!B71</f>
        <v>ADM</v>
      </c>
      <c r="G14" s="2462">
        <v>75000</v>
      </c>
      <c r="H14" s="2458">
        <v>1</v>
      </c>
      <c r="I14" s="2459">
        <f>H14</f>
        <v>1</v>
      </c>
      <c r="J14" s="2459">
        <f>I14</f>
        <v>1</v>
      </c>
      <c r="K14" s="2463">
        <f>J14</f>
        <v>1</v>
      </c>
      <c r="L14" s="2464">
        <f t="shared" ref="L14:L19" si="0">IF(SUM(H14:K14)&gt;0,AVERAGE(H14:K14),0)</f>
        <v>1</v>
      </c>
      <c r="M14" s="2459">
        <v>1</v>
      </c>
      <c r="N14" s="2459">
        <v>1.3</v>
      </c>
      <c r="O14" s="2459">
        <v>1.6</v>
      </c>
      <c r="P14" s="2459">
        <v>2</v>
      </c>
      <c r="Q14" s="1198"/>
      <c r="R14" s="1318">
        <f t="shared" ref="R14:S19" si="1">$G14*H14/4</f>
        <v>18750</v>
      </c>
      <c r="S14" s="1312">
        <f t="shared" si="1"/>
        <v>18750</v>
      </c>
      <c r="T14" s="1312">
        <f t="shared" ref="T14:T19" si="2">$G14*J14/4</f>
        <v>18750</v>
      </c>
      <c r="U14" s="1319">
        <f t="shared" ref="U14:U19" si="3">$G14*K14/4</f>
        <v>18750</v>
      </c>
      <c r="V14" s="1312">
        <f t="shared" ref="V14:V19" si="4">$G14*L14</f>
        <v>75000</v>
      </c>
      <c r="W14" s="1193">
        <f t="shared" ref="W14:Z19" si="5">$G14*M14*(1+$G$12)^(W$13-$V$13)</f>
        <v>77250</v>
      </c>
      <c r="X14" s="1193">
        <f t="shared" si="5"/>
        <v>103437.75</v>
      </c>
      <c r="Y14" s="1193">
        <f t="shared" si="5"/>
        <v>131127.24</v>
      </c>
      <c r="Z14" s="1193">
        <f t="shared" si="5"/>
        <v>168826.32149999999</v>
      </c>
      <c r="AB14" s="337"/>
      <c r="AC14" s="276"/>
    </row>
    <row r="15" spans="1:33">
      <c r="B15" s="337"/>
      <c r="C15" s="276"/>
      <c r="D15" s="276"/>
      <c r="E15" s="276"/>
      <c r="F15" s="1188" t="str">
        <f>'1Tab_Input'!B72</f>
        <v>MSW</v>
      </c>
      <c r="G15" s="2465">
        <v>55000</v>
      </c>
      <c r="H15" s="2458">
        <v>0.2</v>
      </c>
      <c r="I15" s="2459">
        <v>0.2</v>
      </c>
      <c r="J15" s="2459">
        <v>0.4</v>
      </c>
      <c r="K15" s="2463">
        <v>0.4</v>
      </c>
      <c r="L15" s="2464">
        <f t="shared" si="0"/>
        <v>0.30000000000000004</v>
      </c>
      <c r="M15" s="2459">
        <v>0.55000000000000004</v>
      </c>
      <c r="N15" s="2459">
        <v>0.8</v>
      </c>
      <c r="O15" s="2459">
        <v>1</v>
      </c>
      <c r="P15" s="2459">
        <v>0.95</v>
      </c>
      <c r="Q15" s="1198"/>
      <c r="R15" s="1320">
        <f t="shared" si="1"/>
        <v>2750</v>
      </c>
      <c r="S15" s="1194">
        <f t="shared" si="1"/>
        <v>2750</v>
      </c>
      <c r="T15" s="1194">
        <f t="shared" si="2"/>
        <v>5500</v>
      </c>
      <c r="U15" s="1321">
        <f t="shared" si="3"/>
        <v>5500</v>
      </c>
      <c r="V15" s="1194">
        <f t="shared" si="4"/>
        <v>16500.000000000004</v>
      </c>
      <c r="W15" s="1195">
        <f t="shared" si="5"/>
        <v>31157.500000000004</v>
      </c>
      <c r="X15" s="1195">
        <f t="shared" si="5"/>
        <v>46679.6</v>
      </c>
      <c r="Y15" s="1195">
        <f t="shared" si="5"/>
        <v>60099.985000000001</v>
      </c>
      <c r="Z15" s="1195">
        <f t="shared" si="5"/>
        <v>58807.835322499996</v>
      </c>
      <c r="AB15" s="337"/>
      <c r="AC15" s="276"/>
    </row>
    <row r="16" spans="1:33">
      <c r="B16" s="337"/>
      <c r="C16" s="276"/>
      <c r="D16" s="276"/>
      <c r="E16" s="276"/>
      <c r="F16" s="1188" t="str">
        <f>'1Tab_Input'!B73</f>
        <v>RD</v>
      </c>
      <c r="G16" s="2465">
        <v>55000</v>
      </c>
      <c r="H16" s="2458">
        <f>H15</f>
        <v>0.2</v>
      </c>
      <c r="I16" s="2459">
        <f>I15</f>
        <v>0.2</v>
      </c>
      <c r="J16" s="2459">
        <f>J15</f>
        <v>0.4</v>
      </c>
      <c r="K16" s="2463">
        <f>K15</f>
        <v>0.4</v>
      </c>
      <c r="L16" s="2464">
        <f t="shared" si="0"/>
        <v>0.30000000000000004</v>
      </c>
      <c r="M16" s="2459">
        <f>M15</f>
        <v>0.55000000000000004</v>
      </c>
      <c r="N16" s="2459">
        <v>0.8</v>
      </c>
      <c r="O16" s="2459">
        <v>1</v>
      </c>
      <c r="P16" s="2459">
        <f>P15</f>
        <v>0.95</v>
      </c>
      <c r="Q16" s="1198"/>
      <c r="R16" s="1320">
        <f t="shared" si="1"/>
        <v>2750</v>
      </c>
      <c r="S16" s="1194">
        <f t="shared" si="1"/>
        <v>2750</v>
      </c>
      <c r="T16" s="1194">
        <f t="shared" si="2"/>
        <v>5500</v>
      </c>
      <c r="U16" s="1321">
        <f t="shared" si="3"/>
        <v>5500</v>
      </c>
      <c r="V16" s="1194">
        <f t="shared" si="4"/>
        <v>16500.000000000004</v>
      </c>
      <c r="W16" s="1195">
        <f t="shared" si="5"/>
        <v>31157.500000000004</v>
      </c>
      <c r="X16" s="1195">
        <f t="shared" si="5"/>
        <v>46679.6</v>
      </c>
      <c r="Y16" s="1195">
        <f t="shared" si="5"/>
        <v>60099.985000000001</v>
      </c>
      <c r="Z16" s="1195">
        <f t="shared" si="5"/>
        <v>58807.835322499996</v>
      </c>
      <c r="AB16" s="337"/>
      <c r="AC16" s="276"/>
    </row>
    <row r="17" spans="1:29">
      <c r="B17" s="337"/>
      <c r="C17" s="276"/>
      <c r="D17" s="276"/>
      <c r="E17" s="276"/>
      <c r="F17" s="1188" t="str">
        <f>'1Tab_Input'!B74</f>
        <v>Adm. Asst.</v>
      </c>
      <c r="G17" s="2465">
        <v>32000</v>
      </c>
      <c r="H17" s="2458">
        <v>0.5</v>
      </c>
      <c r="I17" s="2459">
        <f t="shared" ref="I17:K19" si="6">H17</f>
        <v>0.5</v>
      </c>
      <c r="J17" s="2459">
        <f t="shared" si="6"/>
        <v>0.5</v>
      </c>
      <c r="K17" s="2463">
        <f t="shared" si="6"/>
        <v>0.5</v>
      </c>
      <c r="L17" s="2464">
        <f t="shared" si="0"/>
        <v>0.5</v>
      </c>
      <c r="M17" s="2459">
        <v>1</v>
      </c>
      <c r="N17" s="2459">
        <f>N25/60</f>
        <v>1.4</v>
      </c>
      <c r="O17" s="2459">
        <f>O25/60</f>
        <v>1.7166666666666666</v>
      </c>
      <c r="P17" s="2459">
        <f>P25/60</f>
        <v>1.9333333333333333</v>
      </c>
      <c r="Q17" s="1198"/>
      <c r="R17" s="1320">
        <f t="shared" si="1"/>
        <v>4000</v>
      </c>
      <c r="S17" s="1194">
        <f t="shared" si="1"/>
        <v>4000</v>
      </c>
      <c r="T17" s="1194">
        <f t="shared" si="2"/>
        <v>4000</v>
      </c>
      <c r="U17" s="1321">
        <f t="shared" si="3"/>
        <v>4000</v>
      </c>
      <c r="V17" s="1194">
        <f t="shared" si="4"/>
        <v>16000</v>
      </c>
      <c r="W17" s="1195">
        <f t="shared" si="5"/>
        <v>32960</v>
      </c>
      <c r="X17" s="1195">
        <f t="shared" si="5"/>
        <v>47528.32</v>
      </c>
      <c r="Y17" s="1195">
        <f t="shared" si="5"/>
        <v>60027.136533333331</v>
      </c>
      <c r="Z17" s="1195">
        <f t="shared" si="5"/>
        <v>69631.478378666652</v>
      </c>
      <c r="AB17" s="337"/>
      <c r="AC17" s="276"/>
    </row>
    <row r="18" spans="1:29">
      <c r="B18" s="337"/>
      <c r="C18" s="276"/>
      <c r="D18" s="276"/>
      <c r="E18" s="276"/>
      <c r="F18" s="1189" t="str">
        <f>'1Tab_Input'!B75</f>
        <v>Other</v>
      </c>
      <c r="G18" s="2465">
        <f>'1Tab_Input'!I75</f>
        <v>0</v>
      </c>
      <c r="H18" s="2458">
        <f>'1Tab_Input'!C75</f>
        <v>0</v>
      </c>
      <c r="I18" s="2459">
        <f t="shared" si="6"/>
        <v>0</v>
      </c>
      <c r="J18" s="2459">
        <f t="shared" si="6"/>
        <v>0</v>
      </c>
      <c r="K18" s="2463">
        <f t="shared" si="6"/>
        <v>0</v>
      </c>
      <c r="L18" s="2464">
        <f t="shared" si="0"/>
        <v>0</v>
      </c>
      <c r="M18" s="2459">
        <f>'1Tab_Input'!D75</f>
        <v>0</v>
      </c>
      <c r="N18" s="2459">
        <f>'1Tab_Input'!E75</f>
        <v>0</v>
      </c>
      <c r="O18" s="2459">
        <f>'1Tab_Input'!F75</f>
        <v>0</v>
      </c>
      <c r="P18" s="2459">
        <f>'1Tab_Input'!G75</f>
        <v>0</v>
      </c>
      <c r="Q18" s="1198"/>
      <c r="R18" s="1320">
        <f t="shared" si="1"/>
        <v>0</v>
      </c>
      <c r="S18" s="1194">
        <f t="shared" si="1"/>
        <v>0</v>
      </c>
      <c r="T18" s="1194">
        <f t="shared" si="2"/>
        <v>0</v>
      </c>
      <c r="U18" s="1321">
        <f t="shared" si="3"/>
        <v>0</v>
      </c>
      <c r="V18" s="1194">
        <f t="shared" si="4"/>
        <v>0</v>
      </c>
      <c r="W18" s="1195">
        <f t="shared" si="5"/>
        <v>0</v>
      </c>
      <c r="X18" s="1195">
        <f t="shared" si="5"/>
        <v>0</v>
      </c>
      <c r="Y18" s="1195">
        <f t="shared" si="5"/>
        <v>0</v>
      </c>
      <c r="Z18" s="1195">
        <f t="shared" si="5"/>
        <v>0</v>
      </c>
      <c r="AB18" s="337"/>
      <c r="AC18" s="276"/>
    </row>
    <row r="19" spans="1:29">
      <c r="B19" s="337"/>
      <c r="C19" s="276"/>
      <c r="D19" s="276"/>
      <c r="E19" s="276"/>
      <c r="F19" s="1190">
        <f>'1Tab_Input'!B76</f>
        <v>0</v>
      </c>
      <c r="G19" s="2546">
        <f>'1Tab_Input'!I76</f>
        <v>0</v>
      </c>
      <c r="H19" s="2490">
        <f>'1Tab_Input'!C76</f>
        <v>0</v>
      </c>
      <c r="I19" s="2466">
        <f t="shared" si="6"/>
        <v>0</v>
      </c>
      <c r="J19" s="2466">
        <f t="shared" si="6"/>
        <v>0</v>
      </c>
      <c r="K19" s="2467">
        <f t="shared" si="6"/>
        <v>0</v>
      </c>
      <c r="L19" s="2491">
        <f t="shared" si="0"/>
        <v>0</v>
      </c>
      <c r="M19" s="2466">
        <f>'1Tab_Input'!D76</f>
        <v>0</v>
      </c>
      <c r="N19" s="2466">
        <f>'1Tab_Input'!E76</f>
        <v>0</v>
      </c>
      <c r="O19" s="2466">
        <f>'1Tab_Input'!F76</f>
        <v>0</v>
      </c>
      <c r="P19" s="2466">
        <f>'1Tab_Input'!G76</f>
        <v>0</v>
      </c>
      <c r="Q19" s="1199"/>
      <c r="R19" s="1322">
        <f t="shared" si="1"/>
        <v>0</v>
      </c>
      <c r="S19" s="1196">
        <f t="shared" si="1"/>
        <v>0</v>
      </c>
      <c r="T19" s="1196">
        <f t="shared" si="2"/>
        <v>0</v>
      </c>
      <c r="U19" s="1323">
        <f t="shared" si="3"/>
        <v>0</v>
      </c>
      <c r="V19" s="1196">
        <f t="shared" si="4"/>
        <v>0</v>
      </c>
      <c r="W19" s="1197">
        <f t="shared" si="5"/>
        <v>0</v>
      </c>
      <c r="X19" s="1197">
        <f t="shared" si="5"/>
        <v>0</v>
      </c>
      <c r="Y19" s="1197">
        <f t="shared" si="5"/>
        <v>0</v>
      </c>
      <c r="Z19" s="1197">
        <f t="shared" si="5"/>
        <v>0</v>
      </c>
      <c r="AB19" s="337"/>
      <c r="AC19" s="276"/>
    </row>
    <row r="20" spans="1:29" s="276" customFormat="1">
      <c r="B20" s="337"/>
      <c r="F20" s="740"/>
      <c r="G20" s="741"/>
      <c r="H20" s="752"/>
      <c r="I20" s="752"/>
      <c r="J20" s="752"/>
      <c r="K20" s="752"/>
      <c r="L20" s="773"/>
      <c r="M20" s="752"/>
      <c r="N20" s="752"/>
      <c r="O20" s="752"/>
      <c r="P20" s="752"/>
      <c r="Q20" s="742"/>
      <c r="R20" s="755"/>
      <c r="S20" s="755"/>
      <c r="T20" s="755"/>
      <c r="U20" s="755"/>
      <c r="V20" s="755"/>
      <c r="W20" s="755"/>
      <c r="X20" s="755"/>
      <c r="Y20" s="755"/>
      <c r="Z20" s="755"/>
      <c r="AB20" s="337"/>
    </row>
    <row r="21" spans="1:29" s="274" customFormat="1">
      <c r="A21" s="178"/>
      <c r="B21" s="337"/>
      <c r="C21" s="276"/>
      <c r="D21" s="276"/>
      <c r="E21" s="276"/>
      <c r="F21" s="276" t="s">
        <v>3932</v>
      </c>
      <c r="H21" s="746">
        <f t="shared" ref="H21:O21" si="7">SUM(H14:H20)</f>
        <v>1.9</v>
      </c>
      <c r="I21" s="746">
        <f t="shared" si="7"/>
        <v>1.9</v>
      </c>
      <c r="J21" s="746">
        <f t="shared" si="7"/>
        <v>2.2999999999999998</v>
      </c>
      <c r="K21" s="746">
        <f t="shared" si="7"/>
        <v>2.2999999999999998</v>
      </c>
      <c r="L21" s="774">
        <f t="shared" si="7"/>
        <v>2.1</v>
      </c>
      <c r="M21" s="746">
        <f t="shared" si="7"/>
        <v>3.1</v>
      </c>
      <c r="N21" s="746">
        <f t="shared" si="7"/>
        <v>4.3000000000000007</v>
      </c>
      <c r="O21" s="746">
        <f t="shared" si="7"/>
        <v>5.3166666666666664</v>
      </c>
      <c r="P21" s="746">
        <f>SUM(P14:P20)</f>
        <v>5.8333333333333339</v>
      </c>
      <c r="R21" s="758">
        <f t="shared" ref="R21:Z21" si="8">SUM(R14:R19)</f>
        <v>28250</v>
      </c>
      <c r="S21" s="758">
        <f t="shared" si="8"/>
        <v>28250</v>
      </c>
      <c r="T21" s="758">
        <f t="shared" si="8"/>
        <v>33750</v>
      </c>
      <c r="U21" s="758">
        <f t="shared" si="8"/>
        <v>33750</v>
      </c>
      <c r="V21" s="758">
        <f t="shared" si="8"/>
        <v>124000</v>
      </c>
      <c r="W21" s="754">
        <f t="shared" si="8"/>
        <v>172525</v>
      </c>
      <c r="X21" s="754">
        <f t="shared" si="8"/>
        <v>244325.27000000002</v>
      </c>
      <c r="Y21" s="754">
        <f t="shared" si="8"/>
        <v>311354.3465333333</v>
      </c>
      <c r="Z21" s="754">
        <f t="shared" si="8"/>
        <v>356073.47052366659</v>
      </c>
      <c r="AB21" s="336"/>
      <c r="AC21" s="277"/>
    </row>
    <row r="22" spans="1:29" s="274" customFormat="1">
      <c r="B22" s="336"/>
      <c r="C22" s="277"/>
      <c r="D22" s="277"/>
      <c r="E22" s="277"/>
      <c r="F22" s="274" t="s">
        <v>3135</v>
      </c>
      <c r="G22" s="771">
        <f>'2.3 Expenses'!T33</f>
        <v>0.39</v>
      </c>
      <c r="M22" s="733"/>
      <c r="N22" s="733"/>
      <c r="R22" s="757">
        <f>R21*$G22</f>
        <v>11017.5</v>
      </c>
      <c r="S22" s="757">
        <f>S21*$G22</f>
        <v>11017.5</v>
      </c>
      <c r="T22" s="757">
        <f>T21*$G22</f>
        <v>13162.5</v>
      </c>
      <c r="U22" s="757">
        <f>U21*$G22</f>
        <v>13162.5</v>
      </c>
      <c r="V22" s="757">
        <f>V21*$G$22</f>
        <v>48360</v>
      </c>
      <c r="W22" s="757">
        <f>W21*$G$22</f>
        <v>67284.75</v>
      </c>
      <c r="X22" s="757">
        <f>X21*$G$22</f>
        <v>95286.85530000001</v>
      </c>
      <c r="Y22" s="757">
        <f>Y21*$G$22</f>
        <v>121428.19514799998</v>
      </c>
      <c r="Z22" s="757">
        <f>Z21*$G$22</f>
        <v>138868.65350422997</v>
      </c>
      <c r="AB22" s="336"/>
      <c r="AC22" s="277"/>
    </row>
    <row r="23" spans="1:29">
      <c r="B23" s="337"/>
      <c r="C23" s="276"/>
      <c r="D23" s="276"/>
      <c r="E23" s="276"/>
      <c r="F23" s="1695" t="s">
        <v>2501</v>
      </c>
      <c r="R23" s="754">
        <f t="shared" ref="R23:Z23" si="9">R21+R22</f>
        <v>39267.5</v>
      </c>
      <c r="S23" s="754">
        <f t="shared" si="9"/>
        <v>39267.5</v>
      </c>
      <c r="T23" s="754">
        <f t="shared" si="9"/>
        <v>46912.5</v>
      </c>
      <c r="U23" s="754">
        <f t="shared" si="9"/>
        <v>46912.5</v>
      </c>
      <c r="V23" s="754">
        <f t="shared" si="9"/>
        <v>172360</v>
      </c>
      <c r="W23" s="754">
        <f t="shared" si="9"/>
        <v>239809.75</v>
      </c>
      <c r="X23" s="754">
        <f t="shared" si="9"/>
        <v>339612.12530000001</v>
      </c>
      <c r="Y23" s="754">
        <f t="shared" si="9"/>
        <v>432782.54168133327</v>
      </c>
      <c r="Z23" s="754">
        <f t="shared" si="9"/>
        <v>494942.12402789656</v>
      </c>
      <c r="AB23" s="337"/>
      <c r="AC23" s="276"/>
    </row>
    <row r="24" spans="1:29">
      <c r="B24" s="337"/>
      <c r="C24" s="276"/>
      <c r="D24" s="276"/>
      <c r="E24" s="276"/>
      <c r="R24" s="753"/>
      <c r="S24" s="753"/>
      <c r="T24" s="753"/>
      <c r="U24" s="753"/>
      <c r="V24" s="753"/>
      <c r="W24" s="753"/>
      <c r="X24" s="753"/>
      <c r="Y24" s="753"/>
      <c r="Z24" s="753"/>
      <c r="AB24" s="337"/>
      <c r="AC24" s="276"/>
    </row>
    <row r="25" spans="1:29" s="274" customFormat="1">
      <c r="B25" s="336"/>
      <c r="C25" s="277"/>
      <c r="D25" s="277"/>
      <c r="E25" s="277"/>
      <c r="F25" s="277" t="s">
        <v>814</v>
      </c>
      <c r="G25" s="744"/>
      <c r="H25" s="743">
        <f t="shared" ref="H25:P25" si="10">H26+H27+H28</f>
        <v>11.25</v>
      </c>
      <c r="I25" s="743">
        <f t="shared" si="10"/>
        <v>19.5</v>
      </c>
      <c r="J25" s="743">
        <f t="shared" si="10"/>
        <v>27.75</v>
      </c>
      <c r="K25" s="743">
        <f t="shared" si="10"/>
        <v>36</v>
      </c>
      <c r="L25" s="743">
        <f t="shared" si="10"/>
        <v>36</v>
      </c>
      <c r="M25" s="743">
        <f t="shared" si="10"/>
        <v>65</v>
      </c>
      <c r="N25" s="743">
        <f t="shared" si="10"/>
        <v>84</v>
      </c>
      <c r="O25" s="743">
        <f t="shared" si="10"/>
        <v>103</v>
      </c>
      <c r="P25" s="743">
        <f t="shared" si="10"/>
        <v>116</v>
      </c>
      <c r="R25" s="611"/>
      <c r="S25" s="611"/>
      <c r="T25" s="611"/>
      <c r="U25" s="611"/>
      <c r="V25" s="611">
        <f>V26+V27+V28</f>
        <v>36</v>
      </c>
      <c r="W25" s="611">
        <f>W26+W27+W28</f>
        <v>65</v>
      </c>
      <c r="X25" s="611">
        <f>X26+X27+X28</f>
        <v>84</v>
      </c>
      <c r="Y25" s="611">
        <f>Y26+Y27+Y28</f>
        <v>103</v>
      </c>
      <c r="Z25" s="611">
        <f>Z26+Z27+Z28</f>
        <v>116</v>
      </c>
      <c r="AB25" s="336"/>
      <c r="AC25" s="277"/>
    </row>
    <row r="26" spans="1:29" s="274" customFormat="1">
      <c r="B26" s="336"/>
      <c r="C26" s="277"/>
      <c r="D26" s="277"/>
      <c r="E26" s="277"/>
      <c r="F26" s="2730" t="s">
        <v>4112</v>
      </c>
      <c r="G26" s="745"/>
      <c r="H26" s="724">
        <f t="shared" ref="H26:P26" si="11">H54</f>
        <v>7.25</v>
      </c>
      <c r="I26" s="724">
        <f t="shared" si="11"/>
        <v>13.5</v>
      </c>
      <c r="J26" s="724">
        <f t="shared" si="11"/>
        <v>19.75</v>
      </c>
      <c r="K26" s="724">
        <f t="shared" si="11"/>
        <v>26.000000000000004</v>
      </c>
      <c r="L26" s="724">
        <f t="shared" si="11"/>
        <v>26</v>
      </c>
      <c r="M26" s="724">
        <f t="shared" si="11"/>
        <v>46</v>
      </c>
      <c r="N26" s="724">
        <f t="shared" si="11"/>
        <v>59</v>
      </c>
      <c r="O26" s="724">
        <f t="shared" si="11"/>
        <v>72</v>
      </c>
      <c r="P26" s="724">
        <f t="shared" si="11"/>
        <v>81</v>
      </c>
      <c r="R26" s="779"/>
      <c r="S26" s="779"/>
      <c r="T26" s="779"/>
      <c r="U26" s="779"/>
      <c r="V26" s="779">
        <f>V54</f>
        <v>26</v>
      </c>
      <c r="W26" s="779">
        <f>W54</f>
        <v>46</v>
      </c>
      <c r="X26" s="779">
        <f>X54</f>
        <v>59</v>
      </c>
      <c r="Y26" s="779">
        <f>Y54</f>
        <v>72</v>
      </c>
      <c r="Z26" s="779">
        <f>Z54</f>
        <v>81</v>
      </c>
      <c r="AB26" s="336"/>
      <c r="AC26" s="277"/>
    </row>
    <row r="27" spans="1:29" s="274" customFormat="1">
      <c r="B27" s="336"/>
      <c r="C27" s="277"/>
      <c r="D27" s="277"/>
      <c r="E27" s="277"/>
      <c r="F27" s="277" t="s">
        <v>1375</v>
      </c>
      <c r="G27" s="745"/>
      <c r="H27" s="724">
        <f t="shared" ref="H27:P27" si="12">H77</f>
        <v>2.5</v>
      </c>
      <c r="I27" s="724">
        <f t="shared" si="12"/>
        <v>4</v>
      </c>
      <c r="J27" s="724">
        <f t="shared" si="12"/>
        <v>5.5</v>
      </c>
      <c r="K27" s="724">
        <f t="shared" si="12"/>
        <v>7</v>
      </c>
      <c r="L27" s="724">
        <f t="shared" si="12"/>
        <v>7</v>
      </c>
      <c r="M27" s="724">
        <f t="shared" si="12"/>
        <v>13</v>
      </c>
      <c r="N27" s="724">
        <f t="shared" si="12"/>
        <v>17</v>
      </c>
      <c r="O27" s="724">
        <f t="shared" si="12"/>
        <v>22</v>
      </c>
      <c r="P27" s="724">
        <f t="shared" si="12"/>
        <v>25</v>
      </c>
      <c r="R27" s="779"/>
      <c r="S27" s="779"/>
      <c r="T27" s="779"/>
      <c r="U27" s="779"/>
      <c r="V27" s="779">
        <f>V77</f>
        <v>7</v>
      </c>
      <c r="W27" s="779">
        <f>W77</f>
        <v>13</v>
      </c>
      <c r="X27" s="779">
        <f>X77</f>
        <v>17</v>
      </c>
      <c r="Y27" s="779">
        <f>Y77</f>
        <v>22</v>
      </c>
      <c r="Z27" s="779">
        <f>Z77</f>
        <v>25</v>
      </c>
      <c r="AB27" s="336"/>
      <c r="AC27" s="277"/>
    </row>
    <row r="28" spans="1:29" s="274" customFormat="1">
      <c r="B28" s="336"/>
      <c r="C28" s="277"/>
      <c r="D28" s="277"/>
      <c r="E28" s="277"/>
      <c r="F28" s="277" t="s">
        <v>1376</v>
      </c>
      <c r="G28" s="745"/>
      <c r="H28" s="724">
        <f t="shared" ref="H28:P28" si="13">H99</f>
        <v>1.5</v>
      </c>
      <c r="I28" s="724">
        <f t="shared" si="13"/>
        <v>2</v>
      </c>
      <c r="J28" s="724">
        <f t="shared" si="13"/>
        <v>2.5</v>
      </c>
      <c r="K28" s="724">
        <f t="shared" si="13"/>
        <v>3</v>
      </c>
      <c r="L28" s="724">
        <f t="shared" si="13"/>
        <v>3</v>
      </c>
      <c r="M28" s="724">
        <f t="shared" si="13"/>
        <v>6</v>
      </c>
      <c r="N28" s="724">
        <f t="shared" si="13"/>
        <v>8</v>
      </c>
      <c r="O28" s="724">
        <f t="shared" si="13"/>
        <v>9</v>
      </c>
      <c r="P28" s="724">
        <f t="shared" si="13"/>
        <v>10</v>
      </c>
      <c r="R28" s="779"/>
      <c r="S28" s="779"/>
      <c r="T28" s="779"/>
      <c r="U28" s="779"/>
      <c r="V28" s="779">
        <f>V99</f>
        <v>3</v>
      </c>
      <c r="W28" s="779">
        <f>W99</f>
        <v>6</v>
      </c>
      <c r="X28" s="779">
        <f>X99</f>
        <v>8</v>
      </c>
      <c r="Y28" s="779">
        <f>Y99</f>
        <v>9</v>
      </c>
      <c r="Z28" s="779">
        <f>Z99</f>
        <v>10</v>
      </c>
      <c r="AB28" s="336"/>
      <c r="AC28" s="277"/>
    </row>
    <row r="29" spans="1:29" s="274" customFormat="1">
      <c r="B29" s="336"/>
      <c r="C29" s="277"/>
      <c r="D29" s="277"/>
      <c r="E29" s="277"/>
      <c r="F29" s="277"/>
      <c r="G29" s="277"/>
      <c r="H29" s="277"/>
      <c r="I29" s="277"/>
      <c r="J29" s="277"/>
      <c r="K29" s="277"/>
      <c r="L29" s="277"/>
      <c r="M29" s="277"/>
      <c r="N29" s="277"/>
      <c r="O29" s="277"/>
      <c r="P29" s="277"/>
      <c r="R29" s="340"/>
      <c r="S29" s="340"/>
      <c r="T29" s="340"/>
      <c r="U29" s="340"/>
      <c r="V29" s="340"/>
      <c r="AB29" s="336"/>
      <c r="AC29" s="277"/>
    </row>
    <row r="30" spans="1:29">
      <c r="B30" s="337"/>
      <c r="C30" s="276"/>
      <c r="D30" s="276"/>
      <c r="E30" s="276"/>
      <c r="F30" s="178" t="s">
        <v>53</v>
      </c>
      <c r="R30" s="725"/>
      <c r="S30" s="725"/>
      <c r="T30" s="725"/>
      <c r="U30" s="725"/>
      <c r="V30" s="725">
        <f>IF(V136=0,0,V133/V136)</f>
        <v>2.993436180442326</v>
      </c>
      <c r="W30" s="725">
        <f>IF(W136=0,0,W133/W136)</f>
        <v>1.9993495266950823</v>
      </c>
      <c r="X30" s="725">
        <f>IF(X136=0,0,X133/X136)</f>
        <v>1.8038825753868677</v>
      </c>
      <c r="Y30" s="725">
        <f>IF(Y136=0,0,Y133/Y136)</f>
        <v>1.7099866407293696</v>
      </c>
      <c r="Z30" s="725">
        <f>IF(Z136=0,0,Z133/Z136)</f>
        <v>1.6477261298952064</v>
      </c>
      <c r="AB30" s="337"/>
      <c r="AC30" s="276"/>
    </row>
    <row r="31" spans="1:29">
      <c r="B31" s="337"/>
      <c r="C31" s="276"/>
      <c r="D31" s="276"/>
      <c r="E31" s="276"/>
      <c r="F31" s="178" t="s">
        <v>54</v>
      </c>
      <c r="R31" s="725"/>
      <c r="S31" s="725"/>
      <c r="T31" s="725"/>
      <c r="U31" s="725"/>
      <c r="V31" s="725">
        <f>IF(V136=0,0,V134/V136)</f>
        <v>1.4047410008779631</v>
      </c>
      <c r="W31" s="725">
        <f>IF(W136=0,0,W134/W136)</f>
        <v>0.84903884010339115</v>
      </c>
      <c r="X31" s="725">
        <f>IF(X136=0,0,X134/X136)</f>
        <v>0.80798907022536803</v>
      </c>
      <c r="Y31" s="725">
        <f>IF(Y136=0,0,Y134/Y136)</f>
        <v>0.79749376957992524</v>
      </c>
      <c r="Z31" s="725">
        <f>IF(Z136=0,0,Z134/Z136)</f>
        <v>0.7509168560720344</v>
      </c>
      <c r="AB31" s="337"/>
      <c r="AC31" s="276"/>
    </row>
    <row r="32" spans="1:29">
      <c r="B32" s="337"/>
      <c r="C32" s="276"/>
      <c r="D32" s="276"/>
      <c r="E32" s="276"/>
      <c r="F32" s="178" t="s">
        <v>55</v>
      </c>
      <c r="R32" s="726"/>
      <c r="S32" s="726"/>
      <c r="T32" s="726"/>
      <c r="U32" s="726"/>
      <c r="V32" s="726">
        <f>IF(V136=0,0,V135/V136)</f>
        <v>4.398177181320289</v>
      </c>
      <c r="W32" s="726">
        <f>IF(W136=0,0,W135/W136)</f>
        <v>2.8483883667984733</v>
      </c>
      <c r="X32" s="726">
        <f>IF(X136=0,0,X135/X136)</f>
        <v>2.6118716456122355</v>
      </c>
      <c r="Y32" s="726">
        <f>IF(Y136=0,0,Y135/Y136)</f>
        <v>2.5074804103092947</v>
      </c>
      <c r="Z32" s="726">
        <f>IF(Z136=0,0,Z135/Z136)</f>
        <v>2.3986429859672409</v>
      </c>
      <c r="AB32" s="337"/>
      <c r="AC32" s="276"/>
    </row>
    <row r="33" spans="1:29" collapsed="1">
      <c r="B33" s="337"/>
      <c r="C33" s="276"/>
      <c r="D33" s="276"/>
      <c r="E33" s="276"/>
      <c r="AB33" s="337"/>
      <c r="AC33" s="276"/>
    </row>
    <row r="34" spans="1:29">
      <c r="B34" s="337"/>
      <c r="AB34" s="337"/>
    </row>
    <row r="35" spans="1:29" s="274" customFormat="1">
      <c r="B35" s="336"/>
      <c r="D35" s="341" t="s">
        <v>2965</v>
      </c>
      <c r="E35" s="335"/>
      <c r="AB35" s="336"/>
    </row>
    <row r="36" spans="1:29" s="274" customFormat="1">
      <c r="B36" s="336"/>
      <c r="E36" s="335"/>
      <c r="AB36" s="336"/>
    </row>
    <row r="37" spans="1:29" s="274" customFormat="1">
      <c r="B37" s="336"/>
      <c r="E37" s="341" t="s">
        <v>4110</v>
      </c>
      <c r="AB37" s="336"/>
    </row>
    <row r="38" spans="1:29" s="274" customFormat="1">
      <c r="B38" s="336"/>
      <c r="E38" s="335"/>
      <c r="AB38" s="336"/>
    </row>
    <row r="39" spans="1:29" s="274" customFormat="1">
      <c r="B39" s="336"/>
      <c r="E39" s="335"/>
      <c r="H39" s="739" t="s">
        <v>3131</v>
      </c>
      <c r="I39" s="739"/>
      <c r="J39" s="739"/>
      <c r="K39" s="739"/>
      <c r="L39" s="739" t="s">
        <v>3131</v>
      </c>
      <c r="M39" s="739"/>
      <c r="N39" s="739"/>
      <c r="O39" s="739"/>
      <c r="P39" s="739"/>
      <c r="R39" s="739"/>
      <c r="S39" s="739"/>
      <c r="T39" s="739"/>
      <c r="U39" s="739"/>
      <c r="V39" s="739" t="s">
        <v>3132</v>
      </c>
      <c r="W39" s="739"/>
      <c r="X39" s="739"/>
      <c r="Y39" s="739"/>
      <c r="Z39" s="739"/>
      <c r="AB39" s="336"/>
    </row>
    <row r="40" spans="1:29">
      <c r="A40" s="274"/>
      <c r="B40" s="336"/>
      <c r="C40" s="277"/>
      <c r="D40" s="277"/>
      <c r="E40" s="277"/>
      <c r="F40" s="335" t="s">
        <v>3217</v>
      </c>
      <c r="G40" s="751">
        <f>G12</f>
        <v>0.03</v>
      </c>
      <c r="H40" s="747" t="s">
        <v>1090</v>
      </c>
      <c r="I40" s="747"/>
      <c r="J40" s="747"/>
      <c r="K40" s="747"/>
      <c r="L40" s="274"/>
      <c r="M40" s="274"/>
      <c r="N40" s="274"/>
      <c r="O40" s="274"/>
      <c r="P40" s="274"/>
      <c r="Q40" s="723"/>
      <c r="R40" s="1314">
        <f>V41</f>
        <v>1</v>
      </c>
      <c r="S40" s="719"/>
      <c r="T40" s="719"/>
      <c r="U40" s="719"/>
      <c r="V40" s="274"/>
      <c r="W40" s="274"/>
      <c r="X40" s="274"/>
      <c r="Y40" s="274"/>
      <c r="Z40" s="274"/>
      <c r="AB40" s="337"/>
    </row>
    <row r="41" spans="1:29" s="274" customFormat="1">
      <c r="B41" s="336"/>
      <c r="C41" s="277"/>
      <c r="D41" s="277"/>
      <c r="E41" s="277"/>
      <c r="F41" s="748" t="s">
        <v>2706</v>
      </c>
      <c r="G41" s="738" t="s">
        <v>3133</v>
      </c>
      <c r="H41" s="1201" t="s">
        <v>3117</v>
      </c>
      <c r="I41" s="1202" t="s">
        <v>3118</v>
      </c>
      <c r="J41" s="1202" t="s">
        <v>3119</v>
      </c>
      <c r="K41" s="1203" t="s">
        <v>3120</v>
      </c>
      <c r="L41" s="738" t="s">
        <v>3126</v>
      </c>
      <c r="M41" s="738" t="s">
        <v>3127</v>
      </c>
      <c r="N41" s="738" t="s">
        <v>3128</v>
      </c>
      <c r="O41" s="738" t="s">
        <v>3129</v>
      </c>
      <c r="P41" s="738" t="s">
        <v>3130</v>
      </c>
      <c r="Q41" s="748"/>
      <c r="R41" s="1315" t="s">
        <v>3117</v>
      </c>
      <c r="S41" s="1316" t="s">
        <v>3118</v>
      </c>
      <c r="T41" s="1316" t="s">
        <v>3119</v>
      </c>
      <c r="U41" s="1317" t="s">
        <v>3120</v>
      </c>
      <c r="V41" s="750">
        <v>1</v>
      </c>
      <c r="W41" s="750">
        <v>2</v>
      </c>
      <c r="X41" s="750">
        <v>3</v>
      </c>
      <c r="Y41" s="750">
        <v>4</v>
      </c>
      <c r="Z41" s="750">
        <v>5</v>
      </c>
      <c r="AA41" s="255"/>
      <c r="AB41" s="336"/>
    </row>
    <row r="42" spans="1:29">
      <c r="A42" s="274"/>
      <c r="B42" s="336"/>
      <c r="C42" s="277"/>
      <c r="D42" s="277"/>
      <c r="E42" s="277"/>
      <c r="F42" s="1204" t="str">
        <f>'1Tab_Input'!B80</f>
        <v>RN</v>
      </c>
      <c r="G42" s="2462">
        <v>65000</v>
      </c>
      <c r="H42" s="2458">
        <v>1</v>
      </c>
      <c r="I42" s="2459">
        <v>1</v>
      </c>
      <c r="J42" s="2459">
        <v>1</v>
      </c>
      <c r="K42" s="2463">
        <v>1</v>
      </c>
      <c r="L42" s="2464">
        <f t="shared" ref="L42:L48" si="14">IF(SUM(H42:K42)&gt;0,AVERAGE(H42:K42),0)</f>
        <v>1</v>
      </c>
      <c r="M42" s="2459">
        <v>1.5</v>
      </c>
      <c r="N42" s="2459">
        <v>2</v>
      </c>
      <c r="O42" s="2459">
        <v>2.4</v>
      </c>
      <c r="P42" s="2459">
        <v>2.7</v>
      </c>
      <c r="Q42" s="1198"/>
      <c r="R42" s="1318">
        <f t="shared" ref="R42:S48" si="15">$G42*H42/4</f>
        <v>16250</v>
      </c>
      <c r="S42" s="1312">
        <f t="shared" si="15"/>
        <v>16250</v>
      </c>
      <c r="T42" s="1312">
        <f t="shared" ref="T42:T48" si="16">$G42*J42/4</f>
        <v>16250</v>
      </c>
      <c r="U42" s="1319">
        <f t="shared" ref="U42:U48" si="17">$G42*K42/4</f>
        <v>16250</v>
      </c>
      <c r="V42" s="1312">
        <f t="shared" ref="V42:V48" si="18">$G42*L42</f>
        <v>65000</v>
      </c>
      <c r="W42" s="1193">
        <f t="shared" ref="W42:Z48" si="19">$G42*M42*(1+$G$40)^(W$13-$V$13)</f>
        <v>100425</v>
      </c>
      <c r="X42" s="1193">
        <f t="shared" si="19"/>
        <v>137917</v>
      </c>
      <c r="Y42" s="1193">
        <f t="shared" si="19"/>
        <v>170465.41200000001</v>
      </c>
      <c r="Z42" s="1193">
        <f t="shared" si="19"/>
        <v>197526.79615499999</v>
      </c>
      <c r="AA42" s="343"/>
      <c r="AB42" s="337"/>
    </row>
    <row r="43" spans="1:29">
      <c r="B43" s="337"/>
      <c r="C43" s="276"/>
      <c r="D43" s="276"/>
      <c r="E43" s="276"/>
      <c r="F43" s="1204" t="str">
        <f>'1Tab_Input'!B81</f>
        <v>PCT</v>
      </c>
      <c r="G43" s="2465">
        <v>32000</v>
      </c>
      <c r="H43" s="2458">
        <v>1.5</v>
      </c>
      <c r="I43" s="2459">
        <v>1.5</v>
      </c>
      <c r="J43" s="2459">
        <v>2</v>
      </c>
      <c r="K43" s="2463">
        <v>2.5</v>
      </c>
      <c r="L43" s="2464">
        <f t="shared" si="14"/>
        <v>1.875</v>
      </c>
      <c r="M43" s="2459">
        <v>4</v>
      </c>
      <c r="N43" s="2459">
        <v>5.5</v>
      </c>
      <c r="O43" s="2459">
        <v>6.5</v>
      </c>
      <c r="P43" s="2459">
        <v>7.3</v>
      </c>
      <c r="Q43" s="1198"/>
      <c r="R43" s="1320">
        <f t="shared" si="15"/>
        <v>12000</v>
      </c>
      <c r="S43" s="1194">
        <f t="shared" si="15"/>
        <v>12000</v>
      </c>
      <c r="T43" s="1194">
        <f t="shared" si="16"/>
        <v>16000</v>
      </c>
      <c r="U43" s="1321">
        <f t="shared" si="17"/>
        <v>20000</v>
      </c>
      <c r="V43" s="1194">
        <f t="shared" si="18"/>
        <v>60000</v>
      </c>
      <c r="W43" s="1195">
        <f t="shared" si="19"/>
        <v>131840</v>
      </c>
      <c r="X43" s="1195">
        <f t="shared" si="19"/>
        <v>186718.4</v>
      </c>
      <c r="Y43" s="1195">
        <f t="shared" si="19"/>
        <v>227287.21600000001</v>
      </c>
      <c r="Z43" s="1195">
        <f t="shared" si="19"/>
        <v>262918.85801599995</v>
      </c>
      <c r="AA43" s="338"/>
      <c r="AB43" s="337"/>
    </row>
    <row r="44" spans="1:29">
      <c r="B44" s="337"/>
      <c r="C44" s="276"/>
      <c r="D44" s="276"/>
      <c r="E44" s="276"/>
      <c r="F44" s="1204" t="str">
        <f>'1Tab_Input'!B82</f>
        <v>LVN</v>
      </c>
      <c r="G44" s="2465">
        <f>'1Tab_Input'!I82</f>
        <v>0</v>
      </c>
      <c r="H44" s="2458">
        <f>'1Tab_Input'!C82</f>
        <v>0</v>
      </c>
      <c r="I44" s="2459">
        <f t="shared" ref="I44:K48" si="20">H44</f>
        <v>0</v>
      </c>
      <c r="J44" s="2459">
        <f t="shared" si="20"/>
        <v>0</v>
      </c>
      <c r="K44" s="2463">
        <f t="shared" si="20"/>
        <v>0</v>
      </c>
      <c r="L44" s="2464">
        <f t="shared" si="14"/>
        <v>0</v>
      </c>
      <c r="M44" s="2459">
        <f>'1Tab_Input'!D82</f>
        <v>0</v>
      </c>
      <c r="N44" s="2459">
        <f>'1Tab_Input'!E82</f>
        <v>0</v>
      </c>
      <c r="O44" s="2459">
        <f>'1Tab_Input'!F82</f>
        <v>0</v>
      </c>
      <c r="P44" s="2459">
        <f>'1Tab_Input'!G82</f>
        <v>0</v>
      </c>
      <c r="Q44" s="1198"/>
      <c r="R44" s="1320">
        <f t="shared" si="15"/>
        <v>0</v>
      </c>
      <c r="S44" s="1194">
        <f t="shared" si="15"/>
        <v>0</v>
      </c>
      <c r="T44" s="1194">
        <f t="shared" si="16"/>
        <v>0</v>
      </c>
      <c r="U44" s="1321">
        <f t="shared" si="17"/>
        <v>0</v>
      </c>
      <c r="V44" s="1194">
        <f t="shared" si="18"/>
        <v>0</v>
      </c>
      <c r="W44" s="1195">
        <f t="shared" si="19"/>
        <v>0</v>
      </c>
      <c r="X44" s="1195">
        <f t="shared" si="19"/>
        <v>0</v>
      </c>
      <c r="Y44" s="1195">
        <f t="shared" si="19"/>
        <v>0</v>
      </c>
      <c r="Z44" s="1195">
        <f t="shared" si="19"/>
        <v>0</v>
      </c>
      <c r="AA44" s="338"/>
      <c r="AB44" s="337"/>
    </row>
    <row r="45" spans="1:29">
      <c r="B45" s="337"/>
      <c r="C45" s="276"/>
      <c r="D45" s="276"/>
      <c r="E45" s="276"/>
      <c r="F45" s="1204" t="str">
        <f>'1Tab_Input'!B83</f>
        <v>RT</v>
      </c>
      <c r="G45" s="2465">
        <f>'1Tab_Input'!I83</f>
        <v>0</v>
      </c>
      <c r="H45" s="2458">
        <f>'1Tab_Input'!C83</f>
        <v>0</v>
      </c>
      <c r="I45" s="2459">
        <f t="shared" si="20"/>
        <v>0</v>
      </c>
      <c r="J45" s="2459">
        <f t="shared" si="20"/>
        <v>0</v>
      </c>
      <c r="K45" s="2463">
        <f t="shared" si="20"/>
        <v>0</v>
      </c>
      <c r="L45" s="2464">
        <f t="shared" si="14"/>
        <v>0</v>
      </c>
      <c r="M45" s="2459">
        <f>'1Tab_Input'!D83</f>
        <v>0</v>
      </c>
      <c r="N45" s="2459">
        <f>'1Tab_Input'!E83</f>
        <v>0</v>
      </c>
      <c r="O45" s="2459">
        <f>'1Tab_Input'!F83</f>
        <v>0</v>
      </c>
      <c r="P45" s="2459">
        <f>'1Tab_Input'!G83</f>
        <v>0</v>
      </c>
      <c r="Q45" s="1198"/>
      <c r="R45" s="1320">
        <f t="shared" si="15"/>
        <v>0</v>
      </c>
      <c r="S45" s="1194">
        <f t="shared" si="15"/>
        <v>0</v>
      </c>
      <c r="T45" s="1194">
        <f t="shared" si="16"/>
        <v>0</v>
      </c>
      <c r="U45" s="1321">
        <f t="shared" si="17"/>
        <v>0</v>
      </c>
      <c r="V45" s="1194">
        <f t="shared" si="18"/>
        <v>0</v>
      </c>
      <c r="W45" s="1195">
        <f t="shared" si="19"/>
        <v>0</v>
      </c>
      <c r="X45" s="1195">
        <f t="shared" si="19"/>
        <v>0</v>
      </c>
      <c r="Y45" s="1195">
        <f t="shared" si="19"/>
        <v>0</v>
      </c>
      <c r="Z45" s="1195">
        <f t="shared" si="19"/>
        <v>0</v>
      </c>
      <c r="AA45" s="338"/>
      <c r="AB45" s="337"/>
    </row>
    <row r="46" spans="1:29">
      <c r="B46" s="337"/>
      <c r="C46" s="276"/>
      <c r="D46" s="276"/>
      <c r="E46" s="276"/>
      <c r="F46" s="1204" t="str">
        <f>'1Tab_Input'!B84</f>
        <v>Biomed. Tech.</v>
      </c>
      <c r="G46" s="2465">
        <v>45000</v>
      </c>
      <c r="H46" s="2458">
        <v>0.6</v>
      </c>
      <c r="I46" s="2459">
        <f t="shared" si="20"/>
        <v>0.6</v>
      </c>
      <c r="J46" s="2459">
        <f t="shared" si="20"/>
        <v>0.6</v>
      </c>
      <c r="K46" s="2463">
        <f t="shared" si="20"/>
        <v>0.6</v>
      </c>
      <c r="L46" s="2464">
        <f t="shared" si="14"/>
        <v>0.6</v>
      </c>
      <c r="M46" s="2459">
        <v>0.6</v>
      </c>
      <c r="N46" s="2459">
        <v>0.6</v>
      </c>
      <c r="O46" s="2459">
        <v>0.6</v>
      </c>
      <c r="P46" s="2459">
        <v>0.6</v>
      </c>
      <c r="Q46" s="1198"/>
      <c r="R46" s="1320">
        <f t="shared" si="15"/>
        <v>6750</v>
      </c>
      <c r="S46" s="1194">
        <f t="shared" si="15"/>
        <v>6750</v>
      </c>
      <c r="T46" s="1194">
        <f t="shared" si="16"/>
        <v>6750</v>
      </c>
      <c r="U46" s="1321">
        <f t="shared" si="17"/>
        <v>6750</v>
      </c>
      <c r="V46" s="1194">
        <f t="shared" si="18"/>
        <v>27000</v>
      </c>
      <c r="W46" s="1195">
        <f t="shared" si="19"/>
        <v>27810</v>
      </c>
      <c r="X46" s="1195">
        <f t="shared" si="19"/>
        <v>28644.3</v>
      </c>
      <c r="Y46" s="1195">
        <f t="shared" si="19"/>
        <v>29503.629000000001</v>
      </c>
      <c r="Z46" s="1195">
        <f t="shared" si="19"/>
        <v>30388.737869999997</v>
      </c>
      <c r="AA46" s="338"/>
      <c r="AB46" s="337"/>
    </row>
    <row r="47" spans="1:29">
      <c r="B47" s="337"/>
      <c r="C47" s="276"/>
      <c r="D47" s="276"/>
      <c r="E47" s="276"/>
      <c r="F47" s="1189" t="str">
        <f>'1Tab_Input'!B85</f>
        <v>Other</v>
      </c>
      <c r="G47" s="2465">
        <f>'1Tab_Input'!I85</f>
        <v>0</v>
      </c>
      <c r="H47" s="2458">
        <f>'1Tab_Input'!C85</f>
        <v>0</v>
      </c>
      <c r="I47" s="2459">
        <f t="shared" si="20"/>
        <v>0</v>
      </c>
      <c r="J47" s="2459">
        <f t="shared" si="20"/>
        <v>0</v>
      </c>
      <c r="K47" s="2463">
        <f t="shared" si="20"/>
        <v>0</v>
      </c>
      <c r="L47" s="2464">
        <f t="shared" si="14"/>
        <v>0</v>
      </c>
      <c r="M47" s="2459">
        <f>'1Tab_Input'!D85</f>
        <v>0</v>
      </c>
      <c r="N47" s="2459">
        <f>'1Tab_Input'!E85</f>
        <v>0</v>
      </c>
      <c r="O47" s="2459">
        <f>'1Tab_Input'!F85</f>
        <v>0</v>
      </c>
      <c r="P47" s="2459">
        <f>'1Tab_Input'!G85</f>
        <v>0</v>
      </c>
      <c r="Q47" s="1198"/>
      <c r="R47" s="1320">
        <f t="shared" si="15"/>
        <v>0</v>
      </c>
      <c r="S47" s="1194">
        <f t="shared" si="15"/>
        <v>0</v>
      </c>
      <c r="T47" s="1194">
        <f t="shared" si="16"/>
        <v>0</v>
      </c>
      <c r="U47" s="1321">
        <f t="shared" si="17"/>
        <v>0</v>
      </c>
      <c r="V47" s="1194">
        <f t="shared" si="18"/>
        <v>0</v>
      </c>
      <c r="W47" s="1195">
        <f t="shared" si="19"/>
        <v>0</v>
      </c>
      <c r="X47" s="1195">
        <f t="shared" si="19"/>
        <v>0</v>
      </c>
      <c r="Y47" s="1195">
        <f t="shared" si="19"/>
        <v>0</v>
      </c>
      <c r="Z47" s="1195">
        <f t="shared" si="19"/>
        <v>0</v>
      </c>
      <c r="AA47" s="338"/>
      <c r="AB47" s="337"/>
    </row>
    <row r="48" spans="1:29">
      <c r="B48" s="337"/>
      <c r="C48" s="276"/>
      <c r="D48" s="276"/>
      <c r="E48" s="276"/>
      <c r="F48" s="1189">
        <f>'1Tab_Input'!B86</f>
        <v>0</v>
      </c>
      <c r="G48" s="2465">
        <f>'1Tab_Input'!I86</f>
        <v>0</v>
      </c>
      <c r="H48" s="2458">
        <f>'1Tab_Input'!C86</f>
        <v>0</v>
      </c>
      <c r="I48" s="2466">
        <f t="shared" si="20"/>
        <v>0</v>
      </c>
      <c r="J48" s="2466">
        <f t="shared" si="20"/>
        <v>0</v>
      </c>
      <c r="K48" s="2467">
        <f t="shared" si="20"/>
        <v>0</v>
      </c>
      <c r="L48" s="2464">
        <f t="shared" si="14"/>
        <v>0</v>
      </c>
      <c r="M48" s="2459">
        <f>'1Tab_Input'!D86</f>
        <v>0</v>
      </c>
      <c r="N48" s="2459">
        <f>'1Tab_Input'!E86</f>
        <v>0</v>
      </c>
      <c r="O48" s="2459">
        <f>'1Tab_Input'!F86</f>
        <v>0</v>
      </c>
      <c r="P48" s="2459">
        <f>'1Tab_Input'!G86</f>
        <v>0</v>
      </c>
      <c r="Q48" s="1198"/>
      <c r="R48" s="1322">
        <f t="shared" si="15"/>
        <v>0</v>
      </c>
      <c r="S48" s="1196">
        <f t="shared" si="15"/>
        <v>0</v>
      </c>
      <c r="T48" s="1196">
        <f t="shared" si="16"/>
        <v>0</v>
      </c>
      <c r="U48" s="1323">
        <f t="shared" si="17"/>
        <v>0</v>
      </c>
      <c r="V48" s="1194">
        <f t="shared" si="18"/>
        <v>0</v>
      </c>
      <c r="W48" s="1195">
        <f t="shared" si="19"/>
        <v>0</v>
      </c>
      <c r="X48" s="1195">
        <f t="shared" si="19"/>
        <v>0</v>
      </c>
      <c r="Y48" s="1195">
        <f t="shared" si="19"/>
        <v>0</v>
      </c>
      <c r="Z48" s="1195">
        <f t="shared" si="19"/>
        <v>0</v>
      </c>
      <c r="AB48" s="337"/>
      <c r="AC48" s="276"/>
    </row>
    <row r="49" spans="1:31" s="276" customFormat="1">
      <c r="B49" s="337"/>
      <c r="E49" s="744"/>
      <c r="F49" s="761"/>
      <c r="G49" s="762"/>
      <c r="H49" s="763"/>
      <c r="I49" s="763"/>
      <c r="J49" s="763"/>
      <c r="K49" s="763"/>
      <c r="L49" s="762"/>
      <c r="M49" s="763"/>
      <c r="N49" s="763"/>
      <c r="O49" s="763"/>
      <c r="P49" s="763"/>
      <c r="Q49" s="764"/>
      <c r="R49" s="755"/>
      <c r="S49" s="755"/>
      <c r="T49" s="755"/>
      <c r="U49" s="755"/>
      <c r="V49" s="755"/>
      <c r="W49" s="755"/>
      <c r="X49" s="755"/>
      <c r="Y49" s="755"/>
      <c r="Z49" s="755"/>
      <c r="AB49" s="337"/>
    </row>
    <row r="50" spans="1:31" s="274" customFormat="1">
      <c r="A50" s="178"/>
      <c r="B50" s="337"/>
      <c r="C50" s="276"/>
      <c r="D50" s="276"/>
      <c r="E50" s="744"/>
      <c r="F50" s="765" t="s">
        <v>3932</v>
      </c>
      <c r="G50" s="766"/>
      <c r="H50" s="746">
        <f t="shared" ref="H50:P50" si="21">SUM(H42:H49)</f>
        <v>3.1</v>
      </c>
      <c r="I50" s="746">
        <f t="shared" si="21"/>
        <v>3.1</v>
      </c>
      <c r="J50" s="746">
        <f t="shared" si="21"/>
        <v>3.6</v>
      </c>
      <c r="K50" s="746">
        <f t="shared" si="21"/>
        <v>4.0999999999999996</v>
      </c>
      <c r="L50" s="774">
        <f t="shared" si="21"/>
        <v>3.4750000000000001</v>
      </c>
      <c r="M50" s="746">
        <f t="shared" si="21"/>
        <v>6.1</v>
      </c>
      <c r="N50" s="746">
        <f t="shared" si="21"/>
        <v>8.1</v>
      </c>
      <c r="O50" s="746">
        <f t="shared" si="21"/>
        <v>9.5</v>
      </c>
      <c r="P50" s="746">
        <f t="shared" si="21"/>
        <v>10.6</v>
      </c>
      <c r="Q50" s="767"/>
      <c r="R50" s="758">
        <f t="shared" ref="R50:Z50" si="22">SUM(R42:R48)</f>
        <v>35000</v>
      </c>
      <c r="S50" s="758">
        <f t="shared" si="22"/>
        <v>35000</v>
      </c>
      <c r="T50" s="758">
        <f t="shared" si="22"/>
        <v>39000</v>
      </c>
      <c r="U50" s="758">
        <f t="shared" si="22"/>
        <v>43000</v>
      </c>
      <c r="V50" s="758">
        <f t="shared" si="22"/>
        <v>152000</v>
      </c>
      <c r="W50" s="754">
        <f t="shared" si="22"/>
        <v>260075</v>
      </c>
      <c r="X50" s="754">
        <f t="shared" si="22"/>
        <v>353279.7</v>
      </c>
      <c r="Y50" s="754">
        <f t="shared" si="22"/>
        <v>427256.25700000004</v>
      </c>
      <c r="Z50" s="754">
        <f t="shared" si="22"/>
        <v>490834.39204099996</v>
      </c>
      <c r="AB50" s="336"/>
      <c r="AC50" s="277"/>
    </row>
    <row r="51" spans="1:31">
      <c r="B51" s="337"/>
      <c r="C51" s="276"/>
      <c r="D51" s="276"/>
      <c r="E51" s="276"/>
      <c r="F51" s="706" t="s">
        <v>2966</v>
      </c>
      <c r="G51" s="771">
        <f>G22</f>
        <v>0.39</v>
      </c>
      <c r="H51" s="706"/>
      <c r="I51" s="706"/>
      <c r="J51" s="706"/>
      <c r="K51" s="706"/>
      <c r="L51" s="706"/>
      <c r="M51" s="706"/>
      <c r="N51" s="706"/>
      <c r="O51" s="706"/>
      <c r="P51" s="706"/>
      <c r="Q51" s="768"/>
      <c r="R51" s="757">
        <f>R50*$G51</f>
        <v>13650</v>
      </c>
      <c r="S51" s="757">
        <f>S50*$G51</f>
        <v>13650</v>
      </c>
      <c r="T51" s="757">
        <f>T50*$G51</f>
        <v>15210</v>
      </c>
      <c r="U51" s="757">
        <f>U50*$G51</f>
        <v>16770</v>
      </c>
      <c r="V51" s="759">
        <f>V50*$G$51</f>
        <v>59280</v>
      </c>
      <c r="W51" s="759">
        <f>W50*$G$51</f>
        <v>101429.25</v>
      </c>
      <c r="X51" s="759">
        <f>X50*$G$51</f>
        <v>137779.08300000001</v>
      </c>
      <c r="Y51" s="759">
        <f>Y50*$G$51</f>
        <v>166629.94023000001</v>
      </c>
      <c r="Z51" s="759">
        <f>Z50*$G$51</f>
        <v>191425.41289598998</v>
      </c>
      <c r="AA51" s="342"/>
      <c r="AB51" s="337"/>
    </row>
    <row r="52" spans="1:31">
      <c r="B52" s="337"/>
      <c r="C52" s="276"/>
      <c r="D52" s="276"/>
      <c r="E52" s="276"/>
      <c r="F52" s="1695" t="s">
        <v>2501</v>
      </c>
      <c r="G52" s="768"/>
      <c r="H52" s="768"/>
      <c r="I52" s="768"/>
      <c r="J52" s="768"/>
      <c r="K52" s="768"/>
      <c r="L52" s="768"/>
      <c r="M52" s="768"/>
      <c r="N52" s="768"/>
      <c r="O52" s="768"/>
      <c r="P52" s="768"/>
      <c r="Q52" s="768"/>
      <c r="R52" s="754">
        <f t="shared" ref="R52:Z52" si="23">R50+R51</f>
        <v>48650</v>
      </c>
      <c r="S52" s="754">
        <f t="shared" si="23"/>
        <v>48650</v>
      </c>
      <c r="T52" s="754">
        <f t="shared" si="23"/>
        <v>54210</v>
      </c>
      <c r="U52" s="754">
        <f t="shared" si="23"/>
        <v>59770</v>
      </c>
      <c r="V52" s="754">
        <f t="shared" si="23"/>
        <v>211280</v>
      </c>
      <c r="W52" s="754">
        <f t="shared" si="23"/>
        <v>361504.25</v>
      </c>
      <c r="X52" s="754">
        <f t="shared" si="23"/>
        <v>491058.78300000005</v>
      </c>
      <c r="Y52" s="754">
        <f t="shared" si="23"/>
        <v>593886.19723000005</v>
      </c>
      <c r="Z52" s="754">
        <f t="shared" si="23"/>
        <v>682259.80493698991</v>
      </c>
      <c r="AA52" s="343"/>
      <c r="AB52" s="337"/>
    </row>
    <row r="53" spans="1:31" s="274" customFormat="1">
      <c r="A53" s="178"/>
      <c r="B53" s="337"/>
      <c r="C53" s="276"/>
      <c r="D53" s="276"/>
      <c r="E53" s="276"/>
      <c r="F53" s="706"/>
      <c r="G53" s="767"/>
      <c r="H53" s="767"/>
      <c r="I53" s="767"/>
      <c r="J53" s="767"/>
      <c r="K53" s="767"/>
      <c r="L53" s="767"/>
      <c r="M53" s="767"/>
      <c r="N53" s="767"/>
      <c r="O53" s="767"/>
      <c r="P53" s="767"/>
      <c r="Q53" s="767"/>
      <c r="R53" s="756"/>
      <c r="S53" s="756"/>
      <c r="T53" s="756"/>
      <c r="U53" s="756"/>
      <c r="V53" s="756"/>
      <c r="W53" s="756"/>
      <c r="X53" s="756"/>
      <c r="Y53" s="756"/>
      <c r="Z53" s="756"/>
      <c r="AB53" s="336"/>
      <c r="AC53" s="277"/>
    </row>
    <row r="54" spans="1:31">
      <c r="B54" s="337"/>
      <c r="C54" s="276"/>
      <c r="D54" s="276"/>
      <c r="E54" s="276"/>
      <c r="F54" s="2731" t="s">
        <v>4113</v>
      </c>
      <c r="G54" s="769"/>
      <c r="H54" s="727">
        <f>'2.0 Patients'!T74+'2.0 Patients'!T76</f>
        <v>7.25</v>
      </c>
      <c r="I54" s="727">
        <f>'2.0 Patients'!W74+'2.0 Patients'!W76</f>
        <v>13.5</v>
      </c>
      <c r="J54" s="727">
        <f>'2.0 Patients'!Z74+'2.0 Patients'!Z76</f>
        <v>19.75</v>
      </c>
      <c r="K54" s="727">
        <f>'2.0 Patients'!AC74+'2.0 Patients'!AC76</f>
        <v>26.000000000000004</v>
      </c>
      <c r="L54" s="727">
        <f>'2.0 Patients'!I74+'2.0 Patients'!I76</f>
        <v>26</v>
      </c>
      <c r="M54" s="727">
        <f>'2.0 Patients'!J74+'2.0 Patients'!J76</f>
        <v>46</v>
      </c>
      <c r="N54" s="727">
        <f>'2.0 Patients'!K74+'2.0 Patients'!K76</f>
        <v>59</v>
      </c>
      <c r="O54" s="727">
        <f>'2.0 Patients'!L74+'2.0 Patients'!L76</f>
        <v>72</v>
      </c>
      <c r="P54" s="727">
        <f>'2.0 Patients'!M74+'2.0 Patients'!M76</f>
        <v>81</v>
      </c>
      <c r="Q54" s="768"/>
      <c r="R54" s="749"/>
      <c r="S54" s="749"/>
      <c r="T54" s="749"/>
      <c r="U54" s="749"/>
      <c r="V54" s="749">
        <f>'2.0 Patients'!I74+'2.0 Patients'!I76</f>
        <v>26</v>
      </c>
      <c r="W54" s="749">
        <f>'2.0 Patients'!J74+'2.0 Patients'!J76</f>
        <v>46</v>
      </c>
      <c r="X54" s="749">
        <f>'2.0 Patients'!K74+'2.0 Patients'!K76</f>
        <v>59</v>
      </c>
      <c r="Y54" s="749">
        <f>'2.0 Patients'!L74+'2.0 Patients'!L76</f>
        <v>72</v>
      </c>
      <c r="Z54" s="749">
        <f>'2.0 Patients'!M74+'2.0 Patients'!M76</f>
        <v>81</v>
      </c>
      <c r="AA54" s="338"/>
      <c r="AB54" s="337"/>
    </row>
    <row r="55" spans="1:31">
      <c r="B55" s="337"/>
      <c r="C55" s="276"/>
      <c r="D55" s="276"/>
      <c r="E55" s="276"/>
      <c r="F55" s="768" t="s">
        <v>3529</v>
      </c>
      <c r="G55" s="768"/>
      <c r="H55" s="768"/>
      <c r="I55" s="768"/>
      <c r="J55" s="768"/>
      <c r="K55" s="768"/>
      <c r="L55" s="768"/>
      <c r="M55" s="768"/>
      <c r="N55" s="768"/>
      <c r="O55" s="768"/>
      <c r="P55" s="768"/>
      <c r="Q55" s="768"/>
      <c r="R55" s="749"/>
      <c r="S55" s="749"/>
      <c r="T55" s="749"/>
      <c r="U55" s="749"/>
      <c r="V55" s="749">
        <f>'5. Financials'!I14+'5. Financials'!I22</f>
        <v>2087.0200000000004</v>
      </c>
      <c r="W55" s="749">
        <f>'5. Financials'!J14+'5. Financials'!J22</f>
        <v>5286.32</v>
      </c>
      <c r="X55" s="749">
        <f>'5. Financials'!K14+'5. Financials'!K22</f>
        <v>7612.54</v>
      </c>
      <c r="Y55" s="749">
        <f>'5. Financials'!L14+'5. Financials'!L22</f>
        <v>9478.2999999999993</v>
      </c>
      <c r="Z55" s="749">
        <f>'5. Financials'!M14+'5. Financials'!M22</f>
        <v>11033.100000000002</v>
      </c>
      <c r="AA55" s="338"/>
      <c r="AB55" s="337"/>
      <c r="AD55" s="772">
        <v>40</v>
      </c>
      <c r="AE55" s="767" t="s">
        <v>3917</v>
      </c>
    </row>
    <row r="56" spans="1:31">
      <c r="B56" s="337"/>
      <c r="C56" s="276"/>
      <c r="D56" s="276"/>
      <c r="E56" s="276"/>
      <c r="F56" s="706" t="s">
        <v>3919</v>
      </c>
      <c r="G56" s="706"/>
      <c r="H56" s="706"/>
      <c r="I56" s="706"/>
      <c r="J56" s="706"/>
      <c r="K56" s="706"/>
      <c r="L56" s="706"/>
      <c r="M56" s="706"/>
      <c r="N56" s="706"/>
      <c r="O56" s="706"/>
      <c r="P56" s="770"/>
      <c r="Q56" s="767"/>
      <c r="R56" s="728"/>
      <c r="S56" s="728"/>
      <c r="T56" s="728"/>
      <c r="U56" s="728"/>
      <c r="V56" s="1788">
        <f>IF(V55=0,0,((SUM(L42:L44)*(($AD55/$AD$56)*52)/V55)/0.48))</f>
        <v>1.6581768014432765</v>
      </c>
      <c r="W56" s="1788">
        <f>IF(W55=0,0,((SUM(M42:M44)*(($AD55/$AD$56)*52)/W55)/0.48))</f>
        <v>1.2523589889318789</v>
      </c>
      <c r="X56" s="1788">
        <f>IF(X55=0,0,((SUM(N42:N44)*(($AD55/$AD$56)*52)/X55)/0.48))</f>
        <v>1.1859087476424135</v>
      </c>
      <c r="Y56" s="1788">
        <f>IF(Y55=0,0,((SUM(O42:O44)*(($AD55/$AD$56)*52)/Y55)/0.48))</f>
        <v>1.1302620684049844</v>
      </c>
      <c r="Z56" s="1788">
        <f>IF(Z55=0,0,((SUM(P42:P44)*(($AD55/$AD$56)*52)/Z55)/0.48))</f>
        <v>1.0909931965664259</v>
      </c>
      <c r="AA56" s="342"/>
      <c r="AB56" s="337"/>
      <c r="AD56" s="1713">
        <v>3.6</v>
      </c>
      <c r="AE56" s="768" t="s">
        <v>3915</v>
      </c>
    </row>
    <row r="57" spans="1:31">
      <c r="B57" s="337"/>
      <c r="C57" s="276"/>
      <c r="D57" s="276"/>
      <c r="E57" s="276"/>
      <c r="F57" s="768" t="s">
        <v>106</v>
      </c>
      <c r="G57" s="768"/>
      <c r="H57" s="768"/>
      <c r="I57" s="768"/>
      <c r="J57" s="768"/>
      <c r="K57" s="768"/>
      <c r="L57" s="768"/>
      <c r="M57" s="768"/>
      <c r="N57" s="768"/>
      <c r="O57" s="768"/>
      <c r="P57" s="768"/>
      <c r="Q57" s="768"/>
      <c r="R57" s="754"/>
      <c r="S57" s="754"/>
      <c r="T57" s="754"/>
      <c r="U57" s="754"/>
      <c r="V57" s="754">
        <f>IF(V55=0,0,V52/V55)</f>
        <v>101.23525409435462</v>
      </c>
      <c r="W57" s="754">
        <f>IF(W55=0,0,W52/W55)</f>
        <v>68.384859410705374</v>
      </c>
      <c r="X57" s="754">
        <f>IF(X55=0,0,X52/X55)</f>
        <v>64.50656193596356</v>
      </c>
      <c r="Y57" s="754">
        <f>IF(Y55=0,0,Y52/Y55)</f>
        <v>62.657459378791565</v>
      </c>
      <c r="Z57" s="754">
        <f>IF(Z55=0,0,Z52/Z55)</f>
        <v>61.837543839627102</v>
      </c>
      <c r="AA57" s="344"/>
      <c r="AB57" s="337"/>
    </row>
    <row r="58" spans="1:31">
      <c r="B58" s="337"/>
      <c r="C58" s="276"/>
      <c r="D58" s="276"/>
      <c r="E58" s="276"/>
      <c r="F58" s="768"/>
      <c r="G58" s="768"/>
      <c r="H58" s="768"/>
      <c r="I58" s="768"/>
      <c r="J58" s="768"/>
      <c r="K58" s="768"/>
      <c r="L58" s="768"/>
      <c r="M58" s="768"/>
      <c r="N58" s="768"/>
      <c r="O58" s="768"/>
      <c r="P58" s="768"/>
      <c r="Q58" s="768"/>
      <c r="R58" s="344"/>
      <c r="S58" s="344"/>
      <c r="T58" s="344"/>
      <c r="U58" s="344"/>
      <c r="V58" s="344"/>
      <c r="W58" s="344"/>
      <c r="X58" s="344"/>
      <c r="Y58" s="344"/>
      <c r="Z58" s="344"/>
      <c r="AA58" s="344"/>
      <c r="AB58" s="337"/>
    </row>
    <row r="59" spans="1:31">
      <c r="B59" s="337"/>
      <c r="C59" s="276"/>
      <c r="D59" s="276"/>
      <c r="E59" s="276"/>
      <c r="F59" s="768"/>
      <c r="G59" s="768"/>
      <c r="H59" s="768"/>
      <c r="I59" s="768"/>
      <c r="J59" s="768"/>
      <c r="K59" s="768"/>
      <c r="L59" s="768"/>
      <c r="M59" s="768"/>
      <c r="N59" s="768"/>
      <c r="O59" s="768"/>
      <c r="P59" s="768"/>
      <c r="Q59" s="768"/>
      <c r="AB59" s="337"/>
    </row>
    <row r="60" spans="1:31" s="274" customFormat="1">
      <c r="A60" s="178"/>
      <c r="B60" s="337"/>
      <c r="C60" s="276"/>
      <c r="D60" s="276"/>
      <c r="E60" s="341" t="s">
        <v>1749</v>
      </c>
      <c r="AB60" s="336"/>
    </row>
    <row r="61" spans="1:31" s="274" customFormat="1">
      <c r="A61" s="178"/>
      <c r="B61" s="337"/>
      <c r="C61" s="276"/>
      <c r="D61" s="276"/>
      <c r="E61" s="335"/>
      <c r="AB61" s="336"/>
    </row>
    <row r="62" spans="1:31" s="274" customFormat="1">
      <c r="A62" s="178"/>
      <c r="B62" s="337"/>
      <c r="C62" s="276"/>
      <c r="D62" s="276"/>
      <c r="E62" s="335"/>
      <c r="H62" s="739" t="s">
        <v>3131</v>
      </c>
      <c r="I62" s="739"/>
      <c r="J62" s="739"/>
      <c r="K62" s="739"/>
      <c r="L62" s="739" t="s">
        <v>3131</v>
      </c>
      <c r="M62" s="739"/>
      <c r="N62" s="739"/>
      <c r="O62" s="739"/>
      <c r="P62" s="739"/>
      <c r="R62" s="739"/>
      <c r="S62" s="739"/>
      <c r="T62" s="739"/>
      <c r="U62" s="739"/>
      <c r="V62" s="739" t="s">
        <v>3132</v>
      </c>
      <c r="W62" s="739"/>
      <c r="X62" s="739"/>
      <c r="Y62" s="739"/>
      <c r="Z62" s="739"/>
      <c r="AB62" s="336"/>
    </row>
    <row r="63" spans="1:31" s="274" customFormat="1">
      <c r="B63" s="336"/>
      <c r="C63" s="277"/>
      <c r="D63" s="277"/>
      <c r="E63" s="277"/>
      <c r="F63" s="335" t="s">
        <v>3217</v>
      </c>
      <c r="G63" s="751">
        <f>G12</f>
        <v>0.03</v>
      </c>
      <c r="H63" s="747" t="s">
        <v>1090</v>
      </c>
      <c r="I63" s="747"/>
      <c r="J63" s="747"/>
      <c r="K63" s="747"/>
      <c r="Q63" s="723"/>
      <c r="R63" s="1314">
        <f>V64</f>
        <v>1</v>
      </c>
      <c r="S63" s="719"/>
      <c r="T63" s="719"/>
      <c r="U63" s="719"/>
      <c r="AA63" s="255"/>
      <c r="AB63" s="336"/>
    </row>
    <row r="64" spans="1:31" s="274" customFormat="1">
      <c r="B64" s="336"/>
      <c r="C64" s="277"/>
      <c r="D64" s="277"/>
      <c r="E64" s="277"/>
      <c r="F64" s="748" t="s">
        <v>2706</v>
      </c>
      <c r="G64" s="738" t="s">
        <v>3133</v>
      </c>
      <c r="H64" s="1201" t="s">
        <v>3117</v>
      </c>
      <c r="I64" s="1202" t="s">
        <v>3118</v>
      </c>
      <c r="J64" s="1202" t="s">
        <v>3119</v>
      </c>
      <c r="K64" s="1203" t="s">
        <v>3120</v>
      </c>
      <c r="L64" s="738" t="s">
        <v>3126</v>
      </c>
      <c r="M64" s="738" t="s">
        <v>3127</v>
      </c>
      <c r="N64" s="738" t="s">
        <v>3128</v>
      </c>
      <c r="O64" s="738" t="s">
        <v>3129</v>
      </c>
      <c r="P64" s="738" t="s">
        <v>3130</v>
      </c>
      <c r="Q64" s="748"/>
      <c r="R64" s="1315" t="s">
        <v>3117</v>
      </c>
      <c r="S64" s="1316" t="s">
        <v>3118</v>
      </c>
      <c r="T64" s="1316" t="s">
        <v>3119</v>
      </c>
      <c r="U64" s="1317" t="s">
        <v>3120</v>
      </c>
      <c r="V64" s="750">
        <v>1</v>
      </c>
      <c r="W64" s="750">
        <v>2</v>
      </c>
      <c r="X64" s="750">
        <v>3</v>
      </c>
      <c r="Y64" s="750">
        <v>4</v>
      </c>
      <c r="Z64" s="750">
        <v>5</v>
      </c>
      <c r="AB64" s="336"/>
    </row>
    <row r="65" spans="1:28">
      <c r="A65" s="274"/>
      <c r="B65" s="336"/>
      <c r="C65" s="277"/>
      <c r="D65" s="277"/>
      <c r="E65" s="277"/>
      <c r="F65" s="1205" t="str">
        <f>'1Tab_Input'!B88</f>
        <v>RN</v>
      </c>
      <c r="G65" s="2457">
        <v>65000</v>
      </c>
      <c r="H65" s="2458">
        <v>0.5</v>
      </c>
      <c r="I65" s="2459">
        <f>H65</f>
        <v>0.5</v>
      </c>
      <c r="J65" s="2459">
        <f>I65</f>
        <v>0.5</v>
      </c>
      <c r="K65" s="2459">
        <f>J65</f>
        <v>0.5</v>
      </c>
      <c r="L65" s="2464">
        <f t="shared" ref="L65:L71" si="24">IF(SUM(H65:K65)&gt;0,AVERAGE(H65:K65),0)</f>
        <v>0.5</v>
      </c>
      <c r="M65" s="2459">
        <v>0.7</v>
      </c>
      <c r="N65" s="2459">
        <v>0.9</v>
      </c>
      <c r="O65" s="2459">
        <v>1.2</v>
      </c>
      <c r="P65" s="2459">
        <v>1.4</v>
      </c>
      <c r="Q65" s="1198"/>
      <c r="R65" s="1318">
        <f>$G65*H65/4</f>
        <v>8125</v>
      </c>
      <c r="S65" s="1312">
        <f t="shared" ref="S65:S71" si="25">$G65*I65/4</f>
        <v>8125</v>
      </c>
      <c r="T65" s="1312">
        <f t="shared" ref="T65:T71" si="26">$G65*J65/4</f>
        <v>8125</v>
      </c>
      <c r="U65" s="1319">
        <f t="shared" ref="U65:U71" si="27">$G65*K65/4</f>
        <v>8125</v>
      </c>
      <c r="V65" s="1192">
        <f t="shared" ref="V65:V71" si="28">$G65*L65</f>
        <v>32500</v>
      </c>
      <c r="W65" s="1193">
        <f t="shared" ref="W65:X71" si="29">$G65*M65*(1+$G$63)^(W$13-$V$13)</f>
        <v>46865</v>
      </c>
      <c r="X65" s="1193">
        <f t="shared" si="29"/>
        <v>62062.649999999994</v>
      </c>
      <c r="Y65" s="1193">
        <f t="shared" ref="Y65:Y71" si="30">$G65*O65*(1+$G$63)^(Y$13-$V$13)</f>
        <v>85232.706000000006</v>
      </c>
      <c r="Z65" s="1193">
        <f t="shared" ref="Z65:Z71" si="31">$G65*P65*(1+$G$63)^(Z$13-$V$13)</f>
        <v>102421.30170999999</v>
      </c>
      <c r="AA65" s="343"/>
      <c r="AB65" s="337"/>
    </row>
    <row r="66" spans="1:28">
      <c r="B66" s="337"/>
      <c r="C66" s="276"/>
      <c r="D66" s="276"/>
      <c r="E66" s="276"/>
      <c r="F66" s="1205" t="str">
        <f>'1Tab_Input'!B89</f>
        <v>PCT</v>
      </c>
      <c r="G66" s="2488">
        <v>32000</v>
      </c>
      <c r="H66" s="2458">
        <f>'1Tab_Input'!C89</f>
        <v>0</v>
      </c>
      <c r="I66" s="2459">
        <f t="shared" ref="I66:K71" si="32">H66</f>
        <v>0</v>
      </c>
      <c r="J66" s="2459">
        <f t="shared" si="32"/>
        <v>0</v>
      </c>
      <c r="K66" s="2463">
        <f t="shared" si="32"/>
        <v>0</v>
      </c>
      <c r="L66" s="2464">
        <f t="shared" si="24"/>
        <v>0</v>
      </c>
      <c r="M66" s="2459">
        <f>'1Tab_Input'!D89</f>
        <v>0</v>
      </c>
      <c r="N66" s="2459">
        <f>'1Tab_Input'!E89</f>
        <v>0</v>
      </c>
      <c r="O66" s="2459">
        <f>'1Tab_Input'!F89</f>
        <v>0</v>
      </c>
      <c r="P66" s="2459">
        <f>'1Tab_Input'!G89</f>
        <v>0</v>
      </c>
      <c r="Q66" s="1198"/>
      <c r="R66" s="1320">
        <f t="shared" ref="R66:R71" si="33">$G66*H66/4</f>
        <v>0</v>
      </c>
      <c r="S66" s="1194">
        <f t="shared" si="25"/>
        <v>0</v>
      </c>
      <c r="T66" s="1194">
        <f t="shared" si="26"/>
        <v>0</v>
      </c>
      <c r="U66" s="1321">
        <f t="shared" si="27"/>
        <v>0</v>
      </c>
      <c r="V66" s="1194">
        <f t="shared" si="28"/>
        <v>0</v>
      </c>
      <c r="W66" s="1195">
        <f t="shared" si="29"/>
        <v>0</v>
      </c>
      <c r="X66" s="1195">
        <f t="shared" si="29"/>
        <v>0</v>
      </c>
      <c r="Y66" s="1195">
        <f t="shared" si="30"/>
        <v>0</v>
      </c>
      <c r="Z66" s="1195">
        <f t="shared" si="31"/>
        <v>0</v>
      </c>
      <c r="AA66" s="338"/>
      <c r="AB66" s="337"/>
    </row>
    <row r="67" spans="1:28">
      <c r="B67" s="337"/>
      <c r="C67" s="276"/>
      <c r="D67" s="276"/>
      <c r="E67" s="276"/>
      <c r="F67" s="1205" t="str">
        <f>'1Tab_Input'!B90</f>
        <v>LVN</v>
      </c>
      <c r="G67" s="2488">
        <f>'1Tab_Input'!I90</f>
        <v>0</v>
      </c>
      <c r="H67" s="2458">
        <f>'1Tab_Input'!C90</f>
        <v>0</v>
      </c>
      <c r="I67" s="2459">
        <f t="shared" si="32"/>
        <v>0</v>
      </c>
      <c r="J67" s="2459">
        <f t="shared" si="32"/>
        <v>0</v>
      </c>
      <c r="K67" s="2463">
        <f t="shared" si="32"/>
        <v>0</v>
      </c>
      <c r="L67" s="2464">
        <f t="shared" si="24"/>
        <v>0</v>
      </c>
      <c r="M67" s="2459">
        <f>'1Tab_Input'!D90</f>
        <v>0</v>
      </c>
      <c r="N67" s="2459">
        <f>'1Tab_Input'!E90</f>
        <v>0</v>
      </c>
      <c r="O67" s="2459">
        <f>'1Tab_Input'!F90</f>
        <v>0</v>
      </c>
      <c r="P67" s="2459">
        <f>'1Tab_Input'!G90</f>
        <v>0</v>
      </c>
      <c r="Q67" s="1198"/>
      <c r="R67" s="1320">
        <f t="shared" si="33"/>
        <v>0</v>
      </c>
      <c r="S67" s="1194">
        <f t="shared" si="25"/>
        <v>0</v>
      </c>
      <c r="T67" s="1194">
        <f t="shared" si="26"/>
        <v>0</v>
      </c>
      <c r="U67" s="1321">
        <f t="shared" si="27"/>
        <v>0</v>
      </c>
      <c r="V67" s="1194">
        <f t="shared" si="28"/>
        <v>0</v>
      </c>
      <c r="W67" s="1195">
        <f t="shared" si="29"/>
        <v>0</v>
      </c>
      <c r="X67" s="1195">
        <f t="shared" si="29"/>
        <v>0</v>
      </c>
      <c r="Y67" s="1195">
        <f t="shared" si="30"/>
        <v>0</v>
      </c>
      <c r="Z67" s="1195">
        <f t="shared" si="31"/>
        <v>0</v>
      </c>
      <c r="AA67" s="338"/>
      <c r="AB67" s="337"/>
    </row>
    <row r="68" spans="1:28">
      <c r="B68" s="337"/>
      <c r="C68" s="276"/>
      <c r="D68" s="276"/>
      <c r="E68" s="276"/>
      <c r="F68" s="1205" t="str">
        <f>'1Tab_Input'!B91</f>
        <v>RT</v>
      </c>
      <c r="G68" s="2488">
        <f>'1Tab_Input'!I91</f>
        <v>0</v>
      </c>
      <c r="H68" s="2458">
        <f>'1Tab_Input'!C91</f>
        <v>0</v>
      </c>
      <c r="I68" s="2459">
        <f t="shared" si="32"/>
        <v>0</v>
      </c>
      <c r="J68" s="2459">
        <f t="shared" si="32"/>
        <v>0</v>
      </c>
      <c r="K68" s="2463">
        <f t="shared" si="32"/>
        <v>0</v>
      </c>
      <c r="L68" s="2464">
        <f t="shared" si="24"/>
        <v>0</v>
      </c>
      <c r="M68" s="2459">
        <f>'1Tab_Input'!D91</f>
        <v>0</v>
      </c>
      <c r="N68" s="2459">
        <f>'1Tab_Input'!E91</f>
        <v>0</v>
      </c>
      <c r="O68" s="2459">
        <f>'1Tab_Input'!F91</f>
        <v>0</v>
      </c>
      <c r="P68" s="2459">
        <f>'1Tab_Input'!G91</f>
        <v>0</v>
      </c>
      <c r="Q68" s="1198"/>
      <c r="R68" s="1320">
        <f t="shared" si="33"/>
        <v>0</v>
      </c>
      <c r="S68" s="1194">
        <f t="shared" si="25"/>
        <v>0</v>
      </c>
      <c r="T68" s="1194">
        <f t="shared" si="26"/>
        <v>0</v>
      </c>
      <c r="U68" s="1321">
        <f t="shared" si="27"/>
        <v>0</v>
      </c>
      <c r="V68" s="1194">
        <f t="shared" si="28"/>
        <v>0</v>
      </c>
      <c r="W68" s="1195">
        <f t="shared" si="29"/>
        <v>0</v>
      </c>
      <c r="X68" s="1195">
        <f t="shared" si="29"/>
        <v>0</v>
      </c>
      <c r="Y68" s="1195">
        <f t="shared" si="30"/>
        <v>0</v>
      </c>
      <c r="Z68" s="1195">
        <f t="shared" si="31"/>
        <v>0</v>
      </c>
      <c r="AA68" s="338"/>
      <c r="AB68" s="337"/>
    </row>
    <row r="69" spans="1:28">
      <c r="B69" s="337"/>
      <c r="C69" s="276"/>
      <c r="D69" s="276"/>
      <c r="E69" s="276"/>
      <c r="F69" s="1205" t="str">
        <f>'1Tab_Input'!B92</f>
        <v>Biomed. Tech.</v>
      </c>
      <c r="G69" s="2488">
        <f>'1Tab_Input'!I92</f>
        <v>0</v>
      </c>
      <c r="H69" s="2458">
        <f>'1Tab_Input'!C92</f>
        <v>0</v>
      </c>
      <c r="I69" s="2459">
        <f t="shared" si="32"/>
        <v>0</v>
      </c>
      <c r="J69" s="2459">
        <f t="shared" si="32"/>
        <v>0</v>
      </c>
      <c r="K69" s="2463">
        <f t="shared" si="32"/>
        <v>0</v>
      </c>
      <c r="L69" s="2464">
        <f t="shared" si="24"/>
        <v>0</v>
      </c>
      <c r="M69" s="2459">
        <f>'1Tab_Input'!D92</f>
        <v>0</v>
      </c>
      <c r="N69" s="2459">
        <f>'1Tab_Input'!E92</f>
        <v>0</v>
      </c>
      <c r="O69" s="2459">
        <f>'1Tab_Input'!F92</f>
        <v>0</v>
      </c>
      <c r="P69" s="2459">
        <f>'1Tab_Input'!G92</f>
        <v>0</v>
      </c>
      <c r="Q69" s="1198"/>
      <c r="R69" s="1320">
        <f t="shared" si="33"/>
        <v>0</v>
      </c>
      <c r="S69" s="1194">
        <f t="shared" si="25"/>
        <v>0</v>
      </c>
      <c r="T69" s="1194">
        <f t="shared" si="26"/>
        <v>0</v>
      </c>
      <c r="U69" s="1321">
        <f t="shared" si="27"/>
        <v>0</v>
      </c>
      <c r="V69" s="1194">
        <f t="shared" si="28"/>
        <v>0</v>
      </c>
      <c r="W69" s="1195">
        <f t="shared" si="29"/>
        <v>0</v>
      </c>
      <c r="X69" s="1195">
        <f t="shared" si="29"/>
        <v>0</v>
      </c>
      <c r="Y69" s="1195">
        <f t="shared" si="30"/>
        <v>0</v>
      </c>
      <c r="Z69" s="1195">
        <f t="shared" si="31"/>
        <v>0</v>
      </c>
      <c r="AA69" s="338"/>
      <c r="AB69" s="337"/>
    </row>
    <row r="70" spans="1:28">
      <c r="B70" s="337"/>
      <c r="C70" s="276"/>
      <c r="D70" s="276"/>
      <c r="E70" s="276"/>
      <c r="F70" s="1205" t="str">
        <f>'1Tab_Input'!B93</f>
        <v>Other</v>
      </c>
      <c r="G70" s="2488">
        <f>'1Tab_Input'!I93</f>
        <v>0</v>
      </c>
      <c r="H70" s="2458">
        <f>'1Tab_Input'!C93</f>
        <v>0</v>
      </c>
      <c r="I70" s="2459">
        <f t="shared" si="32"/>
        <v>0</v>
      </c>
      <c r="J70" s="2459">
        <f t="shared" si="32"/>
        <v>0</v>
      </c>
      <c r="K70" s="2463">
        <f t="shared" si="32"/>
        <v>0</v>
      </c>
      <c r="L70" s="2464">
        <f t="shared" si="24"/>
        <v>0</v>
      </c>
      <c r="M70" s="2459">
        <f>'1Tab_Input'!D93</f>
        <v>0</v>
      </c>
      <c r="N70" s="2459">
        <f>'1Tab_Input'!E93</f>
        <v>0</v>
      </c>
      <c r="O70" s="2459">
        <f>'1Tab_Input'!F93</f>
        <v>0</v>
      </c>
      <c r="P70" s="2459">
        <f>'1Tab_Input'!G93</f>
        <v>0</v>
      </c>
      <c r="Q70" s="1198"/>
      <c r="R70" s="1320">
        <f t="shared" si="33"/>
        <v>0</v>
      </c>
      <c r="S70" s="1194">
        <f t="shared" si="25"/>
        <v>0</v>
      </c>
      <c r="T70" s="1194">
        <f t="shared" si="26"/>
        <v>0</v>
      </c>
      <c r="U70" s="1321">
        <f t="shared" si="27"/>
        <v>0</v>
      </c>
      <c r="V70" s="1194">
        <f t="shared" si="28"/>
        <v>0</v>
      </c>
      <c r="W70" s="1195">
        <f t="shared" si="29"/>
        <v>0</v>
      </c>
      <c r="X70" s="1195">
        <f t="shared" si="29"/>
        <v>0</v>
      </c>
      <c r="Y70" s="1195">
        <f t="shared" si="30"/>
        <v>0</v>
      </c>
      <c r="Z70" s="1195">
        <f t="shared" si="31"/>
        <v>0</v>
      </c>
      <c r="AA70" s="338"/>
      <c r="AB70" s="337"/>
    </row>
    <row r="71" spans="1:28">
      <c r="B71" s="337"/>
      <c r="C71" s="276"/>
      <c r="D71" s="276"/>
      <c r="E71" s="276"/>
      <c r="F71" s="1206">
        <f>'1Tab_Input'!B94</f>
        <v>0</v>
      </c>
      <c r="G71" s="2489">
        <f>'1Tab_Input'!I94</f>
        <v>0</v>
      </c>
      <c r="H71" s="2490">
        <f>'1Tab_Input'!C94</f>
        <v>0</v>
      </c>
      <c r="I71" s="2466">
        <f t="shared" si="32"/>
        <v>0</v>
      </c>
      <c r="J71" s="2466">
        <f t="shared" si="32"/>
        <v>0</v>
      </c>
      <c r="K71" s="2467">
        <f t="shared" si="32"/>
        <v>0</v>
      </c>
      <c r="L71" s="2491">
        <f t="shared" si="24"/>
        <v>0</v>
      </c>
      <c r="M71" s="2466">
        <f>'1Tab_Input'!D94</f>
        <v>0</v>
      </c>
      <c r="N71" s="2466">
        <f>'1Tab_Input'!E94</f>
        <v>0</v>
      </c>
      <c r="O71" s="2466">
        <f>'1Tab_Input'!F94</f>
        <v>0</v>
      </c>
      <c r="P71" s="2466">
        <f>'1Tab_Input'!G94</f>
        <v>0</v>
      </c>
      <c r="Q71" s="1199"/>
      <c r="R71" s="1322">
        <f t="shared" si="33"/>
        <v>0</v>
      </c>
      <c r="S71" s="1196">
        <f t="shared" si="25"/>
        <v>0</v>
      </c>
      <c r="T71" s="1196">
        <f t="shared" si="26"/>
        <v>0</v>
      </c>
      <c r="U71" s="1323">
        <f t="shared" si="27"/>
        <v>0</v>
      </c>
      <c r="V71" s="1196">
        <f t="shared" si="28"/>
        <v>0</v>
      </c>
      <c r="W71" s="1197">
        <f t="shared" si="29"/>
        <v>0</v>
      </c>
      <c r="X71" s="1197">
        <f t="shared" si="29"/>
        <v>0</v>
      </c>
      <c r="Y71" s="1197">
        <f t="shared" si="30"/>
        <v>0</v>
      </c>
      <c r="Z71" s="1197">
        <f t="shared" si="31"/>
        <v>0</v>
      </c>
      <c r="AA71" s="338"/>
      <c r="AB71" s="337"/>
    </row>
    <row r="72" spans="1:28">
      <c r="B72" s="337"/>
      <c r="C72" s="276"/>
      <c r="D72" s="276"/>
      <c r="E72" s="744"/>
      <c r="F72" s="761"/>
      <c r="G72" s="762"/>
      <c r="H72" s="763"/>
      <c r="I72" s="763"/>
      <c r="J72" s="763"/>
      <c r="K72" s="763"/>
      <c r="L72" s="762"/>
      <c r="M72" s="763"/>
      <c r="N72" s="763"/>
      <c r="O72" s="763"/>
      <c r="P72" s="763"/>
      <c r="Q72" s="764"/>
      <c r="R72" s="755"/>
      <c r="S72" s="755"/>
      <c r="T72" s="755"/>
      <c r="U72" s="755"/>
      <c r="V72" s="755"/>
      <c r="W72" s="755"/>
      <c r="X72" s="755"/>
      <c r="Y72" s="755"/>
      <c r="Z72" s="755"/>
      <c r="AA72" s="338"/>
      <c r="AB72" s="337"/>
    </row>
    <row r="73" spans="1:28">
      <c r="B73" s="337"/>
      <c r="C73" s="276"/>
      <c r="D73" s="276"/>
      <c r="E73" s="744"/>
      <c r="F73" s="765" t="s">
        <v>3932</v>
      </c>
      <c r="G73" s="766"/>
      <c r="H73" s="746">
        <f>SUM(H65:H72)</f>
        <v>0.5</v>
      </c>
      <c r="I73" s="746">
        <f t="shared" ref="I73:P73" si="34">SUM(I65:I72)</f>
        <v>0.5</v>
      </c>
      <c r="J73" s="746">
        <f t="shared" si="34"/>
        <v>0.5</v>
      </c>
      <c r="K73" s="746">
        <f t="shared" si="34"/>
        <v>0.5</v>
      </c>
      <c r="L73" s="774">
        <f t="shared" si="34"/>
        <v>0.5</v>
      </c>
      <c r="M73" s="746">
        <f t="shared" si="34"/>
        <v>0.7</v>
      </c>
      <c r="N73" s="746">
        <f t="shared" si="34"/>
        <v>0.9</v>
      </c>
      <c r="O73" s="746">
        <f t="shared" si="34"/>
        <v>1.2</v>
      </c>
      <c r="P73" s="746">
        <f t="shared" si="34"/>
        <v>1.4</v>
      </c>
      <c r="Q73" s="767"/>
      <c r="R73" s="758">
        <f t="shared" ref="R73:Z73" si="35">SUM(R65:R71)</f>
        <v>8125</v>
      </c>
      <c r="S73" s="758">
        <f t="shared" si="35"/>
        <v>8125</v>
      </c>
      <c r="T73" s="758">
        <f t="shared" si="35"/>
        <v>8125</v>
      </c>
      <c r="U73" s="758">
        <f t="shared" si="35"/>
        <v>8125</v>
      </c>
      <c r="V73" s="758">
        <f t="shared" si="35"/>
        <v>32500</v>
      </c>
      <c r="W73" s="754">
        <f t="shared" si="35"/>
        <v>46865</v>
      </c>
      <c r="X73" s="754">
        <f t="shared" si="35"/>
        <v>62062.649999999994</v>
      </c>
      <c r="Y73" s="754">
        <f t="shared" si="35"/>
        <v>85232.706000000006</v>
      </c>
      <c r="Z73" s="754">
        <f t="shared" si="35"/>
        <v>102421.30170999999</v>
      </c>
      <c r="AA73" s="343"/>
      <c r="AB73" s="337"/>
    </row>
    <row r="74" spans="1:28">
      <c r="B74" s="337"/>
      <c r="C74" s="276"/>
      <c r="D74" s="276"/>
      <c r="E74" s="276"/>
      <c r="F74" s="706" t="s">
        <v>2966</v>
      </c>
      <c r="G74" s="771">
        <f>G22</f>
        <v>0.39</v>
      </c>
      <c r="H74" s="706"/>
      <c r="I74" s="706"/>
      <c r="J74" s="706"/>
      <c r="K74" s="706"/>
      <c r="L74" s="706"/>
      <c r="M74" s="706"/>
      <c r="N74" s="706"/>
      <c r="O74" s="706"/>
      <c r="P74" s="706"/>
      <c r="Q74" s="768"/>
      <c r="R74" s="757">
        <f>R73*$G74</f>
        <v>3168.75</v>
      </c>
      <c r="S74" s="757">
        <f>S73*$G74</f>
        <v>3168.75</v>
      </c>
      <c r="T74" s="757">
        <f>T73*$G74</f>
        <v>3168.75</v>
      </c>
      <c r="U74" s="757">
        <f>U73*$G74</f>
        <v>3168.75</v>
      </c>
      <c r="V74" s="759">
        <f>V73*$G$74</f>
        <v>12675</v>
      </c>
      <c r="W74" s="759">
        <f>W73*$G$74</f>
        <v>18277.350000000002</v>
      </c>
      <c r="X74" s="759">
        <f>X73*$G$74</f>
        <v>24204.433499999999</v>
      </c>
      <c r="Y74" s="759">
        <f>Y73*$G$74</f>
        <v>33240.755340000003</v>
      </c>
      <c r="Z74" s="759">
        <f>Z73*$G$74</f>
        <v>39944.307666899993</v>
      </c>
      <c r="AA74" s="338"/>
      <c r="AB74" s="337"/>
    </row>
    <row r="75" spans="1:28">
      <c r="B75" s="337"/>
      <c r="C75" s="276"/>
      <c r="D75" s="276"/>
      <c r="E75" s="276"/>
      <c r="F75" s="1695" t="s">
        <v>2501</v>
      </c>
      <c r="G75" s="768"/>
      <c r="H75" s="768"/>
      <c r="I75" s="768"/>
      <c r="J75" s="768"/>
      <c r="K75" s="768"/>
      <c r="L75" s="768"/>
      <c r="M75" s="768"/>
      <c r="N75" s="768"/>
      <c r="O75" s="768"/>
      <c r="P75" s="768"/>
      <c r="Q75" s="768"/>
      <c r="R75" s="754">
        <f t="shared" ref="R75:Z75" si="36">R73+R74</f>
        <v>11293.75</v>
      </c>
      <c r="S75" s="754">
        <f t="shared" si="36"/>
        <v>11293.75</v>
      </c>
      <c r="T75" s="754">
        <f t="shared" si="36"/>
        <v>11293.75</v>
      </c>
      <c r="U75" s="754">
        <f t="shared" si="36"/>
        <v>11293.75</v>
      </c>
      <c r="V75" s="754">
        <f t="shared" si="36"/>
        <v>45175</v>
      </c>
      <c r="W75" s="754">
        <f t="shared" si="36"/>
        <v>65142.350000000006</v>
      </c>
      <c r="X75" s="754">
        <f t="shared" si="36"/>
        <v>86267.083499999993</v>
      </c>
      <c r="Y75" s="754">
        <f t="shared" si="36"/>
        <v>118473.46134000001</v>
      </c>
      <c r="Z75" s="754">
        <f t="shared" si="36"/>
        <v>142365.60937689999</v>
      </c>
      <c r="AA75" s="343"/>
      <c r="AB75" s="337"/>
    </row>
    <row r="76" spans="1:28">
      <c r="B76" s="337"/>
      <c r="C76" s="276"/>
      <c r="D76" s="276"/>
      <c r="E76" s="276"/>
      <c r="F76" s="706"/>
      <c r="G76" s="767"/>
      <c r="H76" s="767"/>
      <c r="I76" s="767"/>
      <c r="J76" s="767"/>
      <c r="K76" s="767"/>
      <c r="L76" s="767"/>
      <c r="M76" s="767"/>
      <c r="N76" s="767"/>
      <c r="O76" s="767"/>
      <c r="P76" s="767"/>
      <c r="Q76" s="767"/>
      <c r="R76" s="756"/>
      <c r="S76" s="756"/>
      <c r="T76" s="756"/>
      <c r="U76" s="756"/>
      <c r="V76" s="756"/>
      <c r="W76" s="756"/>
      <c r="X76" s="756"/>
      <c r="Y76" s="756"/>
      <c r="Z76" s="756"/>
      <c r="AA76" s="338"/>
      <c r="AB76" s="337"/>
    </row>
    <row r="77" spans="1:28">
      <c r="B77" s="337"/>
      <c r="C77" s="276"/>
      <c r="D77" s="276"/>
      <c r="E77" s="276"/>
      <c r="F77" s="706" t="s">
        <v>7</v>
      </c>
      <c r="G77" s="769"/>
      <c r="H77" s="727">
        <f>'2.0 Patients'!T80+'2.0 Patients'!T82</f>
        <v>2.5</v>
      </c>
      <c r="I77" s="727">
        <f>'2.0 Patients'!W80+'2.0 Patients'!W82</f>
        <v>4</v>
      </c>
      <c r="J77" s="727">
        <f>'2.0 Patients'!Z80+'2.0 Patients'!Z82</f>
        <v>5.5</v>
      </c>
      <c r="K77" s="727">
        <f>'2.0 Patients'!AC80+'2.0 Patients'!AC82</f>
        <v>7</v>
      </c>
      <c r="L77" s="727">
        <f>'2.0 Patients'!I80+'2.0 Patients'!I82</f>
        <v>7</v>
      </c>
      <c r="M77" s="727">
        <f>'2.0 Patients'!J80+'2.0 Patients'!J82</f>
        <v>13</v>
      </c>
      <c r="N77" s="727">
        <f>'2.0 Patients'!K80+'2.0 Patients'!K82</f>
        <v>17</v>
      </c>
      <c r="O77" s="727">
        <f>'2.0 Patients'!L80+'2.0 Patients'!L82</f>
        <v>22</v>
      </c>
      <c r="P77" s="727">
        <f>'2.0 Patients'!M80+'2.0 Patients'!M82</f>
        <v>25</v>
      </c>
      <c r="Q77" s="768"/>
      <c r="R77" s="778"/>
      <c r="S77" s="778"/>
      <c r="T77" s="778"/>
      <c r="U77" s="778"/>
      <c r="V77" s="778">
        <f>'2.0 Patients'!I80+'2.0 Patients'!I82</f>
        <v>7</v>
      </c>
      <c r="W77" s="778">
        <f>'2.0 Patients'!J80+'2.0 Patients'!J82</f>
        <v>13</v>
      </c>
      <c r="X77" s="778">
        <f>'2.0 Patients'!K80+'2.0 Patients'!K82</f>
        <v>17</v>
      </c>
      <c r="Y77" s="778">
        <f>'2.0 Patients'!L80+'2.0 Patients'!L82</f>
        <v>22</v>
      </c>
      <c r="Z77" s="778">
        <f>'2.0 Patients'!M80+'2.0 Patients'!M82</f>
        <v>25</v>
      </c>
      <c r="AA77" s="338"/>
      <c r="AB77" s="337"/>
    </row>
    <row r="78" spans="1:28">
      <c r="B78" s="337"/>
      <c r="C78" s="276"/>
      <c r="D78" s="276"/>
      <c r="E78" s="276"/>
      <c r="F78" s="768" t="s">
        <v>3529</v>
      </c>
      <c r="G78" s="768"/>
      <c r="H78" s="768"/>
      <c r="I78" s="768"/>
      <c r="J78" s="768"/>
      <c r="K78" s="768"/>
      <c r="L78" s="768"/>
      <c r="M78" s="768"/>
      <c r="N78" s="768"/>
      <c r="O78" s="768"/>
      <c r="P78" s="768"/>
      <c r="Q78" s="768"/>
      <c r="R78" s="749"/>
      <c r="S78" s="749"/>
      <c r="T78" s="749"/>
      <c r="U78" s="749"/>
      <c r="V78" s="749">
        <f>'5. Financials'!I31+'5. Financials'!I39</f>
        <v>629.84999999999991</v>
      </c>
      <c r="W78" s="749">
        <f>'5. Financials'!J31+'5. Financials'!J39</f>
        <v>1519.0499999999997</v>
      </c>
      <c r="X78" s="749">
        <f>'5. Financials'!K31+'5. Financials'!K39</f>
        <v>2247.6999999999998</v>
      </c>
      <c r="Y78" s="749">
        <f>'5. Financials'!L31+'5. Financials'!L39</f>
        <v>2920.7750000000005</v>
      </c>
      <c r="Z78" s="749">
        <f>'5. Financials'!M31+'5. Financials'!M39</f>
        <v>3501.2250000000004</v>
      </c>
      <c r="AA78" s="338"/>
      <c r="AB78" s="337"/>
    </row>
    <row r="79" spans="1:28">
      <c r="B79" s="337"/>
      <c r="C79" s="276"/>
      <c r="D79" s="276"/>
      <c r="E79" s="276"/>
      <c r="F79" s="768" t="s">
        <v>106</v>
      </c>
      <c r="G79" s="768"/>
      <c r="H79" s="768"/>
      <c r="I79" s="768"/>
      <c r="J79" s="768"/>
      <c r="K79" s="768"/>
      <c r="L79" s="768"/>
      <c r="M79" s="768"/>
      <c r="N79" s="768"/>
      <c r="O79" s="768"/>
      <c r="P79" s="768"/>
      <c r="Q79" s="768"/>
      <c r="R79" s="754"/>
      <c r="S79" s="754"/>
      <c r="T79" s="754"/>
      <c r="U79" s="754"/>
      <c r="V79" s="754">
        <f>IF(V78=0,0,V75/V78)</f>
        <v>71.723426212590311</v>
      </c>
      <c r="W79" s="754">
        <f>IF(W78=0,0,W75/W78)</f>
        <v>42.883611467693633</v>
      </c>
      <c r="X79" s="754">
        <f>IF(X78=0,0,X75/X78)</f>
        <v>38.380159051474841</v>
      </c>
      <c r="Y79" s="754">
        <f>IF(Y78=0,0,Y75/Y78)</f>
        <v>40.562337509736281</v>
      </c>
      <c r="Z79" s="754">
        <f>IF(Z78=0,0,Z75/Z78)</f>
        <v>40.661656813515265</v>
      </c>
      <c r="AA79" s="344"/>
      <c r="AB79" s="337"/>
    </row>
    <row r="80" spans="1:28">
      <c r="B80" s="337"/>
      <c r="C80" s="276"/>
      <c r="D80" s="276"/>
      <c r="E80" s="276"/>
      <c r="R80" s="344"/>
      <c r="S80" s="344"/>
      <c r="T80" s="344"/>
      <c r="U80" s="344"/>
      <c r="V80" s="344"/>
      <c r="W80" s="344"/>
      <c r="X80" s="344"/>
      <c r="Y80" s="344"/>
      <c r="Z80" s="344"/>
      <c r="AA80" s="344"/>
      <c r="AB80" s="337"/>
    </row>
    <row r="81" spans="1:28">
      <c r="B81" s="337"/>
      <c r="C81" s="276"/>
      <c r="D81" s="276"/>
      <c r="E81" s="276"/>
      <c r="R81" s="344"/>
      <c r="S81" s="344"/>
      <c r="T81" s="344"/>
      <c r="U81" s="344"/>
      <c r="V81" s="344"/>
      <c r="W81" s="344"/>
      <c r="X81" s="344"/>
      <c r="Y81" s="344"/>
      <c r="Z81" s="344"/>
      <c r="AA81" s="344"/>
      <c r="AB81" s="337"/>
    </row>
    <row r="82" spans="1:28" s="274" customFormat="1">
      <c r="A82" s="178"/>
      <c r="B82" s="337"/>
      <c r="C82" s="276"/>
      <c r="D82" s="276"/>
      <c r="E82" s="341" t="s">
        <v>4111</v>
      </c>
      <c r="AB82" s="336"/>
    </row>
    <row r="83" spans="1:28" s="274" customFormat="1">
      <c r="B83" s="336"/>
      <c r="C83" s="277"/>
      <c r="D83" s="277"/>
      <c r="E83" s="335"/>
      <c r="AA83" s="255"/>
      <c r="AB83" s="336"/>
    </row>
    <row r="84" spans="1:28" s="274" customFormat="1">
      <c r="B84" s="336"/>
      <c r="C84" s="277"/>
      <c r="D84" s="277"/>
      <c r="E84" s="335"/>
      <c r="H84" s="739" t="s">
        <v>3131</v>
      </c>
      <c r="I84" s="739"/>
      <c r="J84" s="739"/>
      <c r="K84" s="739"/>
      <c r="L84" s="739" t="s">
        <v>3131</v>
      </c>
      <c r="M84" s="739"/>
      <c r="N84" s="739"/>
      <c r="O84" s="739"/>
      <c r="P84" s="739"/>
      <c r="R84" s="739"/>
      <c r="S84" s="739"/>
      <c r="T84" s="739"/>
      <c r="U84" s="739"/>
      <c r="V84" s="739" t="s">
        <v>3132</v>
      </c>
      <c r="W84" s="739"/>
      <c r="X84" s="739"/>
      <c r="Y84" s="739"/>
      <c r="Z84" s="739"/>
      <c r="AA84" s="255"/>
      <c r="AB84" s="336"/>
    </row>
    <row r="85" spans="1:28" s="274" customFormat="1">
      <c r="B85" s="336"/>
      <c r="C85" s="277"/>
      <c r="D85" s="277"/>
      <c r="E85" s="277"/>
      <c r="F85" s="335" t="s">
        <v>3217</v>
      </c>
      <c r="G85" s="751">
        <f>G12</f>
        <v>0.03</v>
      </c>
      <c r="H85" s="747" t="s">
        <v>1090</v>
      </c>
      <c r="I85" s="747"/>
      <c r="J85" s="747"/>
      <c r="K85" s="747"/>
      <c r="Q85" s="723"/>
      <c r="R85" s="1314">
        <f>V86</f>
        <v>1</v>
      </c>
      <c r="S85" s="719"/>
      <c r="T85" s="719"/>
      <c r="U85" s="719"/>
      <c r="AA85" s="255"/>
      <c r="AB85" s="336"/>
    </row>
    <row r="86" spans="1:28" s="274" customFormat="1">
      <c r="B86" s="336"/>
      <c r="C86" s="277"/>
      <c r="D86" s="277"/>
      <c r="E86" s="277"/>
      <c r="F86" s="748" t="s">
        <v>2706</v>
      </c>
      <c r="G86" s="738" t="s">
        <v>3133</v>
      </c>
      <c r="H86" s="1201" t="s">
        <v>3117</v>
      </c>
      <c r="I86" s="1202" t="s">
        <v>3118</v>
      </c>
      <c r="J86" s="1202" t="s">
        <v>3119</v>
      </c>
      <c r="K86" s="1203" t="s">
        <v>3120</v>
      </c>
      <c r="L86" s="738" t="s">
        <v>3126</v>
      </c>
      <c r="M86" s="738" t="s">
        <v>3127</v>
      </c>
      <c r="N86" s="738" t="s">
        <v>3128</v>
      </c>
      <c r="O86" s="738" t="s">
        <v>3129</v>
      </c>
      <c r="P86" s="738" t="s">
        <v>3130</v>
      </c>
      <c r="Q86" s="748"/>
      <c r="R86" s="1315" t="s">
        <v>3117</v>
      </c>
      <c r="S86" s="1316" t="s">
        <v>3118</v>
      </c>
      <c r="T86" s="1316" t="s">
        <v>3119</v>
      </c>
      <c r="U86" s="1317" t="s">
        <v>3120</v>
      </c>
      <c r="V86" s="750">
        <v>1</v>
      </c>
      <c r="W86" s="750">
        <v>2</v>
      </c>
      <c r="X86" s="750">
        <v>3</v>
      </c>
      <c r="Y86" s="750">
        <v>4</v>
      </c>
      <c r="Z86" s="750">
        <v>5</v>
      </c>
      <c r="AB86" s="336"/>
    </row>
    <row r="87" spans="1:28">
      <c r="A87" s="274"/>
      <c r="B87" s="336"/>
      <c r="C87" s="277"/>
      <c r="D87" s="277"/>
      <c r="E87" s="277"/>
      <c r="F87" s="1205" t="str">
        <f>'1Tab_Input'!B96</f>
        <v>RN</v>
      </c>
      <c r="G87" s="2457">
        <v>65000</v>
      </c>
      <c r="H87" s="2458">
        <v>0.5</v>
      </c>
      <c r="I87" s="2459">
        <f>H87</f>
        <v>0.5</v>
      </c>
      <c r="J87" s="2459">
        <f>I87</f>
        <v>0.5</v>
      </c>
      <c r="K87" s="2459">
        <f>J87</f>
        <v>0.5</v>
      </c>
      <c r="L87" s="2464">
        <f t="shared" ref="L87:L93" si="37">IF(SUM(H87:K87)&gt;0,AVERAGE(H87:K87),0)</f>
        <v>0.5</v>
      </c>
      <c r="M87" s="2459">
        <v>0.5</v>
      </c>
      <c r="N87" s="2459">
        <v>0.6</v>
      </c>
      <c r="O87" s="2459">
        <v>0.7</v>
      </c>
      <c r="P87" s="2459">
        <v>0.8</v>
      </c>
      <c r="Q87" s="1198"/>
      <c r="R87" s="1318">
        <f>$G87*H87/4</f>
        <v>8125</v>
      </c>
      <c r="S87" s="1312">
        <f t="shared" ref="S87:S93" si="38">$G87*I87/4</f>
        <v>8125</v>
      </c>
      <c r="T87" s="1312">
        <f t="shared" ref="T87:T93" si="39">$G87*J87/4</f>
        <v>8125</v>
      </c>
      <c r="U87" s="1319">
        <f t="shared" ref="U87:U93" si="40">$G87*K87/4</f>
        <v>8125</v>
      </c>
      <c r="V87" s="1192">
        <f t="shared" ref="V87:V93" si="41">$G87*L87</f>
        <v>32500</v>
      </c>
      <c r="W87" s="1193">
        <f t="shared" ref="W87:X93" si="42">$G87*M87*(1+$G$85)^(W$13-$V$13)</f>
        <v>33475</v>
      </c>
      <c r="X87" s="1193">
        <f t="shared" si="42"/>
        <v>41375.1</v>
      </c>
      <c r="Y87" s="1193">
        <f t="shared" ref="Y87:Y93" si="43">$G87*O87*(1+$G$85)^(Y$13-$V$13)</f>
        <v>49719.078500000003</v>
      </c>
      <c r="Z87" s="1193">
        <f t="shared" ref="Z87:Z93" si="44">$G87*P87*(1+$G$85)^(Z$13-$V$13)</f>
        <v>58526.458119999996</v>
      </c>
      <c r="AA87" s="343"/>
      <c r="AB87" s="337"/>
    </row>
    <row r="88" spans="1:28">
      <c r="B88" s="337"/>
      <c r="C88" s="276"/>
      <c r="D88" s="276"/>
      <c r="E88" s="276"/>
      <c r="F88" s="1205" t="str">
        <f>'1Tab_Input'!B97</f>
        <v>PCT</v>
      </c>
      <c r="G88" s="2488">
        <v>32000</v>
      </c>
      <c r="H88" s="2458">
        <f>'1Tab_Input'!C97</f>
        <v>0</v>
      </c>
      <c r="I88" s="2459">
        <f t="shared" ref="I88:K93" si="45">H88</f>
        <v>0</v>
      </c>
      <c r="J88" s="2459">
        <f t="shared" si="45"/>
        <v>0</v>
      </c>
      <c r="K88" s="2463">
        <f t="shared" si="45"/>
        <v>0</v>
      </c>
      <c r="L88" s="2464">
        <f t="shared" si="37"/>
        <v>0</v>
      </c>
      <c r="M88" s="2459">
        <f>'1Tab_Input'!D97</f>
        <v>0</v>
      </c>
      <c r="N88" s="2459">
        <f>'1Tab_Input'!E97</f>
        <v>0</v>
      </c>
      <c r="O88" s="2459">
        <f>'1Tab_Input'!F97</f>
        <v>0</v>
      </c>
      <c r="P88" s="2459">
        <f>'1Tab_Input'!G97</f>
        <v>0</v>
      </c>
      <c r="Q88" s="1198"/>
      <c r="R88" s="1320">
        <f t="shared" ref="R88:R93" si="46">$G88*H88/4</f>
        <v>0</v>
      </c>
      <c r="S88" s="1194">
        <f t="shared" si="38"/>
        <v>0</v>
      </c>
      <c r="T88" s="1194">
        <f t="shared" si="39"/>
        <v>0</v>
      </c>
      <c r="U88" s="1321">
        <f t="shared" si="40"/>
        <v>0</v>
      </c>
      <c r="V88" s="1194">
        <f t="shared" si="41"/>
        <v>0</v>
      </c>
      <c r="W88" s="1195">
        <f t="shared" si="42"/>
        <v>0</v>
      </c>
      <c r="X88" s="1195">
        <f t="shared" si="42"/>
        <v>0</v>
      </c>
      <c r="Y88" s="1195">
        <f t="shared" si="43"/>
        <v>0</v>
      </c>
      <c r="Z88" s="1195">
        <f t="shared" si="44"/>
        <v>0</v>
      </c>
      <c r="AA88" s="338"/>
      <c r="AB88" s="337"/>
    </row>
    <row r="89" spans="1:28">
      <c r="B89" s="337"/>
      <c r="C89" s="276"/>
      <c r="D89" s="276"/>
      <c r="E89" s="276"/>
      <c r="F89" s="1205" t="str">
        <f>'1Tab_Input'!B98</f>
        <v>LVN</v>
      </c>
      <c r="G89" s="2488">
        <f>'1Tab_Input'!I98</f>
        <v>0</v>
      </c>
      <c r="H89" s="2458">
        <f>'1Tab_Input'!C98</f>
        <v>0</v>
      </c>
      <c r="I89" s="2459">
        <f t="shared" si="45"/>
        <v>0</v>
      </c>
      <c r="J89" s="2459">
        <f t="shared" si="45"/>
        <v>0</v>
      </c>
      <c r="K89" s="2463">
        <f t="shared" si="45"/>
        <v>0</v>
      </c>
      <c r="L89" s="2464">
        <f t="shared" si="37"/>
        <v>0</v>
      </c>
      <c r="M89" s="2459">
        <f>'1Tab_Input'!D98</f>
        <v>0</v>
      </c>
      <c r="N89" s="2459">
        <f>'1Tab_Input'!E98</f>
        <v>0</v>
      </c>
      <c r="O89" s="2459">
        <f>'1Tab_Input'!F98</f>
        <v>0</v>
      </c>
      <c r="P89" s="2459">
        <f>'1Tab_Input'!G98</f>
        <v>0</v>
      </c>
      <c r="Q89" s="1198"/>
      <c r="R89" s="1320">
        <f t="shared" si="46"/>
        <v>0</v>
      </c>
      <c r="S89" s="1194">
        <f t="shared" si="38"/>
        <v>0</v>
      </c>
      <c r="T89" s="1194">
        <f t="shared" si="39"/>
        <v>0</v>
      </c>
      <c r="U89" s="1321">
        <f t="shared" si="40"/>
        <v>0</v>
      </c>
      <c r="V89" s="1194">
        <f t="shared" si="41"/>
        <v>0</v>
      </c>
      <c r="W89" s="1195">
        <f t="shared" si="42"/>
        <v>0</v>
      </c>
      <c r="X89" s="1195">
        <f t="shared" si="42"/>
        <v>0</v>
      </c>
      <c r="Y89" s="1195">
        <f t="shared" si="43"/>
        <v>0</v>
      </c>
      <c r="Z89" s="1195">
        <f t="shared" si="44"/>
        <v>0</v>
      </c>
      <c r="AA89" s="338"/>
      <c r="AB89" s="337"/>
    </row>
    <row r="90" spans="1:28">
      <c r="B90" s="337"/>
      <c r="C90" s="276"/>
      <c r="D90" s="276"/>
      <c r="E90" s="276"/>
      <c r="F90" s="1205" t="str">
        <f>'1Tab_Input'!B99</f>
        <v>RT</v>
      </c>
      <c r="G90" s="2488">
        <f>'1Tab_Input'!I99</f>
        <v>0</v>
      </c>
      <c r="H90" s="2458">
        <f>'1Tab_Input'!C99</f>
        <v>0</v>
      </c>
      <c r="I90" s="2459">
        <f t="shared" si="45"/>
        <v>0</v>
      </c>
      <c r="J90" s="2459">
        <f t="shared" si="45"/>
        <v>0</v>
      </c>
      <c r="K90" s="2463">
        <f t="shared" si="45"/>
        <v>0</v>
      </c>
      <c r="L90" s="2464">
        <f t="shared" si="37"/>
        <v>0</v>
      </c>
      <c r="M90" s="2459">
        <f>'1Tab_Input'!D99</f>
        <v>0</v>
      </c>
      <c r="N90" s="2459">
        <f>'1Tab_Input'!E99</f>
        <v>0</v>
      </c>
      <c r="O90" s="2459">
        <f>'1Tab_Input'!F99</f>
        <v>0</v>
      </c>
      <c r="P90" s="2459">
        <f>'1Tab_Input'!G99</f>
        <v>0</v>
      </c>
      <c r="Q90" s="1198"/>
      <c r="R90" s="1320">
        <f t="shared" si="46"/>
        <v>0</v>
      </c>
      <c r="S90" s="1194">
        <f t="shared" si="38"/>
        <v>0</v>
      </c>
      <c r="T90" s="1194">
        <f t="shared" si="39"/>
        <v>0</v>
      </c>
      <c r="U90" s="1321">
        <f t="shared" si="40"/>
        <v>0</v>
      </c>
      <c r="V90" s="1194">
        <f t="shared" si="41"/>
        <v>0</v>
      </c>
      <c r="W90" s="1195">
        <f t="shared" si="42"/>
        <v>0</v>
      </c>
      <c r="X90" s="1195">
        <f t="shared" si="42"/>
        <v>0</v>
      </c>
      <c r="Y90" s="1195">
        <f t="shared" si="43"/>
        <v>0</v>
      </c>
      <c r="Z90" s="1195">
        <f t="shared" si="44"/>
        <v>0</v>
      </c>
      <c r="AA90" s="338"/>
      <c r="AB90" s="337"/>
    </row>
    <row r="91" spans="1:28">
      <c r="B91" s="337"/>
      <c r="C91" s="276"/>
      <c r="D91" s="276"/>
      <c r="E91" s="276"/>
      <c r="F91" s="1205" t="str">
        <f>'1Tab_Input'!B100</f>
        <v>Biomed. Tech.</v>
      </c>
      <c r="G91" s="2488">
        <f>'1Tab_Input'!I100</f>
        <v>0</v>
      </c>
      <c r="H91" s="2458">
        <f>'1Tab_Input'!C100</f>
        <v>0</v>
      </c>
      <c r="I91" s="2459">
        <f t="shared" si="45"/>
        <v>0</v>
      </c>
      <c r="J91" s="2459">
        <f t="shared" si="45"/>
        <v>0</v>
      </c>
      <c r="K91" s="2463">
        <f t="shared" si="45"/>
        <v>0</v>
      </c>
      <c r="L91" s="2464">
        <f t="shared" si="37"/>
        <v>0</v>
      </c>
      <c r="M91" s="2459">
        <f>'1Tab_Input'!D100</f>
        <v>0</v>
      </c>
      <c r="N91" s="2459">
        <f>'1Tab_Input'!E100</f>
        <v>0</v>
      </c>
      <c r="O91" s="2459">
        <f>'1Tab_Input'!F100</f>
        <v>0</v>
      </c>
      <c r="P91" s="2459">
        <f>'1Tab_Input'!G100</f>
        <v>0</v>
      </c>
      <c r="Q91" s="1198"/>
      <c r="R91" s="1320">
        <f t="shared" si="46"/>
        <v>0</v>
      </c>
      <c r="S91" s="1194">
        <f t="shared" si="38"/>
        <v>0</v>
      </c>
      <c r="T91" s="1194">
        <f t="shared" si="39"/>
        <v>0</v>
      </c>
      <c r="U91" s="1321">
        <f t="shared" si="40"/>
        <v>0</v>
      </c>
      <c r="V91" s="1194">
        <f t="shared" si="41"/>
        <v>0</v>
      </c>
      <c r="W91" s="1195">
        <f t="shared" si="42"/>
        <v>0</v>
      </c>
      <c r="X91" s="1195">
        <f t="shared" si="42"/>
        <v>0</v>
      </c>
      <c r="Y91" s="1195">
        <f t="shared" si="43"/>
        <v>0</v>
      </c>
      <c r="Z91" s="1195">
        <f t="shared" si="44"/>
        <v>0</v>
      </c>
      <c r="AA91" s="338"/>
      <c r="AB91" s="337"/>
    </row>
    <row r="92" spans="1:28">
      <c r="B92" s="337"/>
      <c r="C92" s="276"/>
      <c r="D92" s="276"/>
      <c r="E92" s="276"/>
      <c r="F92" s="1205" t="str">
        <f>'1Tab_Input'!B101</f>
        <v>Other</v>
      </c>
      <c r="G92" s="2488">
        <f>'1Tab_Input'!I101</f>
        <v>0</v>
      </c>
      <c r="H92" s="2458">
        <f>'1Tab_Input'!C101</f>
        <v>0</v>
      </c>
      <c r="I92" s="2459">
        <f t="shared" si="45"/>
        <v>0</v>
      </c>
      <c r="J92" s="2459">
        <f t="shared" si="45"/>
        <v>0</v>
      </c>
      <c r="K92" s="2463">
        <f t="shared" si="45"/>
        <v>0</v>
      </c>
      <c r="L92" s="2464">
        <f t="shared" si="37"/>
        <v>0</v>
      </c>
      <c r="M92" s="2459">
        <f>'1Tab_Input'!D101</f>
        <v>0</v>
      </c>
      <c r="N92" s="2459">
        <f>'1Tab_Input'!E101</f>
        <v>0</v>
      </c>
      <c r="O92" s="2459">
        <f>'1Tab_Input'!F101</f>
        <v>0</v>
      </c>
      <c r="P92" s="2459">
        <f>'1Tab_Input'!G101</f>
        <v>0</v>
      </c>
      <c r="Q92" s="1198"/>
      <c r="R92" s="1320">
        <f t="shared" si="46"/>
        <v>0</v>
      </c>
      <c r="S92" s="1194">
        <f t="shared" si="38"/>
        <v>0</v>
      </c>
      <c r="T92" s="1194">
        <f t="shared" si="39"/>
        <v>0</v>
      </c>
      <c r="U92" s="1321">
        <f t="shared" si="40"/>
        <v>0</v>
      </c>
      <c r="V92" s="1194">
        <f t="shared" si="41"/>
        <v>0</v>
      </c>
      <c r="W92" s="1195">
        <f t="shared" si="42"/>
        <v>0</v>
      </c>
      <c r="X92" s="1195">
        <f t="shared" si="42"/>
        <v>0</v>
      </c>
      <c r="Y92" s="1195">
        <f t="shared" si="43"/>
        <v>0</v>
      </c>
      <c r="Z92" s="1195">
        <f t="shared" si="44"/>
        <v>0</v>
      </c>
      <c r="AA92" s="338"/>
      <c r="AB92" s="337"/>
    </row>
    <row r="93" spans="1:28">
      <c r="B93" s="337"/>
      <c r="C93" s="276"/>
      <c r="D93" s="276"/>
      <c r="E93" s="276"/>
      <c r="F93" s="1206">
        <f>'1Tab_Input'!B102</f>
        <v>0</v>
      </c>
      <c r="G93" s="2489">
        <f>'1Tab_Input'!I102</f>
        <v>0</v>
      </c>
      <c r="H93" s="2490">
        <f>'1Tab_Input'!C102</f>
        <v>0</v>
      </c>
      <c r="I93" s="2466">
        <f t="shared" si="45"/>
        <v>0</v>
      </c>
      <c r="J93" s="2466">
        <f t="shared" si="45"/>
        <v>0</v>
      </c>
      <c r="K93" s="2467">
        <f t="shared" si="45"/>
        <v>0</v>
      </c>
      <c r="L93" s="2491">
        <f t="shared" si="37"/>
        <v>0</v>
      </c>
      <c r="M93" s="2466">
        <f>'1Tab_Input'!D102</f>
        <v>0</v>
      </c>
      <c r="N93" s="2466">
        <f>'1Tab_Input'!E102</f>
        <v>0</v>
      </c>
      <c r="O93" s="2466">
        <f>'1Tab_Input'!F102</f>
        <v>0</v>
      </c>
      <c r="P93" s="2466">
        <f>'1Tab_Input'!G102</f>
        <v>0</v>
      </c>
      <c r="Q93" s="1199"/>
      <c r="R93" s="1322">
        <f t="shared" si="46"/>
        <v>0</v>
      </c>
      <c r="S93" s="1196">
        <f t="shared" si="38"/>
        <v>0</v>
      </c>
      <c r="T93" s="1196">
        <f t="shared" si="39"/>
        <v>0</v>
      </c>
      <c r="U93" s="1323">
        <f t="shared" si="40"/>
        <v>0</v>
      </c>
      <c r="V93" s="1196">
        <f t="shared" si="41"/>
        <v>0</v>
      </c>
      <c r="W93" s="1197">
        <f t="shared" si="42"/>
        <v>0</v>
      </c>
      <c r="X93" s="1197">
        <f t="shared" si="42"/>
        <v>0</v>
      </c>
      <c r="Y93" s="1197">
        <f t="shared" si="43"/>
        <v>0</v>
      </c>
      <c r="Z93" s="1197">
        <f t="shared" si="44"/>
        <v>0</v>
      </c>
      <c r="AA93" s="338"/>
      <c r="AB93" s="337"/>
    </row>
    <row r="94" spans="1:28">
      <c r="B94" s="337"/>
      <c r="C94" s="276"/>
      <c r="D94" s="276"/>
      <c r="E94" s="744"/>
      <c r="F94" s="761"/>
      <c r="G94" s="762"/>
      <c r="H94" s="763"/>
      <c r="I94" s="763"/>
      <c r="J94" s="763"/>
      <c r="K94" s="763"/>
      <c r="L94" s="762"/>
      <c r="M94" s="763"/>
      <c r="N94" s="763"/>
      <c r="O94" s="763"/>
      <c r="P94" s="763"/>
      <c r="Q94" s="764"/>
      <c r="R94" s="755"/>
      <c r="S94" s="755"/>
      <c r="T94" s="755"/>
      <c r="U94" s="755"/>
      <c r="V94" s="755"/>
      <c r="W94" s="755"/>
      <c r="X94" s="755"/>
      <c r="Y94" s="755"/>
      <c r="Z94" s="755"/>
      <c r="AA94" s="338"/>
      <c r="AB94" s="337"/>
    </row>
    <row r="95" spans="1:28">
      <c r="B95" s="337"/>
      <c r="C95" s="276"/>
      <c r="D95" s="276"/>
      <c r="E95" s="744"/>
      <c r="F95" s="765" t="s">
        <v>3932</v>
      </c>
      <c r="G95" s="766"/>
      <c r="H95" s="746">
        <f t="shared" ref="H95:P95" si="47">SUM(H87:H94)</f>
        <v>0.5</v>
      </c>
      <c r="I95" s="746">
        <f t="shared" si="47"/>
        <v>0.5</v>
      </c>
      <c r="J95" s="746">
        <f t="shared" si="47"/>
        <v>0.5</v>
      </c>
      <c r="K95" s="746">
        <f t="shared" si="47"/>
        <v>0.5</v>
      </c>
      <c r="L95" s="774">
        <f t="shared" si="47"/>
        <v>0.5</v>
      </c>
      <c r="M95" s="746">
        <f t="shared" si="47"/>
        <v>0.5</v>
      </c>
      <c r="N95" s="746">
        <f t="shared" si="47"/>
        <v>0.6</v>
      </c>
      <c r="O95" s="746">
        <f t="shared" si="47"/>
        <v>0.7</v>
      </c>
      <c r="P95" s="746">
        <f t="shared" si="47"/>
        <v>0.8</v>
      </c>
      <c r="Q95" s="767"/>
      <c r="R95" s="758">
        <f t="shared" ref="R95:Z95" si="48">SUM(R87:R93)</f>
        <v>8125</v>
      </c>
      <c r="S95" s="758">
        <f t="shared" si="48"/>
        <v>8125</v>
      </c>
      <c r="T95" s="758">
        <f t="shared" si="48"/>
        <v>8125</v>
      </c>
      <c r="U95" s="758">
        <f t="shared" si="48"/>
        <v>8125</v>
      </c>
      <c r="V95" s="758">
        <f t="shared" si="48"/>
        <v>32500</v>
      </c>
      <c r="W95" s="754">
        <f t="shared" si="48"/>
        <v>33475</v>
      </c>
      <c r="X95" s="754">
        <f t="shared" si="48"/>
        <v>41375.1</v>
      </c>
      <c r="Y95" s="754">
        <f t="shared" si="48"/>
        <v>49719.078500000003</v>
      </c>
      <c r="Z95" s="754">
        <f t="shared" si="48"/>
        <v>58526.458119999996</v>
      </c>
      <c r="AA95" s="338"/>
      <c r="AB95" s="337"/>
    </row>
    <row r="96" spans="1:28">
      <c r="B96" s="337"/>
      <c r="C96" s="276"/>
      <c r="D96" s="276"/>
      <c r="E96" s="276"/>
      <c r="F96" s="706" t="s">
        <v>2966</v>
      </c>
      <c r="G96" s="771">
        <f>G22</f>
        <v>0.39</v>
      </c>
      <c r="H96" s="706"/>
      <c r="I96" s="706"/>
      <c r="J96" s="706"/>
      <c r="K96" s="706"/>
      <c r="L96" s="760"/>
      <c r="M96" s="706"/>
      <c r="N96" s="706"/>
      <c r="O96" s="706"/>
      <c r="P96" s="706"/>
      <c r="Q96" s="768"/>
      <c r="R96" s="757">
        <f>R95*$G96</f>
        <v>3168.75</v>
      </c>
      <c r="S96" s="757">
        <f>S95*$G96</f>
        <v>3168.75</v>
      </c>
      <c r="T96" s="757">
        <f>T95*$G96</f>
        <v>3168.75</v>
      </c>
      <c r="U96" s="757">
        <f>U95*$G96</f>
        <v>3168.75</v>
      </c>
      <c r="V96" s="759">
        <f>V95*$G$96</f>
        <v>12675</v>
      </c>
      <c r="W96" s="759">
        <f>W95*$G$96</f>
        <v>13055.25</v>
      </c>
      <c r="X96" s="759">
        <f>X95*$G$96</f>
        <v>16136.289000000001</v>
      </c>
      <c r="Y96" s="759">
        <f>Y95*$G$96</f>
        <v>19390.440615000003</v>
      </c>
      <c r="Z96" s="759">
        <f>Z95*$G$96</f>
        <v>22825.318666799998</v>
      </c>
      <c r="AA96" s="338"/>
      <c r="AB96" s="337"/>
    </row>
    <row r="97" spans="1:28">
      <c r="B97" s="337"/>
      <c r="C97" s="276"/>
      <c r="D97" s="276"/>
      <c r="E97" s="276"/>
      <c r="F97" s="1695" t="s">
        <v>2501</v>
      </c>
      <c r="G97" s="768"/>
      <c r="H97" s="768"/>
      <c r="I97" s="768"/>
      <c r="J97" s="768"/>
      <c r="K97" s="768"/>
      <c r="L97" s="768"/>
      <c r="M97" s="768"/>
      <c r="N97" s="768"/>
      <c r="O97" s="768"/>
      <c r="P97" s="768"/>
      <c r="Q97" s="768"/>
      <c r="R97" s="754">
        <f t="shared" ref="R97:Z97" si="49">R95+R96</f>
        <v>11293.75</v>
      </c>
      <c r="S97" s="754">
        <f t="shared" si="49"/>
        <v>11293.75</v>
      </c>
      <c r="T97" s="754">
        <f t="shared" si="49"/>
        <v>11293.75</v>
      </c>
      <c r="U97" s="754">
        <f t="shared" si="49"/>
        <v>11293.75</v>
      </c>
      <c r="V97" s="754">
        <f t="shared" si="49"/>
        <v>45175</v>
      </c>
      <c r="W97" s="754">
        <f t="shared" si="49"/>
        <v>46530.25</v>
      </c>
      <c r="X97" s="754">
        <f t="shared" si="49"/>
        <v>57511.388999999996</v>
      </c>
      <c r="Y97" s="754">
        <f t="shared" si="49"/>
        <v>69109.519115000003</v>
      </c>
      <c r="Z97" s="754">
        <f t="shared" si="49"/>
        <v>81351.776786799994</v>
      </c>
      <c r="AA97" s="343"/>
      <c r="AB97" s="337"/>
    </row>
    <row r="98" spans="1:28">
      <c r="B98" s="337"/>
      <c r="C98" s="276"/>
      <c r="D98" s="276"/>
      <c r="E98" s="276"/>
      <c r="F98" s="706"/>
      <c r="G98" s="767"/>
      <c r="H98" s="767"/>
      <c r="I98" s="767"/>
      <c r="J98" s="767"/>
      <c r="K98" s="767"/>
      <c r="L98" s="767"/>
      <c r="M98" s="767"/>
      <c r="N98" s="767"/>
      <c r="O98" s="767"/>
      <c r="P98" s="767"/>
      <c r="Q98" s="767"/>
      <c r="R98" s="756"/>
      <c r="S98" s="756"/>
      <c r="T98" s="756"/>
      <c r="U98" s="756"/>
      <c r="V98" s="756"/>
      <c r="W98" s="756"/>
      <c r="X98" s="756"/>
      <c r="Y98" s="756"/>
      <c r="Z98" s="756"/>
      <c r="AA98" s="338"/>
      <c r="AB98" s="337"/>
    </row>
    <row r="99" spans="1:28">
      <c r="B99" s="337"/>
      <c r="C99" s="276"/>
      <c r="D99" s="276"/>
      <c r="E99" s="276"/>
      <c r="F99" s="2731" t="s">
        <v>4114</v>
      </c>
      <c r="G99" s="769"/>
      <c r="H99" s="727">
        <f>'2.0 Patients'!T86+'2.0 Patients'!T88</f>
        <v>1.5</v>
      </c>
      <c r="I99" s="727">
        <f>'2.0 Patients'!W86+'2.0 Patients'!W88</f>
        <v>2</v>
      </c>
      <c r="J99" s="727">
        <f>'2.0 Patients'!Z86+'2.0 Patients'!Z88</f>
        <v>2.5</v>
      </c>
      <c r="K99" s="727">
        <f>'2.0 Patients'!AC86+'2.0 Patients'!AC88</f>
        <v>3</v>
      </c>
      <c r="L99" s="727">
        <f>'2.0 Patients'!I86+'2.0 Patients'!I88</f>
        <v>3</v>
      </c>
      <c r="M99" s="727">
        <f>'2.0 Patients'!J86+'2.0 Patients'!J88</f>
        <v>6</v>
      </c>
      <c r="N99" s="727">
        <f>'2.0 Patients'!K86+'2.0 Patients'!K88</f>
        <v>8</v>
      </c>
      <c r="O99" s="727">
        <f>'2.0 Patients'!L86+'2.0 Patients'!L88</f>
        <v>9</v>
      </c>
      <c r="P99" s="727">
        <f>'2.0 Patients'!M86+'2.0 Patients'!M88</f>
        <v>10</v>
      </c>
      <c r="Q99" s="706"/>
      <c r="R99" s="749"/>
      <c r="S99" s="749"/>
      <c r="T99" s="749"/>
      <c r="U99" s="749"/>
      <c r="V99" s="749">
        <f>'2.0 Patients'!I86+'2.0 Patients'!I88</f>
        <v>3</v>
      </c>
      <c r="W99" s="749">
        <f>'2.0 Patients'!J86+'2.0 Patients'!J88</f>
        <v>6</v>
      </c>
      <c r="X99" s="749">
        <f>'2.0 Patients'!K86+'2.0 Patients'!K88</f>
        <v>8</v>
      </c>
      <c r="Y99" s="749">
        <f>'2.0 Patients'!L86+'2.0 Patients'!L88</f>
        <v>9</v>
      </c>
      <c r="Z99" s="749">
        <f>'2.0 Patients'!M86+'2.0 Patients'!M88</f>
        <v>10</v>
      </c>
      <c r="AA99" s="343"/>
      <c r="AB99" s="337"/>
    </row>
    <row r="100" spans="1:28">
      <c r="B100" s="337"/>
      <c r="C100" s="276"/>
      <c r="D100" s="276"/>
      <c r="E100" s="276"/>
      <c r="F100" s="768" t="s">
        <v>3529</v>
      </c>
      <c r="G100" s="768"/>
      <c r="H100" s="768"/>
      <c r="I100" s="768"/>
      <c r="J100" s="768"/>
      <c r="K100" s="768"/>
      <c r="L100" s="768"/>
      <c r="M100" s="768"/>
      <c r="N100" s="768"/>
      <c r="O100" s="768"/>
      <c r="P100" s="768"/>
      <c r="Q100" s="768"/>
      <c r="R100" s="749"/>
      <c r="S100" s="749"/>
      <c r="T100" s="749"/>
      <c r="U100" s="749"/>
      <c r="V100" s="749">
        <f>'5. Financials'!I48+'5. Financials'!I56</f>
        <v>392.59999999999991</v>
      </c>
      <c r="W100" s="749">
        <f>'5. Financials'!J48+'5. Financials'!J56</f>
        <v>789.09999999999991</v>
      </c>
      <c r="X100" s="749">
        <f>'5. Financials'!K48+'5. Financials'!K56</f>
        <v>1209.2166666666662</v>
      </c>
      <c r="Y100" s="749">
        <f>'5. Financials'!L48+'5. Financials'!L56</f>
        <v>1467.6999999999989</v>
      </c>
      <c r="Z100" s="749">
        <f>'5. Financials'!M48+'5. Financials'!M56</f>
        <v>1623.6999999999985</v>
      </c>
      <c r="AA100" s="338"/>
      <c r="AB100" s="337"/>
    </row>
    <row r="101" spans="1:28">
      <c r="B101" s="337"/>
      <c r="C101" s="276"/>
      <c r="D101" s="276"/>
      <c r="E101" s="276"/>
      <c r="F101" s="768" t="s">
        <v>106</v>
      </c>
      <c r="G101" s="768"/>
      <c r="H101" s="768"/>
      <c r="I101" s="768"/>
      <c r="J101" s="768"/>
      <c r="K101" s="768"/>
      <c r="L101" s="768"/>
      <c r="M101" s="768"/>
      <c r="N101" s="768"/>
      <c r="O101" s="768"/>
      <c r="P101" s="768"/>
      <c r="Q101" s="768"/>
      <c r="R101" s="754"/>
      <c r="S101" s="754"/>
      <c r="T101" s="754"/>
      <c r="U101" s="754"/>
      <c r="V101" s="754">
        <f>IF(V100=0,0,V97/V100)</f>
        <v>115.06622516556294</v>
      </c>
      <c r="W101" s="754">
        <f>IF(W100=0,0,W97/W100)</f>
        <v>58.966227347611209</v>
      </c>
      <c r="X101" s="754">
        <f>IF(X100=0,0,X97/X100)</f>
        <v>47.560863644508167</v>
      </c>
      <c r="Y101" s="754">
        <f>IF(Y100=0,0,Y97/Y100)</f>
        <v>47.086951771479221</v>
      </c>
      <c r="Z101" s="754">
        <f>IF(Z100=0,0,Z97/Z100)</f>
        <v>50.102714040032069</v>
      </c>
      <c r="AA101" s="344"/>
      <c r="AB101" s="337"/>
    </row>
    <row r="102" spans="1:28">
      <c r="B102" s="337"/>
      <c r="C102" s="276"/>
      <c r="D102" s="276"/>
      <c r="E102" s="276"/>
      <c r="R102" s="344"/>
      <c r="S102" s="344"/>
      <c r="T102" s="344"/>
      <c r="U102" s="344"/>
      <c r="V102" s="344"/>
      <c r="W102" s="344"/>
      <c r="X102" s="344"/>
      <c r="Y102" s="344"/>
      <c r="Z102" s="344"/>
      <c r="AA102" s="344"/>
      <c r="AB102" s="337"/>
    </row>
    <row r="103" spans="1:28">
      <c r="B103" s="337"/>
      <c r="C103" s="276"/>
      <c r="D103" s="276"/>
      <c r="E103" s="276"/>
      <c r="R103" s="344"/>
      <c r="S103" s="344"/>
      <c r="T103" s="344"/>
      <c r="U103" s="344"/>
      <c r="V103" s="344"/>
      <c r="W103" s="344"/>
      <c r="X103" s="344"/>
      <c r="Y103" s="344"/>
      <c r="Z103" s="344"/>
      <c r="AA103" s="344"/>
      <c r="AB103" s="337"/>
    </row>
    <row r="104" spans="1:28" s="274" customFormat="1">
      <c r="A104" s="178"/>
      <c r="B104" s="337"/>
      <c r="C104" s="276"/>
      <c r="D104" s="276"/>
      <c r="E104" s="341" t="s">
        <v>3218</v>
      </c>
      <c r="AB104" s="336"/>
    </row>
    <row r="105" spans="1:28" s="274" customFormat="1">
      <c r="B105" s="336"/>
      <c r="C105" s="277"/>
      <c r="D105" s="277"/>
      <c r="E105" s="335"/>
      <c r="AA105" s="255"/>
      <c r="AB105" s="336"/>
    </row>
    <row r="106" spans="1:28" s="274" customFormat="1">
      <c r="B106" s="336"/>
      <c r="C106" s="277"/>
      <c r="D106" s="277"/>
      <c r="E106" s="335"/>
      <c r="H106" s="739" t="s">
        <v>3131</v>
      </c>
      <c r="I106" s="739"/>
      <c r="J106" s="739"/>
      <c r="K106" s="739"/>
      <c r="L106" s="739" t="s">
        <v>3131</v>
      </c>
      <c r="M106" s="739"/>
      <c r="N106" s="739"/>
      <c r="O106" s="739"/>
      <c r="P106" s="739"/>
      <c r="R106" s="739"/>
      <c r="S106" s="739"/>
      <c r="T106" s="739"/>
      <c r="U106" s="739"/>
      <c r="V106" s="739" t="s">
        <v>3132</v>
      </c>
      <c r="W106" s="739"/>
      <c r="X106" s="739"/>
      <c r="Y106" s="739"/>
      <c r="Z106" s="739"/>
      <c r="AB106" s="336"/>
    </row>
    <row r="107" spans="1:28" s="274" customFormat="1">
      <c r="B107" s="336"/>
      <c r="C107" s="277"/>
      <c r="D107" s="277"/>
      <c r="E107" s="277"/>
      <c r="F107" s="335"/>
      <c r="G107" s="751"/>
      <c r="H107" s="747" t="s">
        <v>1090</v>
      </c>
      <c r="I107" s="747"/>
      <c r="J107" s="747"/>
      <c r="K107" s="747"/>
      <c r="Q107" s="723"/>
      <c r="R107" s="1314">
        <f>V108</f>
        <v>1</v>
      </c>
      <c r="S107" s="719"/>
      <c r="T107" s="719"/>
      <c r="U107" s="719"/>
      <c r="AB107" s="336"/>
    </row>
    <row r="108" spans="1:28" s="274" customFormat="1">
      <c r="B108" s="336"/>
      <c r="C108" s="277"/>
      <c r="D108" s="277"/>
      <c r="E108" s="277"/>
      <c r="F108" s="748" t="s">
        <v>2706</v>
      </c>
      <c r="G108" s="738" t="s">
        <v>3133</v>
      </c>
      <c r="H108" s="1201" t="s">
        <v>3117</v>
      </c>
      <c r="I108" s="1202" t="s">
        <v>3118</v>
      </c>
      <c r="J108" s="1202" t="s">
        <v>3119</v>
      </c>
      <c r="K108" s="1203" t="s">
        <v>3120</v>
      </c>
      <c r="L108" s="738" t="s">
        <v>3126</v>
      </c>
      <c r="M108" s="738" t="s">
        <v>3127</v>
      </c>
      <c r="N108" s="738" t="s">
        <v>3128</v>
      </c>
      <c r="O108" s="738" t="s">
        <v>3129</v>
      </c>
      <c r="P108" s="738" t="s">
        <v>3130</v>
      </c>
      <c r="Q108" s="748"/>
      <c r="R108" s="1315" t="s">
        <v>3117</v>
      </c>
      <c r="S108" s="1316" t="s">
        <v>3118</v>
      </c>
      <c r="T108" s="1316" t="s">
        <v>3119</v>
      </c>
      <c r="U108" s="1317" t="s">
        <v>3120</v>
      </c>
      <c r="V108" s="750">
        <v>1</v>
      </c>
      <c r="W108" s="750">
        <v>2</v>
      </c>
      <c r="X108" s="750">
        <v>3</v>
      </c>
      <c r="Y108" s="750">
        <v>4</v>
      </c>
      <c r="Z108" s="750">
        <v>5</v>
      </c>
      <c r="AB108" s="336"/>
    </row>
    <row r="109" spans="1:28" s="274" customFormat="1">
      <c r="B109" s="336"/>
      <c r="C109" s="277"/>
      <c r="D109" s="277"/>
      <c r="E109" s="277"/>
      <c r="F109" s="1207" t="str">
        <f>IF(F42=0,"",F42)</f>
        <v>RN</v>
      </c>
      <c r="G109" s="1211">
        <f t="shared" ref="G109:G115" si="50">IF(ISERROR(AVERAGE(G87,G65,G42)),0,AVERAGE(G87,G65,G42))</f>
        <v>65000</v>
      </c>
      <c r="H109" s="1215">
        <f t="shared" ref="H109:P109" si="51">H65+H42+H87</f>
        <v>2</v>
      </c>
      <c r="I109" s="1187">
        <f t="shared" si="51"/>
        <v>2</v>
      </c>
      <c r="J109" s="1187">
        <f t="shared" si="51"/>
        <v>2</v>
      </c>
      <c r="K109" s="1216">
        <f t="shared" si="51"/>
        <v>2</v>
      </c>
      <c r="L109" s="1200">
        <f t="shared" si="51"/>
        <v>2</v>
      </c>
      <c r="M109" s="1187">
        <f t="shared" si="51"/>
        <v>2.7</v>
      </c>
      <c r="N109" s="1187">
        <f t="shared" si="51"/>
        <v>3.5</v>
      </c>
      <c r="O109" s="1187">
        <f t="shared" si="51"/>
        <v>4.3</v>
      </c>
      <c r="P109" s="1187">
        <f t="shared" si="51"/>
        <v>4.8999999999999995</v>
      </c>
      <c r="Q109" s="1198"/>
      <c r="R109" s="1343">
        <f t="shared" ref="R109:U113" si="52">R65+R42+R87</f>
        <v>32500</v>
      </c>
      <c r="S109" s="1192">
        <f t="shared" si="52"/>
        <v>32500</v>
      </c>
      <c r="T109" s="1192">
        <f t="shared" si="52"/>
        <v>32500</v>
      </c>
      <c r="U109" s="1344">
        <f t="shared" si="52"/>
        <v>32500</v>
      </c>
      <c r="V109" s="1192">
        <f t="shared" ref="V109:Z115" si="53">V65+V42+V87</f>
        <v>130000</v>
      </c>
      <c r="W109" s="1193">
        <f t="shared" si="53"/>
        <v>180765</v>
      </c>
      <c r="X109" s="1193">
        <f t="shared" si="53"/>
        <v>241354.75</v>
      </c>
      <c r="Y109" s="1193">
        <f t="shared" si="53"/>
        <v>305417.19650000002</v>
      </c>
      <c r="Z109" s="1193">
        <f t="shared" si="53"/>
        <v>358474.55598499998</v>
      </c>
      <c r="AA109" s="339"/>
      <c r="AB109" s="336"/>
    </row>
    <row r="110" spans="1:28" s="274" customFormat="1">
      <c r="B110" s="336"/>
      <c r="C110" s="277"/>
      <c r="D110" s="277"/>
      <c r="E110" s="276"/>
      <c r="F110" s="1207" t="str">
        <f t="shared" ref="F110:F115" si="54">IF(F43=0,"",F43)</f>
        <v>PCT</v>
      </c>
      <c r="G110" s="1212">
        <f t="shared" si="50"/>
        <v>32000</v>
      </c>
      <c r="H110" s="1215">
        <f t="shared" ref="H110:P110" si="55">H66+H43+H88</f>
        <v>1.5</v>
      </c>
      <c r="I110" s="1187">
        <f t="shared" si="55"/>
        <v>1.5</v>
      </c>
      <c r="J110" s="1187">
        <f t="shared" si="55"/>
        <v>2</v>
      </c>
      <c r="K110" s="1216">
        <f t="shared" si="55"/>
        <v>2.5</v>
      </c>
      <c r="L110" s="1200">
        <f t="shared" si="55"/>
        <v>1.875</v>
      </c>
      <c r="M110" s="1187">
        <f t="shared" si="55"/>
        <v>4</v>
      </c>
      <c r="N110" s="1187">
        <f t="shared" si="55"/>
        <v>5.5</v>
      </c>
      <c r="O110" s="1187">
        <f t="shared" si="55"/>
        <v>6.5</v>
      </c>
      <c r="P110" s="1187">
        <f t="shared" si="55"/>
        <v>7.3</v>
      </c>
      <c r="Q110" s="1198"/>
      <c r="R110" s="1320">
        <f t="shared" si="52"/>
        <v>12000</v>
      </c>
      <c r="S110" s="1194">
        <f t="shared" si="52"/>
        <v>12000</v>
      </c>
      <c r="T110" s="1194">
        <f t="shared" si="52"/>
        <v>16000</v>
      </c>
      <c r="U110" s="1321">
        <f t="shared" si="52"/>
        <v>20000</v>
      </c>
      <c r="V110" s="1194">
        <f t="shared" si="53"/>
        <v>60000</v>
      </c>
      <c r="W110" s="1195">
        <f t="shared" si="53"/>
        <v>131840</v>
      </c>
      <c r="X110" s="1195">
        <f t="shared" si="53"/>
        <v>186718.4</v>
      </c>
      <c r="Y110" s="1195">
        <f t="shared" si="53"/>
        <v>227287.21600000001</v>
      </c>
      <c r="Z110" s="1195">
        <f t="shared" si="53"/>
        <v>262918.85801599995</v>
      </c>
      <c r="AA110" s="340"/>
      <c r="AB110" s="336"/>
    </row>
    <row r="111" spans="1:28" s="274" customFormat="1">
      <c r="B111" s="336"/>
      <c r="C111" s="277"/>
      <c r="D111" s="277"/>
      <c r="E111" s="276"/>
      <c r="F111" s="1207" t="str">
        <f t="shared" si="54"/>
        <v>LVN</v>
      </c>
      <c r="G111" s="1212">
        <f t="shared" si="50"/>
        <v>0</v>
      </c>
      <c r="H111" s="1215">
        <f t="shared" ref="H111:P111" si="56">H67+H44+H89</f>
        <v>0</v>
      </c>
      <c r="I111" s="1187">
        <f t="shared" si="56"/>
        <v>0</v>
      </c>
      <c r="J111" s="1187">
        <f t="shared" si="56"/>
        <v>0</v>
      </c>
      <c r="K111" s="1216">
        <f t="shared" si="56"/>
        <v>0</v>
      </c>
      <c r="L111" s="1200">
        <f t="shared" si="56"/>
        <v>0</v>
      </c>
      <c r="M111" s="1187">
        <f t="shared" si="56"/>
        <v>0</v>
      </c>
      <c r="N111" s="1187">
        <f t="shared" si="56"/>
        <v>0</v>
      </c>
      <c r="O111" s="1187">
        <f t="shared" si="56"/>
        <v>0</v>
      </c>
      <c r="P111" s="1187">
        <f t="shared" si="56"/>
        <v>0</v>
      </c>
      <c r="Q111" s="1198"/>
      <c r="R111" s="1320">
        <f t="shared" si="52"/>
        <v>0</v>
      </c>
      <c r="S111" s="1194">
        <f t="shared" si="52"/>
        <v>0</v>
      </c>
      <c r="T111" s="1194">
        <f t="shared" si="52"/>
        <v>0</v>
      </c>
      <c r="U111" s="1321">
        <f t="shared" si="52"/>
        <v>0</v>
      </c>
      <c r="V111" s="1194">
        <f t="shared" si="53"/>
        <v>0</v>
      </c>
      <c r="W111" s="1195">
        <f t="shared" si="53"/>
        <v>0</v>
      </c>
      <c r="X111" s="1195">
        <f t="shared" si="53"/>
        <v>0</v>
      </c>
      <c r="Y111" s="1195">
        <f t="shared" si="53"/>
        <v>0</v>
      </c>
      <c r="Z111" s="1195">
        <f t="shared" si="53"/>
        <v>0</v>
      </c>
      <c r="AA111" s="340"/>
      <c r="AB111" s="336"/>
    </row>
    <row r="112" spans="1:28" s="274" customFormat="1">
      <c r="B112" s="336"/>
      <c r="C112" s="277"/>
      <c r="D112" s="277"/>
      <c r="E112" s="276"/>
      <c r="F112" s="1207" t="str">
        <f t="shared" si="54"/>
        <v>RT</v>
      </c>
      <c r="G112" s="1212">
        <f t="shared" si="50"/>
        <v>0</v>
      </c>
      <c r="H112" s="1215">
        <f t="shared" ref="H112:P112" si="57">H68+H45+H90</f>
        <v>0</v>
      </c>
      <c r="I112" s="1187">
        <f t="shared" si="57"/>
        <v>0</v>
      </c>
      <c r="J112" s="1187">
        <f t="shared" si="57"/>
        <v>0</v>
      </c>
      <c r="K112" s="1216">
        <f t="shared" si="57"/>
        <v>0</v>
      </c>
      <c r="L112" s="1200">
        <f t="shared" si="57"/>
        <v>0</v>
      </c>
      <c r="M112" s="1187">
        <f t="shared" si="57"/>
        <v>0</v>
      </c>
      <c r="N112" s="1187">
        <f t="shared" si="57"/>
        <v>0</v>
      </c>
      <c r="O112" s="1187">
        <f t="shared" si="57"/>
        <v>0</v>
      </c>
      <c r="P112" s="1187">
        <f t="shared" si="57"/>
        <v>0</v>
      </c>
      <c r="Q112" s="1198"/>
      <c r="R112" s="1320">
        <f t="shared" si="52"/>
        <v>0</v>
      </c>
      <c r="S112" s="1194">
        <f t="shared" si="52"/>
        <v>0</v>
      </c>
      <c r="T112" s="1194">
        <f t="shared" si="52"/>
        <v>0</v>
      </c>
      <c r="U112" s="1321">
        <f t="shared" si="52"/>
        <v>0</v>
      </c>
      <c r="V112" s="1194">
        <f t="shared" si="53"/>
        <v>0</v>
      </c>
      <c r="W112" s="1195">
        <f t="shared" si="53"/>
        <v>0</v>
      </c>
      <c r="X112" s="1195">
        <f t="shared" si="53"/>
        <v>0</v>
      </c>
      <c r="Y112" s="1195">
        <f t="shared" si="53"/>
        <v>0</v>
      </c>
      <c r="Z112" s="1195">
        <f t="shared" si="53"/>
        <v>0</v>
      </c>
      <c r="AA112" s="340"/>
      <c r="AB112" s="336"/>
    </row>
    <row r="113" spans="1:28" s="274" customFormat="1">
      <c r="B113" s="336"/>
      <c r="C113" s="277"/>
      <c r="D113" s="277"/>
      <c r="E113" s="276"/>
      <c r="F113" s="1207" t="str">
        <f t="shared" si="54"/>
        <v>Biomed. Tech.</v>
      </c>
      <c r="G113" s="1212">
        <f t="shared" si="50"/>
        <v>15000</v>
      </c>
      <c r="H113" s="1215">
        <f t="shared" ref="H113:P113" si="58">H69+H46+H91</f>
        <v>0.6</v>
      </c>
      <c r="I113" s="1187">
        <f t="shared" si="58"/>
        <v>0.6</v>
      </c>
      <c r="J113" s="1187">
        <f t="shared" si="58"/>
        <v>0.6</v>
      </c>
      <c r="K113" s="1216">
        <f t="shared" si="58"/>
        <v>0.6</v>
      </c>
      <c r="L113" s="1200">
        <f t="shared" si="58"/>
        <v>0.6</v>
      </c>
      <c r="M113" s="1187">
        <f t="shared" si="58"/>
        <v>0.6</v>
      </c>
      <c r="N113" s="1187">
        <f t="shared" si="58"/>
        <v>0.6</v>
      </c>
      <c r="O113" s="1187">
        <f t="shared" si="58"/>
        <v>0.6</v>
      </c>
      <c r="P113" s="1187">
        <f t="shared" si="58"/>
        <v>0.6</v>
      </c>
      <c r="Q113" s="1198"/>
      <c r="R113" s="1320">
        <f t="shared" si="52"/>
        <v>6750</v>
      </c>
      <c r="S113" s="1194">
        <f t="shared" si="52"/>
        <v>6750</v>
      </c>
      <c r="T113" s="1194">
        <f t="shared" si="52"/>
        <v>6750</v>
      </c>
      <c r="U113" s="1321">
        <f t="shared" si="52"/>
        <v>6750</v>
      </c>
      <c r="V113" s="1194">
        <f t="shared" si="53"/>
        <v>27000</v>
      </c>
      <c r="W113" s="1195">
        <f t="shared" si="53"/>
        <v>27810</v>
      </c>
      <c r="X113" s="1195">
        <f t="shared" si="53"/>
        <v>28644.3</v>
      </c>
      <c r="Y113" s="1195">
        <f t="shared" si="53"/>
        <v>29503.629000000001</v>
      </c>
      <c r="Z113" s="1195">
        <f t="shared" si="53"/>
        <v>30388.737869999997</v>
      </c>
      <c r="AA113" s="340"/>
      <c r="AB113" s="336"/>
    </row>
    <row r="114" spans="1:28">
      <c r="A114" s="274"/>
      <c r="B114" s="336"/>
      <c r="C114" s="277"/>
      <c r="D114" s="277"/>
      <c r="E114" s="276"/>
      <c r="F114" s="1207" t="str">
        <f t="shared" si="54"/>
        <v>Other</v>
      </c>
      <c r="G114" s="1212">
        <f t="shared" si="50"/>
        <v>0</v>
      </c>
      <c r="H114" s="1215">
        <f t="shared" ref="H114:P114" si="59">H70+H47+H92</f>
        <v>0</v>
      </c>
      <c r="I114" s="1187">
        <f t="shared" si="59"/>
        <v>0</v>
      </c>
      <c r="J114" s="1187">
        <f t="shared" si="59"/>
        <v>0</v>
      </c>
      <c r="K114" s="1216">
        <f t="shared" si="59"/>
        <v>0</v>
      </c>
      <c r="L114" s="1200">
        <f t="shared" si="59"/>
        <v>0</v>
      </c>
      <c r="M114" s="1187">
        <f t="shared" si="59"/>
        <v>0</v>
      </c>
      <c r="N114" s="1187">
        <f t="shared" si="59"/>
        <v>0</v>
      </c>
      <c r="O114" s="1187">
        <f t="shared" si="59"/>
        <v>0</v>
      </c>
      <c r="P114" s="1187">
        <f t="shared" si="59"/>
        <v>0</v>
      </c>
      <c r="Q114" s="1198"/>
      <c r="R114" s="1320">
        <f t="shared" ref="R114:U115" si="60">R70+R47+R92</f>
        <v>0</v>
      </c>
      <c r="S114" s="1194">
        <f t="shared" si="60"/>
        <v>0</v>
      </c>
      <c r="T114" s="1194">
        <f t="shared" si="60"/>
        <v>0</v>
      </c>
      <c r="U114" s="1321">
        <f t="shared" si="60"/>
        <v>0</v>
      </c>
      <c r="V114" s="1194">
        <f t="shared" si="53"/>
        <v>0</v>
      </c>
      <c r="W114" s="1195">
        <f t="shared" si="53"/>
        <v>0</v>
      </c>
      <c r="X114" s="1195">
        <f t="shared" si="53"/>
        <v>0</v>
      </c>
      <c r="Y114" s="1195">
        <f t="shared" si="53"/>
        <v>0</v>
      </c>
      <c r="Z114" s="1195">
        <f t="shared" si="53"/>
        <v>0</v>
      </c>
      <c r="AA114" s="338"/>
      <c r="AB114" s="337"/>
    </row>
    <row r="115" spans="1:28">
      <c r="B115" s="337"/>
      <c r="C115" s="276"/>
      <c r="D115" s="276"/>
      <c r="E115" s="276"/>
      <c r="F115" s="1208" t="str">
        <f t="shared" si="54"/>
        <v/>
      </c>
      <c r="G115" s="1213">
        <f t="shared" si="50"/>
        <v>0</v>
      </c>
      <c r="H115" s="1217">
        <f t="shared" ref="H115:P115" si="61">H71+H48+H93</f>
        <v>0</v>
      </c>
      <c r="I115" s="1191">
        <f t="shared" si="61"/>
        <v>0</v>
      </c>
      <c r="J115" s="1191">
        <f t="shared" si="61"/>
        <v>0</v>
      </c>
      <c r="K115" s="1218">
        <f t="shared" si="61"/>
        <v>0</v>
      </c>
      <c r="L115" s="1214">
        <f t="shared" si="61"/>
        <v>0</v>
      </c>
      <c r="M115" s="1209">
        <f t="shared" si="61"/>
        <v>0</v>
      </c>
      <c r="N115" s="1209">
        <f t="shared" si="61"/>
        <v>0</v>
      </c>
      <c r="O115" s="1209">
        <f t="shared" si="61"/>
        <v>0</v>
      </c>
      <c r="P115" s="1209">
        <f t="shared" si="61"/>
        <v>0</v>
      </c>
      <c r="Q115" s="1219"/>
      <c r="R115" s="1322">
        <f t="shared" si="60"/>
        <v>0</v>
      </c>
      <c r="S115" s="1196">
        <f t="shared" si="60"/>
        <v>0</v>
      </c>
      <c r="T115" s="1196">
        <f t="shared" si="60"/>
        <v>0</v>
      </c>
      <c r="U115" s="1323">
        <f t="shared" si="60"/>
        <v>0</v>
      </c>
      <c r="V115" s="1196">
        <f t="shared" si="53"/>
        <v>0</v>
      </c>
      <c r="W115" s="1210">
        <f t="shared" si="53"/>
        <v>0</v>
      </c>
      <c r="X115" s="1210">
        <f t="shared" si="53"/>
        <v>0</v>
      </c>
      <c r="Y115" s="1210">
        <f t="shared" si="53"/>
        <v>0</v>
      </c>
      <c r="Z115" s="1210">
        <f t="shared" si="53"/>
        <v>0</v>
      </c>
      <c r="AA115" s="338"/>
      <c r="AB115" s="337"/>
    </row>
    <row r="116" spans="1:28">
      <c r="B116" s="337"/>
      <c r="C116" s="276"/>
      <c r="D116" s="276"/>
      <c r="E116" s="744"/>
      <c r="F116" s="761"/>
      <c r="G116" s="762"/>
      <c r="H116" s="763"/>
      <c r="I116" s="763"/>
      <c r="J116" s="763"/>
      <c r="K116" s="763"/>
      <c r="L116" s="763"/>
      <c r="M116" s="763"/>
      <c r="N116" s="763"/>
      <c r="O116" s="763"/>
      <c r="P116" s="763"/>
      <c r="Q116" s="764"/>
      <c r="R116" s="755"/>
      <c r="S116" s="755"/>
      <c r="T116" s="755"/>
      <c r="U116" s="755"/>
      <c r="V116" s="755"/>
      <c r="W116" s="755"/>
      <c r="X116" s="755"/>
      <c r="Y116" s="755"/>
      <c r="Z116" s="755"/>
      <c r="AA116" s="338"/>
      <c r="AB116" s="337"/>
    </row>
    <row r="117" spans="1:28">
      <c r="B117" s="337"/>
      <c r="C117" s="276"/>
      <c r="D117" s="276"/>
      <c r="E117" s="744"/>
      <c r="F117" s="765" t="s">
        <v>3932</v>
      </c>
      <c r="G117" s="766"/>
      <c r="H117" s="746">
        <f t="shared" ref="H117:P117" si="62">SUM(H109:H116)</f>
        <v>4.0999999999999996</v>
      </c>
      <c r="I117" s="746">
        <f t="shared" si="62"/>
        <v>4.0999999999999996</v>
      </c>
      <c r="J117" s="746">
        <f t="shared" si="62"/>
        <v>4.5999999999999996</v>
      </c>
      <c r="K117" s="746">
        <f t="shared" si="62"/>
        <v>5.0999999999999996</v>
      </c>
      <c r="L117" s="746">
        <f t="shared" si="62"/>
        <v>4.4749999999999996</v>
      </c>
      <c r="M117" s="746">
        <f t="shared" si="62"/>
        <v>7.3</v>
      </c>
      <c r="N117" s="746">
        <f t="shared" si="62"/>
        <v>9.6</v>
      </c>
      <c r="O117" s="746">
        <f t="shared" si="62"/>
        <v>11.4</v>
      </c>
      <c r="P117" s="746">
        <f t="shared" si="62"/>
        <v>12.799999999999999</v>
      </c>
      <c r="Q117" s="767"/>
      <c r="R117" s="758">
        <f t="shared" ref="R117:U119" si="63">R73+R50+R95</f>
        <v>51250</v>
      </c>
      <c r="S117" s="758">
        <f t="shared" si="63"/>
        <v>51250</v>
      </c>
      <c r="T117" s="758">
        <f t="shared" si="63"/>
        <v>55250</v>
      </c>
      <c r="U117" s="758">
        <f t="shared" si="63"/>
        <v>59250</v>
      </c>
      <c r="V117" s="758">
        <f t="shared" ref="V117:Z119" si="64">V73+V50+V95</f>
        <v>217000</v>
      </c>
      <c r="W117" s="754">
        <f t="shared" si="64"/>
        <v>340415</v>
      </c>
      <c r="X117" s="754">
        <f t="shared" si="64"/>
        <v>456717.44999999995</v>
      </c>
      <c r="Y117" s="754">
        <f t="shared" si="64"/>
        <v>562208.04150000005</v>
      </c>
      <c r="Z117" s="754">
        <f t="shared" si="64"/>
        <v>651782.15187099995</v>
      </c>
      <c r="AA117" s="338"/>
      <c r="AB117" s="337"/>
    </row>
    <row r="118" spans="1:28">
      <c r="B118" s="337"/>
      <c r="C118" s="276"/>
      <c r="D118" s="276"/>
      <c r="E118" s="276"/>
      <c r="F118" s="706" t="s">
        <v>2966</v>
      </c>
      <c r="G118" s="775">
        <f>SUM(V118:Z118)/SUM(V117:Z117)</f>
        <v>0.39</v>
      </c>
      <c r="H118" s="706"/>
      <c r="I118" s="706"/>
      <c r="J118" s="706"/>
      <c r="K118" s="706"/>
      <c r="L118" s="706"/>
      <c r="M118" s="706"/>
      <c r="N118" s="706"/>
      <c r="O118" s="706"/>
      <c r="P118" s="706"/>
      <c r="Q118" s="768"/>
      <c r="R118" s="759">
        <f t="shared" si="63"/>
        <v>19987.5</v>
      </c>
      <c r="S118" s="759">
        <f t="shared" si="63"/>
        <v>19987.5</v>
      </c>
      <c r="T118" s="759">
        <f t="shared" si="63"/>
        <v>21547.5</v>
      </c>
      <c r="U118" s="759">
        <f t="shared" si="63"/>
        <v>23107.5</v>
      </c>
      <c r="V118" s="759">
        <f>V74+V51+V96</f>
        <v>84630</v>
      </c>
      <c r="W118" s="759">
        <f t="shared" si="64"/>
        <v>132761.85</v>
      </c>
      <c r="X118" s="759">
        <f t="shared" si="64"/>
        <v>178119.80550000002</v>
      </c>
      <c r="Y118" s="759">
        <f t="shared" si="64"/>
        <v>219261.13618500001</v>
      </c>
      <c r="Z118" s="759">
        <f t="shared" si="64"/>
        <v>254195.03922968998</v>
      </c>
      <c r="AA118" s="338"/>
      <c r="AB118" s="337"/>
    </row>
    <row r="119" spans="1:28">
      <c r="B119" s="337"/>
      <c r="C119" s="276"/>
      <c r="D119" s="276"/>
      <c r="E119" s="276"/>
      <c r="F119" s="1695" t="s">
        <v>2501</v>
      </c>
      <c r="G119" s="768"/>
      <c r="H119" s="768"/>
      <c r="I119" s="768"/>
      <c r="J119" s="768"/>
      <c r="K119" s="768"/>
      <c r="L119" s="768"/>
      <c r="M119" s="768"/>
      <c r="N119" s="768"/>
      <c r="O119" s="768"/>
      <c r="P119" s="768"/>
      <c r="Q119" s="768"/>
      <c r="R119" s="754">
        <f t="shared" si="63"/>
        <v>71237.5</v>
      </c>
      <c r="S119" s="754">
        <f t="shared" si="63"/>
        <v>71237.5</v>
      </c>
      <c r="T119" s="754">
        <f t="shared" si="63"/>
        <v>76797.5</v>
      </c>
      <c r="U119" s="754">
        <f t="shared" si="63"/>
        <v>82357.5</v>
      </c>
      <c r="V119" s="754">
        <f t="shared" si="64"/>
        <v>301630</v>
      </c>
      <c r="W119" s="754">
        <f t="shared" si="64"/>
        <v>473176.85</v>
      </c>
      <c r="X119" s="754">
        <f t="shared" si="64"/>
        <v>634837.25549999997</v>
      </c>
      <c r="Y119" s="754">
        <f t="shared" si="64"/>
        <v>781469.17768500012</v>
      </c>
      <c r="Z119" s="754">
        <f t="shared" si="64"/>
        <v>905977.19110068993</v>
      </c>
      <c r="AA119" s="343"/>
      <c r="AB119" s="337"/>
    </row>
    <row r="120" spans="1:28">
      <c r="B120" s="337"/>
      <c r="C120" s="276"/>
      <c r="D120" s="276"/>
      <c r="E120" s="276"/>
      <c r="F120" s="706"/>
      <c r="G120" s="767"/>
      <c r="H120" s="767"/>
      <c r="I120" s="767"/>
      <c r="J120" s="767"/>
      <c r="K120" s="767"/>
      <c r="L120" s="767"/>
      <c r="M120" s="767"/>
      <c r="N120" s="767"/>
      <c r="O120" s="767"/>
      <c r="P120" s="767"/>
      <c r="Q120" s="767"/>
      <c r="R120" s="756"/>
      <c r="S120" s="756"/>
      <c r="T120" s="756"/>
      <c r="U120" s="756"/>
      <c r="V120" s="756"/>
      <c r="W120" s="756"/>
      <c r="X120" s="756"/>
      <c r="Y120" s="756"/>
      <c r="Z120" s="756"/>
      <c r="AA120" s="338"/>
      <c r="AB120" s="337"/>
    </row>
    <row r="121" spans="1:28">
      <c r="B121" s="337"/>
      <c r="C121" s="276"/>
      <c r="D121" s="276"/>
      <c r="E121" s="276"/>
      <c r="F121" s="706" t="s">
        <v>814</v>
      </c>
      <c r="G121" s="769"/>
      <c r="H121" s="727"/>
      <c r="I121" s="727"/>
      <c r="J121" s="727"/>
      <c r="K121" s="727"/>
      <c r="Q121" s="706"/>
      <c r="R121" s="749"/>
      <c r="S121" s="749"/>
      <c r="T121" s="749"/>
      <c r="U121" s="749"/>
      <c r="V121" s="749">
        <f>V77+V54+V99</f>
        <v>36</v>
      </c>
      <c r="W121" s="749">
        <f>W77+W54+W99</f>
        <v>65</v>
      </c>
      <c r="X121" s="749">
        <f>X77+X54+X99</f>
        <v>84</v>
      </c>
      <c r="Y121" s="749">
        <f>Y77+Y54+Y99</f>
        <v>103</v>
      </c>
      <c r="Z121" s="749">
        <f>Z77+Z54+Z99</f>
        <v>116</v>
      </c>
      <c r="AA121" s="343"/>
      <c r="AB121" s="337"/>
    </row>
    <row r="122" spans="1:28" s="274" customFormat="1">
      <c r="A122" s="178"/>
      <c r="B122" s="337"/>
      <c r="C122" s="276"/>
      <c r="D122" s="276"/>
      <c r="E122" s="276"/>
      <c r="F122" s="768" t="s">
        <v>3529</v>
      </c>
      <c r="G122" s="768"/>
      <c r="H122" s="768"/>
      <c r="I122" s="768"/>
      <c r="J122" s="768"/>
      <c r="K122" s="768"/>
      <c r="L122" s="768"/>
      <c r="M122" s="768"/>
      <c r="N122" s="768"/>
      <c r="O122" s="768"/>
      <c r="P122" s="768"/>
      <c r="Q122" s="768"/>
      <c r="R122" s="749"/>
      <c r="S122" s="749"/>
      <c r="T122" s="749"/>
      <c r="U122" s="749"/>
      <c r="V122" s="749">
        <f>V100+V78+V55</f>
        <v>3109.4700000000003</v>
      </c>
      <c r="W122" s="749">
        <f>W100+W78+W55</f>
        <v>7594.4699999999993</v>
      </c>
      <c r="X122" s="749">
        <f>X100+X78+X55</f>
        <v>11069.456666666665</v>
      </c>
      <c r="Y122" s="749">
        <f>Y100+Y78+Y55</f>
        <v>13866.774999999998</v>
      </c>
      <c r="Z122" s="749">
        <f>Z100+Z78+Z55</f>
        <v>16158.025000000001</v>
      </c>
      <c r="AA122" s="340"/>
      <c r="AB122" s="336"/>
    </row>
    <row r="123" spans="1:28" s="274" customFormat="1">
      <c r="B123" s="336"/>
      <c r="C123" s="277"/>
      <c r="D123" s="277"/>
      <c r="E123" s="276"/>
      <c r="F123" s="768" t="s">
        <v>106</v>
      </c>
      <c r="G123" s="768"/>
      <c r="H123" s="768"/>
      <c r="I123" s="768"/>
      <c r="J123" s="768"/>
      <c r="K123" s="768"/>
      <c r="L123" s="768"/>
      <c r="M123" s="768"/>
      <c r="N123" s="768"/>
      <c r="O123" s="768"/>
      <c r="P123" s="768"/>
      <c r="Q123" s="768"/>
      <c r="R123" s="754"/>
      <c r="S123" s="754"/>
      <c r="T123" s="754"/>
      <c r="U123" s="754"/>
      <c r="V123" s="754">
        <f>IF(V122=0,0,V119/V122)</f>
        <v>97.003669435627287</v>
      </c>
      <c r="W123" s="754">
        <f>IF(W122=0,0,W119/W122)</f>
        <v>62.305447253067037</v>
      </c>
      <c r="X123" s="754">
        <f>IF(X122=0,0,X119/X122)</f>
        <v>57.350353736121349</v>
      </c>
      <c r="Y123" s="754">
        <f>IF(Y122=0,0,Y119/Y122)</f>
        <v>56.35551003639997</v>
      </c>
      <c r="Z123" s="754">
        <f>IF(Z122=0,0,Z119/Z122)</f>
        <v>56.069797583596376</v>
      </c>
      <c r="AA123" s="734"/>
      <c r="AB123" s="336"/>
    </row>
    <row r="124" spans="1:28" s="274" customFormat="1">
      <c r="B124" s="336"/>
      <c r="C124" s="277"/>
      <c r="D124" s="277"/>
      <c r="E124" s="276"/>
      <c r="F124" s="2565" t="s">
        <v>4059</v>
      </c>
      <c r="G124" s="178"/>
      <c r="H124" s="178"/>
      <c r="I124" s="178"/>
      <c r="J124" s="178"/>
      <c r="K124" s="178"/>
      <c r="L124" s="178"/>
      <c r="M124" s="178"/>
      <c r="N124" s="178"/>
      <c r="O124" s="178"/>
      <c r="P124" s="178"/>
      <c r="Q124" s="178"/>
      <c r="R124" s="344"/>
      <c r="S124" s="344"/>
      <c r="T124" s="344"/>
      <c r="U124" s="344"/>
      <c r="V124" s="2566">
        <f>IF(V122=0,0,V117/V122)</f>
        <v>69.786812543616747</v>
      </c>
      <c r="W124" s="2566">
        <f>IF(W122=0,0,W117/W122)</f>
        <v>44.824062771990675</v>
      </c>
      <c r="X124" s="2566">
        <f>IF(X122=0,0,X117/X122)</f>
        <v>41.259247292173633</v>
      </c>
      <c r="Y124" s="2566">
        <f>IF(Y122=0,0,Y117/Y122)</f>
        <v>40.543532400287745</v>
      </c>
      <c r="Z124" s="2566">
        <f>IF(Z122=0,0,Z117/Z122)</f>
        <v>40.33798387309092</v>
      </c>
      <c r="AA124" s="734"/>
      <c r="AB124" s="336"/>
    </row>
    <row r="125" spans="1:28" s="274" customFormat="1">
      <c r="B125" s="336"/>
      <c r="C125" s="277"/>
      <c r="D125" s="277"/>
      <c r="E125" s="276"/>
      <c r="F125" s="178"/>
      <c r="G125" s="178"/>
      <c r="H125" s="178"/>
      <c r="I125" s="178"/>
      <c r="J125" s="178"/>
      <c r="K125" s="178"/>
      <c r="L125" s="178"/>
      <c r="M125" s="178"/>
      <c r="N125" s="178"/>
      <c r="O125" s="178"/>
      <c r="P125" s="178"/>
      <c r="Q125" s="178"/>
      <c r="R125" s="344"/>
      <c r="S125" s="344"/>
      <c r="T125" s="344"/>
      <c r="U125" s="344"/>
      <c r="V125" s="344"/>
      <c r="W125" s="344"/>
      <c r="X125" s="344"/>
      <c r="Y125" s="344"/>
      <c r="Z125" s="344"/>
      <c r="AA125" s="734"/>
      <c r="AB125" s="336"/>
    </row>
    <row r="126" spans="1:28" s="274" customFormat="1">
      <c r="B126" s="336"/>
      <c r="C126" s="277"/>
      <c r="D126" s="277"/>
      <c r="E126" s="776" t="s">
        <v>1462</v>
      </c>
      <c r="F126" s="178"/>
      <c r="G126" s="178"/>
      <c r="H126" s="178"/>
      <c r="I126" s="178"/>
      <c r="J126" s="178"/>
      <c r="K126" s="178"/>
      <c r="L126" s="178"/>
      <c r="M126" s="178"/>
      <c r="N126" s="178"/>
      <c r="O126" s="178"/>
      <c r="P126" s="178"/>
      <c r="Q126" s="178"/>
      <c r="R126" s="344"/>
      <c r="S126" s="344"/>
      <c r="T126" s="344"/>
      <c r="U126" s="344"/>
      <c r="V126" s="344"/>
      <c r="W126" s="344"/>
      <c r="X126" s="344"/>
      <c r="Y126" s="344"/>
      <c r="Z126" s="344"/>
      <c r="AA126" s="734"/>
      <c r="AB126" s="336"/>
    </row>
    <row r="127" spans="1:28" s="274" customFormat="1">
      <c r="B127" s="336"/>
      <c r="C127" s="277"/>
      <c r="D127" s="277"/>
      <c r="E127" s="276"/>
      <c r="F127" s="178"/>
      <c r="G127" s="178"/>
      <c r="H127" s="178"/>
      <c r="I127" s="178"/>
      <c r="J127" s="178"/>
      <c r="K127" s="178"/>
      <c r="L127" s="178"/>
      <c r="M127" s="178"/>
      <c r="N127" s="178"/>
      <c r="O127" s="178"/>
      <c r="P127" s="178"/>
      <c r="Q127" s="178"/>
      <c r="R127" s="344"/>
      <c r="S127" s="344"/>
      <c r="T127" s="344"/>
      <c r="U127" s="344"/>
      <c r="V127" s="344"/>
      <c r="W127" s="344"/>
      <c r="X127" s="344"/>
      <c r="Y127" s="344"/>
      <c r="Z127" s="344"/>
      <c r="AA127" s="734"/>
      <c r="AB127" s="336"/>
    </row>
    <row r="128" spans="1:28" s="274" customFormat="1">
      <c r="B128" s="336"/>
      <c r="C128" s="277"/>
      <c r="D128" s="277"/>
      <c r="E128" s="276"/>
      <c r="F128" s="2389" t="s">
        <v>891</v>
      </c>
      <c r="G128" s="178"/>
      <c r="H128" s="178"/>
      <c r="I128" s="178"/>
      <c r="J128" s="178"/>
      <c r="K128" s="178"/>
      <c r="L128" s="178"/>
      <c r="M128" s="178"/>
      <c r="N128" s="178"/>
      <c r="O128" s="178"/>
      <c r="P128" s="178"/>
      <c r="Q128" s="178"/>
      <c r="R128" s="754">
        <f t="shared" ref="R128:Z128" si="65">R21</f>
        <v>28250</v>
      </c>
      <c r="S128" s="754">
        <f t="shared" si="65"/>
        <v>28250</v>
      </c>
      <c r="T128" s="754">
        <f t="shared" si="65"/>
        <v>33750</v>
      </c>
      <c r="U128" s="754">
        <f t="shared" si="65"/>
        <v>33750</v>
      </c>
      <c r="V128" s="754">
        <f t="shared" si="65"/>
        <v>124000</v>
      </c>
      <c r="W128" s="754">
        <f t="shared" si="65"/>
        <v>172525</v>
      </c>
      <c r="X128" s="754">
        <f t="shared" si="65"/>
        <v>244325.27000000002</v>
      </c>
      <c r="Y128" s="754">
        <f t="shared" si="65"/>
        <v>311354.3465333333</v>
      </c>
      <c r="Z128" s="754">
        <f t="shared" si="65"/>
        <v>356073.47052366659</v>
      </c>
      <c r="AA128" s="734"/>
      <c r="AB128" s="336"/>
    </row>
    <row r="129" spans="2:28" s="274" customFormat="1">
      <c r="B129" s="336"/>
      <c r="C129" s="277"/>
      <c r="D129" s="277"/>
      <c r="E129" s="276"/>
      <c r="F129" s="2389" t="s">
        <v>890</v>
      </c>
      <c r="G129" s="178"/>
      <c r="H129" s="178"/>
      <c r="I129" s="178"/>
      <c r="J129" s="178"/>
      <c r="K129" s="178"/>
      <c r="L129" s="178"/>
      <c r="M129" s="178"/>
      <c r="N129" s="178"/>
      <c r="O129" s="178"/>
      <c r="P129" s="178"/>
      <c r="Q129" s="178"/>
      <c r="R129" s="753">
        <f t="shared" ref="R129:Z129" si="66">R117</f>
        <v>51250</v>
      </c>
      <c r="S129" s="753">
        <f t="shared" si="66"/>
        <v>51250</v>
      </c>
      <c r="T129" s="753">
        <f t="shared" si="66"/>
        <v>55250</v>
      </c>
      <c r="U129" s="753">
        <f t="shared" si="66"/>
        <v>59250</v>
      </c>
      <c r="V129" s="753">
        <f t="shared" si="66"/>
        <v>217000</v>
      </c>
      <c r="W129" s="753">
        <f t="shared" si="66"/>
        <v>340415</v>
      </c>
      <c r="X129" s="753">
        <f t="shared" si="66"/>
        <v>456717.44999999995</v>
      </c>
      <c r="Y129" s="753">
        <f t="shared" si="66"/>
        <v>562208.04150000005</v>
      </c>
      <c r="Z129" s="753">
        <f t="shared" si="66"/>
        <v>651782.15187099995</v>
      </c>
      <c r="AA129" s="734"/>
      <c r="AB129" s="336"/>
    </row>
    <row r="130" spans="2:28" s="274" customFormat="1">
      <c r="B130" s="336"/>
      <c r="C130" s="277"/>
      <c r="D130" s="277"/>
      <c r="E130" s="276"/>
      <c r="F130" s="178" t="s">
        <v>1764</v>
      </c>
      <c r="G130" s="801">
        <f>SUM(V130:Z130)/SUM(V128:Z129)</f>
        <v>0.38999999999999996</v>
      </c>
      <c r="H130" s="178"/>
      <c r="I130" s="178"/>
      <c r="J130" s="178"/>
      <c r="K130" s="178"/>
      <c r="L130" s="178"/>
      <c r="M130" s="178"/>
      <c r="N130" s="178"/>
      <c r="O130" s="178"/>
      <c r="P130" s="178"/>
      <c r="Q130" s="178"/>
      <c r="R130" s="757">
        <f t="shared" ref="R130:Z130" si="67">R22+R118</f>
        <v>31005</v>
      </c>
      <c r="S130" s="757">
        <f t="shared" si="67"/>
        <v>31005</v>
      </c>
      <c r="T130" s="757">
        <f t="shared" si="67"/>
        <v>34710</v>
      </c>
      <c r="U130" s="757">
        <f t="shared" si="67"/>
        <v>36270</v>
      </c>
      <c r="V130" s="757">
        <f t="shared" si="67"/>
        <v>132990</v>
      </c>
      <c r="W130" s="757">
        <f t="shared" si="67"/>
        <v>200046.6</v>
      </c>
      <c r="X130" s="757">
        <f t="shared" si="67"/>
        <v>273406.66080000001</v>
      </c>
      <c r="Y130" s="757">
        <f t="shared" si="67"/>
        <v>340689.33133299998</v>
      </c>
      <c r="Z130" s="757">
        <f t="shared" si="67"/>
        <v>393063.69273391995</v>
      </c>
      <c r="AA130" s="734"/>
      <c r="AB130" s="336"/>
    </row>
    <row r="131" spans="2:28" s="274" customFormat="1">
      <c r="B131" s="336"/>
      <c r="C131" s="277"/>
      <c r="D131" s="277"/>
      <c r="E131" s="276"/>
      <c r="F131" s="276" t="s">
        <v>3526</v>
      </c>
      <c r="G131" s="800"/>
      <c r="H131" s="178"/>
      <c r="I131" s="178"/>
      <c r="J131" s="178"/>
      <c r="K131" s="178"/>
      <c r="L131" s="178"/>
      <c r="M131" s="178"/>
      <c r="N131" s="178"/>
      <c r="O131" s="178"/>
      <c r="P131" s="178"/>
      <c r="Q131" s="178"/>
      <c r="R131" s="754">
        <f t="shared" ref="R131:Z131" si="68">SUM(R128:R130)</f>
        <v>110505</v>
      </c>
      <c r="S131" s="754">
        <f t="shared" si="68"/>
        <v>110505</v>
      </c>
      <c r="T131" s="754">
        <f t="shared" si="68"/>
        <v>123710</v>
      </c>
      <c r="U131" s="754">
        <f t="shared" si="68"/>
        <v>129270</v>
      </c>
      <c r="V131" s="754">
        <f t="shared" si="68"/>
        <v>473990</v>
      </c>
      <c r="W131" s="754">
        <f t="shared" si="68"/>
        <v>712986.6</v>
      </c>
      <c r="X131" s="754">
        <f t="shared" si="68"/>
        <v>974449.38079999993</v>
      </c>
      <c r="Y131" s="754">
        <f t="shared" si="68"/>
        <v>1214251.7193663334</v>
      </c>
      <c r="Z131" s="754">
        <f t="shared" si="68"/>
        <v>1400919.3151285865</v>
      </c>
      <c r="AA131" s="734"/>
      <c r="AB131" s="336"/>
    </row>
    <row r="132" spans="2:28" s="274" customFormat="1">
      <c r="B132" s="336"/>
      <c r="C132" s="277"/>
      <c r="D132" s="277"/>
      <c r="E132" s="276"/>
      <c r="F132" s="178"/>
      <c r="G132" s="178"/>
      <c r="H132" s="178"/>
      <c r="I132" s="178"/>
      <c r="J132" s="178"/>
      <c r="K132" s="178"/>
      <c r="L132" s="178"/>
      <c r="M132" s="178"/>
      <c r="N132" s="178"/>
      <c r="O132" s="178"/>
      <c r="P132" s="178"/>
      <c r="Q132" s="178"/>
      <c r="R132" s="344"/>
      <c r="S132" s="344"/>
      <c r="T132" s="344"/>
      <c r="U132" s="344"/>
      <c r="V132" s="344"/>
      <c r="W132" s="344"/>
      <c r="X132" s="344"/>
      <c r="Y132" s="344"/>
      <c r="Z132" s="344"/>
      <c r="AA132" s="734"/>
      <c r="AB132" s="336"/>
    </row>
    <row r="133" spans="2:28" s="274" customFormat="1">
      <c r="B133" s="336"/>
      <c r="C133" s="277"/>
      <c r="D133" s="277"/>
      <c r="E133" s="276"/>
      <c r="F133" s="178" t="s">
        <v>1765</v>
      </c>
      <c r="G133" s="178"/>
      <c r="H133" s="178"/>
      <c r="I133" s="178"/>
      <c r="J133" s="178"/>
      <c r="K133" s="178"/>
      <c r="L133" s="178"/>
      <c r="M133" s="178"/>
      <c r="N133" s="178"/>
      <c r="O133" s="178"/>
      <c r="P133" s="178"/>
      <c r="Q133" s="178"/>
      <c r="R133" s="275">
        <f>SUM(H109:H115)*2080/4</f>
        <v>2132</v>
      </c>
      <c r="S133" s="275">
        <f>SUM(I109:I115)*2080/4</f>
        <v>2132</v>
      </c>
      <c r="T133" s="275">
        <f>SUM(J109:J115)*2080/4</f>
        <v>2392</v>
      </c>
      <c r="U133" s="275">
        <f>SUM(K109:K115)*2080/4</f>
        <v>2652</v>
      </c>
      <c r="V133" s="275">
        <f>SUM(L109:L115)*2080</f>
        <v>9308</v>
      </c>
      <c r="W133" s="275">
        <f>SUM(M109:M115)*2080</f>
        <v>15184</v>
      </c>
      <c r="X133" s="275">
        <f>SUM(N109:N115)*2080</f>
        <v>19968</v>
      </c>
      <c r="Y133" s="275">
        <f>SUM(O109:O115)*2080</f>
        <v>23712</v>
      </c>
      <c r="Z133" s="275">
        <f>SUM(P109:P115)*2080</f>
        <v>26623.999999999996</v>
      </c>
      <c r="AA133" s="734"/>
      <c r="AB133" s="336"/>
    </row>
    <row r="134" spans="2:28" s="274" customFormat="1">
      <c r="B134" s="336"/>
      <c r="C134" s="277"/>
      <c r="D134" s="277"/>
      <c r="E134" s="276"/>
      <c r="F134" s="178" t="s">
        <v>1766</v>
      </c>
      <c r="G134" s="178"/>
      <c r="H134" s="178"/>
      <c r="I134" s="178"/>
      <c r="J134" s="178"/>
      <c r="K134" s="178"/>
      <c r="L134" s="178"/>
      <c r="M134" s="178"/>
      <c r="N134" s="178"/>
      <c r="O134" s="178"/>
      <c r="P134" s="178"/>
      <c r="Q134" s="178"/>
      <c r="R134" s="777">
        <f>SUM(H14:H19)*2080/4</f>
        <v>988</v>
      </c>
      <c r="S134" s="777">
        <f>SUM(I14:I19)*2080/4</f>
        <v>988</v>
      </c>
      <c r="T134" s="777">
        <f>SUM(J14:J19)*2080/4</f>
        <v>1196</v>
      </c>
      <c r="U134" s="777">
        <f>SUM(K14:K19)*2080/4</f>
        <v>1196</v>
      </c>
      <c r="V134" s="777">
        <f>SUM(L14:L19)*2080</f>
        <v>4368</v>
      </c>
      <c r="W134" s="777">
        <f>SUM(M14:M19)*2080</f>
        <v>6448</v>
      </c>
      <c r="X134" s="777">
        <f>SUM(N14:N19)*2080</f>
        <v>8944.0000000000018</v>
      </c>
      <c r="Y134" s="777">
        <f>SUM(O14:O19)*2080</f>
        <v>11058.666666666666</v>
      </c>
      <c r="Z134" s="777">
        <f>SUM(P14:P19)*2080</f>
        <v>12133.333333333334</v>
      </c>
      <c r="AA134" s="734"/>
      <c r="AB134" s="336"/>
    </row>
    <row r="135" spans="2:28" s="274" customFormat="1">
      <c r="B135" s="336"/>
      <c r="C135" s="277"/>
      <c r="D135" s="277"/>
      <c r="E135" s="276"/>
      <c r="F135" s="178" t="s">
        <v>1767</v>
      </c>
      <c r="G135" s="178"/>
      <c r="H135" s="178"/>
      <c r="I135" s="178"/>
      <c r="J135" s="178"/>
      <c r="K135" s="178"/>
      <c r="L135" s="178"/>
      <c r="M135" s="178"/>
      <c r="N135" s="178"/>
      <c r="O135" s="729"/>
      <c r="P135" s="178"/>
      <c r="Q135" s="178"/>
      <c r="R135" s="275">
        <f t="shared" ref="R135:Z135" si="69">SUM(R133:R134)</f>
        <v>3120</v>
      </c>
      <c r="S135" s="275">
        <f t="shared" si="69"/>
        <v>3120</v>
      </c>
      <c r="T135" s="275">
        <f t="shared" si="69"/>
        <v>3588</v>
      </c>
      <c r="U135" s="275">
        <f t="shared" si="69"/>
        <v>3848</v>
      </c>
      <c r="V135" s="275">
        <f t="shared" si="69"/>
        <v>13676</v>
      </c>
      <c r="W135" s="275">
        <f t="shared" si="69"/>
        <v>21632</v>
      </c>
      <c r="X135" s="275">
        <f t="shared" si="69"/>
        <v>28912</v>
      </c>
      <c r="Y135" s="275">
        <f t="shared" si="69"/>
        <v>34770.666666666664</v>
      </c>
      <c r="Z135" s="275">
        <f t="shared" si="69"/>
        <v>38757.333333333328</v>
      </c>
      <c r="AA135" s="734"/>
      <c r="AB135" s="336"/>
    </row>
    <row r="136" spans="2:28" s="274" customFormat="1">
      <c r="B136" s="336"/>
      <c r="C136" s="277"/>
      <c r="D136" s="277"/>
      <c r="E136" s="276"/>
      <c r="F136" s="178" t="s">
        <v>3529</v>
      </c>
      <c r="G136" s="178"/>
      <c r="H136" s="178"/>
      <c r="I136" s="178"/>
      <c r="J136" s="178"/>
      <c r="K136" s="178"/>
      <c r="L136" s="178"/>
      <c r="M136" s="178"/>
      <c r="N136" s="178"/>
      <c r="O136" s="178"/>
      <c r="P136" s="178"/>
      <c r="Q136" s="178"/>
      <c r="R136" s="275"/>
      <c r="S136" s="275"/>
      <c r="T136" s="275"/>
      <c r="U136" s="275"/>
      <c r="V136" s="275">
        <f>'5. Financials'!I66</f>
        <v>3109.4700000000003</v>
      </c>
      <c r="W136" s="275">
        <f>'5. Financials'!J66</f>
        <v>7594.4699999999993</v>
      </c>
      <c r="X136" s="275">
        <f>'5. Financials'!K66</f>
        <v>11069.456666666667</v>
      </c>
      <c r="Y136" s="275">
        <f>'5. Financials'!L66</f>
        <v>13866.774999999998</v>
      </c>
      <c r="Z136" s="275">
        <f>'5. Financials'!M66</f>
        <v>16158.025000000001</v>
      </c>
      <c r="AA136" s="734"/>
      <c r="AB136" s="336"/>
    </row>
    <row r="137" spans="2:28" s="274" customFormat="1">
      <c r="B137" s="336"/>
      <c r="C137" s="277"/>
      <c r="D137" s="277"/>
      <c r="E137" s="276"/>
      <c r="F137" s="178"/>
      <c r="G137" s="178"/>
      <c r="H137" s="178"/>
      <c r="I137" s="178"/>
      <c r="J137" s="178"/>
      <c r="K137" s="178"/>
      <c r="L137" s="178"/>
      <c r="M137" s="178"/>
      <c r="N137" s="178"/>
      <c r="O137" s="178"/>
      <c r="P137" s="178"/>
      <c r="Q137" s="178"/>
      <c r="R137" s="344"/>
      <c r="S137" s="344"/>
      <c r="T137" s="344"/>
      <c r="U137" s="344"/>
      <c r="V137" s="344"/>
      <c r="W137" s="344"/>
      <c r="X137" s="344"/>
      <c r="Y137" s="344"/>
      <c r="Z137" s="344"/>
      <c r="AA137" s="734"/>
      <c r="AB137" s="336"/>
    </row>
    <row r="138" spans="2:28" s="274" customFormat="1">
      <c r="B138" s="336"/>
      <c r="C138" s="277"/>
      <c r="D138" s="277"/>
      <c r="E138" s="277"/>
      <c r="AB138" s="336"/>
    </row>
    <row r="139" spans="2:28" s="274" customFormat="1">
      <c r="B139" s="336"/>
      <c r="C139" s="336"/>
      <c r="D139" s="336"/>
      <c r="E139" s="336"/>
      <c r="F139" s="336"/>
      <c r="G139" s="336"/>
      <c r="H139" s="336"/>
      <c r="I139" s="336"/>
      <c r="J139" s="336"/>
      <c r="K139" s="336"/>
      <c r="L139" s="336"/>
      <c r="M139" s="336"/>
      <c r="N139" s="336"/>
      <c r="O139" s="336"/>
      <c r="P139" s="336"/>
      <c r="Q139" s="336"/>
      <c r="R139" s="336"/>
      <c r="S139" s="336"/>
      <c r="T139" s="336"/>
      <c r="U139" s="336"/>
      <c r="V139" s="336"/>
      <c r="W139" s="336"/>
      <c r="X139" s="336"/>
      <c r="Y139" s="336"/>
      <c r="Z139" s="336"/>
      <c r="AA139" s="336"/>
      <c r="AB139" s="336"/>
    </row>
    <row r="141" spans="2:28">
      <c r="F141" s="2389" t="s">
        <v>4060</v>
      </c>
    </row>
    <row r="142" spans="2:28">
      <c r="F142" s="2389" t="s">
        <v>4061</v>
      </c>
    </row>
  </sheetData>
  <phoneticPr fontId="0" type="noConversion"/>
  <conditionalFormatting sqref="H116:P116 H94:P94 H72:P72 H49:P49 H20:P20 F19 F47:F48">
    <cfRule type="cellIs" dxfId="76" priority="1" stopIfTrue="1" operator="equal">
      <formula>0</formula>
    </cfRule>
  </conditionalFormatting>
  <conditionalFormatting sqref="F42:F46 F65:F71 F87:F93">
    <cfRule type="cellIs" dxfId="75" priority="2" stopIfTrue="1" operator="equal">
      <formula>0</formula>
    </cfRule>
  </conditionalFormatting>
  <pageMargins left="0.5" right="0.5" top="0.75" bottom="0.75" header="0.5" footer="0.5"/>
  <pageSetup scale="60" orientation="portrait" r:id="rId1"/>
  <headerFooter alignWithMargins="0">
    <oddHeader>&amp;F</oddHeader>
    <oddFooter>&amp;L&amp;A&amp;C&amp;P of &amp;N&amp;R&amp;D &amp;T</oddFooter>
  </headerFooter>
  <rowBreaks count="1" manualBreakCount="1">
    <brk id="81" max="16383" man="1"/>
  </rowBreaks>
  <drawing r:id="rId2"/>
</worksheet>
</file>

<file path=xl/worksheets/sheet30.xml><?xml version="1.0" encoding="utf-8"?>
<worksheet xmlns="http://schemas.openxmlformats.org/spreadsheetml/2006/main" xmlns:r="http://schemas.openxmlformats.org/officeDocument/2006/relationships">
  <sheetPr codeName="Sheet10" enableFormatConditionsCalculation="0">
    <tabColor indexed="48"/>
    <pageSetUpPr autoPageBreaks="0"/>
  </sheetPr>
  <dimension ref="A2:AM105"/>
  <sheetViews>
    <sheetView showGridLines="0" zoomScale="70" zoomScaleNormal="70" workbookViewId="0">
      <pane xSplit="8" ySplit="9" topLeftCell="I28" activePane="bottomRight" state="frozen"/>
      <selection pane="topRight" activeCell="I1" sqref="I1"/>
      <selection pane="bottomLeft" activeCell="A10" sqref="A10"/>
      <selection pane="bottomRight" activeCell="AD42" sqref="AD42"/>
    </sheetView>
  </sheetViews>
  <sheetFormatPr defaultRowHeight="12.75" outlineLevelRow="1"/>
  <cols>
    <col min="1" max="1" width="2.7109375" style="403" customWidth="1"/>
    <col min="2" max="2" width="3.42578125" style="2480" bestFit="1" customWidth="1"/>
    <col min="3" max="5" width="2.7109375" style="403" customWidth="1"/>
    <col min="6" max="13" width="9.7109375" style="403" customWidth="1"/>
    <col min="14" max="18" width="9.7109375" style="528" customWidth="1"/>
    <col min="19" max="21" width="9.7109375" style="403" customWidth="1"/>
    <col min="22" max="22" width="10.28515625" style="403" customWidth="1"/>
    <col min="23" max="23" width="9.7109375" style="403" customWidth="1"/>
    <col min="24" max="24" width="10.28515625" style="403" customWidth="1"/>
    <col min="25" max="26" width="2.7109375" style="403" customWidth="1"/>
    <col min="27" max="27" width="2.7109375" style="397" customWidth="1"/>
    <col min="28" max="28" width="9.28515625" style="403" bestFit="1" customWidth="1"/>
    <col min="29" max="29" width="10.28515625" style="403" bestFit="1" customWidth="1"/>
    <col min="30" max="30" width="9.7109375" style="403" bestFit="1" customWidth="1"/>
    <col min="31" max="16384" width="9.140625" style="403"/>
  </cols>
  <sheetData>
    <row r="2" spans="1:39" s="704" customFormat="1">
      <c r="A2" s="528"/>
      <c r="B2" s="2475"/>
      <c r="C2" s="1473" t="s">
        <v>1852</v>
      </c>
      <c r="D2" s="699"/>
      <c r="E2" s="699"/>
      <c r="F2" s="699"/>
      <c r="G2" s="699"/>
      <c r="H2" s="700"/>
      <c r="I2" s="701"/>
      <c r="J2" s="702"/>
      <c r="K2" s="702"/>
      <c r="L2" s="701"/>
      <c r="M2" s="702"/>
      <c r="N2" s="1804"/>
      <c r="O2" s="1804"/>
      <c r="P2" s="1804"/>
      <c r="Q2" s="1804"/>
      <c r="R2" s="1804"/>
      <c r="S2" s="702"/>
      <c r="T2" s="702"/>
      <c r="U2" s="702"/>
      <c r="V2" s="702"/>
      <c r="W2" s="784" t="s">
        <v>1237</v>
      </c>
      <c r="X2" s="804" t="str">
        <f>Type</f>
        <v>DeNovo</v>
      </c>
      <c r="Y2" s="702"/>
      <c r="Z2" s="703"/>
      <c r="AA2" s="685"/>
      <c r="AB2" s="403"/>
      <c r="AC2" s="403"/>
      <c r="AD2" s="403"/>
      <c r="AE2" s="403"/>
    </row>
    <row r="3" spans="1:39" s="704" customFormat="1">
      <c r="B3" s="2475"/>
      <c r="N3" s="528"/>
      <c r="O3" s="528"/>
      <c r="P3" s="528"/>
      <c r="Q3" s="528"/>
      <c r="R3" s="528"/>
      <c r="Z3" s="703"/>
      <c r="AA3" s="685"/>
      <c r="AB3" s="403"/>
      <c r="AC3" s="403"/>
      <c r="AD3" s="403"/>
      <c r="AE3" s="403"/>
    </row>
    <row r="4" spans="1:39" s="704" customFormat="1">
      <c r="B4" s="2475"/>
      <c r="D4" s="341" t="s">
        <v>1151</v>
      </c>
      <c r="E4" s="1469"/>
      <c r="F4" s="1469"/>
      <c r="G4" s="1469"/>
      <c r="H4" s="1469"/>
      <c r="I4" s="1469"/>
      <c r="J4" s="1469"/>
      <c r="K4" s="1469"/>
      <c r="L4" s="1469"/>
      <c r="M4" s="1469"/>
      <c r="N4" s="335"/>
      <c r="O4" s="335"/>
      <c r="P4" s="335"/>
      <c r="Q4" s="335"/>
      <c r="R4" s="335"/>
      <c r="S4" s="1469"/>
      <c r="T4" s="1469"/>
      <c r="U4" s="1469"/>
      <c r="V4" s="1469"/>
      <c r="W4" s="1469"/>
      <c r="X4" s="1469"/>
      <c r="Y4" s="705"/>
      <c r="Z4" s="703"/>
      <c r="AA4" s="685"/>
      <c r="AB4" s="403"/>
      <c r="AC4" s="403"/>
      <c r="AD4" s="403"/>
      <c r="AE4" s="403"/>
    </row>
    <row r="5" spans="1:39">
      <c r="B5" s="2475"/>
      <c r="D5" s="42"/>
      <c r="H5" s="48"/>
      <c r="I5" s="709"/>
      <c r="L5" s="48"/>
      <c r="M5" s="48"/>
      <c r="Y5" s="397"/>
      <c r="Z5" s="708"/>
    </row>
    <row r="6" spans="1:39">
      <c r="B6" s="2475"/>
      <c r="I6" s="3086" t="str">
        <f>"Parent/Market without"&amp;" "&amp;Type</f>
        <v>Parent/Market without DeNovo</v>
      </c>
      <c r="J6" s="3086"/>
      <c r="K6" s="3086"/>
      <c r="L6" s="3086"/>
      <c r="M6" s="3086"/>
      <c r="N6" s="3087" t="str">
        <f>"Parent(s) after "&amp;Type</f>
        <v>Parent(s) after DeNovo</v>
      </c>
      <c r="O6" s="3087"/>
      <c r="P6" s="3087"/>
      <c r="Q6" s="3087"/>
      <c r="R6" s="3087"/>
      <c r="S6" s="3087" t="str">
        <f>Type</f>
        <v>DeNovo</v>
      </c>
      <c r="T6" s="3087"/>
      <c r="U6" s="3087"/>
      <c r="V6" s="3087"/>
      <c r="W6" s="3087"/>
      <c r="X6" s="3087"/>
      <c r="Y6" s="397"/>
      <c r="Z6" s="708"/>
    </row>
    <row r="7" spans="1:39">
      <c r="B7" s="2475"/>
      <c r="I7" s="1069"/>
      <c r="J7" s="1070"/>
      <c r="K7" s="1070"/>
      <c r="L7" s="1070"/>
      <c r="M7" s="1071"/>
      <c r="N7" s="1805"/>
      <c r="O7" s="1805"/>
      <c r="P7" s="1805"/>
      <c r="Q7" s="1805"/>
      <c r="R7" s="1806"/>
      <c r="S7" s="1100"/>
      <c r="T7" s="1100"/>
      <c r="U7" s="1100"/>
      <c r="V7" s="1100"/>
      <c r="W7" s="1100"/>
      <c r="X7" s="1101"/>
      <c r="Y7" s="397"/>
      <c r="Z7" s="708"/>
    </row>
    <row r="8" spans="1:39">
      <c r="B8" s="2475"/>
      <c r="H8" s="412"/>
      <c r="I8" s="1072" t="s">
        <v>1090</v>
      </c>
      <c r="J8" s="716" t="s">
        <v>1091</v>
      </c>
      <c r="K8" s="716" t="s">
        <v>2165</v>
      </c>
      <c r="L8" s="716" t="s">
        <v>2166</v>
      </c>
      <c r="M8" s="1073" t="s">
        <v>2167</v>
      </c>
      <c r="N8" s="716" t="s">
        <v>1090</v>
      </c>
      <c r="O8" s="716" t="s">
        <v>1091</v>
      </c>
      <c r="P8" s="716" t="s">
        <v>2165</v>
      </c>
      <c r="Q8" s="716" t="s">
        <v>2166</v>
      </c>
      <c r="R8" s="1073" t="s">
        <v>2167</v>
      </c>
      <c r="S8" s="716" t="s">
        <v>1762</v>
      </c>
      <c r="T8" s="716" t="s">
        <v>1090</v>
      </c>
      <c r="U8" s="716" t="s">
        <v>1091</v>
      </c>
      <c r="V8" s="716" t="s">
        <v>2165</v>
      </c>
      <c r="W8" s="716" t="s">
        <v>2166</v>
      </c>
      <c r="X8" s="1073" t="s">
        <v>2167</v>
      </c>
      <c r="Y8" s="397"/>
      <c r="Z8" s="708"/>
    </row>
    <row r="9" spans="1:39">
      <c r="B9" s="2475"/>
      <c r="I9" s="1074"/>
      <c r="M9" s="1075"/>
      <c r="R9" s="1807"/>
      <c r="X9" s="1075"/>
      <c r="Y9" s="397"/>
      <c r="Z9" s="708"/>
    </row>
    <row r="10" spans="1:39">
      <c r="B10" s="2475"/>
      <c r="C10" s="397"/>
      <c r="D10" s="1230" t="s">
        <v>3698</v>
      </c>
      <c r="E10" s="1231"/>
      <c r="F10" s="1231"/>
      <c r="G10" s="1231"/>
      <c r="H10" s="1231"/>
      <c r="I10" s="1232">
        <f>'1.2 EssPL'!G9</f>
        <v>189999.84</v>
      </c>
      <c r="J10" s="1233">
        <f>I10*(1+J11)</f>
        <v>189999.84</v>
      </c>
      <c r="K10" s="1233">
        <f>J10*(1+K11)</f>
        <v>189999.84</v>
      </c>
      <c r="L10" s="1233">
        <f>K10*(1+L11)</f>
        <v>189999.84</v>
      </c>
      <c r="M10" s="1234">
        <f>L10*(1+M11)</f>
        <v>189999.84</v>
      </c>
      <c r="N10" s="1808">
        <f>IF(Type="DeNovo",I10,0)</f>
        <v>189999.84</v>
      </c>
      <c r="O10" s="1809">
        <f>N10*(1+O11)</f>
        <v>189999.84</v>
      </c>
      <c r="P10" s="1809">
        <f>O10*(1+P11)</f>
        <v>189999.84</v>
      </c>
      <c r="Q10" s="1809">
        <f>P10*(1+Q11)</f>
        <v>189999.84</v>
      </c>
      <c r="R10" s="1810">
        <f>Q10*(1+R11)</f>
        <v>189999.84</v>
      </c>
      <c r="S10" s="1233"/>
      <c r="T10" s="2472">
        <f>94123+(37649*2)</f>
        <v>169421</v>
      </c>
      <c r="U10" s="1233">
        <f>T10*(1+U11)</f>
        <v>169421</v>
      </c>
      <c r="V10" s="1233">
        <f>U10*(1+V11)</f>
        <v>169421</v>
      </c>
      <c r="W10" s="1233">
        <f>V10*(1+W11)</f>
        <v>169421</v>
      </c>
      <c r="X10" s="1234">
        <f>W10*(1+X11)</f>
        <v>169421</v>
      </c>
      <c r="Y10" s="397"/>
      <c r="Z10" s="708"/>
    </row>
    <row r="11" spans="1:39">
      <c r="B11" s="2475"/>
      <c r="C11" s="397"/>
      <c r="D11" s="1083"/>
      <c r="E11" s="403" t="s">
        <v>2709</v>
      </c>
      <c r="I11" s="1074"/>
      <c r="J11" s="689">
        <v>0</v>
      </c>
      <c r="K11" s="687">
        <f>J11</f>
        <v>0</v>
      </c>
      <c r="L11" s="687">
        <f>K11</f>
        <v>0</v>
      </c>
      <c r="M11" s="1078">
        <f>L11</f>
        <v>0</v>
      </c>
      <c r="N11" s="1311"/>
      <c r="O11" s="1791">
        <v>0</v>
      </c>
      <c r="P11" s="1311">
        <f>O11</f>
        <v>0</v>
      </c>
      <c r="Q11" s="1311">
        <f>P11</f>
        <v>0</v>
      </c>
      <c r="R11" s="1811">
        <f>Q11</f>
        <v>0</v>
      </c>
      <c r="S11" s="687"/>
      <c r="T11" s="2102"/>
      <c r="U11" s="689">
        <v>0</v>
      </c>
      <c r="V11" s="687">
        <f>U11</f>
        <v>0</v>
      </c>
      <c r="W11" s="687">
        <f>V11</f>
        <v>0</v>
      </c>
      <c r="X11" s="1078">
        <f>W11</f>
        <v>0</v>
      </c>
      <c r="Y11" s="397"/>
      <c r="Z11" s="708"/>
    </row>
    <row r="12" spans="1:39">
      <c r="B12" s="2475"/>
      <c r="C12" s="397"/>
      <c r="D12" s="1235"/>
      <c r="E12" s="1236"/>
      <c r="F12" s="1236"/>
      <c r="G12" s="1236"/>
      <c r="H12" s="1236"/>
      <c r="I12" s="1237"/>
      <c r="J12" s="1243"/>
      <c r="K12" s="1238"/>
      <c r="L12" s="1238"/>
      <c r="M12" s="1239"/>
      <c r="N12" s="1812"/>
      <c r="O12" s="1812"/>
      <c r="P12" s="1812"/>
      <c r="Q12" s="1812"/>
      <c r="R12" s="1813"/>
      <c r="S12" s="1238"/>
      <c r="T12" s="1236"/>
      <c r="U12" s="1243"/>
      <c r="V12" s="1238"/>
      <c r="W12" s="1238"/>
      <c r="X12" s="1239"/>
      <c r="Y12" s="397"/>
      <c r="Z12" s="708"/>
    </row>
    <row r="13" spans="1:39">
      <c r="B13" s="2475"/>
      <c r="C13" s="397"/>
      <c r="D13" s="1230" t="s">
        <v>3697</v>
      </c>
      <c r="E13" s="1231"/>
      <c r="F13" s="1231"/>
      <c r="G13" s="1231"/>
      <c r="H13" s="1231"/>
      <c r="I13" s="1240"/>
      <c r="J13" s="1241"/>
      <c r="K13" s="1241"/>
      <c r="L13" s="1241"/>
      <c r="M13" s="1242"/>
      <c r="N13" s="1814"/>
      <c r="O13" s="1814"/>
      <c r="P13" s="1814"/>
      <c r="Q13" s="1736"/>
      <c r="R13" s="1737" t="s">
        <v>2193</v>
      </c>
      <c r="S13" s="1738" t="s">
        <v>10</v>
      </c>
      <c r="T13" s="1231"/>
      <c r="V13" s="1231"/>
      <c r="W13" s="1231"/>
      <c r="X13" s="1242"/>
      <c r="Y13" s="397"/>
      <c r="Z13" s="708"/>
      <c r="AB13" s="2975" t="s">
        <v>4242</v>
      </c>
      <c r="AC13" s="2976"/>
      <c r="AD13" s="528"/>
      <c r="AE13" s="528"/>
      <c r="AF13" s="528"/>
      <c r="AG13" s="528"/>
      <c r="AH13" s="528"/>
      <c r="AI13" s="528"/>
      <c r="AJ13" s="528"/>
      <c r="AK13" s="528"/>
      <c r="AL13" s="528"/>
      <c r="AM13" s="528"/>
    </row>
    <row r="14" spans="1:39">
      <c r="B14" s="2475"/>
      <c r="C14" s="397"/>
      <c r="D14" s="1083"/>
      <c r="I14" s="1074"/>
      <c r="J14" s="397"/>
      <c r="K14" s="397"/>
      <c r="L14" s="397"/>
      <c r="M14" s="1075"/>
      <c r="R14" s="1807"/>
      <c r="T14" s="1325"/>
      <c r="X14" s="1075"/>
      <c r="Y14" s="397"/>
      <c r="Z14" s="708"/>
      <c r="AB14" s="2977"/>
      <c r="AC14" s="2978" t="s">
        <v>1090</v>
      </c>
      <c r="AD14" s="2978" t="s">
        <v>1091</v>
      </c>
      <c r="AE14" s="2978" t="s">
        <v>2165</v>
      </c>
      <c r="AF14" s="2978" t="s">
        <v>2166</v>
      </c>
      <c r="AG14" s="2978" t="s">
        <v>2167</v>
      </c>
      <c r="AH14" s="2978" t="s">
        <v>4243</v>
      </c>
      <c r="AI14" s="2978" t="s">
        <v>4244</v>
      </c>
      <c r="AJ14" s="2978" t="s">
        <v>4245</v>
      </c>
      <c r="AK14" s="2978" t="s">
        <v>4246</v>
      </c>
      <c r="AL14" s="2978" t="s">
        <v>4247</v>
      </c>
      <c r="AM14" s="2979"/>
    </row>
    <row r="15" spans="1:39">
      <c r="B15" s="2475"/>
      <c r="C15" s="397"/>
      <c r="D15" s="1083"/>
      <c r="E15" s="403" t="s">
        <v>2502</v>
      </c>
      <c r="I15" s="1079">
        <f>IF(I20=0,0,IF('1.2 EssPL'!G11=0,0,'1.2 EssPL'!G11/'2.3 Expenses'!$I$20))</f>
        <v>20.904175999999996</v>
      </c>
      <c r="J15" s="415"/>
      <c r="M15" s="1075"/>
      <c r="N15" s="1815">
        <f>IF(Type="DeNovo",I15,0)</f>
        <v>20.904175999999996</v>
      </c>
      <c r="R15" s="1807"/>
      <c r="T15" s="2473">
        <v>22</v>
      </c>
      <c r="U15" s="1815"/>
      <c r="X15" s="1075"/>
      <c r="Y15" s="397"/>
      <c r="Z15" s="708"/>
      <c r="AB15" s="2980" t="s">
        <v>4248</v>
      </c>
      <c r="AC15" s="2981">
        <f>T15</f>
        <v>22</v>
      </c>
      <c r="AD15" s="2982">
        <f>AC15*(1+$AM$15)</f>
        <v>22.66</v>
      </c>
      <c r="AE15" s="2982">
        <f t="shared" ref="AE15:AL15" si="0">AD15*(1+$AM$15)</f>
        <v>23.3398</v>
      </c>
      <c r="AF15" s="2982">
        <f t="shared" si="0"/>
        <v>24.039994</v>
      </c>
      <c r="AG15" s="2982">
        <f t="shared" si="0"/>
        <v>24.761193819999999</v>
      </c>
      <c r="AH15" s="2982">
        <f t="shared" si="0"/>
        <v>25.504029634599998</v>
      </c>
      <c r="AI15" s="2982">
        <f t="shared" si="0"/>
        <v>26.269150523638</v>
      </c>
      <c r="AJ15" s="2982">
        <f t="shared" si="0"/>
        <v>27.057225039347141</v>
      </c>
      <c r="AK15" s="2982">
        <f t="shared" si="0"/>
        <v>27.868941790527558</v>
      </c>
      <c r="AL15" s="2982">
        <f t="shared" si="0"/>
        <v>28.705010044243384</v>
      </c>
      <c r="AM15" s="2983">
        <f>$U$23</f>
        <v>0.03</v>
      </c>
    </row>
    <row r="16" spans="1:39">
      <c r="B16" s="2475"/>
      <c r="C16" s="397"/>
      <c r="D16" s="1083"/>
      <c r="E16" s="403" t="s">
        <v>3701</v>
      </c>
      <c r="I16" s="1079">
        <f>IF('1.2 EssPL'!G12=0,0,'1.2 EssPL'!G12/'2.3 Expenses'!$I$20)</f>
        <v>3.0310079999999995</v>
      </c>
      <c r="M16" s="1075"/>
      <c r="N16" s="1815">
        <f>IF(Type="DeNovo",I16,0)</f>
        <v>3.0310079999999995</v>
      </c>
      <c r="R16" s="1807"/>
      <c r="T16" s="2473">
        <f>I16</f>
        <v>3.0310079999999995</v>
      </c>
      <c r="U16" s="1815"/>
      <c r="X16" s="1075"/>
      <c r="Y16" s="397"/>
      <c r="Z16" s="708"/>
      <c r="AB16" s="2984" t="s">
        <v>4249</v>
      </c>
      <c r="AC16" s="2981">
        <f>T16+T17</f>
        <v>5.4558079999999993</v>
      </c>
      <c r="AD16" s="2982">
        <f>AC16*(1+$AM$16)</f>
        <v>5.6194822399999991</v>
      </c>
      <c r="AE16" s="2982">
        <f t="shared" ref="AE16:AL16" si="1">AD16*(1+$AM$16)</f>
        <v>5.7880667071999996</v>
      </c>
      <c r="AF16" s="2982">
        <f t="shared" si="1"/>
        <v>5.9617087084159994</v>
      </c>
      <c r="AG16" s="2982">
        <f t="shared" si="1"/>
        <v>6.1405599696684794</v>
      </c>
      <c r="AH16" s="2982">
        <f t="shared" si="1"/>
        <v>6.3247767687585341</v>
      </c>
      <c r="AI16" s="2982">
        <f t="shared" si="1"/>
        <v>6.5145200718212903</v>
      </c>
      <c r="AJ16" s="2982">
        <f t="shared" si="1"/>
        <v>6.7099556739759292</v>
      </c>
      <c r="AK16" s="2982">
        <f t="shared" si="1"/>
        <v>6.911254344195207</v>
      </c>
      <c r="AL16" s="2982">
        <f t="shared" si="1"/>
        <v>7.1185919745210633</v>
      </c>
      <c r="AM16" s="2983">
        <f>$U$23</f>
        <v>0.03</v>
      </c>
    </row>
    <row r="17" spans="1:39">
      <c r="B17" s="2475"/>
      <c r="C17" s="397"/>
      <c r="D17" s="1083"/>
      <c r="E17" s="403" t="s">
        <v>3702</v>
      </c>
      <c r="I17" s="1835">
        <f>IF('1.2 EssPL'!G13=0,0,'1.2 EssPL'!G13/'2.3 Expenses'!$I$20)</f>
        <v>2.4247999999999998</v>
      </c>
      <c r="M17" s="1075"/>
      <c r="N17" s="1836">
        <f>IF(Type="DeNovo",I17,0)</f>
        <v>2.4247999999999998</v>
      </c>
      <c r="R17" s="1807"/>
      <c r="T17" s="2474">
        <f>I17</f>
        <v>2.4247999999999998</v>
      </c>
      <c r="U17" s="2480"/>
      <c r="X17" s="1075"/>
      <c r="Y17" s="397"/>
      <c r="Z17" s="708"/>
      <c r="AB17" s="2984" t="s">
        <v>4250</v>
      </c>
      <c r="AC17" s="2982">
        <f>AC15+AC16</f>
        <v>27.455807999999998</v>
      </c>
      <c r="AD17" s="2982">
        <f t="shared" ref="AD17:AL17" si="2">AD15+AD16</f>
        <v>28.27948224</v>
      </c>
      <c r="AE17" s="2982">
        <f t="shared" si="2"/>
        <v>29.127866707199999</v>
      </c>
      <c r="AF17" s="2982">
        <f t="shared" si="2"/>
        <v>30.001702708415998</v>
      </c>
      <c r="AG17" s="2982">
        <f t="shared" si="2"/>
        <v>30.901753789668479</v>
      </c>
      <c r="AH17" s="2982">
        <f t="shared" si="2"/>
        <v>31.828806403358534</v>
      </c>
      <c r="AI17" s="2982">
        <f t="shared" si="2"/>
        <v>32.783670595459292</v>
      </c>
      <c r="AJ17" s="2982">
        <f t="shared" si="2"/>
        <v>33.767180713323071</v>
      </c>
      <c r="AK17" s="2982">
        <f t="shared" si="2"/>
        <v>34.780196134722765</v>
      </c>
      <c r="AL17" s="2982">
        <f t="shared" si="2"/>
        <v>35.823602018764447</v>
      </c>
      <c r="AM17" s="2979"/>
    </row>
    <row r="18" spans="1:39">
      <c r="B18" s="2475"/>
      <c r="C18" s="397"/>
      <c r="D18" s="1083"/>
      <c r="E18" s="403" t="s">
        <v>2103</v>
      </c>
      <c r="I18" s="1080">
        <f>SUM(I15:I17)</f>
        <v>26.359983999999997</v>
      </c>
      <c r="M18" s="1075"/>
      <c r="N18" s="1816">
        <f>SUM(N15:N17)</f>
        <v>26.359983999999997</v>
      </c>
      <c r="R18" s="1807"/>
      <c r="T18" s="1326">
        <f>SUM(T15:T17)</f>
        <v>27.455808000000001</v>
      </c>
      <c r="U18" s="107"/>
      <c r="X18" s="1075"/>
      <c r="Y18" s="397"/>
      <c r="Z18" s="708"/>
      <c r="AB18" s="2980" t="s">
        <v>4251</v>
      </c>
      <c r="AC18" s="2985">
        <f>AC17*$T$20</f>
        <v>247102.27199999997</v>
      </c>
      <c r="AD18" s="2985">
        <f t="shared" ref="AD18:AL18" si="3">AD17*$T$20</f>
        <v>254515.34015999999</v>
      </c>
      <c r="AE18" s="2985">
        <f t="shared" si="3"/>
        <v>262150.80036479997</v>
      </c>
      <c r="AF18" s="2985">
        <f t="shared" si="3"/>
        <v>270015.32437574398</v>
      </c>
      <c r="AG18" s="2985">
        <f t="shared" si="3"/>
        <v>278115.78410701634</v>
      </c>
      <c r="AH18" s="2985">
        <f t="shared" si="3"/>
        <v>286459.25763022678</v>
      </c>
      <c r="AI18" s="2985">
        <f t="shared" si="3"/>
        <v>295053.03535913362</v>
      </c>
      <c r="AJ18" s="2985">
        <f t="shared" si="3"/>
        <v>303904.62641990767</v>
      </c>
      <c r="AK18" s="2985">
        <f t="shared" si="3"/>
        <v>313021.76521250489</v>
      </c>
      <c r="AL18" s="2985">
        <f t="shared" si="3"/>
        <v>322412.41816888005</v>
      </c>
      <c r="AM18" s="1777"/>
    </row>
    <row r="19" spans="1:39">
      <c r="B19" s="2475"/>
      <c r="C19" s="397"/>
      <c r="D19" s="1083"/>
      <c r="I19" s="1081"/>
      <c r="M19" s="1075"/>
      <c r="R19" s="1807"/>
      <c r="T19" s="1327"/>
      <c r="X19" s="1075"/>
      <c r="Y19" s="397"/>
      <c r="Z19" s="708"/>
      <c r="AA19" s="57"/>
      <c r="AB19" s="2480" t="s">
        <v>4064</v>
      </c>
      <c r="AC19" s="2480"/>
      <c r="AD19" s="2480" t="s">
        <v>4065</v>
      </c>
      <c r="AE19" s="2480" t="s">
        <v>1394</v>
      </c>
    </row>
    <row r="20" spans="1:39">
      <c r="B20" s="2475"/>
      <c r="C20" s="397"/>
      <c r="D20" s="1083"/>
      <c r="E20" s="403" t="s">
        <v>3703</v>
      </c>
      <c r="I20" s="2555">
        <v>7500</v>
      </c>
      <c r="J20" s="403" t="s">
        <v>3199</v>
      </c>
      <c r="M20" s="1075"/>
      <c r="N20" s="1817">
        <f>IF(Type="DeNovo",I20,0)</f>
        <v>7500</v>
      </c>
      <c r="R20" s="1807"/>
      <c r="T20" s="2495">
        <v>9000</v>
      </c>
      <c r="U20" s="736" t="s">
        <v>3606</v>
      </c>
      <c r="V20" s="414"/>
      <c r="W20" s="414"/>
      <c r="X20" s="1103"/>
      <c r="Y20" s="397"/>
      <c r="Z20" s="708"/>
      <c r="AA20" s="57"/>
      <c r="AB20" s="2573">
        <f>IF(Type="DeNovo", 0,I20-AB21)</f>
        <v>0</v>
      </c>
      <c r="AC20" s="2480" t="s">
        <v>3324</v>
      </c>
      <c r="AD20" s="2573">
        <f>T20-AD21</f>
        <v>8000</v>
      </c>
      <c r="AE20" s="2573">
        <f>AD20-AB20</f>
        <v>8000</v>
      </c>
    </row>
    <row r="21" spans="1:39">
      <c r="B21" s="2475"/>
      <c r="C21" s="397"/>
      <c r="D21" s="1083"/>
      <c r="I21" s="1082"/>
      <c r="M21" s="1075"/>
      <c r="R21" s="1807"/>
      <c r="T21" s="1337"/>
      <c r="U21" s="1339"/>
      <c r="V21" s="1340"/>
      <c r="W21" s="1340"/>
      <c r="X21" s="1341"/>
      <c r="Y21" s="397"/>
      <c r="Z21" s="708"/>
      <c r="AA21" s="57"/>
      <c r="AB21" s="2574">
        <f>IF(Type="DeNovo",0,SUM('2.0 Patients'!F12:F13)*$AG$21)</f>
        <v>0</v>
      </c>
      <c r="AC21" s="2480" t="s">
        <v>4066</v>
      </c>
      <c r="AD21" s="2574">
        <f>IF(Openstation=0,'2.3 Expenses'!T20,IF(SUM('2.0 Patients'!G12:G13)=0,0,SUM('2.0 Patients'!G12:G13)*$AG$21))</f>
        <v>1000</v>
      </c>
      <c r="AE21" s="2573">
        <f>AD21-AB21</f>
        <v>1000</v>
      </c>
      <c r="AG21" s="2711">
        <v>250</v>
      </c>
      <c r="AH21" s="2712" t="s">
        <v>4093</v>
      </c>
    </row>
    <row r="22" spans="1:39">
      <c r="B22" s="2475"/>
      <c r="C22" s="397"/>
      <c r="D22" s="1083"/>
      <c r="E22" s="397" t="s">
        <v>3704</v>
      </c>
      <c r="I22" s="2074">
        <f>'1.2 EssPL'!G14</f>
        <v>197699.87999999998</v>
      </c>
      <c r="J22" s="413">
        <f>I22*(1+J23)</f>
        <v>203630.87639999998</v>
      </c>
      <c r="K22" s="413">
        <f>J22*(1+K23)</f>
        <v>209739.802692</v>
      </c>
      <c r="L22" s="413">
        <f>K22*(1+L23)</f>
        <v>216031.99677276</v>
      </c>
      <c r="M22" s="1077">
        <f>L22*(1+M23)</f>
        <v>222512.95667594281</v>
      </c>
      <c r="N22" s="1818">
        <f>IF(Type="DeNovo",N20*N18,0)</f>
        <v>197699.87999999998</v>
      </c>
      <c r="O22" s="1818">
        <f>N22*(1+O23)</f>
        <v>203630.87639999998</v>
      </c>
      <c r="P22" s="1818">
        <f>O22*(1+P23)</f>
        <v>209739.802692</v>
      </c>
      <c r="Q22" s="1818">
        <f>P22*(1+Q23)</f>
        <v>216031.99677276</v>
      </c>
      <c r="R22" s="1819">
        <f>Q22*(1+R23)</f>
        <v>222512.95667594281</v>
      </c>
      <c r="S22" s="413">
        <f>T22*S28/12</f>
        <v>82367.423999999999</v>
      </c>
      <c r="T22" s="1328">
        <f>T18*T20</f>
        <v>247102.272</v>
      </c>
      <c r="U22" s="413">
        <f>T22*(1+U23)</f>
        <v>254515.34015999999</v>
      </c>
      <c r="V22" s="413">
        <f>U22*(1+V23)</f>
        <v>262150.80036479997</v>
      </c>
      <c r="W22" s="413">
        <f>V22*(1+W23)</f>
        <v>270015.32437574398</v>
      </c>
      <c r="X22" s="1077">
        <f>W22*(1+X23)</f>
        <v>278115.78410701628</v>
      </c>
      <c r="Y22" s="397"/>
      <c r="Z22" s="708"/>
      <c r="AA22" s="57"/>
    </row>
    <row r="23" spans="1:39">
      <c r="B23" s="2475"/>
      <c r="C23" s="397"/>
      <c r="D23" s="1083"/>
      <c r="E23" s="403" t="s">
        <v>2709</v>
      </c>
      <c r="I23" s="1083"/>
      <c r="J23" s="689">
        <v>0.03</v>
      </c>
      <c r="K23" s="687">
        <f>J23</f>
        <v>0.03</v>
      </c>
      <c r="L23" s="687">
        <f>K23</f>
        <v>0.03</v>
      </c>
      <c r="M23" s="1078">
        <f>L23</f>
        <v>0.03</v>
      </c>
      <c r="N23" s="1311"/>
      <c r="O23" s="1791">
        <v>0.03</v>
      </c>
      <c r="P23" s="1311">
        <f>O23</f>
        <v>0.03</v>
      </c>
      <c r="Q23" s="1311">
        <f>P23</f>
        <v>0.03</v>
      </c>
      <c r="R23" s="1811">
        <f>Q23</f>
        <v>0.03</v>
      </c>
      <c r="S23" s="687"/>
      <c r="U23" s="689">
        <v>0.03</v>
      </c>
      <c r="V23" s="1311">
        <f>U23</f>
        <v>0.03</v>
      </c>
      <c r="W23" s="1311">
        <f>V23</f>
        <v>0.03</v>
      </c>
      <c r="X23" s="1811">
        <f>W23</f>
        <v>0.03</v>
      </c>
      <c r="Y23" s="397"/>
      <c r="Z23" s="708"/>
      <c r="AA23" s="57"/>
    </row>
    <row r="24" spans="1:39">
      <c r="B24" s="2475"/>
      <c r="C24" s="397"/>
      <c r="D24" s="1074"/>
      <c r="I24" s="2547"/>
      <c r="J24" s="690"/>
      <c r="K24" s="687"/>
      <c r="L24" s="687"/>
      <c r="M24" s="1078"/>
      <c r="N24" s="1311"/>
      <c r="O24" s="1311"/>
      <c r="P24" s="1311"/>
      <c r="Q24" s="1311"/>
      <c r="R24" s="1811"/>
      <c r="S24" s="687"/>
      <c r="U24" s="690"/>
      <c r="V24" s="687"/>
      <c r="W24" s="687"/>
      <c r="X24" s="1078"/>
      <c r="Y24" s="397"/>
      <c r="Z24" s="708"/>
      <c r="AA24" s="57"/>
    </row>
    <row r="25" spans="1:39">
      <c r="B25" s="2475"/>
      <c r="C25" s="397"/>
      <c r="D25" s="1074"/>
      <c r="E25" s="403" t="s">
        <v>1234</v>
      </c>
      <c r="I25" s="1083"/>
      <c r="J25" s="690"/>
      <c r="K25" s="687"/>
      <c r="L25" s="687"/>
      <c r="M25" s="1078"/>
      <c r="N25" s="1311"/>
      <c r="O25" s="1311"/>
      <c r="P25" s="1311"/>
      <c r="Q25" s="1311"/>
      <c r="R25" s="1811"/>
      <c r="T25" s="683">
        <f>IF(TICTerms="Upfront",-ti,-ti/TICDuration)</f>
        <v>0</v>
      </c>
      <c r="U25" s="683">
        <f>IF(TICTerms="Upfront",0,-ti/TICDuration)</f>
        <v>0</v>
      </c>
      <c r="V25" s="683">
        <f>IF(TICTerms="Upfront",0,-ti/TICDuration)</f>
        <v>0</v>
      </c>
      <c r="W25" s="683">
        <f>IF(TICTerms="Upfront",0,-ti/TICDuration)</f>
        <v>0</v>
      </c>
      <c r="X25" s="1104">
        <f>IF(TICTerms="Upfront",0,-ti/TICDuration)</f>
        <v>0</v>
      </c>
      <c r="Y25" s="397"/>
      <c r="Z25" s="708"/>
      <c r="AA25" s="57"/>
    </row>
    <row r="26" spans="1:39">
      <c r="B26" s="2475"/>
      <c r="C26" s="397"/>
      <c r="D26" s="1074"/>
      <c r="E26" s="403" t="s">
        <v>1235</v>
      </c>
      <c r="I26" s="1083"/>
      <c r="J26" s="690"/>
      <c r="K26" s="687"/>
      <c r="L26" s="687"/>
      <c r="M26" s="1078"/>
      <c r="N26" s="1311"/>
      <c r="O26" s="1311"/>
      <c r="P26" s="1311"/>
      <c r="Q26" s="1311"/>
      <c r="R26" s="1811"/>
      <c r="S26" s="684">
        <f t="shared" ref="S26:X26" si="4">S22+S25</f>
        <v>82367.423999999999</v>
      </c>
      <c r="T26" s="684">
        <f t="shared" si="4"/>
        <v>247102.272</v>
      </c>
      <c r="U26" s="684">
        <f t="shared" si="4"/>
        <v>254515.34015999999</v>
      </c>
      <c r="V26" s="684">
        <f t="shared" si="4"/>
        <v>262150.80036479997</v>
      </c>
      <c r="W26" s="684">
        <f t="shared" si="4"/>
        <v>270015.32437574398</v>
      </c>
      <c r="X26" s="1105">
        <f t="shared" si="4"/>
        <v>278115.78410701628</v>
      </c>
      <c r="Y26" s="397"/>
      <c r="Z26" s="708"/>
      <c r="AA26" s="57"/>
    </row>
    <row r="27" spans="1:39">
      <c r="B27" s="2475"/>
      <c r="C27" s="397"/>
      <c r="D27" s="1074"/>
      <c r="I27" s="1083"/>
      <c r="J27" s="690"/>
      <c r="K27" s="687"/>
      <c r="L27" s="687"/>
      <c r="M27" s="1078"/>
      <c r="N27" s="1311"/>
      <c r="O27" s="1311"/>
      <c r="P27" s="1311"/>
      <c r="Q27" s="1311"/>
      <c r="R27" s="1811"/>
      <c r="S27" s="687"/>
      <c r="U27" s="690"/>
      <c r="V27" s="687"/>
      <c r="W27" s="687"/>
      <c r="X27" s="1078"/>
      <c r="Y27" s="397"/>
      <c r="Z27" s="708"/>
      <c r="AA27" s="57"/>
    </row>
    <row r="28" spans="1:39">
      <c r="B28" s="2475"/>
      <c r="C28" s="397"/>
      <c r="D28" s="1083"/>
      <c r="I28" s="1082"/>
      <c r="M28" s="1075"/>
      <c r="N28" s="1311"/>
      <c r="O28" s="1311"/>
      <c r="P28" s="1311"/>
      <c r="Q28" s="1311"/>
      <c r="R28" s="1820" t="s">
        <v>1763</v>
      </c>
      <c r="S28" s="2495">
        <f>IF($X$2="DeNovo",4,1)</f>
        <v>4</v>
      </c>
      <c r="T28" s="1338"/>
      <c r="U28" s="107"/>
      <c r="X28" s="1075"/>
      <c r="Y28" s="397"/>
      <c r="Z28" s="708"/>
      <c r="AA28" s="57"/>
    </row>
    <row r="29" spans="1:39">
      <c r="B29" s="2475"/>
      <c r="C29" s="397"/>
      <c r="D29" s="1074"/>
      <c r="I29" s="1083"/>
      <c r="M29" s="1075"/>
      <c r="N29" s="1311"/>
      <c r="O29" s="1311"/>
      <c r="P29" s="1311"/>
      <c r="Q29" s="1311"/>
      <c r="R29" s="2167" t="s">
        <v>896</v>
      </c>
      <c r="S29" s="2168">
        <v>0</v>
      </c>
      <c r="X29" s="1075"/>
      <c r="Y29" s="397"/>
      <c r="Z29" s="708"/>
      <c r="AA29" s="57"/>
    </row>
    <row r="30" spans="1:39">
      <c r="B30" s="2475"/>
      <c r="C30" s="397"/>
      <c r="D30" s="1235"/>
      <c r="E30" s="1247"/>
      <c r="F30" s="1247"/>
      <c r="G30" s="1247"/>
      <c r="H30" s="1247"/>
      <c r="I30" s="1235"/>
      <c r="J30" s="1247"/>
      <c r="K30" s="1247"/>
      <c r="L30" s="1247"/>
      <c r="M30" s="1305"/>
      <c r="N30" s="1311"/>
      <c r="O30" s="1311"/>
      <c r="P30" s="1311"/>
      <c r="Q30" s="1311"/>
      <c r="R30" s="1811"/>
      <c r="S30" s="1324"/>
      <c r="T30" s="1330"/>
      <c r="U30" s="1247"/>
      <c r="V30" s="1247"/>
      <c r="W30" s="1247"/>
      <c r="X30" s="1305"/>
      <c r="Y30" s="397"/>
      <c r="Z30" s="708"/>
      <c r="AA30" s="57"/>
    </row>
    <row r="31" spans="1:39">
      <c r="B31" s="2475"/>
      <c r="C31" s="397"/>
      <c r="D31" s="1240" t="s">
        <v>3125</v>
      </c>
      <c r="E31" s="1231"/>
      <c r="F31" s="1231"/>
      <c r="G31" s="1231"/>
      <c r="H31" s="1231"/>
      <c r="I31" s="1230"/>
      <c r="J31" s="1231"/>
      <c r="K31" s="1231"/>
      <c r="L31" s="1231"/>
      <c r="M31" s="1242"/>
      <c r="N31" s="1814"/>
      <c r="O31" s="1814"/>
      <c r="P31" s="1814"/>
      <c r="Q31" s="1814"/>
      <c r="R31" s="1821"/>
      <c r="S31" s="1231"/>
      <c r="T31" s="1231"/>
      <c r="U31" s="1231"/>
      <c r="V31" s="1231"/>
      <c r="W31" s="1231"/>
      <c r="X31" s="1242"/>
      <c r="Y31" s="397"/>
      <c r="Z31" s="708"/>
      <c r="AA31" s="57"/>
    </row>
    <row r="32" spans="1:39" s="411" customFormat="1">
      <c r="A32" s="403"/>
      <c r="B32" s="2475"/>
      <c r="C32" s="397"/>
      <c r="D32" s="1074"/>
      <c r="E32" s="403"/>
      <c r="F32" s="403"/>
      <c r="G32" s="403"/>
      <c r="H32" s="403"/>
      <c r="I32" s="1083"/>
      <c r="J32" s="403"/>
      <c r="K32" s="403"/>
      <c r="L32" s="403"/>
      <c r="M32" s="1075"/>
      <c r="N32" s="528"/>
      <c r="O32" s="528"/>
      <c r="P32" s="528"/>
      <c r="Q32" s="528"/>
      <c r="R32" s="1807"/>
      <c r="S32" s="403"/>
      <c r="T32" s="717"/>
      <c r="U32" s="717"/>
      <c r="V32" s="717"/>
      <c r="W32" s="717"/>
      <c r="X32" s="1092"/>
      <c r="Y32" s="400"/>
      <c r="Z32" s="711"/>
      <c r="AA32" s="712"/>
    </row>
    <row r="33" spans="1:32">
      <c r="A33" s="411"/>
      <c r="B33" s="2475"/>
      <c r="C33" s="400"/>
      <c r="D33" s="1093"/>
      <c r="E33" s="411" t="s">
        <v>1817</v>
      </c>
      <c r="F33" s="411"/>
      <c r="G33" s="411"/>
      <c r="H33" s="411"/>
      <c r="I33" s="2075">
        <f>'1.2 EssPL'!G18</f>
        <v>0.35313215031543704</v>
      </c>
      <c r="J33" s="687">
        <f>I33</f>
        <v>0.35313215031543704</v>
      </c>
      <c r="K33" s="687">
        <f>J33</f>
        <v>0.35313215031543704</v>
      </c>
      <c r="L33" s="687">
        <f>K33</f>
        <v>0.35313215031543704</v>
      </c>
      <c r="M33" s="1078">
        <f>L33</f>
        <v>0.35313215031543704</v>
      </c>
      <c r="N33" s="690">
        <f>IF(Type="DeNovo",I33,0)</f>
        <v>0.35313215031543704</v>
      </c>
      <c r="O33" s="1311">
        <f>N33</f>
        <v>0.35313215031543704</v>
      </c>
      <c r="P33" s="1311">
        <f>O33</f>
        <v>0.35313215031543704</v>
      </c>
      <c r="Q33" s="1311">
        <f>P33</f>
        <v>0.35313215031543704</v>
      </c>
      <c r="R33" s="1811">
        <f>Q33</f>
        <v>0.35313215031543704</v>
      </c>
      <c r="S33" s="687"/>
      <c r="T33" s="1791">
        <f>IF($X$2="DeNovo",0.39,I33)</f>
        <v>0.39</v>
      </c>
      <c r="U33" s="687">
        <f>T33</f>
        <v>0.39</v>
      </c>
      <c r="V33" s="687">
        <f>U33</f>
        <v>0.39</v>
      </c>
      <c r="W33" s="687">
        <f>V33</f>
        <v>0.39</v>
      </c>
      <c r="X33" s="1078">
        <f>W33</f>
        <v>0.39</v>
      </c>
      <c r="Y33" s="397"/>
      <c r="Z33" s="708"/>
      <c r="AA33" s="57"/>
    </row>
    <row r="34" spans="1:32">
      <c r="B34" s="2475"/>
      <c r="C34" s="397"/>
      <c r="D34" s="1074"/>
      <c r="F34" s="693" t="s">
        <v>1816</v>
      </c>
      <c r="I34" s="1085"/>
      <c r="J34" s="687"/>
      <c r="K34" s="687"/>
      <c r="L34" s="687"/>
      <c r="M34" s="1078"/>
      <c r="N34" s="690"/>
      <c r="O34" s="1311"/>
      <c r="P34" s="1311"/>
      <c r="Q34" s="1311"/>
      <c r="R34" s="1822" t="s">
        <v>1821</v>
      </c>
      <c r="S34" s="2633">
        <f>IF($X$2="DeNovo",4/12,1/12)</f>
        <v>0.33333333333333331</v>
      </c>
      <c r="T34" s="690"/>
      <c r="U34" s="687"/>
      <c r="V34" s="687"/>
      <c r="W34" s="687"/>
      <c r="X34" s="1078"/>
      <c r="Y34" s="397"/>
      <c r="Z34" s="708"/>
      <c r="AA34" s="57"/>
    </row>
    <row r="35" spans="1:32" s="411" customFormat="1">
      <c r="B35" s="2475"/>
      <c r="C35" s="400"/>
      <c r="D35" s="1093"/>
      <c r="I35" s="2076"/>
      <c r="M35" s="1084"/>
      <c r="N35" s="48"/>
      <c r="O35" s="528"/>
      <c r="P35" s="528"/>
      <c r="Q35" s="528"/>
      <c r="R35" s="1807"/>
      <c r="X35" s="1084"/>
      <c r="Y35" s="400"/>
      <c r="Z35" s="711"/>
      <c r="AA35" s="712"/>
    </row>
    <row r="36" spans="1:32">
      <c r="A36" s="411"/>
      <c r="B36" s="2475"/>
      <c r="C36" s="400"/>
      <c r="D36" s="1093"/>
      <c r="E36" s="411" t="s">
        <v>1819</v>
      </c>
      <c r="F36" s="411"/>
      <c r="G36" s="411"/>
      <c r="H36" s="411"/>
      <c r="I36" s="1076">
        <f>'1.2 EssPL'!G16</f>
        <v>42.527236057288853</v>
      </c>
      <c r="J36" s="413">
        <f>I36*(1+J37)</f>
        <v>43.803053139007517</v>
      </c>
      <c r="K36" s="413">
        <f>J36*(1+K37)</f>
        <v>45.117144733177746</v>
      </c>
      <c r="L36" s="413">
        <f>K36*(1+L37)</f>
        <v>46.470659075173081</v>
      </c>
      <c r="M36" s="1077">
        <f>L36*(1+M37)</f>
        <v>47.864778847428276</v>
      </c>
      <c r="N36" s="1823">
        <f>IF(Type="DeNovo",I36,0)</f>
        <v>42.527236057288853</v>
      </c>
      <c r="O36" s="1818">
        <f>N36*(1+O37)</f>
        <v>43.803053139007517</v>
      </c>
      <c r="P36" s="1818">
        <f>O36*(1+P37)</f>
        <v>45.117144733177746</v>
      </c>
      <c r="Q36" s="1818">
        <f>P36*(1+Q37)</f>
        <v>46.470659075173081</v>
      </c>
      <c r="R36" s="1819">
        <f>Q36*(1+R37)</f>
        <v>47.864778847428276</v>
      </c>
      <c r="S36" s="413"/>
      <c r="T36" s="416">
        <f>'2.2 Staffing'!V124</f>
        <v>69.786812543616747</v>
      </c>
      <c r="U36" s="416">
        <f>'2.2 Staffing'!W124</f>
        <v>44.824062771990675</v>
      </c>
      <c r="V36" s="416">
        <f>'2.2 Staffing'!X124</f>
        <v>41.259247292173633</v>
      </c>
      <c r="W36" s="416">
        <f>'2.2 Staffing'!Y124</f>
        <v>40.543532400287745</v>
      </c>
      <c r="X36" s="1106">
        <f>'2.2 Staffing'!Z124</f>
        <v>40.33798387309092</v>
      </c>
      <c r="Y36" s="397"/>
      <c r="Z36" s="708"/>
      <c r="AA36" s="57"/>
    </row>
    <row r="37" spans="1:32" s="411" customFormat="1">
      <c r="A37" s="403"/>
      <c r="B37" s="2475"/>
      <c r="C37" s="397"/>
      <c r="D37" s="1074"/>
      <c r="E37" s="403"/>
      <c r="F37" s="403" t="s">
        <v>2709</v>
      </c>
      <c r="G37" s="403"/>
      <c r="H37" s="403"/>
      <c r="I37" s="2076"/>
      <c r="J37" s="688">
        <v>0.03</v>
      </c>
      <c r="K37" s="687">
        <f>J37</f>
        <v>0.03</v>
      </c>
      <c r="L37" s="687">
        <f>K37</f>
        <v>0.03</v>
      </c>
      <c r="M37" s="1078">
        <f>L37</f>
        <v>0.03</v>
      </c>
      <c r="N37" s="690"/>
      <c r="O37" s="688">
        <f>J37</f>
        <v>0.03</v>
      </c>
      <c r="P37" s="1311">
        <f>O37</f>
        <v>0.03</v>
      </c>
      <c r="Q37" s="1311">
        <f>P37</f>
        <v>0.03</v>
      </c>
      <c r="R37" s="1811">
        <f>Q37</f>
        <v>0.03</v>
      </c>
      <c r="S37" s="687"/>
      <c r="T37" s="1331"/>
      <c r="U37" s="417">
        <f>U36/T36-1</f>
        <v>-0.35770009922754897</v>
      </c>
      <c r="V37" s="418">
        <f>V36/U36-1</f>
        <v>-7.9529057817681714E-2</v>
      </c>
      <c r="W37" s="418">
        <f>W36/V36-1</f>
        <v>-1.7346775301488648E-2</v>
      </c>
      <c r="X37" s="1107">
        <f>X36/W36-1</f>
        <v>-5.0698228552814584E-3</v>
      </c>
      <c r="Y37" s="400"/>
      <c r="Z37" s="711"/>
      <c r="AA37" s="712"/>
    </row>
    <row r="38" spans="1:32" s="411" customFormat="1">
      <c r="B38" s="2475"/>
      <c r="C38" s="400"/>
      <c r="D38" s="1093"/>
      <c r="I38" s="2076"/>
      <c r="M38" s="1084"/>
      <c r="N38" s="48"/>
      <c r="O38" s="528"/>
      <c r="P38" s="528"/>
      <c r="Q38" s="528"/>
      <c r="R38" s="1807"/>
      <c r="T38" s="400"/>
      <c r="U38" s="691"/>
      <c r="V38" s="692"/>
      <c r="W38" s="692"/>
      <c r="X38" s="1108"/>
      <c r="Y38" s="400"/>
      <c r="Z38" s="711"/>
      <c r="AA38" s="712"/>
    </row>
    <row r="39" spans="1:32">
      <c r="A39" s="411"/>
      <c r="B39" s="2475"/>
      <c r="C39" s="400"/>
      <c r="D39" s="1093"/>
      <c r="E39" s="411" t="s">
        <v>1818</v>
      </c>
      <c r="F39" s="411"/>
      <c r="G39" s="411"/>
      <c r="H39" s="411"/>
      <c r="I39" s="1076">
        <f>'1.2 EssPL'!G17</f>
        <v>177540</v>
      </c>
      <c r="J39" s="413">
        <f>I39*(1+J40)</f>
        <v>182866.2</v>
      </c>
      <c r="K39" s="413">
        <f>J39*(1+K40)</f>
        <v>188352.18600000002</v>
      </c>
      <c r="L39" s="413">
        <f>K39*(1+L40)</f>
        <v>194002.75158000001</v>
      </c>
      <c r="M39" s="1077">
        <f>L39*(1+M40)</f>
        <v>199822.83412740001</v>
      </c>
      <c r="N39" s="1823">
        <f>IF(Type="DeNovo",I39,0)</f>
        <v>177540</v>
      </c>
      <c r="O39" s="1818">
        <f>N39*(1+O40)</f>
        <v>182866.2</v>
      </c>
      <c r="P39" s="1818">
        <f>O39*(1+P40)</f>
        <v>188352.18600000002</v>
      </c>
      <c r="Q39" s="1818">
        <f>P39*(1+Q40)</f>
        <v>194002.75158000001</v>
      </c>
      <c r="R39" s="1819">
        <f>Q39*(1+R40)</f>
        <v>199822.83412740001</v>
      </c>
      <c r="S39" s="413">
        <f>T39*S34</f>
        <v>41333.333333333328</v>
      </c>
      <c r="T39" s="419">
        <f>'2.2 Staffing'!V21</f>
        <v>124000</v>
      </c>
      <c r="U39" s="419">
        <f>'2.2 Staffing'!W21</f>
        <v>172525</v>
      </c>
      <c r="V39" s="419">
        <f>'2.2 Staffing'!X21</f>
        <v>244325.27000000002</v>
      </c>
      <c r="W39" s="419">
        <f>'2.2 Staffing'!Y21</f>
        <v>311354.3465333333</v>
      </c>
      <c r="X39" s="1109">
        <f>'2.2 Staffing'!Z21</f>
        <v>356073.47052366659</v>
      </c>
      <c r="Y39" s="397"/>
      <c r="Z39" s="708"/>
      <c r="AA39" s="57"/>
    </row>
    <row r="40" spans="1:32" s="411" customFormat="1">
      <c r="A40" s="403"/>
      <c r="B40" s="2475"/>
      <c r="C40" s="397"/>
      <c r="D40" s="1074"/>
      <c r="E40" s="403"/>
      <c r="F40" s="403" t="s">
        <v>2709</v>
      </c>
      <c r="G40" s="403"/>
      <c r="H40" s="403"/>
      <c r="I40" s="2076"/>
      <c r="J40" s="688">
        <v>0.03</v>
      </c>
      <c r="K40" s="687">
        <f>J40</f>
        <v>0.03</v>
      </c>
      <c r="L40" s="687">
        <f>K40</f>
        <v>0.03</v>
      </c>
      <c r="M40" s="1078">
        <f>L40</f>
        <v>0.03</v>
      </c>
      <c r="N40" s="690"/>
      <c r="O40" s="688">
        <f>J40</f>
        <v>0.03</v>
      </c>
      <c r="P40" s="1311">
        <f>O40</f>
        <v>0.03</v>
      </c>
      <c r="Q40" s="1311">
        <f>P40</f>
        <v>0.03</v>
      </c>
      <c r="R40" s="1811">
        <f>Q40</f>
        <v>0.03</v>
      </c>
      <c r="S40" s="1311"/>
      <c r="T40" s="1342"/>
      <c r="U40" s="1489">
        <f>IF(T39=0,0,(U39/T39-1))</f>
        <v>0.39133064516129035</v>
      </c>
      <c r="V40" s="1489">
        <f>IF(U39=0,0,(V39/U39-1))</f>
        <v>0.41617313432835834</v>
      </c>
      <c r="W40" s="1489">
        <f>IF(V39=0,0,(W39/V39-1))</f>
        <v>0.27434360978433903</v>
      </c>
      <c r="X40" s="1490">
        <f>IF(W39=0,0,(X39/W39-1))</f>
        <v>0.14362774918109489</v>
      </c>
      <c r="Y40" s="400"/>
      <c r="Z40" s="711"/>
      <c r="AA40" s="712"/>
    </row>
    <row r="41" spans="1:32" s="411" customFormat="1">
      <c r="B41" s="2475"/>
      <c r="C41" s="400"/>
      <c r="D41" s="1093"/>
      <c r="I41" s="2076"/>
      <c r="M41" s="1084"/>
      <c r="N41" s="48"/>
      <c r="O41" s="528"/>
      <c r="P41" s="528"/>
      <c r="Q41" s="528"/>
      <c r="R41" s="1807"/>
      <c r="X41" s="1084"/>
      <c r="Y41" s="400"/>
      <c r="Z41" s="711"/>
      <c r="AA41" s="712"/>
    </row>
    <row r="42" spans="1:32">
      <c r="A42" s="411"/>
      <c r="B42" s="2475"/>
      <c r="C42" s="400"/>
      <c r="D42" s="1093"/>
      <c r="E42" s="411" t="s">
        <v>1960</v>
      </c>
      <c r="F42" s="411"/>
      <c r="G42" s="411"/>
      <c r="H42" s="411"/>
      <c r="I42" s="1076">
        <f>'1.2 EssPL'!G19</f>
        <v>0</v>
      </c>
      <c r="J42" s="413">
        <f>I42*(1+J43)</f>
        <v>0</v>
      </c>
      <c r="K42" s="413">
        <f>J42*(1+K43)</f>
        <v>0</v>
      </c>
      <c r="L42" s="413">
        <f>K42*(1+L43)</f>
        <v>0</v>
      </c>
      <c r="M42" s="1077">
        <f>L42*(1+M43)</f>
        <v>0</v>
      </c>
      <c r="N42" s="1823">
        <f>IF(Type="DeNovo",I42,0)</f>
        <v>0</v>
      </c>
      <c r="O42" s="1818">
        <f>N42*(1+O43)</f>
        <v>0</v>
      </c>
      <c r="P42" s="1818">
        <f>O42*(1+P43)</f>
        <v>0</v>
      </c>
      <c r="Q42" s="1818">
        <f>P42*(1+Q43)</f>
        <v>0</v>
      </c>
      <c r="R42" s="1819">
        <f>Q42*(1+R43)</f>
        <v>0</v>
      </c>
      <c r="S42" s="413">
        <f>T42*S34</f>
        <v>0</v>
      </c>
      <c r="T42" s="1329">
        <f>IF($X$2="DeNovo",0,I42)</f>
        <v>0</v>
      </c>
      <c r="U42" s="413">
        <f>T42*(1+U43)</f>
        <v>0</v>
      </c>
      <c r="V42" s="413">
        <f>U42*(1+V43)</f>
        <v>0</v>
      </c>
      <c r="W42" s="413">
        <f>V42*(1+W43)</f>
        <v>0</v>
      </c>
      <c r="X42" s="1077">
        <f>W42*(1+X43)</f>
        <v>0</v>
      </c>
      <c r="Y42" s="397"/>
      <c r="Z42" s="708"/>
      <c r="AA42" s="57"/>
    </row>
    <row r="43" spans="1:32">
      <c r="B43" s="2475"/>
      <c r="C43" s="397"/>
      <c r="D43" s="1074"/>
      <c r="F43" s="403" t="s">
        <v>2709</v>
      </c>
      <c r="I43" s="1074"/>
      <c r="J43" s="688">
        <v>0.03</v>
      </c>
      <c r="K43" s="687">
        <f>J43</f>
        <v>0.03</v>
      </c>
      <c r="L43" s="687">
        <f>K43</f>
        <v>0.03</v>
      </c>
      <c r="M43" s="1078">
        <f>L43</f>
        <v>0.03</v>
      </c>
      <c r="N43" s="1311"/>
      <c r="O43" s="688">
        <f>J43</f>
        <v>0.03</v>
      </c>
      <c r="P43" s="1311">
        <f>O43</f>
        <v>0.03</v>
      </c>
      <c r="Q43" s="1311">
        <f>P43</f>
        <v>0.03</v>
      </c>
      <c r="R43" s="1811">
        <f>Q43</f>
        <v>0.03</v>
      </c>
      <c r="S43" s="687"/>
      <c r="U43" s="688">
        <f>J43</f>
        <v>0.03</v>
      </c>
      <c r="V43" s="687">
        <f>U43</f>
        <v>0.03</v>
      </c>
      <c r="W43" s="687">
        <f>V43</f>
        <v>0.03</v>
      </c>
      <c r="X43" s="1078">
        <f>W43</f>
        <v>0.03</v>
      </c>
      <c r="Y43" s="397"/>
      <c r="Z43" s="708"/>
      <c r="AA43" s="57"/>
    </row>
    <row r="44" spans="1:32">
      <c r="B44" s="2475"/>
      <c r="C44" s="42"/>
      <c r="D44" s="1244"/>
      <c r="E44" s="1245"/>
      <c r="F44" s="1245"/>
      <c r="G44" s="1245"/>
      <c r="H44" s="1245"/>
      <c r="I44" s="1244"/>
      <c r="J44" s="1245"/>
      <c r="K44" s="1245"/>
      <c r="L44" s="1245"/>
      <c r="M44" s="1246"/>
      <c r="N44" s="1824"/>
      <c r="O44" s="1824"/>
      <c r="P44" s="1824"/>
      <c r="Q44" s="1824"/>
      <c r="R44" s="1825"/>
      <c r="S44" s="1245"/>
      <c r="T44" s="1245"/>
      <c r="U44" s="1245"/>
      <c r="V44" s="1245"/>
      <c r="W44" s="1245"/>
      <c r="X44" s="1246"/>
      <c r="Y44" s="42"/>
      <c r="Z44" s="708"/>
      <c r="AA44" s="57"/>
    </row>
    <row r="45" spans="1:32">
      <c r="B45" s="2475"/>
      <c r="C45" s="397"/>
      <c r="D45" s="2732" t="s">
        <v>4135</v>
      </c>
      <c r="E45" s="1231"/>
      <c r="F45" s="1231"/>
      <c r="G45" s="1231"/>
      <c r="H45" s="1231"/>
      <c r="I45" s="1240"/>
      <c r="J45" s="1231"/>
      <c r="K45" s="1231"/>
      <c r="L45" s="1231"/>
      <c r="M45" s="1242"/>
      <c r="N45" s="1814"/>
      <c r="O45" s="1814"/>
      <c r="P45" s="1814"/>
      <c r="Q45" s="1814"/>
      <c r="R45" s="1821"/>
      <c r="S45" s="1231"/>
      <c r="T45" s="2103"/>
      <c r="U45" s="1231"/>
      <c r="V45" s="1231"/>
      <c r="W45" s="1231"/>
      <c r="X45" s="1242"/>
      <c r="Y45" s="397"/>
      <c r="Z45" s="708"/>
      <c r="AA45" s="57"/>
    </row>
    <row r="46" spans="1:32">
      <c r="B46" s="2475"/>
      <c r="C46" s="397"/>
      <c r="D46" s="1074"/>
      <c r="I46" s="1333"/>
      <c r="M46" s="1075"/>
      <c r="R46" s="1807"/>
      <c r="T46" s="1333"/>
      <c r="X46" s="1075"/>
      <c r="Y46" s="397"/>
      <c r="Z46" s="708"/>
      <c r="AA46" s="57"/>
      <c r="AB46"/>
      <c r="AC46"/>
      <c r="AD46"/>
      <c r="AE46"/>
      <c r="AF46"/>
    </row>
    <row r="47" spans="1:32">
      <c r="B47" s="2475"/>
      <c r="C47" s="397"/>
      <c r="D47" s="1074"/>
      <c r="E47" s="403" t="s">
        <v>3693</v>
      </c>
      <c r="I47" s="2493">
        <f>'1.2 EssPL'!G23+'1.2 EssPL'!G24</f>
        <v>62.673239638415865</v>
      </c>
      <c r="J47" s="420">
        <f>I47*(1+J48)</f>
        <v>63.926704431184184</v>
      </c>
      <c r="K47" s="413">
        <f>J47*(1+K48)</f>
        <v>65.205238519807864</v>
      </c>
      <c r="L47" s="413">
        <f>K47*(1+L48)</f>
        <v>66.509343290204029</v>
      </c>
      <c r="M47" s="1077">
        <f>L47*(1+M48)</f>
        <v>67.839530156008109</v>
      </c>
      <c r="N47" s="1823">
        <f>IF(Type="DeNovo",I47,0)</f>
        <v>62.673239638415865</v>
      </c>
      <c r="O47" s="1818">
        <f>N47*(1+O48)</f>
        <v>63.926704431184184</v>
      </c>
      <c r="P47" s="1818">
        <f>O47*(1+P48)</f>
        <v>65.205238519807864</v>
      </c>
      <c r="Q47" s="1818">
        <f>P47*(1+Q48)</f>
        <v>66.509343290204029</v>
      </c>
      <c r="R47" s="1819">
        <f>Q47*(1+R48)</f>
        <v>67.839530156008109</v>
      </c>
      <c r="S47" s="413"/>
      <c r="T47" s="2476">
        <f>I47</f>
        <v>62.673239638415865</v>
      </c>
      <c r="U47" s="413">
        <f>T47*(1+U48)</f>
        <v>63.926704431184184</v>
      </c>
      <c r="V47" s="413">
        <f>U47*(1+V48)</f>
        <v>65.205238519807864</v>
      </c>
      <c r="W47" s="413">
        <f>V47*(1+W48)</f>
        <v>66.509343290204029</v>
      </c>
      <c r="X47" s="1077">
        <f>W47*(1+X48)</f>
        <v>67.839530156008109</v>
      </c>
      <c r="Z47" s="708"/>
      <c r="AA47" s="57"/>
      <c r="AB47"/>
      <c r="AC47"/>
      <c r="AD47"/>
      <c r="AE47"/>
      <c r="AF47"/>
    </row>
    <row r="48" spans="1:32">
      <c r="B48" s="2475"/>
      <c r="C48" s="397"/>
      <c r="D48" s="1074"/>
      <c r="F48" s="403" t="s">
        <v>2709</v>
      </c>
      <c r="I48" s="2494"/>
      <c r="J48" s="688">
        <v>0.02</v>
      </c>
      <c r="K48" s="687">
        <f>J48</f>
        <v>0.02</v>
      </c>
      <c r="L48" s="687">
        <f>K48</f>
        <v>0.02</v>
      </c>
      <c r="M48" s="1078">
        <f>L48</f>
        <v>0.02</v>
      </c>
      <c r="N48" s="690"/>
      <c r="O48" s="688">
        <f>J48</f>
        <v>0.02</v>
      </c>
      <c r="P48" s="1311">
        <f>O48</f>
        <v>0.02</v>
      </c>
      <c r="Q48" s="1311">
        <f>P48</f>
        <v>0.02</v>
      </c>
      <c r="R48" s="1811">
        <f>Q48</f>
        <v>0.02</v>
      </c>
      <c r="S48" s="687"/>
      <c r="T48" s="2480"/>
      <c r="U48" s="688">
        <f>O48</f>
        <v>0.02</v>
      </c>
      <c r="V48" s="687">
        <f>U48</f>
        <v>0.02</v>
      </c>
      <c r="W48" s="687">
        <f>V48</f>
        <v>0.02</v>
      </c>
      <c r="X48" s="1078">
        <f>W48</f>
        <v>0.02</v>
      </c>
      <c r="Z48" s="708"/>
      <c r="AA48" s="57"/>
      <c r="AB48"/>
      <c r="AC48"/>
      <c r="AD48"/>
      <c r="AE48"/>
      <c r="AF48"/>
    </row>
    <row r="49" spans="2:32">
      <c r="B49" s="2475"/>
      <c r="C49" s="397"/>
      <c r="D49" s="1074"/>
      <c r="I49" s="1333"/>
      <c r="J49" s="397"/>
      <c r="M49" s="1075"/>
      <c r="N49" s="48"/>
      <c r="R49" s="1807"/>
      <c r="T49" s="1333"/>
      <c r="X49" s="1075"/>
      <c r="Z49" s="708"/>
      <c r="AA49" s="57"/>
      <c r="AB49"/>
      <c r="AC49"/>
      <c r="AD49"/>
      <c r="AE49"/>
      <c r="AF49"/>
    </row>
    <row r="50" spans="2:32">
      <c r="B50" s="2475"/>
      <c r="C50" s="397"/>
      <c r="D50" s="1074"/>
      <c r="E50" s="403" t="s">
        <v>3694</v>
      </c>
      <c r="I50" s="2493">
        <f>'1.2 EssPL'!G27</f>
        <v>23.226052818746606</v>
      </c>
      <c r="J50" s="420">
        <f>I50*(1+J51)</f>
        <v>23.922834403309004</v>
      </c>
      <c r="K50" s="413">
        <f>J50*(1+K51)</f>
        <v>24.640519435408276</v>
      </c>
      <c r="L50" s="413">
        <f>K50*(1+L51)</f>
        <v>25.379735018470527</v>
      </c>
      <c r="M50" s="1077">
        <f>L50*(1+M51)</f>
        <v>26.141127069024645</v>
      </c>
      <c r="N50" s="1823">
        <f>IF(Type="DeNovo",I50,0)</f>
        <v>23.226052818746606</v>
      </c>
      <c r="O50" s="1818">
        <f>N50*(1+O51)</f>
        <v>23.922834403309004</v>
      </c>
      <c r="P50" s="1818">
        <f>O50*(1+P51)</f>
        <v>24.640519435408276</v>
      </c>
      <c r="Q50" s="1818">
        <f>P50*(1+Q51)</f>
        <v>25.379735018470527</v>
      </c>
      <c r="R50" s="1819">
        <f>Q50*(1+R51)</f>
        <v>26.141127069024645</v>
      </c>
      <c r="S50" s="413"/>
      <c r="T50" s="2476">
        <f>I50</f>
        <v>23.226052818746606</v>
      </c>
      <c r="U50" s="413">
        <f>T50*(1+U51)</f>
        <v>23.922834403309004</v>
      </c>
      <c r="V50" s="413">
        <f>U50*(1+V51)</f>
        <v>24.640519435408276</v>
      </c>
      <c r="W50" s="413">
        <f>V50*(1+W51)</f>
        <v>25.379735018470527</v>
      </c>
      <c r="X50" s="1077">
        <f>W50*(1+X51)</f>
        <v>26.141127069024645</v>
      </c>
      <c r="Z50" s="708"/>
      <c r="AA50" s="57"/>
      <c r="AB50"/>
      <c r="AC50"/>
      <c r="AD50"/>
      <c r="AE50"/>
      <c r="AF50"/>
    </row>
    <row r="51" spans="2:32">
      <c r="B51" s="2475"/>
      <c r="C51" s="397"/>
      <c r="D51" s="1074"/>
      <c r="F51" s="403" t="s">
        <v>2709</v>
      </c>
      <c r="I51" s="2494"/>
      <c r="J51" s="688">
        <v>0.03</v>
      </c>
      <c r="K51" s="687">
        <f>J51</f>
        <v>0.03</v>
      </c>
      <c r="L51" s="687">
        <f>K51</f>
        <v>0.03</v>
      </c>
      <c r="M51" s="1078">
        <f>L51</f>
        <v>0.03</v>
      </c>
      <c r="N51" s="690"/>
      <c r="O51" s="688">
        <v>0.03</v>
      </c>
      <c r="P51" s="1311">
        <f>O51</f>
        <v>0.03</v>
      </c>
      <c r="Q51" s="1311">
        <f>P51</f>
        <v>0.03</v>
      </c>
      <c r="R51" s="1811">
        <f>Q51</f>
        <v>0.03</v>
      </c>
      <c r="S51" s="687"/>
      <c r="T51" s="2480"/>
      <c r="U51" s="686">
        <v>0.03</v>
      </c>
      <c r="V51" s="687">
        <f>U51</f>
        <v>0.03</v>
      </c>
      <c r="W51" s="687">
        <f>V51</f>
        <v>0.03</v>
      </c>
      <c r="X51" s="1078">
        <f>W51</f>
        <v>0.03</v>
      </c>
      <c r="Z51" s="708"/>
      <c r="AA51" s="57"/>
      <c r="AB51"/>
      <c r="AC51"/>
      <c r="AD51"/>
      <c r="AE51"/>
      <c r="AF51"/>
    </row>
    <row r="52" spans="2:32">
      <c r="B52" s="2475"/>
      <c r="C52" s="397"/>
      <c r="D52" s="1074"/>
      <c r="I52" s="1333"/>
      <c r="J52" s="397"/>
      <c r="M52" s="1075"/>
      <c r="N52" s="48"/>
      <c r="R52" s="1807"/>
      <c r="T52" s="1333"/>
      <c r="V52" s="1536"/>
      <c r="X52" s="1075"/>
      <c r="Z52" s="708"/>
      <c r="AA52" s="57"/>
      <c r="AB52"/>
      <c r="AC52"/>
      <c r="AD52"/>
      <c r="AE52"/>
      <c r="AF52"/>
    </row>
    <row r="53" spans="2:32">
      <c r="B53" s="2475"/>
      <c r="C53" s="397"/>
      <c r="D53" s="1074"/>
      <c r="E53" s="403" t="s">
        <v>3699</v>
      </c>
      <c r="I53" s="2493">
        <f>'1.2 EssPL'!I28</f>
        <v>12536.46</v>
      </c>
      <c r="J53" s="420">
        <f>I53*(1+J54)</f>
        <v>12912.5538</v>
      </c>
      <c r="K53" s="413">
        <f>J53*(1+K54)</f>
        <v>13299.930414</v>
      </c>
      <c r="L53" s="413">
        <f>K53*(1+L54)</f>
        <v>13698.92832642</v>
      </c>
      <c r="M53" s="1077">
        <f>L53*(1+M54)</f>
        <v>14109.8961762126</v>
      </c>
      <c r="N53" s="1823">
        <f>IF(Type="DeNovo",I53,0)</f>
        <v>12536.46</v>
      </c>
      <c r="O53" s="1818">
        <f>N53*(1+O54)</f>
        <v>12912.5538</v>
      </c>
      <c r="P53" s="1818">
        <f>O53*(1+P54)</f>
        <v>13299.930414</v>
      </c>
      <c r="Q53" s="1818">
        <f>P53*(1+Q54)</f>
        <v>13698.92832642</v>
      </c>
      <c r="R53" s="1819">
        <f>Q53*(1+R54)</f>
        <v>14109.8961762126</v>
      </c>
      <c r="S53" s="413"/>
      <c r="T53" s="2929">
        <f>IF(Openstation='2.0 Patients'!$F$8,I53,(((I53/2)*Openstation)/'2.0 Patients'!$F$8)+(I53/2))</f>
        <v>15879.515999999998</v>
      </c>
      <c r="U53" s="413">
        <f>T53*(1+U54)</f>
        <v>16355.901479999999</v>
      </c>
      <c r="V53" s="413">
        <f>U53*(1+V54)</f>
        <v>16846.5785244</v>
      </c>
      <c r="W53" s="413">
        <f>V53*(1+W54)</f>
        <v>17351.975880131999</v>
      </c>
      <c r="X53" s="1077">
        <f>W53*(1+X54)</f>
        <v>17872.53515653596</v>
      </c>
      <c r="Z53" s="713"/>
      <c r="AA53" s="57"/>
      <c r="AB53"/>
      <c r="AC53"/>
      <c r="AD53"/>
      <c r="AE53"/>
      <c r="AF53"/>
    </row>
    <row r="54" spans="2:32">
      <c r="B54" s="2475"/>
      <c r="C54" s="397"/>
      <c r="D54" s="1074"/>
      <c r="F54" s="403" t="s">
        <v>2709</v>
      </c>
      <c r="I54" s="2494"/>
      <c r="J54" s="688">
        <v>0.03</v>
      </c>
      <c r="K54" s="687">
        <f>J54</f>
        <v>0.03</v>
      </c>
      <c r="L54" s="687">
        <f>K54</f>
        <v>0.03</v>
      </c>
      <c r="M54" s="1078">
        <f>L54</f>
        <v>0.03</v>
      </c>
      <c r="N54" s="690"/>
      <c r="O54" s="688">
        <v>0.03</v>
      </c>
      <c r="P54" s="1311">
        <f>O54</f>
        <v>0.03</v>
      </c>
      <c r="Q54" s="1311">
        <f>P54</f>
        <v>0.03</v>
      </c>
      <c r="R54" s="1811">
        <f>Q54</f>
        <v>0.03</v>
      </c>
      <c r="S54" s="687"/>
      <c r="T54" s="2480"/>
      <c r="U54" s="686">
        <v>0.03</v>
      </c>
      <c r="V54" s="687">
        <f>U54</f>
        <v>0.03</v>
      </c>
      <c r="W54" s="687">
        <f>V54</f>
        <v>0.03</v>
      </c>
      <c r="X54" s="1078">
        <f>W54</f>
        <v>0.03</v>
      </c>
      <c r="Z54" s="708"/>
      <c r="AA54" s="57"/>
      <c r="AB54"/>
      <c r="AC54"/>
      <c r="AD54"/>
      <c r="AE54"/>
      <c r="AF54"/>
    </row>
    <row r="55" spans="2:32">
      <c r="B55" s="2475"/>
      <c r="C55" s="397"/>
      <c r="D55" s="1074"/>
      <c r="I55" s="1333"/>
      <c r="J55" s="397"/>
      <c r="M55" s="1075"/>
      <c r="N55" s="48"/>
      <c r="R55" s="1807"/>
      <c r="T55" s="1333"/>
      <c r="X55" s="1075"/>
      <c r="Z55" s="708"/>
      <c r="AA55" s="57"/>
      <c r="AB55"/>
      <c r="AC55"/>
      <c r="AD55"/>
      <c r="AE55"/>
      <c r="AF55"/>
    </row>
    <row r="56" spans="2:32">
      <c r="B56" s="2475"/>
      <c r="C56" s="397"/>
      <c r="D56" s="1074"/>
      <c r="E56" s="403" t="s">
        <v>3700</v>
      </c>
      <c r="I56" s="2553">
        <f>'6. Market'!J83</f>
        <v>222779.69526189211</v>
      </c>
      <c r="J56" s="413">
        <f>'6. Market'!K83</f>
        <v>229463.08611974886</v>
      </c>
      <c r="K56" s="413">
        <f>'6. Market'!L83</f>
        <v>236346.97870334133</v>
      </c>
      <c r="L56" s="413">
        <f>'6. Market'!M83</f>
        <v>243437.38806444156</v>
      </c>
      <c r="M56" s="1077">
        <f>'6. Market'!N83</f>
        <v>250740.50970637481</v>
      </c>
      <c r="N56" s="1823">
        <f>'6. Market'!AL83</f>
        <v>222779.69526189211</v>
      </c>
      <c r="O56" s="1818">
        <f>'6. Market'!AM83</f>
        <v>229463.08611974886</v>
      </c>
      <c r="P56" s="1818">
        <f>'6. Market'!AN83</f>
        <v>236346.97870334133</v>
      </c>
      <c r="Q56" s="1818">
        <f>'6. Market'!AO83</f>
        <v>243437.38806444156</v>
      </c>
      <c r="R56" s="1819">
        <f>'6. Market'!AP83</f>
        <v>250740.50970637481</v>
      </c>
      <c r="S56" s="413"/>
      <c r="T56" s="2554">
        <f>'5. Financials'!I83</f>
        <v>59690.677580490817</v>
      </c>
      <c r="U56" s="413">
        <f>'5. Financials'!J83</f>
        <v>154002.09096516322</v>
      </c>
      <c r="V56" s="413">
        <f>'5. Financials'!K83</f>
        <v>229826.22616270557</v>
      </c>
      <c r="W56" s="413">
        <f>'5. Financials'!L83</f>
        <v>297672.42923225992</v>
      </c>
      <c r="X56" s="1077">
        <f>'5. Financials'!M83</f>
        <v>359402.76713393559</v>
      </c>
      <c r="Z56" s="708"/>
      <c r="AA56" s="57"/>
      <c r="AB56"/>
      <c r="AC56"/>
      <c r="AD56"/>
      <c r="AE56"/>
      <c r="AF56"/>
    </row>
    <row r="57" spans="2:32">
      <c r="B57" s="2475"/>
      <c r="C57" s="397"/>
      <c r="D57" s="1074"/>
      <c r="F57" s="403" t="s">
        <v>1330</v>
      </c>
      <c r="I57" s="2493">
        <f>'1.2 EssPL'!G30+'1.2 EssPL'!G32</f>
        <v>21.970384148115592</v>
      </c>
      <c r="J57" s="420">
        <f>I57*(1+J58)</f>
        <v>22.629495672559059</v>
      </c>
      <c r="K57" s="413">
        <f>J57*(1+K58)</f>
        <v>23.308380542735833</v>
      </c>
      <c r="L57" s="413">
        <f>K57*(1+L58)</f>
        <v>24.007631959017907</v>
      </c>
      <c r="M57" s="1077">
        <f>L57*(1+M58)</f>
        <v>24.727860917788444</v>
      </c>
      <c r="N57" s="1823">
        <f>IF(Type="DeNovo",I57,0)</f>
        <v>21.970384148115592</v>
      </c>
      <c r="O57" s="1818">
        <f>N57*(1+O58)</f>
        <v>22.629495672559059</v>
      </c>
      <c r="P57" s="1818">
        <f>O57*(1+P58)</f>
        <v>23.308380542735833</v>
      </c>
      <c r="Q57" s="1818">
        <f>P57*(1+Q58)</f>
        <v>24.007631959017907</v>
      </c>
      <c r="R57" s="1819">
        <f>Q57*(1+R58)</f>
        <v>24.727860917788444</v>
      </c>
      <c r="S57" s="413"/>
      <c r="T57" s="2476">
        <f>I57</f>
        <v>21.970384148115592</v>
      </c>
      <c r="U57" s="413">
        <f>T57*(1+U58)</f>
        <v>22.629495672559059</v>
      </c>
      <c r="V57" s="413">
        <f>U57*(1+V58)</f>
        <v>23.308380542735833</v>
      </c>
      <c r="W57" s="413">
        <f>V57*(1+W58)</f>
        <v>24.007631959017907</v>
      </c>
      <c r="X57" s="1077">
        <f>W57*(1+X58)</f>
        <v>24.727860917788444</v>
      </c>
      <c r="Z57" s="708"/>
      <c r="AA57" s="57"/>
      <c r="AB57"/>
      <c r="AC57"/>
      <c r="AD57"/>
      <c r="AE57"/>
      <c r="AF57"/>
    </row>
    <row r="58" spans="2:32">
      <c r="B58" s="2475"/>
      <c r="C58" s="397"/>
      <c r="D58" s="1074"/>
      <c r="F58" s="403" t="s">
        <v>2709</v>
      </c>
      <c r="I58" s="1083"/>
      <c r="J58" s="688">
        <v>0.03</v>
      </c>
      <c r="K58" s="687">
        <f>J58</f>
        <v>0.03</v>
      </c>
      <c r="L58" s="687">
        <f>K58</f>
        <v>0.03</v>
      </c>
      <c r="M58" s="1078">
        <f>L58</f>
        <v>0.03</v>
      </c>
      <c r="N58" s="1311"/>
      <c r="O58" s="688">
        <v>0.03</v>
      </c>
      <c r="P58" s="1311">
        <f>O58</f>
        <v>0.03</v>
      </c>
      <c r="Q58" s="1311">
        <f>P58</f>
        <v>0.03</v>
      </c>
      <c r="R58" s="1811">
        <f>Q58</f>
        <v>0.03</v>
      </c>
      <c r="S58" s="687"/>
      <c r="U58" s="686">
        <v>0.03</v>
      </c>
      <c r="V58" s="687">
        <f>U58</f>
        <v>0.03</v>
      </c>
      <c r="W58" s="687">
        <f>V58</f>
        <v>0.03</v>
      </c>
      <c r="X58" s="1078">
        <f>W58</f>
        <v>0.03</v>
      </c>
      <c r="Z58" s="708"/>
      <c r="AA58" s="57"/>
      <c r="AB58"/>
      <c r="AC58"/>
      <c r="AD58"/>
      <c r="AE58"/>
      <c r="AF58"/>
    </row>
    <row r="59" spans="2:32">
      <c r="B59" s="2475"/>
      <c r="C59" s="397"/>
      <c r="D59" s="1074"/>
      <c r="I59" s="1083"/>
      <c r="J59" s="688"/>
      <c r="K59" s="687"/>
      <c r="L59" s="687"/>
      <c r="M59" s="1078"/>
      <c r="R59" s="1807"/>
      <c r="S59" s="687"/>
      <c r="U59" s="690"/>
      <c r="V59" s="687"/>
      <c r="W59" s="687"/>
      <c r="X59" s="1078"/>
      <c r="Z59" s="708"/>
      <c r="AA59" s="57"/>
    </row>
    <row r="60" spans="2:32">
      <c r="B60" s="2475"/>
      <c r="C60" s="397"/>
      <c r="D60" s="1074"/>
      <c r="I60" s="1083"/>
      <c r="J60" s="688"/>
      <c r="K60" s="687"/>
      <c r="L60" s="687"/>
      <c r="M60" s="1078"/>
      <c r="R60" s="1822" t="s">
        <v>1822</v>
      </c>
      <c r="S60" s="1735">
        <f>$S$34</f>
        <v>0.33333333333333331</v>
      </c>
      <c r="U60" s="108"/>
      <c r="V60" s="687"/>
      <c r="W60" s="687"/>
      <c r="X60" s="1078"/>
      <c r="Z60" s="708"/>
      <c r="AA60" s="57"/>
    </row>
    <row r="61" spans="2:32">
      <c r="B61" s="2475"/>
      <c r="C61" s="397"/>
      <c r="D61" s="1074"/>
      <c r="I61" s="1083"/>
      <c r="J61" s="688"/>
      <c r="K61" s="687"/>
      <c r="L61" s="687"/>
      <c r="M61" s="1078"/>
      <c r="R61" s="1807"/>
      <c r="S61" s="687"/>
      <c r="T61" s="37"/>
      <c r="U61" s="690"/>
      <c r="V61" s="687"/>
      <c r="W61" s="687"/>
      <c r="X61" s="1078"/>
      <c r="Z61" s="708"/>
      <c r="AA61" s="57"/>
    </row>
    <row r="62" spans="2:32">
      <c r="B62" s="2475"/>
      <c r="C62" s="397"/>
      <c r="D62" s="1074"/>
      <c r="E62" s="403" t="s">
        <v>3705</v>
      </c>
      <c r="I62" s="1088">
        <v>12</v>
      </c>
      <c r="J62" s="421">
        <f>I62*(1+J63)</f>
        <v>12.120000000000001</v>
      </c>
      <c r="K62" s="422">
        <f>J62*(1+K63)</f>
        <v>12.241200000000001</v>
      </c>
      <c r="L62" s="422">
        <f>K62*(1+L63)</f>
        <v>12.363612000000002</v>
      </c>
      <c r="M62" s="1089">
        <f>L62*(1+M63)</f>
        <v>12.487248120000002</v>
      </c>
      <c r="N62" s="1826">
        <f>IF(Type="DeNovo",I62,0)</f>
        <v>12</v>
      </c>
      <c r="O62" s="1826">
        <f>N62*(1+O63)</f>
        <v>12.120000000000001</v>
      </c>
      <c r="P62" s="1826">
        <f>O62*(1+P63)</f>
        <v>12.241200000000001</v>
      </c>
      <c r="Q62" s="1826">
        <f>P62*(1+Q63)</f>
        <v>12.363612000000002</v>
      </c>
      <c r="R62" s="1827">
        <f>Q62*(1+R63)</f>
        <v>12.487248120000002</v>
      </c>
      <c r="S62" s="422"/>
      <c r="T62" s="1366">
        <f>I62</f>
        <v>12</v>
      </c>
      <c r="U62" s="422">
        <f>T62*(1+U63)</f>
        <v>12.120000000000001</v>
      </c>
      <c r="V62" s="422">
        <f>U62*(1+V63)</f>
        <v>12.241200000000001</v>
      </c>
      <c r="W62" s="422">
        <f>V62*(1+W63)</f>
        <v>12.363612000000002</v>
      </c>
      <c r="X62" s="1089">
        <f>W62*(1+X63)</f>
        <v>12.487248120000002</v>
      </c>
      <c r="Z62" s="708"/>
      <c r="AA62" s="57"/>
    </row>
    <row r="63" spans="2:32">
      <c r="B63" s="2475"/>
      <c r="C63" s="397"/>
      <c r="D63" s="1074"/>
      <c r="F63" s="403" t="s">
        <v>2709</v>
      </c>
      <c r="I63" s="1090"/>
      <c r="J63" s="694">
        <v>0.01</v>
      </c>
      <c r="K63" s="687">
        <f>J63</f>
        <v>0.01</v>
      </c>
      <c r="L63" s="687">
        <f>K63</f>
        <v>0.01</v>
      </c>
      <c r="M63" s="1078">
        <f>L63</f>
        <v>0.01</v>
      </c>
      <c r="N63" s="1311"/>
      <c r="O63" s="1311">
        <f>J63</f>
        <v>0.01</v>
      </c>
      <c r="P63" s="1311">
        <f>O63</f>
        <v>0.01</v>
      </c>
      <c r="Q63" s="1311">
        <f>P63</f>
        <v>0.01</v>
      </c>
      <c r="R63" s="1811">
        <f>Q63</f>
        <v>0.01</v>
      </c>
      <c r="S63" s="687"/>
      <c r="T63" s="1332"/>
      <c r="U63" s="687">
        <f>J63</f>
        <v>0.01</v>
      </c>
      <c r="V63" s="687">
        <f>U63</f>
        <v>0.01</v>
      </c>
      <c r="W63" s="687">
        <f>V63</f>
        <v>0.01</v>
      </c>
      <c r="X63" s="1078">
        <f>W63</f>
        <v>0.01</v>
      </c>
      <c r="Z63" s="708"/>
      <c r="AA63" s="57"/>
    </row>
    <row r="64" spans="2:32">
      <c r="B64" s="2475"/>
      <c r="C64" s="397"/>
      <c r="D64" s="1083"/>
      <c r="E64" s="403" t="s">
        <v>3706</v>
      </c>
      <c r="I64" s="1088">
        <v>6</v>
      </c>
      <c r="J64" s="421">
        <f>I64*(1+J65)</f>
        <v>6.12</v>
      </c>
      <c r="K64" s="422">
        <f>J64*(1+K65)</f>
        <v>6.2423999999999999</v>
      </c>
      <c r="L64" s="422">
        <f>K64*(1+L65)</f>
        <v>6.367248</v>
      </c>
      <c r="M64" s="1089">
        <f>L64*(1+M65)</f>
        <v>6.4945929600000003</v>
      </c>
      <c r="N64" s="1826">
        <f>IF(Type="DeNovo",I64,0)</f>
        <v>6</v>
      </c>
      <c r="O64" s="1826">
        <f>N64*(1+O65)</f>
        <v>6.12</v>
      </c>
      <c r="P64" s="1826">
        <f>O64*(1+P65)</f>
        <v>6.2423999999999999</v>
      </c>
      <c r="Q64" s="1826">
        <f>P64*(1+Q65)</f>
        <v>6.367248</v>
      </c>
      <c r="R64" s="1827">
        <f>Q64*(1+R65)</f>
        <v>6.4945929600000003</v>
      </c>
      <c r="S64" s="422"/>
      <c r="T64" s="1366">
        <f>I64</f>
        <v>6</v>
      </c>
      <c r="U64" s="422">
        <f>T64*(1+U65)</f>
        <v>6.12</v>
      </c>
      <c r="V64" s="422">
        <f>U64*(1+V65)</f>
        <v>6.2423999999999999</v>
      </c>
      <c r="W64" s="422">
        <f>V64*(1+W65)</f>
        <v>6.367248</v>
      </c>
      <c r="X64" s="1089">
        <f>W64*(1+X65)</f>
        <v>6.4945929600000003</v>
      </c>
      <c r="Z64" s="708"/>
      <c r="AA64" s="57"/>
    </row>
    <row r="65" spans="1:28">
      <c r="B65" s="2475"/>
      <c r="C65" s="397"/>
      <c r="D65" s="1083"/>
      <c r="F65" s="403" t="s">
        <v>2709</v>
      </c>
      <c r="I65" s="1090"/>
      <c r="J65" s="695">
        <v>0.02</v>
      </c>
      <c r="K65" s="687">
        <f>J65</f>
        <v>0.02</v>
      </c>
      <c r="L65" s="687">
        <f>K65</f>
        <v>0.02</v>
      </c>
      <c r="M65" s="1078">
        <f>L65</f>
        <v>0.02</v>
      </c>
      <c r="N65" s="1311"/>
      <c r="O65" s="1311">
        <f>J65</f>
        <v>0.02</v>
      </c>
      <c r="P65" s="1311">
        <f>O65</f>
        <v>0.02</v>
      </c>
      <c r="Q65" s="1311">
        <f>P65</f>
        <v>0.02</v>
      </c>
      <c r="R65" s="1811">
        <f>Q65</f>
        <v>0.02</v>
      </c>
      <c r="S65" s="687"/>
      <c r="T65" s="1332"/>
      <c r="U65" s="687">
        <f>J65</f>
        <v>0.02</v>
      </c>
      <c r="V65" s="687">
        <f>U65</f>
        <v>0.02</v>
      </c>
      <c r="W65" s="687">
        <f>V65</f>
        <v>0.02</v>
      </c>
      <c r="X65" s="1078">
        <f>W65</f>
        <v>0.02</v>
      </c>
      <c r="Z65" s="708"/>
      <c r="AA65" s="57"/>
    </row>
    <row r="66" spans="1:28">
      <c r="B66" s="2475"/>
      <c r="C66" s="397"/>
      <c r="D66" s="1083"/>
      <c r="I66" s="1090"/>
      <c r="J66" s="695"/>
      <c r="K66" s="687"/>
      <c r="L66" s="687"/>
      <c r="M66" s="1078"/>
      <c r="N66" s="1311"/>
      <c r="O66" s="1311"/>
      <c r="P66" s="1311"/>
      <c r="Q66" s="1311"/>
      <c r="R66" s="1811"/>
      <c r="S66" s="687"/>
      <c r="T66" s="1332"/>
      <c r="U66" s="687"/>
      <c r="V66" s="687"/>
      <c r="W66" s="687"/>
      <c r="X66" s="1078"/>
      <c r="Z66" s="708"/>
      <c r="AA66" s="57"/>
    </row>
    <row r="67" spans="1:28" ht="12.75" hidden="1" customHeight="1" outlineLevel="1">
      <c r="B67" s="2475"/>
      <c r="C67" s="397"/>
      <c r="D67" s="1083"/>
      <c r="E67" s="403" t="s">
        <v>3707</v>
      </c>
      <c r="I67" s="1090"/>
      <c r="J67" s="695"/>
      <c r="K67" s="687"/>
      <c r="L67" s="687"/>
      <c r="M67" s="1078"/>
      <c r="N67" s="1311"/>
      <c r="O67" s="1311"/>
      <c r="P67" s="1311"/>
      <c r="Q67" s="1311"/>
      <c r="R67" s="1811"/>
      <c r="S67" s="687"/>
      <c r="T67" s="1365">
        <v>0</v>
      </c>
      <c r="U67" s="422">
        <f>T67*(1+U68)</f>
        <v>0</v>
      </c>
      <c r="V67" s="422">
        <f>U67*(1+V68)</f>
        <v>0</v>
      </c>
      <c r="W67" s="422">
        <f>V67*(1+W68)</f>
        <v>0</v>
      </c>
      <c r="X67" s="1089">
        <f>W67*(1+X68)</f>
        <v>0</v>
      </c>
      <c r="Z67" s="708"/>
      <c r="AA67" s="57"/>
    </row>
    <row r="68" spans="1:28" ht="12.75" hidden="1" customHeight="1" outlineLevel="1">
      <c r="B68" s="2475"/>
      <c r="C68" s="397"/>
      <c r="D68" s="1083"/>
      <c r="F68" s="403" t="s">
        <v>2709</v>
      </c>
      <c r="I68" s="1090"/>
      <c r="J68" s="695"/>
      <c r="K68" s="687"/>
      <c r="L68" s="687"/>
      <c r="M68" s="1078"/>
      <c r="N68" s="1311"/>
      <c r="O68" s="1311"/>
      <c r="P68" s="1311"/>
      <c r="Q68" s="1311"/>
      <c r="R68" s="1811"/>
      <c r="S68" s="687"/>
      <c r="T68" s="415"/>
      <c r="U68" s="687">
        <f>U63</f>
        <v>0.01</v>
      </c>
      <c r="V68" s="687">
        <f>U68</f>
        <v>0.01</v>
      </c>
      <c r="W68" s="687">
        <f>V68</f>
        <v>0.01</v>
      </c>
      <c r="X68" s="1078">
        <f>W68</f>
        <v>0.01</v>
      </c>
      <c r="Z68" s="708"/>
      <c r="AA68" s="57"/>
    </row>
    <row r="69" spans="1:28" ht="12.75" hidden="1" customHeight="1" outlineLevel="1">
      <c r="B69" s="2475"/>
      <c r="C69" s="397"/>
      <c r="D69" s="1083"/>
      <c r="E69" s="403" t="s">
        <v>1392</v>
      </c>
      <c r="I69" s="1090"/>
      <c r="J69" s="695"/>
      <c r="K69" s="687"/>
      <c r="L69" s="687"/>
      <c r="M69" s="1078"/>
      <c r="N69" s="1311"/>
      <c r="O69" s="1311"/>
      <c r="P69" s="1311"/>
      <c r="Q69" s="1311"/>
      <c r="R69" s="1811"/>
      <c r="S69" s="687"/>
      <c r="T69" s="1365">
        <v>0</v>
      </c>
      <c r="U69" s="422">
        <f>T69*(1+U70)</f>
        <v>0</v>
      </c>
      <c r="V69" s="422">
        <f>U69*(1+V70)</f>
        <v>0</v>
      </c>
      <c r="W69" s="422">
        <f>V69*(1+W70)</f>
        <v>0</v>
      </c>
      <c r="X69" s="1089">
        <f>W69*(1+X70)</f>
        <v>0</v>
      </c>
      <c r="Z69" s="708"/>
      <c r="AA69" s="57"/>
    </row>
    <row r="70" spans="1:28" ht="12.75" hidden="1" customHeight="1" outlineLevel="1">
      <c r="B70" s="2475"/>
      <c r="C70" s="397"/>
      <c r="D70" s="1083"/>
      <c r="F70" s="403" t="s">
        <v>2709</v>
      </c>
      <c r="I70" s="1090"/>
      <c r="J70" s="695"/>
      <c r="K70" s="687"/>
      <c r="L70" s="687"/>
      <c r="M70" s="1078"/>
      <c r="N70" s="1311"/>
      <c r="O70" s="1311"/>
      <c r="P70" s="1311"/>
      <c r="Q70" s="1311"/>
      <c r="R70" s="1811"/>
      <c r="S70" s="687"/>
      <c r="T70" s="1332"/>
      <c r="U70" s="687">
        <f>U65</f>
        <v>0.02</v>
      </c>
      <c r="V70" s="687">
        <f>U70</f>
        <v>0.02</v>
      </c>
      <c r="W70" s="687">
        <f>V70</f>
        <v>0.02</v>
      </c>
      <c r="X70" s="1078">
        <f>W70</f>
        <v>0.02</v>
      </c>
      <c r="Z70" s="708"/>
      <c r="AA70" s="57"/>
    </row>
    <row r="71" spans="1:28" collapsed="1">
      <c r="B71" s="2475"/>
      <c r="C71" s="397"/>
      <c r="D71" s="1235"/>
      <c r="E71" s="1247"/>
      <c r="F71" s="1247"/>
      <c r="G71" s="1247"/>
      <c r="H71" s="1247"/>
      <c r="I71" s="1248"/>
      <c r="J71" s="1249"/>
      <c r="K71" s="1250"/>
      <c r="L71" s="1250"/>
      <c r="M71" s="1251"/>
      <c r="N71" s="1828"/>
      <c r="O71" s="1828"/>
      <c r="P71" s="1828"/>
      <c r="Q71" s="1828"/>
      <c r="R71" s="1829"/>
      <c r="S71" s="1250"/>
      <c r="T71" s="1334"/>
      <c r="U71" s="1250"/>
      <c r="V71" s="1250"/>
      <c r="W71" s="1250"/>
      <c r="X71" s="1251"/>
      <c r="Y71" s="397"/>
      <c r="Z71" s="708"/>
      <c r="AA71" s="57"/>
    </row>
    <row r="72" spans="1:28">
      <c r="B72" s="2475"/>
      <c r="C72" s="397"/>
      <c r="D72" s="2732" t="s">
        <v>1402</v>
      </c>
      <c r="E72" s="1231"/>
      <c r="F72" s="1231"/>
      <c r="G72" s="1231"/>
      <c r="H72" s="1231"/>
      <c r="I72" s="1308" t="s">
        <v>1796</v>
      </c>
      <c r="J72" s="1309"/>
      <c r="K72" s="1309"/>
      <c r="L72" s="1309"/>
      <c r="M72" s="1310"/>
      <c r="N72" s="1830" t="s">
        <v>1796</v>
      </c>
      <c r="O72" s="1830"/>
      <c r="P72" s="1830"/>
      <c r="Q72" s="1830"/>
      <c r="R72" s="1831"/>
      <c r="S72" s="1309" t="s">
        <v>1796</v>
      </c>
      <c r="T72" s="1309"/>
      <c r="U72" s="1309"/>
      <c r="V72" s="1309"/>
      <c r="W72" s="1309"/>
      <c r="X72" s="1310"/>
      <c r="Z72" s="708"/>
      <c r="AA72" s="57"/>
    </row>
    <row r="73" spans="1:28">
      <c r="B73" s="2475"/>
      <c r="C73" s="397"/>
      <c r="D73" s="1074"/>
      <c r="I73" s="1074"/>
      <c r="M73" s="1075"/>
      <c r="R73" s="1807"/>
      <c r="X73" s="1075"/>
      <c r="Z73" s="708"/>
      <c r="AA73" s="57"/>
    </row>
    <row r="74" spans="1:28">
      <c r="B74" s="2475">
        <v>1</v>
      </c>
      <c r="C74" s="397"/>
      <c r="D74" s="1074"/>
      <c r="E74" s="403" t="s">
        <v>1759</v>
      </c>
      <c r="I74" s="1094">
        <f>'2.4 HHD'!G44</f>
        <v>284</v>
      </c>
      <c r="J74" s="413">
        <f>I74*(1+J75)</f>
        <v>289.68</v>
      </c>
      <c r="K74" s="413">
        <f>J74*(1+K75)</f>
        <v>295.47360000000003</v>
      </c>
      <c r="L74" s="413">
        <f>K74*(1+L75)</f>
        <v>301.38307200000003</v>
      </c>
      <c r="M74" s="1077">
        <f>L74*(1+M75)</f>
        <v>307.41073344000006</v>
      </c>
      <c r="N74" s="1818">
        <f>IF(Type="DeNovo",I74,0)</f>
        <v>284</v>
      </c>
      <c r="O74" s="1818">
        <f>N74*(1+O75)</f>
        <v>289.68</v>
      </c>
      <c r="P74" s="1818">
        <f>O74*(1+P75)</f>
        <v>295.47360000000003</v>
      </c>
      <c r="Q74" s="1818">
        <f>P74*(1+Q75)</f>
        <v>301.38307200000003</v>
      </c>
      <c r="R74" s="1819">
        <f>Q74*(1+R75)</f>
        <v>307.41073344000006</v>
      </c>
      <c r="S74" s="413"/>
      <c r="T74" s="1335">
        <f>I74</f>
        <v>284</v>
      </c>
      <c r="U74" s="420">
        <f>T74*(1+U75)</f>
        <v>289.68</v>
      </c>
      <c r="V74" s="413">
        <f>U74*(1+V75)</f>
        <v>295.47360000000003</v>
      </c>
      <c r="W74" s="413">
        <f>V74*(1+W75)</f>
        <v>301.38307200000003</v>
      </c>
      <c r="X74" s="1077">
        <f>W74*(1+X75)</f>
        <v>307.41073344000006</v>
      </c>
      <c r="Z74" s="708"/>
      <c r="AA74" s="714"/>
    </row>
    <row r="75" spans="1:28" s="411" customFormat="1">
      <c r="A75" s="403"/>
      <c r="B75" s="2475"/>
      <c r="C75" s="397"/>
      <c r="D75" s="1074"/>
      <c r="E75" s="403"/>
      <c r="F75" s="403" t="s">
        <v>2709</v>
      </c>
      <c r="G75" s="403"/>
      <c r="H75" s="403"/>
      <c r="I75" s="1307"/>
      <c r="J75" s="686">
        <v>0.02</v>
      </c>
      <c r="K75" s="687">
        <f>J75</f>
        <v>0.02</v>
      </c>
      <c r="L75" s="687">
        <f>K75</f>
        <v>0.02</v>
      </c>
      <c r="M75" s="1078">
        <f>L75</f>
        <v>0.02</v>
      </c>
      <c r="N75" s="1311"/>
      <c r="O75" s="690">
        <f>J75</f>
        <v>0.02</v>
      </c>
      <c r="P75" s="1311">
        <f>O75</f>
        <v>0.02</v>
      </c>
      <c r="Q75" s="1311">
        <f>P75</f>
        <v>0.02</v>
      </c>
      <c r="R75" s="1811">
        <f>Q75</f>
        <v>0.02</v>
      </c>
      <c r="S75" s="687"/>
      <c r="T75" s="744"/>
      <c r="U75" s="108">
        <f>O75</f>
        <v>0.02</v>
      </c>
      <c r="V75" s="687">
        <f>U75</f>
        <v>0.02</v>
      </c>
      <c r="W75" s="687">
        <f>V75</f>
        <v>0.02</v>
      </c>
      <c r="X75" s="1078">
        <f>W75</f>
        <v>0.02</v>
      </c>
      <c r="Z75" s="711"/>
      <c r="AA75" s="712"/>
    </row>
    <row r="76" spans="1:28">
      <c r="A76" s="411"/>
      <c r="B76" s="2475"/>
      <c r="C76" s="400"/>
      <c r="D76" s="1093"/>
      <c r="E76" s="411"/>
      <c r="F76" s="411"/>
      <c r="G76" s="411"/>
      <c r="H76" s="411"/>
      <c r="I76" s="1093"/>
      <c r="J76" s="411"/>
      <c r="K76" s="411"/>
      <c r="L76" s="411"/>
      <c r="M76" s="1084"/>
      <c r="N76" s="49"/>
      <c r="O76" s="49"/>
      <c r="P76" s="49"/>
      <c r="Q76" s="49"/>
      <c r="R76" s="1102"/>
      <c r="S76" s="49"/>
      <c r="X76" s="1075"/>
      <c r="Z76" s="708"/>
      <c r="AA76" s="57"/>
    </row>
    <row r="77" spans="1:28">
      <c r="B77" s="2475">
        <f>B74+1</f>
        <v>2</v>
      </c>
      <c r="C77" s="397"/>
      <c r="D77" s="1074"/>
      <c r="E77" s="403" t="s">
        <v>1760</v>
      </c>
      <c r="I77" s="1094">
        <f>'2.4 HHD'!G45</f>
        <v>1928</v>
      </c>
      <c r="J77" s="413">
        <f>I77*(1+J78)</f>
        <v>1966.56</v>
      </c>
      <c r="K77" s="413">
        <f>J77*(1+K78)</f>
        <v>2005.8912</v>
      </c>
      <c r="L77" s="413">
        <f>K77*(1+L78)</f>
        <v>2046.009024</v>
      </c>
      <c r="M77" s="1077">
        <f>L77*(1+M78)</f>
        <v>2086.92920448</v>
      </c>
      <c r="N77" s="1818">
        <f>IF(Type="DeNovo",I77,0)</f>
        <v>1928</v>
      </c>
      <c r="O77" s="1818">
        <f>N77*(1+O78)</f>
        <v>1966.56</v>
      </c>
      <c r="P77" s="1818">
        <f>O77*(1+P78)</f>
        <v>2005.8912</v>
      </c>
      <c r="Q77" s="1818">
        <f>P77*(1+Q78)</f>
        <v>2046.009024</v>
      </c>
      <c r="R77" s="1819">
        <f>Q77*(1+R78)</f>
        <v>2086.92920448</v>
      </c>
      <c r="S77" s="413"/>
      <c r="T77" s="1335">
        <f>I77</f>
        <v>1928</v>
      </c>
      <c r="U77" s="420">
        <f>T77*(1+U78)</f>
        <v>1966.56</v>
      </c>
      <c r="V77" s="413">
        <f>U77*(1+V78)</f>
        <v>2005.8912</v>
      </c>
      <c r="W77" s="413">
        <f>V77*(1+W78)</f>
        <v>2046.009024</v>
      </c>
      <c r="X77" s="1077">
        <f>W77*(1+X78)</f>
        <v>2086.92920448</v>
      </c>
      <c r="Z77" s="708"/>
      <c r="AA77" s="714"/>
      <c r="AB77" s="403" t="s">
        <v>2466</v>
      </c>
    </row>
    <row r="78" spans="1:28">
      <c r="B78" s="2475"/>
      <c r="C78" s="397"/>
      <c r="D78" s="1074"/>
      <c r="F78" s="403" t="s">
        <v>2709</v>
      </c>
      <c r="I78" s="1074"/>
      <c r="J78" s="686">
        <v>0.02</v>
      </c>
      <c r="K78" s="687">
        <f>J78</f>
        <v>0.02</v>
      </c>
      <c r="L78" s="687">
        <f>K78</f>
        <v>0.02</v>
      </c>
      <c r="M78" s="1078">
        <f>L78</f>
        <v>0.02</v>
      </c>
      <c r="N78" s="1311"/>
      <c r="O78" s="690">
        <f>J78</f>
        <v>0.02</v>
      </c>
      <c r="P78" s="1311">
        <f>O78</f>
        <v>0.02</v>
      </c>
      <c r="Q78" s="1311">
        <f>P78</f>
        <v>0.02</v>
      </c>
      <c r="R78" s="1811">
        <f>Q78</f>
        <v>0.02</v>
      </c>
      <c r="S78" s="687"/>
      <c r="T78" s="397"/>
      <c r="U78" s="108">
        <f>O78</f>
        <v>0.02</v>
      </c>
      <c r="V78" s="687">
        <f>U78</f>
        <v>0.02</v>
      </c>
      <c r="W78" s="687">
        <f>V78</f>
        <v>0.02</v>
      </c>
      <c r="X78" s="1078">
        <f>W78</f>
        <v>0.02</v>
      </c>
      <c r="Z78" s="708"/>
      <c r="AA78" s="715"/>
    </row>
    <row r="79" spans="1:28">
      <c r="B79" s="2475"/>
      <c r="C79" s="397"/>
      <c r="D79" s="1074"/>
      <c r="I79" s="1083"/>
      <c r="J79" s="397"/>
      <c r="K79" s="397"/>
      <c r="L79" s="397"/>
      <c r="M79" s="1095"/>
      <c r="N79" s="1340"/>
      <c r="O79" s="1340"/>
      <c r="P79" s="1340"/>
      <c r="R79" s="1807"/>
      <c r="X79" s="1075"/>
      <c r="Z79" s="708"/>
      <c r="AA79" s="715"/>
    </row>
    <row r="80" spans="1:28">
      <c r="B80" s="2475">
        <f>B77+1</f>
        <v>3</v>
      </c>
      <c r="C80" s="397"/>
      <c r="D80" s="1074"/>
      <c r="E80" s="403" t="s">
        <v>1761</v>
      </c>
      <c r="I80" s="2476">
        <v>350</v>
      </c>
      <c r="J80" s="420">
        <f>I80*(1+J81)</f>
        <v>360.5</v>
      </c>
      <c r="K80" s="420">
        <f>J80*(1+K81)</f>
        <v>371.315</v>
      </c>
      <c r="L80" s="420">
        <f>K80*(1+L81)</f>
        <v>382.45445000000001</v>
      </c>
      <c r="M80" s="1096">
        <f>L80*(1+M81)</f>
        <v>393.92808350000001</v>
      </c>
      <c r="N80" s="1076">
        <f>I80</f>
        <v>350</v>
      </c>
      <c r="O80" s="1832">
        <f>N80*(1+O81)</f>
        <v>360.5</v>
      </c>
      <c r="P80" s="1832">
        <f>O80*(1+P81)</f>
        <v>371.315</v>
      </c>
      <c r="Q80" s="1818">
        <f>P80*(1+Q81)</f>
        <v>382.45445000000001</v>
      </c>
      <c r="R80" s="1819">
        <f>Q80*(1+R81)</f>
        <v>393.92808350000001</v>
      </c>
      <c r="S80" s="413"/>
      <c r="T80" s="1329">
        <f>N80</f>
        <v>350</v>
      </c>
      <c r="U80" s="413">
        <f>T80*(1+U81)</f>
        <v>360.5</v>
      </c>
      <c r="V80" s="413">
        <f>U80*(1+V81)</f>
        <v>371.315</v>
      </c>
      <c r="W80" s="413">
        <f>V80*(1+W81)</f>
        <v>382.45445000000001</v>
      </c>
      <c r="X80" s="1077">
        <f>W80*(1+X81)</f>
        <v>393.92808350000001</v>
      </c>
      <c r="Z80" s="708"/>
      <c r="AA80" s="715"/>
    </row>
    <row r="81" spans="2:27">
      <c r="B81" s="2475"/>
      <c r="C81" s="397"/>
      <c r="D81" s="1074"/>
      <c r="F81" s="403" t="s">
        <v>2709</v>
      </c>
      <c r="I81" s="1083"/>
      <c r="J81" s="686">
        <v>0.03</v>
      </c>
      <c r="K81" s="696">
        <f>J81</f>
        <v>0.03</v>
      </c>
      <c r="L81" s="696">
        <f>K81</f>
        <v>0.03</v>
      </c>
      <c r="M81" s="1091">
        <f>L81</f>
        <v>0.03</v>
      </c>
      <c r="N81" s="1833"/>
      <c r="O81" s="688">
        <v>0.03</v>
      </c>
      <c r="P81" s="1833">
        <f>O81</f>
        <v>0.03</v>
      </c>
      <c r="Q81" s="1311">
        <f>P81</f>
        <v>0.03</v>
      </c>
      <c r="R81" s="1811">
        <f>Q81</f>
        <v>0.03</v>
      </c>
      <c r="S81" s="687"/>
      <c r="U81" s="686">
        <v>0.03</v>
      </c>
      <c r="V81" s="687">
        <f>U81</f>
        <v>0.03</v>
      </c>
      <c r="W81" s="687">
        <f>V81</f>
        <v>0.03</v>
      </c>
      <c r="X81" s="1078">
        <f>W81</f>
        <v>0.03</v>
      </c>
      <c r="Z81" s="708"/>
      <c r="AA81" s="715"/>
    </row>
    <row r="82" spans="2:27">
      <c r="B82" s="2475"/>
      <c r="C82" s="397"/>
      <c r="D82" s="1074"/>
      <c r="I82" s="1083"/>
      <c r="J82" s="397"/>
      <c r="K82" s="397"/>
      <c r="L82" s="397"/>
      <c r="M82" s="1095"/>
      <c r="N82" s="1340"/>
      <c r="O82" s="1340"/>
      <c r="P82" s="1340"/>
      <c r="R82" s="1807"/>
      <c r="X82" s="1075"/>
      <c r="Z82" s="708"/>
      <c r="AA82" s="715"/>
    </row>
    <row r="83" spans="2:27">
      <c r="B83" s="2475">
        <f>B80+1</f>
        <v>4</v>
      </c>
      <c r="C83" s="397"/>
      <c r="D83" s="1074"/>
      <c r="E83" s="403" t="s">
        <v>3699</v>
      </c>
      <c r="I83" s="2476">
        <v>10000</v>
      </c>
      <c r="J83" s="420">
        <f>I83*(1+J84)</f>
        <v>10300</v>
      </c>
      <c r="K83" s="420">
        <f>J83*(1+K84)</f>
        <v>10609</v>
      </c>
      <c r="L83" s="420">
        <f>K83*(1+L84)</f>
        <v>10927.27</v>
      </c>
      <c r="M83" s="1096">
        <f>L83*(1+M84)</f>
        <v>11255.088100000001</v>
      </c>
      <c r="N83" s="1076">
        <f>I83</f>
        <v>10000</v>
      </c>
      <c r="O83" s="1832">
        <f>N83*(1+O84)</f>
        <v>10300</v>
      </c>
      <c r="P83" s="1832">
        <f>O83*(1+P84)</f>
        <v>10609</v>
      </c>
      <c r="Q83" s="1818">
        <f>P83*(1+Q84)</f>
        <v>10927.27</v>
      </c>
      <c r="R83" s="1819">
        <f>Q83*(1+R84)</f>
        <v>11255.088100000001</v>
      </c>
      <c r="S83" s="413"/>
      <c r="T83" s="1329">
        <f>N83</f>
        <v>10000</v>
      </c>
      <c r="U83" s="413">
        <f>T83*(1+U84)</f>
        <v>10300</v>
      </c>
      <c r="V83" s="413">
        <f>U83*(1+V84)</f>
        <v>10609</v>
      </c>
      <c r="W83" s="413">
        <f>V83*(1+W84)</f>
        <v>10927.27</v>
      </c>
      <c r="X83" s="1077">
        <f>W83*(1+X84)</f>
        <v>11255.088100000001</v>
      </c>
      <c r="Z83" s="708"/>
      <c r="AA83" s="57"/>
    </row>
    <row r="84" spans="2:27">
      <c r="B84" s="2475"/>
      <c r="D84" s="1074"/>
      <c r="F84" s="403" t="s">
        <v>2709</v>
      </c>
      <c r="I84" s="1083"/>
      <c r="J84" s="686">
        <v>0.03</v>
      </c>
      <c r="K84" s="696">
        <f>J84</f>
        <v>0.03</v>
      </c>
      <c r="L84" s="696">
        <f>K84</f>
        <v>0.03</v>
      </c>
      <c r="M84" s="1091">
        <f>L84</f>
        <v>0.03</v>
      </c>
      <c r="N84" s="1833"/>
      <c r="O84" s="688">
        <v>0.03</v>
      </c>
      <c r="P84" s="1833">
        <f>O84</f>
        <v>0.03</v>
      </c>
      <c r="Q84" s="1311">
        <f>P84</f>
        <v>0.03</v>
      </c>
      <c r="R84" s="1811">
        <f>Q84</f>
        <v>0.03</v>
      </c>
      <c r="S84" s="687"/>
      <c r="U84" s="686">
        <v>0.03</v>
      </c>
      <c r="V84" s="687">
        <f>U84</f>
        <v>0.03</v>
      </c>
      <c r="W84" s="687">
        <f>V84</f>
        <v>0.03</v>
      </c>
      <c r="X84" s="1078">
        <f>W84</f>
        <v>0.03</v>
      </c>
      <c r="Z84" s="708"/>
      <c r="AA84" s="57"/>
    </row>
    <row r="85" spans="2:27">
      <c r="B85" s="2475"/>
      <c r="D85" s="1074"/>
      <c r="I85" s="1083"/>
      <c r="J85" s="688"/>
      <c r="K85" s="696"/>
      <c r="L85" s="696"/>
      <c r="M85" s="1091"/>
      <c r="N85" s="1340"/>
      <c r="O85" s="1340"/>
      <c r="P85" s="1340"/>
      <c r="R85" s="1807"/>
      <c r="S85" s="687"/>
      <c r="U85" s="690"/>
      <c r="V85" s="687"/>
      <c r="W85" s="687"/>
      <c r="X85" s="1078"/>
      <c r="Z85" s="708"/>
      <c r="AA85" s="57"/>
    </row>
    <row r="86" spans="2:27">
      <c r="B86" s="2475"/>
      <c r="D86" s="1074"/>
      <c r="I86" s="1083"/>
      <c r="J86" s="688"/>
      <c r="K86" s="696"/>
      <c r="L86" s="696"/>
      <c r="M86" s="1091"/>
      <c r="R86" s="1822" t="s">
        <v>1822</v>
      </c>
      <c r="S86" s="1735">
        <f>$S$34</f>
        <v>0.33333333333333331</v>
      </c>
      <c r="U86" s="690"/>
      <c r="V86" s="687"/>
      <c r="W86" s="687"/>
      <c r="X86" s="1078"/>
      <c r="Z86" s="708"/>
      <c r="AA86" s="57"/>
    </row>
    <row r="87" spans="2:27">
      <c r="B87" s="2475"/>
      <c r="D87" s="1074"/>
      <c r="I87" s="1083"/>
      <c r="J87" s="688"/>
      <c r="K87" s="696"/>
      <c r="L87" s="696"/>
      <c r="M87" s="1091"/>
      <c r="N87" s="1340"/>
      <c r="O87" s="1340"/>
      <c r="P87" s="1340"/>
      <c r="R87" s="1807"/>
      <c r="S87" s="687"/>
      <c r="T87" s="37"/>
      <c r="U87" s="690"/>
      <c r="V87" s="687"/>
      <c r="W87" s="687"/>
      <c r="X87" s="1078"/>
      <c r="Z87" s="708"/>
      <c r="AA87" s="57"/>
    </row>
    <row r="88" spans="2:27">
      <c r="B88" s="2475"/>
      <c r="D88" s="1074" t="s">
        <v>3705</v>
      </c>
      <c r="I88" s="1597">
        <f>$I$62</f>
        <v>12</v>
      </c>
      <c r="J88" s="421">
        <f>I88*(1+J89)</f>
        <v>12.120000000000001</v>
      </c>
      <c r="K88" s="421">
        <f>J88*(1+K89)</f>
        <v>12.241200000000001</v>
      </c>
      <c r="L88" s="421">
        <f>K88*(1+L89)</f>
        <v>12.363612000000002</v>
      </c>
      <c r="M88" s="1097">
        <f>L88*(1+M89)</f>
        <v>12.487248120000002</v>
      </c>
      <c r="N88" s="1834">
        <f>IF(Type="DeNovo",I88,0)</f>
        <v>12</v>
      </c>
      <c r="O88" s="1834">
        <f>N88*(1+O89)</f>
        <v>12.120000000000001</v>
      </c>
      <c r="P88" s="1834">
        <f>O88*(1+P89)</f>
        <v>12.241200000000001</v>
      </c>
      <c r="Q88" s="1826">
        <f>P88*(1+Q89)</f>
        <v>12.363612000000002</v>
      </c>
      <c r="R88" s="1827">
        <f>Q88*(1+R89)</f>
        <v>12.487248120000002</v>
      </c>
      <c r="S88" s="422"/>
      <c r="T88" s="1364">
        <f>I88</f>
        <v>12</v>
      </c>
      <c r="U88" s="422">
        <f>T88*(1+U89)</f>
        <v>12.120000000000001</v>
      </c>
      <c r="V88" s="422">
        <f>U88*(1+V89)</f>
        <v>12.241200000000001</v>
      </c>
      <c r="W88" s="422">
        <f>V88*(1+W89)</f>
        <v>12.363612000000002</v>
      </c>
      <c r="X88" s="1089">
        <f>W88*(1+X89)</f>
        <v>12.487248120000002</v>
      </c>
      <c r="Z88" s="708"/>
      <c r="AA88" s="57"/>
    </row>
    <row r="89" spans="2:27">
      <c r="B89" s="2475"/>
      <c r="D89" s="1074"/>
      <c r="E89" s="403" t="s">
        <v>2709</v>
      </c>
      <c r="I89" s="1090"/>
      <c r="J89" s="694">
        <f>J63</f>
        <v>0.01</v>
      </c>
      <c r="K89" s="696">
        <f>J89</f>
        <v>0.01</v>
      </c>
      <c r="L89" s="696">
        <f>K89</f>
        <v>0.01</v>
      </c>
      <c r="M89" s="1091">
        <f>L89</f>
        <v>0.01</v>
      </c>
      <c r="N89" s="1833"/>
      <c r="O89" s="1833">
        <f>J89</f>
        <v>0.01</v>
      </c>
      <c r="P89" s="1833">
        <f>O89</f>
        <v>0.01</v>
      </c>
      <c r="Q89" s="1311">
        <f>P89</f>
        <v>0.01</v>
      </c>
      <c r="R89" s="1811">
        <f>Q89</f>
        <v>0.01</v>
      </c>
      <c r="S89" s="687"/>
      <c r="T89" s="1332"/>
      <c r="U89" s="687">
        <f>J89</f>
        <v>0.01</v>
      </c>
      <c r="V89" s="687">
        <f>U89</f>
        <v>0.01</v>
      </c>
      <c r="W89" s="687">
        <f>V89</f>
        <v>0.01</v>
      </c>
      <c r="X89" s="1078">
        <f>W89</f>
        <v>0.01</v>
      </c>
      <c r="Z89" s="708"/>
      <c r="AA89" s="57"/>
    </row>
    <row r="90" spans="2:27">
      <c r="B90" s="2475"/>
      <c r="D90" s="1083" t="s">
        <v>3706</v>
      </c>
      <c r="I90" s="1597">
        <f>$I$64</f>
        <v>6</v>
      </c>
      <c r="J90" s="421">
        <f>I90*(1+J91)</f>
        <v>6.12</v>
      </c>
      <c r="K90" s="421">
        <f>J90*(1+K91)</f>
        <v>6.2423999999999999</v>
      </c>
      <c r="L90" s="421">
        <f>K90*(1+L91)</f>
        <v>6.367248</v>
      </c>
      <c r="M90" s="1097">
        <f>L90*(1+M91)</f>
        <v>6.4945929600000003</v>
      </c>
      <c r="N90" s="1834">
        <f>IF(Type="DeNovo",I90,0)</f>
        <v>6</v>
      </c>
      <c r="O90" s="1834">
        <f>N90*(1+O91)</f>
        <v>6.12</v>
      </c>
      <c r="P90" s="1834">
        <f>O90*(1+P91)</f>
        <v>6.2423999999999999</v>
      </c>
      <c r="Q90" s="1826">
        <f>P90*(1+Q91)</f>
        <v>6.367248</v>
      </c>
      <c r="R90" s="1827">
        <f>Q90*(1+R91)</f>
        <v>6.4945929600000003</v>
      </c>
      <c r="S90" s="422"/>
      <c r="T90" s="1364">
        <f>I90</f>
        <v>6</v>
      </c>
      <c r="U90" s="422">
        <f>T90*(1+U91)</f>
        <v>6.12</v>
      </c>
      <c r="V90" s="422">
        <f>U90*(1+V91)</f>
        <v>6.2423999999999999</v>
      </c>
      <c r="W90" s="422">
        <f>V90*(1+W91)</f>
        <v>6.367248</v>
      </c>
      <c r="X90" s="1089">
        <f>W90*(1+X91)</f>
        <v>6.4945929600000003</v>
      </c>
      <c r="Z90" s="708"/>
      <c r="AA90" s="57"/>
    </row>
    <row r="91" spans="2:27">
      <c r="B91" s="2475"/>
      <c r="D91" s="1083"/>
      <c r="E91" s="403" t="s">
        <v>2709</v>
      </c>
      <c r="I91" s="1090"/>
      <c r="J91" s="694">
        <f>J65</f>
        <v>0.02</v>
      </c>
      <c r="K91" s="696">
        <f>J91</f>
        <v>0.02</v>
      </c>
      <c r="L91" s="696">
        <f>K91</f>
        <v>0.02</v>
      </c>
      <c r="M91" s="1091">
        <f>L91</f>
        <v>0.02</v>
      </c>
      <c r="N91" s="1833"/>
      <c r="O91" s="1833">
        <f>J91</f>
        <v>0.02</v>
      </c>
      <c r="P91" s="1833">
        <f>O91</f>
        <v>0.02</v>
      </c>
      <c r="Q91" s="1311">
        <f>P91</f>
        <v>0.02</v>
      </c>
      <c r="R91" s="1811">
        <f>Q91</f>
        <v>0.02</v>
      </c>
      <c r="S91" s="687"/>
      <c r="T91" s="1332"/>
      <c r="U91" s="687">
        <f>J91</f>
        <v>0.02</v>
      </c>
      <c r="V91" s="687">
        <f>U91</f>
        <v>0.02</v>
      </c>
      <c r="W91" s="687">
        <f>V91</f>
        <v>0.02</v>
      </c>
      <c r="X91" s="1078">
        <f>W91</f>
        <v>0.02</v>
      </c>
      <c r="Z91" s="708"/>
      <c r="AA91" s="57"/>
    </row>
    <row r="92" spans="2:27">
      <c r="B92" s="2475"/>
      <c r="C92" s="397"/>
      <c r="D92" s="1083"/>
      <c r="I92" s="1090"/>
      <c r="J92" s="694"/>
      <c r="K92" s="696"/>
      <c r="L92" s="696"/>
      <c r="M92" s="1091"/>
      <c r="N92" s="1833"/>
      <c r="O92" s="1833"/>
      <c r="P92" s="1833"/>
      <c r="Q92" s="1311"/>
      <c r="R92" s="1811"/>
      <c r="S92" s="687"/>
      <c r="T92" s="1332"/>
      <c r="U92" s="687"/>
      <c r="V92" s="687"/>
      <c r="W92" s="687"/>
      <c r="X92" s="1078"/>
      <c r="Y92" s="397"/>
      <c r="Z92" s="708"/>
    </row>
    <row r="93" spans="2:27" hidden="1" outlineLevel="1">
      <c r="B93" s="2475"/>
      <c r="C93" s="397"/>
      <c r="D93" s="1083" t="s">
        <v>3707</v>
      </c>
      <c r="I93" s="1090"/>
      <c r="J93" s="694"/>
      <c r="K93" s="696"/>
      <c r="L93" s="696"/>
      <c r="M93" s="1091"/>
      <c r="N93" s="1833"/>
      <c r="O93" s="1833"/>
      <c r="P93" s="1833"/>
      <c r="Q93" s="1311"/>
      <c r="R93" s="1811"/>
      <c r="S93" s="687"/>
      <c r="T93" s="1365">
        <v>0</v>
      </c>
      <c r="U93" s="422">
        <f>T93*(1+U94)</f>
        <v>0</v>
      </c>
      <c r="V93" s="422">
        <f>U93*(1+V94)</f>
        <v>0</v>
      </c>
      <c r="W93" s="422">
        <f>V93*(1+W94)</f>
        <v>0</v>
      </c>
      <c r="X93" s="1089">
        <f>W93*(1+X94)</f>
        <v>0</v>
      </c>
      <c r="Y93" s="397"/>
      <c r="Z93" s="708"/>
    </row>
    <row r="94" spans="2:27" hidden="1" outlineLevel="1">
      <c r="B94" s="2475"/>
      <c r="C94" s="397"/>
      <c r="D94" s="1083"/>
      <c r="E94" s="403" t="s">
        <v>2709</v>
      </c>
      <c r="I94" s="1090"/>
      <c r="J94" s="695"/>
      <c r="K94" s="687"/>
      <c r="L94" s="687"/>
      <c r="M94" s="1078"/>
      <c r="N94" s="1311"/>
      <c r="O94" s="1311"/>
      <c r="P94" s="1311"/>
      <c r="Q94" s="1311"/>
      <c r="R94" s="1811"/>
      <c r="S94" s="687"/>
      <c r="T94" s="415"/>
      <c r="U94" s="687">
        <f>U89</f>
        <v>0.01</v>
      </c>
      <c r="V94" s="687">
        <f>U94</f>
        <v>0.01</v>
      </c>
      <c r="W94" s="687">
        <f>V94</f>
        <v>0.01</v>
      </c>
      <c r="X94" s="1078">
        <f>W94</f>
        <v>0.01</v>
      </c>
      <c r="Y94" s="397"/>
      <c r="Z94" s="708"/>
    </row>
    <row r="95" spans="2:27" hidden="1" outlineLevel="1">
      <c r="B95" s="2475"/>
      <c r="C95" s="397"/>
      <c r="D95" s="1083" t="s">
        <v>1392</v>
      </c>
      <c r="I95" s="1090"/>
      <c r="J95" s="695"/>
      <c r="K95" s="687"/>
      <c r="L95" s="687"/>
      <c r="M95" s="1078"/>
      <c r="N95" s="1311"/>
      <c r="O95" s="1311"/>
      <c r="P95" s="1311"/>
      <c r="Q95" s="1311"/>
      <c r="R95" s="1811"/>
      <c r="S95" s="687"/>
      <c r="T95" s="1365">
        <v>0</v>
      </c>
      <c r="U95" s="422">
        <f>T95*(1+U96)</f>
        <v>0</v>
      </c>
      <c r="V95" s="422">
        <f>U95*(1+V96)</f>
        <v>0</v>
      </c>
      <c r="W95" s="422">
        <f>V95*(1+W96)</f>
        <v>0</v>
      </c>
      <c r="X95" s="1089">
        <f>W95*(1+X96)</f>
        <v>0</v>
      </c>
      <c r="Y95" s="397"/>
      <c r="Z95" s="708"/>
    </row>
    <row r="96" spans="2:27" hidden="1" outlineLevel="1">
      <c r="B96" s="2475"/>
      <c r="C96" s="397"/>
      <c r="D96" s="1083"/>
      <c r="E96" s="403" t="s">
        <v>2709</v>
      </c>
      <c r="I96" s="1090"/>
      <c r="J96" s="695"/>
      <c r="K96" s="687"/>
      <c r="L96" s="687"/>
      <c r="M96" s="1078"/>
      <c r="N96" s="1311"/>
      <c r="O96" s="1311"/>
      <c r="P96" s="1311"/>
      <c r="Q96" s="1311"/>
      <c r="R96" s="1811"/>
      <c r="S96" s="687"/>
      <c r="T96" s="1332"/>
      <c r="U96" s="687">
        <f>U91</f>
        <v>0.02</v>
      </c>
      <c r="V96" s="687">
        <f>U96</f>
        <v>0.02</v>
      </c>
      <c r="W96" s="687">
        <f>V96</f>
        <v>0.02</v>
      </c>
      <c r="X96" s="1078">
        <f>W96</f>
        <v>0.02</v>
      </c>
      <c r="Y96" s="397"/>
      <c r="Z96" s="708"/>
    </row>
    <row r="97" spans="2:27" collapsed="1">
      <c r="B97" s="2475"/>
      <c r="C97" s="42"/>
      <c r="D97" s="1244"/>
      <c r="E97" s="1245"/>
      <c r="F97" s="1245"/>
      <c r="G97" s="1245"/>
      <c r="H97" s="1245"/>
      <c r="I97" s="1244"/>
      <c r="J97" s="1245"/>
      <c r="K97" s="1245"/>
      <c r="L97" s="1245"/>
      <c r="M97" s="1246"/>
      <c r="N97" s="1824"/>
      <c r="O97" s="1824"/>
      <c r="P97" s="1824"/>
      <c r="Q97" s="1824"/>
      <c r="R97" s="1825"/>
      <c r="S97" s="1245"/>
      <c r="T97" s="1245"/>
      <c r="U97" s="1245"/>
      <c r="V97" s="1245"/>
      <c r="W97" s="1245"/>
      <c r="X97" s="1246"/>
      <c r="Y97" s="42"/>
      <c r="Z97" s="708"/>
      <c r="AA97" s="57"/>
    </row>
    <row r="98" spans="2:27" s="397" customFormat="1">
      <c r="B98" s="2475"/>
      <c r="C98" s="42"/>
      <c r="D98" s="1252" t="s">
        <v>1814</v>
      </c>
      <c r="E98" s="1253"/>
      <c r="F98" s="1253"/>
      <c r="G98" s="1253"/>
      <c r="H98" s="1253"/>
      <c r="I98" s="1252"/>
      <c r="J98" s="1253"/>
      <c r="K98" s="1253"/>
      <c r="L98" s="1253"/>
      <c r="M98" s="1254"/>
      <c r="N98" s="1833"/>
      <c r="O98" s="1833"/>
      <c r="P98" s="1833"/>
      <c r="Q98" s="1311"/>
      <c r="R98" s="1811"/>
      <c r="S98" s="1253"/>
      <c r="T98" s="1253"/>
      <c r="U98" s="1253"/>
      <c r="V98" s="1253"/>
      <c r="W98" s="1253"/>
      <c r="X98" s="1254"/>
      <c r="Y98" s="42"/>
      <c r="Z98" s="708"/>
      <c r="AA98" s="57"/>
    </row>
    <row r="99" spans="2:27" s="397" customFormat="1">
      <c r="B99" s="2475"/>
      <c r="C99" s="42"/>
      <c r="D99" s="1086"/>
      <c r="E99" s="42"/>
      <c r="F99" s="42"/>
      <c r="G99" s="42"/>
      <c r="H99" s="42"/>
      <c r="I99" s="1086"/>
      <c r="J99" s="42"/>
      <c r="K99" s="42"/>
      <c r="L99" s="42"/>
      <c r="M99" s="1087"/>
      <c r="N99" s="1833"/>
      <c r="O99" s="1833"/>
      <c r="P99" s="1833"/>
      <c r="Q99" s="1311"/>
      <c r="R99" s="1811"/>
      <c r="S99" s="42"/>
      <c r="T99" s="42"/>
      <c r="U99" s="42"/>
      <c r="V99" s="42"/>
      <c r="W99" s="42"/>
      <c r="X99" s="1087"/>
      <c r="Y99" s="42"/>
      <c r="Z99" s="708"/>
      <c r="AA99" s="57"/>
    </row>
    <row r="100" spans="2:27" s="424" customFormat="1">
      <c r="B100" s="2492"/>
      <c r="C100" s="42"/>
      <c r="D100" s="1255"/>
      <c r="E100" s="42" t="s">
        <v>750</v>
      </c>
      <c r="F100" s="42"/>
      <c r="I100" s="1098">
        <v>2000</v>
      </c>
      <c r="J100" s="697">
        <v>0.03</v>
      </c>
      <c r="K100" s="42"/>
      <c r="M100" s="1099"/>
      <c r="N100" s="2077">
        <f>I100</f>
        <v>2000</v>
      </c>
      <c r="O100" s="1833">
        <f>J100</f>
        <v>0.03</v>
      </c>
      <c r="P100" s="1833"/>
      <c r="Q100" s="1311"/>
      <c r="R100" s="1811"/>
      <c r="T100" s="1336">
        <v>2000</v>
      </c>
      <c r="U100" s="425">
        <f>J100</f>
        <v>0.03</v>
      </c>
      <c r="V100" s="42"/>
      <c r="W100" s="42"/>
      <c r="X100" s="1087"/>
      <c r="Y100" s="42"/>
      <c r="Z100" s="708"/>
      <c r="AA100" s="42"/>
    </row>
    <row r="101" spans="2:27">
      <c r="B101" s="2475"/>
      <c r="D101" s="1074"/>
      <c r="I101" s="1074"/>
      <c r="M101" s="1075"/>
      <c r="N101" s="1833"/>
      <c r="O101" s="1833"/>
      <c r="P101" s="1833"/>
      <c r="Q101" s="1311"/>
      <c r="R101" s="1811"/>
      <c r="X101" s="1075"/>
      <c r="Z101" s="708"/>
    </row>
    <row r="102" spans="2:27">
      <c r="B102" s="2475"/>
      <c r="D102" s="409"/>
      <c r="E102" s="409"/>
      <c r="F102" s="409"/>
      <c r="G102" s="409"/>
      <c r="H102" s="409"/>
      <c r="I102" s="409"/>
      <c r="J102" s="409"/>
      <c r="K102" s="409"/>
      <c r="L102" s="409"/>
      <c r="M102" s="409"/>
      <c r="N102" s="1792"/>
      <c r="O102" s="1792"/>
      <c r="P102" s="1792"/>
      <c r="Q102" s="1792"/>
      <c r="R102" s="1792"/>
      <c r="S102" s="409"/>
      <c r="T102" s="409"/>
      <c r="U102" s="409"/>
      <c r="V102" s="409"/>
      <c r="W102" s="409"/>
      <c r="X102" s="409"/>
      <c r="Z102" s="708"/>
    </row>
    <row r="103" spans="2:27">
      <c r="B103" s="2475"/>
      <c r="D103" s="397" t="s">
        <v>1862</v>
      </c>
      <c r="E103" s="397"/>
      <c r="G103" s="707" t="str">
        <f>'1.1 Parents'!E11&amp;" "&amp;'1.1 Parents'!E12</f>
        <v>Nov 2013</v>
      </c>
      <c r="Z103" s="708"/>
    </row>
    <row r="104" spans="2:27">
      <c r="B104" s="2475"/>
      <c r="Z104" s="708"/>
    </row>
    <row r="105" spans="2:27">
      <c r="B105" s="2475"/>
      <c r="C105" s="708"/>
      <c r="D105" s="708"/>
      <c r="E105" s="708"/>
      <c r="F105" s="708"/>
      <c r="G105" s="708"/>
      <c r="H105" s="708"/>
      <c r="I105" s="708"/>
      <c r="J105" s="708"/>
      <c r="K105" s="708"/>
      <c r="L105" s="708"/>
      <c r="M105" s="708"/>
      <c r="N105" s="698"/>
      <c r="O105" s="698"/>
      <c r="P105" s="698"/>
      <c r="Q105" s="698"/>
      <c r="R105" s="698"/>
      <c r="S105" s="708"/>
      <c r="T105" s="708"/>
      <c r="U105" s="708"/>
      <c r="V105" s="708"/>
      <c r="W105" s="708"/>
      <c r="X105" s="708"/>
      <c r="Y105" s="708"/>
      <c r="Z105" s="708"/>
    </row>
  </sheetData>
  <mergeCells count="3">
    <mergeCell ref="I6:M6"/>
    <mergeCell ref="N6:R6"/>
    <mergeCell ref="S6:X6"/>
  </mergeCells>
  <phoneticPr fontId="0" type="noConversion"/>
  <conditionalFormatting sqref="T56:X56 U48 U78 S79:S85 S61:S74 S7:S12 S76:S77 S35:S59 S87:S101 U75 S27 S14:S24 S31:S33 I22 N83 N100 N80 I56:M56">
    <cfRule type="expression" dxfId="74" priority="55" stopIfTrue="1">
      <formula>#REF!="Relocation / Expansion"</formula>
    </cfRule>
  </conditionalFormatting>
  <conditionalFormatting sqref="T30">
    <cfRule type="expression" dxfId="73" priority="56" stopIfTrue="1">
      <formula>#REF!="DeNovo"</formula>
    </cfRule>
  </conditionalFormatting>
  <conditionalFormatting sqref="S30">
    <cfRule type="expression" dxfId="72" priority="57" stopIfTrue="1">
      <formula>#REF!="DeNovo"</formula>
    </cfRule>
  </conditionalFormatting>
  <conditionalFormatting sqref="N7:O30 P6:P30 Q6:R27 Q30:R33 O87:R101 N57:N79 O61:R85 N101 N84:N99 N81:N82 Q35:R55 O57:R59 N31:P55 N56:R56">
    <cfRule type="expression" dxfId="71" priority="58" stopIfTrue="1">
      <formula>$X$2="Relocation"</formula>
    </cfRule>
    <cfRule type="expression" dxfId="70" priority="59" stopIfTrue="1">
      <formula>$X$2="Expansion"</formula>
    </cfRule>
  </conditionalFormatting>
  <conditionalFormatting sqref="T15 T10 T20">
    <cfRule type="cellIs" dxfId="69" priority="65" stopIfTrue="1" operator="equal">
      <formula>0</formula>
    </cfRule>
  </conditionalFormatting>
  <conditionalFormatting sqref="R29">
    <cfRule type="expression" dxfId="68" priority="66" stopIfTrue="1">
      <formula>$X$2="Relocation"</formula>
    </cfRule>
  </conditionalFormatting>
  <conditionalFormatting sqref="S29">
    <cfRule type="expression" dxfId="67" priority="67" stopIfTrue="1">
      <formula>$X$2="Relocation"</formula>
    </cfRule>
  </conditionalFormatting>
  <conditionalFormatting sqref="T10">
    <cfRule type="cellIs" dxfId="66" priority="54" stopIfTrue="1" operator="equal">
      <formula>0</formula>
    </cfRule>
  </conditionalFormatting>
  <conditionalFormatting sqref="T10">
    <cfRule type="cellIs" dxfId="65" priority="53" stopIfTrue="1" operator="equal">
      <formula>0</formula>
    </cfRule>
  </conditionalFormatting>
  <conditionalFormatting sqref="T10">
    <cfRule type="cellIs" dxfId="64" priority="52" stopIfTrue="1" operator="equal">
      <formula>0</formula>
    </cfRule>
  </conditionalFormatting>
  <conditionalFormatting sqref="I56">
    <cfRule type="expression" dxfId="63" priority="50" stopIfTrue="1">
      <formula>#REF!="Relocation / Expansion"</formula>
    </cfRule>
  </conditionalFormatting>
  <conditionalFormatting sqref="T56">
    <cfRule type="expression" dxfId="62" priority="49" stopIfTrue="1">
      <formula>#REF!="Relocation / Expansion"</formula>
    </cfRule>
  </conditionalFormatting>
  <conditionalFormatting sqref="T20">
    <cfRule type="cellIs" dxfId="61" priority="48" stopIfTrue="1" operator="equal">
      <formula>0</formula>
    </cfRule>
  </conditionalFormatting>
  <conditionalFormatting sqref="T15">
    <cfRule type="cellIs" dxfId="60" priority="47" stopIfTrue="1" operator="equal">
      <formula>0</formula>
    </cfRule>
  </conditionalFormatting>
  <conditionalFormatting sqref="T15">
    <cfRule type="cellIs" dxfId="59" priority="46" stopIfTrue="1" operator="equal">
      <formula>0</formula>
    </cfRule>
  </conditionalFormatting>
  <conditionalFormatting sqref="T20">
    <cfRule type="cellIs" dxfId="58" priority="45" stopIfTrue="1" operator="equal">
      <formula>0</formula>
    </cfRule>
  </conditionalFormatting>
  <conditionalFormatting sqref="T15">
    <cfRule type="cellIs" dxfId="57" priority="44" stopIfTrue="1" operator="equal">
      <formula>0</formula>
    </cfRule>
  </conditionalFormatting>
  <conditionalFormatting sqref="T20">
    <cfRule type="cellIs" dxfId="56" priority="43" stopIfTrue="1" operator="equal">
      <formula>0</formula>
    </cfRule>
  </conditionalFormatting>
  <conditionalFormatting sqref="I56">
    <cfRule type="expression" dxfId="55" priority="42" stopIfTrue="1">
      <formula>#REF!="Relocation / Expansion"</formula>
    </cfRule>
  </conditionalFormatting>
  <conditionalFormatting sqref="T56">
    <cfRule type="expression" dxfId="54" priority="41" stopIfTrue="1">
      <formula>#REF!="Relocation / Expansion"</formula>
    </cfRule>
  </conditionalFormatting>
  <conditionalFormatting sqref="T56">
    <cfRule type="expression" dxfId="53" priority="40" stopIfTrue="1">
      <formula>#REF!="Relocation / Expansion"</formula>
    </cfRule>
  </conditionalFormatting>
  <conditionalFormatting sqref="T56">
    <cfRule type="expression" dxfId="52" priority="39" stopIfTrue="1">
      <formula>#REF!="Relocation / Expansion"</formula>
    </cfRule>
  </conditionalFormatting>
  <conditionalFormatting sqref="T56">
    <cfRule type="expression" dxfId="51" priority="38" stopIfTrue="1">
      <formula>#REF!="Relocation / Expansion"</formula>
    </cfRule>
  </conditionalFormatting>
  <conditionalFormatting sqref="T56">
    <cfRule type="expression" dxfId="50" priority="37" stopIfTrue="1">
      <formula>#REF!="Relocation / Expansion"</formula>
    </cfRule>
  </conditionalFormatting>
  <conditionalFormatting sqref="T56">
    <cfRule type="expression" dxfId="49" priority="36" stopIfTrue="1">
      <formula>#REF!="Relocation / Expansion"</formula>
    </cfRule>
  </conditionalFormatting>
  <conditionalFormatting sqref="T56">
    <cfRule type="expression" dxfId="48" priority="35" stopIfTrue="1">
      <formula>#REF!="Relocation / Expansion"</formula>
    </cfRule>
  </conditionalFormatting>
  <conditionalFormatting sqref="J37">
    <cfRule type="expression" dxfId="47" priority="33" stopIfTrue="1">
      <formula>$X$2="Relocation"</formula>
    </cfRule>
    <cfRule type="expression" dxfId="46" priority="34" stopIfTrue="1">
      <formula>$X$2="Expansion"</formula>
    </cfRule>
  </conditionalFormatting>
  <conditionalFormatting sqref="J40">
    <cfRule type="expression" dxfId="45" priority="31" stopIfTrue="1">
      <formula>$X$2="Relocation"</formula>
    </cfRule>
    <cfRule type="expression" dxfId="44" priority="32" stopIfTrue="1">
      <formula>$X$2="Expansion"</formula>
    </cfRule>
  </conditionalFormatting>
  <conditionalFormatting sqref="J43">
    <cfRule type="expression" dxfId="43" priority="29" stopIfTrue="1">
      <formula>$X$2="Relocation"</formula>
    </cfRule>
    <cfRule type="expression" dxfId="42" priority="30" stopIfTrue="1">
      <formula>$X$2="Expansion"</formula>
    </cfRule>
  </conditionalFormatting>
  <conditionalFormatting sqref="J48">
    <cfRule type="expression" dxfId="41" priority="27" stopIfTrue="1">
      <formula>$X$2="Relocation"</formula>
    </cfRule>
    <cfRule type="expression" dxfId="40" priority="28" stopIfTrue="1">
      <formula>$X$2="Expansion"</formula>
    </cfRule>
  </conditionalFormatting>
  <conditionalFormatting sqref="J51">
    <cfRule type="expression" dxfId="39" priority="25" stopIfTrue="1">
      <formula>$X$2="Relocation"</formula>
    </cfRule>
    <cfRule type="expression" dxfId="38" priority="26" stopIfTrue="1">
      <formula>$X$2="Expansion"</formula>
    </cfRule>
  </conditionalFormatting>
  <conditionalFormatting sqref="J54">
    <cfRule type="expression" dxfId="37" priority="23" stopIfTrue="1">
      <formula>$X$2="Relocation"</formula>
    </cfRule>
    <cfRule type="expression" dxfId="36" priority="24" stopIfTrue="1">
      <formula>$X$2="Expansion"</formula>
    </cfRule>
  </conditionalFormatting>
  <conditionalFormatting sqref="J58">
    <cfRule type="expression" dxfId="35" priority="21" stopIfTrue="1">
      <formula>$X$2="Relocation"</formula>
    </cfRule>
    <cfRule type="expression" dxfId="34" priority="22" stopIfTrue="1">
      <formula>$X$2="Expansion"</formula>
    </cfRule>
  </conditionalFormatting>
  <conditionalFormatting sqref="U48">
    <cfRule type="expression" dxfId="33" priority="19" stopIfTrue="1">
      <formula>$X$2="Relocation"</formula>
    </cfRule>
    <cfRule type="expression" dxfId="32" priority="20" stopIfTrue="1">
      <formula>$X$2="Expansion"</formula>
    </cfRule>
  </conditionalFormatting>
  <conditionalFormatting sqref="U43">
    <cfRule type="expression" dxfId="31" priority="17" stopIfTrue="1">
      <formula>$X$2="Relocation"</formula>
    </cfRule>
    <cfRule type="expression" dxfId="30" priority="18" stopIfTrue="1">
      <formula>$X$2="Expansion"</formula>
    </cfRule>
  </conditionalFormatting>
  <conditionalFormatting sqref="T10">
    <cfRule type="cellIs" dxfId="29" priority="16" stopIfTrue="1" operator="equal">
      <formula>0</formula>
    </cfRule>
  </conditionalFormatting>
  <conditionalFormatting sqref="T10">
    <cfRule type="cellIs" dxfId="28" priority="15" stopIfTrue="1" operator="equal">
      <formula>0</formula>
    </cfRule>
  </conditionalFormatting>
  <conditionalFormatting sqref="T10">
    <cfRule type="cellIs" dxfId="27" priority="14" stopIfTrue="1" operator="equal">
      <formula>0</formula>
    </cfRule>
  </conditionalFormatting>
  <conditionalFormatting sqref="T10">
    <cfRule type="cellIs" dxfId="26" priority="13" stopIfTrue="1" operator="equal">
      <formula>0</formula>
    </cfRule>
  </conditionalFormatting>
  <conditionalFormatting sqref="T10">
    <cfRule type="cellIs" dxfId="25" priority="12" stopIfTrue="1" operator="equal">
      <formula>0</formula>
    </cfRule>
  </conditionalFormatting>
  <conditionalFormatting sqref="T10">
    <cfRule type="cellIs" dxfId="24" priority="11" stopIfTrue="1" operator="equal">
      <formula>0</formula>
    </cfRule>
  </conditionalFormatting>
  <conditionalFormatting sqref="T10">
    <cfRule type="cellIs" dxfId="23" priority="10" stopIfTrue="1" operator="equal">
      <formula>0</formula>
    </cfRule>
  </conditionalFormatting>
  <conditionalFormatting sqref="T10">
    <cfRule type="cellIs" dxfId="22" priority="9" stopIfTrue="1" operator="equal">
      <formula>0</formula>
    </cfRule>
  </conditionalFormatting>
  <conditionalFormatting sqref="T10">
    <cfRule type="cellIs" dxfId="21" priority="8" stopIfTrue="1" operator="equal">
      <formula>0</formula>
    </cfRule>
  </conditionalFormatting>
  <conditionalFormatting sqref="T10">
    <cfRule type="cellIs" dxfId="20" priority="7" stopIfTrue="1" operator="equal">
      <formula>0</formula>
    </cfRule>
  </conditionalFormatting>
  <conditionalFormatting sqref="T10">
    <cfRule type="cellIs" dxfId="19" priority="6" stopIfTrue="1" operator="equal">
      <formula>0</formula>
    </cfRule>
  </conditionalFormatting>
  <conditionalFormatting sqref="T10">
    <cfRule type="cellIs" dxfId="18" priority="5" stopIfTrue="1" operator="equal">
      <formula>0</formula>
    </cfRule>
  </conditionalFormatting>
  <conditionalFormatting sqref="T10">
    <cfRule type="cellIs" dxfId="17" priority="4" stopIfTrue="1" operator="equal">
      <formula>0</formula>
    </cfRule>
  </conditionalFormatting>
  <conditionalFormatting sqref="T10">
    <cfRule type="cellIs" dxfId="16" priority="3" stopIfTrue="1" operator="equal">
      <formula>0</formula>
    </cfRule>
  </conditionalFormatting>
  <conditionalFormatting sqref="T10">
    <cfRule type="cellIs" dxfId="15" priority="2" stopIfTrue="1" operator="equal">
      <formula>0</formula>
    </cfRule>
  </conditionalFormatting>
  <conditionalFormatting sqref="T10">
    <cfRule type="cellIs" dxfId="14" priority="1" stopIfTrue="1" operator="equal">
      <formula>0</formula>
    </cfRule>
  </conditionalFormatting>
  <dataValidations disablePrompts="1" count="1">
    <dataValidation type="list" allowBlank="1" showInputMessage="1" showErrorMessage="1" sqref="S13">
      <formula1>ChooseYesNo</formula1>
    </dataValidation>
  </dataValidations>
  <pageMargins left="0.5" right="0.5" top="0.75" bottom="0.75" header="0.5" footer="0.5"/>
  <pageSetup scale="49" fitToHeight="3" orientation="portrait" r:id="rId1"/>
  <headerFooter alignWithMargins="0">
    <oddHeader>&amp;C&amp;F</oddHeader>
    <oddFooter>&amp;L&amp;A&amp;C&amp;P of &amp;N&amp;R&amp;D &amp;T</oddFooter>
  </headerFooter>
  <legacyDrawing r:id="rId2"/>
</worksheet>
</file>

<file path=xl/worksheets/sheet31.xml><?xml version="1.0" encoding="utf-8"?>
<worksheet xmlns="http://schemas.openxmlformats.org/spreadsheetml/2006/main" xmlns:r="http://schemas.openxmlformats.org/officeDocument/2006/relationships">
  <sheetPr codeName="Sheet34">
    <pageSetUpPr fitToPage="1"/>
  </sheetPr>
  <dimension ref="A1:B11"/>
  <sheetViews>
    <sheetView workbookViewId="0">
      <selection activeCell="A9" sqref="A9"/>
    </sheetView>
  </sheetViews>
  <sheetFormatPr defaultRowHeight="12.75"/>
  <cols>
    <col min="1" max="1" width="36" style="60" bestFit="1" customWidth="1"/>
    <col min="2" max="2" width="75.7109375" customWidth="1"/>
  </cols>
  <sheetData>
    <row r="1" spans="1:2" ht="13.5" thickBot="1"/>
    <row r="2" spans="1:2" ht="17.25" thickTop="1" thickBot="1">
      <c r="A2" s="1913" t="s">
        <v>1104</v>
      </c>
      <c r="B2" s="1914" t="s">
        <v>2934</v>
      </c>
    </row>
    <row r="3" spans="1:2" ht="17.25" thickTop="1" thickBot="1">
      <c r="A3" s="1915" t="s">
        <v>2935</v>
      </c>
      <c r="B3" s="1916" t="s">
        <v>38</v>
      </c>
    </row>
    <row r="4" spans="1:2" ht="48.75" thickTop="1" thickBot="1">
      <c r="A4" s="1915" t="s">
        <v>3693</v>
      </c>
      <c r="B4" s="1916" t="s">
        <v>2519</v>
      </c>
    </row>
    <row r="5" spans="1:2" ht="64.5" thickTop="1" thickBot="1">
      <c r="A5" s="1915" t="s">
        <v>3694</v>
      </c>
      <c r="B5" s="1916" t="s">
        <v>3321</v>
      </c>
    </row>
    <row r="6" spans="1:2" ht="17.25" thickTop="1" thickBot="1">
      <c r="A6" s="1915" t="s">
        <v>39</v>
      </c>
      <c r="B6" s="1916" t="s">
        <v>3562</v>
      </c>
    </row>
    <row r="7" spans="1:2" ht="17.25" thickTop="1" thickBot="1">
      <c r="A7" s="1915" t="s">
        <v>3563</v>
      </c>
      <c r="B7" s="1916" t="s">
        <v>3698</v>
      </c>
    </row>
    <row r="8" spans="1:2" ht="17.25" thickTop="1" thickBot="1">
      <c r="A8" s="1915" t="s">
        <v>3564</v>
      </c>
      <c r="B8" s="1916" t="s">
        <v>3806</v>
      </c>
    </row>
    <row r="9" spans="1:2" ht="17.25" thickTop="1" thickBot="1">
      <c r="A9" s="1915" t="s">
        <v>3855</v>
      </c>
      <c r="B9" s="1916" t="s">
        <v>793</v>
      </c>
    </row>
    <row r="10" spans="1:2" ht="13.5" thickTop="1"/>
    <row r="11" spans="1:2">
      <c r="A11" s="1917" t="s">
        <v>2520</v>
      </c>
    </row>
  </sheetData>
  <phoneticPr fontId="18" type="noConversion"/>
  <printOptions horizontalCentered="1"/>
  <pageMargins left="0.75" right="0.75" top="1" bottom="1" header="0.5" footer="0.5"/>
  <pageSetup orientation="landscape" horizontalDpi="300" verticalDpi="300" r:id="rId1"/>
  <headerFooter alignWithMargins="0">
    <oddHeader>&amp;C&amp;F</oddHeader>
    <oddFooter>&amp;L&amp;A&amp;C&amp;P of &amp;N&amp;R&amp;D &amp;T</oddFooter>
  </headerFooter>
</worksheet>
</file>

<file path=xl/worksheets/sheet32.xml><?xml version="1.0" encoding="utf-8"?>
<worksheet xmlns="http://schemas.openxmlformats.org/spreadsheetml/2006/main" xmlns:r="http://schemas.openxmlformats.org/officeDocument/2006/relationships">
  <sheetPr>
    <pageSetUpPr fitToPage="1"/>
  </sheetPr>
  <dimension ref="B1:N51"/>
  <sheetViews>
    <sheetView workbookViewId="0">
      <selection activeCell="B3" sqref="B3:K3"/>
    </sheetView>
  </sheetViews>
  <sheetFormatPr defaultRowHeight="12.75"/>
  <cols>
    <col min="1" max="1" width="2.28515625" customWidth="1"/>
    <col min="2" max="2" width="8.28515625" style="2757" bestFit="1" customWidth="1"/>
    <col min="3" max="3" width="6" style="2758" bestFit="1" customWidth="1"/>
    <col min="4" max="4" width="12.7109375" style="2757" bestFit="1" customWidth="1"/>
    <col min="5" max="5" width="11.42578125" style="2757" bestFit="1" customWidth="1"/>
    <col min="6" max="6" width="14.85546875" style="2757" bestFit="1" customWidth="1"/>
    <col min="7" max="7" width="7" style="2757" bestFit="1" customWidth="1"/>
    <col min="8" max="8" width="6" style="2757" bestFit="1" customWidth="1"/>
    <col min="9" max="9" width="10" style="2757" customWidth="1"/>
    <col min="10" max="10" width="11.140625" style="2757" bestFit="1" customWidth="1"/>
    <col min="11" max="11" width="13.7109375" style="2757" bestFit="1" customWidth="1"/>
    <col min="12" max="12" width="2.28515625" customWidth="1"/>
  </cols>
  <sheetData>
    <row r="1" spans="2:14" ht="13.5" thickBot="1"/>
    <row r="2" spans="2:14" ht="13.5" thickBot="1">
      <c r="B2" s="3091" t="s">
        <v>4156</v>
      </c>
      <c r="C2" s="3092"/>
      <c r="D2" s="3092"/>
      <c r="E2" s="3092"/>
      <c r="F2" s="3092"/>
      <c r="G2" s="3092"/>
      <c r="H2" s="3092"/>
      <c r="I2" s="3092"/>
      <c r="J2" s="3092"/>
      <c r="K2" s="3093"/>
    </row>
    <row r="3" spans="2:14" ht="13.5" thickBot="1">
      <c r="B3" s="3094">
        <v>40940</v>
      </c>
      <c r="C3" s="3095"/>
      <c r="D3" s="3095"/>
      <c r="E3" s="3095"/>
      <c r="F3" s="3095"/>
      <c r="G3" s="3095"/>
      <c r="H3" s="3095"/>
      <c r="I3" s="3095"/>
      <c r="J3" s="3095"/>
      <c r="K3" s="3096"/>
    </row>
    <row r="4" spans="2:14" ht="13.5" thickBot="1">
      <c r="B4" s="3097" t="s">
        <v>4157</v>
      </c>
      <c r="C4" s="3096"/>
      <c r="D4" s="3098" t="s">
        <v>4158</v>
      </c>
      <c r="E4" s="3098"/>
      <c r="F4" s="3098"/>
      <c r="G4" s="3099"/>
      <c r="H4" s="3097" t="s">
        <v>4159</v>
      </c>
      <c r="I4" s="3095"/>
      <c r="J4" s="3095"/>
      <c r="K4" s="3096"/>
    </row>
    <row r="5" spans="2:14" ht="26.25" customHeight="1" thickBot="1">
      <c r="B5" s="2759" t="s">
        <v>2928</v>
      </c>
      <c r="C5" s="2760" t="s">
        <v>4160</v>
      </c>
      <c r="D5" s="2761" t="s">
        <v>4161</v>
      </c>
      <c r="E5" s="2762" t="s">
        <v>4162</v>
      </c>
      <c r="F5" s="2763" t="s">
        <v>4163</v>
      </c>
      <c r="G5" s="2764" t="s">
        <v>4164</v>
      </c>
      <c r="H5" s="2765" t="s">
        <v>4160</v>
      </c>
      <c r="I5" s="2766" t="s">
        <v>4165</v>
      </c>
      <c r="J5" s="2767" t="s">
        <v>3933</v>
      </c>
      <c r="K5" s="2768" t="s">
        <v>4166</v>
      </c>
    </row>
    <row r="6" spans="2:14">
      <c r="B6" s="2769">
        <v>8</v>
      </c>
      <c r="C6" s="2770">
        <v>4830</v>
      </c>
      <c r="D6" s="2771"/>
      <c r="E6" s="2772"/>
      <c r="F6" s="2772"/>
      <c r="G6" s="2773"/>
      <c r="H6" s="2774">
        <v>4830</v>
      </c>
      <c r="I6" s="2775" t="e">
        <f>#N/A</f>
        <v>#N/A</v>
      </c>
      <c r="J6" s="2776">
        <f t="shared" ref="J6:J48" si="0">H6/B6</f>
        <v>603.75</v>
      </c>
      <c r="K6" s="2777" t="s">
        <v>4167</v>
      </c>
    </row>
    <row r="7" spans="2:14">
      <c r="B7" s="2778">
        <v>9</v>
      </c>
      <c r="C7" s="2779">
        <v>4976</v>
      </c>
      <c r="D7" s="2780"/>
      <c r="E7" s="2781"/>
      <c r="F7" s="2782"/>
      <c r="G7" s="2783"/>
      <c r="H7" s="2784">
        <v>4976</v>
      </c>
      <c r="I7" s="2785" t="e">
        <f t="shared" ref="I7:I48" si="1">#N/A</f>
        <v>#N/A</v>
      </c>
      <c r="J7" s="2786">
        <f t="shared" si="0"/>
        <v>552.88888888888891</v>
      </c>
      <c r="K7" s="2787" t="s">
        <v>4168</v>
      </c>
    </row>
    <row r="8" spans="2:14">
      <c r="B8" s="2788">
        <v>10</v>
      </c>
      <c r="C8" s="2789">
        <v>5122</v>
      </c>
      <c r="D8" s="2780"/>
      <c r="E8" s="2790"/>
      <c r="F8" s="2791"/>
      <c r="G8" s="2792"/>
      <c r="H8" s="2793">
        <v>5122</v>
      </c>
      <c r="I8" s="2785" t="e">
        <f t="shared" si="1"/>
        <v>#N/A</v>
      </c>
      <c r="J8" s="2794">
        <f t="shared" si="0"/>
        <v>512.20000000000005</v>
      </c>
      <c r="K8" s="2795" t="s">
        <v>4168</v>
      </c>
      <c r="N8" s="1571"/>
    </row>
    <row r="9" spans="2:14" ht="13.5" thickBot="1">
      <c r="B9" s="2759">
        <v>11</v>
      </c>
      <c r="C9" s="2796">
        <v>5268</v>
      </c>
      <c r="D9" s="2797"/>
      <c r="E9" s="2781"/>
      <c r="F9" s="2782"/>
      <c r="G9" s="2798"/>
      <c r="H9" s="2799">
        <v>5268</v>
      </c>
      <c r="I9" s="2800" t="e">
        <f t="shared" si="1"/>
        <v>#N/A</v>
      </c>
      <c r="J9" s="2801">
        <f t="shared" si="0"/>
        <v>478.90909090909093</v>
      </c>
      <c r="K9" s="2802" t="s">
        <v>4168</v>
      </c>
    </row>
    <row r="10" spans="2:14">
      <c r="B10" s="2769">
        <v>12</v>
      </c>
      <c r="C10" s="2803">
        <v>5410</v>
      </c>
      <c r="D10" s="2804">
        <v>60</v>
      </c>
      <c r="E10" s="2805"/>
      <c r="F10" s="2806"/>
      <c r="G10" s="2807"/>
      <c r="H10" s="2808">
        <f>SUM(C10+D10)</f>
        <v>5470</v>
      </c>
      <c r="I10" s="2775" t="e">
        <f t="shared" si="1"/>
        <v>#N/A</v>
      </c>
      <c r="J10" s="2809">
        <f t="shared" si="0"/>
        <v>455.83333333333331</v>
      </c>
      <c r="K10" s="2810" t="s">
        <v>4168</v>
      </c>
      <c r="N10" s="2811"/>
    </row>
    <row r="11" spans="2:14">
      <c r="B11" s="2778">
        <v>13</v>
      </c>
      <c r="C11" s="2812">
        <v>5560</v>
      </c>
      <c r="D11" s="5" t="s">
        <v>4168</v>
      </c>
      <c r="E11" s="2813"/>
      <c r="F11" s="2813"/>
      <c r="G11" s="20"/>
      <c r="H11" s="2814">
        <f>SUM(C11+D10)</f>
        <v>5620</v>
      </c>
      <c r="I11" s="2785" t="e">
        <f t="shared" si="1"/>
        <v>#N/A</v>
      </c>
      <c r="J11" s="2815">
        <f t="shared" si="0"/>
        <v>432.30769230769232</v>
      </c>
      <c r="K11" s="2816" t="s">
        <v>4168</v>
      </c>
    </row>
    <row r="12" spans="2:14">
      <c r="B12" s="2788">
        <v>14</v>
      </c>
      <c r="C12" s="2817">
        <v>5750</v>
      </c>
      <c r="D12" s="2818" t="s">
        <v>4168</v>
      </c>
      <c r="E12" s="2813"/>
      <c r="F12" s="2813"/>
      <c r="G12" s="20"/>
      <c r="H12" s="2819">
        <f>SUM(C12+D10)</f>
        <v>5810</v>
      </c>
      <c r="I12" s="2785" t="e">
        <f t="shared" si="1"/>
        <v>#N/A</v>
      </c>
      <c r="J12" s="2815">
        <f t="shared" si="0"/>
        <v>415</v>
      </c>
      <c r="K12" s="2820" t="s">
        <v>4168</v>
      </c>
      <c r="N12" s="2811"/>
    </row>
    <row r="13" spans="2:14">
      <c r="B13" s="2778">
        <v>15</v>
      </c>
      <c r="C13" s="2812">
        <v>5940</v>
      </c>
      <c r="D13" s="2818" t="s">
        <v>4168</v>
      </c>
      <c r="E13" s="2755"/>
      <c r="F13" s="2821"/>
      <c r="G13" s="2822"/>
      <c r="H13" s="2819">
        <f>SUM(C13+D10)</f>
        <v>6000</v>
      </c>
      <c r="I13" s="2785" t="e">
        <f t="shared" si="1"/>
        <v>#N/A</v>
      </c>
      <c r="J13" s="2815">
        <f t="shared" si="0"/>
        <v>400</v>
      </c>
      <c r="K13" s="2816" t="s">
        <v>4168</v>
      </c>
      <c r="N13" s="1571"/>
    </row>
    <row r="14" spans="2:14">
      <c r="B14" s="2788">
        <v>16</v>
      </c>
      <c r="C14" s="2817">
        <v>6130</v>
      </c>
      <c r="D14" s="2818" t="s">
        <v>4168</v>
      </c>
      <c r="E14" s="2823">
        <v>70</v>
      </c>
      <c r="F14" s="2813"/>
      <c r="G14" s="20"/>
      <c r="H14" s="2819">
        <f>SUM(C14+D10+E14)</f>
        <v>6260</v>
      </c>
      <c r="I14" s="2785" t="e">
        <f t="shared" si="1"/>
        <v>#N/A</v>
      </c>
      <c r="J14" s="2815">
        <f t="shared" si="0"/>
        <v>391.25</v>
      </c>
      <c r="K14" s="2820" t="s">
        <v>4168</v>
      </c>
    </row>
    <row r="15" spans="2:14" ht="13.5" thickBot="1">
      <c r="B15" s="2759">
        <v>17</v>
      </c>
      <c r="C15" s="2824">
        <v>6320</v>
      </c>
      <c r="D15" s="2818" t="s">
        <v>4168</v>
      </c>
      <c r="E15" s="2825" t="s">
        <v>4168</v>
      </c>
      <c r="F15" s="2821"/>
      <c r="G15" s="2822"/>
      <c r="H15" s="2826">
        <f>SUM(C15+D10+E14)</f>
        <v>6450</v>
      </c>
      <c r="I15" s="2800" t="e">
        <f t="shared" si="1"/>
        <v>#N/A</v>
      </c>
      <c r="J15" s="2827">
        <f t="shared" si="0"/>
        <v>379.41176470588238</v>
      </c>
      <c r="K15" s="2828" t="s">
        <v>4168</v>
      </c>
    </row>
    <row r="16" spans="2:14">
      <c r="B16" s="2769">
        <v>18</v>
      </c>
      <c r="C16" s="2829">
        <v>6510</v>
      </c>
      <c r="D16" s="2830">
        <v>120</v>
      </c>
      <c r="E16" s="2831" t="s">
        <v>4168</v>
      </c>
      <c r="F16" s="2772"/>
      <c r="G16" s="2773"/>
      <c r="H16" s="2832">
        <f>SUM(C16+D16+E14)</f>
        <v>6700</v>
      </c>
      <c r="I16" s="2775" t="e">
        <f t="shared" si="1"/>
        <v>#N/A</v>
      </c>
      <c r="J16" s="2776">
        <f t="shared" si="0"/>
        <v>372.22222222222223</v>
      </c>
      <c r="K16" s="2833" t="s">
        <v>4168</v>
      </c>
    </row>
    <row r="17" spans="2:11">
      <c r="B17" s="2778">
        <v>19</v>
      </c>
      <c r="C17" s="2829">
        <v>6700</v>
      </c>
      <c r="D17" s="2797" t="s">
        <v>4168</v>
      </c>
      <c r="E17" s="2834">
        <v>140</v>
      </c>
      <c r="F17" s="2835">
        <v>55</v>
      </c>
      <c r="G17" s="2783"/>
      <c r="H17" s="2836">
        <f>SUM(C17+D16+E17+F17)</f>
        <v>7015</v>
      </c>
      <c r="I17" s="2785" t="e">
        <f t="shared" si="1"/>
        <v>#N/A</v>
      </c>
      <c r="J17" s="2837">
        <f t="shared" si="0"/>
        <v>369.21052631578948</v>
      </c>
      <c r="K17" s="2787" t="s">
        <v>4168</v>
      </c>
    </row>
    <row r="18" spans="2:11">
      <c r="B18" s="2788">
        <v>20</v>
      </c>
      <c r="C18" s="2829">
        <v>6890</v>
      </c>
      <c r="D18" s="2780" t="s">
        <v>4168</v>
      </c>
      <c r="E18" s="2838" t="s">
        <v>4168</v>
      </c>
      <c r="F18" s="2791" t="s">
        <v>4168</v>
      </c>
      <c r="G18" s="2792"/>
      <c r="H18" s="2836">
        <f>SUM(C18+D16+E17+F17)</f>
        <v>7205</v>
      </c>
      <c r="I18" s="2785" t="e">
        <f t="shared" si="1"/>
        <v>#N/A</v>
      </c>
      <c r="J18" s="2837">
        <f t="shared" si="0"/>
        <v>360.25</v>
      </c>
      <c r="K18" s="2795" t="s">
        <v>4168</v>
      </c>
    </row>
    <row r="19" spans="2:11">
      <c r="B19" s="2778">
        <v>21</v>
      </c>
      <c r="C19" s="2829">
        <v>7080</v>
      </c>
      <c r="D19" s="2797" t="s">
        <v>4168</v>
      </c>
      <c r="E19" s="2834" t="s">
        <v>4168</v>
      </c>
      <c r="F19" s="2791" t="s">
        <v>4168</v>
      </c>
      <c r="G19" s="2783"/>
      <c r="H19" s="2836">
        <f>SUM(C19+D16+E17+F17)</f>
        <v>7395</v>
      </c>
      <c r="I19" s="2785" t="e">
        <f t="shared" si="1"/>
        <v>#N/A</v>
      </c>
      <c r="J19" s="2786">
        <f t="shared" si="0"/>
        <v>352.14285714285717</v>
      </c>
      <c r="K19" s="2787" t="s">
        <v>4168</v>
      </c>
    </row>
    <row r="20" spans="2:11">
      <c r="B20" s="2788">
        <v>22</v>
      </c>
      <c r="C20" s="2829">
        <v>7270</v>
      </c>
      <c r="D20" s="2780" t="s">
        <v>4168</v>
      </c>
      <c r="E20" s="2838" t="s">
        <v>4168</v>
      </c>
      <c r="F20" s="2791" t="s">
        <v>4168</v>
      </c>
      <c r="G20" s="2792"/>
      <c r="H20" s="2836">
        <f>SUM(C20+D16+E17+F17)</f>
        <v>7585</v>
      </c>
      <c r="I20" s="2785" t="e">
        <f t="shared" si="1"/>
        <v>#N/A</v>
      </c>
      <c r="J20" s="2794">
        <f t="shared" si="0"/>
        <v>344.77272727272725</v>
      </c>
      <c r="K20" s="2795" t="s">
        <v>4168</v>
      </c>
    </row>
    <row r="21" spans="2:11" ht="13.5" thickBot="1">
      <c r="B21" s="2759">
        <v>23</v>
      </c>
      <c r="C21" s="2839">
        <v>7460</v>
      </c>
      <c r="D21" s="2840" t="s">
        <v>4168</v>
      </c>
      <c r="E21" s="2834" t="s">
        <v>4168</v>
      </c>
      <c r="F21" s="2841" t="s">
        <v>4168</v>
      </c>
      <c r="G21" s="2783"/>
      <c r="H21" s="2842">
        <f>SUM(C21+D16+E17+F17)</f>
        <v>7775</v>
      </c>
      <c r="I21" s="2800" t="e">
        <f t="shared" si="1"/>
        <v>#N/A</v>
      </c>
      <c r="J21" s="2801">
        <f t="shared" si="0"/>
        <v>338.04347826086956</v>
      </c>
      <c r="K21" s="2802" t="s">
        <v>4168</v>
      </c>
    </row>
    <row r="22" spans="2:11">
      <c r="B22" s="2769">
        <v>24</v>
      </c>
      <c r="C22" s="2843">
        <v>7650</v>
      </c>
      <c r="D22" s="2804">
        <v>200</v>
      </c>
      <c r="E22" s="2844" t="s">
        <v>4168</v>
      </c>
      <c r="F22" s="2845" t="s">
        <v>4168</v>
      </c>
      <c r="G22" s="22"/>
      <c r="H22" s="2846">
        <f>SUM(C22+D22+E17+F17)</f>
        <v>8045</v>
      </c>
      <c r="I22" s="2775" t="e">
        <f t="shared" si="1"/>
        <v>#N/A</v>
      </c>
      <c r="J22" s="2847">
        <f t="shared" si="0"/>
        <v>335.20833333333331</v>
      </c>
      <c r="K22" s="2810" t="s">
        <v>4168</v>
      </c>
    </row>
    <row r="23" spans="2:11">
      <c r="B23" s="2778">
        <v>25</v>
      </c>
      <c r="C23" s="2817">
        <v>7840</v>
      </c>
      <c r="D23" s="5" t="s">
        <v>4168</v>
      </c>
      <c r="E23" s="2848" t="s">
        <v>4168</v>
      </c>
      <c r="F23" s="2823" t="s">
        <v>4168</v>
      </c>
      <c r="G23" s="2822"/>
      <c r="H23" s="2849">
        <f>SUM(C23+D22+E17+F17)</f>
        <v>8235</v>
      </c>
      <c r="I23" s="2785" t="e">
        <f t="shared" si="1"/>
        <v>#N/A</v>
      </c>
      <c r="J23" s="2850">
        <f t="shared" si="0"/>
        <v>329.4</v>
      </c>
      <c r="K23" s="2816" t="s">
        <v>4168</v>
      </c>
    </row>
    <row r="24" spans="2:11">
      <c r="B24" s="2788">
        <v>26</v>
      </c>
      <c r="C24" s="2817">
        <v>8030</v>
      </c>
      <c r="D24" s="5" t="s">
        <v>4168</v>
      </c>
      <c r="E24" s="2851" t="s">
        <v>4168</v>
      </c>
      <c r="F24" s="2823" t="s">
        <v>4168</v>
      </c>
      <c r="G24" s="20"/>
      <c r="H24" s="2819">
        <f>SUM(C24+D22+E17+F17)</f>
        <v>8425</v>
      </c>
      <c r="I24" s="2785" t="e">
        <f t="shared" si="1"/>
        <v>#N/A</v>
      </c>
      <c r="J24" s="2815">
        <f t="shared" si="0"/>
        <v>324.03846153846155</v>
      </c>
      <c r="K24" s="2820" t="s">
        <v>4168</v>
      </c>
    </row>
    <row r="25" spans="2:11">
      <c r="B25" s="2778">
        <v>27</v>
      </c>
      <c r="C25" s="2817">
        <v>8220</v>
      </c>
      <c r="D25" s="2756" t="s">
        <v>4168</v>
      </c>
      <c r="E25" s="2825" t="s">
        <v>4168</v>
      </c>
      <c r="F25" s="2848" t="s">
        <v>4168</v>
      </c>
      <c r="G25" s="2822"/>
      <c r="H25" s="2849">
        <f>SUM(C25+D22+E17+F17)</f>
        <v>8615</v>
      </c>
      <c r="I25" s="2785" t="e">
        <f t="shared" si="1"/>
        <v>#N/A</v>
      </c>
      <c r="J25" s="2815">
        <f t="shared" si="0"/>
        <v>319.07407407407408</v>
      </c>
      <c r="K25" s="2816" t="s">
        <v>4168</v>
      </c>
    </row>
    <row r="26" spans="2:11">
      <c r="B26" s="2788">
        <v>28</v>
      </c>
      <c r="C26" s="2817">
        <v>8410</v>
      </c>
      <c r="D26" s="5" t="s">
        <v>4168</v>
      </c>
      <c r="E26" s="2851" t="s">
        <v>4168</v>
      </c>
      <c r="F26" s="2823" t="s">
        <v>4168</v>
      </c>
      <c r="G26" s="20"/>
      <c r="H26" s="2819">
        <f>SUM(C26+D22+E17+F17)</f>
        <v>8805</v>
      </c>
      <c r="I26" s="2785" t="e">
        <f t="shared" si="1"/>
        <v>#N/A</v>
      </c>
      <c r="J26" s="2850">
        <f t="shared" si="0"/>
        <v>314.46428571428572</v>
      </c>
      <c r="K26" s="2820" t="s">
        <v>4168</v>
      </c>
    </row>
    <row r="27" spans="2:11" ht="13.5" thickBot="1">
      <c r="B27" s="2759">
        <v>29</v>
      </c>
      <c r="C27" s="2852">
        <v>8600</v>
      </c>
      <c r="D27" s="2818" t="s">
        <v>4168</v>
      </c>
      <c r="E27" s="2825" t="s">
        <v>4168</v>
      </c>
      <c r="F27" s="2848" t="s">
        <v>4168</v>
      </c>
      <c r="G27" s="2822"/>
      <c r="H27" s="2826">
        <f>SUM(C27+D22+E17+F17)</f>
        <v>8995</v>
      </c>
      <c r="I27" s="2800" t="e">
        <f t="shared" si="1"/>
        <v>#N/A</v>
      </c>
      <c r="J27" s="2853">
        <f t="shared" si="0"/>
        <v>310.17241379310343</v>
      </c>
      <c r="K27" s="2828" t="s">
        <v>4168</v>
      </c>
    </row>
    <row r="28" spans="2:11">
      <c r="B28" s="2769">
        <v>30</v>
      </c>
      <c r="C28" s="2854">
        <v>8790</v>
      </c>
      <c r="D28" s="2830">
        <v>306</v>
      </c>
      <c r="E28" s="2831" t="s">
        <v>4168</v>
      </c>
      <c r="F28" s="2855" t="s">
        <v>4168</v>
      </c>
      <c r="G28" s="2773"/>
      <c r="H28" s="2856">
        <f>SUM(C28+D28+E17+F17)</f>
        <v>9291</v>
      </c>
      <c r="I28" s="2775" t="e">
        <f t="shared" si="1"/>
        <v>#N/A</v>
      </c>
      <c r="J28" s="2857">
        <f t="shared" si="0"/>
        <v>309.7</v>
      </c>
      <c r="K28" s="2833" t="s">
        <v>4168</v>
      </c>
    </row>
    <row r="29" spans="2:11">
      <c r="B29" s="2778">
        <v>31</v>
      </c>
      <c r="C29" s="2829">
        <v>8980</v>
      </c>
      <c r="D29" s="2780" t="s">
        <v>4168</v>
      </c>
      <c r="E29" s="2834" t="s">
        <v>4168</v>
      </c>
      <c r="F29" s="2835" t="s">
        <v>4168</v>
      </c>
      <c r="G29" s="2783"/>
      <c r="H29" s="2858">
        <f>SUM(C29+D28+E17+F17)</f>
        <v>9481</v>
      </c>
      <c r="I29" s="2785" t="e">
        <f t="shared" si="1"/>
        <v>#N/A</v>
      </c>
      <c r="J29" s="2786">
        <f t="shared" si="0"/>
        <v>305.83870967741933</v>
      </c>
      <c r="K29" s="2787" t="s">
        <v>4168</v>
      </c>
    </row>
    <row r="30" spans="2:11">
      <c r="B30" s="2788">
        <v>32</v>
      </c>
      <c r="C30" s="2829">
        <v>9170</v>
      </c>
      <c r="D30" s="2780" t="s">
        <v>4168</v>
      </c>
      <c r="E30" s="2838" t="s">
        <v>4168</v>
      </c>
      <c r="F30" s="2859" t="s">
        <v>4168</v>
      </c>
      <c r="G30" s="2792"/>
      <c r="H30" s="2858">
        <f>SUM(C30+D28+E17+F17)</f>
        <v>9671</v>
      </c>
      <c r="I30" s="2785" t="e">
        <f t="shared" si="1"/>
        <v>#N/A</v>
      </c>
      <c r="J30" s="2786">
        <f t="shared" si="0"/>
        <v>302.21875</v>
      </c>
      <c r="K30" s="2795" t="s">
        <v>4168</v>
      </c>
    </row>
    <row r="31" spans="2:11">
      <c r="B31" s="2778">
        <v>33</v>
      </c>
      <c r="C31" s="2829">
        <v>9360</v>
      </c>
      <c r="D31" s="2780" t="s">
        <v>4168</v>
      </c>
      <c r="E31" s="2834" t="s">
        <v>4168</v>
      </c>
      <c r="F31" s="2835" t="s">
        <v>4168</v>
      </c>
      <c r="G31" s="2783"/>
      <c r="H31" s="2858">
        <f>SUM(C31+D28+E17+F17)</f>
        <v>9861</v>
      </c>
      <c r="I31" s="2785" t="e">
        <f t="shared" si="1"/>
        <v>#N/A</v>
      </c>
      <c r="J31" s="2794">
        <f t="shared" si="0"/>
        <v>298.81818181818181</v>
      </c>
      <c r="K31" s="2787" t="s">
        <v>4168</v>
      </c>
    </row>
    <row r="32" spans="2:11">
      <c r="B32" s="2788">
        <v>34</v>
      </c>
      <c r="C32" s="2829">
        <v>9550</v>
      </c>
      <c r="D32" s="2780" t="s">
        <v>4168</v>
      </c>
      <c r="E32" s="2838" t="s">
        <v>4168</v>
      </c>
      <c r="F32" s="2859" t="s">
        <v>4168</v>
      </c>
      <c r="G32" s="2792"/>
      <c r="H32" s="2858">
        <f>SUM(C32+D28+E17+F17)</f>
        <v>10051</v>
      </c>
      <c r="I32" s="2785" t="e">
        <f t="shared" si="1"/>
        <v>#N/A</v>
      </c>
      <c r="J32" s="2837">
        <f t="shared" si="0"/>
        <v>295.61764705882354</v>
      </c>
      <c r="K32" s="2795" t="s">
        <v>4168</v>
      </c>
    </row>
    <row r="33" spans="2:12" ht="13.5" thickBot="1">
      <c r="B33" s="2759">
        <v>35</v>
      </c>
      <c r="C33" s="2839">
        <v>9740</v>
      </c>
      <c r="D33" s="2840" t="s">
        <v>4168</v>
      </c>
      <c r="E33" s="2860" t="s">
        <v>4168</v>
      </c>
      <c r="F33" s="2861" t="s">
        <v>4168</v>
      </c>
      <c r="G33" s="2798"/>
      <c r="H33" s="2862">
        <f>SUM(C33+D28+E17+F17)</f>
        <v>10241</v>
      </c>
      <c r="I33" s="2800" t="e">
        <f t="shared" si="1"/>
        <v>#N/A</v>
      </c>
      <c r="J33" s="2801">
        <f t="shared" si="0"/>
        <v>292.60000000000002</v>
      </c>
      <c r="K33" s="2802" t="s">
        <v>4168</v>
      </c>
    </row>
    <row r="34" spans="2:12">
      <c r="B34" s="2863">
        <v>36</v>
      </c>
      <c r="C34" s="2843">
        <v>9930</v>
      </c>
      <c r="D34" s="2804">
        <v>446</v>
      </c>
      <c r="E34" s="2864" t="s">
        <v>4168</v>
      </c>
      <c r="F34" s="2845" t="s">
        <v>4168</v>
      </c>
      <c r="G34" s="22"/>
      <c r="H34" s="2846">
        <f>SUM(C34+D34+E17+F17)</f>
        <v>10571</v>
      </c>
      <c r="I34" s="2775" t="e">
        <f t="shared" si="1"/>
        <v>#N/A</v>
      </c>
      <c r="J34" s="2809">
        <f t="shared" si="0"/>
        <v>293.63888888888891</v>
      </c>
      <c r="K34" s="2865" t="s">
        <v>4168</v>
      </c>
    </row>
    <row r="35" spans="2:12">
      <c r="B35" s="2788">
        <v>37</v>
      </c>
      <c r="C35" s="2817">
        <v>10120</v>
      </c>
      <c r="D35" s="5" t="s">
        <v>4168</v>
      </c>
      <c r="E35" s="2851" t="s">
        <v>4168</v>
      </c>
      <c r="F35" s="2823" t="s">
        <v>4168</v>
      </c>
      <c r="G35" s="2866">
        <v>120</v>
      </c>
      <c r="H35" s="2819">
        <f>SUM(C35+D34+E17+F17)</f>
        <v>10761</v>
      </c>
      <c r="I35" s="2785" t="e">
        <f t="shared" si="1"/>
        <v>#N/A</v>
      </c>
      <c r="J35" s="2815">
        <f t="shared" si="0"/>
        <v>290.83783783783781</v>
      </c>
      <c r="K35" s="2820" t="s">
        <v>4168</v>
      </c>
    </row>
    <row r="36" spans="2:12">
      <c r="B36" s="2778">
        <v>38</v>
      </c>
      <c r="C36" s="2817">
        <v>10310</v>
      </c>
      <c r="D36" s="2867" t="s">
        <v>4168</v>
      </c>
      <c r="E36" s="2825" t="s">
        <v>4168</v>
      </c>
      <c r="F36" s="2848" t="s">
        <v>4168</v>
      </c>
      <c r="G36" s="2868" t="s">
        <v>4168</v>
      </c>
      <c r="H36" s="2869">
        <f>SUM(C36+D34+E17+F17+G35)</f>
        <v>11071</v>
      </c>
      <c r="I36" s="2785" t="e">
        <f t="shared" si="1"/>
        <v>#N/A</v>
      </c>
      <c r="J36" s="2815">
        <f t="shared" si="0"/>
        <v>291.34210526315792</v>
      </c>
      <c r="K36" s="2816" t="s">
        <v>4168</v>
      </c>
    </row>
    <row r="37" spans="2:12">
      <c r="B37" s="2788">
        <v>39</v>
      </c>
      <c r="C37" s="2817">
        <v>10500</v>
      </c>
      <c r="D37" s="5" t="s">
        <v>4168</v>
      </c>
      <c r="E37" s="2851" t="s">
        <v>4168</v>
      </c>
      <c r="F37" s="2823" t="s">
        <v>4168</v>
      </c>
      <c r="G37" s="2870" t="s">
        <v>4168</v>
      </c>
      <c r="H37" s="2814">
        <f>SUM(C37+D34+E17+F17+G35)</f>
        <v>11261</v>
      </c>
      <c r="I37" s="2785" t="e">
        <f t="shared" si="1"/>
        <v>#N/A</v>
      </c>
      <c r="J37" s="2815">
        <f t="shared" si="0"/>
        <v>288.74358974358972</v>
      </c>
      <c r="K37" s="2820" t="s">
        <v>4168</v>
      </c>
    </row>
    <row r="38" spans="2:12">
      <c r="B38" s="2778">
        <v>40</v>
      </c>
      <c r="C38" s="2817">
        <v>10690</v>
      </c>
      <c r="D38" s="2756" t="s">
        <v>4168</v>
      </c>
      <c r="E38" s="2825" t="s">
        <v>4168</v>
      </c>
      <c r="F38" s="2848" t="s">
        <v>4168</v>
      </c>
      <c r="G38" s="2866" t="s">
        <v>4168</v>
      </c>
      <c r="H38" s="2819">
        <f>SUM(C38+D34+E17+F17+G35)</f>
        <v>11451</v>
      </c>
      <c r="I38" s="2785" t="e">
        <f t="shared" si="1"/>
        <v>#N/A</v>
      </c>
      <c r="J38" s="2850">
        <f t="shared" si="0"/>
        <v>286.27499999999998</v>
      </c>
      <c r="K38" s="2816" t="s">
        <v>4168</v>
      </c>
    </row>
    <row r="39" spans="2:12" ht="13.5" thickBot="1">
      <c r="B39" s="2871">
        <v>41</v>
      </c>
      <c r="C39" s="2872">
        <v>10880</v>
      </c>
      <c r="D39" s="24" t="s">
        <v>4168</v>
      </c>
      <c r="E39" s="2873" t="s">
        <v>4168</v>
      </c>
      <c r="F39" s="2874" t="s">
        <v>4168</v>
      </c>
      <c r="G39" s="2875" t="s">
        <v>4168</v>
      </c>
      <c r="H39" s="2826">
        <f>SUM(C39+D34+E17+F17+G35)</f>
        <v>11641</v>
      </c>
      <c r="I39" s="2800" t="e">
        <f t="shared" si="1"/>
        <v>#N/A</v>
      </c>
      <c r="J39" s="2853">
        <f t="shared" si="0"/>
        <v>283.92682926829269</v>
      </c>
      <c r="K39" s="2876" t="s">
        <v>4168</v>
      </c>
    </row>
    <row r="40" spans="2:12">
      <c r="B40" s="2863">
        <v>42</v>
      </c>
      <c r="C40" s="2877">
        <v>11070</v>
      </c>
      <c r="D40" s="2878">
        <v>632</v>
      </c>
      <c r="E40" s="2879" t="s">
        <v>4168</v>
      </c>
      <c r="F40" s="2879" t="s">
        <v>4168</v>
      </c>
      <c r="G40" s="2880" t="s">
        <v>4168</v>
      </c>
      <c r="H40" s="2856">
        <f>SUM(C40+D34+E17+F17+G35)</f>
        <v>11831</v>
      </c>
      <c r="I40" s="2775" t="e">
        <f t="shared" si="1"/>
        <v>#N/A</v>
      </c>
      <c r="J40" s="2776">
        <f t="shared" si="0"/>
        <v>281.6904761904762</v>
      </c>
      <c r="K40" s="2881" t="s">
        <v>4168</v>
      </c>
    </row>
    <row r="41" spans="2:12">
      <c r="B41" s="2788">
        <v>43</v>
      </c>
      <c r="C41" s="2829">
        <v>11260</v>
      </c>
      <c r="D41" s="2780" t="s">
        <v>4168</v>
      </c>
      <c r="E41" s="2859" t="s">
        <v>4168</v>
      </c>
      <c r="F41" s="2859" t="s">
        <v>4168</v>
      </c>
      <c r="G41" s="2882" t="s">
        <v>4168</v>
      </c>
      <c r="H41" s="2858">
        <f>SUM(C41+D34+E17+F17+G35)</f>
        <v>12021</v>
      </c>
      <c r="I41" s="2785" t="e">
        <f t="shared" si="1"/>
        <v>#N/A</v>
      </c>
      <c r="J41" s="2837">
        <f t="shared" si="0"/>
        <v>279.55813953488371</v>
      </c>
      <c r="K41" s="2795" t="s">
        <v>4168</v>
      </c>
    </row>
    <row r="42" spans="2:12">
      <c r="B42" s="2778">
        <v>44</v>
      </c>
      <c r="C42" s="2829">
        <v>11450</v>
      </c>
      <c r="D42" s="2797" t="s">
        <v>4168</v>
      </c>
      <c r="E42" s="2835" t="s">
        <v>4168</v>
      </c>
      <c r="F42" s="2835" t="s">
        <v>4168</v>
      </c>
      <c r="G42" s="2883" t="s">
        <v>4168</v>
      </c>
      <c r="H42" s="2858">
        <f>SUM(C42+D40+E17+F17+G35)</f>
        <v>12397</v>
      </c>
      <c r="I42" s="2785" t="e">
        <f t="shared" si="1"/>
        <v>#N/A</v>
      </c>
      <c r="J42" s="2786">
        <f t="shared" si="0"/>
        <v>281.75</v>
      </c>
      <c r="K42" s="2787" t="s">
        <v>4168</v>
      </c>
    </row>
    <row r="43" spans="2:12">
      <c r="B43" s="2788">
        <v>45</v>
      </c>
      <c r="C43" s="2829">
        <v>11640</v>
      </c>
      <c r="D43" s="2780" t="s">
        <v>4168</v>
      </c>
      <c r="E43" s="2859" t="s">
        <v>4168</v>
      </c>
      <c r="F43" s="2859" t="s">
        <v>4168</v>
      </c>
      <c r="G43" s="2882" t="s">
        <v>4168</v>
      </c>
      <c r="H43" s="2858">
        <f>SUM(C43+D40+E17+F17+G35)</f>
        <v>12587</v>
      </c>
      <c r="I43" s="2785" t="e">
        <f t="shared" si="1"/>
        <v>#N/A</v>
      </c>
      <c r="J43" s="2786">
        <f t="shared" si="0"/>
        <v>279.71111111111111</v>
      </c>
      <c r="K43" s="2795" t="s">
        <v>4168</v>
      </c>
    </row>
    <row r="44" spans="2:12" ht="13.5" thickBot="1">
      <c r="B44" s="2778">
        <v>46</v>
      </c>
      <c r="C44" s="2829">
        <v>11830</v>
      </c>
      <c r="D44" s="2797" t="s">
        <v>4168</v>
      </c>
      <c r="E44" s="2835" t="s">
        <v>4168</v>
      </c>
      <c r="F44" s="2835" t="s">
        <v>4168</v>
      </c>
      <c r="G44" s="2883" t="s">
        <v>4168</v>
      </c>
      <c r="H44" s="2884">
        <f>SUM(C44+D40+E17+F17+G35)</f>
        <v>12777</v>
      </c>
      <c r="I44" s="2800" t="e">
        <f t="shared" si="1"/>
        <v>#N/A</v>
      </c>
      <c r="J44" s="2786">
        <f t="shared" si="0"/>
        <v>277.76086956521738</v>
      </c>
      <c r="K44" s="2787" t="s">
        <v>4168</v>
      </c>
    </row>
    <row r="45" spans="2:12" ht="13.5" thickBot="1">
      <c r="B45" s="2871">
        <v>47</v>
      </c>
      <c r="C45" s="2885">
        <v>12020</v>
      </c>
      <c r="D45" s="2886" t="s">
        <v>4168</v>
      </c>
      <c r="E45" s="2887" t="s">
        <v>4168</v>
      </c>
      <c r="F45" s="2887" t="s">
        <v>4168</v>
      </c>
      <c r="G45" s="2888" t="s">
        <v>4168</v>
      </c>
      <c r="H45" s="2842">
        <f>SUM(C45+D40+E17+F17+G35)</f>
        <v>12967</v>
      </c>
      <c r="I45" s="2800" t="e">
        <f t="shared" si="1"/>
        <v>#N/A</v>
      </c>
      <c r="J45" s="2801">
        <f t="shared" si="0"/>
        <v>275.89361702127661</v>
      </c>
      <c r="K45" s="2889" t="s">
        <v>4168</v>
      </c>
    </row>
    <row r="46" spans="2:12">
      <c r="B46" s="2863">
        <v>48</v>
      </c>
      <c r="C46" s="2890">
        <v>12210</v>
      </c>
      <c r="D46" s="2804">
        <v>880</v>
      </c>
      <c r="E46" s="2845" t="s">
        <v>4168</v>
      </c>
      <c r="F46" s="2844" t="s">
        <v>4168</v>
      </c>
      <c r="G46" s="2891" t="s">
        <v>4168</v>
      </c>
      <c r="H46" s="2846">
        <f>SUM(C46+D46+E17+F17+G35)</f>
        <v>13405</v>
      </c>
      <c r="I46" s="2775" t="e">
        <f t="shared" si="1"/>
        <v>#N/A</v>
      </c>
      <c r="J46" s="2850">
        <f t="shared" si="0"/>
        <v>279.27083333333331</v>
      </c>
      <c r="K46" s="2865" t="s">
        <v>4168</v>
      </c>
    </row>
    <row r="47" spans="2:12">
      <c r="B47" s="2788">
        <v>49</v>
      </c>
      <c r="C47" s="2817">
        <v>12400</v>
      </c>
      <c r="D47" s="5" t="s">
        <v>4168</v>
      </c>
      <c r="E47" s="2851" t="s">
        <v>4168</v>
      </c>
      <c r="F47" s="2823" t="s">
        <v>4168</v>
      </c>
      <c r="G47" s="2870" t="s">
        <v>4168</v>
      </c>
      <c r="H47" s="2849">
        <f>SUM(C47+D46+E17+F17+G35)</f>
        <v>13595</v>
      </c>
      <c r="I47" s="2785" t="e">
        <f t="shared" si="1"/>
        <v>#N/A</v>
      </c>
      <c r="J47" s="2815">
        <f t="shared" si="0"/>
        <v>277.44897959183675</v>
      </c>
      <c r="K47" s="2820" t="s">
        <v>4168</v>
      </c>
    </row>
    <row r="48" spans="2:12" ht="13.5" thickBot="1">
      <c r="B48" s="2759">
        <v>50</v>
      </c>
      <c r="C48" s="2892">
        <v>12590</v>
      </c>
      <c r="D48" s="2893" t="s">
        <v>4168</v>
      </c>
      <c r="E48" s="2762" t="s">
        <v>4168</v>
      </c>
      <c r="F48" s="2762" t="s">
        <v>4168</v>
      </c>
      <c r="G48" s="2894" t="s">
        <v>4168</v>
      </c>
      <c r="H48" s="2895">
        <f>SUM(C48+D46+E17+F17+G35)</f>
        <v>13785</v>
      </c>
      <c r="I48" s="2785" t="e">
        <f t="shared" si="1"/>
        <v>#N/A</v>
      </c>
      <c r="J48" s="2896">
        <f t="shared" si="0"/>
        <v>275.7</v>
      </c>
      <c r="K48" s="2828" t="s">
        <v>4168</v>
      </c>
      <c r="L48" s="1"/>
    </row>
    <row r="49" spans="2:12" ht="7.35" customHeight="1">
      <c r="B49" s="2897"/>
      <c r="C49" s="2898"/>
      <c r="D49" s="2897"/>
      <c r="E49" s="2899"/>
      <c r="F49" s="2899"/>
      <c r="G49" s="2899"/>
      <c r="H49" s="2900"/>
      <c r="I49" s="2900"/>
      <c r="J49" s="2901"/>
      <c r="K49" s="2897"/>
      <c r="L49" s="1"/>
    </row>
    <row r="50" spans="2:12">
      <c r="B50" s="3088" t="s">
        <v>4169</v>
      </c>
      <c r="C50" s="3089"/>
      <c r="D50" s="3089"/>
      <c r="E50" s="3089"/>
      <c r="F50" s="3089"/>
      <c r="G50" s="3089"/>
      <c r="H50" s="3089"/>
      <c r="I50" s="3089"/>
      <c r="J50" s="3089"/>
      <c r="K50" s="3089"/>
    </row>
    <row r="51" spans="2:12">
      <c r="B51" s="3090"/>
      <c r="C51" s="3090"/>
      <c r="D51" s="3090"/>
      <c r="E51" s="3090"/>
      <c r="F51" s="3090"/>
      <c r="G51" s="3090"/>
      <c r="H51" s="3090"/>
      <c r="I51" s="3090"/>
      <c r="J51" s="3090"/>
      <c r="K51" s="3090"/>
    </row>
  </sheetData>
  <mergeCells count="6">
    <mergeCell ref="B50:K51"/>
    <mergeCell ref="B2:K2"/>
    <mergeCell ref="B3:K3"/>
    <mergeCell ref="B4:C4"/>
    <mergeCell ref="D4:G4"/>
    <mergeCell ref="H4:K4"/>
  </mergeCells>
  <pageMargins left="0.7" right="0.7" top="0.75" bottom="0.75" header="0.3" footer="0.3"/>
  <pageSetup scale="87" orientation="portrait" r:id="rId1"/>
  <headerFooter alignWithMargins="0"/>
</worksheet>
</file>

<file path=xl/worksheets/sheet33.xml><?xml version="1.0" encoding="utf-8"?>
<worksheet xmlns="http://schemas.openxmlformats.org/spreadsheetml/2006/main" xmlns:r="http://schemas.openxmlformats.org/officeDocument/2006/relationships">
  <sheetPr codeName="Sheet22">
    <pageSetUpPr fitToPage="1"/>
  </sheetPr>
  <dimension ref="B2:P52"/>
  <sheetViews>
    <sheetView showGridLines="0" zoomScaleSheetLayoutView="85" workbookViewId="0"/>
  </sheetViews>
  <sheetFormatPr defaultRowHeight="11.25" outlineLevelRow="1"/>
  <cols>
    <col min="1" max="5" width="2.7109375" style="1394" customWidth="1"/>
    <col min="6" max="6" width="26.7109375" style="1394" customWidth="1"/>
    <col min="7" max="11" width="11.7109375" style="1394" customWidth="1"/>
    <col min="12" max="14" width="2.7109375" style="1395" customWidth="1"/>
    <col min="15" max="16" width="10.85546875" style="1394" customWidth="1"/>
    <col min="17" max="16384" width="9.140625" style="1394"/>
  </cols>
  <sheetData>
    <row r="2" spans="2:16">
      <c r="B2" s="1420"/>
      <c r="C2" s="1420"/>
      <c r="D2" s="1420"/>
      <c r="E2" s="1420"/>
      <c r="F2" s="1420"/>
      <c r="G2" s="1420"/>
      <c r="H2" s="1420"/>
      <c r="I2" s="1420"/>
      <c r="J2" s="1420"/>
      <c r="K2" s="1420"/>
      <c r="L2" s="1420"/>
      <c r="M2" s="1420"/>
    </row>
    <row r="3" spans="2:16">
      <c r="B3" s="1420"/>
      <c r="M3" s="1420"/>
    </row>
    <row r="4" spans="2:16">
      <c r="B4" s="1420"/>
      <c r="D4" s="1404" t="s">
        <v>2530</v>
      </c>
      <c r="M4" s="1420"/>
    </row>
    <row r="5" spans="2:16">
      <c r="B5" s="1420"/>
      <c r="M5" s="1420"/>
    </row>
    <row r="6" spans="2:16">
      <c r="B6" s="1420"/>
      <c r="G6" s="1406" t="s">
        <v>1827</v>
      </c>
      <c r="H6" s="1406" t="s">
        <v>2467</v>
      </c>
      <c r="I6" s="1406" t="s">
        <v>813</v>
      </c>
      <c r="J6" s="1405"/>
      <c r="K6" s="1405"/>
      <c r="L6" s="1394"/>
      <c r="M6" s="1420"/>
      <c r="N6" s="1394"/>
    </row>
    <row r="7" spans="2:16">
      <c r="B7" s="1420"/>
      <c r="G7" s="1405"/>
      <c r="H7" s="1405"/>
      <c r="I7" s="1405"/>
      <c r="J7" s="1405"/>
      <c r="K7" s="1405"/>
      <c r="L7" s="1394"/>
      <c r="M7" s="1420"/>
      <c r="N7" s="1394"/>
    </row>
    <row r="8" spans="2:16">
      <c r="B8" s="1420"/>
      <c r="D8" s="1394" t="s">
        <v>2045</v>
      </c>
      <c r="G8" s="1843">
        <v>0.04</v>
      </c>
      <c r="H8" s="1843">
        <v>0.96</v>
      </c>
      <c r="I8" s="1417">
        <v>0</v>
      </c>
      <c r="J8" s="1417"/>
      <c r="K8" s="1417"/>
      <c r="L8" s="1394"/>
      <c r="M8" s="1420"/>
      <c r="N8" s="1394"/>
      <c r="O8" s="1395"/>
    </row>
    <row r="9" spans="2:16">
      <c r="B9" s="1420"/>
      <c r="G9" s="1395"/>
      <c r="H9" s="1395"/>
      <c r="I9" s="1395"/>
      <c r="J9" s="1395"/>
      <c r="K9" s="1395"/>
      <c r="L9" s="1394"/>
      <c r="M9" s="1420"/>
      <c r="N9" s="1394"/>
      <c r="O9" s="1395"/>
    </row>
    <row r="10" spans="2:16">
      <c r="B10" s="1420"/>
      <c r="D10" s="1394" t="s">
        <v>2048</v>
      </c>
      <c r="G10" s="1395"/>
      <c r="H10" s="1395"/>
      <c r="I10" s="1395"/>
      <c r="J10" s="1395"/>
      <c r="K10" s="1395"/>
      <c r="L10" s="1394"/>
      <c r="M10" s="1420"/>
      <c r="N10" s="1394"/>
      <c r="O10" s="1395"/>
    </row>
    <row r="11" spans="2:16" hidden="1" outlineLevel="1">
      <c r="B11" s="1420"/>
      <c r="G11" s="1395"/>
      <c r="H11" s="1395"/>
      <c r="I11" s="1395"/>
      <c r="J11" s="1395"/>
      <c r="K11" s="1395"/>
      <c r="L11" s="1394"/>
      <c r="M11" s="1420"/>
      <c r="N11" s="1394"/>
      <c r="O11" s="1395"/>
    </row>
    <row r="12" spans="2:16" hidden="1" outlineLevel="1">
      <c r="B12" s="1420"/>
      <c r="E12" s="1394" t="s">
        <v>2049</v>
      </c>
      <c r="G12" s="1395"/>
      <c r="H12" s="1395"/>
      <c r="I12" s="1395"/>
      <c r="J12" s="1395"/>
      <c r="K12" s="1395"/>
      <c r="M12" s="1420"/>
    </row>
    <row r="13" spans="2:16" hidden="1" outlineLevel="1">
      <c r="B13" s="1420"/>
      <c r="F13" s="1394" t="s">
        <v>3154</v>
      </c>
      <c r="G13" s="1844">
        <v>13500</v>
      </c>
      <c r="H13" s="1408">
        <v>16000</v>
      </c>
      <c r="I13" s="1408">
        <v>0</v>
      </c>
      <c r="J13" s="1408"/>
      <c r="K13" s="1408"/>
      <c r="L13" s="1397"/>
      <c r="M13" s="1421"/>
      <c r="N13" s="1397"/>
    </row>
    <row r="14" spans="2:16" hidden="1" outlineLevel="1">
      <c r="B14" s="1420"/>
      <c r="F14" s="1394" t="s">
        <v>3155</v>
      </c>
      <c r="G14" s="1409">
        <v>8000</v>
      </c>
      <c r="H14" s="1409">
        <v>0</v>
      </c>
      <c r="I14" s="1409">
        <v>0</v>
      </c>
      <c r="J14" s="1409"/>
      <c r="K14" s="1409"/>
      <c r="L14" s="1397"/>
      <c r="M14" s="1421"/>
      <c r="N14" s="1397"/>
    </row>
    <row r="15" spans="2:16" hidden="1" outlineLevel="1">
      <c r="B15" s="1420"/>
      <c r="F15" s="1394" t="s">
        <v>813</v>
      </c>
      <c r="G15" s="1409">
        <v>0</v>
      </c>
      <c r="H15" s="1409">
        <v>0</v>
      </c>
      <c r="I15" s="1409">
        <v>0</v>
      </c>
      <c r="J15" s="1409"/>
      <c r="K15" s="1409"/>
      <c r="L15" s="1397"/>
      <c r="M15" s="1421"/>
      <c r="N15" s="1397"/>
    </row>
    <row r="16" spans="2:16" hidden="1" outlineLevel="1">
      <c r="B16" s="1420"/>
      <c r="F16" s="1394" t="s">
        <v>1808</v>
      </c>
      <c r="G16" s="1415">
        <f>SUM(G13:G15)*$O$16</f>
        <v>1612.5</v>
      </c>
      <c r="H16" s="1415">
        <f>SUM(H13:H15)*$O$16</f>
        <v>1200</v>
      </c>
      <c r="I16" s="1415">
        <f>SUM(I13:I15)*$O$16</f>
        <v>0</v>
      </c>
      <c r="J16" s="1409"/>
      <c r="K16" s="1409"/>
      <c r="L16" s="1397"/>
      <c r="M16" s="1421"/>
      <c r="N16" s="1397"/>
      <c r="O16" s="1845">
        <v>7.4999999999999997E-2</v>
      </c>
      <c r="P16" s="1394" t="s">
        <v>2050</v>
      </c>
    </row>
    <row r="17" spans="2:15" collapsed="1">
      <c r="B17" s="1420"/>
      <c r="E17" s="1394" t="s">
        <v>2049</v>
      </c>
      <c r="G17" s="1412">
        <f>SUM(G13:G16)</f>
        <v>23112.5</v>
      </c>
      <c r="H17" s="1706">
        <f>IF(H33="Lease",0,SUM(H13:H16))</f>
        <v>17200</v>
      </c>
      <c r="I17" s="1412">
        <f>SUM(I13:I16)</f>
        <v>0</v>
      </c>
      <c r="J17" s="1412"/>
      <c r="K17" s="1412"/>
      <c r="L17" s="1397"/>
      <c r="M17" s="1421"/>
      <c r="N17" s="1397"/>
    </row>
    <row r="18" spans="2:15" hidden="1" outlineLevel="1">
      <c r="B18" s="1420"/>
      <c r="G18" s="1397"/>
      <c r="H18" s="1397"/>
      <c r="I18" s="1397"/>
      <c r="J18" s="1397"/>
      <c r="K18" s="1397"/>
      <c r="L18" s="1397"/>
      <c r="M18" s="1421"/>
      <c r="N18" s="1397"/>
    </row>
    <row r="19" spans="2:15" collapsed="1">
      <c r="B19" s="1420"/>
      <c r="E19" s="1394" t="s">
        <v>3157</v>
      </c>
      <c r="G19" s="1408">
        <v>5000</v>
      </c>
      <c r="H19" s="1408">
        <v>0</v>
      </c>
      <c r="I19" s="1408">
        <v>0</v>
      </c>
      <c r="J19" s="1408"/>
      <c r="K19" s="1408"/>
      <c r="L19" s="1397"/>
      <c r="M19" s="1421"/>
      <c r="N19" s="1397"/>
    </row>
    <row r="20" spans="2:15">
      <c r="B20" s="1420"/>
      <c r="G20" s="1396"/>
      <c r="H20" s="1396"/>
      <c r="I20" s="1396"/>
      <c r="J20" s="1396"/>
      <c r="K20" s="1396"/>
      <c r="L20" s="1397"/>
      <c r="M20" s="1421"/>
      <c r="N20" s="1397"/>
    </row>
    <row r="21" spans="2:15">
      <c r="B21" s="1420"/>
      <c r="D21" s="1394" t="s">
        <v>1834</v>
      </c>
      <c r="G21" s="1396"/>
      <c r="H21" s="1396"/>
      <c r="I21" s="1396"/>
      <c r="J21" s="1396"/>
      <c r="K21" s="1396"/>
      <c r="L21" s="1397"/>
      <c r="M21" s="1421"/>
      <c r="N21" s="1397"/>
    </row>
    <row r="22" spans="2:15" hidden="1" outlineLevel="1">
      <c r="B22" s="1420"/>
      <c r="G22" s="1396"/>
      <c r="H22" s="1396"/>
      <c r="I22" s="1396"/>
      <c r="J22" s="1396"/>
      <c r="K22" s="1396"/>
      <c r="L22" s="1397"/>
      <c r="M22" s="1421"/>
      <c r="N22" s="1397"/>
    </row>
    <row r="23" spans="2:15" collapsed="1">
      <c r="B23" s="1420"/>
      <c r="E23" s="1394" t="s">
        <v>2044</v>
      </c>
      <c r="G23" s="1416">
        <v>450</v>
      </c>
      <c r="H23" s="1416">
        <v>1150</v>
      </c>
      <c r="I23" s="1416">
        <v>0</v>
      </c>
      <c r="J23" s="1416"/>
      <c r="K23" s="1416"/>
      <c r="L23" s="1397"/>
      <c r="M23" s="1421"/>
      <c r="N23" s="1397"/>
    </row>
    <row r="24" spans="2:15" hidden="1" outlineLevel="1">
      <c r="B24" s="1420"/>
      <c r="G24" s="1397"/>
      <c r="H24" s="1397"/>
      <c r="I24" s="1397"/>
      <c r="J24" s="1397"/>
      <c r="K24" s="1397"/>
      <c r="L24" s="1397"/>
      <c r="M24" s="1421"/>
      <c r="N24" s="1397"/>
    </row>
    <row r="25" spans="2:15" hidden="1" outlineLevel="1">
      <c r="B25" s="1420"/>
      <c r="E25" s="1394" t="s">
        <v>3160</v>
      </c>
      <c r="G25" s="1396"/>
      <c r="H25" s="1396"/>
      <c r="I25" s="1396"/>
      <c r="J25" s="1396"/>
      <c r="K25" s="1396"/>
      <c r="L25" s="1397"/>
      <c r="M25" s="1421"/>
      <c r="N25" s="1397"/>
    </row>
    <row r="26" spans="2:15" hidden="1" outlineLevel="1">
      <c r="B26" s="1420"/>
      <c r="F26" s="1400" t="s">
        <v>2462</v>
      </c>
      <c r="G26" s="1844">
        <v>683</v>
      </c>
      <c r="H26" s="1408">
        <f>G26</f>
        <v>683</v>
      </c>
      <c r="I26" s="1401"/>
      <c r="J26" s="1401"/>
      <c r="K26" s="1401"/>
      <c r="L26" s="1397"/>
      <c r="M26" s="1421"/>
      <c r="N26" s="1397"/>
      <c r="O26" s="1848" t="s">
        <v>2408</v>
      </c>
    </row>
    <row r="27" spans="2:15" hidden="1" outlineLevel="1">
      <c r="B27" s="1420"/>
      <c r="F27" s="1400" t="s">
        <v>2463</v>
      </c>
      <c r="G27" s="1409">
        <v>0</v>
      </c>
      <c r="H27" s="1409"/>
      <c r="I27" s="1401"/>
      <c r="J27" s="1401"/>
      <c r="K27" s="1401"/>
      <c r="L27" s="1397"/>
      <c r="M27" s="1421"/>
      <c r="N27" s="1397"/>
    </row>
    <row r="28" spans="2:15" hidden="1" outlineLevel="1">
      <c r="B28" s="1420"/>
      <c r="F28" s="1400" t="s">
        <v>2464</v>
      </c>
      <c r="G28" s="1846">
        <v>32</v>
      </c>
      <c r="H28" s="1409">
        <f>G28</f>
        <v>32</v>
      </c>
      <c r="I28" s="1401"/>
      <c r="J28" s="1401"/>
      <c r="K28" s="1401"/>
      <c r="L28" s="1397"/>
      <c r="M28" s="1421"/>
      <c r="N28" s="1397"/>
    </row>
    <row r="29" spans="2:15" hidden="1" outlineLevel="1">
      <c r="B29" s="1420"/>
      <c r="F29" s="1400" t="s">
        <v>813</v>
      </c>
      <c r="G29" s="1847">
        <v>91</v>
      </c>
      <c r="H29" s="1415">
        <f>G29</f>
        <v>91</v>
      </c>
      <c r="I29" s="1401"/>
      <c r="J29" s="1401"/>
      <c r="K29" s="1401"/>
      <c r="L29" s="1397"/>
      <c r="M29" s="1421"/>
      <c r="N29" s="1397"/>
    </row>
    <row r="30" spans="2:15" collapsed="1">
      <c r="B30" s="1420"/>
      <c r="E30" s="1394" t="s">
        <v>1835</v>
      </c>
      <c r="F30" s="1400"/>
      <c r="G30" s="1413">
        <f>SUM(G26:G29)</f>
        <v>806</v>
      </c>
      <c r="H30" s="1413">
        <f>SUM(H26:H29)</f>
        <v>806</v>
      </c>
      <c r="I30" s="1398"/>
      <c r="J30" s="1398"/>
      <c r="K30" s="1398"/>
      <c r="L30" s="1397"/>
      <c r="M30" s="1421"/>
      <c r="N30" s="1397"/>
    </row>
    <row r="31" spans="2:15">
      <c r="B31" s="1420"/>
      <c r="G31" s="1398"/>
      <c r="H31" s="1398"/>
      <c r="I31" s="1398"/>
      <c r="J31" s="1398"/>
      <c r="K31" s="1398"/>
      <c r="L31" s="1397"/>
      <c r="M31" s="1421"/>
      <c r="N31" s="1397"/>
    </row>
    <row r="32" spans="2:15">
      <c r="B32" s="1420"/>
      <c r="D32" s="1394" t="s">
        <v>2047</v>
      </c>
      <c r="G32" s="1398"/>
      <c r="H32" s="1398"/>
      <c r="I32" s="1398"/>
      <c r="J32" s="1398"/>
      <c r="K32" s="1398"/>
      <c r="L32" s="1397"/>
      <c r="M32" s="1421"/>
      <c r="N32" s="1397"/>
    </row>
    <row r="33" spans="2:16">
      <c r="B33" s="1420"/>
      <c r="E33" s="1394" t="s">
        <v>1801</v>
      </c>
      <c r="G33" s="1419"/>
      <c r="H33" s="1707" t="s">
        <v>1803</v>
      </c>
      <c r="I33" s="1419"/>
      <c r="J33" s="1419"/>
      <c r="K33" s="1419"/>
      <c r="L33" s="1394"/>
      <c r="M33" s="1420"/>
      <c r="N33" s="1394"/>
      <c r="O33" s="109"/>
    </row>
    <row r="34" spans="2:16">
      <c r="B34" s="1420"/>
      <c r="E34" s="1394" t="s">
        <v>3158</v>
      </c>
      <c r="G34" s="1410" t="s">
        <v>1800</v>
      </c>
      <c r="H34" s="1407">
        <v>1.7399999999999999E-2</v>
      </c>
      <c r="I34" s="1411">
        <v>0</v>
      </c>
      <c r="J34" s="1411"/>
      <c r="K34" s="1411"/>
      <c r="L34" s="1397"/>
      <c r="M34" s="1421"/>
      <c r="N34" s="1397"/>
    </row>
    <row r="35" spans="2:16">
      <c r="B35" s="1420"/>
      <c r="E35" s="1394" t="s">
        <v>3100</v>
      </c>
      <c r="G35" s="1412"/>
      <c r="H35" s="1412">
        <f>IF(H33="Lease",H34*H17,0)</f>
        <v>0</v>
      </c>
      <c r="I35" s="1412">
        <f>IF(I34=0,0,I17/(12*I34))</f>
        <v>0</v>
      </c>
      <c r="J35" s="1412"/>
      <c r="K35" s="1412"/>
      <c r="L35" s="1397"/>
      <c r="M35" s="1421"/>
      <c r="N35" s="1397"/>
    </row>
    <row r="36" spans="2:16">
      <c r="B36" s="1420"/>
      <c r="G36" s="1395"/>
      <c r="H36" s="1395"/>
      <c r="I36" s="1395"/>
      <c r="J36" s="1395"/>
      <c r="K36" s="1395"/>
      <c r="L36" s="1397"/>
      <c r="M36" s="1421"/>
      <c r="N36" s="1397"/>
    </row>
    <row r="37" spans="2:16">
      <c r="B37" s="1420"/>
      <c r="D37" s="1394" t="s">
        <v>1804</v>
      </c>
      <c r="G37" s="1398"/>
      <c r="H37" s="1398"/>
      <c r="I37" s="1398"/>
      <c r="J37" s="1398"/>
      <c r="K37" s="1398"/>
      <c r="L37" s="1397"/>
      <c r="M37" s="1421"/>
      <c r="N37" s="1397"/>
    </row>
    <row r="38" spans="2:16">
      <c r="B38" s="1420"/>
      <c r="E38" s="1394" t="s">
        <v>1836</v>
      </c>
      <c r="G38" s="1413">
        <f>G19</f>
        <v>5000</v>
      </c>
      <c r="H38" s="1413">
        <f>H19</f>
        <v>0</v>
      </c>
      <c r="I38" s="1413">
        <f>I19</f>
        <v>0</v>
      </c>
      <c r="J38" s="1398"/>
      <c r="K38" s="1398"/>
      <c r="L38" s="1397"/>
      <c r="M38" s="1421"/>
      <c r="N38" s="1397"/>
    </row>
    <row r="39" spans="2:16">
      <c r="B39" s="1420"/>
      <c r="E39" s="1394" t="s">
        <v>1837</v>
      </c>
      <c r="G39" s="1418">
        <f>G30+G23</f>
        <v>1256</v>
      </c>
      <c r="H39" s="1418">
        <f>H23+H30+IF(H33="Lease",H35,0)</f>
        <v>1956</v>
      </c>
      <c r="I39" s="1418">
        <f>I23+I30+IF(I33="Lease",I35,0)</f>
        <v>0</v>
      </c>
      <c r="J39" s="1398"/>
      <c r="K39" s="1398"/>
      <c r="L39" s="1397"/>
      <c r="M39" s="1421"/>
      <c r="N39" s="1397"/>
    </row>
    <row r="40" spans="2:16">
      <c r="B40" s="1420"/>
      <c r="E40" s="1394" t="s">
        <v>2500</v>
      </c>
      <c r="G40" s="1418">
        <f>G17</f>
        <v>23112.5</v>
      </c>
      <c r="H40" s="1418">
        <f>IF(H33="Lease",0,H17)</f>
        <v>17200</v>
      </c>
      <c r="I40" s="1418">
        <f>IF(I33="Lease",0,I17)</f>
        <v>0</v>
      </c>
      <c r="J40" s="1398"/>
      <c r="K40" s="1398"/>
      <c r="L40" s="1397"/>
      <c r="M40" s="1421"/>
      <c r="N40" s="1397"/>
    </row>
    <row r="41" spans="2:16">
      <c r="B41" s="1420"/>
      <c r="E41" s="1394" t="s">
        <v>3764</v>
      </c>
      <c r="G41" s="1413">
        <f>G17/(7*12)</f>
        <v>275.14880952380952</v>
      </c>
      <c r="H41" s="1413">
        <f>IF(H33="Lease",0,H17/(7*12))</f>
        <v>204.76190476190476</v>
      </c>
      <c r="I41" s="1413">
        <f>IF(I33="Lease",0,I17/(7*12))</f>
        <v>0</v>
      </c>
      <c r="J41" s="1398"/>
      <c r="K41" s="1398"/>
      <c r="L41" s="1397"/>
      <c r="M41" s="1421"/>
      <c r="N41" s="1397"/>
      <c r="O41" s="1394" t="s">
        <v>3765</v>
      </c>
    </row>
    <row r="42" spans="2:16">
      <c r="B42" s="1420"/>
      <c r="E42" s="1402"/>
      <c r="F42" s="1402"/>
      <c r="G42" s="1403"/>
      <c r="H42" s="1398"/>
      <c r="I42" s="1398"/>
      <c r="J42" s="1398"/>
      <c r="K42" s="1398"/>
      <c r="L42" s="1397"/>
      <c r="M42" s="1421"/>
      <c r="N42" s="1397"/>
    </row>
    <row r="43" spans="2:16">
      <c r="B43" s="1420"/>
      <c r="D43" s="1394" t="s">
        <v>1804</v>
      </c>
      <c r="G43" s="1422" t="s">
        <v>1090</v>
      </c>
      <c r="H43" s="1422" t="s">
        <v>1091</v>
      </c>
      <c r="I43" s="1422" t="s">
        <v>2165</v>
      </c>
      <c r="J43" s="1422" t="s">
        <v>2166</v>
      </c>
      <c r="K43" s="1422" t="s">
        <v>2167</v>
      </c>
      <c r="M43" s="1420"/>
    </row>
    <row r="44" spans="2:16">
      <c r="B44" s="1420"/>
      <c r="E44" s="1394" t="s">
        <v>1807</v>
      </c>
      <c r="G44" s="1413">
        <f>SUMPRODUCT((G38:I38)*($G$8:$I$8))*(1+O44)</f>
        <v>284</v>
      </c>
      <c r="H44" s="1413">
        <f t="shared" ref="H44:K45" si="0">G44*(1+$O$45)</f>
        <v>289.68</v>
      </c>
      <c r="I44" s="1413">
        <f t="shared" si="0"/>
        <v>295.47360000000003</v>
      </c>
      <c r="J44" s="1413">
        <f t="shared" si="0"/>
        <v>301.38307200000003</v>
      </c>
      <c r="K44" s="1413">
        <f t="shared" si="0"/>
        <v>307.41073344000006</v>
      </c>
      <c r="M44" s="1420"/>
      <c r="O44" s="1414">
        <f>Txs!W9+Txs!W10</f>
        <v>0.42</v>
      </c>
      <c r="P44" s="1394" t="s">
        <v>1812</v>
      </c>
    </row>
    <row r="45" spans="2:16">
      <c r="B45" s="1420"/>
      <c r="E45" s="1394" t="s">
        <v>1811</v>
      </c>
      <c r="G45" s="1418">
        <f>SUMPRODUCT((G39:I39)*($G$8:$I$8))</f>
        <v>1928</v>
      </c>
      <c r="H45" s="1418">
        <f t="shared" si="0"/>
        <v>1966.56</v>
      </c>
      <c r="I45" s="1418">
        <f t="shared" si="0"/>
        <v>2005.8912</v>
      </c>
      <c r="J45" s="1418">
        <f t="shared" si="0"/>
        <v>2046.009024</v>
      </c>
      <c r="K45" s="1418">
        <f t="shared" si="0"/>
        <v>2086.92920448</v>
      </c>
      <c r="M45" s="1420"/>
      <c r="O45" s="1414">
        <f>'2.3 Expenses'!U78</f>
        <v>0.02</v>
      </c>
      <c r="P45" s="1394" t="s">
        <v>1813</v>
      </c>
    </row>
    <row r="46" spans="2:16">
      <c r="B46" s="1420"/>
      <c r="E46" s="1394" t="s">
        <v>1805</v>
      </c>
      <c r="G46" s="1418">
        <f>SUMPRODUCT((G40:I40)*($G$8:$I$8))</f>
        <v>17436.5</v>
      </c>
      <c r="H46" s="1418"/>
      <c r="I46" s="1418"/>
      <c r="J46" s="1418"/>
      <c r="K46" s="1418"/>
      <c r="M46" s="1420"/>
    </row>
    <row r="47" spans="2:16">
      <c r="B47" s="1420"/>
      <c r="E47" s="1394" t="s">
        <v>1806</v>
      </c>
      <c r="G47" s="1418">
        <f>SUMPRODUCT((G41:I41)*($G$8:$I$8))</f>
        <v>207.57738095238093</v>
      </c>
      <c r="H47" s="1418"/>
      <c r="I47" s="1418"/>
      <c r="J47" s="1418"/>
      <c r="K47" s="1418"/>
      <c r="M47" s="1420"/>
    </row>
    <row r="48" spans="2:16">
      <c r="B48" s="1420"/>
      <c r="M48" s="1420"/>
    </row>
    <row r="49" spans="2:13">
      <c r="B49" s="1420"/>
      <c r="C49" s="1420"/>
      <c r="D49" s="1420"/>
      <c r="E49" s="1420"/>
      <c r="F49" s="1420"/>
      <c r="G49" s="1420"/>
      <c r="H49" s="1420"/>
      <c r="I49" s="1420"/>
      <c r="J49" s="1420"/>
      <c r="K49" s="1420"/>
      <c r="L49" s="1420"/>
      <c r="M49" s="1420"/>
    </row>
    <row r="51" spans="2:13" hidden="1" outlineLevel="1">
      <c r="D51" s="1399" t="s">
        <v>1937</v>
      </c>
    </row>
    <row r="52" spans="2:13" collapsed="1"/>
  </sheetData>
  <sheetProtection sheet="1"/>
  <phoneticPr fontId="32" type="noConversion"/>
  <dataValidations disablePrompts="1" count="1">
    <dataValidation type="list" allowBlank="1" showInputMessage="1" showErrorMessage="1" sqref="H33">
      <formula1>ChooseBuyLease</formula1>
    </dataValidation>
  </dataValidations>
  <printOptions horizontalCentered="1"/>
  <pageMargins left="0.75" right="0.75" top="1" bottom="1" header="0.5" footer="0.5"/>
  <pageSetup scale="89" orientation="portrait" r:id="rId1"/>
  <headerFooter alignWithMargins="0">
    <oddHeader>&amp;C&amp;F</oddHeader>
    <oddFooter>&amp;L&amp;A&amp;CPage &amp;P of &amp;N&amp;R&amp;D &amp;T</oddFooter>
  </headerFooter>
</worksheet>
</file>

<file path=xl/worksheets/sheet34.xml><?xml version="1.0" encoding="utf-8"?>
<worksheet xmlns="http://schemas.openxmlformats.org/spreadsheetml/2006/main" xmlns:r="http://schemas.openxmlformats.org/officeDocument/2006/relationships">
  <sheetPr codeName="Sheet16">
    <tabColor indexed="41"/>
    <pageSetUpPr autoPageBreaks="0"/>
  </sheetPr>
  <dimension ref="A2:AP152"/>
  <sheetViews>
    <sheetView showGridLines="0" zoomScale="70" zoomScaleNormal="70" workbookViewId="0">
      <pane xSplit="7" ySplit="17" topLeftCell="H18" activePane="bottomRight" state="frozen"/>
      <selection pane="topRight" activeCell="H1" sqref="H1"/>
      <selection pane="bottomLeft" activeCell="A17" sqref="A17"/>
      <selection pane="bottomRight" activeCell="I2" sqref="I2"/>
    </sheetView>
  </sheetViews>
  <sheetFormatPr defaultRowHeight="12.75" outlineLevelRow="1" outlineLevelCol="1"/>
  <cols>
    <col min="1" max="3" width="2.7109375" style="46" customWidth="1"/>
    <col min="4" max="4" width="12.7109375" style="46" customWidth="1"/>
    <col min="5" max="5" width="15.7109375" style="46" customWidth="1"/>
    <col min="6" max="6" width="10.7109375" style="46" customWidth="1"/>
    <col min="7" max="7" width="9" style="46" customWidth="1"/>
    <col min="8" max="8" width="4.7109375" style="266" customWidth="1"/>
    <col min="9" max="9" width="8.7109375" style="267" customWidth="1"/>
    <col min="10" max="10" width="12.7109375" style="46" customWidth="1"/>
    <col min="11" max="11" width="10.7109375" style="46" customWidth="1"/>
    <col min="12" max="12" width="12.7109375" style="46" customWidth="1"/>
    <col min="13" max="13" width="1.7109375" style="46" hidden="1" customWidth="1" outlineLevel="1"/>
    <col min="14" max="14" width="4.7109375" style="266" hidden="1" customWidth="1" outlineLevel="1"/>
    <col min="15" max="15" width="8.7109375" style="267" hidden="1" customWidth="1" outlineLevel="1"/>
    <col min="16" max="16" width="12.7109375" style="46" hidden="1" customWidth="1" outlineLevel="1"/>
    <col min="17" max="17" width="10.7109375" style="46" hidden="1" customWidth="1" outlineLevel="1"/>
    <col min="18" max="18" width="12.7109375" style="46" hidden="1" customWidth="1" outlineLevel="1"/>
    <col min="19" max="19" width="1.7109375" style="46" hidden="1" customWidth="1" outlineLevel="1"/>
    <col min="20" max="20" width="4.7109375" style="266" customWidth="1" collapsed="1"/>
    <col min="21" max="21" width="12.7109375" style="267" customWidth="1"/>
    <col min="22" max="22" width="12.7109375" style="46" customWidth="1"/>
    <col min="23" max="23" width="10.7109375" style="46" customWidth="1"/>
    <col min="24" max="24" width="12.7109375" style="46" customWidth="1"/>
    <col min="25" max="25" width="1.7109375" style="46" customWidth="1"/>
    <col min="26" max="26" width="13.140625" style="1047" customWidth="1"/>
    <col min="27" max="27" width="13" style="46" customWidth="1"/>
    <col min="28" max="28" width="11.5703125" style="46" customWidth="1"/>
    <col min="29" max="29" width="1.7109375" style="46" hidden="1" customWidth="1" outlineLevel="1"/>
    <col min="30" max="30" width="4.7109375" style="266" hidden="1" customWidth="1" outlineLevel="1"/>
    <col min="31" max="31" width="8.7109375" style="267" hidden="1" customWidth="1" outlineLevel="1"/>
    <col min="32" max="32" width="12.7109375" style="46" hidden="1" customWidth="1" outlineLevel="1"/>
    <col min="33" max="33" width="10.7109375" style="46" hidden="1" customWidth="1" outlineLevel="1"/>
    <col min="34" max="34" width="12.7109375" style="46" hidden="1" customWidth="1" outlineLevel="1"/>
    <col min="35" max="35" width="55.7109375" style="46" customWidth="1" collapsed="1"/>
    <col min="36" max="38" width="2.7109375" style="46" customWidth="1"/>
    <col min="39" max="16384" width="9.140625" style="46"/>
  </cols>
  <sheetData>
    <row r="2" spans="1:42" s="177" customFormat="1">
      <c r="A2" s="1474"/>
      <c r="B2" s="175"/>
      <c r="C2" s="1476" t="s">
        <v>2535</v>
      </c>
      <c r="D2" s="278"/>
      <c r="E2" s="254"/>
      <c r="F2" s="254"/>
      <c r="G2" s="254"/>
      <c r="H2" s="257"/>
      <c r="I2" s="258"/>
      <c r="J2" s="258"/>
      <c r="K2" s="254"/>
      <c r="L2" s="254"/>
      <c r="M2" s="254"/>
      <c r="N2" s="257"/>
      <c r="O2" s="258"/>
      <c r="P2" s="1475"/>
      <c r="Q2" s="254"/>
      <c r="R2" s="254"/>
      <c r="S2" s="254"/>
      <c r="T2" s="257"/>
      <c r="U2" s="258"/>
      <c r="V2" s="1475"/>
      <c r="W2" s="254"/>
      <c r="X2" s="254"/>
      <c r="Y2" s="254"/>
      <c r="Z2" s="858"/>
      <c r="AA2" s="254"/>
      <c r="AB2" s="254"/>
      <c r="AC2" s="254"/>
      <c r="AD2" s="257"/>
      <c r="AE2" s="258"/>
      <c r="AF2" s="1475"/>
      <c r="AG2" s="254"/>
      <c r="AH2" s="254"/>
      <c r="AI2" s="254"/>
      <c r="AJ2" s="254"/>
      <c r="AK2" s="254"/>
    </row>
    <row r="3" spans="1:42" s="177" customFormat="1" ht="13.5" thickBot="1">
      <c r="B3" s="254"/>
      <c r="D3" s="279"/>
      <c r="E3" s="279"/>
      <c r="F3" s="279"/>
      <c r="G3" s="279"/>
      <c r="H3" s="259"/>
      <c r="I3" s="260"/>
      <c r="J3" s="279"/>
      <c r="K3" s="279"/>
      <c r="L3" s="279"/>
      <c r="M3" s="279"/>
      <c r="N3" s="259"/>
      <c r="O3" s="260"/>
      <c r="P3" s="279"/>
      <c r="Q3" s="279"/>
      <c r="R3" s="279"/>
      <c r="S3" s="279"/>
      <c r="T3" s="259"/>
      <c r="U3" s="260"/>
      <c r="V3" s="279"/>
      <c r="W3" s="279"/>
      <c r="X3" s="279"/>
      <c r="Y3" s="279"/>
      <c r="Z3" s="2662"/>
      <c r="AA3" s="279"/>
      <c r="AB3" s="279"/>
      <c r="AC3" s="279"/>
      <c r="AD3" s="259"/>
      <c r="AE3" s="260"/>
      <c r="AF3" s="279"/>
      <c r="AG3" s="279"/>
      <c r="AH3" s="279"/>
      <c r="AI3" s="279"/>
      <c r="AK3" s="254"/>
    </row>
    <row r="4" spans="1:42" s="176" customFormat="1">
      <c r="B4" s="254"/>
      <c r="C4" s="177"/>
      <c r="D4" s="515" t="s">
        <v>3339</v>
      </c>
      <c r="E4" s="516"/>
      <c r="F4" s="516"/>
      <c r="G4" s="517"/>
      <c r="H4" s="518"/>
      <c r="I4" s="609" t="str">
        <f>IF('1.0 Summary'!E4&gt;0,'1.0 Summary'!E4, "")</f>
        <v>Southbend Downtown</v>
      </c>
      <c r="J4" s="517"/>
      <c r="K4" s="517"/>
      <c r="L4" s="610"/>
      <c r="M4" s="521"/>
      <c r="N4" s="518"/>
      <c r="O4" s="519"/>
      <c r="P4" s="609"/>
      <c r="Q4" s="517"/>
      <c r="R4" s="517"/>
      <c r="S4" s="521"/>
      <c r="T4" s="518"/>
      <c r="U4" s="519"/>
      <c r="V4" s="2567"/>
      <c r="W4" s="517"/>
      <c r="X4" s="521"/>
      <c r="Y4" s="521"/>
      <c r="Z4" s="2663"/>
      <c r="AA4" s="521"/>
      <c r="AB4" s="521"/>
      <c r="AC4" s="521"/>
      <c r="AD4" s="518"/>
      <c r="AE4" s="519"/>
      <c r="AF4" s="520"/>
      <c r="AG4" s="517"/>
      <c r="AH4" s="521"/>
      <c r="AI4" s="942"/>
      <c r="AK4" s="179"/>
      <c r="AM4" s="177"/>
      <c r="AN4" s="177"/>
      <c r="AO4" s="177"/>
      <c r="AP4" s="177"/>
    </row>
    <row r="5" spans="1:42" s="176" customFormat="1">
      <c r="B5" s="254"/>
      <c r="C5" s="177"/>
      <c r="D5" s="1466" t="s">
        <v>2665</v>
      </c>
      <c r="E5" s="1467">
        <f>IF(Facility&gt;0, Facility, "To be assigned")</f>
        <v>11032</v>
      </c>
      <c r="F5" s="280"/>
      <c r="G5" s="274"/>
      <c r="H5" s="255"/>
      <c r="I5" s="611"/>
      <c r="J5" s="274"/>
      <c r="K5" s="255"/>
      <c r="L5" s="612"/>
      <c r="M5" s="281"/>
      <c r="N5" s="255"/>
      <c r="O5" s="613"/>
      <c r="P5" s="2658" t="s">
        <v>606</v>
      </c>
      <c r="Q5" s="274">
        <f>BuildoutYear</f>
        <v>0</v>
      </c>
      <c r="R5" s="614"/>
      <c r="S5" s="281"/>
      <c r="T5" s="255"/>
      <c r="U5" s="2613" t="s">
        <v>4086</v>
      </c>
      <c r="V5" s="2614"/>
      <c r="W5" s="2615"/>
      <c r="X5" s="281"/>
      <c r="Y5" s="281"/>
      <c r="Z5" s="2664"/>
      <c r="AA5" s="281"/>
      <c r="AB5" s="281"/>
      <c r="AC5" s="281"/>
      <c r="AD5" s="255"/>
      <c r="AE5" s="613"/>
      <c r="AF5" s="615"/>
      <c r="AG5" s="274"/>
      <c r="AH5" s="281"/>
      <c r="AI5" s="616"/>
      <c r="AK5" s="179"/>
      <c r="AM5" s="1732"/>
      <c r="AN5" s="177"/>
      <c r="AO5" s="177"/>
      <c r="AP5" s="177"/>
    </row>
    <row r="6" spans="1:42" s="176" customFormat="1">
      <c r="B6" s="254"/>
      <c r="C6" s="177"/>
      <c r="D6" s="1464"/>
      <c r="E6" s="612"/>
      <c r="F6" s="280"/>
      <c r="G6" s="274"/>
      <c r="H6" s="255"/>
      <c r="I6" s="255"/>
      <c r="J6" s="255"/>
      <c r="K6" s="2673" t="s">
        <v>3324</v>
      </c>
      <c r="L6" s="612"/>
      <c r="M6" s="281"/>
      <c r="N6" s="255"/>
      <c r="O6" s="613"/>
      <c r="P6" s="255"/>
      <c r="Q6" s="2673" t="s">
        <v>3324</v>
      </c>
      <c r="R6" s="614"/>
      <c r="S6" s="281"/>
      <c r="T6" s="255"/>
      <c r="U6" s="613"/>
      <c r="V6" s="255"/>
      <c r="W6" s="2673" t="s">
        <v>4092</v>
      </c>
      <c r="X6" s="281"/>
      <c r="Y6" s="281"/>
      <c r="Z6" s="2664"/>
      <c r="AA6" s="281"/>
      <c r="AB6" s="281" t="s">
        <v>3932</v>
      </c>
      <c r="AC6" s="281"/>
      <c r="AD6" s="255"/>
      <c r="AE6" s="613"/>
      <c r="AF6" s="281" t="str">
        <f>$AD$14</f>
        <v>Total (Startup + Buildout)</v>
      </c>
      <c r="AG6" s="274"/>
      <c r="AH6" s="281"/>
      <c r="AI6" s="616"/>
      <c r="AK6" s="179"/>
      <c r="AM6" s="1537"/>
      <c r="AN6" s="177"/>
      <c r="AO6" s="177"/>
      <c r="AP6" s="177"/>
    </row>
    <row r="7" spans="1:42" s="176" customFormat="1">
      <c r="B7" s="179"/>
      <c r="D7" s="522"/>
      <c r="E7" s="280"/>
      <c r="F7" s="280"/>
      <c r="G7" s="274"/>
      <c r="H7" s="255"/>
      <c r="I7" s="1468" t="s">
        <v>3195</v>
      </c>
      <c r="J7" s="1468" t="s">
        <v>1394</v>
      </c>
      <c r="K7" s="2674" t="s">
        <v>4087</v>
      </c>
      <c r="L7" s="281"/>
      <c r="M7" s="281"/>
      <c r="N7" s="255"/>
      <c r="O7" s="54"/>
      <c r="P7" s="1468" t="s">
        <v>1394</v>
      </c>
      <c r="Q7" s="2674" t="s">
        <v>4091</v>
      </c>
      <c r="R7" s="281"/>
      <c r="S7" s="281"/>
      <c r="T7" s="255"/>
      <c r="U7" s="2568" t="s">
        <v>3195</v>
      </c>
      <c r="V7" s="2568" t="s">
        <v>1394</v>
      </c>
      <c r="W7" s="2675" t="s">
        <v>4087</v>
      </c>
      <c r="X7" s="281"/>
      <c r="Y7" s="281"/>
      <c r="Z7" s="2664"/>
      <c r="AA7" s="281"/>
      <c r="AB7" s="2676" t="s">
        <v>4087</v>
      </c>
      <c r="AC7" s="281"/>
      <c r="AD7" s="255"/>
      <c r="AE7" s="53"/>
      <c r="AF7" s="53"/>
      <c r="AG7" s="178"/>
      <c r="AH7" s="281"/>
      <c r="AI7" s="523"/>
      <c r="AK7" s="179"/>
      <c r="AM7" s="1537"/>
      <c r="AN7" s="177"/>
      <c r="AO7" s="177"/>
      <c r="AP7" s="177"/>
    </row>
    <row r="8" spans="1:42" s="176" customFormat="1">
      <c r="B8" s="179"/>
      <c r="D8" s="524" t="s">
        <v>3928</v>
      </c>
      <c r="E8" s="281"/>
      <c r="F8" s="281"/>
      <c r="G8" s="274"/>
      <c r="H8" s="255"/>
      <c r="I8" s="2569">
        <f>'2.3 Expenses'!AB20</f>
        <v>0</v>
      </c>
      <c r="J8" s="2569">
        <f>'2.3 Expenses'!AE20</f>
        <v>8000</v>
      </c>
      <c r="K8" s="2569">
        <f>I8+J8</f>
        <v>8000</v>
      </c>
      <c r="M8" s="280"/>
      <c r="N8" s="255"/>
      <c r="O8" s="1724"/>
      <c r="P8" s="1787"/>
      <c r="Q8" s="1474">
        <f>K8+P8</f>
        <v>8000</v>
      </c>
      <c r="R8" s="2151"/>
      <c r="S8" s="612"/>
      <c r="T8" s="2166"/>
      <c r="U8" s="2610">
        <f>'2.3 Expenses'!AB21</f>
        <v>0</v>
      </c>
      <c r="V8" s="2610">
        <f>'2.3 Expenses'!AE21</f>
        <v>1000</v>
      </c>
      <c r="W8" s="2610">
        <f>U8+V8</f>
        <v>1000</v>
      </c>
      <c r="X8" s="280"/>
      <c r="Y8" s="612"/>
      <c r="Z8" s="2665"/>
      <c r="AA8" s="612"/>
      <c r="AB8" s="2677">
        <f>K8+W8</f>
        <v>9000</v>
      </c>
      <c r="AC8" s="612"/>
      <c r="AD8" s="2166"/>
      <c r="AE8" s="1787"/>
      <c r="AF8" s="1787">
        <f>'2.3 Expenses'!$T$20</f>
        <v>9000</v>
      </c>
      <c r="AG8" s="2151">
        <f>AF8/AF9</f>
        <v>375</v>
      </c>
      <c r="AH8" s="2617" t="s">
        <v>4071</v>
      </c>
      <c r="AI8" s="2618"/>
      <c r="AK8" s="179"/>
      <c r="AM8" s="177"/>
      <c r="AN8" s="177"/>
      <c r="AO8" s="177"/>
      <c r="AP8" s="177"/>
    </row>
    <row r="9" spans="1:42" s="177" customFormat="1">
      <c r="B9" s="179"/>
      <c r="C9" s="176"/>
      <c r="D9" s="2571" t="s">
        <v>4128</v>
      </c>
      <c r="E9" s="280"/>
      <c r="F9" s="280"/>
      <c r="G9" s="274"/>
      <c r="H9" s="255"/>
      <c r="I9" s="54">
        <f>IF(Type="DeNovo", 0,'2.0 Patients'!F8)</f>
        <v>0</v>
      </c>
      <c r="J9" s="1787">
        <f>IF(Type="DeNovo",Openstation,(Openstation-I9))</f>
        <v>23</v>
      </c>
      <c r="K9" s="54">
        <f>IF(Openstation=0,0,I9+J9+IsolationStations)</f>
        <v>24</v>
      </c>
      <c r="M9" s="283"/>
      <c r="N9" s="255"/>
      <c r="O9" s="1724"/>
      <c r="P9" s="1787">
        <f>IF(BuildoutYear=0,0,'2.0 Patients'!M8-'2.0 Patients'!G8)</f>
        <v>0</v>
      </c>
      <c r="Q9" s="1474">
        <f>K9+P9</f>
        <v>24</v>
      </c>
      <c r="R9" s="282"/>
      <c r="S9" s="2152"/>
      <c r="T9" s="2166"/>
      <c r="U9" s="2610"/>
      <c r="V9" s="2610"/>
      <c r="W9" s="2611"/>
      <c r="X9" s="283"/>
      <c r="Y9" s="2152"/>
      <c r="Z9" s="2666"/>
      <c r="AA9" s="2152"/>
      <c r="AB9" s="2152"/>
      <c r="AC9" s="2152"/>
      <c r="AD9" s="2166"/>
      <c r="AE9" s="1787"/>
      <c r="AF9" s="1787">
        <f>Q9</f>
        <v>24</v>
      </c>
      <c r="AG9" s="282">
        <v>350</v>
      </c>
      <c r="AH9" s="283" t="s">
        <v>2707</v>
      </c>
      <c r="AI9" s="1465"/>
      <c r="AK9" s="254"/>
    </row>
    <row r="10" spans="1:42" s="177" customFormat="1">
      <c r="B10" s="254"/>
      <c r="D10" s="463" t="s">
        <v>1824</v>
      </c>
      <c r="E10" s="284"/>
      <c r="F10" s="284"/>
      <c r="G10" s="178"/>
      <c r="H10" s="262"/>
      <c r="I10" s="263"/>
      <c r="J10" s="263"/>
      <c r="K10" s="54"/>
      <c r="L10" s="283"/>
      <c r="M10" s="283"/>
      <c r="N10" s="262"/>
      <c r="O10" s="1724"/>
      <c r="P10" s="1787"/>
      <c r="Q10" s="1474"/>
      <c r="R10" s="2152"/>
      <c r="S10" s="2152"/>
      <c r="T10" s="2166"/>
      <c r="U10" s="2610">
        <f>IF(Type="DeNovo",0,'2.0 Patients'!F12)</f>
        <v>0</v>
      </c>
      <c r="V10" s="2610">
        <f>W10-U10</f>
        <v>2</v>
      </c>
      <c r="W10" s="2610">
        <f>IF(Type="DeNovo", '2.0 Patients'!G12, ('2.0 Patients'!G12-I10))</f>
        <v>2</v>
      </c>
      <c r="X10" s="283"/>
      <c r="Y10" s="2152"/>
      <c r="Z10" s="2666"/>
      <c r="AA10" s="2152"/>
      <c r="AB10" s="2152"/>
      <c r="AC10" s="2152"/>
      <c r="AD10" s="2166"/>
      <c r="AE10" s="1787"/>
      <c r="AF10" s="1787">
        <f>W10</f>
        <v>2</v>
      </c>
      <c r="AG10" s="282"/>
      <c r="AH10" s="283"/>
      <c r="AI10" s="525"/>
      <c r="AK10" s="254"/>
    </row>
    <row r="11" spans="1:42" s="177" customFormat="1">
      <c r="B11" s="254"/>
      <c r="D11" s="2571" t="s">
        <v>4129</v>
      </c>
      <c r="E11" s="284"/>
      <c r="F11" s="284"/>
      <c r="G11" s="178"/>
      <c r="H11" s="262"/>
      <c r="I11" s="263"/>
      <c r="J11" s="263"/>
      <c r="K11" s="54"/>
      <c r="L11" s="284"/>
      <c r="M11" s="284"/>
      <c r="N11" s="262"/>
      <c r="O11" s="1724"/>
      <c r="P11" s="1787"/>
      <c r="Q11" s="1474"/>
      <c r="R11" s="612"/>
      <c r="S11" s="612"/>
      <c r="T11" s="2166"/>
      <c r="U11" s="2610">
        <f>IF(Type="DeNovo",0,'2.0 Patients'!F13)</f>
        <v>0</v>
      </c>
      <c r="V11" s="2610">
        <f>W11-U11</f>
        <v>2</v>
      </c>
      <c r="W11" s="2610">
        <f>IF(Type="DeNovo", '2.0 Patients'!G13, ('2.0 Patients'!G13-I11))</f>
        <v>2</v>
      </c>
      <c r="X11" s="284"/>
      <c r="Y11" s="612"/>
      <c r="Z11" s="2665"/>
      <c r="AA11" s="612"/>
      <c r="AB11" s="612"/>
      <c r="AC11" s="612"/>
      <c r="AD11" s="2166"/>
      <c r="AE11" s="1787"/>
      <c r="AF11" s="1787">
        <f>W11</f>
        <v>2</v>
      </c>
      <c r="AG11" s="612"/>
      <c r="AH11" s="284"/>
      <c r="AI11" s="525"/>
      <c r="AK11" s="254"/>
    </row>
    <row r="12" spans="1:42" s="177" customFormat="1">
      <c r="B12" s="254"/>
      <c r="D12" s="2572" t="s">
        <v>4063</v>
      </c>
      <c r="E12" s="284"/>
      <c r="F12" s="284"/>
      <c r="G12" s="178"/>
      <c r="H12" s="262"/>
      <c r="I12" s="263"/>
      <c r="J12" s="263"/>
      <c r="K12" s="54"/>
      <c r="L12" s="284"/>
      <c r="M12" s="284"/>
      <c r="N12" s="262"/>
      <c r="O12" s="1724"/>
      <c r="P12" s="1787"/>
      <c r="Q12" s="1474"/>
      <c r="R12" s="612"/>
      <c r="S12" s="612"/>
      <c r="T12" s="2166"/>
      <c r="U12" s="2612">
        <f>U10+U11</f>
        <v>0</v>
      </c>
      <c r="V12" s="2612">
        <f>V10+V11</f>
        <v>4</v>
      </c>
      <c r="W12" s="2612">
        <f>W10+W11</f>
        <v>4</v>
      </c>
      <c r="X12" s="284"/>
      <c r="Y12" s="612"/>
      <c r="Z12" s="2665"/>
      <c r="AA12" s="612"/>
      <c r="AB12" s="612"/>
      <c r="AC12" s="612"/>
      <c r="AD12" s="2166"/>
      <c r="AE12" s="1787"/>
      <c r="AF12" s="1787">
        <f>W12</f>
        <v>4</v>
      </c>
      <c r="AG12" s="612"/>
      <c r="AH12" s="284"/>
      <c r="AI12" s="525"/>
      <c r="AK12" s="254"/>
    </row>
    <row r="13" spans="1:42" s="178" customFormat="1">
      <c r="B13" s="337"/>
      <c r="D13" s="463"/>
      <c r="E13" s="284"/>
      <c r="F13" s="284"/>
      <c r="H13" s="262"/>
      <c r="I13" s="263"/>
      <c r="J13" s="263"/>
      <c r="K13" s="284"/>
      <c r="L13" s="284"/>
      <c r="M13" s="284"/>
      <c r="N13" s="262"/>
      <c r="O13" s="263"/>
      <c r="P13" s="263"/>
      <c r="Q13" s="284"/>
      <c r="R13" s="284"/>
      <c r="S13" s="284"/>
      <c r="T13" s="262"/>
      <c r="U13" s="2569"/>
      <c r="V13" s="2569"/>
      <c r="W13" s="280"/>
      <c r="X13" s="284"/>
      <c r="Y13" s="284"/>
      <c r="Z13" s="2667"/>
      <c r="AA13" s="284"/>
      <c r="AB13" s="284"/>
      <c r="AC13" s="284"/>
      <c r="AD13" s="262"/>
      <c r="AE13" s="263"/>
      <c r="AF13" s="263"/>
      <c r="AG13" s="284"/>
      <c r="AH13" s="284"/>
      <c r="AI13" s="525"/>
      <c r="AK13" s="337"/>
      <c r="AM13" s="617"/>
      <c r="AN13" s="618"/>
      <c r="AO13" s="617"/>
      <c r="AP13" s="617"/>
    </row>
    <row r="14" spans="1:42" s="178" customFormat="1" ht="13.5" thickBot="1">
      <c r="B14" s="337"/>
      <c r="D14" s="522"/>
      <c r="E14" s="281"/>
      <c r="F14" s="281"/>
      <c r="G14" s="341"/>
      <c r="H14" s="492" t="s">
        <v>2533</v>
      </c>
      <c r="I14" s="619"/>
      <c r="J14" s="619"/>
      <c r="K14" s="620"/>
      <c r="L14" s="620"/>
      <c r="M14" s="281"/>
      <c r="N14" s="492" t="s">
        <v>2534</v>
      </c>
      <c r="O14" s="619"/>
      <c r="P14" s="619"/>
      <c r="Q14" s="620"/>
      <c r="R14" s="620"/>
      <c r="S14" s="281"/>
      <c r="T14" s="492" t="s">
        <v>2533</v>
      </c>
      <c r="U14" s="2570"/>
      <c r="V14" s="2570"/>
      <c r="W14" s="620"/>
      <c r="X14" s="620"/>
      <c r="Y14" s="281"/>
      <c r="Z14" s="2664"/>
      <c r="AA14" s="281"/>
      <c r="AB14" s="281"/>
      <c r="AC14" s="281"/>
      <c r="AD14" s="492" t="s">
        <v>4088</v>
      </c>
      <c r="AE14" s="619"/>
      <c r="AF14" s="619"/>
      <c r="AG14" s="620"/>
      <c r="AH14" s="620"/>
      <c r="AI14" s="523"/>
      <c r="AK14" s="337"/>
      <c r="AM14" s="617"/>
      <c r="AN14" s="618"/>
      <c r="AO14" s="617"/>
      <c r="AP14" s="617"/>
    </row>
    <row r="15" spans="1:42" s="177" customFormat="1" ht="13.5" thickBot="1">
      <c r="B15" s="254"/>
      <c r="D15" s="522"/>
      <c r="E15" s="281"/>
      <c r="F15" s="281"/>
      <c r="G15" s="341"/>
      <c r="H15" s="621"/>
      <c r="I15" s="622"/>
      <c r="J15" s="622"/>
      <c r="K15" s="281"/>
      <c r="L15" s="281"/>
      <c r="M15" s="281"/>
      <c r="N15" s="621"/>
      <c r="O15" s="622"/>
      <c r="P15" s="622"/>
      <c r="Q15" s="281"/>
      <c r="R15" s="281"/>
      <c r="S15" s="281"/>
      <c r="T15" s="621"/>
      <c r="U15" s="622"/>
      <c r="V15" s="622"/>
      <c r="W15" s="281"/>
      <c r="X15" s="281"/>
      <c r="Y15" s="281"/>
      <c r="Z15" s="2664"/>
      <c r="AA15" s="281"/>
      <c r="AB15" s="281"/>
      <c r="AC15" s="281"/>
      <c r="AD15" s="621"/>
      <c r="AE15" s="622"/>
      <c r="AF15" s="622"/>
      <c r="AG15" s="281"/>
      <c r="AH15" s="281"/>
      <c r="AI15" s="523"/>
      <c r="AK15" s="254"/>
      <c r="AM15" s="617"/>
      <c r="AN15" s="618"/>
      <c r="AO15" s="617"/>
      <c r="AP15" s="617"/>
    </row>
    <row r="16" spans="1:42" s="274" customFormat="1">
      <c r="B16" s="337"/>
      <c r="C16" s="178"/>
      <c r="D16" s="455"/>
      <c r="E16" s="558"/>
      <c r="F16" s="558"/>
      <c r="G16" s="456" t="s">
        <v>3475</v>
      </c>
      <c r="H16" s="457"/>
      <c r="I16" s="458" t="s">
        <v>1884</v>
      </c>
      <c r="J16" s="458"/>
      <c r="K16" s="458" t="s">
        <v>2532</v>
      </c>
      <c r="L16" s="459" t="s">
        <v>4072</v>
      </c>
      <c r="M16" s="458"/>
      <c r="N16" s="457"/>
      <c r="O16" s="458" t="s">
        <v>1884</v>
      </c>
      <c r="P16" s="458"/>
      <c r="Q16" s="458" t="s">
        <v>2532</v>
      </c>
      <c r="R16" s="459" t="s">
        <v>4072</v>
      </c>
      <c r="S16" s="458"/>
      <c r="T16" s="457"/>
      <c r="U16" s="458" t="s">
        <v>1884</v>
      </c>
      <c r="V16" s="458"/>
      <c r="W16" s="458" t="s">
        <v>2532</v>
      </c>
      <c r="X16" s="459"/>
      <c r="Y16" s="458"/>
      <c r="Z16" s="2668" t="s">
        <v>4087</v>
      </c>
      <c r="AA16" s="2659"/>
      <c r="AB16" s="2659"/>
      <c r="AC16" s="458"/>
      <c r="AD16" s="457"/>
      <c r="AE16" s="458" t="s">
        <v>1884</v>
      </c>
      <c r="AF16" s="458"/>
      <c r="AG16" s="458" t="s">
        <v>2532</v>
      </c>
      <c r="AH16" s="459"/>
      <c r="AI16" s="460" t="s">
        <v>3930</v>
      </c>
      <c r="AK16" s="336"/>
    </row>
    <row r="17" spans="2:37" s="177" customFormat="1" ht="13.5" thickBot="1">
      <c r="B17" s="179"/>
      <c r="C17" s="176"/>
      <c r="D17" s="461"/>
      <c r="E17" s="285"/>
      <c r="F17" s="285"/>
      <c r="G17" s="427" t="s">
        <v>3931</v>
      </c>
      <c r="H17" s="437" t="s">
        <v>3934</v>
      </c>
      <c r="I17" s="55" t="s">
        <v>1885</v>
      </c>
      <c r="J17" s="38" t="s">
        <v>2683</v>
      </c>
      <c r="K17" s="38" t="s">
        <v>3703</v>
      </c>
      <c r="L17" s="438" t="s">
        <v>4073</v>
      </c>
      <c r="M17" s="38"/>
      <c r="N17" s="437" t="s">
        <v>3934</v>
      </c>
      <c r="O17" s="55" t="s">
        <v>1885</v>
      </c>
      <c r="P17" s="38" t="s">
        <v>2683</v>
      </c>
      <c r="Q17" s="38" t="s">
        <v>3703</v>
      </c>
      <c r="R17" s="438" t="s">
        <v>4073</v>
      </c>
      <c r="S17" s="38"/>
      <c r="T17" s="437" t="s">
        <v>3934</v>
      </c>
      <c r="U17" s="55" t="s">
        <v>1885</v>
      </c>
      <c r="V17" s="38" t="s">
        <v>2683</v>
      </c>
      <c r="W17" s="38" t="s">
        <v>3703</v>
      </c>
      <c r="X17" s="2616" t="s">
        <v>4062</v>
      </c>
      <c r="Y17" s="38"/>
      <c r="Z17" s="2669" t="s">
        <v>4089</v>
      </c>
      <c r="AA17" s="2661" t="s">
        <v>2683</v>
      </c>
      <c r="AB17" s="2660" t="s">
        <v>4090</v>
      </c>
      <c r="AC17" s="38"/>
      <c r="AD17" s="437" t="s">
        <v>3934</v>
      </c>
      <c r="AE17" s="55" t="s">
        <v>1885</v>
      </c>
      <c r="AF17" s="38" t="s">
        <v>2683</v>
      </c>
      <c r="AG17" s="38" t="s">
        <v>3703</v>
      </c>
      <c r="AH17" s="438"/>
      <c r="AI17" s="462" t="s">
        <v>3935</v>
      </c>
      <c r="AJ17" s="176"/>
      <c r="AK17" s="286" t="s">
        <v>2104</v>
      </c>
    </row>
    <row r="18" spans="2:37" s="177" customFormat="1">
      <c r="B18" s="254"/>
      <c r="D18" s="463" t="s">
        <v>3344</v>
      </c>
      <c r="E18" s="284" t="s">
        <v>1395</v>
      </c>
      <c r="F18" s="284"/>
      <c r="G18" s="432" t="s">
        <v>3936</v>
      </c>
      <c r="H18" s="439"/>
      <c r="I18" s="1436"/>
      <c r="J18" s="2468">
        <v>80000</v>
      </c>
      <c r="K18" s="502">
        <f>IF($K$8=0,0,J18/$K$8)</f>
        <v>10</v>
      </c>
      <c r="L18" s="505">
        <f>IF($K$9=0, 0, J18/$K$9)</f>
        <v>3333.3333333333335</v>
      </c>
      <c r="M18" s="447"/>
      <c r="N18" s="439"/>
      <c r="O18" s="1459"/>
      <c r="P18" s="493">
        <v>0</v>
      </c>
      <c r="Q18" s="502"/>
      <c r="R18" s="505">
        <f>IF($P$9=0,0,P18/$P$9)</f>
        <v>0</v>
      </c>
      <c r="S18" s="447"/>
      <c r="T18" s="439"/>
      <c r="U18" s="1459"/>
      <c r="V18" s="2649">
        <v>10000</v>
      </c>
      <c r="W18" s="2575">
        <f t="shared" ref="W18:W34" si="0">IF(V18=0,0,V18/$W$8)</f>
        <v>10</v>
      </c>
      <c r="X18" s="2576">
        <f t="shared" ref="X18:X34" si="1">V18/($W$12)</f>
        <v>2500</v>
      </c>
      <c r="Y18" s="447"/>
      <c r="Z18" s="2678"/>
      <c r="AA18" s="2683">
        <f>J18+V18</f>
        <v>90000</v>
      </c>
      <c r="AB18" s="2696">
        <f>IF(AA18=0,0,AA18/$AB$8)</f>
        <v>10</v>
      </c>
      <c r="AC18" s="447"/>
      <c r="AD18" s="559">
        <f>H18+N18+T18</f>
        <v>0</v>
      </c>
      <c r="AE18" s="560"/>
      <c r="AF18" s="561">
        <f>J18+P18+V18</f>
        <v>90000</v>
      </c>
      <c r="AG18" s="562">
        <f>AF18/$AF$8</f>
        <v>10</v>
      </c>
      <c r="AH18" s="563"/>
      <c r="AI18" s="1868"/>
      <c r="AK18" s="254"/>
    </row>
    <row r="19" spans="2:37" s="177" customFormat="1">
      <c r="B19" s="254"/>
      <c r="D19" s="463" t="s">
        <v>3345</v>
      </c>
      <c r="E19" s="284" t="s">
        <v>2113</v>
      </c>
      <c r="F19" s="284"/>
      <c r="G19" s="433" t="s">
        <v>2114</v>
      </c>
      <c r="H19" s="440"/>
      <c r="I19" s="1437"/>
      <c r="J19" s="2469">
        <v>0</v>
      </c>
      <c r="K19" s="494">
        <f t="shared" ref="K19:K82" si="2">IF($K$8=0,0,J19/$K$8)</f>
        <v>0</v>
      </c>
      <c r="L19" s="503">
        <f t="shared" ref="L19:L82" si="3">IF($K$9=0, 0, J19/$K$9)</f>
        <v>0</v>
      </c>
      <c r="M19" s="448"/>
      <c r="N19" s="440"/>
      <c r="O19" s="1460"/>
      <c r="P19" s="483">
        <v>0</v>
      </c>
      <c r="Q19" s="494"/>
      <c r="R19" s="2153">
        <f t="shared" ref="R19:R82" si="4">IF($P$9=0,0,P19/$P$9)</f>
        <v>0</v>
      </c>
      <c r="S19" s="448"/>
      <c r="T19" s="440"/>
      <c r="U19" s="1460"/>
      <c r="V19" s="2469">
        <v>0</v>
      </c>
      <c r="W19" s="2577">
        <f t="shared" si="0"/>
        <v>0</v>
      </c>
      <c r="X19" s="2578">
        <f t="shared" si="1"/>
        <v>0</v>
      </c>
      <c r="Y19" s="448"/>
      <c r="Z19" s="2679"/>
      <c r="AA19" s="2684">
        <f t="shared" ref="AA19:AA82" si="5">J19+V19</f>
        <v>0</v>
      </c>
      <c r="AB19" s="2697">
        <f t="shared" ref="AB19:AB82" si="6">IF(AA19=0,0,AA19/$AB$8)</f>
        <v>0</v>
      </c>
      <c r="AC19" s="448"/>
      <c r="AD19" s="564">
        <f t="shared" ref="AD19:AD82" si="7">H19+N19+T19</f>
        <v>0</v>
      </c>
      <c r="AE19" s="565"/>
      <c r="AF19" s="566">
        <f t="shared" ref="AF19:AF82" si="8">J19+P19+V19</f>
        <v>0</v>
      </c>
      <c r="AG19" s="567">
        <f t="shared" ref="AG19:AG83" si="9">AF19/$AF$8</f>
        <v>0</v>
      </c>
      <c r="AH19" s="568"/>
      <c r="AI19" s="464"/>
      <c r="AK19" s="254"/>
    </row>
    <row r="20" spans="2:37" s="177" customFormat="1">
      <c r="B20" s="254"/>
      <c r="D20" s="463"/>
      <c r="E20" s="284" t="s">
        <v>1776</v>
      </c>
      <c r="F20" s="284"/>
      <c r="G20" s="433" t="s">
        <v>1774</v>
      </c>
      <c r="H20" s="440"/>
      <c r="I20" s="1437"/>
      <c r="J20" s="2469">
        <v>5000</v>
      </c>
      <c r="K20" s="494">
        <f t="shared" si="2"/>
        <v>0.625</v>
      </c>
      <c r="L20" s="503">
        <f t="shared" si="3"/>
        <v>208.33333333333334</v>
      </c>
      <c r="M20" s="448"/>
      <c r="N20" s="440"/>
      <c r="O20" s="1460"/>
      <c r="P20" s="483">
        <v>0</v>
      </c>
      <c r="Q20" s="494"/>
      <c r="R20" s="2153">
        <f t="shared" si="4"/>
        <v>0</v>
      </c>
      <c r="S20" s="448"/>
      <c r="T20" s="440"/>
      <c r="U20" s="1460"/>
      <c r="V20" s="2469">
        <v>0</v>
      </c>
      <c r="W20" s="2577">
        <f t="shared" si="0"/>
        <v>0</v>
      </c>
      <c r="X20" s="2578">
        <f t="shared" si="1"/>
        <v>0</v>
      </c>
      <c r="Y20" s="448"/>
      <c r="Z20" s="2679"/>
      <c r="AA20" s="2684">
        <f t="shared" si="5"/>
        <v>5000</v>
      </c>
      <c r="AB20" s="2697">
        <f t="shared" si="6"/>
        <v>0.55555555555555558</v>
      </c>
      <c r="AC20" s="448"/>
      <c r="AD20" s="564">
        <f t="shared" si="7"/>
        <v>0</v>
      </c>
      <c r="AE20" s="565"/>
      <c r="AF20" s="566">
        <f t="shared" si="8"/>
        <v>5000</v>
      </c>
      <c r="AG20" s="567">
        <f t="shared" si="9"/>
        <v>0.55555555555555558</v>
      </c>
      <c r="AH20" s="568"/>
      <c r="AI20" s="464"/>
      <c r="AK20" s="254"/>
    </row>
    <row r="21" spans="2:37" s="177" customFormat="1">
      <c r="B21" s="254"/>
      <c r="D21" s="463"/>
      <c r="E21" s="284" t="s">
        <v>1777</v>
      </c>
      <c r="F21" s="284"/>
      <c r="G21" s="434" t="s">
        <v>1775</v>
      </c>
      <c r="H21" s="441"/>
      <c r="I21" s="1438"/>
      <c r="J21" s="2470">
        <v>0</v>
      </c>
      <c r="K21" s="495">
        <f t="shared" si="2"/>
        <v>0</v>
      </c>
      <c r="L21" s="504">
        <f t="shared" si="3"/>
        <v>0</v>
      </c>
      <c r="M21" s="449"/>
      <c r="N21" s="441"/>
      <c r="O21" s="1461"/>
      <c r="P21" s="484">
        <v>0</v>
      </c>
      <c r="Q21" s="495"/>
      <c r="R21" s="2154">
        <f t="shared" si="4"/>
        <v>0</v>
      </c>
      <c r="S21" s="449"/>
      <c r="T21" s="441"/>
      <c r="U21" s="1461"/>
      <c r="V21" s="2470">
        <v>0</v>
      </c>
      <c r="W21" s="2579">
        <f t="shared" si="0"/>
        <v>0</v>
      </c>
      <c r="X21" s="2580">
        <f t="shared" si="1"/>
        <v>0</v>
      </c>
      <c r="Y21" s="449"/>
      <c r="Z21" s="2680"/>
      <c r="AA21" s="2685">
        <f t="shared" si="5"/>
        <v>0</v>
      </c>
      <c r="AB21" s="2698">
        <f t="shared" si="6"/>
        <v>0</v>
      </c>
      <c r="AC21" s="449"/>
      <c r="AD21" s="569">
        <f t="shared" si="7"/>
        <v>0</v>
      </c>
      <c r="AE21" s="570"/>
      <c r="AF21" s="571">
        <f t="shared" si="8"/>
        <v>0</v>
      </c>
      <c r="AG21" s="572">
        <f t="shared" si="9"/>
        <v>0</v>
      </c>
      <c r="AH21" s="573"/>
      <c r="AI21" s="465"/>
      <c r="AK21" s="254"/>
    </row>
    <row r="22" spans="2:37" s="177" customFormat="1">
      <c r="B22" s="254"/>
      <c r="D22" s="463"/>
      <c r="E22" s="1517" t="s">
        <v>1846</v>
      </c>
      <c r="F22" s="1517"/>
      <c r="G22" s="1518"/>
      <c r="H22" s="441"/>
      <c r="I22" s="1438"/>
      <c r="J22" s="2470"/>
      <c r="K22" s="495">
        <f t="shared" si="2"/>
        <v>0</v>
      </c>
      <c r="L22" s="504">
        <f t="shared" si="3"/>
        <v>0</v>
      </c>
      <c r="M22" s="449"/>
      <c r="N22" s="441"/>
      <c r="O22" s="1461"/>
      <c r="P22" s="484"/>
      <c r="Q22" s="495"/>
      <c r="R22" s="2154">
        <f t="shared" si="4"/>
        <v>0</v>
      </c>
      <c r="S22" s="449"/>
      <c r="T22" s="441"/>
      <c r="U22" s="1461"/>
      <c r="V22" s="2470"/>
      <c r="W22" s="2579">
        <f t="shared" si="0"/>
        <v>0</v>
      </c>
      <c r="X22" s="2580">
        <f t="shared" si="1"/>
        <v>0</v>
      </c>
      <c r="Y22" s="449"/>
      <c r="Z22" s="2680"/>
      <c r="AA22" s="2685">
        <f t="shared" si="5"/>
        <v>0</v>
      </c>
      <c r="AB22" s="2698">
        <f t="shared" si="6"/>
        <v>0</v>
      </c>
      <c r="AC22" s="449"/>
      <c r="AD22" s="569">
        <f t="shared" si="7"/>
        <v>0</v>
      </c>
      <c r="AE22" s="570"/>
      <c r="AF22" s="571">
        <f t="shared" si="8"/>
        <v>0</v>
      </c>
      <c r="AG22" s="572"/>
      <c r="AH22" s="573"/>
      <c r="AI22" s="465"/>
      <c r="AK22" s="254"/>
    </row>
    <row r="23" spans="2:37" s="177" customFormat="1">
      <c r="B23" s="254"/>
      <c r="D23" s="466" t="s">
        <v>2115</v>
      </c>
      <c r="E23" s="428" t="s">
        <v>1955</v>
      </c>
      <c r="F23" s="428"/>
      <c r="G23" s="435" t="s">
        <v>2116</v>
      </c>
      <c r="H23" s="442"/>
      <c r="I23" s="1439"/>
      <c r="J23" s="2653">
        <v>1025000</v>
      </c>
      <c r="K23" s="577">
        <f t="shared" si="2"/>
        <v>128.125</v>
      </c>
      <c r="L23" s="505">
        <f t="shared" si="3"/>
        <v>42708.333333333336</v>
      </c>
      <c r="M23" s="450"/>
      <c r="N23" s="442"/>
      <c r="O23" s="1462"/>
      <c r="P23" s="2654">
        <v>0</v>
      </c>
      <c r="Q23" s="496"/>
      <c r="R23" s="2155">
        <f t="shared" si="4"/>
        <v>0</v>
      </c>
      <c r="S23" s="450"/>
      <c r="T23" s="442"/>
      <c r="U23" s="1462"/>
      <c r="V23" s="2653">
        <v>130000</v>
      </c>
      <c r="W23" s="2581">
        <f t="shared" si="0"/>
        <v>130</v>
      </c>
      <c r="X23" s="2582">
        <f t="shared" si="1"/>
        <v>32500</v>
      </c>
      <c r="Y23" s="450"/>
      <c r="Z23" s="2681"/>
      <c r="AA23" s="2686">
        <f t="shared" si="5"/>
        <v>1155000</v>
      </c>
      <c r="AB23" s="2699">
        <f t="shared" si="6"/>
        <v>128.33333333333334</v>
      </c>
      <c r="AC23" s="450"/>
      <c r="AD23" s="574">
        <f t="shared" si="7"/>
        <v>0</v>
      </c>
      <c r="AE23" s="575"/>
      <c r="AF23" s="576">
        <f t="shared" si="8"/>
        <v>1155000</v>
      </c>
      <c r="AG23" s="577">
        <f t="shared" si="9"/>
        <v>128.33333333333334</v>
      </c>
      <c r="AH23" s="578"/>
      <c r="AI23" s="467"/>
      <c r="AK23" s="254"/>
    </row>
    <row r="24" spans="2:37" s="177" customFormat="1">
      <c r="B24" s="254"/>
      <c r="D24" s="463"/>
      <c r="E24" s="284" t="s">
        <v>1956</v>
      </c>
      <c r="F24" s="284"/>
      <c r="G24" s="433" t="s">
        <v>2117</v>
      </c>
      <c r="H24" s="440"/>
      <c r="I24" s="1437"/>
      <c r="J24" s="2469">
        <v>0</v>
      </c>
      <c r="K24" s="494">
        <f t="shared" si="2"/>
        <v>0</v>
      </c>
      <c r="L24" s="503">
        <f t="shared" si="3"/>
        <v>0</v>
      </c>
      <c r="M24" s="448"/>
      <c r="N24" s="440"/>
      <c r="O24" s="1460"/>
      <c r="P24" s="485">
        <v>0</v>
      </c>
      <c r="Q24" s="494"/>
      <c r="R24" s="2153">
        <f t="shared" si="4"/>
        <v>0</v>
      </c>
      <c r="S24" s="448"/>
      <c r="T24" s="440"/>
      <c r="U24" s="1460"/>
      <c r="V24" s="2650">
        <v>10000</v>
      </c>
      <c r="W24" s="2577">
        <f t="shared" si="0"/>
        <v>10</v>
      </c>
      <c r="X24" s="2578">
        <f t="shared" si="1"/>
        <v>2500</v>
      </c>
      <c r="Y24" s="448"/>
      <c r="Z24" s="2679"/>
      <c r="AA24" s="2684">
        <f t="shared" si="5"/>
        <v>10000</v>
      </c>
      <c r="AB24" s="2697">
        <f t="shared" si="6"/>
        <v>1.1111111111111112</v>
      </c>
      <c r="AC24" s="448"/>
      <c r="AD24" s="564">
        <f t="shared" si="7"/>
        <v>0</v>
      </c>
      <c r="AE24" s="565"/>
      <c r="AF24" s="579">
        <f t="shared" si="8"/>
        <v>10000</v>
      </c>
      <c r="AG24" s="567">
        <f t="shared" si="9"/>
        <v>1.1111111111111112</v>
      </c>
      <c r="AH24" s="568"/>
      <c r="AI24" s="1869"/>
      <c r="AK24" s="254"/>
    </row>
    <row r="25" spans="2:37" s="177" customFormat="1">
      <c r="B25" s="254"/>
      <c r="D25" s="463"/>
      <c r="E25" s="284" t="s">
        <v>2536</v>
      </c>
      <c r="F25" s="284"/>
      <c r="G25" s="433" t="s">
        <v>141</v>
      </c>
      <c r="H25" s="440"/>
      <c r="I25" s="1437"/>
      <c r="J25" s="2469">
        <v>40000</v>
      </c>
      <c r="K25" s="494">
        <f t="shared" si="2"/>
        <v>5</v>
      </c>
      <c r="L25" s="503">
        <f t="shared" si="3"/>
        <v>1666.6666666666667</v>
      </c>
      <c r="M25" s="448"/>
      <c r="N25" s="440"/>
      <c r="O25" s="1460"/>
      <c r="P25" s="485">
        <v>0</v>
      </c>
      <c r="Q25" s="494"/>
      <c r="R25" s="2153">
        <f t="shared" si="4"/>
        <v>0</v>
      </c>
      <c r="S25" s="448"/>
      <c r="T25" s="440"/>
      <c r="U25" s="1460"/>
      <c r="V25" s="2650">
        <v>5000</v>
      </c>
      <c r="W25" s="2577">
        <f t="shared" si="0"/>
        <v>5</v>
      </c>
      <c r="X25" s="2578">
        <f t="shared" si="1"/>
        <v>1250</v>
      </c>
      <c r="Y25" s="448"/>
      <c r="Z25" s="2679"/>
      <c r="AA25" s="2684">
        <f t="shared" si="5"/>
        <v>45000</v>
      </c>
      <c r="AB25" s="2697">
        <f t="shared" si="6"/>
        <v>5</v>
      </c>
      <c r="AC25" s="448"/>
      <c r="AD25" s="564">
        <f t="shared" si="7"/>
        <v>0</v>
      </c>
      <c r="AE25" s="565"/>
      <c r="AF25" s="579">
        <f t="shared" si="8"/>
        <v>45000</v>
      </c>
      <c r="AG25" s="567">
        <f t="shared" si="9"/>
        <v>5</v>
      </c>
      <c r="AH25" s="568"/>
      <c r="AI25" s="1869"/>
      <c r="AK25" s="254"/>
    </row>
    <row r="26" spans="2:37" s="177" customFormat="1">
      <c r="B26" s="254"/>
      <c r="D26" s="468"/>
      <c r="E26" s="549" t="s">
        <v>2531</v>
      </c>
      <c r="F26" s="429"/>
      <c r="G26" s="436" t="s">
        <v>3102</v>
      </c>
      <c r="H26" s="443"/>
      <c r="I26" s="1440"/>
      <c r="J26" s="2470">
        <v>0</v>
      </c>
      <c r="K26" s="1803">
        <f t="shared" si="2"/>
        <v>0</v>
      </c>
      <c r="L26" s="506">
        <f t="shared" si="3"/>
        <v>0</v>
      </c>
      <c r="M26" s="451"/>
      <c r="N26" s="443"/>
      <c r="O26" s="1463"/>
      <c r="P26" s="2470">
        <v>0</v>
      </c>
      <c r="Q26" s="497"/>
      <c r="R26" s="2156">
        <f t="shared" si="4"/>
        <v>0</v>
      </c>
      <c r="S26" s="451"/>
      <c r="T26" s="443"/>
      <c r="U26" s="1463"/>
      <c r="V26" s="2470">
        <v>0</v>
      </c>
      <c r="W26" s="2583">
        <f t="shared" si="0"/>
        <v>0</v>
      </c>
      <c r="X26" s="2584">
        <f t="shared" si="1"/>
        <v>0</v>
      </c>
      <c r="Y26" s="451"/>
      <c r="Z26" s="2682"/>
      <c r="AA26" s="2687">
        <f t="shared" si="5"/>
        <v>0</v>
      </c>
      <c r="AB26" s="2700">
        <f t="shared" si="6"/>
        <v>0</v>
      </c>
      <c r="AC26" s="451"/>
      <c r="AD26" s="580">
        <f t="shared" si="7"/>
        <v>0</v>
      </c>
      <c r="AE26" s="581"/>
      <c r="AF26" s="582">
        <f t="shared" si="8"/>
        <v>0</v>
      </c>
      <c r="AG26" s="583">
        <f t="shared" si="9"/>
        <v>0</v>
      </c>
      <c r="AH26" s="584"/>
      <c r="AI26" s="469"/>
      <c r="AK26" s="254"/>
    </row>
    <row r="27" spans="2:37" s="177" customFormat="1">
      <c r="B27" s="254"/>
      <c r="D27" s="466" t="s">
        <v>3341</v>
      </c>
      <c r="E27" s="428" t="s">
        <v>2118</v>
      </c>
      <c r="F27" s="428"/>
      <c r="G27" s="435" t="s">
        <v>2119</v>
      </c>
      <c r="H27" s="444">
        <v>0</v>
      </c>
      <c r="I27" s="2496">
        <v>0</v>
      </c>
      <c r="J27" s="486">
        <f t="shared" ref="J27:J32" si="10">IF(ISNUMBER(I27)=TRUE, H27*I27,0)</f>
        <v>0</v>
      </c>
      <c r="K27" s="498">
        <f t="shared" si="2"/>
        <v>0</v>
      </c>
      <c r="L27" s="505">
        <f t="shared" si="3"/>
        <v>0</v>
      </c>
      <c r="M27" s="450"/>
      <c r="N27" s="444">
        <v>0</v>
      </c>
      <c r="O27" s="1455">
        <f>I27</f>
        <v>0</v>
      </c>
      <c r="P27" s="486">
        <f t="shared" ref="P27:P58" si="11">IF(ISNUMBER(O27)=TRUE, N27*O27,0)</f>
        <v>0</v>
      </c>
      <c r="Q27" s="498"/>
      <c r="R27" s="2155">
        <f t="shared" si="4"/>
        <v>0</v>
      </c>
      <c r="S27" s="450"/>
      <c r="T27" s="444">
        <v>0</v>
      </c>
      <c r="U27" s="2651">
        <f t="shared" ref="U27:U38" si="12">O27</f>
        <v>0</v>
      </c>
      <c r="V27" s="486">
        <f t="shared" ref="V27:V34" si="13">IF(ISNUMBER(U27)=TRUE, T27*U27,0)</f>
        <v>0</v>
      </c>
      <c r="W27" s="2585">
        <f t="shared" si="0"/>
        <v>0</v>
      </c>
      <c r="X27" s="2582">
        <f t="shared" si="1"/>
        <v>0</v>
      </c>
      <c r="Y27" s="450"/>
      <c r="Z27" s="2692">
        <f>H27+T27</f>
        <v>0</v>
      </c>
      <c r="AA27" s="2686">
        <f t="shared" si="5"/>
        <v>0</v>
      </c>
      <c r="AB27" s="2699">
        <f t="shared" si="6"/>
        <v>0</v>
      </c>
      <c r="AC27" s="450"/>
      <c r="AD27" s="585">
        <f t="shared" si="7"/>
        <v>0</v>
      </c>
      <c r="AE27" s="586" t="str">
        <f>IF(AD27&gt;0,AF27/AD27,"")</f>
        <v/>
      </c>
      <c r="AF27" s="587">
        <f t="shared" si="8"/>
        <v>0</v>
      </c>
      <c r="AG27" s="588">
        <f t="shared" si="9"/>
        <v>0</v>
      </c>
      <c r="AH27" s="578"/>
      <c r="AI27" s="467"/>
      <c r="AK27" s="254"/>
    </row>
    <row r="28" spans="2:37" s="252" customFormat="1">
      <c r="B28" s="254"/>
      <c r="C28" s="177"/>
      <c r="D28" s="463" t="s">
        <v>3340</v>
      </c>
      <c r="E28" s="284" t="s">
        <v>1868</v>
      </c>
      <c r="F28" s="284"/>
      <c r="G28" s="433" t="s">
        <v>2120</v>
      </c>
      <c r="H28" s="445">
        <v>1</v>
      </c>
      <c r="I28" s="2497">
        <v>8000</v>
      </c>
      <c r="J28" s="487">
        <f t="shared" si="10"/>
        <v>8000</v>
      </c>
      <c r="K28" s="499">
        <f t="shared" si="2"/>
        <v>1</v>
      </c>
      <c r="L28" s="507">
        <f t="shared" si="3"/>
        <v>333.33333333333331</v>
      </c>
      <c r="M28" s="452"/>
      <c r="N28" s="445">
        <v>0</v>
      </c>
      <c r="O28" s="483">
        <f t="shared" ref="O28:O91" si="14">I28</f>
        <v>8000</v>
      </c>
      <c r="P28" s="487">
        <f t="shared" si="11"/>
        <v>0</v>
      </c>
      <c r="Q28" s="499"/>
      <c r="R28" s="2157">
        <f t="shared" si="4"/>
        <v>0</v>
      </c>
      <c r="S28" s="452"/>
      <c r="T28" s="445">
        <v>0</v>
      </c>
      <c r="U28" s="2469">
        <f t="shared" si="12"/>
        <v>8000</v>
      </c>
      <c r="V28" s="487">
        <f t="shared" si="13"/>
        <v>0</v>
      </c>
      <c r="W28" s="2586">
        <f t="shared" si="0"/>
        <v>0</v>
      </c>
      <c r="X28" s="2587">
        <f t="shared" si="1"/>
        <v>0</v>
      </c>
      <c r="Y28" s="452"/>
      <c r="Z28" s="2693">
        <f t="shared" ref="Z28:Z91" si="15">H28+T28</f>
        <v>1</v>
      </c>
      <c r="AA28" s="2688">
        <f t="shared" si="5"/>
        <v>8000</v>
      </c>
      <c r="AB28" s="2701">
        <f t="shared" si="6"/>
        <v>0.88888888888888884</v>
      </c>
      <c r="AC28" s="452"/>
      <c r="AD28" s="589">
        <f t="shared" si="7"/>
        <v>1</v>
      </c>
      <c r="AE28" s="579">
        <f t="shared" ref="AE28:AE91" si="16">IF(AD28&gt;0,AF28/AD28,"")</f>
        <v>8000</v>
      </c>
      <c r="AF28" s="590">
        <f t="shared" si="8"/>
        <v>8000</v>
      </c>
      <c r="AG28" s="591">
        <f t="shared" si="9"/>
        <v>0.88888888888888884</v>
      </c>
      <c r="AH28" s="592"/>
      <c r="AI28" s="470"/>
      <c r="AK28" s="253"/>
    </row>
    <row r="29" spans="2:37" s="252" customFormat="1">
      <c r="B29" s="253"/>
      <c r="D29" s="471"/>
      <c r="E29" s="261" t="s">
        <v>2121</v>
      </c>
      <c r="F29" s="261"/>
      <c r="G29" s="433" t="s">
        <v>2122</v>
      </c>
      <c r="H29" s="445">
        <v>0</v>
      </c>
      <c r="I29" s="2497">
        <v>0</v>
      </c>
      <c r="J29" s="487">
        <f t="shared" si="10"/>
        <v>0</v>
      </c>
      <c r="K29" s="499">
        <f t="shared" si="2"/>
        <v>0</v>
      </c>
      <c r="L29" s="507">
        <f t="shared" si="3"/>
        <v>0</v>
      </c>
      <c r="M29" s="452"/>
      <c r="N29" s="445">
        <v>0</v>
      </c>
      <c r="O29" s="483">
        <f t="shared" si="14"/>
        <v>0</v>
      </c>
      <c r="P29" s="487">
        <f t="shared" si="11"/>
        <v>0</v>
      </c>
      <c r="Q29" s="499"/>
      <c r="R29" s="2157">
        <f t="shared" si="4"/>
        <v>0</v>
      </c>
      <c r="S29" s="452"/>
      <c r="T29" s="445">
        <v>0</v>
      </c>
      <c r="U29" s="2469">
        <f t="shared" si="12"/>
        <v>0</v>
      </c>
      <c r="V29" s="487">
        <f t="shared" si="13"/>
        <v>0</v>
      </c>
      <c r="W29" s="2586">
        <f t="shared" si="0"/>
        <v>0</v>
      </c>
      <c r="X29" s="2587">
        <f t="shared" si="1"/>
        <v>0</v>
      </c>
      <c r="Y29" s="452"/>
      <c r="Z29" s="2693">
        <f t="shared" si="15"/>
        <v>0</v>
      </c>
      <c r="AA29" s="2688">
        <f t="shared" si="5"/>
        <v>0</v>
      </c>
      <c r="AB29" s="2701">
        <f t="shared" si="6"/>
        <v>0</v>
      </c>
      <c r="AC29" s="452"/>
      <c r="AD29" s="589">
        <f t="shared" si="7"/>
        <v>0</v>
      </c>
      <c r="AE29" s="579" t="str">
        <f t="shared" si="16"/>
        <v/>
      </c>
      <c r="AF29" s="590">
        <f t="shared" si="8"/>
        <v>0</v>
      </c>
      <c r="AG29" s="591">
        <f t="shared" si="9"/>
        <v>0</v>
      </c>
      <c r="AH29" s="592"/>
      <c r="AI29" s="470"/>
      <c r="AK29" s="253"/>
    </row>
    <row r="30" spans="2:37" s="252" customFormat="1">
      <c r="B30" s="253"/>
      <c r="D30" s="471"/>
      <c r="E30" s="261" t="s">
        <v>2123</v>
      </c>
      <c r="F30" s="261"/>
      <c r="G30" s="433" t="s">
        <v>2124</v>
      </c>
      <c r="H30" s="445">
        <v>0</v>
      </c>
      <c r="I30" s="2497">
        <v>0</v>
      </c>
      <c r="J30" s="487">
        <f t="shared" si="10"/>
        <v>0</v>
      </c>
      <c r="K30" s="499">
        <f t="shared" si="2"/>
        <v>0</v>
      </c>
      <c r="L30" s="507">
        <f t="shared" si="3"/>
        <v>0</v>
      </c>
      <c r="M30" s="452"/>
      <c r="N30" s="445">
        <v>0</v>
      </c>
      <c r="O30" s="483">
        <f t="shared" si="14"/>
        <v>0</v>
      </c>
      <c r="P30" s="487">
        <f t="shared" si="11"/>
        <v>0</v>
      </c>
      <c r="Q30" s="499"/>
      <c r="R30" s="2157">
        <f t="shared" si="4"/>
        <v>0</v>
      </c>
      <c r="S30" s="452"/>
      <c r="T30" s="445">
        <v>0</v>
      </c>
      <c r="U30" s="2469">
        <f t="shared" si="12"/>
        <v>0</v>
      </c>
      <c r="V30" s="487">
        <f t="shared" si="13"/>
        <v>0</v>
      </c>
      <c r="W30" s="2586">
        <f t="shared" si="0"/>
        <v>0</v>
      </c>
      <c r="X30" s="2587">
        <f t="shared" si="1"/>
        <v>0</v>
      </c>
      <c r="Y30" s="452"/>
      <c r="Z30" s="2693">
        <f t="shared" si="15"/>
        <v>0</v>
      </c>
      <c r="AA30" s="2688">
        <f t="shared" si="5"/>
        <v>0</v>
      </c>
      <c r="AB30" s="2701">
        <f t="shared" si="6"/>
        <v>0</v>
      </c>
      <c r="AC30" s="452"/>
      <c r="AD30" s="589">
        <f t="shared" si="7"/>
        <v>0</v>
      </c>
      <c r="AE30" s="579" t="str">
        <f t="shared" si="16"/>
        <v/>
      </c>
      <c r="AF30" s="590">
        <f t="shared" si="8"/>
        <v>0</v>
      </c>
      <c r="AG30" s="591">
        <f t="shared" si="9"/>
        <v>0</v>
      </c>
      <c r="AH30" s="592"/>
      <c r="AI30" s="470"/>
      <c r="AK30" s="253"/>
    </row>
    <row r="31" spans="2:37" s="252" customFormat="1">
      <c r="B31" s="253"/>
      <c r="D31" s="471"/>
      <c r="E31" s="261" t="s">
        <v>2125</v>
      </c>
      <c r="F31" s="261"/>
      <c r="G31" s="433" t="s">
        <v>2126</v>
      </c>
      <c r="H31" s="445">
        <v>0</v>
      </c>
      <c r="I31" s="2497">
        <v>0</v>
      </c>
      <c r="J31" s="487">
        <f t="shared" si="10"/>
        <v>0</v>
      </c>
      <c r="K31" s="499">
        <f t="shared" si="2"/>
        <v>0</v>
      </c>
      <c r="L31" s="507">
        <f t="shared" si="3"/>
        <v>0</v>
      </c>
      <c r="M31" s="452"/>
      <c r="N31" s="445">
        <v>0</v>
      </c>
      <c r="O31" s="483">
        <f t="shared" si="14"/>
        <v>0</v>
      </c>
      <c r="P31" s="487">
        <f t="shared" si="11"/>
        <v>0</v>
      </c>
      <c r="Q31" s="499"/>
      <c r="R31" s="2157">
        <f t="shared" si="4"/>
        <v>0</v>
      </c>
      <c r="S31" s="452"/>
      <c r="T31" s="445">
        <v>0</v>
      </c>
      <c r="U31" s="2469">
        <f t="shared" si="12"/>
        <v>0</v>
      </c>
      <c r="V31" s="487">
        <f t="shared" si="13"/>
        <v>0</v>
      </c>
      <c r="W31" s="2586">
        <f t="shared" si="0"/>
        <v>0</v>
      </c>
      <c r="X31" s="2587">
        <f t="shared" si="1"/>
        <v>0</v>
      </c>
      <c r="Y31" s="452"/>
      <c r="Z31" s="2693">
        <f t="shared" si="15"/>
        <v>0</v>
      </c>
      <c r="AA31" s="2688">
        <f t="shared" si="5"/>
        <v>0</v>
      </c>
      <c r="AB31" s="2701">
        <f t="shared" si="6"/>
        <v>0</v>
      </c>
      <c r="AC31" s="452"/>
      <c r="AD31" s="589">
        <f t="shared" si="7"/>
        <v>0</v>
      </c>
      <c r="AE31" s="579" t="str">
        <f t="shared" si="16"/>
        <v/>
      </c>
      <c r="AF31" s="590">
        <f t="shared" si="8"/>
        <v>0</v>
      </c>
      <c r="AG31" s="591">
        <f t="shared" si="9"/>
        <v>0</v>
      </c>
      <c r="AH31" s="592"/>
      <c r="AI31" s="1849"/>
      <c r="AK31" s="253"/>
    </row>
    <row r="32" spans="2:37" s="252" customFormat="1">
      <c r="B32" s="253"/>
      <c r="D32" s="472"/>
      <c r="E32" s="430" t="s">
        <v>2127</v>
      </c>
      <c r="F32" s="430"/>
      <c r="G32" s="436" t="s">
        <v>2128</v>
      </c>
      <c r="H32" s="446">
        <v>0</v>
      </c>
      <c r="I32" s="2498">
        <v>0</v>
      </c>
      <c r="J32" s="488">
        <f t="shared" si="10"/>
        <v>0</v>
      </c>
      <c r="K32" s="500">
        <f t="shared" si="2"/>
        <v>0</v>
      </c>
      <c r="L32" s="508">
        <f t="shared" si="3"/>
        <v>0</v>
      </c>
      <c r="M32" s="453"/>
      <c r="N32" s="446">
        <v>0</v>
      </c>
      <c r="O32" s="1456">
        <f t="shared" si="14"/>
        <v>0</v>
      </c>
      <c r="P32" s="488">
        <f t="shared" si="11"/>
        <v>0</v>
      </c>
      <c r="Q32" s="500"/>
      <c r="R32" s="2158">
        <f t="shared" si="4"/>
        <v>0</v>
      </c>
      <c r="S32" s="453"/>
      <c r="T32" s="446">
        <v>0</v>
      </c>
      <c r="U32" s="2652">
        <f t="shared" si="12"/>
        <v>0</v>
      </c>
      <c r="V32" s="488">
        <f t="shared" si="13"/>
        <v>0</v>
      </c>
      <c r="W32" s="2588">
        <f t="shared" si="0"/>
        <v>0</v>
      </c>
      <c r="X32" s="2589">
        <f t="shared" si="1"/>
        <v>0</v>
      </c>
      <c r="Y32" s="453"/>
      <c r="Z32" s="2694">
        <f t="shared" si="15"/>
        <v>0</v>
      </c>
      <c r="AA32" s="2689">
        <f t="shared" si="5"/>
        <v>0</v>
      </c>
      <c r="AB32" s="2702">
        <f t="shared" si="6"/>
        <v>0</v>
      </c>
      <c r="AC32" s="453"/>
      <c r="AD32" s="593">
        <f t="shared" si="7"/>
        <v>0</v>
      </c>
      <c r="AE32" s="594" t="str">
        <f t="shared" si="16"/>
        <v/>
      </c>
      <c r="AF32" s="595">
        <f t="shared" si="8"/>
        <v>0</v>
      </c>
      <c r="AG32" s="596">
        <f t="shared" si="9"/>
        <v>0</v>
      </c>
      <c r="AH32" s="597"/>
      <c r="AI32" s="473"/>
      <c r="AK32" s="253"/>
    </row>
    <row r="33" spans="2:37" s="252" customFormat="1">
      <c r="B33" s="253"/>
      <c r="D33" s="474" t="s">
        <v>1081</v>
      </c>
      <c r="E33" s="431" t="s">
        <v>2129</v>
      </c>
      <c r="F33" s="431"/>
      <c r="G33" s="435" t="s">
        <v>2130</v>
      </c>
      <c r="H33" s="444">
        <f t="shared" ref="H33:H96" si="17">IF($K$9=0,0,IF(ISNA(VLOOKUP(G33,Units,$K$9-4,FALSE))=TRUE,0,VLOOKUP(G33,Units,$K$9-4,FALSE)))</f>
        <v>1</v>
      </c>
      <c r="I33" s="2556">
        <f t="shared" ref="I33:I38" si="18">IF($K$9=0,0,IF(ISNA(VLOOKUP(G33,Price,$K$9-4,FALSE))=TRUE,0,VLOOKUP(G33,Price,$K$9-4,FALSE)))</f>
        <v>11305</v>
      </c>
      <c r="J33" s="489">
        <f>IF(ISNUMBER(I33)=TRUE, H33*I33,0)</f>
        <v>11305</v>
      </c>
      <c r="K33" s="501">
        <f t="shared" si="2"/>
        <v>1.413125</v>
      </c>
      <c r="L33" s="509">
        <f t="shared" si="3"/>
        <v>471.04166666666669</v>
      </c>
      <c r="M33" s="454"/>
      <c r="N33" s="444">
        <v>0</v>
      </c>
      <c r="O33" s="1457">
        <f t="shared" si="14"/>
        <v>11305</v>
      </c>
      <c r="P33" s="489">
        <f t="shared" si="11"/>
        <v>0</v>
      </c>
      <c r="Q33" s="501"/>
      <c r="R33" s="2159">
        <f t="shared" si="4"/>
        <v>0</v>
      </c>
      <c r="S33" s="454"/>
      <c r="T33" s="444">
        <v>0</v>
      </c>
      <c r="U33" s="2471">
        <f t="shared" si="12"/>
        <v>11305</v>
      </c>
      <c r="V33" s="489">
        <f t="shared" si="13"/>
        <v>0</v>
      </c>
      <c r="W33" s="2590">
        <f t="shared" si="0"/>
        <v>0</v>
      </c>
      <c r="X33" s="2591">
        <f t="shared" si="1"/>
        <v>0</v>
      </c>
      <c r="Y33" s="454"/>
      <c r="Z33" s="2692">
        <f t="shared" si="15"/>
        <v>1</v>
      </c>
      <c r="AA33" s="2690">
        <f t="shared" si="5"/>
        <v>11305</v>
      </c>
      <c r="AB33" s="2703">
        <f t="shared" si="6"/>
        <v>1.2561111111111112</v>
      </c>
      <c r="AC33" s="454"/>
      <c r="AD33" s="585">
        <f t="shared" si="7"/>
        <v>1</v>
      </c>
      <c r="AE33" s="598">
        <f t="shared" si="16"/>
        <v>11305</v>
      </c>
      <c r="AF33" s="599">
        <f t="shared" si="8"/>
        <v>11305</v>
      </c>
      <c r="AG33" s="600">
        <f t="shared" si="9"/>
        <v>1.2561111111111112</v>
      </c>
      <c r="AH33" s="601"/>
      <c r="AI33" s="475"/>
      <c r="AK33" s="253"/>
    </row>
    <row r="34" spans="2:37" s="252" customFormat="1">
      <c r="B34" s="253"/>
      <c r="D34" s="471" t="s">
        <v>1082</v>
      </c>
      <c r="E34" s="261" t="s">
        <v>812</v>
      </c>
      <c r="F34" s="261"/>
      <c r="G34" s="433" t="s">
        <v>2131</v>
      </c>
      <c r="H34" s="445">
        <f t="shared" si="17"/>
        <v>1</v>
      </c>
      <c r="I34" s="2497">
        <v>20000</v>
      </c>
      <c r="J34" s="487">
        <f t="shared" ref="J34:J39" si="19">IF(ISNUMBER(I34)=TRUE, H34*I34,0)</f>
        <v>20000</v>
      </c>
      <c r="K34" s="499">
        <f t="shared" si="2"/>
        <v>2.5</v>
      </c>
      <c r="L34" s="507">
        <f t="shared" si="3"/>
        <v>833.33333333333337</v>
      </c>
      <c r="M34" s="452"/>
      <c r="N34" s="445">
        <v>0</v>
      </c>
      <c r="O34" s="483">
        <f t="shared" si="14"/>
        <v>20000</v>
      </c>
      <c r="P34" s="487">
        <f t="shared" si="11"/>
        <v>0</v>
      </c>
      <c r="Q34" s="499"/>
      <c r="R34" s="2157">
        <f t="shared" si="4"/>
        <v>0</v>
      </c>
      <c r="S34" s="452"/>
      <c r="T34" s="445">
        <v>1</v>
      </c>
      <c r="U34" s="2469">
        <v>6000</v>
      </c>
      <c r="V34" s="487">
        <f t="shared" si="13"/>
        <v>6000</v>
      </c>
      <c r="W34" s="2586">
        <f t="shared" si="0"/>
        <v>6</v>
      </c>
      <c r="X34" s="2587">
        <f t="shared" si="1"/>
        <v>1500</v>
      </c>
      <c r="Y34" s="452"/>
      <c r="Z34" s="2693">
        <f t="shared" si="15"/>
        <v>2</v>
      </c>
      <c r="AA34" s="2688">
        <f t="shared" si="5"/>
        <v>26000</v>
      </c>
      <c r="AB34" s="2701">
        <f t="shared" si="6"/>
        <v>2.8888888888888888</v>
      </c>
      <c r="AC34" s="452"/>
      <c r="AD34" s="589">
        <f t="shared" si="7"/>
        <v>2</v>
      </c>
      <c r="AE34" s="579">
        <f t="shared" si="16"/>
        <v>13000</v>
      </c>
      <c r="AF34" s="590">
        <f t="shared" si="8"/>
        <v>26000</v>
      </c>
      <c r="AG34" s="591">
        <f t="shared" si="9"/>
        <v>2.8888888888888888</v>
      </c>
      <c r="AH34" s="592"/>
      <c r="AI34" s="470"/>
      <c r="AK34" s="253"/>
    </row>
    <row r="35" spans="2:37" s="252" customFormat="1">
      <c r="B35" s="253"/>
      <c r="D35" s="471"/>
      <c r="E35" s="261" t="s">
        <v>2132</v>
      </c>
      <c r="F35" s="261"/>
      <c r="G35" s="433" t="s">
        <v>2133</v>
      </c>
      <c r="H35" s="445">
        <f t="shared" si="17"/>
        <v>1</v>
      </c>
      <c r="I35" s="2497">
        <f t="shared" si="18"/>
        <v>0</v>
      </c>
      <c r="J35" s="487">
        <f t="shared" si="19"/>
        <v>0</v>
      </c>
      <c r="K35" s="499">
        <f t="shared" si="2"/>
        <v>0</v>
      </c>
      <c r="L35" s="507">
        <f t="shared" si="3"/>
        <v>0</v>
      </c>
      <c r="M35" s="452"/>
      <c r="N35" s="445">
        <v>0</v>
      </c>
      <c r="O35" s="483">
        <f t="shared" si="14"/>
        <v>0</v>
      </c>
      <c r="P35" s="487">
        <f t="shared" si="11"/>
        <v>0</v>
      </c>
      <c r="Q35" s="499"/>
      <c r="R35" s="2157">
        <f t="shared" si="4"/>
        <v>0</v>
      </c>
      <c r="S35" s="452"/>
      <c r="T35" s="445">
        <v>0</v>
      </c>
      <c r="U35" s="2469">
        <f t="shared" si="12"/>
        <v>0</v>
      </c>
      <c r="V35" s="487">
        <f>IF(ISNUMBER(U35)=TRUE, T35*U35,0)</f>
        <v>0</v>
      </c>
      <c r="W35" s="2586">
        <f>IF(V35=0,0,V35/$W$8)</f>
        <v>0</v>
      </c>
      <c r="X35" s="2587">
        <f>V35/($W$12)</f>
        <v>0</v>
      </c>
      <c r="Y35" s="452"/>
      <c r="Z35" s="2693">
        <f t="shared" si="15"/>
        <v>1</v>
      </c>
      <c r="AA35" s="2688">
        <f t="shared" si="5"/>
        <v>0</v>
      </c>
      <c r="AB35" s="2701">
        <f t="shared" si="6"/>
        <v>0</v>
      </c>
      <c r="AC35" s="452"/>
      <c r="AD35" s="589">
        <f t="shared" si="7"/>
        <v>1</v>
      </c>
      <c r="AE35" s="579">
        <f t="shared" si="16"/>
        <v>0</v>
      </c>
      <c r="AF35" s="590">
        <f t="shared" si="8"/>
        <v>0</v>
      </c>
      <c r="AG35" s="591">
        <f t="shared" si="9"/>
        <v>0</v>
      </c>
      <c r="AH35" s="592"/>
      <c r="AI35" s="470"/>
      <c r="AK35" s="253"/>
    </row>
    <row r="36" spans="2:37" s="252" customFormat="1">
      <c r="B36" s="253"/>
      <c r="D36" s="471"/>
      <c r="E36" s="261" t="s">
        <v>2134</v>
      </c>
      <c r="F36" s="261"/>
      <c r="G36" s="433" t="s">
        <v>2135</v>
      </c>
      <c r="H36" s="445">
        <f t="shared" si="17"/>
        <v>1</v>
      </c>
      <c r="I36" s="2497">
        <f t="shared" si="18"/>
        <v>0</v>
      </c>
      <c r="J36" s="487">
        <f t="shared" si="19"/>
        <v>0</v>
      </c>
      <c r="K36" s="499">
        <f t="shared" si="2"/>
        <v>0</v>
      </c>
      <c r="L36" s="507">
        <f t="shared" si="3"/>
        <v>0</v>
      </c>
      <c r="M36" s="452"/>
      <c r="N36" s="445">
        <v>0</v>
      </c>
      <c r="O36" s="483">
        <f t="shared" si="14"/>
        <v>0</v>
      </c>
      <c r="P36" s="487">
        <f t="shared" si="11"/>
        <v>0</v>
      </c>
      <c r="Q36" s="499"/>
      <c r="R36" s="2157">
        <f t="shared" si="4"/>
        <v>0</v>
      </c>
      <c r="S36" s="452"/>
      <c r="T36" s="445">
        <v>0</v>
      </c>
      <c r="U36" s="2469">
        <f t="shared" si="12"/>
        <v>0</v>
      </c>
      <c r="V36" s="487">
        <f>IF(ISNUMBER(U36)=TRUE, T36*U36,0)</f>
        <v>0</v>
      </c>
      <c r="W36" s="2586">
        <f>IF(V36=0,0,V36/$W$8)</f>
        <v>0</v>
      </c>
      <c r="X36" s="2587">
        <f>V36/($W$12)</f>
        <v>0</v>
      </c>
      <c r="Y36" s="452"/>
      <c r="Z36" s="2693">
        <f t="shared" si="15"/>
        <v>1</v>
      </c>
      <c r="AA36" s="2688">
        <f t="shared" si="5"/>
        <v>0</v>
      </c>
      <c r="AB36" s="2701">
        <f t="shared" si="6"/>
        <v>0</v>
      </c>
      <c r="AC36" s="452"/>
      <c r="AD36" s="589">
        <f t="shared" si="7"/>
        <v>1</v>
      </c>
      <c r="AE36" s="579">
        <f t="shared" si="16"/>
        <v>0</v>
      </c>
      <c r="AF36" s="590">
        <f t="shared" si="8"/>
        <v>0</v>
      </c>
      <c r="AG36" s="591">
        <f t="shared" si="9"/>
        <v>0</v>
      </c>
      <c r="AH36" s="592"/>
      <c r="AI36" s="470"/>
      <c r="AK36" s="253"/>
    </row>
    <row r="37" spans="2:37" s="252" customFormat="1">
      <c r="B37" s="253"/>
      <c r="D37" s="471" t="s">
        <v>3930</v>
      </c>
      <c r="E37" s="261" t="s">
        <v>2136</v>
      </c>
      <c r="F37" s="261"/>
      <c r="G37" s="433" t="s">
        <v>2137</v>
      </c>
      <c r="H37" s="445">
        <f t="shared" si="17"/>
        <v>27</v>
      </c>
      <c r="I37" s="2497">
        <f t="shared" si="18"/>
        <v>1500</v>
      </c>
      <c r="J37" s="487">
        <f t="shared" si="19"/>
        <v>40500</v>
      </c>
      <c r="K37" s="499">
        <f t="shared" si="2"/>
        <v>5.0625</v>
      </c>
      <c r="L37" s="507">
        <f t="shared" si="3"/>
        <v>1687.5</v>
      </c>
      <c r="M37" s="452"/>
      <c r="N37" s="445">
        <v>0</v>
      </c>
      <c r="O37" s="483">
        <f t="shared" si="14"/>
        <v>1500</v>
      </c>
      <c r="P37" s="487">
        <f t="shared" si="11"/>
        <v>0</v>
      </c>
      <c r="Q37" s="499"/>
      <c r="R37" s="2157">
        <f t="shared" si="4"/>
        <v>0</v>
      </c>
      <c r="S37" s="452"/>
      <c r="T37" s="445">
        <v>4</v>
      </c>
      <c r="U37" s="2469">
        <f t="shared" si="12"/>
        <v>1500</v>
      </c>
      <c r="V37" s="487">
        <f>IF(ISNUMBER(U37)=TRUE, T37*U37,0)</f>
        <v>6000</v>
      </c>
      <c r="W37" s="2586">
        <f>IF(V37=0,0,V37/$W$8)</f>
        <v>6</v>
      </c>
      <c r="X37" s="2587">
        <f>V37/($W$12)</f>
        <v>1500</v>
      </c>
      <c r="Y37" s="452"/>
      <c r="Z37" s="2693">
        <f t="shared" si="15"/>
        <v>31</v>
      </c>
      <c r="AA37" s="2688">
        <f t="shared" si="5"/>
        <v>46500</v>
      </c>
      <c r="AB37" s="2701">
        <f t="shared" si="6"/>
        <v>5.166666666666667</v>
      </c>
      <c r="AC37" s="452"/>
      <c r="AD37" s="602">
        <f t="shared" si="7"/>
        <v>31</v>
      </c>
      <c r="AE37" s="579">
        <f t="shared" si="16"/>
        <v>1500</v>
      </c>
      <c r="AF37" s="590">
        <f t="shared" si="8"/>
        <v>46500</v>
      </c>
      <c r="AG37" s="591">
        <f t="shared" si="9"/>
        <v>5.166666666666667</v>
      </c>
      <c r="AH37" s="592"/>
      <c r="AI37" s="470"/>
      <c r="AK37" s="253"/>
    </row>
    <row r="38" spans="2:37" s="252" customFormat="1">
      <c r="B38" s="253"/>
      <c r="D38" s="471"/>
      <c r="E38" s="261" t="s">
        <v>2138</v>
      </c>
      <c r="F38" s="261"/>
      <c r="G38" s="433" t="s">
        <v>2139</v>
      </c>
      <c r="H38" s="445">
        <f t="shared" si="17"/>
        <v>1</v>
      </c>
      <c r="I38" s="2497">
        <f t="shared" si="18"/>
        <v>18000</v>
      </c>
      <c r="J38" s="487">
        <f t="shared" si="19"/>
        <v>18000</v>
      </c>
      <c r="K38" s="499">
        <f t="shared" si="2"/>
        <v>2.25</v>
      </c>
      <c r="L38" s="507">
        <f t="shared" si="3"/>
        <v>750</v>
      </c>
      <c r="M38" s="452"/>
      <c r="N38" s="445">
        <v>0</v>
      </c>
      <c r="O38" s="483">
        <f t="shared" si="14"/>
        <v>18000</v>
      </c>
      <c r="P38" s="487">
        <f t="shared" si="11"/>
        <v>0</v>
      </c>
      <c r="Q38" s="499"/>
      <c r="R38" s="2157">
        <f t="shared" si="4"/>
        <v>0</v>
      </c>
      <c r="S38" s="452"/>
      <c r="T38" s="445">
        <v>0</v>
      </c>
      <c r="U38" s="2469">
        <f t="shared" si="12"/>
        <v>18000</v>
      </c>
      <c r="V38" s="487">
        <f>IF(ISNUMBER(U38)=TRUE, T38*U38,0)</f>
        <v>0</v>
      </c>
      <c r="W38" s="2586">
        <f>IF(V38=0,0,V38/$W$8)</f>
        <v>0</v>
      </c>
      <c r="X38" s="2587">
        <f>V38/($W$12)</f>
        <v>0</v>
      </c>
      <c r="Y38" s="452"/>
      <c r="Z38" s="2693">
        <f t="shared" si="15"/>
        <v>1</v>
      </c>
      <c r="AA38" s="2688">
        <f t="shared" si="5"/>
        <v>18000</v>
      </c>
      <c r="AB38" s="2701">
        <f t="shared" si="6"/>
        <v>2</v>
      </c>
      <c r="AC38" s="452"/>
      <c r="AD38" s="589">
        <f t="shared" si="7"/>
        <v>1</v>
      </c>
      <c r="AE38" s="579">
        <f t="shared" si="16"/>
        <v>18000</v>
      </c>
      <c r="AF38" s="590">
        <f t="shared" si="8"/>
        <v>18000</v>
      </c>
      <c r="AG38" s="591">
        <f t="shared" si="9"/>
        <v>2</v>
      </c>
      <c r="AH38" s="592"/>
      <c r="AI38" s="470"/>
      <c r="AK38" s="253"/>
    </row>
    <row r="39" spans="2:37" s="252" customFormat="1">
      <c r="B39" s="253"/>
      <c r="D39" s="471"/>
      <c r="E39" s="261" t="s">
        <v>2667</v>
      </c>
      <c r="F39" s="261"/>
      <c r="G39" s="433" t="s">
        <v>2666</v>
      </c>
      <c r="H39" s="445">
        <f t="shared" si="17"/>
        <v>0</v>
      </c>
      <c r="I39" s="2497">
        <f t="shared" ref="I39:I102" si="20">IF($K$9=0,0,IF(ISNA(VLOOKUP(G39,Price,$K$9-4,FALSE))=TRUE,0,VLOOKUP(G39,Price,$K$9-4,FALSE)))</f>
        <v>0</v>
      </c>
      <c r="J39" s="487">
        <f t="shared" si="19"/>
        <v>0</v>
      </c>
      <c r="K39" s="499">
        <f t="shared" si="2"/>
        <v>0</v>
      </c>
      <c r="L39" s="507">
        <f t="shared" si="3"/>
        <v>0</v>
      </c>
      <c r="M39" s="452"/>
      <c r="N39" s="445">
        <v>0</v>
      </c>
      <c r="O39" s="483">
        <f t="shared" si="14"/>
        <v>0</v>
      </c>
      <c r="P39" s="487">
        <f t="shared" si="11"/>
        <v>0</v>
      </c>
      <c r="Q39" s="499"/>
      <c r="R39" s="2157">
        <f t="shared" si="4"/>
        <v>0</v>
      </c>
      <c r="S39" s="452"/>
      <c r="T39" s="2634"/>
      <c r="U39" s="2635"/>
      <c r="V39" s="2596"/>
      <c r="W39" s="2597"/>
      <c r="X39" s="2598"/>
      <c r="Y39" s="452"/>
      <c r="Z39" s="2693">
        <f t="shared" si="15"/>
        <v>0</v>
      </c>
      <c r="AA39" s="2688">
        <f t="shared" si="5"/>
        <v>0</v>
      </c>
      <c r="AB39" s="2701">
        <f t="shared" si="6"/>
        <v>0</v>
      </c>
      <c r="AC39" s="452"/>
      <c r="AD39" s="589">
        <f t="shared" si="7"/>
        <v>0</v>
      </c>
      <c r="AE39" s="579" t="str">
        <f t="shared" si="16"/>
        <v/>
      </c>
      <c r="AF39" s="590">
        <f t="shared" si="8"/>
        <v>0</v>
      </c>
      <c r="AG39" s="591">
        <f t="shared" si="9"/>
        <v>0</v>
      </c>
      <c r="AH39" s="592"/>
      <c r="AI39" s="470"/>
      <c r="AK39" s="253"/>
    </row>
    <row r="40" spans="2:37" s="252" customFormat="1">
      <c r="B40" s="253"/>
      <c r="D40" s="471"/>
      <c r="E40" s="261" t="s">
        <v>1865</v>
      </c>
      <c r="F40" s="261"/>
      <c r="G40" s="433" t="s">
        <v>1864</v>
      </c>
      <c r="H40" s="445">
        <f t="shared" si="17"/>
        <v>1</v>
      </c>
      <c r="I40" s="2497">
        <f t="shared" si="20"/>
        <v>11000</v>
      </c>
      <c r="J40" s="487">
        <f>IF(ISNUMBER(I40)=TRUE, H40*I40,0)</f>
        <v>11000</v>
      </c>
      <c r="K40" s="499">
        <f t="shared" si="2"/>
        <v>1.375</v>
      </c>
      <c r="L40" s="507">
        <f t="shared" si="3"/>
        <v>458.33333333333331</v>
      </c>
      <c r="M40" s="452"/>
      <c r="N40" s="445">
        <v>0</v>
      </c>
      <c r="O40" s="483">
        <f t="shared" si="14"/>
        <v>11000</v>
      </c>
      <c r="P40" s="487">
        <f t="shared" si="11"/>
        <v>0</v>
      </c>
      <c r="Q40" s="499"/>
      <c r="R40" s="2157">
        <f t="shared" si="4"/>
        <v>0</v>
      </c>
      <c r="S40" s="452"/>
      <c r="T40" s="445">
        <v>1</v>
      </c>
      <c r="U40" s="2469">
        <f>O40</f>
        <v>11000</v>
      </c>
      <c r="V40" s="487">
        <f>IF(ISNUMBER(U40)=TRUE, T40*U40,0)</f>
        <v>11000</v>
      </c>
      <c r="W40" s="2586">
        <f>IF(V40=0,0,V40/$W$8)</f>
        <v>11</v>
      </c>
      <c r="X40" s="2587">
        <f>V40/($W$12)</f>
        <v>2750</v>
      </c>
      <c r="Y40" s="452"/>
      <c r="Z40" s="2693">
        <f t="shared" si="15"/>
        <v>2</v>
      </c>
      <c r="AA40" s="2688">
        <f t="shared" si="5"/>
        <v>22000</v>
      </c>
      <c r="AB40" s="2701">
        <f t="shared" si="6"/>
        <v>2.4444444444444446</v>
      </c>
      <c r="AC40" s="452"/>
      <c r="AD40" s="589">
        <f t="shared" si="7"/>
        <v>2</v>
      </c>
      <c r="AE40" s="579">
        <f t="shared" si="16"/>
        <v>11000</v>
      </c>
      <c r="AF40" s="590">
        <f t="shared" si="8"/>
        <v>22000</v>
      </c>
      <c r="AG40" s="591">
        <f t="shared" si="9"/>
        <v>2.4444444444444446</v>
      </c>
      <c r="AH40" s="592"/>
      <c r="AI40" s="1849" t="s">
        <v>2409</v>
      </c>
      <c r="AK40" s="253"/>
    </row>
    <row r="41" spans="2:37" s="252" customFormat="1">
      <c r="B41" s="253"/>
      <c r="D41" s="472"/>
      <c r="E41" s="430" t="s">
        <v>1866</v>
      </c>
      <c r="F41" s="430"/>
      <c r="G41" s="436" t="s">
        <v>1867</v>
      </c>
      <c r="H41" s="446">
        <f t="shared" si="17"/>
        <v>1</v>
      </c>
      <c r="I41" s="2498">
        <f t="shared" si="20"/>
        <v>19000</v>
      </c>
      <c r="J41" s="488">
        <f>IF(ISNUMBER(I41)=TRUE, H41*I41,0)</f>
        <v>19000</v>
      </c>
      <c r="K41" s="500">
        <f t="shared" si="2"/>
        <v>2.375</v>
      </c>
      <c r="L41" s="508">
        <f t="shared" si="3"/>
        <v>791.66666666666663</v>
      </c>
      <c r="M41" s="453"/>
      <c r="N41" s="446">
        <v>0</v>
      </c>
      <c r="O41" s="1456">
        <f t="shared" si="14"/>
        <v>19000</v>
      </c>
      <c r="P41" s="488">
        <f t="shared" si="11"/>
        <v>0</v>
      </c>
      <c r="Q41" s="500"/>
      <c r="R41" s="2158">
        <f t="shared" si="4"/>
        <v>0</v>
      </c>
      <c r="S41" s="453"/>
      <c r="T41" s="446">
        <v>0</v>
      </c>
      <c r="U41" s="2652">
        <f>O41</f>
        <v>19000</v>
      </c>
      <c r="V41" s="488">
        <f>IF(ISNUMBER(U41)=TRUE, T41*U41,0)</f>
        <v>0</v>
      </c>
      <c r="W41" s="2588">
        <f>IF(V41=0,0,V41/$W$8)</f>
        <v>0</v>
      </c>
      <c r="X41" s="2589">
        <f>V41/($W$12)</f>
        <v>0</v>
      </c>
      <c r="Y41" s="453"/>
      <c r="Z41" s="2694">
        <f t="shared" si="15"/>
        <v>1</v>
      </c>
      <c r="AA41" s="2689">
        <f t="shared" si="5"/>
        <v>19000</v>
      </c>
      <c r="AB41" s="2702">
        <f t="shared" si="6"/>
        <v>2.1111111111111112</v>
      </c>
      <c r="AC41" s="453"/>
      <c r="AD41" s="603">
        <f t="shared" si="7"/>
        <v>1</v>
      </c>
      <c r="AE41" s="594">
        <f t="shared" si="16"/>
        <v>19000</v>
      </c>
      <c r="AF41" s="595">
        <f t="shared" si="8"/>
        <v>19000</v>
      </c>
      <c r="AG41" s="596">
        <f t="shared" si="9"/>
        <v>2.1111111111111112</v>
      </c>
      <c r="AH41" s="597"/>
      <c r="AI41" s="473"/>
      <c r="AK41" s="253"/>
    </row>
    <row r="42" spans="2:37" s="252" customFormat="1">
      <c r="B42" s="253"/>
      <c r="D42" s="474" t="s">
        <v>3343</v>
      </c>
      <c r="E42" s="431" t="s">
        <v>2140</v>
      </c>
      <c r="F42" s="431"/>
      <c r="G42" s="435" t="s">
        <v>2141</v>
      </c>
      <c r="H42" s="444">
        <f t="shared" si="17"/>
        <v>1</v>
      </c>
      <c r="I42" s="2556">
        <f t="shared" si="20"/>
        <v>100000</v>
      </c>
      <c r="J42" s="489">
        <f t="shared" ref="J42:J105" si="21">IF(ISNUMBER(I42)=TRUE, H42*I42,0)</f>
        <v>100000</v>
      </c>
      <c r="K42" s="501">
        <f t="shared" si="2"/>
        <v>12.5</v>
      </c>
      <c r="L42" s="509">
        <f t="shared" si="3"/>
        <v>4166.666666666667</v>
      </c>
      <c r="M42" s="454"/>
      <c r="N42" s="444">
        <v>0</v>
      </c>
      <c r="O42" s="1457">
        <f t="shared" si="14"/>
        <v>100000</v>
      </c>
      <c r="P42" s="489">
        <f t="shared" si="11"/>
        <v>0</v>
      </c>
      <c r="Q42" s="501"/>
      <c r="R42" s="2159">
        <f t="shared" si="4"/>
        <v>0</v>
      </c>
      <c r="S42" s="454"/>
      <c r="T42" s="2638"/>
      <c r="U42" s="2639"/>
      <c r="V42" s="2602"/>
      <c r="W42" s="2603"/>
      <c r="X42" s="2604"/>
      <c r="Y42" s="454"/>
      <c r="Z42" s="2692">
        <f t="shared" si="15"/>
        <v>1</v>
      </c>
      <c r="AA42" s="2690">
        <f t="shared" si="5"/>
        <v>100000</v>
      </c>
      <c r="AB42" s="2703">
        <f t="shared" si="6"/>
        <v>11.111111111111111</v>
      </c>
      <c r="AC42" s="454"/>
      <c r="AD42" s="585">
        <f t="shared" si="7"/>
        <v>1</v>
      </c>
      <c r="AE42" s="598">
        <f t="shared" si="16"/>
        <v>100000</v>
      </c>
      <c r="AF42" s="599">
        <f t="shared" si="8"/>
        <v>100000</v>
      </c>
      <c r="AG42" s="600">
        <f t="shared" si="9"/>
        <v>11.111111111111111</v>
      </c>
      <c r="AH42" s="601"/>
      <c r="AI42" s="475"/>
      <c r="AK42" s="253"/>
    </row>
    <row r="43" spans="2:37" s="252" customFormat="1">
      <c r="B43" s="253"/>
      <c r="D43" s="471" t="s">
        <v>3342</v>
      </c>
      <c r="E43" s="261" t="s">
        <v>1859</v>
      </c>
      <c r="F43" s="261"/>
      <c r="G43" s="433" t="s">
        <v>2700</v>
      </c>
      <c r="H43" s="445">
        <f t="shared" si="17"/>
        <v>26</v>
      </c>
      <c r="I43" s="2497">
        <f t="shared" si="20"/>
        <v>500</v>
      </c>
      <c r="J43" s="487">
        <f t="shared" si="21"/>
        <v>13000</v>
      </c>
      <c r="K43" s="499">
        <f t="shared" si="2"/>
        <v>1.625</v>
      </c>
      <c r="L43" s="507">
        <f t="shared" si="3"/>
        <v>541.66666666666663</v>
      </c>
      <c r="M43" s="452"/>
      <c r="N43" s="445">
        <v>0</v>
      </c>
      <c r="O43" s="483">
        <f t="shared" si="14"/>
        <v>500</v>
      </c>
      <c r="P43" s="487">
        <f t="shared" si="11"/>
        <v>0</v>
      </c>
      <c r="Q43" s="499"/>
      <c r="R43" s="2157">
        <f t="shared" si="4"/>
        <v>0</v>
      </c>
      <c r="S43" s="452"/>
      <c r="T43" s="2634"/>
      <c r="U43" s="2635"/>
      <c r="V43" s="2596"/>
      <c r="W43" s="2597"/>
      <c r="X43" s="2598"/>
      <c r="Y43" s="452"/>
      <c r="Z43" s="2693">
        <f t="shared" si="15"/>
        <v>26</v>
      </c>
      <c r="AA43" s="2688">
        <f t="shared" si="5"/>
        <v>13000</v>
      </c>
      <c r="AB43" s="2701">
        <f t="shared" si="6"/>
        <v>1.4444444444444444</v>
      </c>
      <c r="AC43" s="452"/>
      <c r="AD43" s="589">
        <f t="shared" si="7"/>
        <v>26</v>
      </c>
      <c r="AE43" s="579">
        <f t="shared" si="16"/>
        <v>500</v>
      </c>
      <c r="AF43" s="590">
        <f t="shared" si="8"/>
        <v>13000</v>
      </c>
      <c r="AG43" s="591">
        <f t="shared" si="9"/>
        <v>1.4444444444444444</v>
      </c>
      <c r="AH43" s="592"/>
      <c r="AI43" s="470"/>
      <c r="AK43" s="253"/>
    </row>
    <row r="44" spans="2:37" s="252" customFormat="1">
      <c r="B44" s="253"/>
      <c r="D44" s="471"/>
      <c r="E44" s="261" t="s">
        <v>2701</v>
      </c>
      <c r="F44" s="261"/>
      <c r="G44" s="433" t="s">
        <v>2702</v>
      </c>
      <c r="H44" s="445">
        <f t="shared" si="17"/>
        <v>1</v>
      </c>
      <c r="I44" s="2497">
        <f t="shared" si="20"/>
        <v>3800</v>
      </c>
      <c r="J44" s="487">
        <f t="shared" si="21"/>
        <v>3800</v>
      </c>
      <c r="K44" s="499">
        <f t="shared" si="2"/>
        <v>0.47499999999999998</v>
      </c>
      <c r="L44" s="507">
        <f t="shared" si="3"/>
        <v>158.33333333333334</v>
      </c>
      <c r="M44" s="452"/>
      <c r="N44" s="445">
        <v>0</v>
      </c>
      <c r="O44" s="483">
        <f t="shared" si="14"/>
        <v>3800</v>
      </c>
      <c r="P44" s="487">
        <f t="shared" si="11"/>
        <v>0</v>
      </c>
      <c r="Q44" s="499"/>
      <c r="R44" s="2157">
        <f t="shared" si="4"/>
        <v>0</v>
      </c>
      <c r="S44" s="452"/>
      <c r="T44" s="2634"/>
      <c r="U44" s="2635"/>
      <c r="V44" s="2596"/>
      <c r="W44" s="2597"/>
      <c r="X44" s="2598"/>
      <c r="Y44" s="452"/>
      <c r="Z44" s="2693">
        <f t="shared" si="15"/>
        <v>1</v>
      </c>
      <c r="AA44" s="2688">
        <f t="shared" si="5"/>
        <v>3800</v>
      </c>
      <c r="AB44" s="2701">
        <f t="shared" si="6"/>
        <v>0.42222222222222222</v>
      </c>
      <c r="AC44" s="452"/>
      <c r="AD44" s="589">
        <f t="shared" si="7"/>
        <v>1</v>
      </c>
      <c r="AE44" s="579">
        <f t="shared" si="16"/>
        <v>3800</v>
      </c>
      <c r="AF44" s="590">
        <f t="shared" si="8"/>
        <v>3800</v>
      </c>
      <c r="AG44" s="591">
        <f t="shared" si="9"/>
        <v>0.42222222222222222</v>
      </c>
      <c r="AH44" s="592"/>
      <c r="AI44" s="470"/>
      <c r="AK44" s="253"/>
    </row>
    <row r="45" spans="2:37" s="252" customFormat="1">
      <c r="B45" s="253"/>
      <c r="D45" s="471"/>
      <c r="E45" s="261" t="s">
        <v>2703</v>
      </c>
      <c r="F45" s="261"/>
      <c r="G45" s="433" t="s">
        <v>2704</v>
      </c>
      <c r="H45" s="445">
        <f t="shared" si="17"/>
        <v>2</v>
      </c>
      <c r="I45" s="2497">
        <f t="shared" si="20"/>
        <v>1550</v>
      </c>
      <c r="J45" s="487">
        <f t="shared" si="21"/>
        <v>3100</v>
      </c>
      <c r="K45" s="499">
        <f t="shared" si="2"/>
        <v>0.38750000000000001</v>
      </c>
      <c r="L45" s="507">
        <f t="shared" si="3"/>
        <v>129.16666666666666</v>
      </c>
      <c r="M45" s="452"/>
      <c r="N45" s="445">
        <v>0</v>
      </c>
      <c r="O45" s="483">
        <f t="shared" si="14"/>
        <v>1550</v>
      </c>
      <c r="P45" s="487">
        <f t="shared" si="11"/>
        <v>0</v>
      </c>
      <c r="Q45" s="499"/>
      <c r="R45" s="2157">
        <f t="shared" si="4"/>
        <v>0</v>
      </c>
      <c r="S45" s="452"/>
      <c r="T45" s="2634"/>
      <c r="U45" s="2635"/>
      <c r="V45" s="2596"/>
      <c r="W45" s="2597"/>
      <c r="X45" s="2598"/>
      <c r="Y45" s="452"/>
      <c r="Z45" s="2693">
        <f t="shared" si="15"/>
        <v>2</v>
      </c>
      <c r="AA45" s="2688">
        <f t="shared" si="5"/>
        <v>3100</v>
      </c>
      <c r="AB45" s="2701">
        <f t="shared" si="6"/>
        <v>0.34444444444444444</v>
      </c>
      <c r="AC45" s="452"/>
      <c r="AD45" s="589">
        <f t="shared" si="7"/>
        <v>2</v>
      </c>
      <c r="AE45" s="579">
        <f t="shared" si="16"/>
        <v>1550</v>
      </c>
      <c r="AF45" s="590">
        <f t="shared" si="8"/>
        <v>3100</v>
      </c>
      <c r="AG45" s="591">
        <f t="shared" si="9"/>
        <v>0.34444444444444444</v>
      </c>
      <c r="AH45" s="592"/>
      <c r="AI45" s="470"/>
      <c r="AK45" s="253"/>
    </row>
    <row r="46" spans="2:37" s="252" customFormat="1">
      <c r="B46" s="253"/>
      <c r="D46" s="471"/>
      <c r="E46" s="261" t="s">
        <v>2368</v>
      </c>
      <c r="F46" s="261"/>
      <c r="G46" s="433" t="s">
        <v>2369</v>
      </c>
      <c r="H46" s="445">
        <f t="shared" si="17"/>
        <v>2</v>
      </c>
      <c r="I46" s="2497">
        <f t="shared" si="20"/>
        <v>600</v>
      </c>
      <c r="J46" s="487">
        <f t="shared" si="21"/>
        <v>1200</v>
      </c>
      <c r="K46" s="499">
        <f t="shared" si="2"/>
        <v>0.15</v>
      </c>
      <c r="L46" s="507">
        <f t="shared" si="3"/>
        <v>50</v>
      </c>
      <c r="M46" s="452"/>
      <c r="N46" s="445">
        <v>0</v>
      </c>
      <c r="O46" s="483">
        <f t="shared" si="14"/>
        <v>600</v>
      </c>
      <c r="P46" s="487">
        <f t="shared" si="11"/>
        <v>0</v>
      </c>
      <c r="Q46" s="499"/>
      <c r="R46" s="2157">
        <f t="shared" si="4"/>
        <v>0</v>
      </c>
      <c r="S46" s="452"/>
      <c r="T46" s="2634"/>
      <c r="U46" s="2635"/>
      <c r="V46" s="2596"/>
      <c r="W46" s="2597"/>
      <c r="X46" s="2598"/>
      <c r="Y46" s="452"/>
      <c r="Z46" s="2693">
        <f t="shared" si="15"/>
        <v>2</v>
      </c>
      <c r="AA46" s="2688">
        <f t="shared" si="5"/>
        <v>1200</v>
      </c>
      <c r="AB46" s="2701">
        <f t="shared" si="6"/>
        <v>0.13333333333333333</v>
      </c>
      <c r="AC46" s="452"/>
      <c r="AD46" s="589">
        <f t="shared" si="7"/>
        <v>2</v>
      </c>
      <c r="AE46" s="579">
        <f t="shared" si="16"/>
        <v>600</v>
      </c>
      <c r="AF46" s="590">
        <f t="shared" si="8"/>
        <v>1200</v>
      </c>
      <c r="AG46" s="591">
        <f t="shared" si="9"/>
        <v>0.13333333333333333</v>
      </c>
      <c r="AH46" s="592"/>
      <c r="AI46" s="470"/>
      <c r="AK46" s="253"/>
    </row>
    <row r="47" spans="2:37" s="252" customFormat="1">
      <c r="B47" s="253"/>
      <c r="D47" s="471"/>
      <c r="E47" s="261" t="s">
        <v>2370</v>
      </c>
      <c r="F47" s="261"/>
      <c r="G47" s="433" t="s">
        <v>2371</v>
      </c>
      <c r="H47" s="445">
        <f t="shared" si="17"/>
        <v>1</v>
      </c>
      <c r="I47" s="2497">
        <f t="shared" si="20"/>
        <v>200</v>
      </c>
      <c r="J47" s="487">
        <f t="shared" si="21"/>
        <v>200</v>
      </c>
      <c r="K47" s="499">
        <f t="shared" si="2"/>
        <v>2.5000000000000001E-2</v>
      </c>
      <c r="L47" s="507">
        <f t="shared" si="3"/>
        <v>8.3333333333333339</v>
      </c>
      <c r="M47" s="452"/>
      <c r="N47" s="445">
        <v>0</v>
      </c>
      <c r="O47" s="483">
        <f t="shared" si="14"/>
        <v>200</v>
      </c>
      <c r="P47" s="487">
        <f t="shared" si="11"/>
        <v>0</v>
      </c>
      <c r="Q47" s="499"/>
      <c r="R47" s="2157">
        <f t="shared" si="4"/>
        <v>0</v>
      </c>
      <c r="S47" s="452"/>
      <c r="T47" s="2634"/>
      <c r="U47" s="2635"/>
      <c r="V47" s="2596"/>
      <c r="W47" s="2597"/>
      <c r="X47" s="2598"/>
      <c r="Y47" s="452"/>
      <c r="Z47" s="2693">
        <f t="shared" si="15"/>
        <v>1</v>
      </c>
      <c r="AA47" s="2688">
        <f t="shared" si="5"/>
        <v>200</v>
      </c>
      <c r="AB47" s="2701">
        <f t="shared" si="6"/>
        <v>2.2222222222222223E-2</v>
      </c>
      <c r="AC47" s="452"/>
      <c r="AD47" s="589">
        <f t="shared" si="7"/>
        <v>1</v>
      </c>
      <c r="AE47" s="579">
        <f t="shared" si="16"/>
        <v>200</v>
      </c>
      <c r="AF47" s="590">
        <f t="shared" si="8"/>
        <v>200</v>
      </c>
      <c r="AG47" s="591">
        <f t="shared" si="9"/>
        <v>2.2222222222222223E-2</v>
      </c>
      <c r="AH47" s="592"/>
      <c r="AI47" s="470"/>
      <c r="AK47" s="253"/>
    </row>
    <row r="48" spans="2:37" s="252" customFormat="1">
      <c r="B48" s="253"/>
      <c r="D48" s="471"/>
      <c r="E48" s="261" t="s">
        <v>2372</v>
      </c>
      <c r="F48" s="261"/>
      <c r="G48" s="433" t="s">
        <v>2373</v>
      </c>
      <c r="H48" s="445">
        <f t="shared" si="17"/>
        <v>1</v>
      </c>
      <c r="I48" s="2497">
        <f t="shared" si="20"/>
        <v>10865</v>
      </c>
      <c r="J48" s="487">
        <f t="shared" si="21"/>
        <v>10865</v>
      </c>
      <c r="K48" s="499">
        <f t="shared" si="2"/>
        <v>1.358125</v>
      </c>
      <c r="L48" s="507">
        <f t="shared" si="3"/>
        <v>452.70833333333331</v>
      </c>
      <c r="M48" s="452"/>
      <c r="N48" s="445">
        <v>0</v>
      </c>
      <c r="O48" s="483">
        <f t="shared" si="14"/>
        <v>10865</v>
      </c>
      <c r="P48" s="487">
        <f t="shared" si="11"/>
        <v>0</v>
      </c>
      <c r="Q48" s="499"/>
      <c r="R48" s="2157">
        <f t="shared" si="4"/>
        <v>0</v>
      </c>
      <c r="S48" s="452"/>
      <c r="T48" s="2634"/>
      <c r="U48" s="2635"/>
      <c r="V48" s="2596"/>
      <c r="W48" s="2597"/>
      <c r="X48" s="2598"/>
      <c r="Y48" s="452"/>
      <c r="Z48" s="2693">
        <f t="shared" si="15"/>
        <v>1</v>
      </c>
      <c r="AA48" s="2688">
        <f t="shared" si="5"/>
        <v>10865</v>
      </c>
      <c r="AB48" s="2701">
        <f t="shared" si="6"/>
        <v>1.2072222222222222</v>
      </c>
      <c r="AC48" s="452"/>
      <c r="AD48" s="589">
        <f t="shared" si="7"/>
        <v>1</v>
      </c>
      <c r="AE48" s="579">
        <f t="shared" si="16"/>
        <v>10865</v>
      </c>
      <c r="AF48" s="590">
        <f t="shared" si="8"/>
        <v>10865</v>
      </c>
      <c r="AG48" s="591">
        <f t="shared" si="9"/>
        <v>1.2072222222222222</v>
      </c>
      <c r="AH48" s="592"/>
      <c r="AI48" s="470"/>
      <c r="AK48" s="253"/>
    </row>
    <row r="49" spans="2:37" s="252" customFormat="1">
      <c r="B49" s="253"/>
      <c r="D49" s="471"/>
      <c r="E49" s="261" t="s">
        <v>2374</v>
      </c>
      <c r="F49" s="261"/>
      <c r="G49" s="433" t="s">
        <v>2375</v>
      </c>
      <c r="H49" s="445">
        <f t="shared" si="17"/>
        <v>0</v>
      </c>
      <c r="I49" s="2497">
        <f t="shared" si="20"/>
        <v>0</v>
      </c>
      <c r="J49" s="487">
        <f t="shared" si="21"/>
        <v>0</v>
      </c>
      <c r="K49" s="499">
        <f t="shared" si="2"/>
        <v>0</v>
      </c>
      <c r="L49" s="507">
        <f t="shared" si="3"/>
        <v>0</v>
      </c>
      <c r="M49" s="452"/>
      <c r="N49" s="445">
        <v>0</v>
      </c>
      <c r="O49" s="483">
        <f t="shared" si="14"/>
        <v>0</v>
      </c>
      <c r="P49" s="487">
        <f t="shared" si="11"/>
        <v>0</v>
      </c>
      <c r="Q49" s="499"/>
      <c r="R49" s="2157">
        <f t="shared" si="4"/>
        <v>0</v>
      </c>
      <c r="S49" s="452"/>
      <c r="T49" s="2634"/>
      <c r="U49" s="2635"/>
      <c r="V49" s="2596"/>
      <c r="W49" s="2597"/>
      <c r="X49" s="2598"/>
      <c r="Y49" s="452"/>
      <c r="Z49" s="2693">
        <f t="shared" si="15"/>
        <v>0</v>
      </c>
      <c r="AA49" s="2688">
        <f t="shared" si="5"/>
        <v>0</v>
      </c>
      <c r="AB49" s="2701">
        <f t="shared" si="6"/>
        <v>0</v>
      </c>
      <c r="AC49" s="452"/>
      <c r="AD49" s="589">
        <f t="shared" si="7"/>
        <v>0</v>
      </c>
      <c r="AE49" s="579" t="str">
        <f t="shared" si="16"/>
        <v/>
      </c>
      <c r="AF49" s="590">
        <f t="shared" si="8"/>
        <v>0</v>
      </c>
      <c r="AG49" s="591">
        <f t="shared" si="9"/>
        <v>0</v>
      </c>
      <c r="AH49" s="592"/>
      <c r="AI49" s="470"/>
      <c r="AK49" s="253"/>
    </row>
    <row r="50" spans="2:37" s="252" customFormat="1">
      <c r="B50" s="253"/>
      <c r="D50" s="472"/>
      <c r="E50" s="430" t="s">
        <v>2376</v>
      </c>
      <c r="F50" s="430"/>
      <c r="G50" s="436" t="s">
        <v>2377</v>
      </c>
      <c r="H50" s="446">
        <f t="shared" si="17"/>
        <v>1</v>
      </c>
      <c r="I50" s="2498">
        <f t="shared" si="20"/>
        <v>400</v>
      </c>
      <c r="J50" s="488">
        <f t="shared" si="21"/>
        <v>400</v>
      </c>
      <c r="K50" s="500">
        <f t="shared" si="2"/>
        <v>0.05</v>
      </c>
      <c r="L50" s="508">
        <f t="shared" si="3"/>
        <v>16.666666666666668</v>
      </c>
      <c r="M50" s="453"/>
      <c r="N50" s="446">
        <v>0</v>
      </c>
      <c r="O50" s="1456">
        <f t="shared" si="14"/>
        <v>400</v>
      </c>
      <c r="P50" s="488">
        <f t="shared" si="11"/>
        <v>0</v>
      </c>
      <c r="Q50" s="500"/>
      <c r="R50" s="2158">
        <f t="shared" si="4"/>
        <v>0</v>
      </c>
      <c r="S50" s="453"/>
      <c r="T50" s="2636"/>
      <c r="U50" s="2637"/>
      <c r="V50" s="2599"/>
      <c r="W50" s="2600"/>
      <c r="X50" s="2601"/>
      <c r="Y50" s="453"/>
      <c r="Z50" s="2694">
        <f t="shared" si="15"/>
        <v>1</v>
      </c>
      <c r="AA50" s="2689">
        <f t="shared" si="5"/>
        <v>400</v>
      </c>
      <c r="AB50" s="2702">
        <f t="shared" si="6"/>
        <v>4.4444444444444446E-2</v>
      </c>
      <c r="AC50" s="453"/>
      <c r="AD50" s="593">
        <f t="shared" si="7"/>
        <v>1</v>
      </c>
      <c r="AE50" s="594">
        <f t="shared" si="16"/>
        <v>400</v>
      </c>
      <c r="AF50" s="595">
        <f t="shared" si="8"/>
        <v>400</v>
      </c>
      <c r="AG50" s="596">
        <f t="shared" si="9"/>
        <v>4.4444444444444446E-2</v>
      </c>
      <c r="AH50" s="597"/>
      <c r="AI50" s="473"/>
      <c r="AK50" s="253"/>
    </row>
    <row r="51" spans="2:37" s="252" customFormat="1">
      <c r="B51" s="253"/>
      <c r="D51" s="474" t="s">
        <v>2378</v>
      </c>
      <c r="E51" s="431" t="s">
        <v>2359</v>
      </c>
      <c r="F51" s="431"/>
      <c r="G51" s="435" t="s">
        <v>2360</v>
      </c>
      <c r="H51" s="445">
        <f t="shared" si="17"/>
        <v>0</v>
      </c>
      <c r="I51" s="2497">
        <f>IF($K$9=0,0,IF(ISNA(VLOOKUP(G51,Price,$K$9-4,FALSE))=TRUE,0,VLOOKUP(G51,Price,$K$9-4,FALSE)))</f>
        <v>0</v>
      </c>
      <c r="J51" s="489">
        <f t="shared" si="21"/>
        <v>0</v>
      </c>
      <c r="K51" s="501">
        <f t="shared" si="2"/>
        <v>0</v>
      </c>
      <c r="L51" s="509">
        <f t="shared" si="3"/>
        <v>0</v>
      </c>
      <c r="M51" s="454"/>
      <c r="N51" s="444">
        <v>0</v>
      </c>
      <c r="O51" s="1457">
        <f t="shared" si="14"/>
        <v>0</v>
      </c>
      <c r="P51" s="489">
        <f t="shared" si="11"/>
        <v>0</v>
      </c>
      <c r="Q51" s="501"/>
      <c r="R51" s="2159">
        <f t="shared" si="4"/>
        <v>0</v>
      </c>
      <c r="S51" s="454"/>
      <c r="T51" s="2638"/>
      <c r="U51" s="2639"/>
      <c r="V51" s="2602"/>
      <c r="W51" s="2603"/>
      <c r="X51" s="2604"/>
      <c r="Y51" s="454"/>
      <c r="Z51" s="2692">
        <f t="shared" si="15"/>
        <v>0</v>
      </c>
      <c r="AA51" s="2690">
        <f t="shared" si="5"/>
        <v>0</v>
      </c>
      <c r="AB51" s="2703">
        <f t="shared" si="6"/>
        <v>0</v>
      </c>
      <c r="AC51" s="454"/>
      <c r="AD51" s="585">
        <f t="shared" si="7"/>
        <v>0</v>
      </c>
      <c r="AE51" s="598" t="str">
        <f t="shared" si="16"/>
        <v/>
      </c>
      <c r="AF51" s="599">
        <f t="shared" si="8"/>
        <v>0</v>
      </c>
      <c r="AG51" s="600">
        <f t="shared" si="9"/>
        <v>0</v>
      </c>
      <c r="AH51" s="601"/>
      <c r="AI51" s="475"/>
      <c r="AK51" s="253"/>
    </row>
    <row r="52" spans="2:37" s="252" customFormat="1">
      <c r="B52" s="253"/>
      <c r="D52" s="471" t="s">
        <v>2361</v>
      </c>
      <c r="E52" s="261" t="s">
        <v>1993</v>
      </c>
      <c r="F52" s="261"/>
      <c r="G52" s="433" t="s">
        <v>1994</v>
      </c>
      <c r="H52" s="445">
        <f t="shared" si="17"/>
        <v>1</v>
      </c>
      <c r="I52" s="2497">
        <f t="shared" si="20"/>
        <v>2000</v>
      </c>
      <c r="J52" s="487">
        <f t="shared" si="21"/>
        <v>2000</v>
      </c>
      <c r="K52" s="499">
        <f t="shared" si="2"/>
        <v>0.25</v>
      </c>
      <c r="L52" s="507">
        <f t="shared" si="3"/>
        <v>83.333333333333329</v>
      </c>
      <c r="M52" s="452"/>
      <c r="N52" s="445">
        <v>0</v>
      </c>
      <c r="O52" s="483">
        <f t="shared" si="14"/>
        <v>2000</v>
      </c>
      <c r="P52" s="487">
        <f t="shared" si="11"/>
        <v>0</v>
      </c>
      <c r="Q52" s="499"/>
      <c r="R52" s="2157">
        <f t="shared" si="4"/>
        <v>0</v>
      </c>
      <c r="S52" s="452"/>
      <c r="T52" s="2634"/>
      <c r="U52" s="2635"/>
      <c r="V52" s="2596"/>
      <c r="W52" s="2597"/>
      <c r="X52" s="2598"/>
      <c r="Y52" s="452"/>
      <c r="Z52" s="2693">
        <f t="shared" si="15"/>
        <v>1</v>
      </c>
      <c r="AA52" s="2688">
        <f t="shared" si="5"/>
        <v>2000</v>
      </c>
      <c r="AB52" s="2701">
        <f t="shared" si="6"/>
        <v>0.22222222222222221</v>
      </c>
      <c r="AC52" s="452"/>
      <c r="AD52" s="589">
        <f t="shared" si="7"/>
        <v>1</v>
      </c>
      <c r="AE52" s="579">
        <f t="shared" si="16"/>
        <v>2000</v>
      </c>
      <c r="AF52" s="590">
        <f t="shared" si="8"/>
        <v>2000</v>
      </c>
      <c r="AG52" s="591">
        <f t="shared" si="9"/>
        <v>0.22222222222222221</v>
      </c>
      <c r="AH52" s="592"/>
      <c r="AI52" s="470"/>
      <c r="AK52" s="253"/>
    </row>
    <row r="53" spans="2:37" s="252" customFormat="1">
      <c r="B53" s="253"/>
      <c r="D53" s="471"/>
      <c r="E53" s="261" t="s">
        <v>1995</v>
      </c>
      <c r="F53" s="261"/>
      <c r="G53" s="433" t="s">
        <v>1996</v>
      </c>
      <c r="H53" s="445">
        <f t="shared" si="17"/>
        <v>1</v>
      </c>
      <c r="I53" s="2497">
        <f t="shared" si="20"/>
        <v>2200</v>
      </c>
      <c r="J53" s="487">
        <f t="shared" si="21"/>
        <v>2200</v>
      </c>
      <c r="K53" s="499">
        <f t="shared" si="2"/>
        <v>0.27500000000000002</v>
      </c>
      <c r="L53" s="507">
        <f t="shared" si="3"/>
        <v>91.666666666666671</v>
      </c>
      <c r="M53" s="452"/>
      <c r="N53" s="445">
        <v>0</v>
      </c>
      <c r="O53" s="483">
        <f t="shared" si="14"/>
        <v>2200</v>
      </c>
      <c r="P53" s="487">
        <f t="shared" si="11"/>
        <v>0</v>
      </c>
      <c r="Q53" s="499"/>
      <c r="R53" s="2157">
        <f t="shared" si="4"/>
        <v>0</v>
      </c>
      <c r="S53" s="452"/>
      <c r="T53" s="2634"/>
      <c r="U53" s="2635"/>
      <c r="V53" s="2596"/>
      <c r="W53" s="2597"/>
      <c r="X53" s="2598"/>
      <c r="Y53" s="452"/>
      <c r="Z53" s="2693">
        <f t="shared" si="15"/>
        <v>1</v>
      </c>
      <c r="AA53" s="2688">
        <f t="shared" si="5"/>
        <v>2200</v>
      </c>
      <c r="AB53" s="2701">
        <f t="shared" si="6"/>
        <v>0.24444444444444444</v>
      </c>
      <c r="AC53" s="452"/>
      <c r="AD53" s="589">
        <f t="shared" si="7"/>
        <v>1</v>
      </c>
      <c r="AE53" s="579">
        <f t="shared" si="16"/>
        <v>2200</v>
      </c>
      <c r="AF53" s="590">
        <f t="shared" si="8"/>
        <v>2200</v>
      </c>
      <c r="AG53" s="591">
        <f t="shared" si="9"/>
        <v>0.24444444444444444</v>
      </c>
      <c r="AH53" s="592"/>
      <c r="AI53" s="470"/>
      <c r="AK53" s="253"/>
    </row>
    <row r="54" spans="2:37" s="252" customFormat="1">
      <c r="B54" s="253"/>
      <c r="D54" s="471"/>
      <c r="E54" s="261" t="s">
        <v>3292</v>
      </c>
      <c r="F54" s="261"/>
      <c r="G54" s="433" t="s">
        <v>3293</v>
      </c>
      <c r="H54" s="445">
        <f t="shared" si="17"/>
        <v>1</v>
      </c>
      <c r="I54" s="2497">
        <f t="shared" si="20"/>
        <v>500</v>
      </c>
      <c r="J54" s="487">
        <f t="shared" si="21"/>
        <v>500</v>
      </c>
      <c r="K54" s="499">
        <f t="shared" si="2"/>
        <v>6.25E-2</v>
      </c>
      <c r="L54" s="507">
        <f t="shared" si="3"/>
        <v>20.833333333333332</v>
      </c>
      <c r="M54" s="452"/>
      <c r="N54" s="445">
        <v>0</v>
      </c>
      <c r="O54" s="483">
        <f t="shared" si="14"/>
        <v>500</v>
      </c>
      <c r="P54" s="487">
        <f t="shared" si="11"/>
        <v>0</v>
      </c>
      <c r="Q54" s="499"/>
      <c r="R54" s="2157">
        <f t="shared" si="4"/>
        <v>0</v>
      </c>
      <c r="S54" s="452"/>
      <c r="T54" s="2634"/>
      <c r="U54" s="2635"/>
      <c r="V54" s="2596"/>
      <c r="W54" s="2597"/>
      <c r="X54" s="2598"/>
      <c r="Y54" s="452"/>
      <c r="Z54" s="2693">
        <f t="shared" si="15"/>
        <v>1</v>
      </c>
      <c r="AA54" s="2688">
        <f t="shared" si="5"/>
        <v>500</v>
      </c>
      <c r="AB54" s="2701">
        <f t="shared" si="6"/>
        <v>5.5555555555555552E-2</v>
      </c>
      <c r="AC54" s="452"/>
      <c r="AD54" s="589">
        <f t="shared" si="7"/>
        <v>1</v>
      </c>
      <c r="AE54" s="579">
        <f t="shared" si="16"/>
        <v>500</v>
      </c>
      <c r="AF54" s="590">
        <f t="shared" si="8"/>
        <v>500</v>
      </c>
      <c r="AG54" s="591">
        <f t="shared" si="9"/>
        <v>5.5555555555555552E-2</v>
      </c>
      <c r="AH54" s="592"/>
      <c r="AI54" s="470"/>
      <c r="AK54" s="253"/>
    </row>
    <row r="55" spans="2:37" s="252" customFormat="1">
      <c r="B55" s="253"/>
      <c r="D55" s="471"/>
      <c r="E55" s="261" t="s">
        <v>3294</v>
      </c>
      <c r="F55" s="261"/>
      <c r="G55" s="433" t="s">
        <v>907</v>
      </c>
      <c r="H55" s="445">
        <f t="shared" si="17"/>
        <v>1</v>
      </c>
      <c r="I55" s="2497">
        <f t="shared" si="20"/>
        <v>385</v>
      </c>
      <c r="J55" s="487">
        <f t="shared" si="21"/>
        <v>385</v>
      </c>
      <c r="K55" s="499">
        <f t="shared" si="2"/>
        <v>4.8125000000000001E-2</v>
      </c>
      <c r="L55" s="507">
        <f t="shared" si="3"/>
        <v>16.041666666666668</v>
      </c>
      <c r="M55" s="452"/>
      <c r="N55" s="445">
        <v>0</v>
      </c>
      <c r="O55" s="483">
        <f t="shared" si="14"/>
        <v>385</v>
      </c>
      <c r="P55" s="487">
        <f t="shared" si="11"/>
        <v>0</v>
      </c>
      <c r="Q55" s="499"/>
      <c r="R55" s="2157">
        <f t="shared" si="4"/>
        <v>0</v>
      </c>
      <c r="S55" s="452"/>
      <c r="T55" s="2634"/>
      <c r="U55" s="2635"/>
      <c r="V55" s="2596"/>
      <c r="W55" s="2597"/>
      <c r="X55" s="2598"/>
      <c r="Y55" s="452"/>
      <c r="Z55" s="2693">
        <f t="shared" si="15"/>
        <v>1</v>
      </c>
      <c r="AA55" s="2688">
        <f t="shared" si="5"/>
        <v>385</v>
      </c>
      <c r="AB55" s="2701">
        <f t="shared" si="6"/>
        <v>4.2777777777777776E-2</v>
      </c>
      <c r="AC55" s="452"/>
      <c r="AD55" s="589">
        <f t="shared" si="7"/>
        <v>1</v>
      </c>
      <c r="AE55" s="579">
        <f t="shared" si="16"/>
        <v>385</v>
      </c>
      <c r="AF55" s="590">
        <f t="shared" si="8"/>
        <v>385</v>
      </c>
      <c r="AG55" s="591">
        <f t="shared" si="9"/>
        <v>4.2777777777777776E-2</v>
      </c>
      <c r="AH55" s="592"/>
      <c r="AI55" s="470"/>
      <c r="AK55" s="253"/>
    </row>
    <row r="56" spans="2:37" s="252" customFormat="1">
      <c r="B56" s="253"/>
      <c r="D56" s="471"/>
      <c r="E56" s="261" t="s">
        <v>908</v>
      </c>
      <c r="F56" s="261"/>
      <c r="G56" s="433" t="s">
        <v>909</v>
      </c>
      <c r="H56" s="445">
        <f t="shared" si="17"/>
        <v>1</v>
      </c>
      <c r="I56" s="2497">
        <f t="shared" si="20"/>
        <v>50</v>
      </c>
      <c r="J56" s="487">
        <f t="shared" si="21"/>
        <v>50</v>
      </c>
      <c r="K56" s="499">
        <f t="shared" si="2"/>
        <v>6.2500000000000003E-3</v>
      </c>
      <c r="L56" s="507">
        <f t="shared" si="3"/>
        <v>2.0833333333333335</v>
      </c>
      <c r="M56" s="452"/>
      <c r="N56" s="445">
        <v>0</v>
      </c>
      <c r="O56" s="483">
        <f t="shared" si="14"/>
        <v>50</v>
      </c>
      <c r="P56" s="487">
        <f t="shared" si="11"/>
        <v>0</v>
      </c>
      <c r="Q56" s="499"/>
      <c r="R56" s="2157">
        <f t="shared" si="4"/>
        <v>0</v>
      </c>
      <c r="S56" s="452"/>
      <c r="T56" s="445">
        <v>0</v>
      </c>
      <c r="U56" s="2469">
        <f>O56</f>
        <v>50</v>
      </c>
      <c r="V56" s="2640">
        <f>IF(ISNUMBER(U56)=TRUE, T56*U56,0)</f>
        <v>0</v>
      </c>
      <c r="W56" s="2586">
        <f>IF(V56=0,0,V56/$W$8)</f>
        <v>0</v>
      </c>
      <c r="X56" s="2587">
        <f>V56/($W$12)</f>
        <v>0</v>
      </c>
      <c r="Y56" s="452"/>
      <c r="Z56" s="2693">
        <f t="shared" si="15"/>
        <v>1</v>
      </c>
      <c r="AA56" s="2688">
        <f t="shared" si="5"/>
        <v>50</v>
      </c>
      <c r="AB56" s="2701">
        <f t="shared" si="6"/>
        <v>5.5555555555555558E-3</v>
      </c>
      <c r="AC56" s="452"/>
      <c r="AD56" s="589">
        <f t="shared" si="7"/>
        <v>1</v>
      </c>
      <c r="AE56" s="579">
        <f t="shared" si="16"/>
        <v>50</v>
      </c>
      <c r="AF56" s="590">
        <f t="shared" si="8"/>
        <v>50</v>
      </c>
      <c r="AG56" s="591">
        <f t="shared" si="9"/>
        <v>5.5555555555555558E-3</v>
      </c>
      <c r="AH56" s="592"/>
      <c r="AI56" s="470"/>
      <c r="AK56" s="253"/>
    </row>
    <row r="57" spans="2:37" s="252" customFormat="1">
      <c r="B57" s="253"/>
      <c r="D57" s="471"/>
      <c r="E57" s="261" t="s">
        <v>910</v>
      </c>
      <c r="F57" s="261"/>
      <c r="G57" s="433" t="s">
        <v>912</v>
      </c>
      <c r="H57" s="445">
        <f t="shared" si="17"/>
        <v>0</v>
      </c>
      <c r="I57" s="2497">
        <f t="shared" si="20"/>
        <v>0</v>
      </c>
      <c r="J57" s="487">
        <f t="shared" si="21"/>
        <v>0</v>
      </c>
      <c r="K57" s="499">
        <f t="shared" si="2"/>
        <v>0</v>
      </c>
      <c r="L57" s="507">
        <f t="shared" si="3"/>
        <v>0</v>
      </c>
      <c r="M57" s="452"/>
      <c r="N57" s="445">
        <v>0</v>
      </c>
      <c r="O57" s="483">
        <f t="shared" si="14"/>
        <v>0</v>
      </c>
      <c r="P57" s="487">
        <f t="shared" si="11"/>
        <v>0</v>
      </c>
      <c r="Q57" s="499"/>
      <c r="R57" s="2157">
        <f t="shared" si="4"/>
        <v>0</v>
      </c>
      <c r="S57" s="452"/>
      <c r="T57" s="2634"/>
      <c r="U57" s="2635"/>
      <c r="V57" s="2596"/>
      <c r="W57" s="2597"/>
      <c r="X57" s="2598"/>
      <c r="Y57" s="452"/>
      <c r="Z57" s="2693">
        <f t="shared" si="15"/>
        <v>0</v>
      </c>
      <c r="AA57" s="2688">
        <f t="shared" si="5"/>
        <v>0</v>
      </c>
      <c r="AB57" s="2701">
        <f t="shared" si="6"/>
        <v>0</v>
      </c>
      <c r="AC57" s="452"/>
      <c r="AD57" s="589">
        <f t="shared" si="7"/>
        <v>0</v>
      </c>
      <c r="AE57" s="579" t="str">
        <f t="shared" si="16"/>
        <v/>
      </c>
      <c r="AF57" s="590">
        <f t="shared" si="8"/>
        <v>0</v>
      </c>
      <c r="AG57" s="591">
        <f t="shared" si="9"/>
        <v>0</v>
      </c>
      <c r="AH57" s="592"/>
      <c r="AI57" s="470"/>
      <c r="AK57" s="253"/>
    </row>
    <row r="58" spans="2:37" s="252" customFormat="1">
      <c r="B58" s="253"/>
      <c r="D58" s="471"/>
      <c r="E58" s="261" t="s">
        <v>913</v>
      </c>
      <c r="F58" s="261"/>
      <c r="G58" s="433" t="s">
        <v>914</v>
      </c>
      <c r="H58" s="445">
        <f t="shared" si="17"/>
        <v>0</v>
      </c>
      <c r="I58" s="2497">
        <f t="shared" si="20"/>
        <v>0</v>
      </c>
      <c r="J58" s="487">
        <f t="shared" si="21"/>
        <v>0</v>
      </c>
      <c r="K58" s="499">
        <f t="shared" si="2"/>
        <v>0</v>
      </c>
      <c r="L58" s="507">
        <f t="shared" si="3"/>
        <v>0</v>
      </c>
      <c r="M58" s="452"/>
      <c r="N58" s="445">
        <v>0</v>
      </c>
      <c r="O58" s="483">
        <f t="shared" si="14"/>
        <v>0</v>
      </c>
      <c r="P58" s="487">
        <f t="shared" si="11"/>
        <v>0</v>
      </c>
      <c r="Q58" s="499"/>
      <c r="R58" s="2157">
        <f t="shared" si="4"/>
        <v>0</v>
      </c>
      <c r="S58" s="452"/>
      <c r="T58" s="2634"/>
      <c r="U58" s="2635"/>
      <c r="V58" s="2596"/>
      <c r="W58" s="2597"/>
      <c r="X58" s="2598"/>
      <c r="Y58" s="452"/>
      <c r="Z58" s="2693">
        <f t="shared" si="15"/>
        <v>0</v>
      </c>
      <c r="AA58" s="2688">
        <f t="shared" si="5"/>
        <v>0</v>
      </c>
      <c r="AB58" s="2701">
        <f t="shared" si="6"/>
        <v>0</v>
      </c>
      <c r="AC58" s="452"/>
      <c r="AD58" s="589">
        <f t="shared" si="7"/>
        <v>0</v>
      </c>
      <c r="AE58" s="579" t="str">
        <f t="shared" si="16"/>
        <v/>
      </c>
      <c r="AF58" s="590">
        <f t="shared" si="8"/>
        <v>0</v>
      </c>
      <c r="AG58" s="591">
        <f t="shared" si="9"/>
        <v>0</v>
      </c>
      <c r="AH58" s="592"/>
      <c r="AI58" s="470"/>
      <c r="AK58" s="253"/>
    </row>
    <row r="59" spans="2:37" s="252" customFormat="1">
      <c r="B59" s="253"/>
      <c r="D59" s="471"/>
      <c r="E59" s="261" t="s">
        <v>915</v>
      </c>
      <c r="F59" s="261"/>
      <c r="G59" s="433" t="s">
        <v>916</v>
      </c>
      <c r="H59" s="445">
        <f t="shared" si="17"/>
        <v>0</v>
      </c>
      <c r="I59" s="2497">
        <f t="shared" si="20"/>
        <v>0</v>
      </c>
      <c r="J59" s="487">
        <f t="shared" si="21"/>
        <v>0</v>
      </c>
      <c r="K59" s="499">
        <f t="shared" si="2"/>
        <v>0</v>
      </c>
      <c r="L59" s="507">
        <f t="shared" si="3"/>
        <v>0</v>
      </c>
      <c r="M59" s="452"/>
      <c r="N59" s="445">
        <v>0</v>
      </c>
      <c r="O59" s="483">
        <f t="shared" si="14"/>
        <v>0</v>
      </c>
      <c r="P59" s="487">
        <f t="shared" ref="P59:P90" si="22">IF(ISNUMBER(O59)=TRUE, N59*O59,0)</f>
        <v>0</v>
      </c>
      <c r="Q59" s="499"/>
      <c r="R59" s="2157">
        <f t="shared" si="4"/>
        <v>0</v>
      </c>
      <c r="S59" s="452"/>
      <c r="T59" s="2634"/>
      <c r="U59" s="2635"/>
      <c r="V59" s="2596"/>
      <c r="W59" s="2597"/>
      <c r="X59" s="2598"/>
      <c r="Y59" s="452"/>
      <c r="Z59" s="2693">
        <f t="shared" si="15"/>
        <v>0</v>
      </c>
      <c r="AA59" s="2688">
        <f t="shared" si="5"/>
        <v>0</v>
      </c>
      <c r="AB59" s="2701">
        <f t="shared" si="6"/>
        <v>0</v>
      </c>
      <c r="AC59" s="452"/>
      <c r="AD59" s="589">
        <f t="shared" si="7"/>
        <v>0</v>
      </c>
      <c r="AE59" s="579" t="str">
        <f t="shared" si="16"/>
        <v/>
      </c>
      <c r="AF59" s="590">
        <f t="shared" si="8"/>
        <v>0</v>
      </c>
      <c r="AG59" s="591">
        <f t="shared" si="9"/>
        <v>0</v>
      </c>
      <c r="AH59" s="592"/>
      <c r="AI59" s="470"/>
      <c r="AK59" s="253"/>
    </row>
    <row r="60" spans="2:37" s="252" customFormat="1">
      <c r="B60" s="253"/>
      <c r="D60" s="471"/>
      <c r="E60" s="261" t="s">
        <v>917</v>
      </c>
      <c r="F60" s="261"/>
      <c r="G60" s="433" t="s">
        <v>918</v>
      </c>
      <c r="H60" s="445">
        <f t="shared" si="17"/>
        <v>1</v>
      </c>
      <c r="I60" s="2497">
        <f t="shared" si="20"/>
        <v>250</v>
      </c>
      <c r="J60" s="487">
        <f t="shared" si="21"/>
        <v>250</v>
      </c>
      <c r="K60" s="499">
        <f t="shared" si="2"/>
        <v>3.125E-2</v>
      </c>
      <c r="L60" s="507">
        <f t="shared" si="3"/>
        <v>10.416666666666666</v>
      </c>
      <c r="M60" s="452"/>
      <c r="N60" s="445">
        <v>0</v>
      </c>
      <c r="O60" s="483">
        <f t="shared" si="14"/>
        <v>250</v>
      </c>
      <c r="P60" s="487">
        <f t="shared" si="22"/>
        <v>0</v>
      </c>
      <c r="Q60" s="499"/>
      <c r="R60" s="2157">
        <f t="shared" si="4"/>
        <v>0</v>
      </c>
      <c r="S60" s="452"/>
      <c r="T60" s="445">
        <v>0</v>
      </c>
      <c r="U60" s="2469">
        <f>O60</f>
        <v>250</v>
      </c>
      <c r="V60" s="2640">
        <f>IF(ISNUMBER(U60)=TRUE, T60*U60,0)</f>
        <v>0</v>
      </c>
      <c r="W60" s="2586">
        <f>IF(V60=0,0,V60/$W$8)</f>
        <v>0</v>
      </c>
      <c r="X60" s="2587">
        <f>V60/($W$12)</f>
        <v>0</v>
      </c>
      <c r="Y60" s="452"/>
      <c r="Z60" s="2693">
        <f t="shared" si="15"/>
        <v>1</v>
      </c>
      <c r="AA60" s="2688">
        <f t="shared" si="5"/>
        <v>250</v>
      </c>
      <c r="AB60" s="2701">
        <f t="shared" si="6"/>
        <v>2.7777777777777776E-2</v>
      </c>
      <c r="AC60" s="452"/>
      <c r="AD60" s="589">
        <f t="shared" si="7"/>
        <v>1</v>
      </c>
      <c r="AE60" s="579">
        <f t="shared" si="16"/>
        <v>250</v>
      </c>
      <c r="AF60" s="590">
        <f t="shared" si="8"/>
        <v>250</v>
      </c>
      <c r="AG60" s="591">
        <f t="shared" si="9"/>
        <v>2.7777777777777776E-2</v>
      </c>
      <c r="AH60" s="592"/>
      <c r="AI60" s="470"/>
      <c r="AK60" s="253"/>
    </row>
    <row r="61" spans="2:37" s="252" customFormat="1">
      <c r="B61" s="253"/>
      <c r="D61" s="471"/>
      <c r="E61" s="261" t="s">
        <v>919</v>
      </c>
      <c r="F61" s="261"/>
      <c r="G61" s="433" t="s">
        <v>920</v>
      </c>
      <c r="H61" s="445">
        <f t="shared" si="17"/>
        <v>1</v>
      </c>
      <c r="I61" s="2497">
        <f t="shared" si="20"/>
        <v>300</v>
      </c>
      <c r="J61" s="487">
        <f t="shared" si="21"/>
        <v>300</v>
      </c>
      <c r="K61" s="499">
        <f t="shared" si="2"/>
        <v>3.7499999999999999E-2</v>
      </c>
      <c r="L61" s="507">
        <f t="shared" si="3"/>
        <v>12.5</v>
      </c>
      <c r="M61" s="452"/>
      <c r="N61" s="445">
        <v>0</v>
      </c>
      <c r="O61" s="483">
        <f t="shared" si="14"/>
        <v>300</v>
      </c>
      <c r="P61" s="487">
        <f t="shared" si="22"/>
        <v>0</v>
      </c>
      <c r="Q61" s="499"/>
      <c r="R61" s="2157">
        <f t="shared" si="4"/>
        <v>0</v>
      </c>
      <c r="S61" s="452"/>
      <c r="T61" s="445">
        <v>0</v>
      </c>
      <c r="U61" s="2469">
        <f>O61</f>
        <v>300</v>
      </c>
      <c r="V61" s="2640">
        <f>IF(ISNUMBER(U61)=TRUE, T61*U61,0)</f>
        <v>0</v>
      </c>
      <c r="W61" s="2586">
        <f>IF(V61=0,0,V61/$W$8)</f>
        <v>0</v>
      </c>
      <c r="X61" s="2587">
        <f>V61/($W$12)</f>
        <v>0</v>
      </c>
      <c r="Y61" s="452"/>
      <c r="Z61" s="2693">
        <f t="shared" si="15"/>
        <v>1</v>
      </c>
      <c r="AA61" s="2688">
        <f t="shared" si="5"/>
        <v>300</v>
      </c>
      <c r="AB61" s="2701">
        <f t="shared" si="6"/>
        <v>3.3333333333333333E-2</v>
      </c>
      <c r="AC61" s="452"/>
      <c r="AD61" s="589">
        <f t="shared" si="7"/>
        <v>1</v>
      </c>
      <c r="AE61" s="579">
        <f t="shared" si="16"/>
        <v>300</v>
      </c>
      <c r="AF61" s="590">
        <f t="shared" si="8"/>
        <v>300</v>
      </c>
      <c r="AG61" s="591">
        <f t="shared" si="9"/>
        <v>3.3333333333333333E-2</v>
      </c>
      <c r="AH61" s="592"/>
      <c r="AI61" s="470"/>
      <c r="AK61" s="253"/>
    </row>
    <row r="62" spans="2:37" s="252" customFormat="1">
      <c r="B62" s="253"/>
      <c r="D62" s="471"/>
      <c r="E62" s="261" t="s">
        <v>476</v>
      </c>
      <c r="F62" s="261"/>
      <c r="G62" s="433" t="s">
        <v>477</v>
      </c>
      <c r="H62" s="445">
        <f t="shared" si="17"/>
        <v>1</v>
      </c>
      <c r="I62" s="2497">
        <f t="shared" si="20"/>
        <v>2000</v>
      </c>
      <c r="J62" s="487">
        <f t="shared" si="21"/>
        <v>2000</v>
      </c>
      <c r="K62" s="499">
        <f t="shared" si="2"/>
        <v>0.25</v>
      </c>
      <c r="L62" s="507">
        <f t="shared" si="3"/>
        <v>83.333333333333329</v>
      </c>
      <c r="M62" s="452"/>
      <c r="N62" s="445">
        <v>0</v>
      </c>
      <c r="O62" s="483">
        <f t="shared" si="14"/>
        <v>2000</v>
      </c>
      <c r="P62" s="487">
        <f t="shared" si="22"/>
        <v>0</v>
      </c>
      <c r="Q62" s="499"/>
      <c r="R62" s="2157">
        <f t="shared" si="4"/>
        <v>0</v>
      </c>
      <c r="S62" s="452"/>
      <c r="T62" s="445">
        <v>0</v>
      </c>
      <c r="U62" s="2469">
        <f>O62</f>
        <v>2000</v>
      </c>
      <c r="V62" s="2640">
        <f>IF(ISNUMBER(U62)=TRUE, T62*U62,0)</f>
        <v>0</v>
      </c>
      <c r="W62" s="2586">
        <f>IF(V62=0,0,V62/$W$8)</f>
        <v>0</v>
      </c>
      <c r="X62" s="2587">
        <f>V62/($W$12)</f>
        <v>0</v>
      </c>
      <c r="Y62" s="452"/>
      <c r="Z62" s="2693">
        <f t="shared" si="15"/>
        <v>1</v>
      </c>
      <c r="AA62" s="2688">
        <f t="shared" si="5"/>
        <v>2000</v>
      </c>
      <c r="AB62" s="2701">
        <f t="shared" si="6"/>
        <v>0.22222222222222221</v>
      </c>
      <c r="AC62" s="452"/>
      <c r="AD62" s="589">
        <f t="shared" si="7"/>
        <v>1</v>
      </c>
      <c r="AE62" s="579">
        <f t="shared" si="16"/>
        <v>2000</v>
      </c>
      <c r="AF62" s="590">
        <f t="shared" si="8"/>
        <v>2000</v>
      </c>
      <c r="AG62" s="591">
        <f t="shared" si="9"/>
        <v>0.22222222222222221</v>
      </c>
      <c r="AH62" s="592"/>
      <c r="AI62" s="470"/>
      <c r="AK62" s="253"/>
    </row>
    <row r="63" spans="2:37" s="252" customFormat="1">
      <c r="B63" s="253"/>
      <c r="D63" s="472"/>
      <c r="E63" s="430" t="s">
        <v>478</v>
      </c>
      <c r="F63" s="430"/>
      <c r="G63" s="436" t="s">
        <v>479</v>
      </c>
      <c r="H63" s="446">
        <f t="shared" si="17"/>
        <v>1</v>
      </c>
      <c r="I63" s="2498">
        <f t="shared" si="20"/>
        <v>4800</v>
      </c>
      <c r="J63" s="488">
        <f t="shared" si="21"/>
        <v>4800</v>
      </c>
      <c r="K63" s="500">
        <f t="shared" si="2"/>
        <v>0.6</v>
      </c>
      <c r="L63" s="508">
        <f t="shared" si="3"/>
        <v>200</v>
      </c>
      <c r="M63" s="453"/>
      <c r="N63" s="446">
        <v>0</v>
      </c>
      <c r="O63" s="1456">
        <f t="shared" si="14"/>
        <v>4800</v>
      </c>
      <c r="P63" s="488">
        <f t="shared" si="22"/>
        <v>0</v>
      </c>
      <c r="Q63" s="500"/>
      <c r="R63" s="2158">
        <f t="shared" si="4"/>
        <v>0</v>
      </c>
      <c r="S63" s="453"/>
      <c r="T63" s="446">
        <v>0</v>
      </c>
      <c r="U63" s="2652">
        <f>O63</f>
        <v>4800</v>
      </c>
      <c r="V63" s="488">
        <f>IF(ISNUMBER(U63)=TRUE, T63*U63,0)</f>
        <v>0</v>
      </c>
      <c r="W63" s="2588">
        <f>IF(V63=0,0,V63/$W$8)</f>
        <v>0</v>
      </c>
      <c r="X63" s="2589">
        <f>V63/($W$12)</f>
        <v>0</v>
      </c>
      <c r="Y63" s="453"/>
      <c r="Z63" s="2694">
        <f t="shared" si="15"/>
        <v>1</v>
      </c>
      <c r="AA63" s="2689">
        <f t="shared" si="5"/>
        <v>4800</v>
      </c>
      <c r="AB63" s="2702">
        <f t="shared" si="6"/>
        <v>0.53333333333333333</v>
      </c>
      <c r="AC63" s="453"/>
      <c r="AD63" s="593">
        <f t="shared" si="7"/>
        <v>1</v>
      </c>
      <c r="AE63" s="594">
        <f t="shared" si="16"/>
        <v>4800</v>
      </c>
      <c r="AF63" s="595">
        <f t="shared" si="8"/>
        <v>4800</v>
      </c>
      <c r="AG63" s="596">
        <f t="shared" si="9"/>
        <v>0.53333333333333333</v>
      </c>
      <c r="AH63" s="597"/>
      <c r="AI63" s="473"/>
      <c r="AK63" s="253"/>
    </row>
    <row r="64" spans="2:37" s="252" customFormat="1">
      <c r="B64" s="253"/>
      <c r="D64" s="474" t="s">
        <v>1080</v>
      </c>
      <c r="E64" s="431" t="s">
        <v>480</v>
      </c>
      <c r="F64" s="431"/>
      <c r="G64" s="435" t="s">
        <v>481</v>
      </c>
      <c r="H64" s="444">
        <f t="shared" si="17"/>
        <v>0</v>
      </c>
      <c r="I64" s="2556">
        <f t="shared" si="20"/>
        <v>0</v>
      </c>
      <c r="J64" s="489">
        <f t="shared" si="21"/>
        <v>0</v>
      </c>
      <c r="K64" s="501">
        <f t="shared" si="2"/>
        <v>0</v>
      </c>
      <c r="L64" s="509">
        <f t="shared" si="3"/>
        <v>0</v>
      </c>
      <c r="M64" s="454"/>
      <c r="N64" s="444">
        <v>0</v>
      </c>
      <c r="O64" s="1457">
        <f t="shared" si="14"/>
        <v>0</v>
      </c>
      <c r="P64" s="489">
        <f t="shared" si="22"/>
        <v>0</v>
      </c>
      <c r="Q64" s="501"/>
      <c r="R64" s="2159">
        <f t="shared" si="4"/>
        <v>0</v>
      </c>
      <c r="S64" s="454"/>
      <c r="T64" s="2638"/>
      <c r="U64" s="2639"/>
      <c r="V64" s="2602"/>
      <c r="W64" s="2603"/>
      <c r="X64" s="2604"/>
      <c r="Y64" s="454"/>
      <c r="Z64" s="2692">
        <f t="shared" si="15"/>
        <v>0</v>
      </c>
      <c r="AA64" s="2690">
        <f t="shared" si="5"/>
        <v>0</v>
      </c>
      <c r="AB64" s="2703">
        <f t="shared" si="6"/>
        <v>0</v>
      </c>
      <c r="AC64" s="454"/>
      <c r="AD64" s="585">
        <f t="shared" si="7"/>
        <v>0</v>
      </c>
      <c r="AE64" s="598" t="str">
        <f t="shared" si="16"/>
        <v/>
      </c>
      <c r="AF64" s="599">
        <f t="shared" si="8"/>
        <v>0</v>
      </c>
      <c r="AG64" s="600">
        <f t="shared" si="9"/>
        <v>0</v>
      </c>
      <c r="AH64" s="601"/>
      <c r="AI64" s="475"/>
      <c r="AK64" s="253"/>
    </row>
    <row r="65" spans="2:37" s="252" customFormat="1">
      <c r="B65" s="253"/>
      <c r="D65" s="471" t="s">
        <v>1079</v>
      </c>
      <c r="E65" s="261" t="s">
        <v>483</v>
      </c>
      <c r="F65" s="261"/>
      <c r="G65" s="433" t="s">
        <v>484</v>
      </c>
      <c r="H65" s="445">
        <f t="shared" si="17"/>
        <v>0</v>
      </c>
      <c r="I65" s="2497">
        <f t="shared" si="20"/>
        <v>0</v>
      </c>
      <c r="J65" s="487">
        <f t="shared" si="21"/>
        <v>0</v>
      </c>
      <c r="K65" s="499">
        <f t="shared" si="2"/>
        <v>0</v>
      </c>
      <c r="L65" s="507">
        <f t="shared" si="3"/>
        <v>0</v>
      </c>
      <c r="M65" s="452"/>
      <c r="N65" s="445">
        <v>0</v>
      </c>
      <c r="O65" s="483">
        <f t="shared" si="14"/>
        <v>0</v>
      </c>
      <c r="P65" s="487">
        <f t="shared" si="22"/>
        <v>0</v>
      </c>
      <c r="Q65" s="499"/>
      <c r="R65" s="2157">
        <f t="shared" si="4"/>
        <v>0</v>
      </c>
      <c r="S65" s="452"/>
      <c r="T65" s="2634"/>
      <c r="U65" s="2635"/>
      <c r="V65" s="2596"/>
      <c r="W65" s="2597"/>
      <c r="X65" s="2598"/>
      <c r="Y65" s="452"/>
      <c r="Z65" s="2693">
        <f t="shared" si="15"/>
        <v>0</v>
      </c>
      <c r="AA65" s="2688">
        <f t="shared" si="5"/>
        <v>0</v>
      </c>
      <c r="AB65" s="2701">
        <f t="shared" si="6"/>
        <v>0</v>
      </c>
      <c r="AC65" s="452"/>
      <c r="AD65" s="589">
        <f t="shared" si="7"/>
        <v>0</v>
      </c>
      <c r="AE65" s="579" t="str">
        <f t="shared" si="16"/>
        <v/>
      </c>
      <c r="AF65" s="590">
        <f t="shared" si="8"/>
        <v>0</v>
      </c>
      <c r="AG65" s="591">
        <f t="shared" si="9"/>
        <v>0</v>
      </c>
      <c r="AH65" s="592"/>
      <c r="AI65" s="470"/>
      <c r="AK65" s="253"/>
    </row>
    <row r="66" spans="2:37" s="252" customFormat="1">
      <c r="B66" s="253"/>
      <c r="D66" s="471" t="s">
        <v>482</v>
      </c>
      <c r="E66" s="261" t="s">
        <v>485</v>
      </c>
      <c r="F66" s="261"/>
      <c r="G66" s="433" t="s">
        <v>486</v>
      </c>
      <c r="H66" s="445">
        <f t="shared" si="17"/>
        <v>0</v>
      </c>
      <c r="I66" s="2497">
        <f t="shared" si="20"/>
        <v>25000</v>
      </c>
      <c r="J66" s="487">
        <f t="shared" si="21"/>
        <v>0</v>
      </c>
      <c r="K66" s="499">
        <f t="shared" si="2"/>
        <v>0</v>
      </c>
      <c r="L66" s="507">
        <f t="shared" si="3"/>
        <v>0</v>
      </c>
      <c r="M66" s="452"/>
      <c r="N66" s="445">
        <v>0</v>
      </c>
      <c r="O66" s="483">
        <f t="shared" si="14"/>
        <v>25000</v>
      </c>
      <c r="P66" s="487">
        <f t="shared" si="22"/>
        <v>0</v>
      </c>
      <c r="Q66" s="499"/>
      <c r="R66" s="2157">
        <f t="shared" si="4"/>
        <v>0</v>
      </c>
      <c r="S66" s="452"/>
      <c r="T66" s="2634"/>
      <c r="U66" s="2635"/>
      <c r="V66" s="2596"/>
      <c r="W66" s="2597"/>
      <c r="X66" s="2598"/>
      <c r="Y66" s="452"/>
      <c r="Z66" s="2693">
        <f t="shared" si="15"/>
        <v>0</v>
      </c>
      <c r="AA66" s="2688">
        <f t="shared" si="5"/>
        <v>0</v>
      </c>
      <c r="AB66" s="2701">
        <f t="shared" si="6"/>
        <v>0</v>
      </c>
      <c r="AC66" s="452"/>
      <c r="AD66" s="589">
        <f t="shared" si="7"/>
        <v>0</v>
      </c>
      <c r="AE66" s="579" t="str">
        <f t="shared" si="16"/>
        <v/>
      </c>
      <c r="AF66" s="590">
        <f t="shared" si="8"/>
        <v>0</v>
      </c>
      <c r="AG66" s="591">
        <f t="shared" si="9"/>
        <v>0</v>
      </c>
      <c r="AH66" s="592"/>
      <c r="AI66" s="470"/>
      <c r="AK66" s="253"/>
    </row>
    <row r="67" spans="2:37" s="252" customFormat="1">
      <c r="B67" s="253"/>
      <c r="D67" s="471"/>
      <c r="E67" s="261" t="s">
        <v>3381</v>
      </c>
      <c r="F67" s="261"/>
      <c r="G67" s="433" t="s">
        <v>3382</v>
      </c>
      <c r="H67" s="445">
        <f t="shared" si="17"/>
        <v>0</v>
      </c>
      <c r="I67" s="2497">
        <f t="shared" si="20"/>
        <v>0</v>
      </c>
      <c r="J67" s="487">
        <f t="shared" si="21"/>
        <v>0</v>
      </c>
      <c r="K67" s="499">
        <f t="shared" si="2"/>
        <v>0</v>
      </c>
      <c r="L67" s="507">
        <f t="shared" si="3"/>
        <v>0</v>
      </c>
      <c r="M67" s="452"/>
      <c r="N67" s="445">
        <v>0</v>
      </c>
      <c r="O67" s="483">
        <f t="shared" si="14"/>
        <v>0</v>
      </c>
      <c r="P67" s="487">
        <f t="shared" si="22"/>
        <v>0</v>
      </c>
      <c r="Q67" s="499"/>
      <c r="R67" s="2157">
        <f t="shared" si="4"/>
        <v>0</v>
      </c>
      <c r="S67" s="452"/>
      <c r="T67" s="2634"/>
      <c r="U67" s="2635"/>
      <c r="V67" s="2596"/>
      <c r="W67" s="2597"/>
      <c r="X67" s="2598"/>
      <c r="Y67" s="452"/>
      <c r="Z67" s="2693">
        <f t="shared" si="15"/>
        <v>0</v>
      </c>
      <c r="AA67" s="2688">
        <f t="shared" si="5"/>
        <v>0</v>
      </c>
      <c r="AB67" s="2701">
        <f t="shared" si="6"/>
        <v>0</v>
      </c>
      <c r="AC67" s="452"/>
      <c r="AD67" s="589">
        <f t="shared" si="7"/>
        <v>0</v>
      </c>
      <c r="AE67" s="579" t="str">
        <f t="shared" si="16"/>
        <v/>
      </c>
      <c r="AF67" s="590">
        <f t="shared" si="8"/>
        <v>0</v>
      </c>
      <c r="AG67" s="591">
        <f t="shared" si="9"/>
        <v>0</v>
      </c>
      <c r="AH67" s="592"/>
      <c r="AI67" s="470"/>
      <c r="AK67" s="253"/>
    </row>
    <row r="68" spans="2:37" s="252" customFormat="1">
      <c r="B68" s="253"/>
      <c r="D68" s="471"/>
      <c r="E68" s="261" t="s">
        <v>3383</v>
      </c>
      <c r="F68" s="261"/>
      <c r="G68" s="433" t="s">
        <v>3384</v>
      </c>
      <c r="H68" s="445">
        <f t="shared" si="17"/>
        <v>0</v>
      </c>
      <c r="I68" s="2497">
        <f t="shared" si="20"/>
        <v>900</v>
      </c>
      <c r="J68" s="487">
        <f t="shared" si="21"/>
        <v>0</v>
      </c>
      <c r="K68" s="499">
        <f t="shared" si="2"/>
        <v>0</v>
      </c>
      <c r="L68" s="507">
        <f t="shared" si="3"/>
        <v>0</v>
      </c>
      <c r="M68" s="452"/>
      <c r="N68" s="445">
        <v>0</v>
      </c>
      <c r="O68" s="483">
        <f t="shared" si="14"/>
        <v>900</v>
      </c>
      <c r="P68" s="487">
        <f t="shared" si="22"/>
        <v>0</v>
      </c>
      <c r="Q68" s="499"/>
      <c r="R68" s="2157">
        <f t="shared" si="4"/>
        <v>0</v>
      </c>
      <c r="S68" s="452"/>
      <c r="T68" s="2634"/>
      <c r="U68" s="2635"/>
      <c r="V68" s="2596"/>
      <c r="W68" s="2597"/>
      <c r="X68" s="2598"/>
      <c r="Y68" s="452"/>
      <c r="Z68" s="2693">
        <f t="shared" si="15"/>
        <v>0</v>
      </c>
      <c r="AA68" s="2688">
        <f t="shared" si="5"/>
        <v>0</v>
      </c>
      <c r="AB68" s="2701">
        <f t="shared" si="6"/>
        <v>0</v>
      </c>
      <c r="AC68" s="452"/>
      <c r="AD68" s="589">
        <f t="shared" si="7"/>
        <v>0</v>
      </c>
      <c r="AE68" s="579" t="str">
        <f t="shared" si="16"/>
        <v/>
      </c>
      <c r="AF68" s="590">
        <f t="shared" si="8"/>
        <v>0</v>
      </c>
      <c r="AG68" s="591">
        <f t="shared" si="9"/>
        <v>0</v>
      </c>
      <c r="AH68" s="592"/>
      <c r="AI68" s="470"/>
      <c r="AK68" s="253"/>
    </row>
    <row r="69" spans="2:37" s="252" customFormat="1">
      <c r="B69" s="253"/>
      <c r="D69" s="472"/>
      <c r="E69" s="430" t="s">
        <v>3385</v>
      </c>
      <c r="F69" s="430"/>
      <c r="G69" s="436" t="s">
        <v>3386</v>
      </c>
      <c r="H69" s="446">
        <f t="shared" si="17"/>
        <v>0</v>
      </c>
      <c r="I69" s="2498">
        <f t="shared" si="20"/>
        <v>625</v>
      </c>
      <c r="J69" s="488">
        <f t="shared" si="21"/>
        <v>0</v>
      </c>
      <c r="K69" s="500">
        <f t="shared" si="2"/>
        <v>0</v>
      </c>
      <c r="L69" s="508">
        <f t="shared" si="3"/>
        <v>0</v>
      </c>
      <c r="M69" s="453"/>
      <c r="N69" s="446">
        <v>0</v>
      </c>
      <c r="O69" s="1456">
        <f t="shared" si="14"/>
        <v>625</v>
      </c>
      <c r="P69" s="488">
        <f t="shared" si="22"/>
        <v>0</v>
      </c>
      <c r="Q69" s="500"/>
      <c r="R69" s="2158">
        <f t="shared" si="4"/>
        <v>0</v>
      </c>
      <c r="S69" s="453"/>
      <c r="T69" s="2636"/>
      <c r="U69" s="2637"/>
      <c r="V69" s="2599"/>
      <c r="W69" s="2600"/>
      <c r="X69" s="2601"/>
      <c r="Y69" s="453"/>
      <c r="Z69" s="2694">
        <f t="shared" si="15"/>
        <v>0</v>
      </c>
      <c r="AA69" s="2689">
        <f t="shared" si="5"/>
        <v>0</v>
      </c>
      <c r="AB69" s="2702">
        <f t="shared" si="6"/>
        <v>0</v>
      </c>
      <c r="AC69" s="453"/>
      <c r="AD69" s="593">
        <f t="shared" si="7"/>
        <v>0</v>
      </c>
      <c r="AE69" s="594" t="str">
        <f t="shared" si="16"/>
        <v/>
      </c>
      <c r="AF69" s="595">
        <f t="shared" si="8"/>
        <v>0</v>
      </c>
      <c r="AG69" s="596">
        <f t="shared" si="9"/>
        <v>0</v>
      </c>
      <c r="AH69" s="597"/>
      <c r="AI69" s="473"/>
      <c r="AK69" s="253"/>
    </row>
    <row r="70" spans="2:37" s="252" customFormat="1">
      <c r="B70" s="253"/>
      <c r="D70" s="474" t="s">
        <v>3387</v>
      </c>
      <c r="E70" s="431" t="s">
        <v>3388</v>
      </c>
      <c r="F70" s="431"/>
      <c r="G70" s="435" t="s">
        <v>3389</v>
      </c>
      <c r="H70" s="444">
        <v>27</v>
      </c>
      <c r="I70" s="2556">
        <f t="shared" si="20"/>
        <v>12500</v>
      </c>
      <c r="J70" s="489">
        <f t="shared" si="21"/>
        <v>337500</v>
      </c>
      <c r="K70" s="501">
        <f t="shared" si="2"/>
        <v>42.1875</v>
      </c>
      <c r="L70" s="509">
        <f t="shared" si="3"/>
        <v>14062.5</v>
      </c>
      <c r="M70" s="454"/>
      <c r="N70" s="444">
        <v>0</v>
      </c>
      <c r="O70" s="1457">
        <f t="shared" si="14"/>
        <v>12500</v>
      </c>
      <c r="P70" s="489">
        <f t="shared" si="22"/>
        <v>0</v>
      </c>
      <c r="Q70" s="501"/>
      <c r="R70" s="2159">
        <f t="shared" si="4"/>
        <v>0</v>
      </c>
      <c r="S70" s="454"/>
      <c r="T70" s="2638"/>
      <c r="U70" s="2639"/>
      <c r="V70" s="2602"/>
      <c r="W70" s="2603"/>
      <c r="X70" s="2604"/>
      <c r="Y70" s="454"/>
      <c r="Z70" s="2692">
        <f t="shared" si="15"/>
        <v>27</v>
      </c>
      <c r="AA70" s="2690">
        <f t="shared" si="5"/>
        <v>337500</v>
      </c>
      <c r="AB70" s="2703">
        <f t="shared" si="6"/>
        <v>37.5</v>
      </c>
      <c r="AC70" s="454"/>
      <c r="AD70" s="585">
        <f t="shared" si="7"/>
        <v>27</v>
      </c>
      <c r="AE70" s="598">
        <f t="shared" si="16"/>
        <v>12500</v>
      </c>
      <c r="AF70" s="599">
        <f t="shared" si="8"/>
        <v>337500</v>
      </c>
      <c r="AG70" s="600">
        <f t="shared" si="9"/>
        <v>37.5</v>
      </c>
      <c r="AH70" s="601"/>
      <c r="AI70" s="475"/>
      <c r="AK70" s="253"/>
    </row>
    <row r="71" spans="2:37" s="252" customFormat="1">
      <c r="B71" s="253"/>
      <c r="D71" s="471" t="s">
        <v>2361</v>
      </c>
      <c r="E71" s="261" t="s">
        <v>1322</v>
      </c>
      <c r="F71" s="261"/>
      <c r="G71" s="433" t="s">
        <v>1323</v>
      </c>
      <c r="H71" s="445">
        <f t="shared" si="17"/>
        <v>0</v>
      </c>
      <c r="I71" s="2497">
        <f t="shared" si="20"/>
        <v>0</v>
      </c>
      <c r="J71" s="487">
        <f t="shared" si="21"/>
        <v>0</v>
      </c>
      <c r="K71" s="499">
        <f t="shared" si="2"/>
        <v>0</v>
      </c>
      <c r="L71" s="507">
        <f t="shared" si="3"/>
        <v>0</v>
      </c>
      <c r="M71" s="452"/>
      <c r="N71" s="445">
        <v>0</v>
      </c>
      <c r="O71" s="483">
        <f t="shared" si="14"/>
        <v>0</v>
      </c>
      <c r="P71" s="487">
        <f t="shared" si="22"/>
        <v>0</v>
      </c>
      <c r="Q71" s="499"/>
      <c r="R71" s="2157">
        <f t="shared" si="4"/>
        <v>0</v>
      </c>
      <c r="S71" s="452"/>
      <c r="T71" s="2634"/>
      <c r="U71" s="2635"/>
      <c r="V71" s="2596"/>
      <c r="W71" s="2597"/>
      <c r="X71" s="2598"/>
      <c r="Y71" s="452"/>
      <c r="Z71" s="2693">
        <f t="shared" si="15"/>
        <v>0</v>
      </c>
      <c r="AA71" s="2688">
        <f t="shared" si="5"/>
        <v>0</v>
      </c>
      <c r="AB71" s="2701">
        <f t="shared" si="6"/>
        <v>0</v>
      </c>
      <c r="AC71" s="452"/>
      <c r="AD71" s="589">
        <f t="shared" si="7"/>
        <v>0</v>
      </c>
      <c r="AE71" s="579" t="str">
        <f t="shared" si="16"/>
        <v/>
      </c>
      <c r="AF71" s="590">
        <f t="shared" si="8"/>
        <v>0</v>
      </c>
      <c r="AG71" s="591">
        <f t="shared" si="9"/>
        <v>0</v>
      </c>
      <c r="AH71" s="592"/>
      <c r="AI71" s="476"/>
      <c r="AK71" s="253"/>
    </row>
    <row r="72" spans="2:37" s="252" customFormat="1">
      <c r="B72" s="253"/>
      <c r="D72" s="477"/>
      <c r="E72" s="261" t="s">
        <v>1324</v>
      </c>
      <c r="F72" s="261"/>
      <c r="G72" s="433" t="s">
        <v>1325</v>
      </c>
      <c r="H72" s="445">
        <f t="shared" si="17"/>
        <v>1</v>
      </c>
      <c r="I72" s="2497">
        <f t="shared" si="20"/>
        <v>1730</v>
      </c>
      <c r="J72" s="487">
        <f t="shared" si="21"/>
        <v>1730</v>
      </c>
      <c r="K72" s="499">
        <f t="shared" si="2"/>
        <v>0.21625</v>
      </c>
      <c r="L72" s="507">
        <f t="shared" si="3"/>
        <v>72.083333333333329</v>
      </c>
      <c r="M72" s="452"/>
      <c r="N72" s="445">
        <v>0</v>
      </c>
      <c r="O72" s="483">
        <f t="shared" si="14"/>
        <v>1730</v>
      </c>
      <c r="P72" s="487">
        <f t="shared" si="22"/>
        <v>0</v>
      </c>
      <c r="Q72" s="499"/>
      <c r="R72" s="2157">
        <f t="shared" si="4"/>
        <v>0</v>
      </c>
      <c r="S72" s="452"/>
      <c r="T72" s="2634"/>
      <c r="U72" s="2635"/>
      <c r="V72" s="2596"/>
      <c r="W72" s="2597"/>
      <c r="X72" s="2598"/>
      <c r="Y72" s="452"/>
      <c r="Z72" s="2693">
        <f t="shared" si="15"/>
        <v>1</v>
      </c>
      <c r="AA72" s="2688">
        <f t="shared" si="5"/>
        <v>1730</v>
      </c>
      <c r="AB72" s="2701">
        <f t="shared" si="6"/>
        <v>0.19222222222222221</v>
      </c>
      <c r="AC72" s="452"/>
      <c r="AD72" s="589">
        <f t="shared" si="7"/>
        <v>1</v>
      </c>
      <c r="AE72" s="579">
        <f t="shared" si="16"/>
        <v>1730</v>
      </c>
      <c r="AF72" s="590">
        <f t="shared" si="8"/>
        <v>1730</v>
      </c>
      <c r="AG72" s="591">
        <f t="shared" si="9"/>
        <v>0.19222222222222221</v>
      </c>
      <c r="AH72" s="592"/>
      <c r="AI72" s="470"/>
      <c r="AK72" s="253"/>
    </row>
    <row r="73" spans="2:37" s="252" customFormat="1">
      <c r="B73" s="253"/>
      <c r="D73" s="471"/>
      <c r="E73" s="261" t="s">
        <v>1326</v>
      </c>
      <c r="F73" s="261"/>
      <c r="G73" s="433" t="s">
        <v>1327</v>
      </c>
      <c r="H73" s="445">
        <f t="shared" si="17"/>
        <v>1</v>
      </c>
      <c r="I73" s="2497">
        <f t="shared" si="20"/>
        <v>4475</v>
      </c>
      <c r="J73" s="487">
        <f t="shared" si="21"/>
        <v>4475</v>
      </c>
      <c r="K73" s="499">
        <f t="shared" si="2"/>
        <v>0.55937499999999996</v>
      </c>
      <c r="L73" s="507">
        <f t="shared" si="3"/>
        <v>186.45833333333334</v>
      </c>
      <c r="M73" s="452"/>
      <c r="N73" s="445">
        <v>0</v>
      </c>
      <c r="O73" s="483">
        <f t="shared" si="14"/>
        <v>4475</v>
      </c>
      <c r="P73" s="487">
        <f t="shared" si="22"/>
        <v>0</v>
      </c>
      <c r="Q73" s="499"/>
      <c r="R73" s="2157">
        <f t="shared" si="4"/>
        <v>0</v>
      </c>
      <c r="S73" s="452"/>
      <c r="T73" s="2634"/>
      <c r="U73" s="2635"/>
      <c r="V73" s="2596"/>
      <c r="W73" s="2597"/>
      <c r="X73" s="2598"/>
      <c r="Y73" s="452"/>
      <c r="Z73" s="2693">
        <f t="shared" si="15"/>
        <v>1</v>
      </c>
      <c r="AA73" s="2688">
        <f t="shared" si="5"/>
        <v>4475</v>
      </c>
      <c r="AB73" s="2701">
        <f t="shared" si="6"/>
        <v>0.49722222222222223</v>
      </c>
      <c r="AC73" s="452"/>
      <c r="AD73" s="589">
        <f t="shared" si="7"/>
        <v>1</v>
      </c>
      <c r="AE73" s="579">
        <f t="shared" si="16"/>
        <v>4475</v>
      </c>
      <c r="AF73" s="590">
        <f t="shared" si="8"/>
        <v>4475</v>
      </c>
      <c r="AG73" s="591">
        <f t="shared" si="9"/>
        <v>0.49722222222222223</v>
      </c>
      <c r="AH73" s="592"/>
      <c r="AI73" s="470"/>
      <c r="AK73" s="253"/>
    </row>
    <row r="74" spans="2:37" s="252" customFormat="1">
      <c r="B74" s="253"/>
      <c r="D74" s="471"/>
      <c r="E74" s="261" t="s">
        <v>1328</v>
      </c>
      <c r="F74" s="261"/>
      <c r="G74" s="433" t="s">
        <v>1329</v>
      </c>
      <c r="H74" s="445">
        <f t="shared" si="17"/>
        <v>0</v>
      </c>
      <c r="I74" s="2497">
        <f t="shared" si="20"/>
        <v>3360</v>
      </c>
      <c r="J74" s="487">
        <f t="shared" si="21"/>
        <v>0</v>
      </c>
      <c r="K74" s="499">
        <f t="shared" si="2"/>
        <v>0</v>
      </c>
      <c r="L74" s="507">
        <f t="shared" si="3"/>
        <v>0</v>
      </c>
      <c r="M74" s="452"/>
      <c r="N74" s="445">
        <v>0</v>
      </c>
      <c r="O74" s="483">
        <f t="shared" si="14"/>
        <v>3360</v>
      </c>
      <c r="P74" s="487">
        <f t="shared" si="22"/>
        <v>0</v>
      </c>
      <c r="Q74" s="499"/>
      <c r="R74" s="2157">
        <f t="shared" si="4"/>
        <v>0</v>
      </c>
      <c r="S74" s="452"/>
      <c r="T74" s="445">
        <v>1</v>
      </c>
      <c r="U74" s="2469">
        <f>O74</f>
        <v>3360</v>
      </c>
      <c r="V74" s="487">
        <f>IF(ISNUMBER(U74)=TRUE, T74*U74,0)</f>
        <v>3360</v>
      </c>
      <c r="W74" s="2586">
        <f>IF(V74=0,0,V74/$W$8)</f>
        <v>3.36</v>
      </c>
      <c r="X74" s="2587">
        <f>V74/($W$12)</f>
        <v>840</v>
      </c>
      <c r="Y74" s="452"/>
      <c r="Z74" s="2693">
        <f t="shared" si="15"/>
        <v>1</v>
      </c>
      <c r="AA74" s="2688">
        <f t="shared" si="5"/>
        <v>3360</v>
      </c>
      <c r="AB74" s="2701">
        <f t="shared" si="6"/>
        <v>0.37333333333333335</v>
      </c>
      <c r="AC74" s="452"/>
      <c r="AD74" s="589">
        <f t="shared" si="7"/>
        <v>1</v>
      </c>
      <c r="AE74" s="579">
        <f t="shared" si="16"/>
        <v>3360</v>
      </c>
      <c r="AF74" s="590">
        <f t="shared" si="8"/>
        <v>3360</v>
      </c>
      <c r="AG74" s="591">
        <f t="shared" si="9"/>
        <v>0.37333333333333335</v>
      </c>
      <c r="AH74" s="592"/>
      <c r="AI74" s="470"/>
      <c r="AK74" s="253"/>
    </row>
    <row r="75" spans="2:37" s="252" customFormat="1">
      <c r="B75" s="253"/>
      <c r="D75" s="471"/>
      <c r="E75" s="261" t="s">
        <v>1900</v>
      </c>
      <c r="F75" s="261"/>
      <c r="G75" s="433" t="s">
        <v>1901</v>
      </c>
      <c r="H75" s="445">
        <f t="shared" si="17"/>
        <v>1</v>
      </c>
      <c r="I75" s="2497">
        <f t="shared" si="20"/>
        <v>425</v>
      </c>
      <c r="J75" s="487">
        <f t="shared" si="21"/>
        <v>425</v>
      </c>
      <c r="K75" s="499">
        <f t="shared" si="2"/>
        <v>5.3124999999999999E-2</v>
      </c>
      <c r="L75" s="507">
        <f t="shared" si="3"/>
        <v>17.708333333333332</v>
      </c>
      <c r="M75" s="452"/>
      <c r="N75" s="445">
        <v>0</v>
      </c>
      <c r="O75" s="483">
        <f t="shared" si="14"/>
        <v>425</v>
      </c>
      <c r="P75" s="487">
        <f t="shared" si="22"/>
        <v>0</v>
      </c>
      <c r="Q75" s="499"/>
      <c r="R75" s="2157">
        <f t="shared" si="4"/>
        <v>0</v>
      </c>
      <c r="S75" s="452"/>
      <c r="T75" s="445">
        <v>0</v>
      </c>
      <c r="U75" s="2469">
        <f>O75</f>
        <v>425</v>
      </c>
      <c r="V75" s="487">
        <f>IF(ISNUMBER(U75)=TRUE, T75*U75,0)</f>
        <v>0</v>
      </c>
      <c r="W75" s="2586">
        <f>IF(V75=0,0,V75/$W$8)</f>
        <v>0</v>
      </c>
      <c r="X75" s="2587">
        <f>V75/($W$12)</f>
        <v>0</v>
      </c>
      <c r="Y75" s="452"/>
      <c r="Z75" s="2693">
        <f t="shared" si="15"/>
        <v>1</v>
      </c>
      <c r="AA75" s="2688">
        <f t="shared" si="5"/>
        <v>425</v>
      </c>
      <c r="AB75" s="2701">
        <f t="shared" si="6"/>
        <v>4.7222222222222221E-2</v>
      </c>
      <c r="AC75" s="452"/>
      <c r="AD75" s="589">
        <f t="shared" si="7"/>
        <v>1</v>
      </c>
      <c r="AE75" s="579">
        <f t="shared" si="16"/>
        <v>425</v>
      </c>
      <c r="AF75" s="590">
        <f t="shared" si="8"/>
        <v>425</v>
      </c>
      <c r="AG75" s="591">
        <f t="shared" si="9"/>
        <v>4.7222222222222221E-2</v>
      </c>
      <c r="AH75" s="592"/>
      <c r="AI75" s="470"/>
      <c r="AK75" s="253"/>
    </row>
    <row r="76" spans="2:37" s="252" customFormat="1">
      <c r="B76" s="253"/>
      <c r="D76" s="471"/>
      <c r="E76" s="261" t="s">
        <v>1902</v>
      </c>
      <c r="F76" s="261"/>
      <c r="G76" s="433" t="s">
        <v>1903</v>
      </c>
      <c r="H76" s="445">
        <f t="shared" si="17"/>
        <v>1</v>
      </c>
      <c r="I76" s="2497">
        <f t="shared" si="20"/>
        <v>545</v>
      </c>
      <c r="J76" s="487">
        <f t="shared" si="21"/>
        <v>545</v>
      </c>
      <c r="K76" s="499">
        <f t="shared" si="2"/>
        <v>6.8125000000000005E-2</v>
      </c>
      <c r="L76" s="507">
        <f t="shared" si="3"/>
        <v>22.708333333333332</v>
      </c>
      <c r="M76" s="452"/>
      <c r="N76" s="445">
        <v>0</v>
      </c>
      <c r="O76" s="483">
        <f t="shared" si="14"/>
        <v>545</v>
      </c>
      <c r="P76" s="487">
        <f t="shared" si="22"/>
        <v>0</v>
      </c>
      <c r="Q76" s="499"/>
      <c r="R76" s="2157">
        <f t="shared" si="4"/>
        <v>0</v>
      </c>
      <c r="S76" s="452"/>
      <c r="T76" s="445">
        <v>0</v>
      </c>
      <c r="U76" s="2469">
        <f>O76</f>
        <v>545</v>
      </c>
      <c r="V76" s="487">
        <f>IF(ISNUMBER(U76)=TRUE, T76*U76,0)</f>
        <v>0</v>
      </c>
      <c r="W76" s="2586">
        <f>IF(V76=0,0,V76/$W$8)</f>
        <v>0</v>
      </c>
      <c r="X76" s="2587">
        <f>V76/($W$12)</f>
        <v>0</v>
      </c>
      <c r="Y76" s="452"/>
      <c r="Z76" s="2693">
        <f t="shared" si="15"/>
        <v>1</v>
      </c>
      <c r="AA76" s="2688">
        <f t="shared" si="5"/>
        <v>545</v>
      </c>
      <c r="AB76" s="2701">
        <f t="shared" si="6"/>
        <v>6.0555555555555557E-2</v>
      </c>
      <c r="AC76" s="452"/>
      <c r="AD76" s="589">
        <f t="shared" si="7"/>
        <v>1</v>
      </c>
      <c r="AE76" s="579">
        <f t="shared" si="16"/>
        <v>545</v>
      </c>
      <c r="AF76" s="590">
        <f t="shared" si="8"/>
        <v>545</v>
      </c>
      <c r="AG76" s="591">
        <f t="shared" si="9"/>
        <v>6.0555555555555557E-2</v>
      </c>
      <c r="AH76" s="592"/>
      <c r="AI76" s="470"/>
      <c r="AK76" s="253"/>
    </row>
    <row r="77" spans="2:37" s="252" customFormat="1">
      <c r="B77" s="253"/>
      <c r="D77" s="471"/>
      <c r="E77" s="261" t="s">
        <v>1904</v>
      </c>
      <c r="F77" s="261"/>
      <c r="G77" s="433" t="s">
        <v>1905</v>
      </c>
      <c r="H77" s="445">
        <f t="shared" si="17"/>
        <v>1</v>
      </c>
      <c r="I77" s="2497">
        <f t="shared" si="20"/>
        <v>525</v>
      </c>
      <c r="J77" s="487">
        <f t="shared" si="21"/>
        <v>525</v>
      </c>
      <c r="K77" s="499">
        <f t="shared" si="2"/>
        <v>6.5625000000000003E-2</v>
      </c>
      <c r="L77" s="507">
        <f t="shared" si="3"/>
        <v>21.875</v>
      </c>
      <c r="M77" s="452"/>
      <c r="N77" s="445">
        <v>0</v>
      </c>
      <c r="O77" s="483">
        <f t="shared" si="14"/>
        <v>525</v>
      </c>
      <c r="P77" s="487">
        <f t="shared" si="22"/>
        <v>0</v>
      </c>
      <c r="Q77" s="499"/>
      <c r="R77" s="2157">
        <f t="shared" si="4"/>
        <v>0</v>
      </c>
      <c r="S77" s="452"/>
      <c r="T77" s="2634"/>
      <c r="U77" s="2635"/>
      <c r="V77" s="2596"/>
      <c r="W77" s="2597"/>
      <c r="X77" s="2598"/>
      <c r="Y77" s="452"/>
      <c r="Z77" s="2693">
        <f t="shared" si="15"/>
        <v>1</v>
      </c>
      <c r="AA77" s="2688">
        <f t="shared" si="5"/>
        <v>525</v>
      </c>
      <c r="AB77" s="2701">
        <f t="shared" si="6"/>
        <v>5.8333333333333334E-2</v>
      </c>
      <c r="AC77" s="452"/>
      <c r="AD77" s="589">
        <f t="shared" si="7"/>
        <v>1</v>
      </c>
      <c r="AE77" s="579">
        <f t="shared" si="16"/>
        <v>525</v>
      </c>
      <c r="AF77" s="590">
        <f t="shared" si="8"/>
        <v>525</v>
      </c>
      <c r="AG77" s="591">
        <f t="shared" si="9"/>
        <v>5.8333333333333334E-2</v>
      </c>
      <c r="AH77" s="592"/>
      <c r="AI77" s="470"/>
      <c r="AK77" s="253"/>
    </row>
    <row r="78" spans="2:37" s="252" customFormat="1">
      <c r="B78" s="253"/>
      <c r="D78" s="471"/>
      <c r="E78" s="261" t="s">
        <v>1906</v>
      </c>
      <c r="F78" s="261"/>
      <c r="G78" s="433" t="s">
        <v>1907</v>
      </c>
      <c r="H78" s="445">
        <f t="shared" si="17"/>
        <v>0</v>
      </c>
      <c r="I78" s="2497">
        <f t="shared" si="20"/>
        <v>0</v>
      </c>
      <c r="J78" s="487">
        <f t="shared" si="21"/>
        <v>0</v>
      </c>
      <c r="K78" s="499">
        <f t="shared" si="2"/>
        <v>0</v>
      </c>
      <c r="L78" s="507">
        <f t="shared" si="3"/>
        <v>0</v>
      </c>
      <c r="M78" s="452"/>
      <c r="N78" s="445">
        <v>0</v>
      </c>
      <c r="O78" s="483">
        <f t="shared" si="14"/>
        <v>0</v>
      </c>
      <c r="P78" s="487">
        <f t="shared" si="22"/>
        <v>0</v>
      </c>
      <c r="Q78" s="499"/>
      <c r="R78" s="2157">
        <f t="shared" si="4"/>
        <v>0</v>
      </c>
      <c r="S78" s="452"/>
      <c r="T78" s="2634"/>
      <c r="U78" s="2635"/>
      <c r="V78" s="2596"/>
      <c r="W78" s="2597"/>
      <c r="X78" s="2598"/>
      <c r="Y78" s="452"/>
      <c r="Z78" s="2693">
        <f t="shared" si="15"/>
        <v>0</v>
      </c>
      <c r="AA78" s="2688">
        <f t="shared" si="5"/>
        <v>0</v>
      </c>
      <c r="AB78" s="2701">
        <f t="shared" si="6"/>
        <v>0</v>
      </c>
      <c r="AC78" s="452"/>
      <c r="AD78" s="589">
        <f t="shared" si="7"/>
        <v>0</v>
      </c>
      <c r="AE78" s="579" t="str">
        <f t="shared" si="16"/>
        <v/>
      </c>
      <c r="AF78" s="590">
        <f t="shared" si="8"/>
        <v>0</v>
      </c>
      <c r="AG78" s="591">
        <f t="shared" si="9"/>
        <v>0</v>
      </c>
      <c r="AH78" s="592"/>
      <c r="AI78" s="470"/>
      <c r="AK78" s="253"/>
    </row>
    <row r="79" spans="2:37" s="252" customFormat="1">
      <c r="B79" s="253"/>
      <c r="D79" s="471"/>
      <c r="E79" s="261" t="s">
        <v>1908</v>
      </c>
      <c r="F79" s="261"/>
      <c r="G79" s="433" t="s">
        <v>1909</v>
      </c>
      <c r="H79" s="445">
        <f t="shared" si="17"/>
        <v>0</v>
      </c>
      <c r="I79" s="2497">
        <f t="shared" si="20"/>
        <v>525</v>
      </c>
      <c r="J79" s="487">
        <f t="shared" si="21"/>
        <v>0</v>
      </c>
      <c r="K79" s="499">
        <f t="shared" si="2"/>
        <v>0</v>
      </c>
      <c r="L79" s="507">
        <f t="shared" si="3"/>
        <v>0</v>
      </c>
      <c r="M79" s="452"/>
      <c r="N79" s="445">
        <v>0</v>
      </c>
      <c r="O79" s="483">
        <f t="shared" si="14"/>
        <v>525</v>
      </c>
      <c r="P79" s="487">
        <f t="shared" si="22"/>
        <v>0</v>
      </c>
      <c r="Q79" s="499"/>
      <c r="R79" s="2157">
        <f t="shared" si="4"/>
        <v>0</v>
      </c>
      <c r="S79" s="452"/>
      <c r="T79" s="445">
        <v>1</v>
      </c>
      <c r="U79" s="2469">
        <f>O79</f>
        <v>525</v>
      </c>
      <c r="V79" s="487">
        <f>IF(ISNUMBER(U79)=TRUE, T79*U79,0)</f>
        <v>525</v>
      </c>
      <c r="W79" s="2586">
        <f>IF(V79=0,0,V79/$W$8)</f>
        <v>0.52500000000000002</v>
      </c>
      <c r="X79" s="2587">
        <f>V79/($W$12)</f>
        <v>131.25</v>
      </c>
      <c r="Y79" s="452"/>
      <c r="Z79" s="2693">
        <f t="shared" si="15"/>
        <v>1</v>
      </c>
      <c r="AA79" s="2688">
        <f t="shared" si="5"/>
        <v>525</v>
      </c>
      <c r="AB79" s="2701">
        <f t="shared" si="6"/>
        <v>5.8333333333333334E-2</v>
      </c>
      <c r="AC79" s="452"/>
      <c r="AD79" s="589">
        <f t="shared" si="7"/>
        <v>1</v>
      </c>
      <c r="AE79" s="579">
        <f t="shared" si="16"/>
        <v>525</v>
      </c>
      <c r="AF79" s="590">
        <f t="shared" si="8"/>
        <v>525</v>
      </c>
      <c r="AG79" s="591">
        <f t="shared" si="9"/>
        <v>5.8333333333333334E-2</v>
      </c>
      <c r="AH79" s="592"/>
      <c r="AI79" s="470"/>
      <c r="AK79" s="253"/>
    </row>
    <row r="80" spans="2:37" s="252" customFormat="1">
      <c r="B80" s="253"/>
      <c r="D80" s="471"/>
      <c r="E80" s="261" t="s">
        <v>1910</v>
      </c>
      <c r="F80" s="261"/>
      <c r="G80" s="433" t="s">
        <v>1911</v>
      </c>
      <c r="H80" s="445">
        <f t="shared" si="17"/>
        <v>0</v>
      </c>
      <c r="I80" s="2497">
        <f t="shared" si="20"/>
        <v>145</v>
      </c>
      <c r="J80" s="487">
        <f t="shared" si="21"/>
        <v>0</v>
      </c>
      <c r="K80" s="499">
        <f t="shared" si="2"/>
        <v>0</v>
      </c>
      <c r="L80" s="507">
        <f t="shared" si="3"/>
        <v>0</v>
      </c>
      <c r="M80" s="452"/>
      <c r="N80" s="445">
        <v>0</v>
      </c>
      <c r="O80" s="483">
        <f t="shared" si="14"/>
        <v>145</v>
      </c>
      <c r="P80" s="487">
        <f t="shared" si="22"/>
        <v>0</v>
      </c>
      <c r="Q80" s="499"/>
      <c r="R80" s="2157">
        <f t="shared" si="4"/>
        <v>0</v>
      </c>
      <c r="S80" s="452"/>
      <c r="T80" s="445">
        <v>1</v>
      </c>
      <c r="U80" s="2469">
        <f>O80</f>
        <v>145</v>
      </c>
      <c r="V80" s="487">
        <f>IF(ISNUMBER(U80)=TRUE, T80*U80,0)</f>
        <v>145</v>
      </c>
      <c r="W80" s="2586">
        <f>IF(V80=0,0,V80/$W$8)</f>
        <v>0.14499999999999999</v>
      </c>
      <c r="X80" s="2587">
        <f>V80/($W$12)</f>
        <v>36.25</v>
      </c>
      <c r="Y80" s="452"/>
      <c r="Z80" s="2693">
        <f t="shared" si="15"/>
        <v>1</v>
      </c>
      <c r="AA80" s="2688">
        <f t="shared" si="5"/>
        <v>145</v>
      </c>
      <c r="AB80" s="2701">
        <f t="shared" si="6"/>
        <v>1.6111111111111111E-2</v>
      </c>
      <c r="AC80" s="452"/>
      <c r="AD80" s="589">
        <f t="shared" si="7"/>
        <v>1</v>
      </c>
      <c r="AE80" s="579">
        <f t="shared" si="16"/>
        <v>145</v>
      </c>
      <c r="AF80" s="590">
        <f t="shared" si="8"/>
        <v>145</v>
      </c>
      <c r="AG80" s="591">
        <f t="shared" si="9"/>
        <v>1.6111111111111111E-2</v>
      </c>
      <c r="AH80" s="592"/>
      <c r="AI80" s="470"/>
      <c r="AK80" s="253"/>
    </row>
    <row r="81" spans="2:37" s="252" customFormat="1">
      <c r="B81" s="253"/>
      <c r="D81" s="471"/>
      <c r="E81" s="261" t="s">
        <v>1912</v>
      </c>
      <c r="F81" s="261"/>
      <c r="G81" s="433" t="s">
        <v>1913</v>
      </c>
      <c r="H81" s="445">
        <f t="shared" si="17"/>
        <v>0</v>
      </c>
      <c r="I81" s="2497">
        <f t="shared" si="20"/>
        <v>3885</v>
      </c>
      <c r="J81" s="487">
        <f t="shared" si="21"/>
        <v>0</v>
      </c>
      <c r="K81" s="499">
        <f t="shared" si="2"/>
        <v>0</v>
      </c>
      <c r="L81" s="507">
        <f t="shared" si="3"/>
        <v>0</v>
      </c>
      <c r="M81" s="452"/>
      <c r="N81" s="445">
        <v>0</v>
      </c>
      <c r="O81" s="483">
        <f t="shared" si="14"/>
        <v>3885</v>
      </c>
      <c r="P81" s="487">
        <f t="shared" si="22"/>
        <v>0</v>
      </c>
      <c r="Q81" s="499"/>
      <c r="R81" s="2157">
        <f t="shared" si="4"/>
        <v>0</v>
      </c>
      <c r="S81" s="452"/>
      <c r="T81" s="2634"/>
      <c r="U81" s="2635"/>
      <c r="V81" s="2596"/>
      <c r="W81" s="2597"/>
      <c r="X81" s="2598"/>
      <c r="Y81" s="452"/>
      <c r="Z81" s="2693">
        <f t="shared" si="15"/>
        <v>0</v>
      </c>
      <c r="AA81" s="2688">
        <f t="shared" si="5"/>
        <v>0</v>
      </c>
      <c r="AB81" s="2701">
        <f t="shared" si="6"/>
        <v>0</v>
      </c>
      <c r="AC81" s="452"/>
      <c r="AD81" s="589">
        <f t="shared" si="7"/>
        <v>0</v>
      </c>
      <c r="AE81" s="579" t="str">
        <f t="shared" si="16"/>
        <v/>
      </c>
      <c r="AF81" s="590">
        <f t="shared" si="8"/>
        <v>0</v>
      </c>
      <c r="AG81" s="591">
        <f t="shared" si="9"/>
        <v>0</v>
      </c>
      <c r="AH81" s="592"/>
      <c r="AI81" s="470"/>
      <c r="AK81" s="253"/>
    </row>
    <row r="82" spans="2:37" s="252" customFormat="1">
      <c r="B82" s="253"/>
      <c r="D82" s="471"/>
      <c r="E82" s="261" t="s">
        <v>1914</v>
      </c>
      <c r="F82" s="261"/>
      <c r="G82" s="433" t="s">
        <v>1915</v>
      </c>
      <c r="H82" s="445">
        <f t="shared" si="17"/>
        <v>1</v>
      </c>
      <c r="I82" s="2497">
        <f t="shared" si="20"/>
        <v>1000</v>
      </c>
      <c r="J82" s="487">
        <f t="shared" si="21"/>
        <v>1000</v>
      </c>
      <c r="K82" s="499">
        <f t="shared" si="2"/>
        <v>0.125</v>
      </c>
      <c r="L82" s="507">
        <f t="shared" si="3"/>
        <v>41.666666666666664</v>
      </c>
      <c r="M82" s="452"/>
      <c r="N82" s="445">
        <v>0</v>
      </c>
      <c r="O82" s="483">
        <f t="shared" si="14"/>
        <v>1000</v>
      </c>
      <c r="P82" s="487">
        <f t="shared" si="22"/>
        <v>0</v>
      </c>
      <c r="Q82" s="499"/>
      <c r="R82" s="2157">
        <f t="shared" si="4"/>
        <v>0</v>
      </c>
      <c r="S82" s="452"/>
      <c r="T82" s="445">
        <v>0</v>
      </c>
      <c r="U82" s="2469">
        <f t="shared" ref="U82:U90" si="23">O82</f>
        <v>1000</v>
      </c>
      <c r="V82" s="487">
        <f t="shared" ref="V82:V90" si="24">IF(ISNUMBER(U82)=TRUE, T82*U82,0)</f>
        <v>0</v>
      </c>
      <c r="W82" s="2586">
        <f>IF(V82=0,0,V82/$W$8)</f>
        <v>0</v>
      </c>
      <c r="X82" s="2587">
        <f>V82/($W$12)</f>
        <v>0</v>
      </c>
      <c r="Y82" s="452"/>
      <c r="Z82" s="2693">
        <f t="shared" si="15"/>
        <v>1</v>
      </c>
      <c r="AA82" s="2688">
        <f t="shared" si="5"/>
        <v>1000</v>
      </c>
      <c r="AB82" s="2701">
        <f t="shared" si="6"/>
        <v>0.1111111111111111</v>
      </c>
      <c r="AC82" s="452"/>
      <c r="AD82" s="589">
        <f t="shared" si="7"/>
        <v>1</v>
      </c>
      <c r="AE82" s="579">
        <f t="shared" si="16"/>
        <v>1000</v>
      </c>
      <c r="AF82" s="590">
        <f t="shared" si="8"/>
        <v>1000</v>
      </c>
      <c r="AG82" s="591">
        <f t="shared" si="9"/>
        <v>0.1111111111111111</v>
      </c>
      <c r="AH82" s="592"/>
      <c r="AI82" s="470"/>
      <c r="AK82" s="253"/>
    </row>
    <row r="83" spans="2:37" s="252" customFormat="1">
      <c r="B83" s="253"/>
      <c r="D83" s="471"/>
      <c r="E83" s="261" t="s">
        <v>902</v>
      </c>
      <c r="F83" s="261"/>
      <c r="G83" s="433" t="s">
        <v>903</v>
      </c>
      <c r="H83" s="445">
        <f t="shared" si="17"/>
        <v>0</v>
      </c>
      <c r="I83" s="2497">
        <f t="shared" si="20"/>
        <v>1322</v>
      </c>
      <c r="J83" s="487">
        <f t="shared" si="21"/>
        <v>0</v>
      </c>
      <c r="K83" s="499">
        <f t="shared" ref="K83:K135" si="25">IF($K$8=0,0,J83/$K$8)</f>
        <v>0</v>
      </c>
      <c r="L83" s="507">
        <f t="shared" ref="L83:L143" si="26">IF($K$9=0, 0, J83/$K$9)</f>
        <v>0</v>
      </c>
      <c r="M83" s="452"/>
      <c r="N83" s="445">
        <v>0</v>
      </c>
      <c r="O83" s="483">
        <f t="shared" si="14"/>
        <v>1322</v>
      </c>
      <c r="P83" s="487">
        <f t="shared" si="22"/>
        <v>0</v>
      </c>
      <c r="Q83" s="499"/>
      <c r="R83" s="2157">
        <f t="shared" ref="R83:R135" si="27">IF($P$9=0,0,P83/$P$9)</f>
        <v>0</v>
      </c>
      <c r="S83" s="452"/>
      <c r="T83" s="445">
        <v>0</v>
      </c>
      <c r="U83" s="2469">
        <f t="shared" si="23"/>
        <v>1322</v>
      </c>
      <c r="V83" s="487">
        <f t="shared" si="24"/>
        <v>0</v>
      </c>
      <c r="W83" s="2586">
        <f>IF(V83=0,0,V83/$W$8)</f>
        <v>0</v>
      </c>
      <c r="X83" s="2587">
        <f>V83/($W$12)</f>
        <v>0</v>
      </c>
      <c r="Y83" s="452"/>
      <c r="Z83" s="2693">
        <f t="shared" si="15"/>
        <v>0</v>
      </c>
      <c r="AA83" s="2688">
        <f t="shared" ref="AA83:AA143" si="28">J83+V83</f>
        <v>0</v>
      </c>
      <c r="AB83" s="2701">
        <f t="shared" ref="AB83:AB143" si="29">IF(AA83=0,0,AA83/$AB$8)</f>
        <v>0</v>
      </c>
      <c r="AC83" s="452"/>
      <c r="AD83" s="589">
        <f t="shared" ref="AD83:AD135" si="30">H83+N83+T83</f>
        <v>0</v>
      </c>
      <c r="AE83" s="579" t="str">
        <f t="shared" si="16"/>
        <v/>
      </c>
      <c r="AF83" s="590">
        <f t="shared" ref="AF83:AF135" si="31">J83+P83+V83</f>
        <v>0</v>
      </c>
      <c r="AG83" s="591">
        <f t="shared" si="9"/>
        <v>0</v>
      </c>
      <c r="AH83" s="592"/>
      <c r="AI83" s="470"/>
      <c r="AK83" s="253"/>
    </row>
    <row r="84" spans="2:37" s="252" customFormat="1">
      <c r="B84" s="253"/>
      <c r="D84" s="471"/>
      <c r="E84" s="261" t="s">
        <v>904</v>
      </c>
      <c r="F84" s="261"/>
      <c r="G84" s="433" t="s">
        <v>905</v>
      </c>
      <c r="H84" s="445">
        <f t="shared" si="17"/>
        <v>1</v>
      </c>
      <c r="I84" s="2497">
        <f t="shared" si="20"/>
        <v>2000</v>
      </c>
      <c r="J84" s="487">
        <f t="shared" si="21"/>
        <v>2000</v>
      </c>
      <c r="K84" s="499">
        <f t="shared" si="25"/>
        <v>0.25</v>
      </c>
      <c r="L84" s="507">
        <f t="shared" si="26"/>
        <v>83.333333333333329</v>
      </c>
      <c r="M84" s="452"/>
      <c r="N84" s="445">
        <v>0</v>
      </c>
      <c r="O84" s="483">
        <f t="shared" si="14"/>
        <v>2000</v>
      </c>
      <c r="P84" s="487">
        <f t="shared" si="22"/>
        <v>0</v>
      </c>
      <c r="Q84" s="499"/>
      <c r="R84" s="2157">
        <f t="shared" si="27"/>
        <v>0</v>
      </c>
      <c r="S84" s="452"/>
      <c r="T84" s="445">
        <v>1</v>
      </c>
      <c r="U84" s="2469">
        <f t="shared" si="23"/>
        <v>2000</v>
      </c>
      <c r="V84" s="487">
        <f t="shared" si="24"/>
        <v>2000</v>
      </c>
      <c r="W84" s="2586">
        <f t="shared" ref="W84:W108" si="32">IF(V84=0,0,V84/$W$8)</f>
        <v>2</v>
      </c>
      <c r="X84" s="2587">
        <f t="shared" ref="X84:X143" si="33">V84/($W$12)</f>
        <v>500</v>
      </c>
      <c r="Y84" s="452"/>
      <c r="Z84" s="2693">
        <f t="shared" si="15"/>
        <v>2</v>
      </c>
      <c r="AA84" s="2688">
        <f t="shared" si="28"/>
        <v>4000</v>
      </c>
      <c r="AB84" s="2701">
        <f t="shared" si="29"/>
        <v>0.44444444444444442</v>
      </c>
      <c r="AC84" s="452"/>
      <c r="AD84" s="589">
        <f t="shared" si="30"/>
        <v>2</v>
      </c>
      <c r="AE84" s="579">
        <f t="shared" si="16"/>
        <v>2000</v>
      </c>
      <c r="AF84" s="590">
        <f t="shared" si="31"/>
        <v>4000</v>
      </c>
      <c r="AG84" s="591">
        <f t="shared" ref="AG84:AG135" si="34">AF84/$AF$8</f>
        <v>0.44444444444444442</v>
      </c>
      <c r="AH84" s="592"/>
      <c r="AI84" s="470"/>
      <c r="AK84" s="253"/>
    </row>
    <row r="85" spans="2:37" s="252" customFormat="1">
      <c r="B85" s="253"/>
      <c r="D85" s="471"/>
      <c r="E85" s="261" t="s">
        <v>906</v>
      </c>
      <c r="F85" s="261"/>
      <c r="G85" s="433" t="s">
        <v>2936</v>
      </c>
      <c r="H85" s="445">
        <f t="shared" si="17"/>
        <v>0</v>
      </c>
      <c r="I85" s="2497">
        <f t="shared" si="20"/>
        <v>1995</v>
      </c>
      <c r="J85" s="487">
        <f t="shared" si="21"/>
        <v>0</v>
      </c>
      <c r="K85" s="499">
        <f t="shared" si="25"/>
        <v>0</v>
      </c>
      <c r="L85" s="507">
        <f t="shared" si="26"/>
        <v>0</v>
      </c>
      <c r="M85" s="452"/>
      <c r="N85" s="445">
        <v>0</v>
      </c>
      <c r="O85" s="483">
        <f t="shared" si="14"/>
        <v>1995</v>
      </c>
      <c r="P85" s="487">
        <f t="shared" si="22"/>
        <v>0</v>
      </c>
      <c r="Q85" s="499"/>
      <c r="R85" s="2157">
        <f t="shared" si="27"/>
        <v>0</v>
      </c>
      <c r="S85" s="452"/>
      <c r="T85" s="445">
        <v>0</v>
      </c>
      <c r="U85" s="2469">
        <f t="shared" si="23"/>
        <v>1995</v>
      </c>
      <c r="V85" s="487">
        <f t="shared" si="24"/>
        <v>0</v>
      </c>
      <c r="W85" s="2586">
        <f>IF(V85=0,0,V85/$W$8)</f>
        <v>0</v>
      </c>
      <c r="X85" s="2587">
        <f>V85/($W$12)</f>
        <v>0</v>
      </c>
      <c r="Y85" s="452"/>
      <c r="Z85" s="2693">
        <f t="shared" si="15"/>
        <v>0</v>
      </c>
      <c r="AA85" s="2688">
        <f t="shared" si="28"/>
        <v>0</v>
      </c>
      <c r="AB85" s="2701">
        <f t="shared" si="29"/>
        <v>0</v>
      </c>
      <c r="AC85" s="452"/>
      <c r="AD85" s="589">
        <f t="shared" si="30"/>
        <v>0</v>
      </c>
      <c r="AE85" s="579" t="str">
        <f t="shared" si="16"/>
        <v/>
      </c>
      <c r="AF85" s="590">
        <f t="shared" si="31"/>
        <v>0</v>
      </c>
      <c r="AG85" s="591">
        <f t="shared" si="34"/>
        <v>0</v>
      </c>
      <c r="AH85" s="592"/>
      <c r="AI85" s="470"/>
      <c r="AK85" s="253"/>
    </row>
    <row r="86" spans="2:37" s="252" customFormat="1">
      <c r="B86" s="253"/>
      <c r="D86" s="471"/>
      <c r="E86" s="261" t="s">
        <v>2937</v>
      </c>
      <c r="F86" s="261"/>
      <c r="G86" s="433" t="s">
        <v>2938</v>
      </c>
      <c r="H86" s="445">
        <f t="shared" si="17"/>
        <v>2</v>
      </c>
      <c r="I86" s="2497">
        <f t="shared" si="20"/>
        <v>10</v>
      </c>
      <c r="J86" s="487">
        <f t="shared" si="21"/>
        <v>20</v>
      </c>
      <c r="K86" s="499">
        <f t="shared" si="25"/>
        <v>2.5000000000000001E-3</v>
      </c>
      <c r="L86" s="507">
        <f t="shared" si="26"/>
        <v>0.83333333333333337</v>
      </c>
      <c r="M86" s="452"/>
      <c r="N86" s="445">
        <v>0</v>
      </c>
      <c r="O86" s="483">
        <f t="shared" si="14"/>
        <v>10</v>
      </c>
      <c r="P86" s="487">
        <f t="shared" si="22"/>
        <v>0</v>
      </c>
      <c r="Q86" s="499"/>
      <c r="R86" s="2157">
        <f t="shared" si="27"/>
        <v>0</v>
      </c>
      <c r="S86" s="452"/>
      <c r="T86" s="445">
        <v>0</v>
      </c>
      <c r="U86" s="2469">
        <f t="shared" si="23"/>
        <v>10</v>
      </c>
      <c r="V86" s="487">
        <f t="shared" si="24"/>
        <v>0</v>
      </c>
      <c r="W86" s="2586">
        <f t="shared" si="32"/>
        <v>0</v>
      </c>
      <c r="X86" s="2587">
        <f t="shared" si="33"/>
        <v>0</v>
      </c>
      <c r="Y86" s="452"/>
      <c r="Z86" s="2693">
        <f t="shared" si="15"/>
        <v>2</v>
      </c>
      <c r="AA86" s="2688">
        <f t="shared" si="28"/>
        <v>20</v>
      </c>
      <c r="AB86" s="2701">
        <f t="shared" si="29"/>
        <v>2.2222222222222222E-3</v>
      </c>
      <c r="AC86" s="452"/>
      <c r="AD86" s="589">
        <f t="shared" si="30"/>
        <v>2</v>
      </c>
      <c r="AE86" s="579">
        <f t="shared" si="16"/>
        <v>10</v>
      </c>
      <c r="AF86" s="590">
        <f t="shared" si="31"/>
        <v>20</v>
      </c>
      <c r="AG86" s="591">
        <f t="shared" si="34"/>
        <v>2.2222222222222222E-3</v>
      </c>
      <c r="AH86" s="592"/>
      <c r="AI86" s="470"/>
      <c r="AK86" s="253"/>
    </row>
    <row r="87" spans="2:37" s="252" customFormat="1">
      <c r="B87" s="253"/>
      <c r="D87" s="471"/>
      <c r="E87" s="261" t="s">
        <v>2939</v>
      </c>
      <c r="F87" s="261"/>
      <c r="G87" s="433" t="s">
        <v>2940</v>
      </c>
      <c r="H87" s="445">
        <f t="shared" si="17"/>
        <v>1</v>
      </c>
      <c r="I87" s="2497">
        <f t="shared" si="20"/>
        <v>225</v>
      </c>
      <c r="J87" s="487">
        <f t="shared" si="21"/>
        <v>225</v>
      </c>
      <c r="K87" s="499">
        <f t="shared" si="25"/>
        <v>2.8125000000000001E-2</v>
      </c>
      <c r="L87" s="507">
        <f t="shared" si="26"/>
        <v>9.375</v>
      </c>
      <c r="M87" s="452"/>
      <c r="N87" s="445">
        <v>0</v>
      </c>
      <c r="O87" s="483">
        <f t="shared" si="14"/>
        <v>225</v>
      </c>
      <c r="P87" s="487">
        <f t="shared" si="22"/>
        <v>0</v>
      </c>
      <c r="Q87" s="499"/>
      <c r="R87" s="2157">
        <f t="shared" si="27"/>
        <v>0</v>
      </c>
      <c r="S87" s="452"/>
      <c r="T87" s="445">
        <v>0</v>
      </c>
      <c r="U87" s="2469">
        <f t="shared" si="23"/>
        <v>225</v>
      </c>
      <c r="V87" s="487">
        <f t="shared" si="24"/>
        <v>0</v>
      </c>
      <c r="W87" s="2586">
        <f t="shared" si="32"/>
        <v>0</v>
      </c>
      <c r="X87" s="2587">
        <f t="shared" si="33"/>
        <v>0</v>
      </c>
      <c r="Y87" s="452"/>
      <c r="Z87" s="2693">
        <f t="shared" si="15"/>
        <v>1</v>
      </c>
      <c r="AA87" s="2688">
        <f t="shared" si="28"/>
        <v>225</v>
      </c>
      <c r="AB87" s="2701">
        <f t="shared" si="29"/>
        <v>2.5000000000000001E-2</v>
      </c>
      <c r="AC87" s="452"/>
      <c r="AD87" s="589">
        <f t="shared" si="30"/>
        <v>1</v>
      </c>
      <c r="AE87" s="579">
        <f t="shared" si="16"/>
        <v>225</v>
      </c>
      <c r="AF87" s="590">
        <f t="shared" si="31"/>
        <v>225</v>
      </c>
      <c r="AG87" s="591">
        <f t="shared" si="34"/>
        <v>2.5000000000000001E-2</v>
      </c>
      <c r="AH87" s="592"/>
      <c r="AI87" s="470"/>
      <c r="AK87" s="253"/>
    </row>
    <row r="88" spans="2:37" s="252" customFormat="1">
      <c r="B88" s="253"/>
      <c r="D88" s="471"/>
      <c r="E88" s="261" t="s">
        <v>2941</v>
      </c>
      <c r="F88" s="261"/>
      <c r="G88" s="433" t="s">
        <v>2942</v>
      </c>
      <c r="H88" s="445">
        <f t="shared" si="17"/>
        <v>3</v>
      </c>
      <c r="I88" s="2497">
        <f t="shared" si="20"/>
        <v>700</v>
      </c>
      <c r="J88" s="487">
        <f t="shared" si="21"/>
        <v>2100</v>
      </c>
      <c r="K88" s="499">
        <f t="shared" si="25"/>
        <v>0.26250000000000001</v>
      </c>
      <c r="L88" s="507">
        <f t="shared" si="26"/>
        <v>87.5</v>
      </c>
      <c r="M88" s="452"/>
      <c r="N88" s="445">
        <v>0</v>
      </c>
      <c r="O88" s="483">
        <f t="shared" si="14"/>
        <v>700</v>
      </c>
      <c r="P88" s="487">
        <f t="shared" si="22"/>
        <v>0</v>
      </c>
      <c r="Q88" s="499"/>
      <c r="R88" s="2157">
        <f t="shared" si="27"/>
        <v>0</v>
      </c>
      <c r="S88" s="452"/>
      <c r="T88" s="445">
        <v>0</v>
      </c>
      <c r="U88" s="2469">
        <f t="shared" si="23"/>
        <v>700</v>
      </c>
      <c r="V88" s="487">
        <f t="shared" si="24"/>
        <v>0</v>
      </c>
      <c r="W88" s="2586">
        <f>IF(V88=0,0,V88/$W$8)</f>
        <v>0</v>
      </c>
      <c r="X88" s="2587">
        <f>V88/($W$12)</f>
        <v>0</v>
      </c>
      <c r="Y88" s="452"/>
      <c r="Z88" s="2693">
        <f t="shared" si="15"/>
        <v>3</v>
      </c>
      <c r="AA88" s="2688">
        <f t="shared" si="28"/>
        <v>2100</v>
      </c>
      <c r="AB88" s="2701">
        <f t="shared" si="29"/>
        <v>0.23333333333333334</v>
      </c>
      <c r="AC88" s="452"/>
      <c r="AD88" s="589">
        <f t="shared" si="30"/>
        <v>3</v>
      </c>
      <c r="AE88" s="579">
        <f t="shared" si="16"/>
        <v>700</v>
      </c>
      <c r="AF88" s="590">
        <f t="shared" si="31"/>
        <v>2100</v>
      </c>
      <c r="AG88" s="591">
        <f t="shared" si="34"/>
        <v>0.23333333333333334</v>
      </c>
      <c r="AH88" s="592"/>
      <c r="AI88" s="470"/>
      <c r="AK88" s="253"/>
    </row>
    <row r="89" spans="2:37" s="252" customFormat="1">
      <c r="B89" s="253"/>
      <c r="D89" s="471"/>
      <c r="E89" s="261" t="s">
        <v>2943</v>
      </c>
      <c r="F89" s="261"/>
      <c r="G89" s="433" t="s">
        <v>2944</v>
      </c>
      <c r="H89" s="445">
        <f t="shared" si="17"/>
        <v>4</v>
      </c>
      <c r="I89" s="2497">
        <f t="shared" si="20"/>
        <v>1100</v>
      </c>
      <c r="J89" s="487">
        <f t="shared" si="21"/>
        <v>4400</v>
      </c>
      <c r="K89" s="499">
        <f t="shared" si="25"/>
        <v>0.55000000000000004</v>
      </c>
      <c r="L89" s="507">
        <f t="shared" si="26"/>
        <v>183.33333333333334</v>
      </c>
      <c r="M89" s="452"/>
      <c r="N89" s="445">
        <v>0</v>
      </c>
      <c r="O89" s="483">
        <f t="shared" si="14"/>
        <v>1100</v>
      </c>
      <c r="P89" s="487">
        <f t="shared" si="22"/>
        <v>0</v>
      </c>
      <c r="Q89" s="499"/>
      <c r="R89" s="2157">
        <f t="shared" si="27"/>
        <v>0</v>
      </c>
      <c r="S89" s="452"/>
      <c r="T89" s="445">
        <v>0</v>
      </c>
      <c r="U89" s="2469">
        <f t="shared" si="23"/>
        <v>1100</v>
      </c>
      <c r="V89" s="487">
        <f t="shared" si="24"/>
        <v>0</v>
      </c>
      <c r="W89" s="2586">
        <f t="shared" si="32"/>
        <v>0</v>
      </c>
      <c r="X89" s="2587">
        <f t="shared" si="33"/>
        <v>0</v>
      </c>
      <c r="Y89" s="452"/>
      <c r="Z89" s="2693">
        <f t="shared" si="15"/>
        <v>4</v>
      </c>
      <c r="AA89" s="2688">
        <f t="shared" si="28"/>
        <v>4400</v>
      </c>
      <c r="AB89" s="2701">
        <f t="shared" si="29"/>
        <v>0.48888888888888887</v>
      </c>
      <c r="AC89" s="452"/>
      <c r="AD89" s="589">
        <f t="shared" si="30"/>
        <v>4</v>
      </c>
      <c r="AE89" s="579">
        <f t="shared" si="16"/>
        <v>1100</v>
      </c>
      <c r="AF89" s="590">
        <f t="shared" si="31"/>
        <v>4400</v>
      </c>
      <c r="AG89" s="591">
        <f t="shared" si="34"/>
        <v>0.48888888888888887</v>
      </c>
      <c r="AH89" s="592"/>
      <c r="AI89" s="470"/>
      <c r="AK89" s="253"/>
    </row>
    <row r="90" spans="2:37" s="252" customFormat="1">
      <c r="B90" s="253"/>
      <c r="D90" s="471"/>
      <c r="E90" s="261" t="s">
        <v>2945</v>
      </c>
      <c r="F90" s="261"/>
      <c r="G90" s="433" t="s">
        <v>2946</v>
      </c>
      <c r="H90" s="445">
        <f t="shared" si="17"/>
        <v>4</v>
      </c>
      <c r="I90" s="2497">
        <f t="shared" si="20"/>
        <v>80</v>
      </c>
      <c r="J90" s="487">
        <f t="shared" si="21"/>
        <v>320</v>
      </c>
      <c r="K90" s="499">
        <f t="shared" si="25"/>
        <v>0.04</v>
      </c>
      <c r="L90" s="507">
        <f t="shared" si="26"/>
        <v>13.333333333333334</v>
      </c>
      <c r="M90" s="452"/>
      <c r="N90" s="445">
        <v>0</v>
      </c>
      <c r="O90" s="483">
        <f t="shared" si="14"/>
        <v>80</v>
      </c>
      <c r="P90" s="487">
        <f t="shared" si="22"/>
        <v>0</v>
      </c>
      <c r="Q90" s="499"/>
      <c r="R90" s="2157">
        <f t="shared" si="27"/>
        <v>0</v>
      </c>
      <c r="S90" s="452"/>
      <c r="T90" s="445">
        <v>0</v>
      </c>
      <c r="U90" s="2469">
        <f t="shared" si="23"/>
        <v>80</v>
      </c>
      <c r="V90" s="487">
        <f t="shared" si="24"/>
        <v>0</v>
      </c>
      <c r="W90" s="2586">
        <f t="shared" si="32"/>
        <v>0</v>
      </c>
      <c r="X90" s="2587">
        <f t="shared" si="33"/>
        <v>0</v>
      </c>
      <c r="Y90" s="452"/>
      <c r="Z90" s="2693">
        <f t="shared" si="15"/>
        <v>4</v>
      </c>
      <c r="AA90" s="2688">
        <f t="shared" si="28"/>
        <v>320</v>
      </c>
      <c r="AB90" s="2701">
        <f t="shared" si="29"/>
        <v>3.5555555555555556E-2</v>
      </c>
      <c r="AC90" s="452"/>
      <c r="AD90" s="589">
        <f t="shared" si="30"/>
        <v>4</v>
      </c>
      <c r="AE90" s="579">
        <f t="shared" si="16"/>
        <v>80</v>
      </c>
      <c r="AF90" s="590">
        <f t="shared" si="31"/>
        <v>320</v>
      </c>
      <c r="AG90" s="591">
        <f t="shared" si="34"/>
        <v>3.5555555555555556E-2</v>
      </c>
      <c r="AH90" s="592"/>
      <c r="AI90" s="470"/>
      <c r="AK90" s="253"/>
    </row>
    <row r="91" spans="2:37" s="252" customFormat="1">
      <c r="B91" s="253"/>
      <c r="D91" s="471"/>
      <c r="E91" s="261" t="s">
        <v>2947</v>
      </c>
      <c r="F91" s="261"/>
      <c r="G91" s="433" t="s">
        <v>2948</v>
      </c>
      <c r="H91" s="445">
        <f t="shared" si="17"/>
        <v>0</v>
      </c>
      <c r="I91" s="2497">
        <f t="shared" si="20"/>
        <v>0</v>
      </c>
      <c r="J91" s="487">
        <f t="shared" si="21"/>
        <v>0</v>
      </c>
      <c r="K91" s="499">
        <f t="shared" si="25"/>
        <v>0</v>
      </c>
      <c r="L91" s="507">
        <f t="shared" si="26"/>
        <v>0</v>
      </c>
      <c r="M91" s="452"/>
      <c r="N91" s="445">
        <v>0</v>
      </c>
      <c r="O91" s="483">
        <f t="shared" si="14"/>
        <v>0</v>
      </c>
      <c r="P91" s="487">
        <f t="shared" ref="P91:P122" si="35">IF(ISNUMBER(O91)=TRUE, N91*O91,0)</f>
        <v>0</v>
      </c>
      <c r="Q91" s="499"/>
      <c r="R91" s="2157">
        <f t="shared" si="27"/>
        <v>0</v>
      </c>
      <c r="S91" s="452"/>
      <c r="T91" s="2634"/>
      <c r="U91" s="2635"/>
      <c r="V91" s="2596"/>
      <c r="W91" s="2597"/>
      <c r="X91" s="2598"/>
      <c r="Y91" s="452"/>
      <c r="Z91" s="2693">
        <f t="shared" si="15"/>
        <v>0</v>
      </c>
      <c r="AA91" s="2688">
        <f t="shared" si="28"/>
        <v>0</v>
      </c>
      <c r="AB91" s="2701">
        <f t="shared" si="29"/>
        <v>0</v>
      </c>
      <c r="AC91" s="452"/>
      <c r="AD91" s="589">
        <f t="shared" si="30"/>
        <v>0</v>
      </c>
      <c r="AE91" s="579" t="str">
        <f t="shared" si="16"/>
        <v/>
      </c>
      <c r="AF91" s="590">
        <f t="shared" si="31"/>
        <v>0</v>
      </c>
      <c r="AG91" s="591">
        <f t="shared" si="34"/>
        <v>0</v>
      </c>
      <c r="AH91" s="592"/>
      <c r="AI91" s="470"/>
      <c r="AK91" s="253"/>
    </row>
    <row r="92" spans="2:37" s="252" customFormat="1">
      <c r="B92" s="253"/>
      <c r="D92" s="471"/>
      <c r="E92" s="261" t="s">
        <v>2949</v>
      </c>
      <c r="F92" s="261"/>
      <c r="G92" s="433" t="s">
        <v>2950</v>
      </c>
      <c r="H92" s="445">
        <f t="shared" si="17"/>
        <v>0</v>
      </c>
      <c r="I92" s="2497">
        <f t="shared" si="20"/>
        <v>0</v>
      </c>
      <c r="J92" s="487">
        <f t="shared" si="21"/>
        <v>0</v>
      </c>
      <c r="K92" s="499">
        <f t="shared" si="25"/>
        <v>0</v>
      </c>
      <c r="L92" s="507">
        <f t="shared" si="26"/>
        <v>0</v>
      </c>
      <c r="M92" s="452"/>
      <c r="N92" s="445">
        <v>0</v>
      </c>
      <c r="O92" s="483">
        <f t="shared" ref="O92:O135" si="36">I92</f>
        <v>0</v>
      </c>
      <c r="P92" s="487">
        <f t="shared" si="35"/>
        <v>0</v>
      </c>
      <c r="Q92" s="499"/>
      <c r="R92" s="2157">
        <f t="shared" si="27"/>
        <v>0</v>
      </c>
      <c r="S92" s="452"/>
      <c r="T92" s="2634"/>
      <c r="U92" s="2635"/>
      <c r="V92" s="2596"/>
      <c r="W92" s="2597"/>
      <c r="X92" s="2598"/>
      <c r="Y92" s="452"/>
      <c r="Z92" s="2693">
        <f t="shared" ref="Z92:Z135" si="37">H92+T92</f>
        <v>0</v>
      </c>
      <c r="AA92" s="2688">
        <f t="shared" si="28"/>
        <v>0</v>
      </c>
      <c r="AB92" s="2701">
        <f t="shared" si="29"/>
        <v>0</v>
      </c>
      <c r="AC92" s="452"/>
      <c r="AD92" s="589">
        <f t="shared" si="30"/>
        <v>0</v>
      </c>
      <c r="AE92" s="579" t="str">
        <f t="shared" ref="AE92:AE135" si="38">IF(AD92&gt;0,AF92/AD92,"")</f>
        <v/>
      </c>
      <c r="AF92" s="590">
        <f t="shared" si="31"/>
        <v>0</v>
      </c>
      <c r="AG92" s="591">
        <f t="shared" si="34"/>
        <v>0</v>
      </c>
      <c r="AH92" s="592"/>
      <c r="AI92" s="470"/>
      <c r="AK92" s="253"/>
    </row>
    <row r="93" spans="2:37" s="252" customFormat="1">
      <c r="B93" s="253"/>
      <c r="D93" s="471"/>
      <c r="E93" s="261" t="s">
        <v>2951</v>
      </c>
      <c r="F93" s="261"/>
      <c r="G93" s="433" t="s">
        <v>2952</v>
      </c>
      <c r="H93" s="445">
        <f t="shared" si="17"/>
        <v>10</v>
      </c>
      <c r="I93" s="2497">
        <f t="shared" si="20"/>
        <v>185</v>
      </c>
      <c r="J93" s="487">
        <f t="shared" si="21"/>
        <v>1850</v>
      </c>
      <c r="K93" s="499">
        <f t="shared" si="25"/>
        <v>0.23125000000000001</v>
      </c>
      <c r="L93" s="507">
        <f t="shared" si="26"/>
        <v>77.083333333333329</v>
      </c>
      <c r="M93" s="452"/>
      <c r="N93" s="445">
        <v>0</v>
      </c>
      <c r="O93" s="483">
        <f t="shared" si="36"/>
        <v>185</v>
      </c>
      <c r="P93" s="487">
        <f t="shared" si="35"/>
        <v>0</v>
      </c>
      <c r="Q93" s="499"/>
      <c r="R93" s="2157">
        <f t="shared" si="27"/>
        <v>0</v>
      </c>
      <c r="S93" s="452"/>
      <c r="T93" s="445">
        <v>0</v>
      </c>
      <c r="U93" s="2469">
        <f>O93</f>
        <v>185</v>
      </c>
      <c r="V93" s="487">
        <f>IF(ISNUMBER(U93)=TRUE, T93*U93,0)</f>
        <v>0</v>
      </c>
      <c r="W93" s="2586">
        <f t="shared" si="32"/>
        <v>0</v>
      </c>
      <c r="X93" s="2587">
        <f t="shared" si="33"/>
        <v>0</v>
      </c>
      <c r="Y93" s="452"/>
      <c r="Z93" s="2693">
        <f t="shared" si="37"/>
        <v>10</v>
      </c>
      <c r="AA93" s="2688">
        <f t="shared" si="28"/>
        <v>1850</v>
      </c>
      <c r="AB93" s="2701">
        <f t="shared" si="29"/>
        <v>0.20555555555555555</v>
      </c>
      <c r="AC93" s="452"/>
      <c r="AD93" s="589">
        <f t="shared" si="30"/>
        <v>10</v>
      </c>
      <c r="AE93" s="579">
        <f t="shared" si="38"/>
        <v>185</v>
      </c>
      <c r="AF93" s="590">
        <f t="shared" si="31"/>
        <v>1850</v>
      </c>
      <c r="AG93" s="591">
        <f t="shared" si="34"/>
        <v>0.20555555555555555</v>
      </c>
      <c r="AH93" s="592"/>
      <c r="AI93" s="470"/>
      <c r="AK93" s="253"/>
    </row>
    <row r="94" spans="2:37" s="252" customFormat="1">
      <c r="B94" s="253"/>
      <c r="D94" s="471"/>
      <c r="E94" s="261" t="s">
        <v>2953</v>
      </c>
      <c r="F94" s="261"/>
      <c r="G94" s="433" t="s">
        <v>2954</v>
      </c>
      <c r="H94" s="445">
        <f t="shared" si="17"/>
        <v>10</v>
      </c>
      <c r="I94" s="2497">
        <f t="shared" si="20"/>
        <v>5</v>
      </c>
      <c r="J94" s="487">
        <f t="shared" si="21"/>
        <v>50</v>
      </c>
      <c r="K94" s="499">
        <f t="shared" si="25"/>
        <v>6.2500000000000003E-3</v>
      </c>
      <c r="L94" s="507">
        <f t="shared" si="26"/>
        <v>2.0833333333333335</v>
      </c>
      <c r="M94" s="452"/>
      <c r="N94" s="445">
        <v>0</v>
      </c>
      <c r="O94" s="483">
        <f t="shared" si="36"/>
        <v>5</v>
      </c>
      <c r="P94" s="487">
        <f t="shared" si="35"/>
        <v>0</v>
      </c>
      <c r="Q94" s="499"/>
      <c r="R94" s="2157">
        <f t="shared" si="27"/>
        <v>0</v>
      </c>
      <c r="S94" s="452"/>
      <c r="T94" s="445">
        <v>0</v>
      </c>
      <c r="U94" s="2469">
        <f>O94</f>
        <v>5</v>
      </c>
      <c r="V94" s="487">
        <f>IF(ISNUMBER(U94)=TRUE, T94*U94,0)</f>
        <v>0</v>
      </c>
      <c r="W94" s="2586">
        <f t="shared" si="32"/>
        <v>0</v>
      </c>
      <c r="X94" s="2587">
        <f t="shared" si="33"/>
        <v>0</v>
      </c>
      <c r="Y94" s="452"/>
      <c r="Z94" s="2693">
        <f t="shared" si="37"/>
        <v>10</v>
      </c>
      <c r="AA94" s="2688">
        <f t="shared" si="28"/>
        <v>50</v>
      </c>
      <c r="AB94" s="2701">
        <f t="shared" si="29"/>
        <v>5.5555555555555558E-3</v>
      </c>
      <c r="AC94" s="452"/>
      <c r="AD94" s="589">
        <f t="shared" si="30"/>
        <v>10</v>
      </c>
      <c r="AE94" s="579">
        <f t="shared" si="38"/>
        <v>5</v>
      </c>
      <c r="AF94" s="590">
        <f t="shared" si="31"/>
        <v>50</v>
      </c>
      <c r="AG94" s="591">
        <f t="shared" si="34"/>
        <v>5.5555555555555558E-3</v>
      </c>
      <c r="AH94" s="592"/>
      <c r="AI94" s="470"/>
      <c r="AK94" s="253"/>
    </row>
    <row r="95" spans="2:37" s="252" customFormat="1">
      <c r="B95" s="253"/>
      <c r="D95" s="471"/>
      <c r="E95" s="261" t="s">
        <v>2955</v>
      </c>
      <c r="F95" s="261"/>
      <c r="G95" s="433" t="s">
        <v>3226</v>
      </c>
      <c r="H95" s="445">
        <f t="shared" si="17"/>
        <v>0</v>
      </c>
      <c r="I95" s="2497">
        <f t="shared" si="20"/>
        <v>0</v>
      </c>
      <c r="J95" s="487">
        <f t="shared" si="21"/>
        <v>0</v>
      </c>
      <c r="K95" s="499">
        <f t="shared" si="25"/>
        <v>0</v>
      </c>
      <c r="L95" s="507">
        <f t="shared" si="26"/>
        <v>0</v>
      </c>
      <c r="M95" s="452"/>
      <c r="N95" s="445">
        <v>0</v>
      </c>
      <c r="O95" s="483">
        <f t="shared" si="36"/>
        <v>0</v>
      </c>
      <c r="P95" s="487">
        <f t="shared" si="35"/>
        <v>0</v>
      </c>
      <c r="Q95" s="499"/>
      <c r="R95" s="2157">
        <f t="shared" si="27"/>
        <v>0</v>
      </c>
      <c r="S95" s="452"/>
      <c r="T95" s="2634"/>
      <c r="U95" s="2635"/>
      <c r="V95" s="2596"/>
      <c r="W95" s="2597"/>
      <c r="X95" s="2598"/>
      <c r="Y95" s="452"/>
      <c r="Z95" s="2693">
        <f t="shared" si="37"/>
        <v>0</v>
      </c>
      <c r="AA95" s="2688">
        <f t="shared" si="28"/>
        <v>0</v>
      </c>
      <c r="AB95" s="2701">
        <f t="shared" si="29"/>
        <v>0</v>
      </c>
      <c r="AC95" s="452"/>
      <c r="AD95" s="589">
        <f t="shared" si="30"/>
        <v>0</v>
      </c>
      <c r="AE95" s="579" t="str">
        <f t="shared" si="38"/>
        <v/>
      </c>
      <c r="AF95" s="590">
        <f t="shared" si="31"/>
        <v>0</v>
      </c>
      <c r="AG95" s="591">
        <f t="shared" si="34"/>
        <v>0</v>
      </c>
      <c r="AH95" s="592"/>
      <c r="AI95" s="470"/>
      <c r="AK95" s="253"/>
    </row>
    <row r="96" spans="2:37" s="252" customFormat="1">
      <c r="B96" s="253"/>
      <c r="D96" s="471"/>
      <c r="E96" s="261" t="s">
        <v>3227</v>
      </c>
      <c r="F96" s="261"/>
      <c r="G96" s="433" t="s">
        <v>3228</v>
      </c>
      <c r="H96" s="445">
        <f t="shared" si="17"/>
        <v>0</v>
      </c>
      <c r="I96" s="2497">
        <f t="shared" si="20"/>
        <v>0</v>
      </c>
      <c r="J96" s="487">
        <f t="shared" si="21"/>
        <v>0</v>
      </c>
      <c r="K96" s="499">
        <f t="shared" si="25"/>
        <v>0</v>
      </c>
      <c r="L96" s="507">
        <f t="shared" si="26"/>
        <v>0</v>
      </c>
      <c r="M96" s="452"/>
      <c r="N96" s="445">
        <v>0</v>
      </c>
      <c r="O96" s="483">
        <f t="shared" si="36"/>
        <v>0</v>
      </c>
      <c r="P96" s="487">
        <f t="shared" si="35"/>
        <v>0</v>
      </c>
      <c r="Q96" s="499"/>
      <c r="R96" s="2157">
        <f t="shared" si="27"/>
        <v>0</v>
      </c>
      <c r="S96" s="452"/>
      <c r="T96" s="2634"/>
      <c r="U96" s="2635"/>
      <c r="V96" s="2596"/>
      <c r="W96" s="2597"/>
      <c r="X96" s="2598"/>
      <c r="Y96" s="452"/>
      <c r="Z96" s="2693">
        <f t="shared" si="37"/>
        <v>0</v>
      </c>
      <c r="AA96" s="2688">
        <f t="shared" si="28"/>
        <v>0</v>
      </c>
      <c r="AB96" s="2701">
        <f t="shared" si="29"/>
        <v>0</v>
      </c>
      <c r="AC96" s="452"/>
      <c r="AD96" s="589">
        <f t="shared" si="30"/>
        <v>0</v>
      </c>
      <c r="AE96" s="579" t="str">
        <f t="shared" si="38"/>
        <v/>
      </c>
      <c r="AF96" s="590">
        <f t="shared" si="31"/>
        <v>0</v>
      </c>
      <c r="AG96" s="591">
        <f t="shared" si="34"/>
        <v>0</v>
      </c>
      <c r="AH96" s="592"/>
      <c r="AI96" s="470"/>
      <c r="AK96" s="253"/>
    </row>
    <row r="97" spans="2:37" s="252" customFormat="1">
      <c r="B97" s="253"/>
      <c r="D97" s="471"/>
      <c r="E97" s="261" t="s">
        <v>3229</v>
      </c>
      <c r="F97" s="261"/>
      <c r="G97" s="433" t="s">
        <v>3230</v>
      </c>
      <c r="H97" s="445">
        <f t="shared" ref="H97:H134" si="39">IF($K$9=0,0,IF(ISNA(VLOOKUP(G97,Units,$K$9-4,FALSE))=TRUE,0,VLOOKUP(G97,Units,$K$9-4,FALSE)))</f>
        <v>0</v>
      </c>
      <c r="I97" s="2497">
        <f t="shared" si="20"/>
        <v>0</v>
      </c>
      <c r="J97" s="487">
        <f t="shared" si="21"/>
        <v>0</v>
      </c>
      <c r="K97" s="499">
        <f t="shared" si="25"/>
        <v>0</v>
      </c>
      <c r="L97" s="507">
        <f t="shared" si="26"/>
        <v>0</v>
      </c>
      <c r="M97" s="452"/>
      <c r="N97" s="445">
        <v>0</v>
      </c>
      <c r="O97" s="483">
        <f t="shared" si="36"/>
        <v>0</v>
      </c>
      <c r="P97" s="487">
        <f t="shared" si="35"/>
        <v>0</v>
      </c>
      <c r="Q97" s="499"/>
      <c r="R97" s="2157">
        <f t="shared" si="27"/>
        <v>0</v>
      </c>
      <c r="S97" s="452"/>
      <c r="T97" s="2634"/>
      <c r="U97" s="2635"/>
      <c r="V97" s="2596"/>
      <c r="W97" s="2597"/>
      <c r="X97" s="2598"/>
      <c r="Y97" s="452"/>
      <c r="Z97" s="2693">
        <f t="shared" si="37"/>
        <v>0</v>
      </c>
      <c r="AA97" s="2688">
        <f t="shared" si="28"/>
        <v>0</v>
      </c>
      <c r="AB97" s="2701">
        <f t="shared" si="29"/>
        <v>0</v>
      </c>
      <c r="AC97" s="452"/>
      <c r="AD97" s="589">
        <f t="shared" si="30"/>
        <v>0</v>
      </c>
      <c r="AE97" s="579" t="str">
        <f t="shared" si="38"/>
        <v/>
      </c>
      <c r="AF97" s="590">
        <f t="shared" si="31"/>
        <v>0</v>
      </c>
      <c r="AG97" s="591">
        <f t="shared" si="34"/>
        <v>0</v>
      </c>
      <c r="AH97" s="592"/>
      <c r="AI97" s="470"/>
      <c r="AK97" s="253"/>
    </row>
    <row r="98" spans="2:37" s="252" customFormat="1">
      <c r="B98" s="253"/>
      <c r="D98" s="471"/>
      <c r="E98" s="261" t="s">
        <v>3231</v>
      </c>
      <c r="F98" s="261"/>
      <c r="G98" s="433" t="s">
        <v>3232</v>
      </c>
      <c r="H98" s="445">
        <f t="shared" si="39"/>
        <v>0</v>
      </c>
      <c r="I98" s="2497">
        <f t="shared" si="20"/>
        <v>0</v>
      </c>
      <c r="J98" s="487">
        <f t="shared" si="21"/>
        <v>0</v>
      </c>
      <c r="K98" s="499">
        <f t="shared" si="25"/>
        <v>0</v>
      </c>
      <c r="L98" s="507">
        <f t="shared" si="26"/>
        <v>0</v>
      </c>
      <c r="M98" s="452"/>
      <c r="N98" s="445">
        <v>0</v>
      </c>
      <c r="O98" s="483">
        <f t="shared" si="36"/>
        <v>0</v>
      </c>
      <c r="P98" s="487">
        <f t="shared" si="35"/>
        <v>0</v>
      </c>
      <c r="Q98" s="499"/>
      <c r="R98" s="2157">
        <f t="shared" si="27"/>
        <v>0</v>
      </c>
      <c r="S98" s="452"/>
      <c r="T98" s="2634"/>
      <c r="U98" s="2635"/>
      <c r="V98" s="2596"/>
      <c r="W98" s="2597"/>
      <c r="X98" s="2598"/>
      <c r="Y98" s="452"/>
      <c r="Z98" s="2693">
        <f t="shared" si="37"/>
        <v>0</v>
      </c>
      <c r="AA98" s="2688">
        <f t="shared" si="28"/>
        <v>0</v>
      </c>
      <c r="AB98" s="2701">
        <f t="shared" si="29"/>
        <v>0</v>
      </c>
      <c r="AC98" s="452"/>
      <c r="AD98" s="589">
        <f t="shared" si="30"/>
        <v>0</v>
      </c>
      <c r="AE98" s="579" t="str">
        <f t="shared" si="38"/>
        <v/>
      </c>
      <c r="AF98" s="590">
        <f t="shared" si="31"/>
        <v>0</v>
      </c>
      <c r="AG98" s="591">
        <f t="shared" si="34"/>
        <v>0</v>
      </c>
      <c r="AH98" s="592"/>
      <c r="AI98" s="470"/>
      <c r="AK98" s="253"/>
    </row>
    <row r="99" spans="2:37" s="252" customFormat="1">
      <c r="B99" s="253"/>
      <c r="D99" s="471"/>
      <c r="E99" s="261" t="s">
        <v>3233</v>
      </c>
      <c r="F99" s="261"/>
      <c r="G99" s="433" t="s">
        <v>3234</v>
      </c>
      <c r="H99" s="445">
        <f t="shared" si="39"/>
        <v>0</v>
      </c>
      <c r="I99" s="2497">
        <f t="shared" si="20"/>
        <v>0</v>
      </c>
      <c r="J99" s="487">
        <f t="shared" si="21"/>
        <v>0</v>
      </c>
      <c r="K99" s="499">
        <f t="shared" si="25"/>
        <v>0</v>
      </c>
      <c r="L99" s="507">
        <f t="shared" si="26"/>
        <v>0</v>
      </c>
      <c r="M99" s="452"/>
      <c r="N99" s="445">
        <v>0</v>
      </c>
      <c r="O99" s="483">
        <f t="shared" si="36"/>
        <v>0</v>
      </c>
      <c r="P99" s="487">
        <f t="shared" si="35"/>
        <v>0</v>
      </c>
      <c r="Q99" s="499"/>
      <c r="R99" s="2157">
        <f t="shared" si="27"/>
        <v>0</v>
      </c>
      <c r="S99" s="452"/>
      <c r="T99" s="2634"/>
      <c r="U99" s="2635"/>
      <c r="V99" s="2596"/>
      <c r="W99" s="2597"/>
      <c r="X99" s="2598"/>
      <c r="Y99" s="452"/>
      <c r="Z99" s="2693">
        <f t="shared" si="37"/>
        <v>0</v>
      </c>
      <c r="AA99" s="2688">
        <f t="shared" si="28"/>
        <v>0</v>
      </c>
      <c r="AB99" s="2701">
        <f t="shared" si="29"/>
        <v>0</v>
      </c>
      <c r="AC99" s="452"/>
      <c r="AD99" s="589">
        <f t="shared" si="30"/>
        <v>0</v>
      </c>
      <c r="AE99" s="579" t="str">
        <f t="shared" si="38"/>
        <v/>
      </c>
      <c r="AF99" s="590">
        <f t="shared" si="31"/>
        <v>0</v>
      </c>
      <c r="AG99" s="591">
        <f t="shared" si="34"/>
        <v>0</v>
      </c>
      <c r="AH99" s="592"/>
      <c r="AI99" s="470"/>
      <c r="AK99" s="253"/>
    </row>
    <row r="100" spans="2:37" s="252" customFormat="1">
      <c r="B100" s="253"/>
      <c r="D100" s="471"/>
      <c r="E100" s="261" t="s">
        <v>3235</v>
      </c>
      <c r="F100" s="261"/>
      <c r="G100" s="433" t="s">
        <v>1793</v>
      </c>
      <c r="H100" s="445">
        <f t="shared" si="39"/>
        <v>1</v>
      </c>
      <c r="I100" s="2497">
        <f t="shared" si="20"/>
        <v>160</v>
      </c>
      <c r="J100" s="487">
        <f t="shared" si="21"/>
        <v>160</v>
      </c>
      <c r="K100" s="499">
        <f t="shared" si="25"/>
        <v>0.02</v>
      </c>
      <c r="L100" s="507">
        <f t="shared" si="26"/>
        <v>6.666666666666667</v>
      </c>
      <c r="M100" s="452"/>
      <c r="N100" s="445">
        <v>0</v>
      </c>
      <c r="O100" s="483">
        <f t="shared" si="36"/>
        <v>160</v>
      </c>
      <c r="P100" s="487">
        <f t="shared" si="35"/>
        <v>0</v>
      </c>
      <c r="Q100" s="499"/>
      <c r="R100" s="2157">
        <f t="shared" si="27"/>
        <v>0</v>
      </c>
      <c r="S100" s="452"/>
      <c r="T100" s="445">
        <v>0</v>
      </c>
      <c r="U100" s="2469">
        <f>O100</f>
        <v>160</v>
      </c>
      <c r="V100" s="487">
        <f>IF(ISNUMBER(U100)=TRUE, T100*U100,0)</f>
        <v>0</v>
      </c>
      <c r="W100" s="2586">
        <f t="shared" si="32"/>
        <v>0</v>
      </c>
      <c r="X100" s="2587">
        <f t="shared" si="33"/>
        <v>0</v>
      </c>
      <c r="Y100" s="452"/>
      <c r="Z100" s="2693">
        <f t="shared" si="37"/>
        <v>1</v>
      </c>
      <c r="AA100" s="2688">
        <f t="shared" si="28"/>
        <v>160</v>
      </c>
      <c r="AB100" s="2701">
        <f t="shared" si="29"/>
        <v>1.7777777777777778E-2</v>
      </c>
      <c r="AC100" s="452"/>
      <c r="AD100" s="589">
        <f t="shared" si="30"/>
        <v>1</v>
      </c>
      <c r="AE100" s="579">
        <f t="shared" si="38"/>
        <v>160</v>
      </c>
      <c r="AF100" s="590">
        <f t="shared" si="31"/>
        <v>160</v>
      </c>
      <c r="AG100" s="591">
        <f t="shared" si="34"/>
        <v>1.7777777777777778E-2</v>
      </c>
      <c r="AH100" s="592"/>
      <c r="AI100" s="470"/>
      <c r="AK100" s="253"/>
    </row>
    <row r="101" spans="2:37" s="252" customFormat="1">
      <c r="B101" s="253"/>
      <c r="D101" s="471"/>
      <c r="E101" s="261" t="s">
        <v>1794</v>
      </c>
      <c r="F101" s="261"/>
      <c r="G101" s="433" t="s">
        <v>1795</v>
      </c>
      <c r="H101" s="445">
        <f t="shared" si="39"/>
        <v>0</v>
      </c>
      <c r="I101" s="2497">
        <f t="shared" si="20"/>
        <v>0</v>
      </c>
      <c r="J101" s="487">
        <f t="shared" si="21"/>
        <v>0</v>
      </c>
      <c r="K101" s="499">
        <f t="shared" si="25"/>
        <v>0</v>
      </c>
      <c r="L101" s="507">
        <f t="shared" si="26"/>
        <v>0</v>
      </c>
      <c r="M101" s="452"/>
      <c r="N101" s="445">
        <v>0</v>
      </c>
      <c r="O101" s="483">
        <f t="shared" si="36"/>
        <v>0</v>
      </c>
      <c r="P101" s="487">
        <f t="shared" si="35"/>
        <v>0</v>
      </c>
      <c r="Q101" s="499"/>
      <c r="R101" s="2157">
        <f t="shared" si="27"/>
        <v>0</v>
      </c>
      <c r="S101" s="452"/>
      <c r="T101" s="2634"/>
      <c r="U101" s="2635"/>
      <c r="V101" s="2596"/>
      <c r="W101" s="2597"/>
      <c r="X101" s="2598"/>
      <c r="Y101" s="452"/>
      <c r="Z101" s="2693">
        <f t="shared" si="37"/>
        <v>0</v>
      </c>
      <c r="AA101" s="2688">
        <f t="shared" si="28"/>
        <v>0</v>
      </c>
      <c r="AB101" s="2701">
        <f t="shared" si="29"/>
        <v>0</v>
      </c>
      <c r="AC101" s="452"/>
      <c r="AD101" s="589">
        <f t="shared" si="30"/>
        <v>0</v>
      </c>
      <c r="AE101" s="579" t="str">
        <f t="shared" si="38"/>
        <v/>
      </c>
      <c r="AF101" s="590">
        <f t="shared" si="31"/>
        <v>0</v>
      </c>
      <c r="AG101" s="591">
        <f t="shared" si="34"/>
        <v>0</v>
      </c>
      <c r="AH101" s="592"/>
      <c r="AI101" s="470"/>
      <c r="AK101" s="253"/>
    </row>
    <row r="102" spans="2:37" s="252" customFormat="1">
      <c r="B102" s="253"/>
      <c r="D102" s="471"/>
      <c r="E102" s="261" t="s">
        <v>176</v>
      </c>
      <c r="F102" s="261"/>
      <c r="G102" s="433" t="s">
        <v>177</v>
      </c>
      <c r="H102" s="445">
        <f t="shared" si="39"/>
        <v>1</v>
      </c>
      <c r="I102" s="2497">
        <f t="shared" si="20"/>
        <v>250</v>
      </c>
      <c r="J102" s="487">
        <f t="shared" si="21"/>
        <v>250</v>
      </c>
      <c r="K102" s="499">
        <f t="shared" si="25"/>
        <v>3.125E-2</v>
      </c>
      <c r="L102" s="507">
        <f t="shared" si="26"/>
        <v>10.416666666666666</v>
      </c>
      <c r="M102" s="452"/>
      <c r="N102" s="445">
        <v>0</v>
      </c>
      <c r="O102" s="483">
        <f t="shared" si="36"/>
        <v>250</v>
      </c>
      <c r="P102" s="487">
        <f t="shared" si="35"/>
        <v>0</v>
      </c>
      <c r="Q102" s="499"/>
      <c r="R102" s="2157">
        <f t="shared" si="27"/>
        <v>0</v>
      </c>
      <c r="S102" s="452"/>
      <c r="T102" s="445">
        <v>0</v>
      </c>
      <c r="U102" s="2469">
        <f>O102</f>
        <v>250</v>
      </c>
      <c r="V102" s="487">
        <f>IF(ISNUMBER(U102)=TRUE, T102*U102,0)</f>
        <v>0</v>
      </c>
      <c r="W102" s="2586">
        <f t="shared" si="32"/>
        <v>0</v>
      </c>
      <c r="X102" s="2587">
        <f t="shared" si="33"/>
        <v>0</v>
      </c>
      <c r="Y102" s="452"/>
      <c r="Z102" s="2693">
        <f t="shared" si="37"/>
        <v>1</v>
      </c>
      <c r="AA102" s="2688">
        <f t="shared" si="28"/>
        <v>250</v>
      </c>
      <c r="AB102" s="2701">
        <f t="shared" si="29"/>
        <v>2.7777777777777776E-2</v>
      </c>
      <c r="AC102" s="452"/>
      <c r="AD102" s="589">
        <f t="shared" si="30"/>
        <v>1</v>
      </c>
      <c r="AE102" s="579">
        <f t="shared" si="38"/>
        <v>250</v>
      </c>
      <c r="AF102" s="590">
        <f t="shared" si="31"/>
        <v>250</v>
      </c>
      <c r="AG102" s="591">
        <f t="shared" si="34"/>
        <v>2.7777777777777776E-2</v>
      </c>
      <c r="AH102" s="592"/>
      <c r="AI102" s="470"/>
      <c r="AK102" s="253"/>
    </row>
    <row r="103" spans="2:37" s="252" customFormat="1">
      <c r="B103" s="253"/>
      <c r="D103" s="472"/>
      <c r="E103" s="430" t="s">
        <v>178</v>
      </c>
      <c r="F103" s="430"/>
      <c r="G103" s="436" t="s">
        <v>179</v>
      </c>
      <c r="H103" s="446">
        <f t="shared" si="39"/>
        <v>1</v>
      </c>
      <c r="I103" s="2498">
        <f t="shared" ref="I103:I133" si="40">IF($K$9=0,0,IF(ISNA(VLOOKUP(G103,Price,$K$9-4,FALSE))=TRUE,0,VLOOKUP(G103,Price,$K$9-4,FALSE)))</f>
        <v>3000</v>
      </c>
      <c r="J103" s="488">
        <f t="shared" si="21"/>
        <v>3000</v>
      </c>
      <c r="K103" s="500">
        <f t="shared" si="25"/>
        <v>0.375</v>
      </c>
      <c r="L103" s="508">
        <f t="shared" si="26"/>
        <v>125</v>
      </c>
      <c r="M103" s="453"/>
      <c r="N103" s="446">
        <v>0</v>
      </c>
      <c r="O103" s="1456">
        <f t="shared" si="36"/>
        <v>3000</v>
      </c>
      <c r="P103" s="488">
        <f t="shared" si="35"/>
        <v>0</v>
      </c>
      <c r="Q103" s="500"/>
      <c r="R103" s="2158">
        <f t="shared" si="27"/>
        <v>0</v>
      </c>
      <c r="S103" s="453"/>
      <c r="T103" s="446">
        <v>0</v>
      </c>
      <c r="U103" s="2652">
        <f>O103</f>
        <v>3000</v>
      </c>
      <c r="V103" s="488">
        <f>IF(ISNUMBER(U103)=TRUE, T103*U103,0)</f>
        <v>0</v>
      </c>
      <c r="W103" s="2588">
        <f t="shared" si="32"/>
        <v>0</v>
      </c>
      <c r="X103" s="2589">
        <f t="shared" si="33"/>
        <v>0</v>
      </c>
      <c r="Y103" s="453"/>
      <c r="Z103" s="2694">
        <f t="shared" si="37"/>
        <v>1</v>
      </c>
      <c r="AA103" s="2689">
        <f t="shared" si="28"/>
        <v>3000</v>
      </c>
      <c r="AB103" s="2702">
        <f t="shared" si="29"/>
        <v>0.33333333333333331</v>
      </c>
      <c r="AC103" s="453"/>
      <c r="AD103" s="593">
        <f t="shared" si="30"/>
        <v>1</v>
      </c>
      <c r="AE103" s="594">
        <f t="shared" si="38"/>
        <v>3000</v>
      </c>
      <c r="AF103" s="595">
        <f t="shared" si="31"/>
        <v>3000</v>
      </c>
      <c r="AG103" s="596">
        <f t="shared" si="34"/>
        <v>0.33333333333333331</v>
      </c>
      <c r="AH103" s="597"/>
      <c r="AI103" s="473"/>
      <c r="AK103" s="253"/>
    </row>
    <row r="104" spans="2:37" s="252" customFormat="1">
      <c r="B104" s="253"/>
      <c r="D104" s="474" t="s">
        <v>3387</v>
      </c>
      <c r="E104" s="431" t="s">
        <v>180</v>
      </c>
      <c r="F104" s="431"/>
      <c r="G104" s="435" t="s">
        <v>183</v>
      </c>
      <c r="H104" s="444">
        <f t="shared" si="39"/>
        <v>23</v>
      </c>
      <c r="I104" s="2556">
        <f t="shared" si="40"/>
        <v>1010</v>
      </c>
      <c r="J104" s="489">
        <f t="shared" si="21"/>
        <v>23230</v>
      </c>
      <c r="K104" s="501">
        <f t="shared" si="25"/>
        <v>2.9037500000000001</v>
      </c>
      <c r="L104" s="509">
        <f t="shared" si="26"/>
        <v>967.91666666666663</v>
      </c>
      <c r="M104" s="454"/>
      <c r="N104" s="444">
        <v>0</v>
      </c>
      <c r="O104" s="1457">
        <f t="shared" si="36"/>
        <v>1010</v>
      </c>
      <c r="P104" s="489">
        <f t="shared" si="35"/>
        <v>0</v>
      </c>
      <c r="Q104" s="501"/>
      <c r="R104" s="2159">
        <f t="shared" si="27"/>
        <v>0</v>
      </c>
      <c r="S104" s="454"/>
      <c r="T104" s="444">
        <v>4</v>
      </c>
      <c r="U104" s="2902" t="s">
        <v>4094</v>
      </c>
      <c r="V104" s="489">
        <f>IF(U104=U149,V149*T104, IF(U104=U151,V151*T104, IF(U104=U150,V150*T104,0)))</f>
        <v>3880</v>
      </c>
      <c r="W104" s="2590">
        <f t="shared" si="32"/>
        <v>3.88</v>
      </c>
      <c r="X104" s="2591">
        <f t="shared" si="33"/>
        <v>970</v>
      </c>
      <c r="Y104" s="454"/>
      <c r="Z104" s="2692">
        <f t="shared" si="37"/>
        <v>27</v>
      </c>
      <c r="AA104" s="2690">
        <f t="shared" si="28"/>
        <v>27110</v>
      </c>
      <c r="AB104" s="2703">
        <f t="shared" si="29"/>
        <v>3.0122222222222224</v>
      </c>
      <c r="AC104" s="454"/>
      <c r="AD104" s="585">
        <f t="shared" si="30"/>
        <v>27</v>
      </c>
      <c r="AE104" s="598">
        <f t="shared" si="38"/>
        <v>1004.074074074074</v>
      </c>
      <c r="AF104" s="599">
        <f t="shared" si="31"/>
        <v>27110</v>
      </c>
      <c r="AG104" s="600">
        <f t="shared" si="34"/>
        <v>3.0122222222222224</v>
      </c>
      <c r="AH104" s="601"/>
      <c r="AI104" s="475"/>
      <c r="AK104" s="253"/>
    </row>
    <row r="105" spans="2:37" s="252" customFormat="1">
      <c r="B105" s="253"/>
      <c r="D105" s="471" t="s">
        <v>3346</v>
      </c>
      <c r="E105" s="261" t="s">
        <v>184</v>
      </c>
      <c r="F105" s="261"/>
      <c r="G105" s="433" t="s">
        <v>3937</v>
      </c>
      <c r="H105" s="445">
        <f t="shared" si="39"/>
        <v>1</v>
      </c>
      <c r="I105" s="2497">
        <f t="shared" si="40"/>
        <v>1290</v>
      </c>
      <c r="J105" s="487">
        <f t="shared" si="21"/>
        <v>1290</v>
      </c>
      <c r="K105" s="499">
        <f t="shared" si="25"/>
        <v>0.16125</v>
      </c>
      <c r="L105" s="507">
        <f t="shared" si="26"/>
        <v>53.75</v>
      </c>
      <c r="M105" s="452"/>
      <c r="N105" s="445">
        <v>0</v>
      </c>
      <c r="O105" s="483">
        <f t="shared" si="36"/>
        <v>1290</v>
      </c>
      <c r="P105" s="487">
        <f t="shared" si="35"/>
        <v>0</v>
      </c>
      <c r="Q105" s="499"/>
      <c r="R105" s="2157">
        <f t="shared" si="27"/>
        <v>0</v>
      </c>
      <c r="S105" s="452"/>
      <c r="T105" s="445">
        <v>0</v>
      </c>
      <c r="U105" s="2469">
        <f>O105</f>
        <v>1290</v>
      </c>
      <c r="V105" s="487">
        <f>IF(ISNUMBER(U105)=TRUE, T105*U105,0)</f>
        <v>0</v>
      </c>
      <c r="W105" s="2592">
        <f>IF(V105=0,0,V105/$W$8)</f>
        <v>0</v>
      </c>
      <c r="X105" s="2593">
        <f>V105/($W$12)</f>
        <v>0</v>
      </c>
      <c r="Y105" s="452"/>
      <c r="Z105" s="2693">
        <f t="shared" si="37"/>
        <v>1</v>
      </c>
      <c r="AA105" s="2688">
        <f t="shared" si="28"/>
        <v>1290</v>
      </c>
      <c r="AB105" s="2701">
        <f t="shared" si="29"/>
        <v>0.14333333333333334</v>
      </c>
      <c r="AC105" s="452"/>
      <c r="AD105" s="589">
        <f t="shared" si="30"/>
        <v>1</v>
      </c>
      <c r="AE105" s="579">
        <f t="shared" si="38"/>
        <v>1290</v>
      </c>
      <c r="AF105" s="590">
        <f t="shared" si="31"/>
        <v>1290</v>
      </c>
      <c r="AG105" s="591">
        <f t="shared" si="34"/>
        <v>0.14333333333333334</v>
      </c>
      <c r="AH105" s="592"/>
      <c r="AI105" s="470"/>
      <c r="AK105" s="253"/>
    </row>
    <row r="106" spans="2:37" s="252" customFormat="1">
      <c r="B106" s="253"/>
      <c r="D106" s="471" t="s">
        <v>482</v>
      </c>
      <c r="E106" s="261" t="s">
        <v>3938</v>
      </c>
      <c r="F106" s="261"/>
      <c r="G106" s="433" t="s">
        <v>3939</v>
      </c>
      <c r="H106" s="445">
        <f t="shared" si="39"/>
        <v>6</v>
      </c>
      <c r="I106" s="2497">
        <f t="shared" si="40"/>
        <v>175</v>
      </c>
      <c r="J106" s="487">
        <f t="shared" ref="J106:J134" si="41">IF(ISNUMBER(I106)=TRUE, H106*I106,0)</f>
        <v>1050</v>
      </c>
      <c r="K106" s="499">
        <f t="shared" si="25"/>
        <v>0.13125000000000001</v>
      </c>
      <c r="L106" s="507">
        <f t="shared" si="26"/>
        <v>43.75</v>
      </c>
      <c r="M106" s="452"/>
      <c r="N106" s="445">
        <v>0</v>
      </c>
      <c r="O106" s="483">
        <f t="shared" si="36"/>
        <v>175</v>
      </c>
      <c r="P106" s="487">
        <f t="shared" si="35"/>
        <v>0</v>
      </c>
      <c r="Q106" s="499"/>
      <c r="R106" s="2157">
        <f t="shared" si="27"/>
        <v>0</v>
      </c>
      <c r="S106" s="452"/>
      <c r="T106" s="445">
        <v>4</v>
      </c>
      <c r="U106" s="2469">
        <f>O106</f>
        <v>175</v>
      </c>
      <c r="V106" s="487">
        <f>IF(ISNUMBER(U106)=TRUE, T106*U106,0)</f>
        <v>700</v>
      </c>
      <c r="W106" s="2592">
        <f t="shared" si="32"/>
        <v>0.7</v>
      </c>
      <c r="X106" s="2593">
        <f t="shared" si="33"/>
        <v>175</v>
      </c>
      <c r="Y106" s="452"/>
      <c r="Z106" s="2693">
        <f t="shared" si="37"/>
        <v>10</v>
      </c>
      <c r="AA106" s="2688">
        <f t="shared" si="28"/>
        <v>1750</v>
      </c>
      <c r="AB106" s="2701">
        <f t="shared" si="29"/>
        <v>0.19444444444444445</v>
      </c>
      <c r="AC106" s="452"/>
      <c r="AD106" s="589">
        <f t="shared" si="30"/>
        <v>10</v>
      </c>
      <c r="AE106" s="579">
        <f t="shared" si="38"/>
        <v>175</v>
      </c>
      <c r="AF106" s="590">
        <f t="shared" si="31"/>
        <v>1750</v>
      </c>
      <c r="AG106" s="591">
        <f t="shared" si="34"/>
        <v>0.19444444444444445</v>
      </c>
      <c r="AH106" s="592"/>
      <c r="AI106" s="470"/>
      <c r="AK106" s="253"/>
    </row>
    <row r="107" spans="2:37" s="252" customFormat="1">
      <c r="B107" s="253"/>
      <c r="D107" s="471"/>
      <c r="E107" s="261" t="s">
        <v>3940</v>
      </c>
      <c r="F107" s="261"/>
      <c r="G107" s="433" t="s">
        <v>3941</v>
      </c>
      <c r="H107" s="445">
        <f t="shared" si="39"/>
        <v>2</v>
      </c>
      <c r="I107" s="2497">
        <f t="shared" si="40"/>
        <v>110</v>
      </c>
      <c r="J107" s="487">
        <f t="shared" si="41"/>
        <v>220</v>
      </c>
      <c r="K107" s="499">
        <f t="shared" si="25"/>
        <v>2.75E-2</v>
      </c>
      <c r="L107" s="507">
        <f t="shared" si="26"/>
        <v>9.1666666666666661</v>
      </c>
      <c r="M107" s="452"/>
      <c r="N107" s="445">
        <v>0</v>
      </c>
      <c r="O107" s="483">
        <f t="shared" si="36"/>
        <v>110</v>
      </c>
      <c r="P107" s="487">
        <f t="shared" si="35"/>
        <v>0</v>
      </c>
      <c r="Q107" s="499"/>
      <c r="R107" s="2157">
        <f t="shared" si="27"/>
        <v>0</v>
      </c>
      <c r="S107" s="452"/>
      <c r="T107" s="2634"/>
      <c r="U107" s="2635"/>
      <c r="V107" s="2596"/>
      <c r="W107" s="2597"/>
      <c r="X107" s="2598"/>
      <c r="Y107" s="452"/>
      <c r="Z107" s="2693">
        <f t="shared" si="37"/>
        <v>2</v>
      </c>
      <c r="AA107" s="2688">
        <f t="shared" si="28"/>
        <v>220</v>
      </c>
      <c r="AB107" s="2701">
        <f t="shared" si="29"/>
        <v>2.4444444444444446E-2</v>
      </c>
      <c r="AC107" s="452"/>
      <c r="AD107" s="589">
        <f t="shared" si="30"/>
        <v>2</v>
      </c>
      <c r="AE107" s="579">
        <f t="shared" si="38"/>
        <v>110</v>
      </c>
      <c r="AF107" s="590">
        <f t="shared" si="31"/>
        <v>220</v>
      </c>
      <c r="AG107" s="591">
        <f t="shared" si="34"/>
        <v>2.4444444444444446E-2</v>
      </c>
      <c r="AH107" s="592"/>
      <c r="AI107" s="470"/>
      <c r="AK107" s="253"/>
    </row>
    <row r="108" spans="2:37" s="252" customFormat="1">
      <c r="B108" s="253"/>
      <c r="D108" s="471"/>
      <c r="E108" s="261" t="s">
        <v>3942</v>
      </c>
      <c r="F108" s="2606" t="s">
        <v>4067</v>
      </c>
      <c r="G108" s="433" t="s">
        <v>3943</v>
      </c>
      <c r="H108" s="445">
        <f t="shared" si="39"/>
        <v>1</v>
      </c>
      <c r="I108" s="2497">
        <f t="shared" si="40"/>
        <v>750</v>
      </c>
      <c r="J108" s="487">
        <f t="shared" si="41"/>
        <v>750</v>
      </c>
      <c r="K108" s="499">
        <f t="shared" si="25"/>
        <v>9.375E-2</v>
      </c>
      <c r="L108" s="507">
        <f t="shared" si="26"/>
        <v>31.25</v>
      </c>
      <c r="M108" s="452"/>
      <c r="N108" s="445">
        <v>0</v>
      </c>
      <c r="O108" s="483">
        <f t="shared" si="36"/>
        <v>750</v>
      </c>
      <c r="P108" s="487">
        <f t="shared" si="35"/>
        <v>0</v>
      </c>
      <c r="Q108" s="499"/>
      <c r="R108" s="2157">
        <f t="shared" si="27"/>
        <v>0</v>
      </c>
      <c r="S108" s="452"/>
      <c r="T108" s="445">
        <v>0</v>
      </c>
      <c r="U108" s="2469">
        <f>O108</f>
        <v>750</v>
      </c>
      <c r="V108" s="487">
        <f>IF(ISNUMBER(U108)=TRUE, T108*U108,0)</f>
        <v>0</v>
      </c>
      <c r="W108" s="2586">
        <f t="shared" si="32"/>
        <v>0</v>
      </c>
      <c r="X108" s="2587">
        <f t="shared" si="33"/>
        <v>0</v>
      </c>
      <c r="Y108" s="452"/>
      <c r="Z108" s="2693">
        <f t="shared" si="37"/>
        <v>1</v>
      </c>
      <c r="AA108" s="2688">
        <f t="shared" si="28"/>
        <v>750</v>
      </c>
      <c r="AB108" s="2701">
        <f t="shared" si="29"/>
        <v>8.3333333333333329E-2</v>
      </c>
      <c r="AC108" s="452"/>
      <c r="AD108" s="589">
        <f t="shared" si="30"/>
        <v>1</v>
      </c>
      <c r="AE108" s="579">
        <f t="shared" si="38"/>
        <v>750</v>
      </c>
      <c r="AF108" s="590">
        <f t="shared" si="31"/>
        <v>750</v>
      </c>
      <c r="AG108" s="591">
        <f t="shared" si="34"/>
        <v>8.3333333333333329E-2</v>
      </c>
      <c r="AH108" s="592"/>
      <c r="AI108" s="470"/>
      <c r="AK108" s="253"/>
    </row>
    <row r="109" spans="2:37" s="252" customFormat="1">
      <c r="B109" s="253"/>
      <c r="D109" s="471"/>
      <c r="E109" s="261" t="s">
        <v>3944</v>
      </c>
      <c r="F109" s="261"/>
      <c r="G109" s="433" t="s">
        <v>3945</v>
      </c>
      <c r="H109" s="445">
        <f t="shared" si="39"/>
        <v>0</v>
      </c>
      <c r="I109" s="2497">
        <f t="shared" si="40"/>
        <v>0</v>
      </c>
      <c r="J109" s="487">
        <f t="shared" si="41"/>
        <v>0</v>
      </c>
      <c r="K109" s="499">
        <f t="shared" si="25"/>
        <v>0</v>
      </c>
      <c r="L109" s="507">
        <f t="shared" si="26"/>
        <v>0</v>
      </c>
      <c r="M109" s="452"/>
      <c r="N109" s="445">
        <v>0</v>
      </c>
      <c r="O109" s="483">
        <f t="shared" si="36"/>
        <v>0</v>
      </c>
      <c r="P109" s="487">
        <f t="shared" si="35"/>
        <v>0</v>
      </c>
      <c r="Q109" s="499"/>
      <c r="R109" s="2157">
        <f t="shared" si="27"/>
        <v>0</v>
      </c>
      <c r="S109" s="452"/>
      <c r="T109" s="2634"/>
      <c r="U109" s="2635"/>
      <c r="V109" s="2596"/>
      <c r="W109" s="2597"/>
      <c r="X109" s="2598"/>
      <c r="Y109" s="452"/>
      <c r="Z109" s="2693">
        <f t="shared" si="37"/>
        <v>0</v>
      </c>
      <c r="AA109" s="2688">
        <f t="shared" si="28"/>
        <v>0</v>
      </c>
      <c r="AB109" s="2701">
        <f t="shared" si="29"/>
        <v>0</v>
      </c>
      <c r="AC109" s="452"/>
      <c r="AD109" s="589">
        <f t="shared" si="30"/>
        <v>0</v>
      </c>
      <c r="AE109" s="579" t="str">
        <f t="shared" si="38"/>
        <v/>
      </c>
      <c r="AF109" s="590">
        <f t="shared" si="31"/>
        <v>0</v>
      </c>
      <c r="AG109" s="591">
        <f t="shared" si="34"/>
        <v>0</v>
      </c>
      <c r="AH109" s="592"/>
      <c r="AI109" s="470"/>
      <c r="AK109" s="253"/>
    </row>
    <row r="110" spans="2:37" s="252" customFormat="1">
      <c r="B110" s="253"/>
      <c r="D110" s="471"/>
      <c r="E110" s="261" t="s">
        <v>3946</v>
      </c>
      <c r="F110" s="261"/>
      <c r="G110" s="433" t="s">
        <v>3947</v>
      </c>
      <c r="H110" s="445">
        <f t="shared" si="39"/>
        <v>0</v>
      </c>
      <c r="I110" s="2497">
        <f t="shared" si="40"/>
        <v>0</v>
      </c>
      <c r="J110" s="487">
        <f t="shared" si="41"/>
        <v>0</v>
      </c>
      <c r="K110" s="499">
        <f t="shared" si="25"/>
        <v>0</v>
      </c>
      <c r="L110" s="507">
        <f t="shared" si="26"/>
        <v>0</v>
      </c>
      <c r="M110" s="452"/>
      <c r="N110" s="445">
        <v>0</v>
      </c>
      <c r="O110" s="483">
        <f t="shared" si="36"/>
        <v>0</v>
      </c>
      <c r="P110" s="487">
        <f t="shared" si="35"/>
        <v>0</v>
      </c>
      <c r="Q110" s="499"/>
      <c r="R110" s="2157">
        <f t="shared" si="27"/>
        <v>0</v>
      </c>
      <c r="S110" s="452"/>
      <c r="T110" s="2634"/>
      <c r="U110" s="2635"/>
      <c r="V110" s="2596"/>
      <c r="W110" s="2597"/>
      <c r="X110" s="2598"/>
      <c r="Y110" s="452"/>
      <c r="Z110" s="2693">
        <f t="shared" si="37"/>
        <v>0</v>
      </c>
      <c r="AA110" s="2688">
        <f t="shared" si="28"/>
        <v>0</v>
      </c>
      <c r="AB110" s="2701">
        <f t="shared" si="29"/>
        <v>0</v>
      </c>
      <c r="AC110" s="452"/>
      <c r="AD110" s="589">
        <f t="shared" si="30"/>
        <v>0</v>
      </c>
      <c r="AE110" s="579" t="str">
        <f t="shared" si="38"/>
        <v/>
      </c>
      <c r="AF110" s="590">
        <f t="shared" si="31"/>
        <v>0</v>
      </c>
      <c r="AG110" s="591">
        <f t="shared" si="34"/>
        <v>0</v>
      </c>
      <c r="AH110" s="592"/>
      <c r="AI110" s="470"/>
      <c r="AK110" s="253"/>
    </row>
    <row r="111" spans="2:37" s="252" customFormat="1">
      <c r="B111" s="253"/>
      <c r="D111" s="471"/>
      <c r="E111" s="261" t="s">
        <v>3948</v>
      </c>
      <c r="F111" s="261"/>
      <c r="G111" s="433" t="s">
        <v>3949</v>
      </c>
      <c r="H111" s="445">
        <f t="shared" si="39"/>
        <v>3</v>
      </c>
      <c r="I111" s="2497">
        <f t="shared" si="40"/>
        <v>1500</v>
      </c>
      <c r="J111" s="487">
        <f t="shared" si="41"/>
        <v>4500</v>
      </c>
      <c r="K111" s="499">
        <f t="shared" si="25"/>
        <v>0.5625</v>
      </c>
      <c r="L111" s="507">
        <f t="shared" si="26"/>
        <v>187.5</v>
      </c>
      <c r="M111" s="452"/>
      <c r="N111" s="445">
        <v>0</v>
      </c>
      <c r="O111" s="483">
        <f t="shared" si="36"/>
        <v>1500</v>
      </c>
      <c r="P111" s="487">
        <f t="shared" si="35"/>
        <v>0</v>
      </c>
      <c r="Q111" s="499"/>
      <c r="R111" s="2157">
        <f t="shared" si="27"/>
        <v>0</v>
      </c>
      <c r="S111" s="452"/>
      <c r="T111" s="445">
        <v>0</v>
      </c>
      <c r="U111" s="2469">
        <f>O111</f>
        <v>1500</v>
      </c>
      <c r="V111" s="487">
        <f t="shared" ref="V111:V135" si="42">IF(ISNUMBER(U111)=TRUE, T111*U111,0)</f>
        <v>0</v>
      </c>
      <c r="W111" s="2586">
        <f t="shared" ref="W111:W143" si="43">IF(V111=0,0,V111/$W$8)</f>
        <v>0</v>
      </c>
      <c r="X111" s="2587">
        <f t="shared" si="33"/>
        <v>0</v>
      </c>
      <c r="Y111" s="452"/>
      <c r="Z111" s="2693">
        <f t="shared" si="37"/>
        <v>3</v>
      </c>
      <c r="AA111" s="2688">
        <f t="shared" si="28"/>
        <v>4500</v>
      </c>
      <c r="AB111" s="2701">
        <f t="shared" si="29"/>
        <v>0.5</v>
      </c>
      <c r="AC111" s="452"/>
      <c r="AD111" s="589">
        <f t="shared" si="30"/>
        <v>3</v>
      </c>
      <c r="AE111" s="579">
        <f t="shared" si="38"/>
        <v>1500</v>
      </c>
      <c r="AF111" s="590">
        <f t="shared" si="31"/>
        <v>4500</v>
      </c>
      <c r="AG111" s="591">
        <f t="shared" si="34"/>
        <v>0.5</v>
      </c>
      <c r="AH111" s="592"/>
      <c r="AI111" s="470"/>
      <c r="AK111" s="253"/>
    </row>
    <row r="112" spans="2:37" s="252" customFormat="1">
      <c r="B112" s="253"/>
      <c r="D112" s="472"/>
      <c r="E112" s="430" t="s">
        <v>3950</v>
      </c>
      <c r="F112" s="430"/>
      <c r="G112" s="436" t="s">
        <v>3951</v>
      </c>
      <c r="H112" s="446">
        <f t="shared" si="39"/>
        <v>2</v>
      </c>
      <c r="I112" s="2498">
        <f t="shared" si="40"/>
        <v>200</v>
      </c>
      <c r="J112" s="488">
        <f t="shared" si="41"/>
        <v>400</v>
      </c>
      <c r="K112" s="500">
        <f t="shared" si="25"/>
        <v>0.05</v>
      </c>
      <c r="L112" s="508">
        <f t="shared" si="26"/>
        <v>16.666666666666668</v>
      </c>
      <c r="M112" s="453"/>
      <c r="N112" s="446">
        <v>0</v>
      </c>
      <c r="O112" s="1456">
        <f t="shared" si="36"/>
        <v>200</v>
      </c>
      <c r="P112" s="488">
        <f t="shared" si="35"/>
        <v>0</v>
      </c>
      <c r="Q112" s="500"/>
      <c r="R112" s="2158">
        <f t="shared" si="27"/>
        <v>0</v>
      </c>
      <c r="S112" s="453"/>
      <c r="T112" s="446">
        <v>0</v>
      </c>
      <c r="U112" s="2652">
        <f>O112</f>
        <v>200</v>
      </c>
      <c r="V112" s="488">
        <f t="shared" si="42"/>
        <v>0</v>
      </c>
      <c r="W112" s="2588">
        <f t="shared" si="43"/>
        <v>0</v>
      </c>
      <c r="X112" s="2589">
        <f t="shared" si="33"/>
        <v>0</v>
      </c>
      <c r="Y112" s="453"/>
      <c r="Z112" s="2694">
        <f t="shared" si="37"/>
        <v>2</v>
      </c>
      <c r="AA112" s="2689">
        <f t="shared" si="28"/>
        <v>400</v>
      </c>
      <c r="AB112" s="2702">
        <f t="shared" si="29"/>
        <v>4.4444444444444446E-2</v>
      </c>
      <c r="AC112" s="453"/>
      <c r="AD112" s="593">
        <f t="shared" si="30"/>
        <v>2</v>
      </c>
      <c r="AE112" s="594">
        <f t="shared" si="38"/>
        <v>200</v>
      </c>
      <c r="AF112" s="595">
        <f t="shared" si="31"/>
        <v>400</v>
      </c>
      <c r="AG112" s="596">
        <f t="shared" si="34"/>
        <v>4.4444444444444446E-2</v>
      </c>
      <c r="AH112" s="597"/>
      <c r="AI112" s="473"/>
      <c r="AK112" s="253"/>
    </row>
    <row r="113" spans="2:37" s="252" customFormat="1">
      <c r="B113" s="253"/>
      <c r="D113" s="474" t="s">
        <v>1878</v>
      </c>
      <c r="E113" s="431" t="s">
        <v>2184</v>
      </c>
      <c r="F113" s="431"/>
      <c r="G113" s="435" t="s">
        <v>2185</v>
      </c>
      <c r="H113" s="444">
        <f t="shared" si="39"/>
        <v>1</v>
      </c>
      <c r="I113" s="2556">
        <f t="shared" si="40"/>
        <v>940</v>
      </c>
      <c r="J113" s="489">
        <f t="shared" si="41"/>
        <v>940</v>
      </c>
      <c r="K113" s="501">
        <f t="shared" si="25"/>
        <v>0.11749999999999999</v>
      </c>
      <c r="L113" s="509">
        <f t="shared" si="26"/>
        <v>39.166666666666664</v>
      </c>
      <c r="M113" s="454"/>
      <c r="N113" s="444">
        <v>0</v>
      </c>
      <c r="O113" s="1457">
        <f t="shared" si="36"/>
        <v>940</v>
      </c>
      <c r="P113" s="489">
        <f t="shared" si="35"/>
        <v>0</v>
      </c>
      <c r="Q113" s="501"/>
      <c r="R113" s="2159">
        <f t="shared" si="27"/>
        <v>0</v>
      </c>
      <c r="S113" s="454"/>
      <c r="T113" s="444">
        <v>0</v>
      </c>
      <c r="U113" s="2471">
        <f>O113</f>
        <v>940</v>
      </c>
      <c r="V113" s="489">
        <f t="shared" si="42"/>
        <v>0</v>
      </c>
      <c r="W113" s="2590">
        <f t="shared" si="43"/>
        <v>0</v>
      </c>
      <c r="X113" s="2591">
        <f t="shared" si="33"/>
        <v>0</v>
      </c>
      <c r="Y113" s="454"/>
      <c r="Z113" s="2692">
        <f t="shared" si="37"/>
        <v>1</v>
      </c>
      <c r="AA113" s="2690">
        <f t="shared" si="28"/>
        <v>940</v>
      </c>
      <c r="AB113" s="2703">
        <f t="shared" si="29"/>
        <v>0.10444444444444445</v>
      </c>
      <c r="AC113" s="454"/>
      <c r="AD113" s="585">
        <f t="shared" si="30"/>
        <v>1</v>
      </c>
      <c r="AE113" s="598">
        <f t="shared" si="38"/>
        <v>940</v>
      </c>
      <c r="AF113" s="599">
        <f t="shared" si="31"/>
        <v>940</v>
      </c>
      <c r="AG113" s="600">
        <f t="shared" si="34"/>
        <v>0.10444444444444445</v>
      </c>
      <c r="AH113" s="601"/>
      <c r="AI113" s="475"/>
      <c r="AK113" s="253"/>
    </row>
    <row r="114" spans="2:37" s="252" customFormat="1">
      <c r="B114" s="253"/>
      <c r="D114" s="471" t="s">
        <v>3346</v>
      </c>
      <c r="E114" s="261" t="s">
        <v>2186</v>
      </c>
      <c r="F114" s="261"/>
      <c r="G114" s="433" t="s">
        <v>2604</v>
      </c>
      <c r="H114" s="445">
        <f t="shared" si="39"/>
        <v>1</v>
      </c>
      <c r="I114" s="2497">
        <f t="shared" si="40"/>
        <v>155</v>
      </c>
      <c r="J114" s="487">
        <f t="shared" si="41"/>
        <v>155</v>
      </c>
      <c r="K114" s="499">
        <f t="shared" si="25"/>
        <v>1.9375E-2</v>
      </c>
      <c r="L114" s="507">
        <f t="shared" si="26"/>
        <v>6.458333333333333</v>
      </c>
      <c r="M114" s="452"/>
      <c r="N114" s="445">
        <v>0</v>
      </c>
      <c r="O114" s="483">
        <f t="shared" si="36"/>
        <v>155</v>
      </c>
      <c r="P114" s="487">
        <f t="shared" si="35"/>
        <v>0</v>
      </c>
      <c r="Q114" s="499"/>
      <c r="R114" s="2157">
        <f t="shared" si="27"/>
        <v>0</v>
      </c>
      <c r="S114" s="452"/>
      <c r="T114" s="445">
        <v>0</v>
      </c>
      <c r="U114" s="2469">
        <f>O114</f>
        <v>155</v>
      </c>
      <c r="V114" s="487">
        <f t="shared" si="42"/>
        <v>0</v>
      </c>
      <c r="W114" s="2586">
        <f t="shared" si="43"/>
        <v>0</v>
      </c>
      <c r="X114" s="2587">
        <f t="shared" si="33"/>
        <v>0</v>
      </c>
      <c r="Y114" s="452"/>
      <c r="Z114" s="2693">
        <f t="shared" si="37"/>
        <v>1</v>
      </c>
      <c r="AA114" s="2688">
        <f t="shared" si="28"/>
        <v>155</v>
      </c>
      <c r="AB114" s="2701">
        <f t="shared" si="29"/>
        <v>1.7222222222222222E-2</v>
      </c>
      <c r="AC114" s="452"/>
      <c r="AD114" s="589">
        <f t="shared" si="30"/>
        <v>1</v>
      </c>
      <c r="AE114" s="579">
        <f t="shared" si="38"/>
        <v>155</v>
      </c>
      <c r="AF114" s="590">
        <f t="shared" si="31"/>
        <v>155</v>
      </c>
      <c r="AG114" s="591">
        <f t="shared" si="34"/>
        <v>1.7222222222222222E-2</v>
      </c>
      <c r="AH114" s="592"/>
      <c r="AI114" s="470"/>
      <c r="AK114" s="253"/>
    </row>
    <row r="115" spans="2:37" s="252" customFormat="1">
      <c r="B115" s="253"/>
      <c r="D115" s="471" t="s">
        <v>482</v>
      </c>
      <c r="E115" s="261" t="s">
        <v>2605</v>
      </c>
      <c r="F115" s="261"/>
      <c r="G115" s="433" t="s">
        <v>2606</v>
      </c>
      <c r="H115" s="445">
        <f t="shared" si="39"/>
        <v>0</v>
      </c>
      <c r="I115" s="2497">
        <f t="shared" si="40"/>
        <v>0</v>
      </c>
      <c r="J115" s="487">
        <f t="shared" si="41"/>
        <v>0</v>
      </c>
      <c r="K115" s="499">
        <f t="shared" si="25"/>
        <v>0</v>
      </c>
      <c r="L115" s="507">
        <f t="shared" si="26"/>
        <v>0</v>
      </c>
      <c r="M115" s="452"/>
      <c r="N115" s="445">
        <v>0</v>
      </c>
      <c r="O115" s="483">
        <f t="shared" si="36"/>
        <v>0</v>
      </c>
      <c r="P115" s="487">
        <f t="shared" si="35"/>
        <v>0</v>
      </c>
      <c r="Q115" s="499"/>
      <c r="R115" s="2157">
        <f t="shared" si="27"/>
        <v>0</v>
      </c>
      <c r="S115" s="452"/>
      <c r="T115" s="2634"/>
      <c r="U115" s="2635"/>
      <c r="V115" s="2596"/>
      <c r="W115" s="2597"/>
      <c r="X115" s="2598"/>
      <c r="Y115" s="452"/>
      <c r="Z115" s="2693">
        <f t="shared" si="37"/>
        <v>0</v>
      </c>
      <c r="AA115" s="2688">
        <f t="shared" si="28"/>
        <v>0</v>
      </c>
      <c r="AB115" s="2701">
        <f t="shared" si="29"/>
        <v>0</v>
      </c>
      <c r="AC115" s="452"/>
      <c r="AD115" s="589">
        <f t="shared" si="30"/>
        <v>0</v>
      </c>
      <c r="AE115" s="579" t="str">
        <f t="shared" si="38"/>
        <v/>
      </c>
      <c r="AF115" s="590">
        <f t="shared" si="31"/>
        <v>0</v>
      </c>
      <c r="AG115" s="591">
        <f t="shared" si="34"/>
        <v>0</v>
      </c>
      <c r="AH115" s="592"/>
      <c r="AI115" s="470"/>
      <c r="AK115" s="253"/>
    </row>
    <row r="116" spans="2:37" s="252" customFormat="1">
      <c r="B116" s="253"/>
      <c r="D116" s="471"/>
      <c r="E116" s="261" t="s">
        <v>2607</v>
      </c>
      <c r="F116" s="261"/>
      <c r="G116" s="433" t="s">
        <v>2608</v>
      </c>
      <c r="H116" s="445">
        <f t="shared" si="39"/>
        <v>1</v>
      </c>
      <c r="I116" s="2497">
        <f t="shared" si="40"/>
        <v>0</v>
      </c>
      <c r="J116" s="487">
        <f t="shared" si="41"/>
        <v>0</v>
      </c>
      <c r="K116" s="499">
        <f t="shared" si="25"/>
        <v>0</v>
      </c>
      <c r="L116" s="507">
        <f t="shared" si="26"/>
        <v>0</v>
      </c>
      <c r="M116" s="452"/>
      <c r="N116" s="445">
        <v>0</v>
      </c>
      <c r="O116" s="483">
        <f t="shared" si="36"/>
        <v>0</v>
      </c>
      <c r="P116" s="487">
        <f t="shared" si="35"/>
        <v>0</v>
      </c>
      <c r="Q116" s="499"/>
      <c r="R116" s="2157">
        <f t="shared" si="27"/>
        <v>0</v>
      </c>
      <c r="S116" s="452"/>
      <c r="T116" s="445">
        <v>0</v>
      </c>
      <c r="U116" s="2469">
        <f t="shared" ref="U116:U122" si="44">O116</f>
        <v>0</v>
      </c>
      <c r="V116" s="487">
        <f>IF(ISNUMBER(U116)=TRUE, T116*U116,0)</f>
        <v>0</v>
      </c>
      <c r="W116" s="2586">
        <f>IF(V116=0,0,V116/$W$8)</f>
        <v>0</v>
      </c>
      <c r="X116" s="2587">
        <f>V116/($W$12)</f>
        <v>0</v>
      </c>
      <c r="Y116" s="452"/>
      <c r="Z116" s="2693">
        <f t="shared" si="37"/>
        <v>1</v>
      </c>
      <c r="AA116" s="2688">
        <f t="shared" si="28"/>
        <v>0</v>
      </c>
      <c r="AB116" s="2701">
        <f t="shared" si="29"/>
        <v>0</v>
      </c>
      <c r="AC116" s="452"/>
      <c r="AD116" s="589">
        <f t="shared" si="30"/>
        <v>1</v>
      </c>
      <c r="AE116" s="579">
        <f t="shared" si="38"/>
        <v>0</v>
      </c>
      <c r="AF116" s="590">
        <f t="shared" si="31"/>
        <v>0</v>
      </c>
      <c r="AG116" s="591">
        <f t="shared" si="34"/>
        <v>0</v>
      </c>
      <c r="AH116" s="592"/>
      <c r="AI116" s="470"/>
      <c r="AK116" s="253"/>
    </row>
    <row r="117" spans="2:37" s="252" customFormat="1">
      <c r="B117" s="253"/>
      <c r="D117" s="471"/>
      <c r="E117" s="261" t="s">
        <v>2609</v>
      </c>
      <c r="F117" s="261"/>
      <c r="G117" s="433" t="s">
        <v>2610</v>
      </c>
      <c r="H117" s="445">
        <f t="shared" si="39"/>
        <v>1</v>
      </c>
      <c r="I117" s="2497">
        <f t="shared" si="40"/>
        <v>125</v>
      </c>
      <c r="J117" s="487">
        <f t="shared" si="41"/>
        <v>125</v>
      </c>
      <c r="K117" s="499">
        <f t="shared" si="25"/>
        <v>1.5625E-2</v>
      </c>
      <c r="L117" s="507">
        <f t="shared" si="26"/>
        <v>5.208333333333333</v>
      </c>
      <c r="M117" s="452"/>
      <c r="N117" s="445">
        <v>0</v>
      </c>
      <c r="O117" s="483">
        <f t="shared" si="36"/>
        <v>125</v>
      </c>
      <c r="P117" s="487">
        <f t="shared" si="35"/>
        <v>0</v>
      </c>
      <c r="Q117" s="499"/>
      <c r="R117" s="2157">
        <f t="shared" si="27"/>
        <v>0</v>
      </c>
      <c r="S117" s="452"/>
      <c r="T117" s="445">
        <v>0</v>
      </c>
      <c r="U117" s="2469">
        <f t="shared" si="44"/>
        <v>125</v>
      </c>
      <c r="V117" s="487">
        <f>IF(ISNUMBER(U117)=TRUE, T117*U117,0)</f>
        <v>0</v>
      </c>
      <c r="W117" s="2586">
        <f>IF(V117=0,0,V117/$W$8)</f>
        <v>0</v>
      </c>
      <c r="X117" s="2587">
        <f>V117/($W$12)</f>
        <v>0</v>
      </c>
      <c r="Y117" s="452"/>
      <c r="Z117" s="2693">
        <f t="shared" si="37"/>
        <v>1</v>
      </c>
      <c r="AA117" s="2688">
        <f t="shared" si="28"/>
        <v>125</v>
      </c>
      <c r="AB117" s="2701">
        <f t="shared" si="29"/>
        <v>1.3888888888888888E-2</v>
      </c>
      <c r="AC117" s="452"/>
      <c r="AD117" s="589">
        <f t="shared" si="30"/>
        <v>1</v>
      </c>
      <c r="AE117" s="579">
        <f t="shared" si="38"/>
        <v>125</v>
      </c>
      <c r="AF117" s="590">
        <f t="shared" si="31"/>
        <v>125</v>
      </c>
      <c r="AG117" s="591">
        <f t="shared" si="34"/>
        <v>1.3888888888888888E-2</v>
      </c>
      <c r="AH117" s="592"/>
      <c r="AI117" s="470"/>
      <c r="AK117" s="253"/>
    </row>
    <row r="118" spans="2:37" s="252" customFormat="1">
      <c r="B118" s="253"/>
      <c r="D118" s="472"/>
      <c r="E118" s="430" t="s">
        <v>2611</v>
      </c>
      <c r="F118" s="430"/>
      <c r="G118" s="436" t="s">
        <v>2612</v>
      </c>
      <c r="H118" s="446">
        <v>1</v>
      </c>
      <c r="I118" s="2498">
        <f t="shared" si="40"/>
        <v>2000</v>
      </c>
      <c r="J118" s="488">
        <f t="shared" si="41"/>
        <v>2000</v>
      </c>
      <c r="K118" s="500">
        <f t="shared" si="25"/>
        <v>0.25</v>
      </c>
      <c r="L118" s="508">
        <f t="shared" si="26"/>
        <v>83.333333333333329</v>
      </c>
      <c r="M118" s="453"/>
      <c r="N118" s="446">
        <v>0</v>
      </c>
      <c r="O118" s="1456">
        <f t="shared" si="36"/>
        <v>2000</v>
      </c>
      <c r="P118" s="488">
        <f t="shared" si="35"/>
        <v>0</v>
      </c>
      <c r="Q118" s="500"/>
      <c r="R118" s="2158">
        <f t="shared" si="27"/>
        <v>0</v>
      </c>
      <c r="S118" s="453"/>
      <c r="T118" s="446">
        <v>0</v>
      </c>
      <c r="U118" s="2652">
        <f t="shared" si="44"/>
        <v>2000</v>
      </c>
      <c r="V118" s="488">
        <f t="shared" si="42"/>
        <v>0</v>
      </c>
      <c r="W118" s="2588">
        <f t="shared" si="43"/>
        <v>0</v>
      </c>
      <c r="X118" s="2589">
        <f t="shared" si="33"/>
        <v>0</v>
      </c>
      <c r="Y118" s="453"/>
      <c r="Z118" s="2694">
        <f t="shared" si="37"/>
        <v>1</v>
      </c>
      <c r="AA118" s="2689">
        <f t="shared" si="28"/>
        <v>2000</v>
      </c>
      <c r="AB118" s="2702">
        <f t="shared" si="29"/>
        <v>0.22222222222222221</v>
      </c>
      <c r="AC118" s="453"/>
      <c r="AD118" s="593">
        <f t="shared" si="30"/>
        <v>1</v>
      </c>
      <c r="AE118" s="594">
        <f t="shared" si="38"/>
        <v>2000</v>
      </c>
      <c r="AF118" s="595">
        <f t="shared" si="31"/>
        <v>2000</v>
      </c>
      <c r="AG118" s="596">
        <f t="shared" si="34"/>
        <v>0.22222222222222221</v>
      </c>
      <c r="AH118" s="597"/>
      <c r="AI118" s="473"/>
      <c r="AK118" s="253"/>
    </row>
    <row r="119" spans="2:37" s="252" customFormat="1">
      <c r="B119" s="253"/>
      <c r="D119" s="474" t="s">
        <v>1879</v>
      </c>
      <c r="E119" s="431" t="s">
        <v>2613</v>
      </c>
      <c r="F119" s="431"/>
      <c r="G119" s="435" t="s">
        <v>2614</v>
      </c>
      <c r="H119" s="444">
        <f t="shared" si="39"/>
        <v>2</v>
      </c>
      <c r="I119" s="2556">
        <f t="shared" si="40"/>
        <v>136.71</v>
      </c>
      <c r="J119" s="489">
        <f t="shared" si="41"/>
        <v>273.42</v>
      </c>
      <c r="K119" s="501">
        <f t="shared" si="25"/>
        <v>3.41775E-2</v>
      </c>
      <c r="L119" s="509">
        <f t="shared" si="26"/>
        <v>11.3925</v>
      </c>
      <c r="M119" s="454"/>
      <c r="N119" s="444">
        <v>0</v>
      </c>
      <c r="O119" s="1457">
        <f t="shared" si="36"/>
        <v>136.71</v>
      </c>
      <c r="P119" s="489">
        <f t="shared" si="35"/>
        <v>0</v>
      </c>
      <c r="Q119" s="501"/>
      <c r="R119" s="2159">
        <f t="shared" si="27"/>
        <v>0</v>
      </c>
      <c r="S119" s="454"/>
      <c r="T119" s="444">
        <v>0</v>
      </c>
      <c r="U119" s="2471">
        <f t="shared" si="44"/>
        <v>136.71</v>
      </c>
      <c r="V119" s="489">
        <f t="shared" si="42"/>
        <v>0</v>
      </c>
      <c r="W119" s="2590">
        <f t="shared" si="43"/>
        <v>0</v>
      </c>
      <c r="X119" s="2591">
        <f t="shared" si="33"/>
        <v>0</v>
      </c>
      <c r="Y119" s="454"/>
      <c r="Z119" s="2692">
        <f t="shared" si="37"/>
        <v>2</v>
      </c>
      <c r="AA119" s="2690">
        <f t="shared" si="28"/>
        <v>273.42</v>
      </c>
      <c r="AB119" s="2703">
        <f t="shared" si="29"/>
        <v>3.0380000000000001E-2</v>
      </c>
      <c r="AC119" s="454"/>
      <c r="AD119" s="585">
        <f t="shared" si="30"/>
        <v>2</v>
      </c>
      <c r="AE119" s="598">
        <f t="shared" si="38"/>
        <v>136.71</v>
      </c>
      <c r="AF119" s="599">
        <f t="shared" si="31"/>
        <v>273.42</v>
      </c>
      <c r="AG119" s="600">
        <f t="shared" si="34"/>
        <v>3.0380000000000001E-2</v>
      </c>
      <c r="AH119" s="601"/>
      <c r="AI119" s="475"/>
      <c r="AK119" s="253"/>
    </row>
    <row r="120" spans="2:37" s="252" customFormat="1">
      <c r="B120" s="253"/>
      <c r="D120" s="471" t="s">
        <v>3346</v>
      </c>
      <c r="E120" s="261" t="s">
        <v>2615</v>
      </c>
      <c r="F120" s="261"/>
      <c r="G120" s="433" t="s">
        <v>2616</v>
      </c>
      <c r="H120" s="445">
        <f t="shared" si="39"/>
        <v>1</v>
      </c>
      <c r="I120" s="2497">
        <v>5000</v>
      </c>
      <c r="J120" s="487">
        <f t="shared" si="41"/>
        <v>5000</v>
      </c>
      <c r="K120" s="499">
        <f t="shared" si="25"/>
        <v>0.625</v>
      </c>
      <c r="L120" s="507">
        <f t="shared" si="26"/>
        <v>208.33333333333334</v>
      </c>
      <c r="M120" s="452"/>
      <c r="N120" s="445">
        <v>0</v>
      </c>
      <c r="O120" s="483">
        <f t="shared" si="36"/>
        <v>5000</v>
      </c>
      <c r="P120" s="487">
        <f t="shared" si="35"/>
        <v>0</v>
      </c>
      <c r="Q120" s="499"/>
      <c r="R120" s="2157">
        <f t="shared" si="27"/>
        <v>0</v>
      </c>
      <c r="S120" s="452"/>
      <c r="T120" s="445">
        <v>1</v>
      </c>
      <c r="U120" s="2469">
        <v>800</v>
      </c>
      <c r="V120" s="487">
        <f t="shared" si="42"/>
        <v>800</v>
      </c>
      <c r="W120" s="2586">
        <f t="shared" si="43"/>
        <v>0.8</v>
      </c>
      <c r="X120" s="2587">
        <f t="shared" si="33"/>
        <v>200</v>
      </c>
      <c r="Y120" s="452"/>
      <c r="Z120" s="2693">
        <f t="shared" si="37"/>
        <v>2</v>
      </c>
      <c r="AA120" s="2688">
        <f t="shared" si="28"/>
        <v>5800</v>
      </c>
      <c r="AB120" s="2701">
        <f t="shared" si="29"/>
        <v>0.64444444444444449</v>
      </c>
      <c r="AC120" s="452"/>
      <c r="AD120" s="589">
        <f t="shared" si="30"/>
        <v>2</v>
      </c>
      <c r="AE120" s="579">
        <f t="shared" si="38"/>
        <v>2900</v>
      </c>
      <c r="AF120" s="590">
        <f t="shared" si="31"/>
        <v>5800</v>
      </c>
      <c r="AG120" s="591">
        <f t="shared" si="34"/>
        <v>0.64444444444444449</v>
      </c>
      <c r="AH120" s="592"/>
      <c r="AI120" s="470"/>
      <c r="AK120" s="253"/>
    </row>
    <row r="121" spans="2:37" s="252" customFormat="1">
      <c r="B121" s="253"/>
      <c r="D121" s="471" t="s">
        <v>2361</v>
      </c>
      <c r="E121" s="261" t="s">
        <v>2617</v>
      </c>
      <c r="F121" s="261"/>
      <c r="G121" s="433" t="s">
        <v>2618</v>
      </c>
      <c r="H121" s="445">
        <f t="shared" si="39"/>
        <v>1</v>
      </c>
      <c r="I121" s="2497">
        <f t="shared" si="40"/>
        <v>100</v>
      </c>
      <c r="J121" s="487">
        <f t="shared" si="41"/>
        <v>100</v>
      </c>
      <c r="K121" s="499">
        <f t="shared" si="25"/>
        <v>1.2500000000000001E-2</v>
      </c>
      <c r="L121" s="507">
        <f t="shared" si="26"/>
        <v>4.166666666666667</v>
      </c>
      <c r="M121" s="452"/>
      <c r="N121" s="445">
        <v>0</v>
      </c>
      <c r="O121" s="483">
        <f t="shared" si="36"/>
        <v>100</v>
      </c>
      <c r="P121" s="487">
        <f t="shared" si="35"/>
        <v>0</v>
      </c>
      <c r="Q121" s="499"/>
      <c r="R121" s="2157">
        <f t="shared" si="27"/>
        <v>0</v>
      </c>
      <c r="S121" s="452"/>
      <c r="T121" s="445">
        <v>0</v>
      </c>
      <c r="U121" s="2469">
        <f t="shared" si="44"/>
        <v>100</v>
      </c>
      <c r="V121" s="487">
        <f t="shared" si="42"/>
        <v>0</v>
      </c>
      <c r="W121" s="2586">
        <f t="shared" si="43"/>
        <v>0</v>
      </c>
      <c r="X121" s="2587">
        <f t="shared" si="33"/>
        <v>0</v>
      </c>
      <c r="Y121" s="452"/>
      <c r="Z121" s="2693">
        <f t="shared" si="37"/>
        <v>1</v>
      </c>
      <c r="AA121" s="2688">
        <f t="shared" si="28"/>
        <v>100</v>
      </c>
      <c r="AB121" s="2701">
        <f t="shared" si="29"/>
        <v>1.1111111111111112E-2</v>
      </c>
      <c r="AC121" s="452"/>
      <c r="AD121" s="589">
        <f t="shared" si="30"/>
        <v>1</v>
      </c>
      <c r="AE121" s="579">
        <f t="shared" si="38"/>
        <v>100</v>
      </c>
      <c r="AF121" s="590">
        <f t="shared" si="31"/>
        <v>100</v>
      </c>
      <c r="AG121" s="591">
        <f t="shared" si="34"/>
        <v>1.1111111111111112E-2</v>
      </c>
      <c r="AH121" s="592"/>
      <c r="AI121" s="470"/>
      <c r="AK121" s="253"/>
    </row>
    <row r="122" spans="2:37" s="252" customFormat="1">
      <c r="B122" s="253"/>
      <c r="D122" s="471"/>
      <c r="E122" s="261" t="s">
        <v>2619</v>
      </c>
      <c r="F122" s="261"/>
      <c r="G122" s="433" t="s">
        <v>2620</v>
      </c>
      <c r="H122" s="445">
        <f t="shared" si="39"/>
        <v>1</v>
      </c>
      <c r="I122" s="2497">
        <f t="shared" si="40"/>
        <v>200</v>
      </c>
      <c r="J122" s="487">
        <f t="shared" si="41"/>
        <v>200</v>
      </c>
      <c r="K122" s="499">
        <f t="shared" si="25"/>
        <v>2.5000000000000001E-2</v>
      </c>
      <c r="L122" s="507">
        <f t="shared" si="26"/>
        <v>8.3333333333333339</v>
      </c>
      <c r="M122" s="452"/>
      <c r="N122" s="445">
        <v>0</v>
      </c>
      <c r="O122" s="483">
        <f t="shared" si="36"/>
        <v>200</v>
      </c>
      <c r="P122" s="487">
        <f t="shared" si="35"/>
        <v>0</v>
      </c>
      <c r="Q122" s="499"/>
      <c r="R122" s="2157">
        <f t="shared" si="27"/>
        <v>0</v>
      </c>
      <c r="S122" s="452"/>
      <c r="T122" s="445">
        <v>0</v>
      </c>
      <c r="U122" s="2469">
        <f t="shared" si="44"/>
        <v>200</v>
      </c>
      <c r="V122" s="487">
        <f t="shared" si="42"/>
        <v>0</v>
      </c>
      <c r="W122" s="2586">
        <f t="shared" si="43"/>
        <v>0</v>
      </c>
      <c r="X122" s="2587">
        <f t="shared" si="33"/>
        <v>0</v>
      </c>
      <c r="Y122" s="452"/>
      <c r="Z122" s="2693">
        <f t="shared" si="37"/>
        <v>1</v>
      </c>
      <c r="AA122" s="2688">
        <f t="shared" si="28"/>
        <v>200</v>
      </c>
      <c r="AB122" s="2701">
        <f t="shared" si="29"/>
        <v>2.2222222222222223E-2</v>
      </c>
      <c r="AC122" s="452"/>
      <c r="AD122" s="589">
        <f t="shared" si="30"/>
        <v>1</v>
      </c>
      <c r="AE122" s="579">
        <f t="shared" si="38"/>
        <v>200</v>
      </c>
      <c r="AF122" s="590">
        <f t="shared" si="31"/>
        <v>200</v>
      </c>
      <c r="AG122" s="591">
        <f t="shared" si="34"/>
        <v>2.2222222222222223E-2</v>
      </c>
      <c r="AH122" s="592"/>
      <c r="AI122" s="470"/>
      <c r="AK122" s="253"/>
    </row>
    <row r="123" spans="2:37" s="252" customFormat="1">
      <c r="B123" s="253"/>
      <c r="D123" s="471"/>
      <c r="E123" s="261" t="s">
        <v>2621</v>
      </c>
      <c r="F123" s="261"/>
      <c r="G123" s="433" t="s">
        <v>2622</v>
      </c>
      <c r="H123" s="445">
        <f t="shared" si="39"/>
        <v>6</v>
      </c>
      <c r="I123" s="2497">
        <f t="shared" si="40"/>
        <v>175</v>
      </c>
      <c r="J123" s="487">
        <f t="shared" si="41"/>
        <v>1050</v>
      </c>
      <c r="K123" s="499">
        <f t="shared" si="25"/>
        <v>0.13125000000000001</v>
      </c>
      <c r="L123" s="507">
        <f t="shared" si="26"/>
        <v>43.75</v>
      </c>
      <c r="M123" s="452"/>
      <c r="N123" s="445">
        <v>0</v>
      </c>
      <c r="O123" s="483">
        <f t="shared" si="36"/>
        <v>175</v>
      </c>
      <c r="P123" s="487">
        <f t="shared" ref="P123:P133" si="45">IF(ISNUMBER(O123)=TRUE, N123*O123,0)</f>
        <v>0</v>
      </c>
      <c r="Q123" s="499"/>
      <c r="R123" s="2157">
        <f t="shared" si="27"/>
        <v>0</v>
      </c>
      <c r="S123" s="452"/>
      <c r="T123" s="2634"/>
      <c r="U123" s="2635"/>
      <c r="V123" s="2596"/>
      <c r="W123" s="2597"/>
      <c r="X123" s="2598"/>
      <c r="Y123" s="452"/>
      <c r="Z123" s="2693">
        <f t="shared" si="37"/>
        <v>6</v>
      </c>
      <c r="AA123" s="2688">
        <f t="shared" si="28"/>
        <v>1050</v>
      </c>
      <c r="AB123" s="2701">
        <f t="shared" si="29"/>
        <v>0.11666666666666667</v>
      </c>
      <c r="AC123" s="452"/>
      <c r="AD123" s="589">
        <f t="shared" si="30"/>
        <v>6</v>
      </c>
      <c r="AE123" s="579">
        <f t="shared" si="38"/>
        <v>175</v>
      </c>
      <c r="AF123" s="590">
        <f t="shared" si="31"/>
        <v>1050</v>
      </c>
      <c r="AG123" s="591">
        <f t="shared" si="34"/>
        <v>0.11666666666666667</v>
      </c>
      <c r="AH123" s="592"/>
      <c r="AI123" s="470"/>
      <c r="AK123" s="253"/>
    </row>
    <row r="124" spans="2:37" s="252" customFormat="1">
      <c r="B124" s="253"/>
      <c r="D124" s="471"/>
      <c r="E124" s="261" t="s">
        <v>2623</v>
      </c>
      <c r="F124" s="261"/>
      <c r="G124" s="433" t="s">
        <v>2624</v>
      </c>
      <c r="H124" s="445">
        <f t="shared" si="39"/>
        <v>4</v>
      </c>
      <c r="I124" s="2497">
        <f t="shared" si="40"/>
        <v>100</v>
      </c>
      <c r="J124" s="487">
        <f t="shared" si="41"/>
        <v>400</v>
      </c>
      <c r="K124" s="499">
        <f t="shared" si="25"/>
        <v>0.05</v>
      </c>
      <c r="L124" s="507">
        <f t="shared" si="26"/>
        <v>16.666666666666668</v>
      </c>
      <c r="M124" s="452"/>
      <c r="N124" s="445">
        <v>0</v>
      </c>
      <c r="O124" s="483">
        <f t="shared" si="36"/>
        <v>100</v>
      </c>
      <c r="P124" s="487">
        <f t="shared" si="45"/>
        <v>0</v>
      </c>
      <c r="Q124" s="499"/>
      <c r="R124" s="2157">
        <f t="shared" si="27"/>
        <v>0</v>
      </c>
      <c r="S124" s="452"/>
      <c r="T124" s="445">
        <v>0</v>
      </c>
      <c r="U124" s="2469">
        <f>O124</f>
        <v>100</v>
      </c>
      <c r="V124" s="487">
        <f t="shared" si="42"/>
        <v>0</v>
      </c>
      <c r="W124" s="2586">
        <f t="shared" si="43"/>
        <v>0</v>
      </c>
      <c r="X124" s="2587">
        <f t="shared" si="33"/>
        <v>0</v>
      </c>
      <c r="Y124" s="452"/>
      <c r="Z124" s="2693">
        <f t="shared" si="37"/>
        <v>4</v>
      </c>
      <c r="AA124" s="2688">
        <f t="shared" si="28"/>
        <v>400</v>
      </c>
      <c r="AB124" s="2701">
        <f t="shared" si="29"/>
        <v>4.4444444444444446E-2</v>
      </c>
      <c r="AC124" s="452"/>
      <c r="AD124" s="589">
        <f t="shared" si="30"/>
        <v>4</v>
      </c>
      <c r="AE124" s="579">
        <f t="shared" si="38"/>
        <v>100</v>
      </c>
      <c r="AF124" s="590">
        <f t="shared" si="31"/>
        <v>400</v>
      </c>
      <c r="AG124" s="591">
        <f t="shared" si="34"/>
        <v>4.4444444444444446E-2</v>
      </c>
      <c r="AH124" s="592"/>
      <c r="AI124" s="470"/>
      <c r="AK124" s="253"/>
    </row>
    <row r="125" spans="2:37" s="252" customFormat="1">
      <c r="B125" s="253"/>
      <c r="D125" s="471"/>
      <c r="E125" s="261" t="s">
        <v>2625</v>
      </c>
      <c r="F125" s="261"/>
      <c r="G125" s="433" t="s">
        <v>2626</v>
      </c>
      <c r="H125" s="445">
        <f t="shared" si="39"/>
        <v>0</v>
      </c>
      <c r="I125" s="2497">
        <f t="shared" si="40"/>
        <v>0</v>
      </c>
      <c r="J125" s="487">
        <f t="shared" si="41"/>
        <v>0</v>
      </c>
      <c r="K125" s="499">
        <f t="shared" si="25"/>
        <v>0</v>
      </c>
      <c r="L125" s="507">
        <f t="shared" si="26"/>
        <v>0</v>
      </c>
      <c r="M125" s="452"/>
      <c r="N125" s="445">
        <v>0</v>
      </c>
      <c r="O125" s="483">
        <f t="shared" si="36"/>
        <v>0</v>
      </c>
      <c r="P125" s="487">
        <f t="shared" si="45"/>
        <v>0</v>
      </c>
      <c r="Q125" s="499"/>
      <c r="R125" s="2157">
        <f t="shared" si="27"/>
        <v>0</v>
      </c>
      <c r="S125" s="452"/>
      <c r="T125" s="2634"/>
      <c r="U125" s="2635"/>
      <c r="V125" s="2596"/>
      <c r="W125" s="2597"/>
      <c r="X125" s="2598"/>
      <c r="Y125" s="452"/>
      <c r="Z125" s="2693">
        <f t="shared" si="37"/>
        <v>0</v>
      </c>
      <c r="AA125" s="2688">
        <f t="shared" si="28"/>
        <v>0</v>
      </c>
      <c r="AB125" s="2701">
        <f t="shared" si="29"/>
        <v>0</v>
      </c>
      <c r="AC125" s="452"/>
      <c r="AD125" s="589">
        <f t="shared" si="30"/>
        <v>0</v>
      </c>
      <c r="AE125" s="579" t="str">
        <f t="shared" si="38"/>
        <v/>
      </c>
      <c r="AF125" s="590">
        <f t="shared" si="31"/>
        <v>0</v>
      </c>
      <c r="AG125" s="591">
        <f t="shared" si="34"/>
        <v>0</v>
      </c>
      <c r="AH125" s="592"/>
      <c r="AI125" s="470"/>
      <c r="AK125" s="253"/>
    </row>
    <row r="126" spans="2:37" s="252" customFormat="1">
      <c r="B126" s="253"/>
      <c r="D126" s="474" t="s">
        <v>1881</v>
      </c>
      <c r="E126" s="431" t="s">
        <v>2627</v>
      </c>
      <c r="F126" s="431"/>
      <c r="G126" s="435" t="s">
        <v>2628</v>
      </c>
      <c r="H126" s="444">
        <f t="shared" si="39"/>
        <v>1</v>
      </c>
      <c r="I126" s="2556">
        <f t="shared" si="40"/>
        <v>2200</v>
      </c>
      <c r="J126" s="489">
        <f t="shared" si="41"/>
        <v>2200</v>
      </c>
      <c r="K126" s="501">
        <f t="shared" si="25"/>
        <v>0.27500000000000002</v>
      </c>
      <c r="L126" s="509">
        <f t="shared" si="26"/>
        <v>91.666666666666671</v>
      </c>
      <c r="M126" s="454"/>
      <c r="N126" s="444">
        <v>0</v>
      </c>
      <c r="O126" s="1457">
        <f t="shared" si="36"/>
        <v>2200</v>
      </c>
      <c r="P126" s="489">
        <f t="shared" si="45"/>
        <v>0</v>
      </c>
      <c r="Q126" s="501"/>
      <c r="R126" s="2159">
        <f t="shared" si="27"/>
        <v>0</v>
      </c>
      <c r="S126" s="454"/>
      <c r="T126" s="444">
        <v>1</v>
      </c>
      <c r="U126" s="2471">
        <f>O126</f>
        <v>2200</v>
      </c>
      <c r="V126" s="489">
        <f t="shared" si="42"/>
        <v>2200</v>
      </c>
      <c r="W126" s="2590">
        <f t="shared" si="43"/>
        <v>2.2000000000000002</v>
      </c>
      <c r="X126" s="2591">
        <f t="shared" si="33"/>
        <v>550</v>
      </c>
      <c r="Y126" s="454"/>
      <c r="Z126" s="2692">
        <f t="shared" si="37"/>
        <v>2</v>
      </c>
      <c r="AA126" s="2690">
        <f t="shared" si="28"/>
        <v>4400</v>
      </c>
      <c r="AB126" s="2703">
        <f t="shared" si="29"/>
        <v>0.48888888888888887</v>
      </c>
      <c r="AC126" s="454"/>
      <c r="AD126" s="585">
        <f t="shared" si="30"/>
        <v>2</v>
      </c>
      <c r="AE126" s="598">
        <f t="shared" si="38"/>
        <v>2200</v>
      </c>
      <c r="AF126" s="599">
        <f t="shared" si="31"/>
        <v>4400</v>
      </c>
      <c r="AG126" s="600">
        <f t="shared" si="34"/>
        <v>0.48888888888888887</v>
      </c>
      <c r="AH126" s="601"/>
      <c r="AI126" s="475"/>
      <c r="AK126" s="253"/>
    </row>
    <row r="127" spans="2:37" s="252" customFormat="1">
      <c r="B127" s="253"/>
      <c r="D127" s="471" t="s">
        <v>1880</v>
      </c>
      <c r="E127" s="261" t="s">
        <v>2629</v>
      </c>
      <c r="F127" s="261"/>
      <c r="G127" s="433" t="s">
        <v>2630</v>
      </c>
      <c r="H127" s="445">
        <f t="shared" si="39"/>
        <v>1</v>
      </c>
      <c r="I127" s="2497">
        <f t="shared" si="40"/>
        <v>0</v>
      </c>
      <c r="J127" s="487">
        <f t="shared" si="41"/>
        <v>0</v>
      </c>
      <c r="K127" s="499">
        <f t="shared" si="25"/>
        <v>0</v>
      </c>
      <c r="L127" s="507">
        <f t="shared" si="26"/>
        <v>0</v>
      </c>
      <c r="M127" s="452"/>
      <c r="N127" s="445">
        <v>0</v>
      </c>
      <c r="O127" s="483">
        <f t="shared" si="36"/>
        <v>0</v>
      </c>
      <c r="P127" s="487">
        <f t="shared" si="45"/>
        <v>0</v>
      </c>
      <c r="Q127" s="499"/>
      <c r="R127" s="2157">
        <f t="shared" si="27"/>
        <v>0</v>
      </c>
      <c r="S127" s="452"/>
      <c r="T127" s="445">
        <v>0</v>
      </c>
      <c r="U127" s="2469">
        <f>O127</f>
        <v>0</v>
      </c>
      <c r="V127" s="487">
        <f t="shared" si="42"/>
        <v>0</v>
      </c>
      <c r="W127" s="2586">
        <f t="shared" si="43"/>
        <v>0</v>
      </c>
      <c r="X127" s="2587">
        <f t="shared" si="33"/>
        <v>0</v>
      </c>
      <c r="Y127" s="452"/>
      <c r="Z127" s="2693">
        <f t="shared" si="37"/>
        <v>1</v>
      </c>
      <c r="AA127" s="2688">
        <f t="shared" si="28"/>
        <v>0</v>
      </c>
      <c r="AB127" s="2701">
        <f t="shared" si="29"/>
        <v>0</v>
      </c>
      <c r="AC127" s="452"/>
      <c r="AD127" s="589">
        <f t="shared" si="30"/>
        <v>1</v>
      </c>
      <c r="AE127" s="579">
        <f t="shared" si="38"/>
        <v>0</v>
      </c>
      <c r="AF127" s="590">
        <f t="shared" si="31"/>
        <v>0</v>
      </c>
      <c r="AG127" s="591">
        <f t="shared" si="34"/>
        <v>0</v>
      </c>
      <c r="AH127" s="592"/>
      <c r="AI127" s="470"/>
      <c r="AK127" s="253"/>
    </row>
    <row r="128" spans="2:37" s="252" customFormat="1">
      <c r="B128" s="253"/>
      <c r="D128" s="471" t="s">
        <v>482</v>
      </c>
      <c r="E128" s="261" t="s">
        <v>2631</v>
      </c>
      <c r="F128" s="261"/>
      <c r="G128" s="433" t="s">
        <v>2632</v>
      </c>
      <c r="H128" s="445">
        <f t="shared" si="39"/>
        <v>1</v>
      </c>
      <c r="I128" s="2497">
        <f t="shared" si="40"/>
        <v>905</v>
      </c>
      <c r="J128" s="487">
        <f t="shared" si="41"/>
        <v>905</v>
      </c>
      <c r="K128" s="499">
        <f t="shared" si="25"/>
        <v>0.113125</v>
      </c>
      <c r="L128" s="507">
        <f t="shared" si="26"/>
        <v>37.708333333333336</v>
      </c>
      <c r="M128" s="452"/>
      <c r="N128" s="445">
        <v>0</v>
      </c>
      <c r="O128" s="483">
        <f t="shared" si="36"/>
        <v>905</v>
      </c>
      <c r="P128" s="487">
        <f t="shared" si="45"/>
        <v>0</v>
      </c>
      <c r="Q128" s="499"/>
      <c r="R128" s="2157">
        <f t="shared" si="27"/>
        <v>0</v>
      </c>
      <c r="S128" s="452"/>
      <c r="T128" s="445">
        <v>0</v>
      </c>
      <c r="U128" s="2469">
        <f>O128</f>
        <v>905</v>
      </c>
      <c r="V128" s="487">
        <f t="shared" si="42"/>
        <v>0</v>
      </c>
      <c r="W128" s="2586">
        <f t="shared" si="43"/>
        <v>0</v>
      </c>
      <c r="X128" s="2587">
        <f t="shared" si="33"/>
        <v>0</v>
      </c>
      <c r="Y128" s="452"/>
      <c r="Z128" s="2693">
        <f t="shared" si="37"/>
        <v>1</v>
      </c>
      <c r="AA128" s="2688">
        <f t="shared" si="28"/>
        <v>905</v>
      </c>
      <c r="AB128" s="2701">
        <f t="shared" si="29"/>
        <v>0.10055555555555555</v>
      </c>
      <c r="AC128" s="452"/>
      <c r="AD128" s="589">
        <f t="shared" si="30"/>
        <v>1</v>
      </c>
      <c r="AE128" s="579">
        <f t="shared" si="38"/>
        <v>905</v>
      </c>
      <c r="AF128" s="590">
        <f t="shared" si="31"/>
        <v>905</v>
      </c>
      <c r="AG128" s="591">
        <f t="shared" si="34"/>
        <v>0.10055555555555555</v>
      </c>
      <c r="AH128" s="592"/>
      <c r="AI128" s="470"/>
      <c r="AK128" s="253"/>
    </row>
    <row r="129" spans="2:37" s="252" customFormat="1">
      <c r="B129" s="253"/>
      <c r="D129" s="471"/>
      <c r="E129" s="261" t="s">
        <v>2633</v>
      </c>
      <c r="F129" s="261"/>
      <c r="G129" s="433" t="s">
        <v>2634</v>
      </c>
      <c r="H129" s="445">
        <f t="shared" si="39"/>
        <v>1</v>
      </c>
      <c r="I129" s="2497">
        <f t="shared" si="40"/>
        <v>23970</v>
      </c>
      <c r="J129" s="487">
        <f t="shared" si="41"/>
        <v>23970</v>
      </c>
      <c r="K129" s="499">
        <f t="shared" si="25"/>
        <v>2.9962499999999999</v>
      </c>
      <c r="L129" s="507">
        <f t="shared" si="26"/>
        <v>998.75</v>
      </c>
      <c r="M129" s="452"/>
      <c r="N129" s="445">
        <v>0</v>
      </c>
      <c r="O129" s="483">
        <f t="shared" si="36"/>
        <v>23970</v>
      </c>
      <c r="P129" s="487">
        <f t="shared" si="45"/>
        <v>0</v>
      </c>
      <c r="Q129" s="499"/>
      <c r="R129" s="2157">
        <f t="shared" si="27"/>
        <v>0</v>
      </c>
      <c r="S129" s="452"/>
      <c r="T129" s="445">
        <v>1</v>
      </c>
      <c r="U129" s="2469">
        <v>5000</v>
      </c>
      <c r="V129" s="487">
        <f t="shared" si="42"/>
        <v>5000</v>
      </c>
      <c r="W129" s="2586">
        <f t="shared" si="43"/>
        <v>5</v>
      </c>
      <c r="X129" s="2587">
        <f t="shared" si="33"/>
        <v>1250</v>
      </c>
      <c r="Y129" s="452"/>
      <c r="Z129" s="2693">
        <f t="shared" si="37"/>
        <v>2</v>
      </c>
      <c r="AA129" s="2688">
        <f t="shared" si="28"/>
        <v>28970</v>
      </c>
      <c r="AB129" s="2701">
        <f t="shared" si="29"/>
        <v>3.2188888888888889</v>
      </c>
      <c r="AC129" s="452"/>
      <c r="AD129" s="589">
        <f t="shared" si="30"/>
        <v>2</v>
      </c>
      <c r="AE129" s="579">
        <f t="shared" si="38"/>
        <v>14485</v>
      </c>
      <c r="AF129" s="590">
        <f t="shared" si="31"/>
        <v>28970</v>
      </c>
      <c r="AG129" s="591">
        <f t="shared" si="34"/>
        <v>3.2188888888888889</v>
      </c>
      <c r="AH129" s="592"/>
      <c r="AI129" s="1849" t="s">
        <v>2876</v>
      </c>
      <c r="AK129" s="253"/>
    </row>
    <row r="130" spans="2:37" s="252" customFormat="1">
      <c r="B130" s="253"/>
      <c r="D130" s="472"/>
      <c r="E130" s="430" t="s">
        <v>2635</v>
      </c>
      <c r="F130" s="430"/>
      <c r="G130" s="436" t="s">
        <v>2636</v>
      </c>
      <c r="H130" s="446">
        <f t="shared" si="39"/>
        <v>0</v>
      </c>
      <c r="I130" s="2498">
        <f t="shared" si="40"/>
        <v>0</v>
      </c>
      <c r="J130" s="488">
        <f t="shared" si="41"/>
        <v>0</v>
      </c>
      <c r="K130" s="500">
        <f t="shared" si="25"/>
        <v>0</v>
      </c>
      <c r="L130" s="508">
        <f t="shared" si="26"/>
        <v>0</v>
      </c>
      <c r="M130" s="453"/>
      <c r="N130" s="446">
        <v>0</v>
      </c>
      <c r="O130" s="1456">
        <f t="shared" si="36"/>
        <v>0</v>
      </c>
      <c r="P130" s="488">
        <f t="shared" si="45"/>
        <v>0</v>
      </c>
      <c r="Q130" s="500"/>
      <c r="R130" s="2158">
        <f t="shared" si="27"/>
        <v>0</v>
      </c>
      <c r="S130" s="453"/>
      <c r="T130" s="2634"/>
      <c r="U130" s="2635"/>
      <c r="V130" s="2596"/>
      <c r="W130" s="2597"/>
      <c r="X130" s="2598"/>
      <c r="Y130" s="453"/>
      <c r="Z130" s="2694">
        <f t="shared" si="37"/>
        <v>0</v>
      </c>
      <c r="AA130" s="2689">
        <f t="shared" si="28"/>
        <v>0</v>
      </c>
      <c r="AB130" s="2702">
        <f t="shared" si="29"/>
        <v>0</v>
      </c>
      <c r="AC130" s="453"/>
      <c r="AD130" s="593">
        <f t="shared" si="30"/>
        <v>0</v>
      </c>
      <c r="AE130" s="594" t="str">
        <f t="shared" si="38"/>
        <v/>
      </c>
      <c r="AF130" s="595">
        <f t="shared" si="31"/>
        <v>0</v>
      </c>
      <c r="AG130" s="596">
        <f t="shared" si="34"/>
        <v>0</v>
      </c>
      <c r="AH130" s="597"/>
      <c r="AI130" s="473"/>
      <c r="AK130" s="253"/>
    </row>
    <row r="131" spans="2:37" s="252" customFormat="1">
      <c r="B131" s="253"/>
      <c r="D131" s="474" t="s">
        <v>1882</v>
      </c>
      <c r="E131" s="431" t="s">
        <v>2637</v>
      </c>
      <c r="F131" s="431"/>
      <c r="G131" s="435" t="s">
        <v>2638</v>
      </c>
      <c r="H131" s="444">
        <f t="shared" si="39"/>
        <v>1</v>
      </c>
      <c r="I131" s="2556">
        <v>22000</v>
      </c>
      <c r="J131" s="489">
        <f t="shared" si="41"/>
        <v>22000</v>
      </c>
      <c r="K131" s="501">
        <f t="shared" si="25"/>
        <v>2.75</v>
      </c>
      <c r="L131" s="509">
        <f t="shared" si="26"/>
        <v>916.66666666666663</v>
      </c>
      <c r="M131" s="454"/>
      <c r="N131" s="444">
        <v>0</v>
      </c>
      <c r="O131" s="1457">
        <f t="shared" si="36"/>
        <v>22000</v>
      </c>
      <c r="P131" s="489">
        <f t="shared" si="45"/>
        <v>0</v>
      </c>
      <c r="Q131" s="501"/>
      <c r="R131" s="2159">
        <f t="shared" si="27"/>
        <v>0</v>
      </c>
      <c r="S131" s="454"/>
      <c r="T131" s="444">
        <v>0</v>
      </c>
      <c r="U131" s="2471">
        <f>O131</f>
        <v>22000</v>
      </c>
      <c r="V131" s="489">
        <f t="shared" si="42"/>
        <v>0</v>
      </c>
      <c r="W131" s="2590">
        <f t="shared" si="43"/>
        <v>0</v>
      </c>
      <c r="X131" s="2591">
        <f t="shared" si="33"/>
        <v>0</v>
      </c>
      <c r="Y131" s="454"/>
      <c r="Z131" s="2692">
        <f t="shared" si="37"/>
        <v>1</v>
      </c>
      <c r="AA131" s="2690">
        <f t="shared" si="28"/>
        <v>22000</v>
      </c>
      <c r="AB131" s="2703">
        <f t="shared" si="29"/>
        <v>2.4444444444444446</v>
      </c>
      <c r="AC131" s="454"/>
      <c r="AD131" s="585">
        <f t="shared" si="30"/>
        <v>1</v>
      </c>
      <c r="AE131" s="598">
        <f t="shared" si="38"/>
        <v>22000</v>
      </c>
      <c r="AF131" s="599">
        <f t="shared" si="31"/>
        <v>22000</v>
      </c>
      <c r="AG131" s="600">
        <f t="shared" si="34"/>
        <v>2.4444444444444446</v>
      </c>
      <c r="AH131" s="601"/>
      <c r="AI131" s="475"/>
      <c r="AK131" s="253"/>
    </row>
    <row r="132" spans="2:37" s="252" customFormat="1">
      <c r="B132" s="253"/>
      <c r="D132" s="471" t="s">
        <v>3346</v>
      </c>
      <c r="E132" s="261" t="s">
        <v>2639</v>
      </c>
      <c r="F132" s="261"/>
      <c r="G132" s="433" t="s">
        <v>2640</v>
      </c>
      <c r="H132" s="445">
        <f t="shared" si="39"/>
        <v>1</v>
      </c>
      <c r="I132" s="2497">
        <f t="shared" si="40"/>
        <v>6000</v>
      </c>
      <c r="J132" s="487">
        <f t="shared" si="41"/>
        <v>6000</v>
      </c>
      <c r="K132" s="499">
        <f t="shared" si="25"/>
        <v>0.75</v>
      </c>
      <c r="L132" s="507">
        <f t="shared" si="26"/>
        <v>250</v>
      </c>
      <c r="M132" s="452"/>
      <c r="N132" s="445">
        <v>0</v>
      </c>
      <c r="O132" s="483">
        <f t="shared" si="36"/>
        <v>6000</v>
      </c>
      <c r="P132" s="487">
        <f t="shared" si="45"/>
        <v>0</v>
      </c>
      <c r="Q132" s="499"/>
      <c r="R132" s="2157">
        <f t="shared" si="27"/>
        <v>0</v>
      </c>
      <c r="S132" s="452"/>
      <c r="T132" s="445">
        <v>0</v>
      </c>
      <c r="U132" s="2469">
        <f>O132</f>
        <v>6000</v>
      </c>
      <c r="V132" s="487">
        <f t="shared" si="42"/>
        <v>0</v>
      </c>
      <c r="W132" s="2586">
        <f t="shared" si="43"/>
        <v>0</v>
      </c>
      <c r="X132" s="2587">
        <f t="shared" si="33"/>
        <v>0</v>
      </c>
      <c r="Y132" s="452"/>
      <c r="Z132" s="2693">
        <f t="shared" si="37"/>
        <v>1</v>
      </c>
      <c r="AA132" s="2688">
        <f t="shared" si="28"/>
        <v>6000</v>
      </c>
      <c r="AB132" s="2701">
        <f t="shared" si="29"/>
        <v>0.66666666666666663</v>
      </c>
      <c r="AC132" s="452"/>
      <c r="AD132" s="589">
        <f t="shared" si="30"/>
        <v>1</v>
      </c>
      <c r="AE132" s="579">
        <f t="shared" si="38"/>
        <v>6000</v>
      </c>
      <c r="AF132" s="590">
        <f t="shared" si="31"/>
        <v>6000</v>
      </c>
      <c r="AG132" s="591">
        <f t="shared" si="34"/>
        <v>0.66666666666666663</v>
      </c>
      <c r="AH132" s="592"/>
      <c r="AI132" s="470"/>
      <c r="AK132" s="253"/>
    </row>
    <row r="133" spans="2:37" s="252" customFormat="1">
      <c r="B133" s="253"/>
      <c r="D133" s="472" t="s">
        <v>482</v>
      </c>
      <c r="E133" s="430" t="s">
        <v>2641</v>
      </c>
      <c r="F133" s="430"/>
      <c r="G133" s="436" t="s">
        <v>2642</v>
      </c>
      <c r="H133" s="446">
        <f t="shared" si="39"/>
        <v>1</v>
      </c>
      <c r="I133" s="2498">
        <f t="shared" si="40"/>
        <v>3000</v>
      </c>
      <c r="J133" s="488">
        <f t="shared" si="41"/>
        <v>3000</v>
      </c>
      <c r="K133" s="500">
        <f t="shared" si="25"/>
        <v>0.375</v>
      </c>
      <c r="L133" s="508">
        <f t="shared" si="26"/>
        <v>125</v>
      </c>
      <c r="M133" s="453"/>
      <c r="N133" s="446">
        <v>0</v>
      </c>
      <c r="O133" s="1456">
        <f t="shared" si="36"/>
        <v>3000</v>
      </c>
      <c r="P133" s="488">
        <f t="shared" si="45"/>
        <v>0</v>
      </c>
      <c r="Q133" s="500"/>
      <c r="R133" s="2158">
        <f t="shared" si="27"/>
        <v>0</v>
      </c>
      <c r="S133" s="453"/>
      <c r="T133" s="446">
        <v>0</v>
      </c>
      <c r="U133" s="2652">
        <f>O133</f>
        <v>3000</v>
      </c>
      <c r="V133" s="488">
        <f t="shared" si="42"/>
        <v>0</v>
      </c>
      <c r="W133" s="2588">
        <f t="shared" si="43"/>
        <v>0</v>
      </c>
      <c r="X133" s="2589">
        <f t="shared" si="33"/>
        <v>0</v>
      </c>
      <c r="Y133" s="453"/>
      <c r="Z133" s="2694">
        <f t="shared" si="37"/>
        <v>1</v>
      </c>
      <c r="AA133" s="2689">
        <f t="shared" si="28"/>
        <v>3000</v>
      </c>
      <c r="AB133" s="2702">
        <f t="shared" si="29"/>
        <v>0.33333333333333331</v>
      </c>
      <c r="AC133" s="453"/>
      <c r="AD133" s="593">
        <f t="shared" si="30"/>
        <v>1</v>
      </c>
      <c r="AE133" s="594">
        <f t="shared" si="38"/>
        <v>3000</v>
      </c>
      <c r="AF133" s="595">
        <f t="shared" si="31"/>
        <v>3000</v>
      </c>
      <c r="AG133" s="596">
        <f t="shared" si="34"/>
        <v>0.33333333333333331</v>
      </c>
      <c r="AH133" s="597"/>
      <c r="AI133" s="473"/>
      <c r="AK133" s="253"/>
    </row>
    <row r="134" spans="2:37" s="252" customFormat="1">
      <c r="B134" s="253"/>
      <c r="D134" s="474" t="s">
        <v>2645</v>
      </c>
      <c r="E134" s="431" t="s">
        <v>2646</v>
      </c>
      <c r="F134" s="431"/>
      <c r="G134" s="435" t="s">
        <v>2647</v>
      </c>
      <c r="H134" s="444">
        <f t="shared" si="39"/>
        <v>1</v>
      </c>
      <c r="I134" s="2556">
        <v>2600</v>
      </c>
      <c r="J134" s="489">
        <f t="shared" si="41"/>
        <v>2600</v>
      </c>
      <c r="K134" s="501">
        <f t="shared" si="25"/>
        <v>0.32500000000000001</v>
      </c>
      <c r="L134" s="509">
        <f t="shared" si="26"/>
        <v>108.33333333333333</v>
      </c>
      <c r="M134" s="454"/>
      <c r="N134" s="444">
        <v>0</v>
      </c>
      <c r="O134" s="1457">
        <f t="shared" si="36"/>
        <v>2600</v>
      </c>
      <c r="P134" s="489">
        <f>IF(ISNUMBER(O134)=TRUE, N134*O134,0)</f>
        <v>0</v>
      </c>
      <c r="Q134" s="501"/>
      <c r="R134" s="2159">
        <f t="shared" si="27"/>
        <v>0</v>
      </c>
      <c r="S134" s="454"/>
      <c r="T134" s="444">
        <v>0</v>
      </c>
      <c r="U134" s="2471">
        <f>O134</f>
        <v>2600</v>
      </c>
      <c r="V134" s="489">
        <f t="shared" si="42"/>
        <v>0</v>
      </c>
      <c r="W134" s="2590">
        <f t="shared" si="43"/>
        <v>0</v>
      </c>
      <c r="X134" s="2591">
        <f t="shared" si="33"/>
        <v>0</v>
      </c>
      <c r="Y134" s="454"/>
      <c r="Z134" s="2692">
        <f t="shared" si="37"/>
        <v>1</v>
      </c>
      <c r="AA134" s="2690">
        <f t="shared" si="28"/>
        <v>2600</v>
      </c>
      <c r="AB134" s="2703">
        <f t="shared" si="29"/>
        <v>0.28888888888888886</v>
      </c>
      <c r="AC134" s="454"/>
      <c r="AD134" s="585">
        <f t="shared" si="30"/>
        <v>1</v>
      </c>
      <c r="AE134" s="598">
        <f t="shared" si="38"/>
        <v>2600</v>
      </c>
      <c r="AF134" s="599">
        <f t="shared" si="31"/>
        <v>2600</v>
      </c>
      <c r="AG134" s="600">
        <f t="shared" si="34"/>
        <v>0.28888888888888886</v>
      </c>
      <c r="AH134" s="601"/>
      <c r="AI134" s="475"/>
      <c r="AK134" s="253"/>
    </row>
    <row r="135" spans="2:37" s="252" customFormat="1" ht="13.5" thickBot="1">
      <c r="B135" s="253"/>
      <c r="D135" s="478"/>
      <c r="E135" s="264" t="s">
        <v>2648</v>
      </c>
      <c r="F135" s="264"/>
      <c r="G135" s="479" t="s">
        <v>2649</v>
      </c>
      <c r="H135" s="480">
        <v>2</v>
      </c>
      <c r="I135" s="2557">
        <v>9000</v>
      </c>
      <c r="J135" s="550">
        <f>IF(ISNUMBER(I135)=TRUE, H135*I135,0)</f>
        <v>18000</v>
      </c>
      <c r="K135" s="551">
        <f t="shared" si="25"/>
        <v>2.25</v>
      </c>
      <c r="L135" s="538">
        <f t="shared" si="26"/>
        <v>750</v>
      </c>
      <c r="M135" s="481"/>
      <c r="N135" s="480">
        <v>0</v>
      </c>
      <c r="O135" s="1458">
        <f t="shared" si="36"/>
        <v>9000</v>
      </c>
      <c r="P135" s="550">
        <f>IF(ISNUMBER(O135)=TRUE, N135*O135,0)</f>
        <v>0</v>
      </c>
      <c r="Q135" s="551"/>
      <c r="R135" s="2160">
        <f t="shared" si="27"/>
        <v>0</v>
      </c>
      <c r="S135" s="481"/>
      <c r="T135" s="480">
        <v>0</v>
      </c>
      <c r="U135" s="2710">
        <f>O135</f>
        <v>9000</v>
      </c>
      <c r="V135" s="550">
        <f t="shared" si="42"/>
        <v>0</v>
      </c>
      <c r="W135" s="2594">
        <f t="shared" si="43"/>
        <v>0</v>
      </c>
      <c r="X135" s="2595">
        <f t="shared" si="33"/>
        <v>0</v>
      </c>
      <c r="Y135" s="481"/>
      <c r="Z135" s="2695">
        <f t="shared" si="37"/>
        <v>2</v>
      </c>
      <c r="AA135" s="2691">
        <f t="shared" si="28"/>
        <v>18000</v>
      </c>
      <c r="AB135" s="2704">
        <f t="shared" si="29"/>
        <v>2</v>
      </c>
      <c r="AC135" s="481"/>
      <c r="AD135" s="604">
        <f t="shared" si="30"/>
        <v>2</v>
      </c>
      <c r="AE135" s="605">
        <f t="shared" si="38"/>
        <v>9000</v>
      </c>
      <c r="AF135" s="606">
        <f t="shared" si="31"/>
        <v>18000</v>
      </c>
      <c r="AG135" s="607">
        <f t="shared" si="34"/>
        <v>2</v>
      </c>
      <c r="AH135" s="608"/>
      <c r="AI135" s="482"/>
      <c r="AK135" s="253"/>
    </row>
    <row r="136" spans="2:37" s="252" customFormat="1">
      <c r="B136" s="253"/>
      <c r="D136" s="471"/>
      <c r="E136" s="261"/>
      <c r="F136" s="261"/>
      <c r="G136" s="265"/>
      <c r="H136" s="490"/>
      <c r="I136" s="491"/>
      <c r="J136" s="552"/>
      <c r="K136" s="423"/>
      <c r="L136" s="555"/>
      <c r="M136" s="423"/>
      <c r="N136" s="490"/>
      <c r="O136" s="491"/>
      <c r="P136" s="552"/>
      <c r="Q136" s="423"/>
      <c r="R136" s="555"/>
      <c r="S136" s="423"/>
      <c r="T136" s="490"/>
      <c r="U136" s="491"/>
      <c r="V136" s="511"/>
      <c r="W136" s="2605"/>
      <c r="X136" s="2605"/>
      <c r="Y136" s="423"/>
      <c r="Z136" s="2670"/>
      <c r="AA136" s="423"/>
      <c r="AB136" s="423"/>
      <c r="AC136" s="423"/>
      <c r="AD136" s="490"/>
      <c r="AE136" s="491"/>
      <c r="AF136" s="511"/>
      <c r="AG136" s="511"/>
      <c r="AH136" s="511"/>
      <c r="AI136" s="526"/>
      <c r="AK136" s="253"/>
    </row>
    <row r="137" spans="2:37" s="511" customFormat="1">
      <c r="B137" s="510"/>
      <c r="D137" s="527"/>
      <c r="E137" s="528"/>
      <c r="F137" s="539" t="s">
        <v>1958</v>
      </c>
      <c r="G137" s="540"/>
      <c r="H137" s="540"/>
      <c r="I137" s="541"/>
      <c r="J137" s="556">
        <f>SUM(J23:J25)</f>
        <v>1065000</v>
      </c>
      <c r="K137" s="557">
        <f>J137/$K$8</f>
        <v>133.125</v>
      </c>
      <c r="L137" s="557">
        <f t="shared" si="26"/>
        <v>44375</v>
      </c>
      <c r="M137" s="512"/>
      <c r="N137" s="540"/>
      <c r="O137" s="541"/>
      <c r="P137" s="556">
        <f>SUM(P23:P25)</f>
        <v>0</v>
      </c>
      <c r="Q137" s="557"/>
      <c r="R137" s="557" t="e">
        <f t="shared" ref="R137:R143" si="46">P137/$P$9</f>
        <v>#DIV/0!</v>
      </c>
      <c r="S137" s="512"/>
      <c r="T137" s="540"/>
      <c r="U137" s="541"/>
      <c r="V137" s="556">
        <f>SUM(V23:V25)</f>
        <v>145000</v>
      </c>
      <c r="W137" s="557">
        <f t="shared" si="43"/>
        <v>145</v>
      </c>
      <c r="X137" s="557">
        <f t="shared" si="33"/>
        <v>36250</v>
      </c>
      <c r="Y137" s="512"/>
      <c r="Z137" s="548"/>
      <c r="AA137" s="2655">
        <f t="shared" si="28"/>
        <v>1210000</v>
      </c>
      <c r="AB137" s="557">
        <f t="shared" si="29"/>
        <v>134.44444444444446</v>
      </c>
      <c r="AC137" s="512"/>
      <c r="AD137" s="540"/>
      <c r="AE137" s="541"/>
      <c r="AF137" s="556">
        <f>SUM(AF23:AF25)</f>
        <v>1210000</v>
      </c>
      <c r="AG137" s="557">
        <f>AF137/$AF$8</f>
        <v>134.44444444444446</v>
      </c>
      <c r="AH137" s="557"/>
      <c r="AI137" s="529"/>
      <c r="AK137" s="510"/>
    </row>
    <row r="138" spans="2:37" s="252" customFormat="1">
      <c r="B138" s="510"/>
      <c r="C138" s="511"/>
      <c r="D138" s="527"/>
      <c r="E138" s="528"/>
      <c r="F138" s="548" t="s">
        <v>1883</v>
      </c>
      <c r="G138" s="542"/>
      <c r="H138" s="543"/>
      <c r="I138" s="544"/>
      <c r="J138" s="553">
        <f>J26*-1</f>
        <v>0</v>
      </c>
      <c r="K138" s="554">
        <f>J138/$K$8</f>
        <v>0</v>
      </c>
      <c r="L138" s="554">
        <f t="shared" si="26"/>
        <v>0</v>
      </c>
      <c r="M138" s="514"/>
      <c r="N138" s="543"/>
      <c r="O138" s="544"/>
      <c r="P138" s="2161">
        <f>P26*-1</f>
        <v>0</v>
      </c>
      <c r="Q138" s="2162"/>
      <c r="R138" s="2162" t="e">
        <f t="shared" si="46"/>
        <v>#DIV/0!</v>
      </c>
      <c r="S138" s="514"/>
      <c r="T138" s="543"/>
      <c r="U138" s="544"/>
      <c r="V138" s="2161">
        <f>V26*-1</f>
        <v>0</v>
      </c>
      <c r="W138" s="2162">
        <f t="shared" si="43"/>
        <v>0</v>
      </c>
      <c r="X138" s="2162">
        <f t="shared" si="33"/>
        <v>0</v>
      </c>
      <c r="Y138" s="514"/>
      <c r="Z138" s="2670"/>
      <c r="AA138" s="2656">
        <f t="shared" si="28"/>
        <v>0</v>
      </c>
      <c r="AB138" s="2162">
        <f t="shared" si="29"/>
        <v>0</v>
      </c>
      <c r="AC138" s="514"/>
      <c r="AD138" s="543"/>
      <c r="AE138" s="544"/>
      <c r="AF138" s="2161">
        <f>AF26*-1</f>
        <v>0</v>
      </c>
      <c r="AG138" s="2162">
        <f>AG26*-1</f>
        <v>0</v>
      </c>
      <c r="AH138" s="2162"/>
      <c r="AI138" s="530"/>
      <c r="AK138" s="253"/>
    </row>
    <row r="139" spans="2:37" s="252" customFormat="1">
      <c r="B139" s="253"/>
      <c r="D139" s="531" t="s">
        <v>3930</v>
      </c>
      <c r="E139" s="403"/>
      <c r="F139" s="545" t="s">
        <v>1384</v>
      </c>
      <c r="G139" s="546"/>
      <c r="H139" s="547"/>
      <c r="I139" s="547"/>
      <c r="J139" s="552">
        <f>SUM(J137:J138)</f>
        <v>1065000</v>
      </c>
      <c r="K139" s="555">
        <f>J139/$K$8</f>
        <v>133.125</v>
      </c>
      <c r="L139" s="555">
        <f t="shared" si="26"/>
        <v>44375</v>
      </c>
      <c r="M139" s="514"/>
      <c r="N139" s="547"/>
      <c r="O139" s="547"/>
      <c r="P139" s="2163">
        <f>SUM(P137:P138)</f>
        <v>0</v>
      </c>
      <c r="Q139" s="2164"/>
      <c r="R139" s="2164" t="e">
        <f t="shared" si="46"/>
        <v>#DIV/0!</v>
      </c>
      <c r="S139" s="514"/>
      <c r="T139" s="547"/>
      <c r="U139" s="547"/>
      <c r="V139" s="2163">
        <f>SUM(V137:V138)</f>
        <v>145000</v>
      </c>
      <c r="W139" s="2164">
        <f t="shared" si="43"/>
        <v>145</v>
      </c>
      <c r="X139" s="2164">
        <f t="shared" si="33"/>
        <v>36250</v>
      </c>
      <c r="Y139" s="514"/>
      <c r="Z139" s="2670"/>
      <c r="AA139" s="2657">
        <f t="shared" si="28"/>
        <v>1210000</v>
      </c>
      <c r="AB139" s="2164">
        <f t="shared" si="29"/>
        <v>134.44444444444446</v>
      </c>
      <c r="AC139" s="514"/>
      <c r="AD139" s="547"/>
      <c r="AE139" s="547"/>
      <c r="AF139" s="2163">
        <f>SUM(AF137:AF138)</f>
        <v>1210000</v>
      </c>
      <c r="AG139" s="2164">
        <f>AF139/$AF$8</f>
        <v>134.44444444444446</v>
      </c>
      <c r="AH139" s="2164"/>
      <c r="AI139" s="530"/>
      <c r="AK139" s="253"/>
    </row>
    <row r="140" spans="2:37" s="252" customFormat="1">
      <c r="B140" s="253"/>
      <c r="D140" s="531"/>
      <c r="E140" s="403"/>
      <c r="F140" s="545"/>
      <c r="G140" s="546"/>
      <c r="H140" s="547"/>
      <c r="I140" s="547"/>
      <c r="J140" s="552"/>
      <c r="K140" s="555"/>
      <c r="L140" s="555"/>
      <c r="M140" s="514"/>
      <c r="N140" s="547"/>
      <c r="O140" s="547"/>
      <c r="P140" s="2163"/>
      <c r="Q140" s="2164"/>
      <c r="R140" s="2164"/>
      <c r="S140" s="514"/>
      <c r="T140" s="547"/>
      <c r="U140" s="547"/>
      <c r="V140" s="2163"/>
      <c r="W140" s="2164"/>
      <c r="X140" s="2164"/>
      <c r="Y140" s="514"/>
      <c r="Z140" s="2670"/>
      <c r="AA140" s="2657"/>
      <c r="AB140" s="2164"/>
      <c r="AC140" s="514"/>
      <c r="AD140" s="547"/>
      <c r="AE140" s="547"/>
      <c r="AF140" s="2163"/>
      <c r="AG140" s="2164"/>
      <c r="AH140" s="2164"/>
      <c r="AI140" s="530"/>
      <c r="AK140" s="253"/>
    </row>
    <row r="141" spans="2:37" s="252" customFormat="1">
      <c r="B141" s="253"/>
      <c r="D141" s="531" t="s">
        <v>3930</v>
      </c>
      <c r="E141" s="403"/>
      <c r="F141" s="545" t="s">
        <v>3663</v>
      </c>
      <c r="G141" s="546"/>
      <c r="H141" s="547"/>
      <c r="I141" s="547"/>
      <c r="J141" s="552">
        <f>SUM(J18:J21)+SUM(J27:J32)</f>
        <v>93000</v>
      </c>
      <c r="K141" s="555">
        <f>J141/$K$8</f>
        <v>11.625</v>
      </c>
      <c r="L141" s="555">
        <f t="shared" si="26"/>
        <v>3875</v>
      </c>
      <c r="M141" s="514"/>
      <c r="N141" s="547"/>
      <c r="O141" s="547"/>
      <c r="P141" s="2163">
        <f>SUM(P18:P21)+SUM(P27:P32)</f>
        <v>0</v>
      </c>
      <c r="Q141" s="2164"/>
      <c r="R141" s="2164" t="e">
        <f t="shared" si="46"/>
        <v>#DIV/0!</v>
      </c>
      <c r="S141" s="514"/>
      <c r="T141" s="547"/>
      <c r="U141" s="547"/>
      <c r="V141" s="2163">
        <f>SUM(V18:V21)+SUM(V27:V32)</f>
        <v>10000</v>
      </c>
      <c r="W141" s="2164">
        <f t="shared" si="43"/>
        <v>10</v>
      </c>
      <c r="X141" s="2164">
        <f t="shared" si="33"/>
        <v>2500</v>
      </c>
      <c r="Y141" s="514"/>
      <c r="Z141" s="2670"/>
      <c r="AA141" s="2657">
        <f t="shared" si="28"/>
        <v>103000</v>
      </c>
      <c r="AB141" s="2164">
        <f t="shared" si="29"/>
        <v>11.444444444444445</v>
      </c>
      <c r="AC141" s="514"/>
      <c r="AD141" s="547"/>
      <c r="AE141" s="547"/>
      <c r="AF141" s="2163">
        <f>SUM(AF18:AF21)+SUM(AF27:AF32)</f>
        <v>103000</v>
      </c>
      <c r="AG141" s="2164">
        <f>AF141/$AF$8</f>
        <v>11.444444444444445</v>
      </c>
      <c r="AH141" s="2164"/>
      <c r="AI141" s="530"/>
      <c r="AK141" s="253"/>
    </row>
    <row r="142" spans="2:37" s="252" customFormat="1">
      <c r="B142" s="253"/>
      <c r="D142" s="531" t="s">
        <v>3930</v>
      </c>
      <c r="E142" s="403"/>
      <c r="F142" s="545" t="s">
        <v>1957</v>
      </c>
      <c r="G142" s="546"/>
      <c r="H142" s="547"/>
      <c r="I142" s="547"/>
      <c r="J142" s="553">
        <f>SUM(J33:J135)</f>
        <v>745788.42</v>
      </c>
      <c r="K142" s="554">
        <f>J142/$K$8</f>
        <v>93.223552500000011</v>
      </c>
      <c r="L142" s="554">
        <f t="shared" si="26"/>
        <v>31074.517500000002</v>
      </c>
      <c r="M142" s="514"/>
      <c r="N142" s="547"/>
      <c r="O142" s="547"/>
      <c r="P142" s="2161">
        <f>SUM(P33:P135)</f>
        <v>0</v>
      </c>
      <c r="Q142" s="2162"/>
      <c r="R142" s="2162" t="e">
        <f t="shared" si="46"/>
        <v>#DIV/0!</v>
      </c>
      <c r="S142" s="514"/>
      <c r="T142" s="547"/>
      <c r="U142" s="547"/>
      <c r="V142" s="2161">
        <f>SUM(V33:V135)</f>
        <v>41610</v>
      </c>
      <c r="W142" s="2162">
        <f t="shared" si="43"/>
        <v>41.61</v>
      </c>
      <c r="X142" s="2162">
        <f t="shared" si="33"/>
        <v>10402.5</v>
      </c>
      <c r="Y142" s="514"/>
      <c r="Z142" s="2670"/>
      <c r="AA142" s="2656">
        <f t="shared" si="28"/>
        <v>787398.42</v>
      </c>
      <c r="AB142" s="2162">
        <f t="shared" si="29"/>
        <v>87.488713333333337</v>
      </c>
      <c r="AC142" s="514"/>
      <c r="AD142" s="547"/>
      <c r="AE142" s="547"/>
      <c r="AF142" s="2161">
        <f>SUM(AF33:AF135)</f>
        <v>787398.42</v>
      </c>
      <c r="AG142" s="2162">
        <f>AF142/$AF$8</f>
        <v>87.488713333333337</v>
      </c>
      <c r="AH142" s="2162"/>
      <c r="AI142" s="530"/>
      <c r="AK142" s="253"/>
    </row>
    <row r="143" spans="2:37" s="252" customFormat="1">
      <c r="B143" s="253"/>
      <c r="D143" s="532"/>
      <c r="E143" s="403"/>
      <c r="F143" s="545" t="s">
        <v>3664</v>
      </c>
      <c r="G143" s="545"/>
      <c r="H143" s="547"/>
      <c r="I143" s="547"/>
      <c r="J143" s="556">
        <f>SUM(J139:J142)</f>
        <v>1903788.42</v>
      </c>
      <c r="K143" s="557">
        <f>J143/$K$8</f>
        <v>237.97355249999998</v>
      </c>
      <c r="L143" s="557">
        <f t="shared" si="26"/>
        <v>79324.517500000002</v>
      </c>
      <c r="M143" s="514"/>
      <c r="N143" s="547"/>
      <c r="O143" s="547"/>
      <c r="P143" s="556">
        <f>SUM(P139:P142)</f>
        <v>0</v>
      </c>
      <c r="Q143" s="557"/>
      <c r="R143" s="557" t="e">
        <f t="shared" si="46"/>
        <v>#DIV/0!</v>
      </c>
      <c r="S143" s="514"/>
      <c r="T143" s="547"/>
      <c r="U143" s="547"/>
      <c r="V143" s="556">
        <f>SUM(V139:V142)</f>
        <v>196610</v>
      </c>
      <c r="W143" s="557">
        <f t="shared" si="43"/>
        <v>196.61</v>
      </c>
      <c r="X143" s="557">
        <f t="shared" si="33"/>
        <v>49152.5</v>
      </c>
      <c r="Y143" s="514"/>
      <c r="Z143" s="2670"/>
      <c r="AA143" s="2657">
        <f t="shared" si="28"/>
        <v>2100398.42</v>
      </c>
      <c r="AB143" s="557">
        <f t="shared" si="29"/>
        <v>233.37760222222221</v>
      </c>
      <c r="AC143" s="514"/>
      <c r="AD143" s="547"/>
      <c r="AE143" s="547"/>
      <c r="AF143" s="556">
        <f>SUM(AF139:AF142)</f>
        <v>2100398.42</v>
      </c>
      <c r="AG143" s="557">
        <f>AF143/$AF$8</f>
        <v>233.37760222222221</v>
      </c>
      <c r="AH143" s="557"/>
      <c r="AI143" s="530"/>
      <c r="AK143" s="253"/>
    </row>
    <row r="144" spans="2:37" s="252" customFormat="1">
      <c r="B144" s="253"/>
      <c r="D144" s="532"/>
      <c r="E144" s="403"/>
      <c r="F144" s="545" t="s">
        <v>2663</v>
      </c>
      <c r="G144" s="545"/>
      <c r="H144" s="547"/>
      <c r="I144" s="547"/>
      <c r="J144" s="513" t="s">
        <v>2664</v>
      </c>
      <c r="K144" s="423"/>
      <c r="L144" s="423"/>
      <c r="M144" s="423"/>
      <c r="N144" s="547"/>
      <c r="O144" s="547"/>
      <c r="P144" s="513" t="s">
        <v>2664</v>
      </c>
      <c r="Q144" s="423"/>
      <c r="R144" s="423"/>
      <c r="S144" s="423"/>
      <c r="T144" s="547"/>
      <c r="U144" s="547"/>
      <c r="V144" s="513" t="s">
        <v>2664</v>
      </c>
      <c r="W144" s="2165"/>
      <c r="X144" s="2165"/>
      <c r="Y144" s="423"/>
      <c r="Z144" s="2670"/>
      <c r="AA144" s="423"/>
      <c r="AB144" s="423"/>
      <c r="AC144" s="423"/>
      <c r="AD144" s="547"/>
      <c r="AE144" s="547"/>
      <c r="AF144" s="513" t="s">
        <v>2664</v>
      </c>
      <c r="AG144" s="2165"/>
      <c r="AH144" s="2165"/>
      <c r="AI144" s="530"/>
      <c r="AK144" s="253"/>
    </row>
    <row r="145" spans="2:37" ht="13.5" thickBot="1">
      <c r="B145" s="56"/>
      <c r="D145" s="533"/>
      <c r="E145" s="534"/>
      <c r="F145" s="534"/>
      <c r="G145" s="534"/>
      <c r="H145" s="535"/>
      <c r="I145" s="536"/>
      <c r="J145" s="534"/>
      <c r="K145" s="534"/>
      <c r="L145" s="534"/>
      <c r="M145" s="534"/>
      <c r="N145" s="535"/>
      <c r="O145" s="536"/>
      <c r="P145" s="534"/>
      <c r="Q145" s="534"/>
      <c r="R145" s="534"/>
      <c r="S145" s="534"/>
      <c r="T145" s="535"/>
      <c r="U145" s="536"/>
      <c r="V145" s="534"/>
      <c r="W145" s="534"/>
      <c r="X145" s="534"/>
      <c r="Y145" s="534"/>
      <c r="Z145" s="2671"/>
      <c r="AA145" s="534"/>
      <c r="AB145" s="534"/>
      <c r="AC145" s="534"/>
      <c r="AD145" s="535"/>
      <c r="AE145" s="536"/>
      <c r="AF145" s="534"/>
      <c r="AG145" s="534"/>
      <c r="AH145" s="534"/>
      <c r="AI145" s="537"/>
      <c r="AK145" s="56"/>
    </row>
    <row r="146" spans="2:37">
      <c r="B146" s="56"/>
      <c r="J146" s="268"/>
      <c r="P146" s="268"/>
      <c r="V146" s="268"/>
      <c r="AF146" s="268"/>
      <c r="AK146" s="56"/>
    </row>
    <row r="147" spans="2:37">
      <c r="B147" s="56"/>
      <c r="C147" s="56"/>
      <c r="D147" s="56"/>
      <c r="E147" s="56"/>
      <c r="F147" s="56"/>
      <c r="G147" s="56"/>
      <c r="H147" s="269"/>
      <c r="I147" s="270"/>
      <c r="J147" s="56"/>
      <c r="K147" s="56"/>
      <c r="L147" s="56"/>
      <c r="M147" s="56"/>
      <c r="N147" s="269"/>
      <c r="O147" s="270"/>
      <c r="P147" s="56"/>
      <c r="Q147" s="56"/>
      <c r="R147" s="56"/>
      <c r="S147" s="56"/>
      <c r="T147" s="269"/>
      <c r="U147" s="270"/>
      <c r="V147" s="56"/>
      <c r="W147" s="56"/>
      <c r="X147" s="56"/>
      <c r="Y147" s="56"/>
      <c r="Z147" s="2672"/>
      <c r="AA147" s="56"/>
      <c r="AB147" s="56"/>
      <c r="AC147" s="56"/>
      <c r="AD147" s="269"/>
      <c r="AE147" s="270"/>
      <c r="AF147" s="56"/>
      <c r="AG147" s="56"/>
      <c r="AH147" s="56"/>
      <c r="AI147" s="56"/>
      <c r="AJ147" s="56"/>
      <c r="AK147" s="56"/>
    </row>
    <row r="149" spans="2:37" hidden="1" outlineLevel="1">
      <c r="U149" s="2609" t="str">
        <f>V149&amp;" - "&amp;W149</f>
        <v>970 - Champion (Dialysis Chair-Reg)</v>
      </c>
      <c r="V149" s="2607">
        <v>970</v>
      </c>
      <c r="W149" s="2608" t="s">
        <v>4068</v>
      </c>
    </row>
    <row r="150" spans="2:37" hidden="1" outlineLevel="1">
      <c r="U150" s="2609" t="str">
        <f>V150&amp;" - "&amp;W150</f>
        <v>1600 - Scope Tech (Dialysis Chair-Reg)</v>
      </c>
      <c r="V150" s="2607">
        <v>1600</v>
      </c>
      <c r="W150" s="2608" t="s">
        <v>4069</v>
      </c>
    </row>
    <row r="151" spans="2:37" hidden="1" outlineLevel="1">
      <c r="U151" s="2609" t="str">
        <f>V151&amp;" - "&amp;W151</f>
        <v>2000 - Lazy Boy (Dialysis Chair-Reg)</v>
      </c>
      <c r="V151" s="2607">
        <v>2000</v>
      </c>
      <c r="W151" s="2608" t="s">
        <v>4070</v>
      </c>
    </row>
    <row r="152" spans="2:37" collapsed="1"/>
  </sheetData>
  <phoneticPr fontId="0" type="noConversion"/>
  <dataValidations count="1">
    <dataValidation type="list" allowBlank="1" showInputMessage="1" showErrorMessage="1" sqref="U104">
      <formula1>$U$149:$U$151</formula1>
    </dataValidation>
  </dataValidations>
  <pageMargins left="0.4" right="0.4" top="0.5" bottom="0.5" header="0.5" footer="0.4"/>
  <pageSetup scale="47" fitToHeight="3" pageOrder="overThenDown" orientation="portrait" r:id="rId1"/>
  <headerFooter alignWithMargins="0">
    <oddHeader>&amp;F</oddHeader>
    <oddFooter>&amp;L&amp;A&amp;C&amp;P of &amp;N
&amp;R&amp;D &amp;T</oddFooter>
  </headerFooter>
  <rowBreaks count="1" manualBreakCount="1">
    <brk id="112" min="2" max="25" man="1"/>
  </rowBreaks>
  <ignoredErrors>
    <ignoredError sqref="K23 K26" unlockedFormula="1"/>
  </ignoredErrors>
  <legacyDrawing r:id="rId2"/>
</worksheet>
</file>

<file path=xl/worksheets/sheet35.xml><?xml version="1.0" encoding="utf-8"?>
<worksheet xmlns="http://schemas.openxmlformats.org/spreadsheetml/2006/main" xmlns:r="http://schemas.openxmlformats.org/officeDocument/2006/relationships">
  <sheetPr codeName="Sheet39" enableFormatConditionsCalculation="0">
    <tabColor indexed="44"/>
  </sheetPr>
  <dimension ref="A1:AT106"/>
  <sheetViews>
    <sheetView showGridLines="0" zoomScale="75" zoomScaleNormal="60" zoomScaleSheetLayoutView="75" workbookViewId="0">
      <pane xSplit="2" ySplit="1" topLeftCell="C2" activePane="bottomRight" state="frozen"/>
      <selection pane="topRight" activeCell="E1" sqref="E1"/>
      <selection pane="bottomLeft" activeCell="A5" sqref="A5"/>
      <selection pane="bottomRight" activeCell="C2" sqref="C2"/>
    </sheetView>
  </sheetViews>
  <sheetFormatPr defaultRowHeight="15.75"/>
  <cols>
    <col min="1" max="1" width="47.7109375" style="92" bestFit="1" customWidth="1"/>
    <col min="2" max="2" width="11.42578125" style="92" customWidth="1"/>
    <col min="3" max="3" width="16.140625" style="1656" bestFit="1" customWidth="1"/>
    <col min="4" max="4" width="15.42578125" style="1656" bestFit="1" customWidth="1"/>
    <col min="5" max="5" width="16.140625" style="1657" bestFit="1" customWidth="1"/>
    <col min="6" max="6" width="16.140625" style="1656" bestFit="1" customWidth="1"/>
    <col min="7" max="7" width="15.42578125" style="1656" bestFit="1" customWidth="1"/>
    <col min="8" max="8" width="16.140625" style="1656" bestFit="1" customWidth="1"/>
    <col min="9" max="9" width="15.42578125" style="1657" bestFit="1" customWidth="1"/>
    <col min="10" max="10" width="15.42578125" style="1656" bestFit="1" customWidth="1"/>
    <col min="11" max="11" width="16.140625" style="1656" bestFit="1" customWidth="1"/>
    <col min="12" max="12" width="15.42578125" style="1656" bestFit="1" customWidth="1"/>
    <col min="13" max="13" width="16.140625" style="1657" bestFit="1" customWidth="1"/>
    <col min="14" max="14" width="15.42578125" style="1656" bestFit="1" customWidth="1"/>
    <col min="15" max="15" width="16.140625" style="1656" bestFit="1" customWidth="1"/>
    <col min="16" max="16" width="15.42578125" style="1656" bestFit="1" customWidth="1"/>
    <col min="17" max="17" width="16.140625" style="1657" bestFit="1" customWidth="1"/>
    <col min="18" max="18" width="15.42578125" style="1658" bestFit="1" customWidth="1"/>
    <col min="19" max="19" width="16.140625" style="1658" bestFit="1" customWidth="1"/>
    <col min="20" max="20" width="15.42578125" style="1658" bestFit="1" customWidth="1"/>
    <col min="21" max="21" width="16.140625" style="1657" bestFit="1" customWidth="1"/>
    <col min="22" max="22" width="15.5703125" style="1658" bestFit="1" customWidth="1"/>
    <col min="23" max="23" width="16.140625" style="1658" bestFit="1" customWidth="1"/>
    <col min="24" max="24" width="15.5703125" style="1658" bestFit="1" customWidth="1"/>
    <col min="25" max="25" width="16.140625" style="1658" bestFit="1" customWidth="1"/>
    <col min="26" max="26" width="15.5703125" style="1658" bestFit="1" customWidth="1"/>
    <col min="27" max="27" width="15.5703125" style="1659" bestFit="1" customWidth="1"/>
    <col min="28" max="45" width="15.5703125" style="1656" bestFit="1" customWidth="1"/>
    <col min="46" max="16384" width="9.140625" style="92"/>
  </cols>
  <sheetData>
    <row r="1" spans="1:45" s="89" customFormat="1" thickBot="1">
      <c r="A1" s="88"/>
      <c r="B1" s="88" t="s">
        <v>3929</v>
      </c>
      <c r="C1" s="1641">
        <v>6</v>
      </c>
      <c r="D1" s="1641">
        <v>7</v>
      </c>
      <c r="E1" s="1642">
        <v>8</v>
      </c>
      <c r="F1" s="1641">
        <v>9</v>
      </c>
      <c r="G1" s="1641">
        <v>10</v>
      </c>
      <c r="H1" s="1641">
        <v>11</v>
      </c>
      <c r="I1" s="1642">
        <v>12</v>
      </c>
      <c r="J1" s="1641">
        <v>13</v>
      </c>
      <c r="K1" s="1641">
        <v>14</v>
      </c>
      <c r="L1" s="1641">
        <v>15</v>
      </c>
      <c r="M1" s="1642">
        <v>16</v>
      </c>
      <c r="N1" s="1641">
        <v>17</v>
      </c>
      <c r="O1" s="1641">
        <v>18</v>
      </c>
      <c r="P1" s="1641">
        <v>19</v>
      </c>
      <c r="Q1" s="1642">
        <v>20</v>
      </c>
      <c r="R1" s="1643">
        <v>21</v>
      </c>
      <c r="S1" s="1643">
        <v>22</v>
      </c>
      <c r="T1" s="1643">
        <v>23</v>
      </c>
      <c r="U1" s="1642">
        <v>24</v>
      </c>
      <c r="V1" s="1643">
        <v>25</v>
      </c>
      <c r="W1" s="1643">
        <v>26</v>
      </c>
      <c r="X1" s="1643">
        <v>27</v>
      </c>
      <c r="Y1" s="1643">
        <v>28</v>
      </c>
      <c r="Z1" s="1643">
        <v>29</v>
      </c>
      <c r="AA1" s="1644">
        <v>30</v>
      </c>
      <c r="AB1" s="1641">
        <v>31</v>
      </c>
      <c r="AC1" s="1641">
        <v>32</v>
      </c>
      <c r="AD1" s="1641">
        <v>33</v>
      </c>
      <c r="AE1" s="1641">
        <v>34</v>
      </c>
      <c r="AF1" s="1641">
        <v>35</v>
      </c>
      <c r="AG1" s="1641">
        <v>36</v>
      </c>
      <c r="AH1" s="1641">
        <v>37</v>
      </c>
      <c r="AI1" s="1641">
        <v>38</v>
      </c>
      <c r="AJ1" s="1641">
        <v>39</v>
      </c>
      <c r="AK1" s="1641">
        <v>40</v>
      </c>
      <c r="AL1" s="1641">
        <v>41</v>
      </c>
      <c r="AM1" s="1641">
        <v>42</v>
      </c>
      <c r="AN1" s="1641">
        <v>43</v>
      </c>
      <c r="AO1" s="1641">
        <v>44</v>
      </c>
      <c r="AP1" s="1641">
        <v>45</v>
      </c>
      <c r="AQ1" s="1641">
        <v>46</v>
      </c>
      <c r="AR1" s="1641">
        <v>47</v>
      </c>
      <c r="AS1" s="1641">
        <v>48</v>
      </c>
    </row>
    <row r="2" spans="1:45" ht="15">
      <c r="A2" s="90" t="s">
        <v>2129</v>
      </c>
      <c r="B2" s="91" t="s">
        <v>2130</v>
      </c>
      <c r="C2" s="2987">
        <v>1</v>
      </c>
      <c r="D2" s="2987">
        <v>1</v>
      </c>
      <c r="E2" s="2988">
        <v>1</v>
      </c>
      <c r="F2" s="2987">
        <v>1</v>
      </c>
      <c r="G2" s="2987">
        <v>1</v>
      </c>
      <c r="H2" s="2987">
        <v>1</v>
      </c>
      <c r="I2" s="2988">
        <v>1</v>
      </c>
      <c r="J2" s="2987">
        <v>1</v>
      </c>
      <c r="K2" s="2987">
        <v>1</v>
      </c>
      <c r="L2" s="2987">
        <v>1</v>
      </c>
      <c r="M2" s="2988">
        <v>1</v>
      </c>
      <c r="N2" s="2987">
        <v>1</v>
      </c>
      <c r="O2" s="2987">
        <v>1</v>
      </c>
      <c r="P2" s="2987">
        <v>1</v>
      </c>
      <c r="Q2" s="2988">
        <v>1</v>
      </c>
      <c r="R2" s="2987">
        <v>1</v>
      </c>
      <c r="S2" s="2987">
        <v>1</v>
      </c>
      <c r="T2" s="2987">
        <v>1</v>
      </c>
      <c r="U2" s="2988">
        <v>1</v>
      </c>
      <c r="V2" s="2989">
        <v>1</v>
      </c>
      <c r="W2" s="2989">
        <v>1</v>
      </c>
      <c r="X2" s="2989">
        <v>1</v>
      </c>
      <c r="Y2" s="2989">
        <v>1</v>
      </c>
      <c r="Z2" s="2989">
        <v>1</v>
      </c>
      <c r="AA2" s="2990">
        <v>1</v>
      </c>
      <c r="AB2" s="2987">
        <v>1</v>
      </c>
      <c r="AC2" s="2987">
        <v>1</v>
      </c>
      <c r="AD2" s="2987">
        <v>1</v>
      </c>
      <c r="AE2" s="2987">
        <v>1</v>
      </c>
      <c r="AF2" s="2987">
        <v>1</v>
      </c>
      <c r="AG2" s="2987">
        <v>1</v>
      </c>
      <c r="AH2" s="2987">
        <v>1</v>
      </c>
      <c r="AI2" s="2987">
        <v>1</v>
      </c>
      <c r="AJ2" s="2987">
        <v>1</v>
      </c>
      <c r="AK2" s="2987">
        <v>1</v>
      </c>
      <c r="AL2" s="2987">
        <v>1</v>
      </c>
      <c r="AM2" s="2987">
        <v>1</v>
      </c>
      <c r="AN2" s="2987">
        <v>1</v>
      </c>
      <c r="AO2" s="2987">
        <v>1</v>
      </c>
      <c r="AP2" s="2987">
        <v>1</v>
      </c>
      <c r="AQ2" s="2987">
        <v>1</v>
      </c>
      <c r="AR2" s="2987">
        <v>1</v>
      </c>
      <c r="AS2" s="2987">
        <v>1</v>
      </c>
    </row>
    <row r="3" spans="1:45" ht="15">
      <c r="A3" s="90" t="s">
        <v>1778</v>
      </c>
      <c r="B3" s="91" t="s">
        <v>2131</v>
      </c>
      <c r="C3" s="2987">
        <v>1</v>
      </c>
      <c r="D3" s="2987">
        <v>1</v>
      </c>
      <c r="E3" s="2988">
        <v>1</v>
      </c>
      <c r="F3" s="2987">
        <v>1</v>
      </c>
      <c r="G3" s="2987">
        <v>1</v>
      </c>
      <c r="H3" s="2987">
        <v>1</v>
      </c>
      <c r="I3" s="2988">
        <v>1</v>
      </c>
      <c r="J3" s="2987">
        <v>1</v>
      </c>
      <c r="K3" s="2987">
        <v>1</v>
      </c>
      <c r="L3" s="2987">
        <v>1</v>
      </c>
      <c r="M3" s="2988">
        <v>1</v>
      </c>
      <c r="N3" s="2987">
        <v>1</v>
      </c>
      <c r="O3" s="2987">
        <v>1</v>
      </c>
      <c r="P3" s="2987">
        <v>1</v>
      </c>
      <c r="Q3" s="2988">
        <v>1</v>
      </c>
      <c r="R3" s="2987">
        <v>1</v>
      </c>
      <c r="S3" s="2987">
        <v>1</v>
      </c>
      <c r="T3" s="2987">
        <v>1</v>
      </c>
      <c r="U3" s="2988">
        <v>1</v>
      </c>
      <c r="V3" s="2989">
        <v>1</v>
      </c>
      <c r="W3" s="2989">
        <v>1</v>
      </c>
      <c r="X3" s="2989">
        <v>1</v>
      </c>
      <c r="Y3" s="2989">
        <v>1</v>
      </c>
      <c r="Z3" s="2989">
        <v>1</v>
      </c>
      <c r="AA3" s="2991">
        <v>1</v>
      </c>
      <c r="AB3" s="2987">
        <v>1</v>
      </c>
      <c r="AC3" s="2987">
        <v>1</v>
      </c>
      <c r="AD3" s="2987">
        <v>1</v>
      </c>
      <c r="AE3" s="2987">
        <v>1</v>
      </c>
      <c r="AF3" s="2987">
        <v>1</v>
      </c>
      <c r="AG3" s="2987">
        <v>1</v>
      </c>
      <c r="AH3" s="2987">
        <v>1</v>
      </c>
      <c r="AI3" s="2987">
        <v>1</v>
      </c>
      <c r="AJ3" s="2987">
        <v>1</v>
      </c>
      <c r="AK3" s="2987">
        <v>1</v>
      </c>
      <c r="AL3" s="2987">
        <v>1</v>
      </c>
      <c r="AM3" s="2987">
        <v>1</v>
      </c>
      <c r="AN3" s="2987">
        <v>1</v>
      </c>
      <c r="AO3" s="2987">
        <v>1</v>
      </c>
      <c r="AP3" s="2987">
        <v>1</v>
      </c>
      <c r="AQ3" s="2987">
        <v>1</v>
      </c>
      <c r="AR3" s="2987">
        <v>1</v>
      </c>
      <c r="AS3" s="2987">
        <v>1</v>
      </c>
    </row>
    <row r="4" spans="1:45" ht="15">
      <c r="A4" s="90" t="s">
        <v>2132</v>
      </c>
      <c r="B4" s="91" t="s">
        <v>2133</v>
      </c>
      <c r="C4" s="1645">
        <v>1</v>
      </c>
      <c r="D4" s="1645">
        <v>1</v>
      </c>
      <c r="E4" s="1646">
        <v>1</v>
      </c>
      <c r="F4" s="1645">
        <v>1</v>
      </c>
      <c r="G4" s="1645">
        <v>1</v>
      </c>
      <c r="H4" s="1645">
        <v>1</v>
      </c>
      <c r="I4" s="2988">
        <v>1</v>
      </c>
      <c r="J4" s="1645">
        <v>1</v>
      </c>
      <c r="K4" s="1645">
        <v>1</v>
      </c>
      <c r="L4" s="1645">
        <v>1</v>
      </c>
      <c r="M4" s="1646">
        <v>1</v>
      </c>
      <c r="N4" s="1645">
        <v>1</v>
      </c>
      <c r="O4" s="1645">
        <v>1</v>
      </c>
      <c r="P4" s="1645">
        <v>1</v>
      </c>
      <c r="Q4" s="1646">
        <v>1</v>
      </c>
      <c r="R4" s="1645">
        <v>1</v>
      </c>
      <c r="S4" s="1645">
        <v>1</v>
      </c>
      <c r="T4" s="1645">
        <v>1</v>
      </c>
      <c r="U4" s="1646">
        <v>1</v>
      </c>
      <c r="V4" s="1647">
        <v>1</v>
      </c>
      <c r="W4" s="2989">
        <v>1</v>
      </c>
      <c r="X4" s="1647">
        <v>1</v>
      </c>
      <c r="Y4" s="1647">
        <v>1</v>
      </c>
      <c r="Z4" s="1647">
        <v>1</v>
      </c>
      <c r="AA4" s="1648">
        <v>1</v>
      </c>
      <c r="AB4" s="1645">
        <v>1</v>
      </c>
      <c r="AC4" s="1645">
        <v>1</v>
      </c>
      <c r="AD4" s="1645">
        <v>1</v>
      </c>
      <c r="AE4" s="1645">
        <v>1</v>
      </c>
      <c r="AF4" s="1645">
        <v>1</v>
      </c>
      <c r="AG4" s="1645">
        <v>1</v>
      </c>
      <c r="AH4" s="1645">
        <v>1</v>
      </c>
      <c r="AI4" s="1645">
        <v>1</v>
      </c>
      <c r="AJ4" s="1645">
        <v>1</v>
      </c>
      <c r="AK4" s="1645">
        <v>1</v>
      </c>
      <c r="AL4" s="1645">
        <v>1</v>
      </c>
      <c r="AM4" s="1645">
        <v>1</v>
      </c>
      <c r="AN4" s="1645">
        <v>1</v>
      </c>
      <c r="AO4" s="1645">
        <v>1</v>
      </c>
      <c r="AP4" s="1645">
        <v>1</v>
      </c>
      <c r="AQ4" s="1645">
        <v>1</v>
      </c>
      <c r="AR4" s="1645">
        <v>1</v>
      </c>
      <c r="AS4" s="1645">
        <v>1</v>
      </c>
    </row>
    <row r="5" spans="1:45" ht="15">
      <c r="A5" s="93" t="s">
        <v>2134</v>
      </c>
      <c r="B5" s="91" t="s">
        <v>2135</v>
      </c>
      <c r="C5" s="2987">
        <v>1</v>
      </c>
      <c r="D5" s="2987">
        <v>1</v>
      </c>
      <c r="E5" s="2988">
        <v>1</v>
      </c>
      <c r="F5" s="2987">
        <v>1</v>
      </c>
      <c r="G5" s="2987">
        <v>1</v>
      </c>
      <c r="H5" s="2987">
        <v>1</v>
      </c>
      <c r="I5" s="2988">
        <v>1</v>
      </c>
      <c r="J5" s="2987">
        <v>1</v>
      </c>
      <c r="K5" s="2987">
        <v>1</v>
      </c>
      <c r="L5" s="2987">
        <v>1</v>
      </c>
      <c r="M5" s="2988">
        <v>1</v>
      </c>
      <c r="N5" s="2987">
        <v>1</v>
      </c>
      <c r="O5" s="2987">
        <v>1</v>
      </c>
      <c r="P5" s="2987">
        <v>1</v>
      </c>
      <c r="Q5" s="2988">
        <v>1</v>
      </c>
      <c r="R5" s="2987">
        <v>1</v>
      </c>
      <c r="S5" s="2987">
        <v>1</v>
      </c>
      <c r="T5" s="2987">
        <v>1</v>
      </c>
      <c r="U5" s="2988">
        <v>1</v>
      </c>
      <c r="V5" s="2989">
        <v>1</v>
      </c>
      <c r="W5" s="2989">
        <v>1</v>
      </c>
      <c r="X5" s="2989">
        <v>1</v>
      </c>
      <c r="Y5" s="2989">
        <v>1</v>
      </c>
      <c r="Z5" s="2989">
        <v>1</v>
      </c>
      <c r="AA5" s="2991">
        <v>1</v>
      </c>
      <c r="AB5" s="2987">
        <v>1</v>
      </c>
      <c r="AC5" s="2987">
        <v>1</v>
      </c>
      <c r="AD5" s="2987">
        <v>1</v>
      </c>
      <c r="AE5" s="2987">
        <v>1</v>
      </c>
      <c r="AF5" s="2987">
        <v>1</v>
      </c>
      <c r="AG5" s="2987">
        <v>1</v>
      </c>
      <c r="AH5" s="2987">
        <v>1</v>
      </c>
      <c r="AI5" s="2987">
        <v>1</v>
      </c>
      <c r="AJ5" s="2987">
        <v>1</v>
      </c>
      <c r="AK5" s="2987">
        <v>1</v>
      </c>
      <c r="AL5" s="2987">
        <v>1</v>
      </c>
      <c r="AM5" s="2987">
        <v>1</v>
      </c>
      <c r="AN5" s="2987">
        <v>1</v>
      </c>
      <c r="AO5" s="2987">
        <v>1</v>
      </c>
      <c r="AP5" s="2987">
        <v>1</v>
      </c>
      <c r="AQ5" s="2987">
        <v>1</v>
      </c>
      <c r="AR5" s="2987">
        <v>1</v>
      </c>
      <c r="AS5" s="2987">
        <v>1</v>
      </c>
    </row>
    <row r="6" spans="1:45" ht="15">
      <c r="A6" s="93" t="s">
        <v>2156</v>
      </c>
      <c r="B6" s="91" t="s">
        <v>2137</v>
      </c>
      <c r="C6" s="1654">
        <v>9</v>
      </c>
      <c r="D6" s="1654">
        <v>10</v>
      </c>
      <c r="E6" s="1650">
        <v>11</v>
      </c>
      <c r="F6" s="1654">
        <v>12</v>
      </c>
      <c r="G6" s="1654">
        <v>13</v>
      </c>
      <c r="H6" s="1654">
        <v>14</v>
      </c>
      <c r="I6" s="2988">
        <v>15</v>
      </c>
      <c r="J6" s="1654">
        <v>16</v>
      </c>
      <c r="K6" s="1654">
        <v>17</v>
      </c>
      <c r="L6" s="1654">
        <v>18</v>
      </c>
      <c r="M6" s="1650">
        <v>19</v>
      </c>
      <c r="N6" s="1654">
        <v>20</v>
      </c>
      <c r="O6" s="1654">
        <v>21</v>
      </c>
      <c r="P6" s="1654">
        <v>22</v>
      </c>
      <c r="Q6" s="1650">
        <v>23</v>
      </c>
      <c r="R6" s="1654">
        <v>24</v>
      </c>
      <c r="S6" s="1654">
        <v>25</v>
      </c>
      <c r="T6" s="1654">
        <v>26</v>
      </c>
      <c r="U6" s="1650">
        <v>27</v>
      </c>
      <c r="V6" s="1654">
        <v>28</v>
      </c>
      <c r="W6" s="1654">
        <v>29</v>
      </c>
      <c r="X6" s="1654">
        <v>30</v>
      </c>
      <c r="Y6" s="1654">
        <v>31</v>
      </c>
      <c r="Z6" s="1654">
        <v>32</v>
      </c>
      <c r="AA6" s="2369">
        <v>33</v>
      </c>
      <c r="AB6" s="1654">
        <v>34</v>
      </c>
      <c r="AC6" s="1654">
        <v>35</v>
      </c>
      <c r="AD6" s="1654">
        <v>36</v>
      </c>
      <c r="AE6" s="1654">
        <v>37</v>
      </c>
      <c r="AF6" s="1654">
        <v>38</v>
      </c>
      <c r="AG6" s="1654">
        <v>39</v>
      </c>
      <c r="AH6" s="1654">
        <v>40</v>
      </c>
      <c r="AI6" s="1654">
        <v>41</v>
      </c>
      <c r="AJ6" s="1654">
        <v>42</v>
      </c>
      <c r="AK6" s="1654">
        <v>43</v>
      </c>
      <c r="AL6" s="1654">
        <v>44</v>
      </c>
      <c r="AM6" s="1654">
        <v>45</v>
      </c>
      <c r="AN6" s="1654">
        <v>46</v>
      </c>
      <c r="AO6" s="1654">
        <v>47</v>
      </c>
      <c r="AP6" s="1654">
        <v>48</v>
      </c>
      <c r="AQ6" s="1654">
        <v>49</v>
      </c>
      <c r="AR6" s="1654">
        <v>50</v>
      </c>
      <c r="AS6" s="1654">
        <v>51</v>
      </c>
    </row>
    <row r="7" spans="1:45" ht="15">
      <c r="A7" s="93" t="s">
        <v>1853</v>
      </c>
      <c r="B7" s="91" t="s">
        <v>2139</v>
      </c>
      <c r="C7" s="2987">
        <v>1</v>
      </c>
      <c r="D7" s="2987">
        <v>1</v>
      </c>
      <c r="E7" s="2988">
        <v>1</v>
      </c>
      <c r="F7" s="2987">
        <v>1</v>
      </c>
      <c r="G7" s="2987">
        <v>1</v>
      </c>
      <c r="H7" s="2987">
        <v>1</v>
      </c>
      <c r="I7" s="2988">
        <v>1</v>
      </c>
      <c r="J7" s="2987">
        <v>1</v>
      </c>
      <c r="K7" s="2987">
        <v>1</v>
      </c>
      <c r="L7" s="2987">
        <v>1</v>
      </c>
      <c r="M7" s="2988">
        <v>1</v>
      </c>
      <c r="N7" s="2987">
        <v>1</v>
      </c>
      <c r="O7" s="2987">
        <v>1</v>
      </c>
      <c r="P7" s="2987">
        <v>1</v>
      </c>
      <c r="Q7" s="2988">
        <v>1</v>
      </c>
      <c r="R7" s="2987">
        <v>1</v>
      </c>
      <c r="S7" s="2987">
        <v>1</v>
      </c>
      <c r="T7" s="2987">
        <v>1</v>
      </c>
      <c r="U7" s="2988">
        <v>1</v>
      </c>
      <c r="V7" s="2989">
        <v>1</v>
      </c>
      <c r="W7" s="2989">
        <v>1</v>
      </c>
      <c r="X7" s="2989">
        <v>1</v>
      </c>
      <c r="Y7" s="2989">
        <v>1</v>
      </c>
      <c r="Z7" s="2989">
        <v>1</v>
      </c>
      <c r="AA7" s="2991">
        <v>1</v>
      </c>
      <c r="AB7" s="2987">
        <v>1</v>
      </c>
      <c r="AC7" s="2987">
        <v>1</v>
      </c>
      <c r="AD7" s="2987">
        <v>1</v>
      </c>
      <c r="AE7" s="2987">
        <v>1</v>
      </c>
      <c r="AF7" s="2987">
        <v>1</v>
      </c>
      <c r="AG7" s="2987">
        <v>1</v>
      </c>
      <c r="AH7" s="2987">
        <v>1</v>
      </c>
      <c r="AI7" s="2987">
        <v>1</v>
      </c>
      <c r="AJ7" s="2987">
        <v>1</v>
      </c>
      <c r="AK7" s="2987">
        <v>1</v>
      </c>
      <c r="AL7" s="2987">
        <v>1</v>
      </c>
      <c r="AM7" s="2987">
        <v>1</v>
      </c>
      <c r="AN7" s="2987">
        <v>1</v>
      </c>
      <c r="AO7" s="2987">
        <v>1</v>
      </c>
      <c r="AP7" s="2987">
        <v>1</v>
      </c>
      <c r="AQ7" s="2987">
        <v>1</v>
      </c>
      <c r="AR7" s="2987">
        <v>1</v>
      </c>
      <c r="AS7" s="2987">
        <v>1</v>
      </c>
    </row>
    <row r="8" spans="1:45" ht="15">
      <c r="A8" s="93" t="s">
        <v>2667</v>
      </c>
      <c r="B8" s="91" t="s">
        <v>2666</v>
      </c>
      <c r="C8" s="2987">
        <v>0</v>
      </c>
      <c r="D8" s="2987">
        <v>0</v>
      </c>
      <c r="E8" s="2988">
        <v>0</v>
      </c>
      <c r="F8" s="2987">
        <v>0</v>
      </c>
      <c r="G8" s="2987">
        <v>0</v>
      </c>
      <c r="H8" s="2987">
        <v>0</v>
      </c>
      <c r="I8" s="2988">
        <v>0</v>
      </c>
      <c r="J8" s="2987">
        <v>0</v>
      </c>
      <c r="K8" s="2987">
        <v>0</v>
      </c>
      <c r="L8" s="2987">
        <v>0</v>
      </c>
      <c r="M8" s="2988">
        <v>0</v>
      </c>
      <c r="N8" s="2987">
        <v>0</v>
      </c>
      <c r="O8" s="2987">
        <v>0</v>
      </c>
      <c r="P8" s="2987">
        <v>0</v>
      </c>
      <c r="Q8" s="2988">
        <v>0</v>
      </c>
      <c r="R8" s="2987">
        <v>0</v>
      </c>
      <c r="S8" s="2987">
        <v>0</v>
      </c>
      <c r="T8" s="2987">
        <v>0</v>
      </c>
      <c r="U8" s="2988">
        <v>0</v>
      </c>
      <c r="V8" s="2989">
        <v>0</v>
      </c>
      <c r="W8" s="2989">
        <v>0</v>
      </c>
      <c r="X8" s="2989">
        <v>0</v>
      </c>
      <c r="Y8" s="2989">
        <v>0</v>
      </c>
      <c r="Z8" s="2989">
        <v>0</v>
      </c>
      <c r="AA8" s="2991">
        <v>0</v>
      </c>
      <c r="AB8" s="2987">
        <v>0</v>
      </c>
      <c r="AC8" s="2987">
        <v>0</v>
      </c>
      <c r="AD8" s="2987">
        <v>0</v>
      </c>
      <c r="AE8" s="2987">
        <v>0</v>
      </c>
      <c r="AF8" s="2987">
        <v>0</v>
      </c>
      <c r="AG8" s="2987">
        <v>0</v>
      </c>
      <c r="AH8" s="2987">
        <v>0</v>
      </c>
      <c r="AI8" s="2987">
        <v>0</v>
      </c>
      <c r="AJ8" s="2987">
        <v>0</v>
      </c>
      <c r="AK8" s="2987">
        <v>0</v>
      </c>
      <c r="AL8" s="2987">
        <v>0</v>
      </c>
      <c r="AM8" s="2987">
        <v>0</v>
      </c>
      <c r="AN8" s="2987">
        <v>0</v>
      </c>
      <c r="AO8" s="2987">
        <v>0</v>
      </c>
      <c r="AP8" s="2987">
        <v>0</v>
      </c>
      <c r="AQ8" s="2987">
        <v>0</v>
      </c>
      <c r="AR8" s="2987">
        <v>0</v>
      </c>
      <c r="AS8" s="2987">
        <v>0</v>
      </c>
    </row>
    <row r="9" spans="1:45" ht="15">
      <c r="A9" s="93" t="s">
        <v>1865</v>
      </c>
      <c r="B9" s="91" t="s">
        <v>1864</v>
      </c>
      <c r="C9" s="2987">
        <v>1</v>
      </c>
      <c r="D9" s="2987">
        <v>1</v>
      </c>
      <c r="E9" s="2988">
        <v>1</v>
      </c>
      <c r="F9" s="2987">
        <v>1</v>
      </c>
      <c r="G9" s="2987">
        <v>1</v>
      </c>
      <c r="H9" s="2987">
        <v>1</v>
      </c>
      <c r="I9" s="2988">
        <v>1</v>
      </c>
      <c r="J9" s="2987">
        <v>1</v>
      </c>
      <c r="K9" s="2987">
        <v>1</v>
      </c>
      <c r="L9" s="2987">
        <v>1</v>
      </c>
      <c r="M9" s="2988">
        <v>1</v>
      </c>
      <c r="N9" s="2987">
        <v>1</v>
      </c>
      <c r="O9" s="2987">
        <v>1</v>
      </c>
      <c r="P9" s="2987">
        <v>1</v>
      </c>
      <c r="Q9" s="2988">
        <v>1</v>
      </c>
      <c r="R9" s="2987">
        <v>1</v>
      </c>
      <c r="S9" s="2987">
        <v>1</v>
      </c>
      <c r="T9" s="2987">
        <v>1</v>
      </c>
      <c r="U9" s="2988">
        <v>1</v>
      </c>
      <c r="V9" s="2989">
        <v>1</v>
      </c>
      <c r="W9" s="2989">
        <v>1</v>
      </c>
      <c r="X9" s="2989">
        <v>1</v>
      </c>
      <c r="Y9" s="2989">
        <v>1</v>
      </c>
      <c r="Z9" s="2989">
        <v>1</v>
      </c>
      <c r="AA9" s="2991">
        <v>1</v>
      </c>
      <c r="AB9" s="2987">
        <v>1</v>
      </c>
      <c r="AC9" s="2987">
        <v>1</v>
      </c>
      <c r="AD9" s="2987">
        <v>1</v>
      </c>
      <c r="AE9" s="2987">
        <v>1</v>
      </c>
      <c r="AF9" s="2987">
        <v>1</v>
      </c>
      <c r="AG9" s="2987">
        <v>1</v>
      </c>
      <c r="AH9" s="2987">
        <v>1</v>
      </c>
      <c r="AI9" s="2987">
        <v>1</v>
      </c>
      <c r="AJ9" s="2987">
        <v>1</v>
      </c>
      <c r="AK9" s="2987">
        <v>1</v>
      </c>
      <c r="AL9" s="2987">
        <v>1</v>
      </c>
      <c r="AM9" s="2987">
        <v>1</v>
      </c>
      <c r="AN9" s="2987">
        <v>1</v>
      </c>
      <c r="AO9" s="2987">
        <v>1</v>
      </c>
      <c r="AP9" s="2987">
        <v>1</v>
      </c>
      <c r="AQ9" s="2987">
        <v>1</v>
      </c>
      <c r="AR9" s="2987">
        <v>1</v>
      </c>
      <c r="AS9" s="2987">
        <v>1</v>
      </c>
    </row>
    <row r="10" spans="1:45" ht="15">
      <c r="A10" s="93" t="s">
        <v>1866</v>
      </c>
      <c r="B10" s="91" t="s">
        <v>1867</v>
      </c>
      <c r="C10" s="2987">
        <v>1</v>
      </c>
      <c r="D10" s="2987">
        <v>1</v>
      </c>
      <c r="E10" s="2988">
        <v>1</v>
      </c>
      <c r="F10" s="2987">
        <v>1</v>
      </c>
      <c r="G10" s="2987">
        <v>1</v>
      </c>
      <c r="H10" s="2987">
        <v>1</v>
      </c>
      <c r="I10" s="2988">
        <v>1</v>
      </c>
      <c r="J10" s="2987">
        <v>1</v>
      </c>
      <c r="K10" s="2987">
        <v>1</v>
      </c>
      <c r="L10" s="2987">
        <v>1</v>
      </c>
      <c r="M10" s="2988">
        <v>1</v>
      </c>
      <c r="N10" s="2987">
        <v>1</v>
      </c>
      <c r="O10" s="2987">
        <v>1</v>
      </c>
      <c r="P10" s="2987">
        <v>1</v>
      </c>
      <c r="Q10" s="2988">
        <v>1</v>
      </c>
      <c r="R10" s="2987">
        <v>1</v>
      </c>
      <c r="S10" s="2987">
        <v>1</v>
      </c>
      <c r="T10" s="2987">
        <v>1</v>
      </c>
      <c r="U10" s="2988">
        <v>1</v>
      </c>
      <c r="V10" s="2989">
        <v>1</v>
      </c>
      <c r="W10" s="2989">
        <v>1</v>
      </c>
      <c r="X10" s="2989">
        <v>1</v>
      </c>
      <c r="Y10" s="2989">
        <v>1</v>
      </c>
      <c r="Z10" s="2989">
        <v>1</v>
      </c>
      <c r="AA10" s="2991">
        <v>1</v>
      </c>
      <c r="AB10" s="2987">
        <v>1</v>
      </c>
      <c r="AC10" s="2987">
        <v>1</v>
      </c>
      <c r="AD10" s="2987">
        <v>1</v>
      </c>
      <c r="AE10" s="2987">
        <v>1</v>
      </c>
      <c r="AF10" s="2987">
        <v>1</v>
      </c>
      <c r="AG10" s="2987">
        <v>1</v>
      </c>
      <c r="AH10" s="2987">
        <v>1</v>
      </c>
      <c r="AI10" s="2987">
        <v>1</v>
      </c>
      <c r="AJ10" s="2987">
        <v>1</v>
      </c>
      <c r="AK10" s="2987">
        <v>1</v>
      </c>
      <c r="AL10" s="2987">
        <v>1</v>
      </c>
      <c r="AM10" s="2987">
        <v>1</v>
      </c>
      <c r="AN10" s="2987">
        <v>1</v>
      </c>
      <c r="AO10" s="2987">
        <v>1</v>
      </c>
      <c r="AP10" s="2987">
        <v>1</v>
      </c>
      <c r="AQ10" s="2987">
        <v>1</v>
      </c>
      <c r="AR10" s="2987">
        <v>1</v>
      </c>
      <c r="AS10" s="2987">
        <v>1</v>
      </c>
    </row>
    <row r="11" spans="1:45" ht="15">
      <c r="A11" s="90" t="s">
        <v>2140</v>
      </c>
      <c r="B11" s="91" t="s">
        <v>2141</v>
      </c>
      <c r="C11" s="2987">
        <v>1</v>
      </c>
      <c r="D11" s="2987">
        <v>1</v>
      </c>
      <c r="E11" s="2988">
        <v>1</v>
      </c>
      <c r="F11" s="2987">
        <v>1</v>
      </c>
      <c r="G11" s="2987">
        <v>1</v>
      </c>
      <c r="H11" s="2987">
        <v>1</v>
      </c>
      <c r="I11" s="2988">
        <v>1</v>
      </c>
      <c r="J11" s="2987">
        <v>1</v>
      </c>
      <c r="K11" s="2987">
        <v>1</v>
      </c>
      <c r="L11" s="2987">
        <v>1</v>
      </c>
      <c r="M11" s="2988">
        <v>1</v>
      </c>
      <c r="N11" s="2987">
        <v>1</v>
      </c>
      <c r="O11" s="2987">
        <v>1</v>
      </c>
      <c r="P11" s="2987">
        <v>1</v>
      </c>
      <c r="Q11" s="2988">
        <v>1</v>
      </c>
      <c r="R11" s="2987">
        <v>1</v>
      </c>
      <c r="S11" s="2987">
        <v>1</v>
      </c>
      <c r="T11" s="2987">
        <v>1</v>
      </c>
      <c r="U11" s="2988">
        <v>1</v>
      </c>
      <c r="V11" s="2989">
        <v>1</v>
      </c>
      <c r="W11" s="2989">
        <v>1</v>
      </c>
      <c r="X11" s="2989">
        <v>1</v>
      </c>
      <c r="Y11" s="2989">
        <v>1</v>
      </c>
      <c r="Z11" s="2989">
        <v>1</v>
      </c>
      <c r="AA11" s="2991">
        <v>1</v>
      </c>
      <c r="AB11" s="2987">
        <v>1</v>
      </c>
      <c r="AC11" s="2987">
        <v>1</v>
      </c>
      <c r="AD11" s="2987">
        <v>1</v>
      </c>
      <c r="AE11" s="2987">
        <v>1</v>
      </c>
      <c r="AF11" s="2987">
        <v>1</v>
      </c>
      <c r="AG11" s="2987">
        <v>1</v>
      </c>
      <c r="AH11" s="2987">
        <v>1</v>
      </c>
      <c r="AI11" s="2987">
        <v>1</v>
      </c>
      <c r="AJ11" s="2987">
        <v>1</v>
      </c>
      <c r="AK11" s="2987">
        <v>1</v>
      </c>
      <c r="AL11" s="2987">
        <v>1</v>
      </c>
      <c r="AM11" s="2987">
        <v>1</v>
      </c>
      <c r="AN11" s="2987">
        <v>1</v>
      </c>
      <c r="AO11" s="2987">
        <v>1</v>
      </c>
      <c r="AP11" s="2987">
        <v>1</v>
      </c>
      <c r="AQ11" s="2987">
        <v>1</v>
      </c>
      <c r="AR11" s="2987">
        <v>1</v>
      </c>
      <c r="AS11" s="2987">
        <v>1</v>
      </c>
    </row>
    <row r="12" spans="1:45" ht="15">
      <c r="A12" s="90" t="s">
        <v>1859</v>
      </c>
      <c r="B12" s="91" t="s">
        <v>2700</v>
      </c>
      <c r="C12" s="1654">
        <v>7</v>
      </c>
      <c r="D12" s="1654">
        <v>8</v>
      </c>
      <c r="E12" s="1650">
        <v>9</v>
      </c>
      <c r="F12" s="1654">
        <v>10</v>
      </c>
      <c r="G12" s="1654">
        <v>11</v>
      </c>
      <c r="H12" s="1654">
        <v>12</v>
      </c>
      <c r="I12" s="2988">
        <v>14</v>
      </c>
      <c r="J12" s="1654">
        <v>14</v>
      </c>
      <c r="K12" s="1654">
        <v>15</v>
      </c>
      <c r="L12" s="1654">
        <v>16</v>
      </c>
      <c r="M12" s="1650">
        <v>18</v>
      </c>
      <c r="N12" s="1654">
        <v>18</v>
      </c>
      <c r="O12" s="1654">
        <v>19</v>
      </c>
      <c r="P12" s="1654">
        <v>20</v>
      </c>
      <c r="Q12" s="1650">
        <v>22</v>
      </c>
      <c r="R12" s="1654">
        <v>22</v>
      </c>
      <c r="S12" s="1654">
        <v>23</v>
      </c>
      <c r="T12" s="1654">
        <v>24</v>
      </c>
      <c r="U12" s="1650">
        <v>26</v>
      </c>
      <c r="V12" s="1654">
        <v>26</v>
      </c>
      <c r="W12" s="1654">
        <v>27</v>
      </c>
      <c r="X12" s="1654">
        <v>28</v>
      </c>
      <c r="Y12" s="1654">
        <v>29</v>
      </c>
      <c r="Z12" s="1654">
        <v>30</v>
      </c>
      <c r="AA12" s="2369">
        <v>31</v>
      </c>
      <c r="AB12" s="1654">
        <v>32</v>
      </c>
      <c r="AC12" s="1654">
        <v>33</v>
      </c>
      <c r="AD12" s="1654">
        <v>34</v>
      </c>
      <c r="AE12" s="1654">
        <v>35</v>
      </c>
      <c r="AF12" s="1654">
        <v>36</v>
      </c>
      <c r="AG12" s="1654">
        <v>37</v>
      </c>
      <c r="AH12" s="1654">
        <v>38</v>
      </c>
      <c r="AI12" s="1654">
        <v>39</v>
      </c>
      <c r="AJ12" s="1654">
        <v>40</v>
      </c>
      <c r="AK12" s="1654">
        <v>41</v>
      </c>
      <c r="AL12" s="1654">
        <v>42</v>
      </c>
      <c r="AM12" s="1654">
        <v>43</v>
      </c>
      <c r="AN12" s="1654">
        <v>44</v>
      </c>
      <c r="AO12" s="1654">
        <v>45</v>
      </c>
      <c r="AP12" s="1654">
        <v>46</v>
      </c>
      <c r="AQ12" s="1654">
        <v>47</v>
      </c>
      <c r="AR12" s="1654">
        <v>48</v>
      </c>
      <c r="AS12" s="1654">
        <v>49</v>
      </c>
    </row>
    <row r="13" spans="1:45" ht="15">
      <c r="A13" s="90" t="s">
        <v>2701</v>
      </c>
      <c r="B13" s="91" t="s">
        <v>2702</v>
      </c>
      <c r="C13" s="2987">
        <v>1</v>
      </c>
      <c r="D13" s="2987">
        <v>1</v>
      </c>
      <c r="E13" s="2988">
        <v>1</v>
      </c>
      <c r="F13" s="2987">
        <v>1</v>
      </c>
      <c r="G13" s="2987">
        <v>1</v>
      </c>
      <c r="H13" s="2987">
        <v>1</v>
      </c>
      <c r="I13" s="2988">
        <v>1</v>
      </c>
      <c r="J13" s="2987">
        <v>1</v>
      </c>
      <c r="K13" s="2987">
        <v>1</v>
      </c>
      <c r="L13" s="2987">
        <v>1</v>
      </c>
      <c r="M13" s="2988">
        <v>1</v>
      </c>
      <c r="N13" s="2987">
        <v>1</v>
      </c>
      <c r="O13" s="2987">
        <v>1</v>
      </c>
      <c r="P13" s="2987">
        <v>1</v>
      </c>
      <c r="Q13" s="2988">
        <v>1</v>
      </c>
      <c r="R13" s="2987">
        <v>1</v>
      </c>
      <c r="S13" s="2987">
        <v>1</v>
      </c>
      <c r="T13" s="2987">
        <v>1</v>
      </c>
      <c r="U13" s="2988">
        <v>1</v>
      </c>
      <c r="V13" s="2989">
        <v>1</v>
      </c>
      <c r="W13" s="2989">
        <v>1</v>
      </c>
      <c r="X13" s="2989">
        <v>1</v>
      </c>
      <c r="Y13" s="2989">
        <v>1</v>
      </c>
      <c r="Z13" s="2989">
        <v>1</v>
      </c>
      <c r="AA13" s="2991">
        <v>1</v>
      </c>
      <c r="AB13" s="2987">
        <v>1</v>
      </c>
      <c r="AC13" s="2987">
        <v>1</v>
      </c>
      <c r="AD13" s="2987">
        <v>1</v>
      </c>
      <c r="AE13" s="2987">
        <v>1</v>
      </c>
      <c r="AF13" s="2987">
        <v>1</v>
      </c>
      <c r="AG13" s="2987">
        <v>1</v>
      </c>
      <c r="AH13" s="2987">
        <v>1</v>
      </c>
      <c r="AI13" s="2987">
        <v>1</v>
      </c>
      <c r="AJ13" s="2987">
        <v>1</v>
      </c>
      <c r="AK13" s="2987">
        <v>1</v>
      </c>
      <c r="AL13" s="2987">
        <v>1</v>
      </c>
      <c r="AM13" s="2987">
        <v>1</v>
      </c>
      <c r="AN13" s="2987">
        <v>1</v>
      </c>
      <c r="AO13" s="2987">
        <v>1</v>
      </c>
      <c r="AP13" s="2987">
        <v>1</v>
      </c>
      <c r="AQ13" s="2987">
        <v>1</v>
      </c>
      <c r="AR13" s="2987">
        <v>1</v>
      </c>
      <c r="AS13" s="2987">
        <v>1</v>
      </c>
    </row>
    <row r="14" spans="1:45" ht="15">
      <c r="A14" s="90" t="s">
        <v>2703</v>
      </c>
      <c r="B14" s="91" t="s">
        <v>2704</v>
      </c>
      <c r="C14" s="1645">
        <v>2</v>
      </c>
      <c r="D14" s="2987">
        <v>2</v>
      </c>
      <c r="E14" s="2988">
        <v>2</v>
      </c>
      <c r="F14" s="2987">
        <v>2</v>
      </c>
      <c r="G14" s="2987">
        <v>2</v>
      </c>
      <c r="H14" s="2987">
        <v>2</v>
      </c>
      <c r="I14" s="2988">
        <v>2</v>
      </c>
      <c r="J14" s="2987">
        <v>2</v>
      </c>
      <c r="K14" s="2987">
        <v>2</v>
      </c>
      <c r="L14" s="2987">
        <v>2</v>
      </c>
      <c r="M14" s="2988">
        <v>2</v>
      </c>
      <c r="N14" s="2987">
        <v>2</v>
      </c>
      <c r="O14" s="2987">
        <v>2</v>
      </c>
      <c r="P14" s="2987">
        <v>2</v>
      </c>
      <c r="Q14" s="2988">
        <v>2</v>
      </c>
      <c r="R14" s="2987">
        <v>2</v>
      </c>
      <c r="S14" s="2987">
        <v>2</v>
      </c>
      <c r="T14" s="2987">
        <v>2</v>
      </c>
      <c r="U14" s="2988">
        <v>2</v>
      </c>
      <c r="V14" s="2989">
        <v>2</v>
      </c>
      <c r="W14" s="2989">
        <v>2</v>
      </c>
      <c r="X14" s="2989">
        <v>2</v>
      </c>
      <c r="Y14" s="2989">
        <v>2</v>
      </c>
      <c r="Z14" s="2989">
        <v>2</v>
      </c>
      <c r="AA14" s="2991">
        <v>2</v>
      </c>
      <c r="AB14" s="2987">
        <v>2</v>
      </c>
      <c r="AC14" s="2987">
        <v>2</v>
      </c>
      <c r="AD14" s="2987">
        <v>2</v>
      </c>
      <c r="AE14" s="2987">
        <v>2</v>
      </c>
      <c r="AF14" s="2987">
        <v>2</v>
      </c>
      <c r="AG14" s="2987">
        <v>2</v>
      </c>
      <c r="AH14" s="2987">
        <v>2</v>
      </c>
      <c r="AI14" s="2987">
        <v>2</v>
      </c>
      <c r="AJ14" s="2987">
        <v>2</v>
      </c>
      <c r="AK14" s="2987">
        <v>2</v>
      </c>
      <c r="AL14" s="2987">
        <v>2</v>
      </c>
      <c r="AM14" s="2987">
        <v>2</v>
      </c>
      <c r="AN14" s="2987">
        <v>2</v>
      </c>
      <c r="AO14" s="2987">
        <v>2</v>
      </c>
      <c r="AP14" s="2987">
        <v>2</v>
      </c>
      <c r="AQ14" s="2987">
        <v>2</v>
      </c>
      <c r="AR14" s="2987">
        <v>2</v>
      </c>
      <c r="AS14" s="2987">
        <v>2</v>
      </c>
    </row>
    <row r="15" spans="1:45" ht="15">
      <c r="A15" s="93" t="s">
        <v>2368</v>
      </c>
      <c r="B15" s="91" t="s">
        <v>2369</v>
      </c>
      <c r="C15" s="1645">
        <v>2</v>
      </c>
      <c r="D15" s="2987">
        <v>2</v>
      </c>
      <c r="E15" s="2988">
        <v>2</v>
      </c>
      <c r="F15" s="2987">
        <v>2</v>
      </c>
      <c r="G15" s="2987">
        <v>2</v>
      </c>
      <c r="H15" s="2987">
        <v>2</v>
      </c>
      <c r="I15" s="2988">
        <v>2</v>
      </c>
      <c r="J15" s="2987">
        <v>2</v>
      </c>
      <c r="K15" s="2987">
        <v>2</v>
      </c>
      <c r="L15" s="2987">
        <v>2</v>
      </c>
      <c r="M15" s="2988">
        <v>2</v>
      </c>
      <c r="N15" s="2987">
        <v>2</v>
      </c>
      <c r="O15" s="2987">
        <v>2</v>
      </c>
      <c r="P15" s="2987">
        <v>2</v>
      </c>
      <c r="Q15" s="2988">
        <v>2</v>
      </c>
      <c r="R15" s="2987">
        <v>2</v>
      </c>
      <c r="S15" s="2987">
        <v>2</v>
      </c>
      <c r="T15" s="2987">
        <v>2</v>
      </c>
      <c r="U15" s="2988">
        <v>2</v>
      </c>
      <c r="V15" s="2989">
        <v>2</v>
      </c>
      <c r="W15" s="2989">
        <v>2</v>
      </c>
      <c r="X15" s="2989">
        <v>2</v>
      </c>
      <c r="Y15" s="2989">
        <v>2</v>
      </c>
      <c r="Z15" s="2989">
        <v>2</v>
      </c>
      <c r="AA15" s="2991">
        <v>2</v>
      </c>
      <c r="AB15" s="2987">
        <v>2</v>
      </c>
      <c r="AC15" s="2987">
        <v>2</v>
      </c>
      <c r="AD15" s="2987">
        <v>2</v>
      </c>
      <c r="AE15" s="2987">
        <v>2</v>
      </c>
      <c r="AF15" s="2987">
        <v>2</v>
      </c>
      <c r="AG15" s="2987">
        <v>2</v>
      </c>
      <c r="AH15" s="2987">
        <v>2</v>
      </c>
      <c r="AI15" s="2987">
        <v>2</v>
      </c>
      <c r="AJ15" s="2987">
        <v>2</v>
      </c>
      <c r="AK15" s="2987">
        <v>2</v>
      </c>
      <c r="AL15" s="2987">
        <v>2</v>
      </c>
      <c r="AM15" s="2987">
        <v>2</v>
      </c>
      <c r="AN15" s="2987">
        <v>2</v>
      </c>
      <c r="AO15" s="2987">
        <v>2</v>
      </c>
      <c r="AP15" s="2987">
        <v>2</v>
      </c>
      <c r="AQ15" s="2987">
        <v>2</v>
      </c>
      <c r="AR15" s="2987">
        <v>2</v>
      </c>
      <c r="AS15" s="2987">
        <v>2</v>
      </c>
    </row>
    <row r="16" spans="1:45" ht="15">
      <c r="A16" s="93" t="s">
        <v>2370</v>
      </c>
      <c r="B16" s="91" t="s">
        <v>2371</v>
      </c>
      <c r="C16" s="2987">
        <v>1</v>
      </c>
      <c r="D16" s="2987">
        <v>1</v>
      </c>
      <c r="E16" s="2988">
        <v>1</v>
      </c>
      <c r="F16" s="2987">
        <v>1</v>
      </c>
      <c r="G16" s="2987">
        <v>1</v>
      </c>
      <c r="H16" s="2987">
        <v>1</v>
      </c>
      <c r="I16" s="2988">
        <v>1</v>
      </c>
      <c r="J16" s="2987">
        <v>1</v>
      </c>
      <c r="K16" s="2987">
        <v>1</v>
      </c>
      <c r="L16" s="2987">
        <v>1</v>
      </c>
      <c r="M16" s="2988">
        <v>1</v>
      </c>
      <c r="N16" s="2987">
        <v>1</v>
      </c>
      <c r="O16" s="2987">
        <v>1</v>
      </c>
      <c r="P16" s="2987">
        <v>1</v>
      </c>
      <c r="Q16" s="2988">
        <v>1</v>
      </c>
      <c r="R16" s="2987">
        <v>1</v>
      </c>
      <c r="S16" s="2987">
        <v>1</v>
      </c>
      <c r="T16" s="2987">
        <v>1</v>
      </c>
      <c r="U16" s="2988">
        <v>1</v>
      </c>
      <c r="V16" s="2989">
        <v>1</v>
      </c>
      <c r="W16" s="2989">
        <v>1</v>
      </c>
      <c r="X16" s="2989">
        <v>1</v>
      </c>
      <c r="Y16" s="2989">
        <v>1</v>
      </c>
      <c r="Z16" s="2989">
        <v>1</v>
      </c>
      <c r="AA16" s="2991">
        <v>1</v>
      </c>
      <c r="AB16" s="2987">
        <v>1</v>
      </c>
      <c r="AC16" s="2987">
        <v>1</v>
      </c>
      <c r="AD16" s="2987">
        <v>1</v>
      </c>
      <c r="AE16" s="2987">
        <v>1</v>
      </c>
      <c r="AF16" s="2987">
        <v>1</v>
      </c>
      <c r="AG16" s="2987">
        <v>1</v>
      </c>
      <c r="AH16" s="2987">
        <v>1</v>
      </c>
      <c r="AI16" s="2987">
        <v>1</v>
      </c>
      <c r="AJ16" s="2987">
        <v>1</v>
      </c>
      <c r="AK16" s="2987">
        <v>1</v>
      </c>
      <c r="AL16" s="2987">
        <v>1</v>
      </c>
      <c r="AM16" s="2987">
        <v>1</v>
      </c>
      <c r="AN16" s="2987">
        <v>1</v>
      </c>
      <c r="AO16" s="2987">
        <v>1</v>
      </c>
      <c r="AP16" s="2987">
        <v>1</v>
      </c>
      <c r="AQ16" s="2987">
        <v>1</v>
      </c>
      <c r="AR16" s="2987">
        <v>1</v>
      </c>
      <c r="AS16" s="2987">
        <v>1</v>
      </c>
    </row>
    <row r="17" spans="1:45" ht="15">
      <c r="A17" s="90" t="s">
        <v>2372</v>
      </c>
      <c r="B17" s="91" t="s">
        <v>2373</v>
      </c>
      <c r="C17" s="2987">
        <v>1</v>
      </c>
      <c r="D17" s="2987">
        <v>1</v>
      </c>
      <c r="E17" s="2988">
        <v>1</v>
      </c>
      <c r="F17" s="2987">
        <v>1</v>
      </c>
      <c r="G17" s="2987">
        <v>1</v>
      </c>
      <c r="H17" s="2987">
        <v>1</v>
      </c>
      <c r="I17" s="2988">
        <v>1</v>
      </c>
      <c r="J17" s="2987">
        <v>1</v>
      </c>
      <c r="K17" s="2987">
        <v>1</v>
      </c>
      <c r="L17" s="2987">
        <v>1</v>
      </c>
      <c r="M17" s="2988">
        <v>1</v>
      </c>
      <c r="N17" s="2987">
        <v>1</v>
      </c>
      <c r="O17" s="2987">
        <v>1</v>
      </c>
      <c r="P17" s="2987">
        <v>1</v>
      </c>
      <c r="Q17" s="2988">
        <v>1</v>
      </c>
      <c r="R17" s="2987">
        <v>1</v>
      </c>
      <c r="S17" s="2987">
        <v>1</v>
      </c>
      <c r="T17" s="2987">
        <v>1</v>
      </c>
      <c r="U17" s="2988">
        <v>1</v>
      </c>
      <c r="V17" s="2989">
        <v>1</v>
      </c>
      <c r="W17" s="2989">
        <v>1</v>
      </c>
      <c r="X17" s="2989">
        <v>1</v>
      </c>
      <c r="Y17" s="2989">
        <v>1</v>
      </c>
      <c r="Z17" s="2989">
        <v>1</v>
      </c>
      <c r="AA17" s="2991">
        <v>1</v>
      </c>
      <c r="AB17" s="2987">
        <v>1</v>
      </c>
      <c r="AC17" s="2987">
        <v>1</v>
      </c>
      <c r="AD17" s="2987">
        <v>1</v>
      </c>
      <c r="AE17" s="2987">
        <v>1</v>
      </c>
      <c r="AF17" s="2987">
        <v>1</v>
      </c>
      <c r="AG17" s="2987">
        <v>1</v>
      </c>
      <c r="AH17" s="2987">
        <v>1</v>
      </c>
      <c r="AI17" s="2987">
        <v>1</v>
      </c>
      <c r="AJ17" s="2987">
        <v>1</v>
      </c>
      <c r="AK17" s="2987">
        <v>1</v>
      </c>
      <c r="AL17" s="2987">
        <v>1</v>
      </c>
      <c r="AM17" s="2987">
        <v>1</v>
      </c>
      <c r="AN17" s="2987">
        <v>1</v>
      </c>
      <c r="AO17" s="2987">
        <v>1</v>
      </c>
      <c r="AP17" s="2987">
        <v>1</v>
      </c>
      <c r="AQ17" s="2987">
        <v>1</v>
      </c>
      <c r="AR17" s="2987">
        <v>1</v>
      </c>
      <c r="AS17" s="2987">
        <v>1</v>
      </c>
    </row>
    <row r="18" spans="1:45" ht="15">
      <c r="A18" s="93" t="s">
        <v>2374</v>
      </c>
      <c r="B18" s="91" t="s">
        <v>2375</v>
      </c>
      <c r="C18" s="2987">
        <v>0</v>
      </c>
      <c r="D18" s="2987">
        <v>0</v>
      </c>
      <c r="E18" s="2988">
        <v>0</v>
      </c>
      <c r="F18" s="2987">
        <v>0</v>
      </c>
      <c r="G18" s="2987">
        <v>0</v>
      </c>
      <c r="H18" s="2987">
        <v>0</v>
      </c>
      <c r="I18" s="2988">
        <v>0</v>
      </c>
      <c r="J18" s="2987">
        <v>0</v>
      </c>
      <c r="K18" s="2987">
        <v>0</v>
      </c>
      <c r="L18" s="2987">
        <v>0</v>
      </c>
      <c r="M18" s="2988">
        <v>0</v>
      </c>
      <c r="N18" s="2987">
        <v>0</v>
      </c>
      <c r="O18" s="2987">
        <v>0</v>
      </c>
      <c r="P18" s="2987">
        <v>0</v>
      </c>
      <c r="Q18" s="2988">
        <v>0</v>
      </c>
      <c r="R18" s="2987">
        <v>0</v>
      </c>
      <c r="S18" s="2987">
        <v>0</v>
      </c>
      <c r="T18" s="2987">
        <v>0</v>
      </c>
      <c r="U18" s="2988">
        <v>0</v>
      </c>
      <c r="V18" s="2989">
        <v>0</v>
      </c>
      <c r="W18" s="2989">
        <v>0</v>
      </c>
      <c r="X18" s="2989">
        <v>0</v>
      </c>
      <c r="Y18" s="2989">
        <v>0</v>
      </c>
      <c r="Z18" s="2989">
        <v>0</v>
      </c>
      <c r="AA18" s="2991">
        <v>0</v>
      </c>
      <c r="AB18" s="2987">
        <v>0</v>
      </c>
      <c r="AC18" s="2987">
        <v>0</v>
      </c>
      <c r="AD18" s="2987">
        <v>0</v>
      </c>
      <c r="AE18" s="2987">
        <v>0</v>
      </c>
      <c r="AF18" s="2987">
        <v>0</v>
      </c>
      <c r="AG18" s="2987">
        <v>0</v>
      </c>
      <c r="AH18" s="2987">
        <v>0</v>
      </c>
      <c r="AI18" s="2987">
        <v>0</v>
      </c>
      <c r="AJ18" s="2987">
        <v>0</v>
      </c>
      <c r="AK18" s="2987">
        <v>0</v>
      </c>
      <c r="AL18" s="2987">
        <v>0</v>
      </c>
      <c r="AM18" s="2987">
        <v>0</v>
      </c>
      <c r="AN18" s="2987">
        <v>0</v>
      </c>
      <c r="AO18" s="2987">
        <v>0</v>
      </c>
      <c r="AP18" s="2987">
        <v>0</v>
      </c>
      <c r="AQ18" s="2987">
        <v>0</v>
      </c>
      <c r="AR18" s="2987">
        <v>0</v>
      </c>
      <c r="AS18" s="2987">
        <v>0</v>
      </c>
    </row>
    <row r="19" spans="1:45" ht="15">
      <c r="A19" s="93" t="s">
        <v>1854</v>
      </c>
      <c r="B19" s="91" t="s">
        <v>2377</v>
      </c>
      <c r="C19" s="2987">
        <v>1</v>
      </c>
      <c r="D19" s="2987">
        <v>1</v>
      </c>
      <c r="E19" s="2988">
        <v>1</v>
      </c>
      <c r="F19" s="2987">
        <v>1</v>
      </c>
      <c r="G19" s="2987">
        <v>1</v>
      </c>
      <c r="H19" s="2987">
        <v>1</v>
      </c>
      <c r="I19" s="2988">
        <v>1</v>
      </c>
      <c r="J19" s="2987">
        <v>1</v>
      </c>
      <c r="K19" s="2987">
        <v>1</v>
      </c>
      <c r="L19" s="2987">
        <v>1</v>
      </c>
      <c r="M19" s="2988">
        <v>1</v>
      </c>
      <c r="N19" s="2987">
        <v>1</v>
      </c>
      <c r="O19" s="2987">
        <v>1</v>
      </c>
      <c r="P19" s="2987">
        <v>1</v>
      </c>
      <c r="Q19" s="2988">
        <v>1</v>
      </c>
      <c r="R19" s="2987">
        <v>1</v>
      </c>
      <c r="S19" s="2987">
        <v>1</v>
      </c>
      <c r="T19" s="2987">
        <v>1</v>
      </c>
      <c r="U19" s="2988">
        <v>1</v>
      </c>
      <c r="V19" s="2989">
        <v>1</v>
      </c>
      <c r="W19" s="2989">
        <v>1</v>
      </c>
      <c r="X19" s="2989">
        <v>1</v>
      </c>
      <c r="Y19" s="2989">
        <v>1</v>
      </c>
      <c r="Z19" s="2989">
        <v>1</v>
      </c>
      <c r="AA19" s="2991">
        <v>1</v>
      </c>
      <c r="AB19" s="2987">
        <v>1</v>
      </c>
      <c r="AC19" s="2987">
        <v>1</v>
      </c>
      <c r="AD19" s="2987">
        <v>1</v>
      </c>
      <c r="AE19" s="2987">
        <v>1</v>
      </c>
      <c r="AF19" s="2987">
        <v>1</v>
      </c>
      <c r="AG19" s="2987">
        <v>1</v>
      </c>
      <c r="AH19" s="2987">
        <v>1</v>
      </c>
      <c r="AI19" s="2987">
        <v>1</v>
      </c>
      <c r="AJ19" s="2987">
        <v>1</v>
      </c>
      <c r="AK19" s="2987">
        <v>1</v>
      </c>
      <c r="AL19" s="2987">
        <v>1</v>
      </c>
      <c r="AM19" s="2987">
        <v>1</v>
      </c>
      <c r="AN19" s="2987">
        <v>1</v>
      </c>
      <c r="AO19" s="2987">
        <v>1</v>
      </c>
      <c r="AP19" s="2987">
        <v>1</v>
      </c>
      <c r="AQ19" s="2987">
        <v>1</v>
      </c>
      <c r="AR19" s="2987">
        <v>1</v>
      </c>
      <c r="AS19" s="2987">
        <v>1</v>
      </c>
    </row>
    <row r="20" spans="1:45" ht="15">
      <c r="A20" s="93" t="s">
        <v>2359</v>
      </c>
      <c r="B20" s="91" t="s">
        <v>2360</v>
      </c>
      <c r="C20" s="2987">
        <v>0</v>
      </c>
      <c r="D20" s="2987">
        <v>0</v>
      </c>
      <c r="E20" s="2988">
        <v>0</v>
      </c>
      <c r="F20" s="2987">
        <v>0</v>
      </c>
      <c r="G20" s="2987">
        <v>0</v>
      </c>
      <c r="H20" s="2987">
        <v>0</v>
      </c>
      <c r="I20" s="2988">
        <v>0</v>
      </c>
      <c r="J20" s="2987">
        <v>0</v>
      </c>
      <c r="K20" s="2987">
        <v>0</v>
      </c>
      <c r="L20" s="2987">
        <v>0</v>
      </c>
      <c r="M20" s="2988">
        <v>0</v>
      </c>
      <c r="N20" s="2987">
        <v>0</v>
      </c>
      <c r="O20" s="2987">
        <v>0</v>
      </c>
      <c r="P20" s="2987">
        <v>0</v>
      </c>
      <c r="Q20" s="2988">
        <v>0</v>
      </c>
      <c r="R20" s="2987">
        <v>0</v>
      </c>
      <c r="S20" s="2987">
        <v>0</v>
      </c>
      <c r="T20" s="2987">
        <v>0</v>
      </c>
      <c r="U20" s="2988">
        <v>0</v>
      </c>
      <c r="V20" s="2989">
        <v>0</v>
      </c>
      <c r="W20" s="2989">
        <v>0</v>
      </c>
      <c r="X20" s="2989">
        <v>0</v>
      </c>
      <c r="Y20" s="2989">
        <v>0</v>
      </c>
      <c r="Z20" s="2989">
        <v>0</v>
      </c>
      <c r="AA20" s="2991">
        <v>0</v>
      </c>
      <c r="AB20" s="2987">
        <v>0</v>
      </c>
      <c r="AC20" s="2987">
        <v>0</v>
      </c>
      <c r="AD20" s="2987">
        <v>0</v>
      </c>
      <c r="AE20" s="2987">
        <v>0</v>
      </c>
      <c r="AF20" s="2987">
        <v>0</v>
      </c>
      <c r="AG20" s="2987">
        <v>0</v>
      </c>
      <c r="AH20" s="2987">
        <v>0</v>
      </c>
      <c r="AI20" s="2987">
        <v>0</v>
      </c>
      <c r="AJ20" s="2987">
        <v>0</v>
      </c>
      <c r="AK20" s="2987">
        <v>0</v>
      </c>
      <c r="AL20" s="2987">
        <v>0</v>
      </c>
      <c r="AM20" s="2987">
        <v>0</v>
      </c>
      <c r="AN20" s="2987">
        <v>0</v>
      </c>
      <c r="AO20" s="2987">
        <v>0</v>
      </c>
      <c r="AP20" s="2987">
        <v>0</v>
      </c>
      <c r="AQ20" s="2987">
        <v>0</v>
      </c>
      <c r="AR20" s="2987">
        <v>0</v>
      </c>
      <c r="AS20" s="2987">
        <v>0</v>
      </c>
    </row>
    <row r="21" spans="1:45" ht="15">
      <c r="A21" s="93" t="s">
        <v>1993</v>
      </c>
      <c r="B21" s="91" t="s">
        <v>1994</v>
      </c>
      <c r="C21" s="2987">
        <v>1</v>
      </c>
      <c r="D21" s="2987">
        <v>1</v>
      </c>
      <c r="E21" s="2988">
        <v>1</v>
      </c>
      <c r="F21" s="2987">
        <v>1</v>
      </c>
      <c r="G21" s="2987">
        <v>1</v>
      </c>
      <c r="H21" s="2987">
        <v>1</v>
      </c>
      <c r="I21" s="2988">
        <v>1</v>
      </c>
      <c r="J21" s="2987">
        <v>1</v>
      </c>
      <c r="K21" s="2987">
        <v>1</v>
      </c>
      <c r="L21" s="2987">
        <v>1</v>
      </c>
      <c r="M21" s="2988">
        <v>1</v>
      </c>
      <c r="N21" s="2987">
        <v>1</v>
      </c>
      <c r="O21" s="2987">
        <v>1</v>
      </c>
      <c r="P21" s="2987">
        <v>1</v>
      </c>
      <c r="Q21" s="2988">
        <v>1</v>
      </c>
      <c r="R21" s="2987">
        <v>1</v>
      </c>
      <c r="S21" s="2987">
        <v>1</v>
      </c>
      <c r="T21" s="2987">
        <v>1</v>
      </c>
      <c r="U21" s="2988">
        <v>1</v>
      </c>
      <c r="V21" s="2989">
        <v>1</v>
      </c>
      <c r="W21" s="2989">
        <v>1</v>
      </c>
      <c r="X21" s="2989">
        <v>1</v>
      </c>
      <c r="Y21" s="2989">
        <v>1</v>
      </c>
      <c r="Z21" s="2989">
        <v>1</v>
      </c>
      <c r="AA21" s="2991">
        <v>1</v>
      </c>
      <c r="AB21" s="2987">
        <v>1</v>
      </c>
      <c r="AC21" s="2987">
        <v>1</v>
      </c>
      <c r="AD21" s="2987">
        <v>1</v>
      </c>
      <c r="AE21" s="2987">
        <v>1</v>
      </c>
      <c r="AF21" s="2987">
        <v>1</v>
      </c>
      <c r="AG21" s="2987">
        <v>1</v>
      </c>
      <c r="AH21" s="2987">
        <v>1</v>
      </c>
      <c r="AI21" s="2987">
        <v>1</v>
      </c>
      <c r="AJ21" s="2987">
        <v>1</v>
      </c>
      <c r="AK21" s="2987">
        <v>1</v>
      </c>
      <c r="AL21" s="2987">
        <v>1.3333333333333333</v>
      </c>
      <c r="AM21" s="2987">
        <v>1.3333333333333333</v>
      </c>
      <c r="AN21" s="2987">
        <v>1.3333333333333333</v>
      </c>
      <c r="AO21" s="2987">
        <v>1.3333333333333333</v>
      </c>
      <c r="AP21" s="2987">
        <v>1.3333333333333333</v>
      </c>
      <c r="AQ21" s="2987">
        <v>1.3333333333333333</v>
      </c>
      <c r="AR21" s="2987">
        <v>1.3333333333333333</v>
      </c>
      <c r="AS21" s="2987">
        <v>1.3333333333333333</v>
      </c>
    </row>
    <row r="22" spans="1:45" ht="15">
      <c r="A22" s="93" t="s">
        <v>1779</v>
      </c>
      <c r="B22" s="91" t="s">
        <v>1996</v>
      </c>
      <c r="C22" s="2987">
        <v>1</v>
      </c>
      <c r="D22" s="2987">
        <v>1</v>
      </c>
      <c r="E22" s="2988">
        <v>1</v>
      </c>
      <c r="F22" s="2987">
        <v>1</v>
      </c>
      <c r="G22" s="2987">
        <v>1</v>
      </c>
      <c r="H22" s="2987">
        <v>1</v>
      </c>
      <c r="I22" s="2988">
        <v>1</v>
      </c>
      <c r="J22" s="2987">
        <v>1</v>
      </c>
      <c r="K22" s="2987">
        <v>1</v>
      </c>
      <c r="L22" s="2987">
        <v>1</v>
      </c>
      <c r="M22" s="2988">
        <v>1</v>
      </c>
      <c r="N22" s="2987">
        <v>1</v>
      </c>
      <c r="O22" s="2987">
        <v>1</v>
      </c>
      <c r="P22" s="2987">
        <v>1</v>
      </c>
      <c r="Q22" s="2988">
        <v>1</v>
      </c>
      <c r="R22" s="2987">
        <v>1</v>
      </c>
      <c r="S22" s="2987">
        <v>1</v>
      </c>
      <c r="T22" s="2987">
        <v>1</v>
      </c>
      <c r="U22" s="2988">
        <v>1</v>
      </c>
      <c r="V22" s="2989">
        <v>1</v>
      </c>
      <c r="W22" s="2989">
        <v>1</v>
      </c>
      <c r="X22" s="2989">
        <v>1</v>
      </c>
      <c r="Y22" s="2989">
        <v>1</v>
      </c>
      <c r="Z22" s="2989">
        <v>1</v>
      </c>
      <c r="AA22" s="2991">
        <v>1</v>
      </c>
      <c r="AB22" s="2987">
        <v>1</v>
      </c>
      <c r="AC22" s="2987">
        <v>1</v>
      </c>
      <c r="AD22" s="2987">
        <v>1</v>
      </c>
      <c r="AE22" s="2987">
        <v>1</v>
      </c>
      <c r="AF22" s="2987">
        <v>1</v>
      </c>
      <c r="AG22" s="2987">
        <v>1</v>
      </c>
      <c r="AH22" s="2987">
        <v>1</v>
      </c>
      <c r="AI22" s="2987">
        <v>1</v>
      </c>
      <c r="AJ22" s="2987">
        <v>1</v>
      </c>
      <c r="AK22" s="2987">
        <v>1</v>
      </c>
      <c r="AL22" s="2987">
        <v>1</v>
      </c>
      <c r="AM22" s="2987">
        <v>1</v>
      </c>
      <c r="AN22" s="2987">
        <v>1</v>
      </c>
      <c r="AO22" s="2987">
        <v>1</v>
      </c>
      <c r="AP22" s="2987">
        <v>1</v>
      </c>
      <c r="AQ22" s="2987">
        <v>1</v>
      </c>
      <c r="AR22" s="2987">
        <v>1</v>
      </c>
      <c r="AS22" s="2987">
        <v>1</v>
      </c>
    </row>
    <row r="23" spans="1:45" ht="15">
      <c r="A23" s="93" t="s">
        <v>3292</v>
      </c>
      <c r="B23" s="91" t="s">
        <v>3293</v>
      </c>
      <c r="C23" s="2987">
        <v>1</v>
      </c>
      <c r="D23" s="2987">
        <v>1</v>
      </c>
      <c r="E23" s="2988">
        <v>1</v>
      </c>
      <c r="F23" s="2987">
        <v>1</v>
      </c>
      <c r="G23" s="2987">
        <v>1</v>
      </c>
      <c r="H23" s="2987">
        <v>1</v>
      </c>
      <c r="I23" s="2988">
        <v>1</v>
      </c>
      <c r="J23" s="2987">
        <v>1</v>
      </c>
      <c r="K23" s="2987">
        <v>1</v>
      </c>
      <c r="L23" s="2987">
        <v>1</v>
      </c>
      <c r="M23" s="2988">
        <v>1</v>
      </c>
      <c r="N23" s="2987">
        <v>1</v>
      </c>
      <c r="O23" s="2987">
        <v>1</v>
      </c>
      <c r="P23" s="2987">
        <v>1</v>
      </c>
      <c r="Q23" s="2988">
        <v>1</v>
      </c>
      <c r="R23" s="2987">
        <v>1</v>
      </c>
      <c r="S23" s="2987">
        <v>1</v>
      </c>
      <c r="T23" s="2987">
        <v>1</v>
      </c>
      <c r="U23" s="2988">
        <v>1</v>
      </c>
      <c r="V23" s="2989">
        <v>1</v>
      </c>
      <c r="W23" s="2989">
        <v>1</v>
      </c>
      <c r="X23" s="2989">
        <v>1</v>
      </c>
      <c r="Y23" s="2989">
        <v>1</v>
      </c>
      <c r="Z23" s="2989">
        <v>1</v>
      </c>
      <c r="AA23" s="2991">
        <v>1</v>
      </c>
      <c r="AB23" s="2987">
        <v>1</v>
      </c>
      <c r="AC23" s="2987">
        <v>1</v>
      </c>
      <c r="AD23" s="2987">
        <v>1</v>
      </c>
      <c r="AE23" s="2987">
        <v>1</v>
      </c>
      <c r="AF23" s="2987">
        <v>1</v>
      </c>
      <c r="AG23" s="2987">
        <v>1</v>
      </c>
      <c r="AH23" s="2987">
        <v>1</v>
      </c>
      <c r="AI23" s="2987">
        <v>1</v>
      </c>
      <c r="AJ23" s="2987">
        <v>1</v>
      </c>
      <c r="AK23" s="2987">
        <v>1</v>
      </c>
      <c r="AL23" s="2987">
        <v>1</v>
      </c>
      <c r="AM23" s="2987">
        <v>1</v>
      </c>
      <c r="AN23" s="2987">
        <v>1</v>
      </c>
      <c r="AO23" s="2987">
        <v>1</v>
      </c>
      <c r="AP23" s="2987">
        <v>1</v>
      </c>
      <c r="AQ23" s="2987">
        <v>1</v>
      </c>
      <c r="AR23" s="2987">
        <v>1</v>
      </c>
      <c r="AS23" s="2987">
        <v>1</v>
      </c>
    </row>
    <row r="24" spans="1:45" ht="15">
      <c r="A24" s="93" t="s">
        <v>3294</v>
      </c>
      <c r="B24" s="91" t="s">
        <v>907</v>
      </c>
      <c r="C24" s="2987">
        <v>1</v>
      </c>
      <c r="D24" s="2987">
        <v>1</v>
      </c>
      <c r="E24" s="2988">
        <v>1</v>
      </c>
      <c r="F24" s="2987">
        <v>1</v>
      </c>
      <c r="G24" s="2987">
        <v>1</v>
      </c>
      <c r="H24" s="2987">
        <v>1</v>
      </c>
      <c r="I24" s="2988">
        <v>1</v>
      </c>
      <c r="J24" s="2987">
        <v>1</v>
      </c>
      <c r="K24" s="2987">
        <v>1</v>
      </c>
      <c r="L24" s="2987">
        <v>1</v>
      </c>
      <c r="M24" s="2988">
        <v>1</v>
      </c>
      <c r="N24" s="2987">
        <v>1</v>
      </c>
      <c r="O24" s="2987">
        <v>1</v>
      </c>
      <c r="P24" s="2987">
        <v>1</v>
      </c>
      <c r="Q24" s="2988">
        <v>1</v>
      </c>
      <c r="R24" s="2987">
        <v>1</v>
      </c>
      <c r="S24" s="2987">
        <v>1</v>
      </c>
      <c r="T24" s="2987">
        <v>1</v>
      </c>
      <c r="U24" s="2988">
        <v>1</v>
      </c>
      <c r="V24" s="2989">
        <v>1</v>
      </c>
      <c r="W24" s="2989">
        <v>1</v>
      </c>
      <c r="X24" s="2989">
        <v>1</v>
      </c>
      <c r="Y24" s="2989">
        <v>1</v>
      </c>
      <c r="Z24" s="2989">
        <v>1</v>
      </c>
      <c r="AA24" s="2991">
        <v>1</v>
      </c>
      <c r="AB24" s="2987">
        <v>1</v>
      </c>
      <c r="AC24" s="2987">
        <v>1</v>
      </c>
      <c r="AD24" s="2987">
        <v>1</v>
      </c>
      <c r="AE24" s="2987">
        <v>1</v>
      </c>
      <c r="AF24" s="2987">
        <v>1</v>
      </c>
      <c r="AG24" s="2987">
        <v>1</v>
      </c>
      <c r="AH24" s="2987">
        <v>1</v>
      </c>
      <c r="AI24" s="2987">
        <v>1</v>
      </c>
      <c r="AJ24" s="2987">
        <v>1</v>
      </c>
      <c r="AK24" s="2987">
        <v>1</v>
      </c>
      <c r="AL24" s="2987">
        <v>1</v>
      </c>
      <c r="AM24" s="2987">
        <v>1</v>
      </c>
      <c r="AN24" s="2987">
        <v>1</v>
      </c>
      <c r="AO24" s="2987">
        <v>1</v>
      </c>
      <c r="AP24" s="2987">
        <v>1</v>
      </c>
      <c r="AQ24" s="2987">
        <v>1</v>
      </c>
      <c r="AR24" s="2987">
        <v>1</v>
      </c>
      <c r="AS24" s="2987">
        <v>1</v>
      </c>
    </row>
    <row r="25" spans="1:45" ht="15">
      <c r="A25" s="93" t="s">
        <v>1780</v>
      </c>
      <c r="B25" s="91" t="s">
        <v>909</v>
      </c>
      <c r="C25" s="2987">
        <v>1</v>
      </c>
      <c r="D25" s="2987">
        <v>1</v>
      </c>
      <c r="E25" s="2988">
        <v>1</v>
      </c>
      <c r="F25" s="2987">
        <v>1</v>
      </c>
      <c r="G25" s="2987">
        <v>1</v>
      </c>
      <c r="H25" s="2987">
        <v>1</v>
      </c>
      <c r="I25" s="2988">
        <v>1</v>
      </c>
      <c r="J25" s="2987">
        <v>1</v>
      </c>
      <c r="K25" s="2987">
        <v>1</v>
      </c>
      <c r="L25" s="2987">
        <v>1</v>
      </c>
      <c r="M25" s="2988">
        <v>1</v>
      </c>
      <c r="N25" s="2987">
        <v>1</v>
      </c>
      <c r="O25" s="2987">
        <v>1</v>
      </c>
      <c r="P25" s="2987">
        <v>1</v>
      </c>
      <c r="Q25" s="2988">
        <v>1</v>
      </c>
      <c r="R25" s="2987">
        <v>1</v>
      </c>
      <c r="S25" s="2987">
        <v>1</v>
      </c>
      <c r="T25" s="2987">
        <v>1</v>
      </c>
      <c r="U25" s="2988">
        <v>1</v>
      </c>
      <c r="V25" s="2989">
        <v>1</v>
      </c>
      <c r="W25" s="2989">
        <v>1</v>
      </c>
      <c r="X25" s="2989">
        <v>1</v>
      </c>
      <c r="Y25" s="2989">
        <v>1</v>
      </c>
      <c r="Z25" s="2989">
        <v>1</v>
      </c>
      <c r="AA25" s="2991">
        <v>1</v>
      </c>
      <c r="AB25" s="2987">
        <v>1</v>
      </c>
      <c r="AC25" s="2987">
        <v>1</v>
      </c>
      <c r="AD25" s="2987">
        <v>1</v>
      </c>
      <c r="AE25" s="2987">
        <v>1</v>
      </c>
      <c r="AF25" s="2987">
        <v>1</v>
      </c>
      <c r="AG25" s="2987">
        <v>1</v>
      </c>
      <c r="AH25" s="2987">
        <v>1</v>
      </c>
      <c r="AI25" s="2987">
        <v>1</v>
      </c>
      <c r="AJ25" s="2987">
        <v>1</v>
      </c>
      <c r="AK25" s="2987">
        <v>1</v>
      </c>
      <c r="AL25" s="2987">
        <v>1</v>
      </c>
      <c r="AM25" s="2987">
        <v>1</v>
      </c>
      <c r="AN25" s="2987">
        <v>1</v>
      </c>
      <c r="AO25" s="2987">
        <v>1</v>
      </c>
      <c r="AP25" s="2987">
        <v>1</v>
      </c>
      <c r="AQ25" s="2987">
        <v>1</v>
      </c>
      <c r="AR25" s="2987">
        <v>1</v>
      </c>
      <c r="AS25" s="2987">
        <v>1</v>
      </c>
    </row>
    <row r="26" spans="1:45" ht="15">
      <c r="A26" s="93" t="s">
        <v>910</v>
      </c>
      <c r="B26" s="91" t="s">
        <v>912</v>
      </c>
      <c r="C26" s="2987">
        <v>0</v>
      </c>
      <c r="D26" s="2987">
        <v>0</v>
      </c>
      <c r="E26" s="2988">
        <v>0</v>
      </c>
      <c r="F26" s="2987">
        <v>0</v>
      </c>
      <c r="G26" s="2987">
        <v>0</v>
      </c>
      <c r="H26" s="2987">
        <v>0</v>
      </c>
      <c r="I26" s="2988">
        <v>0</v>
      </c>
      <c r="J26" s="2987">
        <v>0</v>
      </c>
      <c r="K26" s="2987">
        <v>0</v>
      </c>
      <c r="L26" s="2987">
        <v>0</v>
      </c>
      <c r="M26" s="2988">
        <v>0</v>
      </c>
      <c r="N26" s="2987">
        <v>0</v>
      </c>
      <c r="O26" s="2987">
        <v>0</v>
      </c>
      <c r="P26" s="2987">
        <v>0</v>
      </c>
      <c r="Q26" s="2988">
        <v>0</v>
      </c>
      <c r="R26" s="2987">
        <v>0</v>
      </c>
      <c r="S26" s="2987">
        <v>0</v>
      </c>
      <c r="T26" s="2987">
        <v>0</v>
      </c>
      <c r="U26" s="2988">
        <v>0</v>
      </c>
      <c r="V26" s="2989">
        <v>0</v>
      </c>
      <c r="W26" s="2989">
        <v>0</v>
      </c>
      <c r="X26" s="2989">
        <v>0</v>
      </c>
      <c r="Y26" s="2989">
        <v>0</v>
      </c>
      <c r="Z26" s="2989">
        <v>0</v>
      </c>
      <c r="AA26" s="2991">
        <v>0</v>
      </c>
      <c r="AB26" s="2987">
        <v>0</v>
      </c>
      <c r="AC26" s="2987">
        <v>0</v>
      </c>
      <c r="AD26" s="2987">
        <v>0</v>
      </c>
      <c r="AE26" s="2987">
        <v>0</v>
      </c>
      <c r="AF26" s="2987">
        <v>0</v>
      </c>
      <c r="AG26" s="2987">
        <v>0</v>
      </c>
      <c r="AH26" s="2987">
        <v>0</v>
      </c>
      <c r="AI26" s="2987">
        <v>0</v>
      </c>
      <c r="AJ26" s="2987">
        <v>0</v>
      </c>
      <c r="AK26" s="2987">
        <v>0</v>
      </c>
      <c r="AL26" s="2987">
        <v>0</v>
      </c>
      <c r="AM26" s="2987">
        <v>0</v>
      </c>
      <c r="AN26" s="2987">
        <v>0</v>
      </c>
      <c r="AO26" s="2987">
        <v>0</v>
      </c>
      <c r="AP26" s="2987">
        <v>0</v>
      </c>
      <c r="AQ26" s="2987">
        <v>0</v>
      </c>
      <c r="AR26" s="2987">
        <v>0</v>
      </c>
      <c r="AS26" s="2987">
        <v>0</v>
      </c>
    </row>
    <row r="27" spans="1:45" ht="15">
      <c r="A27" s="93" t="s">
        <v>913</v>
      </c>
      <c r="B27" s="91" t="s">
        <v>914</v>
      </c>
      <c r="C27" s="2987">
        <v>0</v>
      </c>
      <c r="D27" s="2987">
        <v>0</v>
      </c>
      <c r="E27" s="2988">
        <v>0</v>
      </c>
      <c r="F27" s="2987">
        <v>0</v>
      </c>
      <c r="G27" s="2987">
        <v>0</v>
      </c>
      <c r="H27" s="2987">
        <v>0</v>
      </c>
      <c r="I27" s="2988">
        <v>0</v>
      </c>
      <c r="J27" s="2987">
        <v>0</v>
      </c>
      <c r="K27" s="2987">
        <v>0</v>
      </c>
      <c r="L27" s="2987">
        <v>0</v>
      </c>
      <c r="M27" s="2988">
        <v>0</v>
      </c>
      <c r="N27" s="2987">
        <v>0</v>
      </c>
      <c r="O27" s="2987">
        <v>0</v>
      </c>
      <c r="P27" s="2987">
        <v>0</v>
      </c>
      <c r="Q27" s="2988">
        <v>0</v>
      </c>
      <c r="R27" s="2987">
        <v>0</v>
      </c>
      <c r="S27" s="2987">
        <v>0</v>
      </c>
      <c r="T27" s="2987">
        <v>0</v>
      </c>
      <c r="U27" s="2988">
        <v>0</v>
      </c>
      <c r="V27" s="2989">
        <v>0</v>
      </c>
      <c r="W27" s="2989">
        <v>0</v>
      </c>
      <c r="X27" s="2989">
        <v>0</v>
      </c>
      <c r="Y27" s="2989">
        <v>0</v>
      </c>
      <c r="Z27" s="2989">
        <v>0</v>
      </c>
      <c r="AA27" s="2991">
        <v>0</v>
      </c>
      <c r="AB27" s="2987">
        <v>0</v>
      </c>
      <c r="AC27" s="2987">
        <v>0</v>
      </c>
      <c r="AD27" s="2987">
        <v>0</v>
      </c>
      <c r="AE27" s="2987">
        <v>0</v>
      </c>
      <c r="AF27" s="2987">
        <v>0</v>
      </c>
      <c r="AG27" s="2987">
        <v>0</v>
      </c>
      <c r="AH27" s="2987">
        <v>0</v>
      </c>
      <c r="AI27" s="2987">
        <v>0</v>
      </c>
      <c r="AJ27" s="2987">
        <v>0</v>
      </c>
      <c r="AK27" s="2987">
        <v>0</v>
      </c>
      <c r="AL27" s="2987">
        <v>0</v>
      </c>
      <c r="AM27" s="2987">
        <v>0</v>
      </c>
      <c r="AN27" s="2987">
        <v>0</v>
      </c>
      <c r="AO27" s="2987">
        <v>0</v>
      </c>
      <c r="AP27" s="2987">
        <v>0</v>
      </c>
      <c r="AQ27" s="2987">
        <v>0</v>
      </c>
      <c r="AR27" s="2987">
        <v>0</v>
      </c>
      <c r="AS27" s="2987">
        <v>0</v>
      </c>
    </row>
    <row r="28" spans="1:45" s="94" customFormat="1" ht="15">
      <c r="A28" s="93" t="s">
        <v>915</v>
      </c>
      <c r="B28" s="91" t="s">
        <v>916</v>
      </c>
      <c r="C28" s="2987">
        <v>0</v>
      </c>
      <c r="D28" s="2987">
        <v>0</v>
      </c>
      <c r="E28" s="2988">
        <v>0</v>
      </c>
      <c r="F28" s="2987">
        <v>0</v>
      </c>
      <c r="G28" s="2987">
        <v>0</v>
      </c>
      <c r="H28" s="2987">
        <v>0</v>
      </c>
      <c r="I28" s="2988">
        <v>0</v>
      </c>
      <c r="J28" s="2987">
        <v>0</v>
      </c>
      <c r="K28" s="2987">
        <v>0</v>
      </c>
      <c r="L28" s="2987">
        <v>0</v>
      </c>
      <c r="M28" s="2988">
        <v>0</v>
      </c>
      <c r="N28" s="2987">
        <v>0</v>
      </c>
      <c r="O28" s="2987">
        <v>0</v>
      </c>
      <c r="P28" s="2987">
        <v>0</v>
      </c>
      <c r="Q28" s="2988">
        <v>0</v>
      </c>
      <c r="R28" s="2987">
        <v>0</v>
      </c>
      <c r="S28" s="2987">
        <v>0</v>
      </c>
      <c r="T28" s="2987">
        <v>0</v>
      </c>
      <c r="U28" s="2988">
        <v>0</v>
      </c>
      <c r="V28" s="2989">
        <v>0</v>
      </c>
      <c r="W28" s="2989">
        <v>0</v>
      </c>
      <c r="X28" s="2989">
        <v>0</v>
      </c>
      <c r="Y28" s="2989">
        <v>0</v>
      </c>
      <c r="Z28" s="2989">
        <v>0</v>
      </c>
      <c r="AA28" s="2991">
        <v>0</v>
      </c>
      <c r="AB28" s="2987">
        <v>0</v>
      </c>
      <c r="AC28" s="2987">
        <v>0</v>
      </c>
      <c r="AD28" s="2987">
        <v>0</v>
      </c>
      <c r="AE28" s="2987">
        <v>0</v>
      </c>
      <c r="AF28" s="2987">
        <v>0</v>
      </c>
      <c r="AG28" s="2987">
        <v>0</v>
      </c>
      <c r="AH28" s="2987">
        <v>0</v>
      </c>
      <c r="AI28" s="2987">
        <v>0</v>
      </c>
      <c r="AJ28" s="2987">
        <v>0</v>
      </c>
      <c r="AK28" s="2987">
        <v>0</v>
      </c>
      <c r="AL28" s="2987">
        <v>0</v>
      </c>
      <c r="AM28" s="2987">
        <v>0</v>
      </c>
      <c r="AN28" s="2987">
        <v>0</v>
      </c>
      <c r="AO28" s="2987">
        <v>0</v>
      </c>
      <c r="AP28" s="2987">
        <v>0</v>
      </c>
      <c r="AQ28" s="2987">
        <v>0</v>
      </c>
      <c r="AR28" s="2987">
        <v>0</v>
      </c>
      <c r="AS28" s="2987">
        <v>0</v>
      </c>
    </row>
    <row r="29" spans="1:45" ht="15">
      <c r="A29" s="93" t="s">
        <v>917</v>
      </c>
      <c r="B29" s="91" t="s">
        <v>918</v>
      </c>
      <c r="C29" s="2987">
        <v>1</v>
      </c>
      <c r="D29" s="2987">
        <v>1</v>
      </c>
      <c r="E29" s="2988">
        <v>1</v>
      </c>
      <c r="F29" s="2987">
        <v>1</v>
      </c>
      <c r="G29" s="2987">
        <v>1</v>
      </c>
      <c r="H29" s="2987">
        <v>1</v>
      </c>
      <c r="I29" s="2988">
        <v>1</v>
      </c>
      <c r="J29" s="2987">
        <v>1</v>
      </c>
      <c r="K29" s="2987">
        <v>1</v>
      </c>
      <c r="L29" s="2987">
        <v>1</v>
      </c>
      <c r="M29" s="2988">
        <v>1</v>
      </c>
      <c r="N29" s="2987">
        <v>1</v>
      </c>
      <c r="O29" s="2987">
        <v>1</v>
      </c>
      <c r="P29" s="2987">
        <v>1</v>
      </c>
      <c r="Q29" s="2988">
        <v>1</v>
      </c>
      <c r="R29" s="2987">
        <v>1</v>
      </c>
      <c r="S29" s="2987">
        <v>1</v>
      </c>
      <c r="T29" s="2987">
        <v>1</v>
      </c>
      <c r="U29" s="2988">
        <v>1</v>
      </c>
      <c r="V29" s="2989">
        <v>1</v>
      </c>
      <c r="W29" s="2989">
        <v>1</v>
      </c>
      <c r="X29" s="2989">
        <v>1</v>
      </c>
      <c r="Y29" s="2989">
        <v>1</v>
      </c>
      <c r="Z29" s="2989">
        <v>1</v>
      </c>
      <c r="AA29" s="2991">
        <v>1</v>
      </c>
      <c r="AB29" s="2987">
        <v>1</v>
      </c>
      <c r="AC29" s="2987">
        <v>1</v>
      </c>
      <c r="AD29" s="2987">
        <v>1</v>
      </c>
      <c r="AE29" s="2987">
        <v>1</v>
      </c>
      <c r="AF29" s="2987">
        <v>1</v>
      </c>
      <c r="AG29" s="2987">
        <v>1</v>
      </c>
      <c r="AH29" s="2987">
        <v>1</v>
      </c>
      <c r="AI29" s="2987">
        <v>1</v>
      </c>
      <c r="AJ29" s="2987">
        <v>1</v>
      </c>
      <c r="AK29" s="2987">
        <v>1</v>
      </c>
      <c r="AL29" s="2987">
        <v>1</v>
      </c>
      <c r="AM29" s="2987">
        <v>1</v>
      </c>
      <c r="AN29" s="2987">
        <v>1</v>
      </c>
      <c r="AO29" s="2987">
        <v>1</v>
      </c>
      <c r="AP29" s="2987">
        <v>1</v>
      </c>
      <c r="AQ29" s="2987">
        <v>1</v>
      </c>
      <c r="AR29" s="2987">
        <v>1</v>
      </c>
      <c r="AS29" s="2987">
        <v>1</v>
      </c>
    </row>
    <row r="30" spans="1:45" ht="15">
      <c r="A30" s="93" t="s">
        <v>919</v>
      </c>
      <c r="B30" s="91" t="s">
        <v>920</v>
      </c>
      <c r="C30" s="2987">
        <v>1</v>
      </c>
      <c r="D30" s="2987">
        <v>1</v>
      </c>
      <c r="E30" s="2988">
        <v>1</v>
      </c>
      <c r="F30" s="2987">
        <v>1</v>
      </c>
      <c r="G30" s="2987">
        <v>1</v>
      </c>
      <c r="H30" s="2987">
        <v>1</v>
      </c>
      <c r="I30" s="2988">
        <v>1</v>
      </c>
      <c r="J30" s="2987">
        <v>1</v>
      </c>
      <c r="K30" s="2987">
        <v>1</v>
      </c>
      <c r="L30" s="2987">
        <v>1</v>
      </c>
      <c r="M30" s="2988">
        <v>1</v>
      </c>
      <c r="N30" s="2987">
        <v>1</v>
      </c>
      <c r="O30" s="2987">
        <v>1</v>
      </c>
      <c r="P30" s="2987">
        <v>1</v>
      </c>
      <c r="Q30" s="2988">
        <v>1</v>
      </c>
      <c r="R30" s="2987">
        <v>1</v>
      </c>
      <c r="S30" s="2987">
        <v>1</v>
      </c>
      <c r="T30" s="2987">
        <v>1</v>
      </c>
      <c r="U30" s="2988">
        <v>1</v>
      </c>
      <c r="V30" s="2989">
        <v>1</v>
      </c>
      <c r="W30" s="2989">
        <v>1</v>
      </c>
      <c r="X30" s="2989">
        <v>1</v>
      </c>
      <c r="Y30" s="2989">
        <v>1</v>
      </c>
      <c r="Z30" s="2989">
        <v>1</v>
      </c>
      <c r="AA30" s="2991">
        <v>1</v>
      </c>
      <c r="AB30" s="2987">
        <v>1</v>
      </c>
      <c r="AC30" s="2987">
        <v>1</v>
      </c>
      <c r="AD30" s="2987">
        <v>1</v>
      </c>
      <c r="AE30" s="2987">
        <v>1</v>
      </c>
      <c r="AF30" s="2987">
        <v>1</v>
      </c>
      <c r="AG30" s="2987">
        <v>1</v>
      </c>
      <c r="AH30" s="2987">
        <v>1</v>
      </c>
      <c r="AI30" s="2987">
        <v>1</v>
      </c>
      <c r="AJ30" s="2987">
        <v>1</v>
      </c>
      <c r="AK30" s="2987">
        <v>1</v>
      </c>
      <c r="AL30" s="2987">
        <v>1</v>
      </c>
      <c r="AM30" s="2987">
        <v>1</v>
      </c>
      <c r="AN30" s="2987">
        <v>1</v>
      </c>
      <c r="AO30" s="2987">
        <v>1</v>
      </c>
      <c r="AP30" s="2987">
        <v>1</v>
      </c>
      <c r="AQ30" s="2987">
        <v>1</v>
      </c>
      <c r="AR30" s="2987">
        <v>1</v>
      </c>
      <c r="AS30" s="2987">
        <v>1</v>
      </c>
    </row>
    <row r="31" spans="1:45" ht="15">
      <c r="A31" s="93" t="s">
        <v>476</v>
      </c>
      <c r="B31" s="91" t="s">
        <v>477</v>
      </c>
      <c r="C31" s="2987">
        <v>1</v>
      </c>
      <c r="D31" s="2987">
        <v>1</v>
      </c>
      <c r="E31" s="2988">
        <v>1</v>
      </c>
      <c r="F31" s="2987">
        <v>1</v>
      </c>
      <c r="G31" s="2987">
        <v>1</v>
      </c>
      <c r="H31" s="2987">
        <v>1</v>
      </c>
      <c r="I31" s="2988">
        <v>1</v>
      </c>
      <c r="J31" s="2987">
        <v>1</v>
      </c>
      <c r="K31" s="2987">
        <v>1</v>
      </c>
      <c r="L31" s="2987">
        <v>1</v>
      </c>
      <c r="M31" s="2988">
        <v>1</v>
      </c>
      <c r="N31" s="2987">
        <v>1</v>
      </c>
      <c r="O31" s="2987">
        <v>1</v>
      </c>
      <c r="P31" s="2987">
        <v>1</v>
      </c>
      <c r="Q31" s="2988">
        <v>1</v>
      </c>
      <c r="R31" s="2987">
        <v>1</v>
      </c>
      <c r="S31" s="2987">
        <v>1</v>
      </c>
      <c r="T31" s="2987">
        <v>1</v>
      </c>
      <c r="U31" s="2988">
        <v>1</v>
      </c>
      <c r="V31" s="2989">
        <v>1</v>
      </c>
      <c r="W31" s="2989">
        <v>1</v>
      </c>
      <c r="X31" s="2989">
        <v>1</v>
      </c>
      <c r="Y31" s="2989">
        <v>1</v>
      </c>
      <c r="Z31" s="2989">
        <v>1</v>
      </c>
      <c r="AA31" s="2991">
        <v>1</v>
      </c>
      <c r="AB31" s="2987">
        <v>1</v>
      </c>
      <c r="AC31" s="2987">
        <v>1</v>
      </c>
      <c r="AD31" s="2987">
        <v>1</v>
      </c>
      <c r="AE31" s="2987">
        <v>1</v>
      </c>
      <c r="AF31" s="2987">
        <v>1</v>
      </c>
      <c r="AG31" s="2987">
        <v>1</v>
      </c>
      <c r="AH31" s="2987">
        <v>1</v>
      </c>
      <c r="AI31" s="2987">
        <v>1</v>
      </c>
      <c r="AJ31" s="2987">
        <v>1</v>
      </c>
      <c r="AK31" s="2987">
        <v>1</v>
      </c>
      <c r="AL31" s="2987">
        <v>1</v>
      </c>
      <c r="AM31" s="2987">
        <v>1</v>
      </c>
      <c r="AN31" s="2987">
        <v>1</v>
      </c>
      <c r="AO31" s="2987">
        <v>1</v>
      </c>
      <c r="AP31" s="2987">
        <v>1</v>
      </c>
      <c r="AQ31" s="2987">
        <v>1</v>
      </c>
      <c r="AR31" s="2987">
        <v>1</v>
      </c>
      <c r="AS31" s="2987">
        <v>1</v>
      </c>
    </row>
    <row r="32" spans="1:45" ht="15">
      <c r="A32" s="93" t="s">
        <v>1781</v>
      </c>
      <c r="B32" s="91" t="s">
        <v>479</v>
      </c>
      <c r="C32" s="2987">
        <v>1</v>
      </c>
      <c r="D32" s="2987">
        <v>1</v>
      </c>
      <c r="E32" s="2988">
        <v>1</v>
      </c>
      <c r="F32" s="2987">
        <v>1</v>
      </c>
      <c r="G32" s="2987">
        <v>1</v>
      </c>
      <c r="H32" s="2987">
        <v>1</v>
      </c>
      <c r="I32" s="2988">
        <v>1</v>
      </c>
      <c r="J32" s="2987">
        <v>1</v>
      </c>
      <c r="K32" s="2987">
        <v>1</v>
      </c>
      <c r="L32" s="2987">
        <v>1</v>
      </c>
      <c r="M32" s="2988">
        <v>1</v>
      </c>
      <c r="N32" s="2987">
        <v>1</v>
      </c>
      <c r="O32" s="2987">
        <v>1</v>
      </c>
      <c r="P32" s="2987">
        <v>1</v>
      </c>
      <c r="Q32" s="2988">
        <v>1</v>
      </c>
      <c r="R32" s="2987">
        <v>1</v>
      </c>
      <c r="S32" s="2987">
        <v>1</v>
      </c>
      <c r="T32" s="2987">
        <v>1</v>
      </c>
      <c r="U32" s="2988">
        <v>1</v>
      </c>
      <c r="V32" s="2989">
        <v>1</v>
      </c>
      <c r="W32" s="2989">
        <v>1</v>
      </c>
      <c r="X32" s="2989">
        <v>1</v>
      </c>
      <c r="Y32" s="2989">
        <v>1</v>
      </c>
      <c r="Z32" s="2989">
        <v>1</v>
      </c>
      <c r="AA32" s="2991">
        <v>1</v>
      </c>
      <c r="AB32" s="2987">
        <v>1</v>
      </c>
      <c r="AC32" s="2987">
        <v>1</v>
      </c>
      <c r="AD32" s="2987">
        <v>1</v>
      </c>
      <c r="AE32" s="2987">
        <v>1</v>
      </c>
      <c r="AF32" s="2987">
        <v>1</v>
      </c>
      <c r="AG32" s="2987">
        <v>1</v>
      </c>
      <c r="AH32" s="2987">
        <v>1</v>
      </c>
      <c r="AI32" s="2987">
        <v>1</v>
      </c>
      <c r="AJ32" s="2987">
        <v>1</v>
      </c>
      <c r="AK32" s="2987">
        <v>1</v>
      </c>
      <c r="AL32" s="2987">
        <v>1</v>
      </c>
      <c r="AM32" s="2987">
        <v>1</v>
      </c>
      <c r="AN32" s="2987">
        <v>1</v>
      </c>
      <c r="AO32" s="2987">
        <v>1</v>
      </c>
      <c r="AP32" s="2987">
        <v>1</v>
      </c>
      <c r="AQ32" s="2987">
        <v>1</v>
      </c>
      <c r="AR32" s="2987">
        <v>1</v>
      </c>
      <c r="AS32" s="2987">
        <v>1</v>
      </c>
    </row>
    <row r="33" spans="1:45" ht="15">
      <c r="A33" s="95" t="s">
        <v>480</v>
      </c>
      <c r="B33" s="91" t="s">
        <v>481</v>
      </c>
      <c r="C33" s="2987">
        <v>0</v>
      </c>
      <c r="D33" s="2987">
        <v>0</v>
      </c>
      <c r="E33" s="2988">
        <v>0</v>
      </c>
      <c r="F33" s="2987">
        <v>0</v>
      </c>
      <c r="G33" s="2987">
        <v>0</v>
      </c>
      <c r="H33" s="2987">
        <v>0</v>
      </c>
      <c r="I33" s="2988">
        <v>0</v>
      </c>
      <c r="J33" s="2987">
        <v>0</v>
      </c>
      <c r="K33" s="2987">
        <v>0</v>
      </c>
      <c r="L33" s="2987">
        <v>0</v>
      </c>
      <c r="M33" s="2988">
        <v>0</v>
      </c>
      <c r="N33" s="2987">
        <v>0</v>
      </c>
      <c r="O33" s="2987">
        <v>0</v>
      </c>
      <c r="P33" s="2987">
        <v>0</v>
      </c>
      <c r="Q33" s="2988">
        <v>0</v>
      </c>
      <c r="R33" s="2987">
        <v>0</v>
      </c>
      <c r="S33" s="2987">
        <v>0</v>
      </c>
      <c r="T33" s="2987">
        <v>0</v>
      </c>
      <c r="U33" s="2988">
        <v>0</v>
      </c>
      <c r="V33" s="2989">
        <v>0</v>
      </c>
      <c r="W33" s="2989">
        <v>0</v>
      </c>
      <c r="X33" s="2989">
        <v>0</v>
      </c>
      <c r="Y33" s="2989">
        <v>0</v>
      </c>
      <c r="Z33" s="2989">
        <v>0</v>
      </c>
      <c r="AA33" s="2991">
        <v>0</v>
      </c>
      <c r="AB33" s="2987">
        <v>0</v>
      </c>
      <c r="AC33" s="2987">
        <v>0</v>
      </c>
      <c r="AD33" s="2987">
        <v>0</v>
      </c>
      <c r="AE33" s="2987">
        <v>0</v>
      </c>
      <c r="AF33" s="2987">
        <v>0</v>
      </c>
      <c r="AG33" s="2987">
        <v>0</v>
      </c>
      <c r="AH33" s="2987">
        <v>0</v>
      </c>
      <c r="AI33" s="2987">
        <v>0</v>
      </c>
      <c r="AJ33" s="2987">
        <v>0</v>
      </c>
      <c r="AK33" s="2987">
        <v>0</v>
      </c>
      <c r="AL33" s="2987">
        <v>0</v>
      </c>
      <c r="AM33" s="2987">
        <v>0</v>
      </c>
      <c r="AN33" s="2987">
        <v>0</v>
      </c>
      <c r="AO33" s="2987">
        <v>0</v>
      </c>
      <c r="AP33" s="2987">
        <v>0</v>
      </c>
      <c r="AQ33" s="2987">
        <v>0</v>
      </c>
      <c r="AR33" s="2987">
        <v>0</v>
      </c>
      <c r="AS33" s="2987">
        <v>0</v>
      </c>
    </row>
    <row r="34" spans="1:45" ht="15">
      <c r="A34" s="93" t="s">
        <v>1782</v>
      </c>
      <c r="B34" s="91" t="s">
        <v>484</v>
      </c>
      <c r="C34" s="2987">
        <v>0</v>
      </c>
      <c r="D34" s="2987">
        <v>0</v>
      </c>
      <c r="E34" s="2988">
        <v>0</v>
      </c>
      <c r="F34" s="2987">
        <v>0</v>
      </c>
      <c r="G34" s="2987">
        <v>0</v>
      </c>
      <c r="H34" s="2987">
        <v>0</v>
      </c>
      <c r="I34" s="2988">
        <v>0</v>
      </c>
      <c r="J34" s="2987">
        <v>0</v>
      </c>
      <c r="K34" s="2987">
        <v>0</v>
      </c>
      <c r="L34" s="2987">
        <v>0</v>
      </c>
      <c r="M34" s="2988">
        <v>0</v>
      </c>
      <c r="N34" s="2987">
        <v>0</v>
      </c>
      <c r="O34" s="2987">
        <v>0</v>
      </c>
      <c r="P34" s="2987">
        <v>0</v>
      </c>
      <c r="Q34" s="2988">
        <v>0</v>
      </c>
      <c r="R34" s="2987">
        <v>0</v>
      </c>
      <c r="S34" s="2987">
        <v>0</v>
      </c>
      <c r="T34" s="2987">
        <v>0</v>
      </c>
      <c r="U34" s="2988">
        <v>0</v>
      </c>
      <c r="V34" s="2989">
        <v>0</v>
      </c>
      <c r="W34" s="2989">
        <v>0</v>
      </c>
      <c r="X34" s="2989">
        <v>0</v>
      </c>
      <c r="Y34" s="2989">
        <v>0</v>
      </c>
      <c r="Z34" s="2989">
        <v>0</v>
      </c>
      <c r="AA34" s="2991">
        <v>0</v>
      </c>
      <c r="AB34" s="2992">
        <v>0</v>
      </c>
      <c r="AC34" s="2987">
        <v>0</v>
      </c>
      <c r="AD34" s="2987">
        <v>0</v>
      </c>
      <c r="AE34" s="2987">
        <v>0</v>
      </c>
      <c r="AF34" s="2987">
        <v>0</v>
      </c>
      <c r="AG34" s="2987">
        <v>0</v>
      </c>
      <c r="AH34" s="2987">
        <v>0</v>
      </c>
      <c r="AI34" s="2987">
        <v>0</v>
      </c>
      <c r="AJ34" s="2987">
        <v>0</v>
      </c>
      <c r="AK34" s="2987">
        <v>0</v>
      </c>
      <c r="AL34" s="2987">
        <v>0</v>
      </c>
      <c r="AM34" s="2987">
        <v>0</v>
      </c>
      <c r="AN34" s="2987">
        <v>0</v>
      </c>
      <c r="AO34" s="2987">
        <v>0</v>
      </c>
      <c r="AP34" s="2987">
        <v>0</v>
      </c>
      <c r="AQ34" s="2987">
        <v>0</v>
      </c>
      <c r="AR34" s="2987">
        <v>0</v>
      </c>
      <c r="AS34" s="2987">
        <v>0</v>
      </c>
    </row>
    <row r="35" spans="1:45" ht="15">
      <c r="A35" s="90" t="s">
        <v>485</v>
      </c>
      <c r="B35" s="91" t="s">
        <v>486</v>
      </c>
      <c r="C35" s="1645">
        <v>0</v>
      </c>
      <c r="D35" s="2987">
        <v>0</v>
      </c>
      <c r="E35" s="2988">
        <v>0</v>
      </c>
      <c r="F35" s="2987">
        <v>0</v>
      </c>
      <c r="G35" s="2987">
        <v>0</v>
      </c>
      <c r="H35" s="2987">
        <v>0</v>
      </c>
      <c r="I35" s="2988">
        <v>0</v>
      </c>
      <c r="J35" s="2987">
        <v>0</v>
      </c>
      <c r="K35" s="2987">
        <v>0</v>
      </c>
      <c r="L35" s="2987">
        <v>0</v>
      </c>
      <c r="M35" s="2988">
        <v>0</v>
      </c>
      <c r="N35" s="2987">
        <v>0</v>
      </c>
      <c r="O35" s="2987">
        <v>0</v>
      </c>
      <c r="P35" s="2987">
        <v>0</v>
      </c>
      <c r="Q35" s="2988">
        <v>0</v>
      </c>
      <c r="R35" s="2987">
        <v>0</v>
      </c>
      <c r="S35" s="2987">
        <v>0</v>
      </c>
      <c r="T35" s="2987">
        <v>0</v>
      </c>
      <c r="U35" s="2988">
        <v>0</v>
      </c>
      <c r="V35" s="1647">
        <v>0</v>
      </c>
      <c r="W35" s="1647">
        <v>0</v>
      </c>
      <c r="X35" s="1647">
        <v>0</v>
      </c>
      <c r="Y35" s="1647">
        <v>0</v>
      </c>
      <c r="Z35" s="1647">
        <v>0</v>
      </c>
      <c r="AA35" s="1648">
        <v>0</v>
      </c>
      <c r="AB35" s="1645">
        <v>0</v>
      </c>
      <c r="AC35" s="1645">
        <v>0</v>
      </c>
      <c r="AD35" s="1653">
        <v>0</v>
      </c>
      <c r="AE35" s="1645">
        <v>0</v>
      </c>
      <c r="AF35" s="1645">
        <v>0</v>
      </c>
      <c r="AG35" s="1645">
        <v>0</v>
      </c>
      <c r="AH35" s="1645">
        <v>0</v>
      </c>
      <c r="AI35" s="1645">
        <v>0</v>
      </c>
      <c r="AJ35" s="1645">
        <v>0</v>
      </c>
      <c r="AK35" s="1645">
        <v>0</v>
      </c>
      <c r="AL35" s="1645">
        <v>0</v>
      </c>
      <c r="AM35" s="1645">
        <v>0</v>
      </c>
      <c r="AN35" s="1645">
        <v>0</v>
      </c>
      <c r="AO35" s="1645">
        <v>0</v>
      </c>
      <c r="AP35" s="1645">
        <v>0</v>
      </c>
      <c r="AQ35" s="1645">
        <v>0</v>
      </c>
      <c r="AR35" s="1645">
        <v>0</v>
      </c>
      <c r="AS35" s="1645">
        <v>0</v>
      </c>
    </row>
    <row r="36" spans="1:45" ht="15">
      <c r="A36" s="90" t="s">
        <v>3381</v>
      </c>
      <c r="B36" s="91" t="s">
        <v>3382</v>
      </c>
      <c r="C36" s="1645">
        <v>0</v>
      </c>
      <c r="D36" s="2987">
        <v>0</v>
      </c>
      <c r="E36" s="2988">
        <v>0</v>
      </c>
      <c r="F36" s="2987">
        <v>0</v>
      </c>
      <c r="G36" s="2987">
        <v>0</v>
      </c>
      <c r="H36" s="2987">
        <v>0</v>
      </c>
      <c r="I36" s="2988">
        <v>0</v>
      </c>
      <c r="J36" s="2987">
        <v>0</v>
      </c>
      <c r="K36" s="2987">
        <v>0</v>
      </c>
      <c r="L36" s="2987">
        <v>0</v>
      </c>
      <c r="M36" s="2988">
        <v>0</v>
      </c>
      <c r="N36" s="2987">
        <v>0</v>
      </c>
      <c r="O36" s="2987">
        <v>0</v>
      </c>
      <c r="P36" s="2987">
        <v>0</v>
      </c>
      <c r="Q36" s="2988">
        <v>0</v>
      </c>
      <c r="R36" s="2987">
        <v>0</v>
      </c>
      <c r="S36" s="2987">
        <v>0</v>
      </c>
      <c r="T36" s="2987">
        <v>0</v>
      </c>
      <c r="U36" s="2988">
        <v>0</v>
      </c>
      <c r="V36" s="2989">
        <v>0</v>
      </c>
      <c r="W36" s="2989">
        <v>0</v>
      </c>
      <c r="X36" s="2989">
        <v>0</v>
      </c>
      <c r="Y36" s="2989">
        <v>0</v>
      </c>
      <c r="Z36" s="2989">
        <v>0</v>
      </c>
      <c r="AA36" s="2991">
        <v>0</v>
      </c>
      <c r="AB36" s="2987">
        <v>0</v>
      </c>
      <c r="AC36" s="2987">
        <v>0</v>
      </c>
      <c r="AD36" s="2987">
        <v>0</v>
      </c>
      <c r="AE36" s="2987">
        <v>0</v>
      </c>
      <c r="AF36" s="2987">
        <v>0</v>
      </c>
      <c r="AG36" s="2987">
        <v>0</v>
      </c>
      <c r="AH36" s="2987">
        <v>0</v>
      </c>
      <c r="AI36" s="2987">
        <v>0</v>
      </c>
      <c r="AJ36" s="2987">
        <v>0</v>
      </c>
      <c r="AK36" s="2987">
        <v>0</v>
      </c>
      <c r="AL36" s="2987">
        <v>0</v>
      </c>
      <c r="AM36" s="2987">
        <v>0</v>
      </c>
      <c r="AN36" s="2987">
        <v>0</v>
      </c>
      <c r="AO36" s="2987">
        <v>0</v>
      </c>
      <c r="AP36" s="2987">
        <v>0</v>
      </c>
      <c r="AQ36" s="2987">
        <v>0</v>
      </c>
      <c r="AR36" s="2987">
        <v>0</v>
      </c>
      <c r="AS36" s="2987">
        <v>0</v>
      </c>
    </row>
    <row r="37" spans="1:45" ht="15">
      <c r="A37" s="90" t="s">
        <v>3383</v>
      </c>
      <c r="B37" s="91" t="s">
        <v>3384</v>
      </c>
      <c r="C37" s="1645">
        <v>0</v>
      </c>
      <c r="D37" s="2987">
        <v>0</v>
      </c>
      <c r="E37" s="2988">
        <v>0</v>
      </c>
      <c r="F37" s="2987">
        <v>0</v>
      </c>
      <c r="G37" s="2987">
        <v>0</v>
      </c>
      <c r="H37" s="2987">
        <v>0</v>
      </c>
      <c r="I37" s="2988">
        <v>0</v>
      </c>
      <c r="J37" s="2987">
        <v>0</v>
      </c>
      <c r="K37" s="2987">
        <v>0</v>
      </c>
      <c r="L37" s="2987">
        <v>0</v>
      </c>
      <c r="M37" s="2988">
        <v>0</v>
      </c>
      <c r="N37" s="2987">
        <v>0</v>
      </c>
      <c r="O37" s="2987">
        <v>0</v>
      </c>
      <c r="P37" s="2987">
        <v>0</v>
      </c>
      <c r="Q37" s="2988">
        <v>0</v>
      </c>
      <c r="R37" s="1645">
        <v>0</v>
      </c>
      <c r="S37" s="1645">
        <v>0</v>
      </c>
      <c r="T37" s="1645">
        <v>0</v>
      </c>
      <c r="U37" s="1646">
        <v>0</v>
      </c>
      <c r="V37" s="1647">
        <v>0</v>
      </c>
      <c r="W37" s="1647">
        <v>0</v>
      </c>
      <c r="X37" s="1647">
        <v>0</v>
      </c>
      <c r="Y37" s="1647">
        <v>0</v>
      </c>
      <c r="Z37" s="1647">
        <v>0</v>
      </c>
      <c r="AA37" s="1648">
        <v>0</v>
      </c>
      <c r="AB37" s="1645">
        <v>0</v>
      </c>
      <c r="AC37" s="1645">
        <v>0</v>
      </c>
      <c r="AD37" s="1645">
        <v>0</v>
      </c>
      <c r="AE37" s="1645">
        <v>0</v>
      </c>
      <c r="AF37" s="1645">
        <v>0</v>
      </c>
      <c r="AG37" s="1645">
        <v>0</v>
      </c>
      <c r="AH37" s="1645">
        <v>0</v>
      </c>
      <c r="AI37" s="1645">
        <v>0</v>
      </c>
      <c r="AJ37" s="1645">
        <v>0</v>
      </c>
      <c r="AK37" s="1645">
        <v>0</v>
      </c>
      <c r="AL37" s="1645">
        <v>0</v>
      </c>
      <c r="AM37" s="1645">
        <v>0</v>
      </c>
      <c r="AN37" s="1645">
        <v>0</v>
      </c>
      <c r="AO37" s="1645">
        <v>0</v>
      </c>
      <c r="AP37" s="1645">
        <v>0</v>
      </c>
      <c r="AQ37" s="1645">
        <v>0</v>
      </c>
      <c r="AR37" s="1645">
        <v>0</v>
      </c>
      <c r="AS37" s="1645">
        <v>0</v>
      </c>
    </row>
    <row r="38" spans="1:45" ht="15">
      <c r="A38" s="93" t="s">
        <v>3385</v>
      </c>
      <c r="B38" s="91" t="s">
        <v>3386</v>
      </c>
      <c r="C38" s="2993">
        <v>0</v>
      </c>
      <c r="D38" s="2987">
        <v>0</v>
      </c>
      <c r="E38" s="2988">
        <v>0</v>
      </c>
      <c r="F38" s="2987">
        <v>0</v>
      </c>
      <c r="G38" s="2987">
        <v>0</v>
      </c>
      <c r="H38" s="2987">
        <v>0</v>
      </c>
      <c r="I38" s="2988">
        <v>0</v>
      </c>
      <c r="J38" s="2987">
        <v>0</v>
      </c>
      <c r="K38" s="2987">
        <v>0</v>
      </c>
      <c r="L38" s="2987">
        <v>0</v>
      </c>
      <c r="M38" s="2988">
        <v>0</v>
      </c>
      <c r="N38" s="2987">
        <v>0</v>
      </c>
      <c r="O38" s="2987">
        <v>0</v>
      </c>
      <c r="P38" s="2987">
        <v>0</v>
      </c>
      <c r="Q38" s="2988">
        <v>0</v>
      </c>
      <c r="R38" s="2987">
        <v>0</v>
      </c>
      <c r="S38" s="2987">
        <v>0</v>
      </c>
      <c r="T38" s="2987">
        <v>0</v>
      </c>
      <c r="U38" s="2988">
        <v>0</v>
      </c>
      <c r="V38" s="2989">
        <v>0</v>
      </c>
      <c r="W38" s="2989">
        <v>0</v>
      </c>
      <c r="X38" s="2989">
        <v>0</v>
      </c>
      <c r="Y38" s="2989">
        <v>0</v>
      </c>
      <c r="Z38" s="2989">
        <v>0</v>
      </c>
      <c r="AA38" s="2991">
        <v>0</v>
      </c>
      <c r="AB38" s="2987">
        <v>0</v>
      </c>
      <c r="AC38" s="2987">
        <v>0</v>
      </c>
      <c r="AD38" s="2987">
        <v>0</v>
      </c>
      <c r="AE38" s="2987">
        <v>0</v>
      </c>
      <c r="AF38" s="2987">
        <v>0</v>
      </c>
      <c r="AG38" s="2987">
        <v>0</v>
      </c>
      <c r="AH38" s="2987">
        <v>0</v>
      </c>
      <c r="AI38" s="2987">
        <v>0</v>
      </c>
      <c r="AJ38" s="2987">
        <v>0</v>
      </c>
      <c r="AK38" s="2987">
        <v>0</v>
      </c>
      <c r="AL38" s="2987">
        <v>0</v>
      </c>
      <c r="AM38" s="2987">
        <v>0</v>
      </c>
      <c r="AN38" s="2987">
        <v>0</v>
      </c>
      <c r="AO38" s="2987">
        <v>0</v>
      </c>
      <c r="AP38" s="2987">
        <v>0</v>
      </c>
      <c r="AQ38" s="2987">
        <v>0</v>
      </c>
      <c r="AR38" s="2987">
        <v>0</v>
      </c>
      <c r="AS38" s="2987">
        <v>0</v>
      </c>
    </row>
    <row r="39" spans="1:45" ht="15">
      <c r="A39" s="93" t="s">
        <v>2157</v>
      </c>
      <c r="B39" s="91" t="s">
        <v>3389</v>
      </c>
      <c r="C39" s="1654">
        <v>7</v>
      </c>
      <c r="D39" s="1654">
        <v>8</v>
      </c>
      <c r="E39" s="1650">
        <v>9</v>
      </c>
      <c r="F39" s="1654">
        <v>10</v>
      </c>
      <c r="G39" s="1654">
        <v>11</v>
      </c>
      <c r="H39" s="1654">
        <v>12</v>
      </c>
      <c r="I39" s="2988">
        <v>14</v>
      </c>
      <c r="J39" s="2370">
        <v>15</v>
      </c>
      <c r="K39" s="2370">
        <v>16</v>
      </c>
      <c r="L39" s="2370">
        <v>17</v>
      </c>
      <c r="M39" s="1650">
        <v>18</v>
      </c>
      <c r="N39" s="2370">
        <v>19</v>
      </c>
      <c r="O39" s="2370">
        <v>20</v>
      </c>
      <c r="P39" s="2370">
        <v>21</v>
      </c>
      <c r="Q39" s="1650">
        <v>22</v>
      </c>
      <c r="R39" s="2370">
        <v>23</v>
      </c>
      <c r="S39" s="2370">
        <v>24</v>
      </c>
      <c r="T39" s="2370">
        <v>25</v>
      </c>
      <c r="U39" s="1650">
        <v>26</v>
      </c>
      <c r="V39" s="2370">
        <v>27</v>
      </c>
      <c r="W39" s="2370">
        <v>28</v>
      </c>
      <c r="X39" s="2370">
        <v>29</v>
      </c>
      <c r="Y39" s="2370">
        <v>30</v>
      </c>
      <c r="Z39" s="2370">
        <v>31</v>
      </c>
      <c r="AA39" s="1655">
        <v>32</v>
      </c>
      <c r="AB39" s="2370">
        <v>33</v>
      </c>
      <c r="AC39" s="2370">
        <v>34</v>
      </c>
      <c r="AD39" s="2370">
        <v>35</v>
      </c>
      <c r="AE39" s="2370">
        <v>36</v>
      </c>
      <c r="AF39" s="2370">
        <v>37</v>
      </c>
      <c r="AG39" s="2370">
        <v>38</v>
      </c>
      <c r="AH39" s="2370">
        <v>39</v>
      </c>
      <c r="AI39" s="2370">
        <v>40</v>
      </c>
      <c r="AJ39" s="2370">
        <v>41</v>
      </c>
      <c r="AK39" s="2370">
        <v>42</v>
      </c>
      <c r="AL39" s="2370">
        <v>43</v>
      </c>
      <c r="AM39" s="2370">
        <v>44</v>
      </c>
      <c r="AN39" s="2370">
        <v>45</v>
      </c>
      <c r="AO39" s="2370">
        <v>46</v>
      </c>
      <c r="AP39" s="2370">
        <v>47</v>
      </c>
      <c r="AQ39" s="2370">
        <v>48</v>
      </c>
      <c r="AR39" s="2370">
        <v>49</v>
      </c>
      <c r="AS39" s="2370">
        <v>50</v>
      </c>
    </row>
    <row r="40" spans="1:45" ht="15">
      <c r="A40" s="93" t="s">
        <v>1783</v>
      </c>
      <c r="B40" s="91" t="s">
        <v>1325</v>
      </c>
      <c r="C40" s="1649">
        <v>1</v>
      </c>
      <c r="D40" s="1649">
        <v>1</v>
      </c>
      <c r="E40" s="1650">
        <v>1</v>
      </c>
      <c r="F40" s="1649">
        <v>1</v>
      </c>
      <c r="G40" s="1649">
        <v>1</v>
      </c>
      <c r="H40" s="1649">
        <v>1</v>
      </c>
      <c r="I40" s="2988">
        <v>1</v>
      </c>
      <c r="J40" s="1649">
        <v>1</v>
      </c>
      <c r="K40" s="1649">
        <v>1</v>
      </c>
      <c r="L40" s="1649">
        <v>1</v>
      </c>
      <c r="M40" s="1650">
        <v>1</v>
      </c>
      <c r="N40" s="1649">
        <v>1</v>
      </c>
      <c r="O40" s="1649">
        <v>1</v>
      </c>
      <c r="P40" s="1649">
        <v>1</v>
      </c>
      <c r="Q40" s="1650">
        <v>1</v>
      </c>
      <c r="R40" s="1649">
        <v>1</v>
      </c>
      <c r="S40" s="1649">
        <v>1</v>
      </c>
      <c r="T40" s="1649">
        <v>1</v>
      </c>
      <c r="U40" s="1650">
        <v>1</v>
      </c>
      <c r="V40" s="1651">
        <v>1</v>
      </c>
      <c r="W40" s="1651">
        <v>1</v>
      </c>
      <c r="X40" s="1651">
        <v>1</v>
      </c>
      <c r="Y40" s="1651">
        <v>1</v>
      </c>
      <c r="Z40" s="1651">
        <v>1</v>
      </c>
      <c r="AA40" s="1652">
        <v>1</v>
      </c>
      <c r="AB40" s="1649">
        <v>1</v>
      </c>
      <c r="AC40" s="1649">
        <v>1</v>
      </c>
      <c r="AD40" s="1649">
        <v>2</v>
      </c>
      <c r="AE40" s="1649">
        <v>2</v>
      </c>
      <c r="AF40" s="1649">
        <v>2</v>
      </c>
      <c r="AG40" s="1649">
        <v>2</v>
      </c>
      <c r="AH40" s="1649">
        <v>2</v>
      </c>
      <c r="AI40" s="1649">
        <v>2</v>
      </c>
      <c r="AJ40" s="1649">
        <v>2</v>
      </c>
      <c r="AK40" s="1649">
        <v>2</v>
      </c>
      <c r="AL40" s="1649">
        <v>2</v>
      </c>
      <c r="AM40" s="1649">
        <v>2</v>
      </c>
      <c r="AN40" s="1649">
        <v>2</v>
      </c>
      <c r="AO40" s="1649">
        <v>2</v>
      </c>
      <c r="AP40" s="1649">
        <v>2</v>
      </c>
      <c r="AQ40" s="1649">
        <v>2</v>
      </c>
      <c r="AR40" s="1649">
        <v>2</v>
      </c>
      <c r="AS40" s="1649">
        <v>2</v>
      </c>
    </row>
    <row r="41" spans="1:45" ht="15">
      <c r="A41" s="90" t="s">
        <v>2158</v>
      </c>
      <c r="B41" s="91" t="s">
        <v>1327</v>
      </c>
      <c r="C41" s="1649">
        <v>1</v>
      </c>
      <c r="D41" s="1649">
        <v>1</v>
      </c>
      <c r="E41" s="1650">
        <v>1</v>
      </c>
      <c r="F41" s="1649">
        <v>1</v>
      </c>
      <c r="G41" s="1649">
        <v>1</v>
      </c>
      <c r="H41" s="1649">
        <v>1</v>
      </c>
      <c r="I41" s="2988">
        <v>1</v>
      </c>
      <c r="J41" s="1649">
        <v>1</v>
      </c>
      <c r="K41" s="1649">
        <v>1</v>
      </c>
      <c r="L41" s="1649">
        <v>1</v>
      </c>
      <c r="M41" s="1650">
        <v>1</v>
      </c>
      <c r="N41" s="1649">
        <v>1</v>
      </c>
      <c r="O41" s="1649">
        <v>1</v>
      </c>
      <c r="P41" s="1649">
        <v>1</v>
      </c>
      <c r="Q41" s="1650">
        <v>1</v>
      </c>
      <c r="R41" s="1649">
        <v>1</v>
      </c>
      <c r="S41" s="1649">
        <v>1</v>
      </c>
      <c r="T41" s="1649">
        <v>1</v>
      </c>
      <c r="U41" s="1650">
        <v>1</v>
      </c>
      <c r="V41" s="1651">
        <v>1</v>
      </c>
      <c r="W41" s="1651">
        <v>1</v>
      </c>
      <c r="X41" s="1651">
        <v>1</v>
      </c>
      <c r="Y41" s="1651">
        <v>1</v>
      </c>
      <c r="Z41" s="1651">
        <v>1</v>
      </c>
      <c r="AA41" s="1652">
        <v>1</v>
      </c>
      <c r="AB41" s="1649">
        <v>1</v>
      </c>
      <c r="AC41" s="1649">
        <v>1</v>
      </c>
      <c r="AD41" s="1649">
        <v>1</v>
      </c>
      <c r="AE41" s="1649">
        <v>1</v>
      </c>
      <c r="AF41" s="1649">
        <v>1</v>
      </c>
      <c r="AG41" s="1649">
        <v>1</v>
      </c>
      <c r="AH41" s="1649">
        <v>1</v>
      </c>
      <c r="AI41" s="1649">
        <v>1</v>
      </c>
      <c r="AJ41" s="1649">
        <v>1</v>
      </c>
      <c r="AK41" s="1649">
        <v>1</v>
      </c>
      <c r="AL41" s="1649">
        <v>1</v>
      </c>
      <c r="AM41" s="1649">
        <v>1</v>
      </c>
      <c r="AN41" s="1649">
        <v>1</v>
      </c>
      <c r="AO41" s="1649">
        <v>1</v>
      </c>
      <c r="AP41" s="1649">
        <v>1</v>
      </c>
      <c r="AQ41" s="1649">
        <v>1</v>
      </c>
      <c r="AR41" s="1649">
        <v>1</v>
      </c>
      <c r="AS41" s="1649">
        <v>1</v>
      </c>
    </row>
    <row r="42" spans="1:45" ht="15">
      <c r="A42" s="93" t="s">
        <v>1328</v>
      </c>
      <c r="B42" s="91" t="s">
        <v>1329</v>
      </c>
      <c r="C42" s="2987">
        <v>0</v>
      </c>
      <c r="D42" s="1649">
        <v>0</v>
      </c>
      <c r="E42" s="1650">
        <v>0</v>
      </c>
      <c r="F42" s="1649">
        <v>0</v>
      </c>
      <c r="G42" s="1649">
        <v>0</v>
      </c>
      <c r="H42" s="1649">
        <v>0</v>
      </c>
      <c r="I42" s="2988">
        <v>0</v>
      </c>
      <c r="J42" s="1649">
        <v>0</v>
      </c>
      <c r="K42" s="1649">
        <v>0</v>
      </c>
      <c r="L42" s="1649">
        <v>0</v>
      </c>
      <c r="M42" s="1650">
        <v>0</v>
      </c>
      <c r="N42" s="1649">
        <v>0</v>
      </c>
      <c r="O42" s="1649">
        <v>0</v>
      </c>
      <c r="P42" s="1649">
        <v>0</v>
      </c>
      <c r="Q42" s="1650">
        <v>0</v>
      </c>
      <c r="R42" s="1649">
        <v>0</v>
      </c>
      <c r="S42" s="1649">
        <v>0</v>
      </c>
      <c r="T42" s="1649">
        <v>0</v>
      </c>
      <c r="U42" s="1650">
        <v>0</v>
      </c>
      <c r="V42" s="1651">
        <v>0</v>
      </c>
      <c r="W42" s="1651">
        <v>0</v>
      </c>
      <c r="X42" s="1651">
        <v>0</v>
      </c>
      <c r="Y42" s="1651">
        <v>0</v>
      </c>
      <c r="Z42" s="1651">
        <v>0</v>
      </c>
      <c r="AA42" s="1652">
        <v>0</v>
      </c>
      <c r="AB42" s="1649">
        <v>0</v>
      </c>
      <c r="AC42" s="1649">
        <v>0</v>
      </c>
      <c r="AD42" s="1649">
        <v>0</v>
      </c>
      <c r="AE42" s="1649">
        <v>0</v>
      </c>
      <c r="AF42" s="1649">
        <v>0</v>
      </c>
      <c r="AG42" s="1649">
        <v>0</v>
      </c>
      <c r="AH42" s="1649">
        <v>0</v>
      </c>
      <c r="AI42" s="1649">
        <v>0</v>
      </c>
      <c r="AJ42" s="1649">
        <v>0</v>
      </c>
      <c r="AK42" s="1649">
        <v>0</v>
      </c>
      <c r="AL42" s="1649">
        <v>0</v>
      </c>
      <c r="AM42" s="1649">
        <v>0</v>
      </c>
      <c r="AN42" s="1649">
        <v>0</v>
      </c>
      <c r="AO42" s="1649">
        <v>0</v>
      </c>
      <c r="AP42" s="1649">
        <v>0</v>
      </c>
      <c r="AQ42" s="1649">
        <v>0</v>
      </c>
      <c r="AR42" s="1649">
        <v>0</v>
      </c>
      <c r="AS42" s="1649">
        <v>0</v>
      </c>
    </row>
    <row r="43" spans="1:45" ht="15">
      <c r="A43" s="90" t="s">
        <v>1855</v>
      </c>
      <c r="B43" s="91" t="s">
        <v>1901</v>
      </c>
      <c r="C43" s="2987">
        <v>1</v>
      </c>
      <c r="D43" s="1649">
        <v>1</v>
      </c>
      <c r="E43" s="1650">
        <v>1</v>
      </c>
      <c r="F43" s="1649">
        <v>1</v>
      </c>
      <c r="G43" s="1649">
        <v>1</v>
      </c>
      <c r="H43" s="1649">
        <v>1</v>
      </c>
      <c r="I43" s="2988">
        <v>1</v>
      </c>
      <c r="J43" s="1649">
        <v>1</v>
      </c>
      <c r="K43" s="1649">
        <v>1</v>
      </c>
      <c r="L43" s="1649">
        <v>1</v>
      </c>
      <c r="M43" s="1650">
        <v>1</v>
      </c>
      <c r="N43" s="1649">
        <v>1</v>
      </c>
      <c r="O43" s="1649">
        <v>1</v>
      </c>
      <c r="P43" s="1649">
        <v>1</v>
      </c>
      <c r="Q43" s="1650">
        <v>1</v>
      </c>
      <c r="R43" s="1649">
        <v>1</v>
      </c>
      <c r="S43" s="1649">
        <v>1</v>
      </c>
      <c r="T43" s="1649">
        <v>1</v>
      </c>
      <c r="U43" s="1650">
        <v>1</v>
      </c>
      <c r="V43" s="1651">
        <v>1</v>
      </c>
      <c r="W43" s="1651">
        <v>1</v>
      </c>
      <c r="X43" s="1651">
        <v>1</v>
      </c>
      <c r="Y43" s="1651">
        <v>1</v>
      </c>
      <c r="Z43" s="1651">
        <v>1</v>
      </c>
      <c r="AA43" s="1652">
        <v>1</v>
      </c>
      <c r="AB43" s="1649">
        <v>1</v>
      </c>
      <c r="AC43" s="1649">
        <v>1</v>
      </c>
      <c r="AD43" s="1649">
        <v>1</v>
      </c>
      <c r="AE43" s="1649">
        <v>1</v>
      </c>
      <c r="AF43" s="1649">
        <v>1</v>
      </c>
      <c r="AG43" s="1649">
        <v>1</v>
      </c>
      <c r="AH43" s="1649">
        <v>1</v>
      </c>
      <c r="AI43" s="1649">
        <v>1</v>
      </c>
      <c r="AJ43" s="1649">
        <v>1</v>
      </c>
      <c r="AK43" s="1649">
        <v>1</v>
      </c>
      <c r="AL43" s="1649">
        <v>1</v>
      </c>
      <c r="AM43" s="1649">
        <v>1</v>
      </c>
      <c r="AN43" s="1649">
        <v>1</v>
      </c>
      <c r="AO43" s="1649">
        <v>1</v>
      </c>
      <c r="AP43" s="1649">
        <v>1</v>
      </c>
      <c r="AQ43" s="1649">
        <v>1</v>
      </c>
      <c r="AR43" s="1649">
        <v>1</v>
      </c>
      <c r="AS43" s="1649">
        <v>1</v>
      </c>
    </row>
    <row r="44" spans="1:45" ht="15">
      <c r="A44" s="90" t="s">
        <v>2159</v>
      </c>
      <c r="B44" s="91" t="s">
        <v>1903</v>
      </c>
      <c r="C44" s="2987">
        <v>1</v>
      </c>
      <c r="D44" s="1649">
        <v>1</v>
      </c>
      <c r="E44" s="1650">
        <v>1</v>
      </c>
      <c r="F44" s="1649">
        <v>1</v>
      </c>
      <c r="G44" s="1649">
        <v>1</v>
      </c>
      <c r="H44" s="1649">
        <v>1</v>
      </c>
      <c r="I44" s="2988">
        <v>1</v>
      </c>
      <c r="J44" s="1649">
        <v>1</v>
      </c>
      <c r="K44" s="1649">
        <v>1</v>
      </c>
      <c r="L44" s="1649">
        <v>1</v>
      </c>
      <c r="M44" s="1650">
        <v>1</v>
      </c>
      <c r="N44" s="1649">
        <v>1</v>
      </c>
      <c r="O44" s="1649">
        <v>1</v>
      </c>
      <c r="P44" s="1649">
        <v>1</v>
      </c>
      <c r="Q44" s="1650">
        <v>1</v>
      </c>
      <c r="R44" s="1649">
        <v>1</v>
      </c>
      <c r="S44" s="1649">
        <v>1</v>
      </c>
      <c r="T44" s="1649">
        <v>1</v>
      </c>
      <c r="U44" s="1650">
        <v>1</v>
      </c>
      <c r="V44" s="1651">
        <v>1</v>
      </c>
      <c r="W44" s="1651">
        <v>1</v>
      </c>
      <c r="X44" s="1651">
        <v>1</v>
      </c>
      <c r="Y44" s="1651">
        <v>1</v>
      </c>
      <c r="Z44" s="1651">
        <v>1</v>
      </c>
      <c r="AA44" s="1652">
        <v>1</v>
      </c>
      <c r="AB44" s="1649">
        <v>1</v>
      </c>
      <c r="AC44" s="1649">
        <v>1</v>
      </c>
      <c r="AD44" s="1649">
        <v>1</v>
      </c>
      <c r="AE44" s="1649">
        <v>1</v>
      </c>
      <c r="AF44" s="1649">
        <v>1</v>
      </c>
      <c r="AG44" s="1649">
        <v>1</v>
      </c>
      <c r="AH44" s="1649">
        <v>1</v>
      </c>
      <c r="AI44" s="1649">
        <v>1</v>
      </c>
      <c r="AJ44" s="1649">
        <v>1</v>
      </c>
      <c r="AK44" s="1649">
        <v>1</v>
      </c>
      <c r="AL44" s="1649">
        <v>1</v>
      </c>
      <c r="AM44" s="1649">
        <v>1</v>
      </c>
      <c r="AN44" s="1649">
        <v>1</v>
      </c>
      <c r="AO44" s="1649">
        <v>1</v>
      </c>
      <c r="AP44" s="1649">
        <v>1</v>
      </c>
      <c r="AQ44" s="1649">
        <v>1</v>
      </c>
      <c r="AR44" s="1649">
        <v>1</v>
      </c>
      <c r="AS44" s="1649">
        <v>1</v>
      </c>
    </row>
    <row r="45" spans="1:45" ht="15">
      <c r="A45" s="90" t="s">
        <v>1533</v>
      </c>
      <c r="B45" s="91" t="s">
        <v>1905</v>
      </c>
      <c r="C45" s="2987">
        <v>1</v>
      </c>
      <c r="D45" s="1649">
        <v>1</v>
      </c>
      <c r="E45" s="1650">
        <v>1</v>
      </c>
      <c r="F45" s="1649">
        <v>1</v>
      </c>
      <c r="G45" s="1649">
        <v>1</v>
      </c>
      <c r="H45" s="1649">
        <v>1</v>
      </c>
      <c r="I45" s="2988">
        <v>1</v>
      </c>
      <c r="J45" s="1649">
        <v>1</v>
      </c>
      <c r="K45" s="1649">
        <v>1</v>
      </c>
      <c r="L45" s="1649">
        <v>1</v>
      </c>
      <c r="M45" s="1650">
        <v>1</v>
      </c>
      <c r="N45" s="1649">
        <v>1</v>
      </c>
      <c r="O45" s="1649">
        <v>1</v>
      </c>
      <c r="P45" s="1649">
        <v>1</v>
      </c>
      <c r="Q45" s="1650">
        <v>1</v>
      </c>
      <c r="R45" s="1649">
        <v>1</v>
      </c>
      <c r="S45" s="1649">
        <v>1</v>
      </c>
      <c r="T45" s="1649">
        <v>1</v>
      </c>
      <c r="U45" s="1650">
        <v>1</v>
      </c>
      <c r="V45" s="1651">
        <v>1</v>
      </c>
      <c r="W45" s="1651">
        <v>1</v>
      </c>
      <c r="X45" s="1651">
        <v>1</v>
      </c>
      <c r="Y45" s="1651">
        <v>1</v>
      </c>
      <c r="Z45" s="1651">
        <v>1</v>
      </c>
      <c r="AA45" s="1652">
        <v>1</v>
      </c>
      <c r="AB45" s="1649">
        <v>1</v>
      </c>
      <c r="AC45" s="1649">
        <v>1</v>
      </c>
      <c r="AD45" s="1649">
        <v>1</v>
      </c>
      <c r="AE45" s="1649">
        <v>1</v>
      </c>
      <c r="AF45" s="1649">
        <v>1</v>
      </c>
      <c r="AG45" s="1649">
        <v>1</v>
      </c>
      <c r="AH45" s="1649">
        <v>1</v>
      </c>
      <c r="AI45" s="1649">
        <v>1</v>
      </c>
      <c r="AJ45" s="1649">
        <v>1</v>
      </c>
      <c r="AK45" s="1649">
        <v>1</v>
      </c>
      <c r="AL45" s="1649">
        <v>1</v>
      </c>
      <c r="AM45" s="1649">
        <v>1</v>
      </c>
      <c r="AN45" s="1649">
        <v>1</v>
      </c>
      <c r="AO45" s="1649">
        <v>1</v>
      </c>
      <c r="AP45" s="1649">
        <v>1</v>
      </c>
      <c r="AQ45" s="1649">
        <v>1</v>
      </c>
      <c r="AR45" s="1649">
        <v>1</v>
      </c>
      <c r="AS45" s="1649">
        <v>1</v>
      </c>
    </row>
    <row r="46" spans="1:45" ht="15">
      <c r="A46" s="90" t="s">
        <v>1534</v>
      </c>
      <c r="B46" s="91" t="s">
        <v>1909</v>
      </c>
      <c r="C46" s="2987">
        <v>0</v>
      </c>
      <c r="D46" s="1649">
        <v>0</v>
      </c>
      <c r="E46" s="1650">
        <v>0</v>
      </c>
      <c r="F46" s="1649">
        <v>0</v>
      </c>
      <c r="G46" s="1649">
        <v>0</v>
      </c>
      <c r="H46" s="1649">
        <v>0</v>
      </c>
      <c r="I46" s="2988">
        <v>0</v>
      </c>
      <c r="J46" s="1649">
        <v>0</v>
      </c>
      <c r="K46" s="1649">
        <v>0</v>
      </c>
      <c r="L46" s="1649">
        <v>0</v>
      </c>
      <c r="M46" s="1650">
        <v>0</v>
      </c>
      <c r="N46" s="1649">
        <v>0</v>
      </c>
      <c r="O46" s="1649">
        <v>0</v>
      </c>
      <c r="P46" s="1649">
        <v>0</v>
      </c>
      <c r="Q46" s="1650">
        <v>0</v>
      </c>
      <c r="R46" s="1649">
        <v>0</v>
      </c>
      <c r="S46" s="1649">
        <v>0</v>
      </c>
      <c r="T46" s="1649">
        <v>0</v>
      </c>
      <c r="U46" s="1650">
        <v>0</v>
      </c>
      <c r="V46" s="1651">
        <v>0</v>
      </c>
      <c r="W46" s="1651">
        <v>0</v>
      </c>
      <c r="X46" s="1651">
        <v>0</v>
      </c>
      <c r="Y46" s="1651">
        <v>0</v>
      </c>
      <c r="Z46" s="1651">
        <v>0</v>
      </c>
      <c r="AA46" s="1652">
        <v>0</v>
      </c>
      <c r="AB46" s="1649">
        <v>0</v>
      </c>
      <c r="AC46" s="1649">
        <v>0</v>
      </c>
      <c r="AD46" s="1649">
        <v>0</v>
      </c>
      <c r="AE46" s="1649">
        <v>0</v>
      </c>
      <c r="AF46" s="1649">
        <v>0</v>
      </c>
      <c r="AG46" s="1649">
        <v>0</v>
      </c>
      <c r="AH46" s="1649">
        <v>0</v>
      </c>
      <c r="AI46" s="1649">
        <v>0</v>
      </c>
      <c r="AJ46" s="1649">
        <v>0</v>
      </c>
      <c r="AK46" s="1649">
        <v>0</v>
      </c>
      <c r="AL46" s="1649">
        <v>0</v>
      </c>
      <c r="AM46" s="1649">
        <v>0</v>
      </c>
      <c r="AN46" s="1649">
        <v>0</v>
      </c>
      <c r="AO46" s="1649">
        <v>0</v>
      </c>
      <c r="AP46" s="1649">
        <v>0</v>
      </c>
      <c r="AQ46" s="1649">
        <v>0</v>
      </c>
      <c r="AR46" s="1649">
        <v>0</v>
      </c>
      <c r="AS46" s="1649">
        <v>0</v>
      </c>
    </row>
    <row r="47" spans="1:45" ht="15">
      <c r="A47" s="90" t="s">
        <v>1910</v>
      </c>
      <c r="B47" s="91" t="s">
        <v>1911</v>
      </c>
      <c r="C47" s="2987">
        <v>0</v>
      </c>
      <c r="D47" s="1649">
        <v>0</v>
      </c>
      <c r="E47" s="1650">
        <v>0</v>
      </c>
      <c r="F47" s="1649">
        <v>0</v>
      </c>
      <c r="G47" s="1649">
        <v>0</v>
      </c>
      <c r="H47" s="1649">
        <v>0</v>
      </c>
      <c r="I47" s="2988">
        <v>0</v>
      </c>
      <c r="J47" s="1649">
        <v>0</v>
      </c>
      <c r="K47" s="1649">
        <v>0</v>
      </c>
      <c r="L47" s="1649">
        <v>0</v>
      </c>
      <c r="M47" s="1650">
        <v>0</v>
      </c>
      <c r="N47" s="1649">
        <v>0</v>
      </c>
      <c r="O47" s="1649">
        <v>0</v>
      </c>
      <c r="P47" s="1649">
        <v>0</v>
      </c>
      <c r="Q47" s="1650">
        <v>0</v>
      </c>
      <c r="R47" s="1649">
        <v>0</v>
      </c>
      <c r="S47" s="1649">
        <v>0</v>
      </c>
      <c r="T47" s="1649">
        <v>0</v>
      </c>
      <c r="U47" s="1650">
        <v>0</v>
      </c>
      <c r="V47" s="1651">
        <v>0</v>
      </c>
      <c r="W47" s="1651">
        <v>0</v>
      </c>
      <c r="X47" s="1651">
        <v>0</v>
      </c>
      <c r="Y47" s="1651">
        <v>0</v>
      </c>
      <c r="Z47" s="1651">
        <v>0</v>
      </c>
      <c r="AA47" s="1652">
        <v>0</v>
      </c>
      <c r="AB47" s="1649">
        <v>0</v>
      </c>
      <c r="AC47" s="1649">
        <v>0</v>
      </c>
      <c r="AD47" s="1649">
        <v>0</v>
      </c>
      <c r="AE47" s="1649">
        <v>0</v>
      </c>
      <c r="AF47" s="1649">
        <v>0</v>
      </c>
      <c r="AG47" s="1649">
        <v>0</v>
      </c>
      <c r="AH47" s="1649">
        <v>0</v>
      </c>
      <c r="AI47" s="1649">
        <v>0</v>
      </c>
      <c r="AJ47" s="1649">
        <v>0</v>
      </c>
      <c r="AK47" s="1649">
        <v>0</v>
      </c>
      <c r="AL47" s="1649">
        <v>0</v>
      </c>
      <c r="AM47" s="1649">
        <v>0</v>
      </c>
      <c r="AN47" s="1649">
        <v>0</v>
      </c>
      <c r="AO47" s="1649">
        <v>0</v>
      </c>
      <c r="AP47" s="1649">
        <v>0</v>
      </c>
      <c r="AQ47" s="1649">
        <v>0</v>
      </c>
      <c r="AR47" s="1649">
        <v>0</v>
      </c>
      <c r="AS47" s="1649">
        <v>0</v>
      </c>
    </row>
    <row r="48" spans="1:45" ht="15">
      <c r="A48" s="93" t="s">
        <v>2158</v>
      </c>
      <c r="B48" s="91" t="s">
        <v>1913</v>
      </c>
      <c r="C48" s="2987">
        <v>0</v>
      </c>
      <c r="D48" s="1649">
        <v>0</v>
      </c>
      <c r="E48" s="1650">
        <v>0</v>
      </c>
      <c r="F48" s="1649">
        <v>0</v>
      </c>
      <c r="G48" s="1649">
        <v>0</v>
      </c>
      <c r="H48" s="1649">
        <v>0</v>
      </c>
      <c r="I48" s="2988">
        <v>0</v>
      </c>
      <c r="J48" s="1649">
        <v>0</v>
      </c>
      <c r="K48" s="1649">
        <v>0</v>
      </c>
      <c r="L48" s="1649">
        <v>0</v>
      </c>
      <c r="M48" s="1650">
        <v>0</v>
      </c>
      <c r="N48" s="1649">
        <v>0</v>
      </c>
      <c r="O48" s="1649">
        <v>0</v>
      </c>
      <c r="P48" s="1649">
        <v>0</v>
      </c>
      <c r="Q48" s="1650">
        <v>0</v>
      </c>
      <c r="R48" s="1649">
        <v>0</v>
      </c>
      <c r="S48" s="1649">
        <v>0</v>
      </c>
      <c r="T48" s="1649">
        <v>0</v>
      </c>
      <c r="U48" s="1650">
        <v>0</v>
      </c>
      <c r="V48" s="1651">
        <v>0</v>
      </c>
      <c r="W48" s="1651">
        <v>0</v>
      </c>
      <c r="X48" s="1651">
        <v>0</v>
      </c>
      <c r="Y48" s="1651">
        <v>0</v>
      </c>
      <c r="Z48" s="1651">
        <v>0</v>
      </c>
      <c r="AA48" s="1652">
        <v>0</v>
      </c>
      <c r="AB48" s="1649">
        <v>0</v>
      </c>
      <c r="AC48" s="1649">
        <v>0</v>
      </c>
      <c r="AD48" s="1649">
        <v>0</v>
      </c>
      <c r="AE48" s="1649">
        <v>0</v>
      </c>
      <c r="AF48" s="1649">
        <v>0</v>
      </c>
      <c r="AG48" s="1649">
        <v>0</v>
      </c>
      <c r="AH48" s="1649">
        <v>0</v>
      </c>
      <c r="AI48" s="1649">
        <v>0</v>
      </c>
      <c r="AJ48" s="1649">
        <v>0</v>
      </c>
      <c r="AK48" s="1649">
        <v>0</v>
      </c>
      <c r="AL48" s="1649">
        <v>0</v>
      </c>
      <c r="AM48" s="1649">
        <v>0</v>
      </c>
      <c r="AN48" s="1649">
        <v>0</v>
      </c>
      <c r="AO48" s="1649">
        <v>0</v>
      </c>
      <c r="AP48" s="1649">
        <v>0</v>
      </c>
      <c r="AQ48" s="1649">
        <v>0</v>
      </c>
      <c r="AR48" s="1649">
        <v>0</v>
      </c>
      <c r="AS48" s="1649">
        <v>0</v>
      </c>
    </row>
    <row r="49" spans="1:45" ht="15">
      <c r="A49" s="93" t="s">
        <v>1914</v>
      </c>
      <c r="B49" s="91" t="s">
        <v>1915</v>
      </c>
      <c r="C49" s="2987">
        <v>1</v>
      </c>
      <c r="D49" s="1649">
        <v>1</v>
      </c>
      <c r="E49" s="1650">
        <v>1</v>
      </c>
      <c r="F49" s="1649">
        <v>1</v>
      </c>
      <c r="G49" s="1649">
        <v>1</v>
      </c>
      <c r="H49" s="1649">
        <v>1</v>
      </c>
      <c r="I49" s="2988">
        <v>1</v>
      </c>
      <c r="J49" s="1649">
        <v>1</v>
      </c>
      <c r="K49" s="1649">
        <v>1</v>
      </c>
      <c r="L49" s="1649">
        <v>1</v>
      </c>
      <c r="M49" s="1650">
        <v>1</v>
      </c>
      <c r="N49" s="1649">
        <v>1</v>
      </c>
      <c r="O49" s="1649">
        <v>1</v>
      </c>
      <c r="P49" s="1649">
        <v>1</v>
      </c>
      <c r="Q49" s="1650">
        <v>1</v>
      </c>
      <c r="R49" s="1649">
        <v>1</v>
      </c>
      <c r="S49" s="1649">
        <v>1</v>
      </c>
      <c r="T49" s="1649">
        <v>1</v>
      </c>
      <c r="U49" s="1650">
        <v>1</v>
      </c>
      <c r="V49" s="1651">
        <v>1</v>
      </c>
      <c r="W49" s="1651">
        <v>1</v>
      </c>
      <c r="X49" s="1651">
        <v>1</v>
      </c>
      <c r="Y49" s="1651">
        <v>1</v>
      </c>
      <c r="Z49" s="1651">
        <v>1</v>
      </c>
      <c r="AA49" s="1652">
        <v>1</v>
      </c>
      <c r="AB49" s="1649">
        <v>1</v>
      </c>
      <c r="AC49" s="1649">
        <v>1</v>
      </c>
      <c r="AD49" s="1649">
        <v>1</v>
      </c>
      <c r="AE49" s="1649">
        <v>1</v>
      </c>
      <c r="AF49" s="1649">
        <v>1</v>
      </c>
      <c r="AG49" s="1649">
        <v>1</v>
      </c>
      <c r="AH49" s="1649">
        <v>1</v>
      </c>
      <c r="AI49" s="1649">
        <v>1</v>
      </c>
      <c r="AJ49" s="1649">
        <v>1</v>
      </c>
      <c r="AK49" s="1649">
        <v>1</v>
      </c>
      <c r="AL49" s="1649">
        <v>1</v>
      </c>
      <c r="AM49" s="1649">
        <v>1</v>
      </c>
      <c r="AN49" s="1649">
        <v>1</v>
      </c>
      <c r="AO49" s="1649">
        <v>1</v>
      </c>
      <c r="AP49" s="1649">
        <v>1</v>
      </c>
      <c r="AQ49" s="1649">
        <v>1</v>
      </c>
      <c r="AR49" s="1649">
        <v>1</v>
      </c>
      <c r="AS49" s="1649">
        <v>1</v>
      </c>
    </row>
    <row r="50" spans="1:45" ht="15">
      <c r="A50" s="93" t="s">
        <v>902</v>
      </c>
      <c r="B50" s="91" t="s">
        <v>903</v>
      </c>
      <c r="C50" s="2987">
        <v>0</v>
      </c>
      <c r="D50" s="1649">
        <v>0</v>
      </c>
      <c r="E50" s="1650">
        <v>0</v>
      </c>
      <c r="F50" s="1649">
        <v>0</v>
      </c>
      <c r="G50" s="1649">
        <v>0</v>
      </c>
      <c r="H50" s="1649">
        <v>0</v>
      </c>
      <c r="I50" s="2988">
        <v>0</v>
      </c>
      <c r="J50" s="1649">
        <v>0</v>
      </c>
      <c r="K50" s="1649">
        <v>0</v>
      </c>
      <c r="L50" s="1649">
        <v>0</v>
      </c>
      <c r="M50" s="1650">
        <v>0</v>
      </c>
      <c r="N50" s="1649">
        <v>0</v>
      </c>
      <c r="O50" s="1649">
        <v>0</v>
      </c>
      <c r="P50" s="1649">
        <v>0</v>
      </c>
      <c r="Q50" s="1650">
        <v>0</v>
      </c>
      <c r="R50" s="1649">
        <v>0</v>
      </c>
      <c r="S50" s="1649">
        <v>0</v>
      </c>
      <c r="T50" s="1649">
        <v>0</v>
      </c>
      <c r="U50" s="1650">
        <v>0</v>
      </c>
      <c r="V50" s="1651">
        <v>0</v>
      </c>
      <c r="W50" s="1651">
        <v>0</v>
      </c>
      <c r="X50" s="1651">
        <v>0</v>
      </c>
      <c r="Y50" s="1651">
        <v>0</v>
      </c>
      <c r="Z50" s="1651">
        <v>0</v>
      </c>
      <c r="AA50" s="1652">
        <v>0</v>
      </c>
      <c r="AB50" s="1649">
        <v>0</v>
      </c>
      <c r="AC50" s="1649">
        <v>0</v>
      </c>
      <c r="AD50" s="1649">
        <v>0</v>
      </c>
      <c r="AE50" s="1649">
        <v>0</v>
      </c>
      <c r="AF50" s="1649">
        <v>0</v>
      </c>
      <c r="AG50" s="1649">
        <v>0</v>
      </c>
      <c r="AH50" s="1649">
        <v>0</v>
      </c>
      <c r="AI50" s="1649">
        <v>0</v>
      </c>
      <c r="AJ50" s="1649">
        <v>0</v>
      </c>
      <c r="AK50" s="1649">
        <v>0</v>
      </c>
      <c r="AL50" s="1649">
        <v>0</v>
      </c>
      <c r="AM50" s="1649">
        <v>0</v>
      </c>
      <c r="AN50" s="1649">
        <v>0</v>
      </c>
      <c r="AO50" s="1649">
        <v>0</v>
      </c>
      <c r="AP50" s="1649">
        <v>0</v>
      </c>
      <c r="AQ50" s="1649">
        <v>0</v>
      </c>
      <c r="AR50" s="1649">
        <v>0</v>
      </c>
      <c r="AS50" s="1649">
        <v>0</v>
      </c>
    </row>
    <row r="51" spans="1:45" ht="15">
      <c r="A51" s="93" t="s">
        <v>1784</v>
      </c>
      <c r="B51" s="91" t="s">
        <v>905</v>
      </c>
      <c r="C51" s="2987">
        <v>1</v>
      </c>
      <c r="D51" s="1649">
        <v>1</v>
      </c>
      <c r="E51" s="1650">
        <v>1</v>
      </c>
      <c r="F51" s="1649">
        <v>1</v>
      </c>
      <c r="G51" s="1649">
        <v>1</v>
      </c>
      <c r="H51" s="1649">
        <v>1</v>
      </c>
      <c r="I51" s="2988">
        <v>1</v>
      </c>
      <c r="J51" s="1649">
        <v>1</v>
      </c>
      <c r="K51" s="1649">
        <v>1</v>
      </c>
      <c r="L51" s="1649">
        <v>1</v>
      </c>
      <c r="M51" s="1650">
        <v>1</v>
      </c>
      <c r="N51" s="1649">
        <v>1</v>
      </c>
      <c r="O51" s="1649">
        <v>1</v>
      </c>
      <c r="P51" s="1649">
        <v>1</v>
      </c>
      <c r="Q51" s="1650">
        <v>1</v>
      </c>
      <c r="R51" s="1649">
        <v>1</v>
      </c>
      <c r="S51" s="1649">
        <v>1</v>
      </c>
      <c r="T51" s="1649">
        <v>1</v>
      </c>
      <c r="U51" s="1650">
        <v>1</v>
      </c>
      <c r="V51" s="1651">
        <v>1</v>
      </c>
      <c r="W51" s="1651">
        <v>1</v>
      </c>
      <c r="X51" s="1651">
        <v>1</v>
      </c>
      <c r="Y51" s="1651">
        <v>1</v>
      </c>
      <c r="Z51" s="1651">
        <v>1</v>
      </c>
      <c r="AA51" s="1652">
        <v>1</v>
      </c>
      <c r="AB51" s="1649">
        <v>1</v>
      </c>
      <c r="AC51" s="1649">
        <v>1</v>
      </c>
      <c r="AD51" s="1649">
        <v>1</v>
      </c>
      <c r="AE51" s="1649">
        <v>1</v>
      </c>
      <c r="AF51" s="1649">
        <v>1</v>
      </c>
      <c r="AG51" s="1649">
        <v>1</v>
      </c>
      <c r="AH51" s="1649">
        <v>1</v>
      </c>
      <c r="AI51" s="1649">
        <v>1</v>
      </c>
      <c r="AJ51" s="1649">
        <v>1</v>
      </c>
      <c r="AK51" s="1649">
        <v>1</v>
      </c>
      <c r="AL51" s="1649">
        <v>1</v>
      </c>
      <c r="AM51" s="1649">
        <v>1</v>
      </c>
      <c r="AN51" s="1649">
        <v>1</v>
      </c>
      <c r="AO51" s="1649">
        <v>1</v>
      </c>
      <c r="AP51" s="1649">
        <v>1</v>
      </c>
      <c r="AQ51" s="1649">
        <v>1</v>
      </c>
      <c r="AR51" s="1649">
        <v>1</v>
      </c>
      <c r="AS51" s="1649">
        <v>1</v>
      </c>
    </row>
    <row r="52" spans="1:45" ht="15">
      <c r="A52" s="93" t="s">
        <v>1785</v>
      </c>
      <c r="B52" s="91" t="s">
        <v>2936</v>
      </c>
      <c r="C52" s="1645">
        <v>0</v>
      </c>
      <c r="D52" s="1649">
        <v>0</v>
      </c>
      <c r="E52" s="1650">
        <v>0</v>
      </c>
      <c r="F52" s="1649">
        <v>0</v>
      </c>
      <c r="G52" s="1649">
        <v>0</v>
      </c>
      <c r="H52" s="1649">
        <v>0</v>
      </c>
      <c r="I52" s="2988">
        <v>0</v>
      </c>
      <c r="J52" s="1649">
        <v>0</v>
      </c>
      <c r="K52" s="1649">
        <v>0</v>
      </c>
      <c r="L52" s="1649">
        <v>0</v>
      </c>
      <c r="M52" s="1650">
        <v>0</v>
      </c>
      <c r="N52" s="1649">
        <v>0</v>
      </c>
      <c r="O52" s="1649">
        <v>0</v>
      </c>
      <c r="P52" s="1649">
        <v>0</v>
      </c>
      <c r="Q52" s="1650">
        <v>0</v>
      </c>
      <c r="R52" s="1649">
        <v>0</v>
      </c>
      <c r="S52" s="1649">
        <v>0</v>
      </c>
      <c r="T52" s="1649">
        <v>0</v>
      </c>
      <c r="U52" s="1650">
        <v>0</v>
      </c>
      <c r="V52" s="1651">
        <v>0</v>
      </c>
      <c r="W52" s="1651">
        <v>0</v>
      </c>
      <c r="X52" s="1651">
        <v>0</v>
      </c>
      <c r="Y52" s="1651">
        <v>0</v>
      </c>
      <c r="Z52" s="1651">
        <v>0</v>
      </c>
      <c r="AA52" s="1652">
        <v>0</v>
      </c>
      <c r="AB52" s="1649">
        <v>0</v>
      </c>
      <c r="AC52" s="1649">
        <v>0</v>
      </c>
      <c r="AD52" s="1649">
        <v>0</v>
      </c>
      <c r="AE52" s="1649">
        <v>0</v>
      </c>
      <c r="AF52" s="1649">
        <v>0</v>
      </c>
      <c r="AG52" s="1649">
        <v>0</v>
      </c>
      <c r="AH52" s="1649">
        <v>0</v>
      </c>
      <c r="AI52" s="1649">
        <v>0</v>
      </c>
      <c r="AJ52" s="1649">
        <v>0</v>
      </c>
      <c r="AK52" s="1649">
        <v>0</v>
      </c>
      <c r="AL52" s="1649">
        <v>0</v>
      </c>
      <c r="AM52" s="1649">
        <v>0</v>
      </c>
      <c r="AN52" s="1649">
        <v>0</v>
      </c>
      <c r="AO52" s="1649">
        <v>0</v>
      </c>
      <c r="AP52" s="1649">
        <v>0</v>
      </c>
      <c r="AQ52" s="1649">
        <v>0</v>
      </c>
      <c r="AR52" s="1649">
        <v>0</v>
      </c>
      <c r="AS52" s="1649">
        <v>0</v>
      </c>
    </row>
    <row r="53" spans="1:45" ht="15">
      <c r="A53" s="93" t="s">
        <v>2937</v>
      </c>
      <c r="B53" s="91" t="s">
        <v>2938</v>
      </c>
      <c r="C53" s="1645">
        <v>2</v>
      </c>
      <c r="D53" s="1649">
        <v>2</v>
      </c>
      <c r="E53" s="1650">
        <v>2</v>
      </c>
      <c r="F53" s="1649">
        <v>2</v>
      </c>
      <c r="G53" s="1649">
        <v>2</v>
      </c>
      <c r="H53" s="1649">
        <v>2</v>
      </c>
      <c r="I53" s="2988">
        <v>2</v>
      </c>
      <c r="J53" s="1649">
        <v>2</v>
      </c>
      <c r="K53" s="1649">
        <v>2</v>
      </c>
      <c r="L53" s="1649">
        <v>2</v>
      </c>
      <c r="M53" s="1650">
        <v>2</v>
      </c>
      <c r="N53" s="1649">
        <v>2</v>
      </c>
      <c r="O53" s="1649">
        <v>2</v>
      </c>
      <c r="P53" s="1649">
        <v>2</v>
      </c>
      <c r="Q53" s="1650">
        <v>2</v>
      </c>
      <c r="R53" s="1649">
        <v>2</v>
      </c>
      <c r="S53" s="1649">
        <v>2</v>
      </c>
      <c r="T53" s="1649">
        <v>2</v>
      </c>
      <c r="U53" s="1650">
        <v>2</v>
      </c>
      <c r="V53" s="1651">
        <v>2</v>
      </c>
      <c r="W53" s="1651">
        <v>2</v>
      </c>
      <c r="X53" s="1651">
        <v>2</v>
      </c>
      <c r="Y53" s="1651">
        <v>2</v>
      </c>
      <c r="Z53" s="1651">
        <v>2</v>
      </c>
      <c r="AA53" s="1652">
        <v>2</v>
      </c>
      <c r="AB53" s="1649">
        <v>2</v>
      </c>
      <c r="AC53" s="1649">
        <v>2</v>
      </c>
      <c r="AD53" s="1649">
        <v>2</v>
      </c>
      <c r="AE53" s="1649">
        <v>2</v>
      </c>
      <c r="AF53" s="1649">
        <v>2</v>
      </c>
      <c r="AG53" s="1649">
        <v>2</v>
      </c>
      <c r="AH53" s="1649">
        <v>2</v>
      </c>
      <c r="AI53" s="1649">
        <v>2</v>
      </c>
      <c r="AJ53" s="1649">
        <v>2</v>
      </c>
      <c r="AK53" s="1649">
        <v>2</v>
      </c>
      <c r="AL53" s="2987">
        <v>2</v>
      </c>
      <c r="AM53" s="2987">
        <v>2</v>
      </c>
      <c r="AN53" s="2987">
        <v>2</v>
      </c>
      <c r="AO53" s="2987">
        <v>2</v>
      </c>
      <c r="AP53" s="2987">
        <v>2</v>
      </c>
      <c r="AQ53" s="2987">
        <v>2</v>
      </c>
      <c r="AR53" s="2987">
        <v>2</v>
      </c>
      <c r="AS53" s="2987">
        <v>2</v>
      </c>
    </row>
    <row r="54" spans="1:45" ht="15">
      <c r="A54" s="93" t="s">
        <v>2939</v>
      </c>
      <c r="B54" s="91" t="s">
        <v>2940</v>
      </c>
      <c r="C54" s="1645">
        <v>1</v>
      </c>
      <c r="D54" s="1649">
        <v>1</v>
      </c>
      <c r="E54" s="1650">
        <v>1</v>
      </c>
      <c r="F54" s="1649">
        <v>1</v>
      </c>
      <c r="G54" s="1649">
        <v>1</v>
      </c>
      <c r="H54" s="1649">
        <v>1</v>
      </c>
      <c r="I54" s="2988">
        <v>1</v>
      </c>
      <c r="J54" s="1649">
        <v>1</v>
      </c>
      <c r="K54" s="1649">
        <v>1</v>
      </c>
      <c r="L54" s="1649">
        <v>1</v>
      </c>
      <c r="M54" s="1650">
        <v>1</v>
      </c>
      <c r="N54" s="1649">
        <v>1</v>
      </c>
      <c r="O54" s="1649">
        <v>1</v>
      </c>
      <c r="P54" s="1649">
        <v>1</v>
      </c>
      <c r="Q54" s="1650">
        <v>1</v>
      </c>
      <c r="R54" s="1649">
        <v>1</v>
      </c>
      <c r="S54" s="1649">
        <v>1</v>
      </c>
      <c r="T54" s="1649">
        <v>1</v>
      </c>
      <c r="U54" s="1650">
        <v>1</v>
      </c>
      <c r="V54" s="1651">
        <v>1</v>
      </c>
      <c r="W54" s="1651">
        <v>1</v>
      </c>
      <c r="X54" s="1651">
        <v>1</v>
      </c>
      <c r="Y54" s="1651">
        <v>1</v>
      </c>
      <c r="Z54" s="1651">
        <v>1</v>
      </c>
      <c r="AA54" s="1652">
        <v>1</v>
      </c>
      <c r="AB54" s="1649">
        <v>1</v>
      </c>
      <c r="AC54" s="1649">
        <v>1</v>
      </c>
      <c r="AD54" s="1649">
        <v>1</v>
      </c>
      <c r="AE54" s="1649">
        <v>1</v>
      </c>
      <c r="AF54" s="1649">
        <v>1</v>
      </c>
      <c r="AG54" s="1649">
        <v>1</v>
      </c>
      <c r="AH54" s="1649">
        <v>1</v>
      </c>
      <c r="AI54" s="1649">
        <v>1</v>
      </c>
      <c r="AJ54" s="1649">
        <v>1</v>
      </c>
      <c r="AK54" s="1649">
        <v>1</v>
      </c>
      <c r="AL54" s="2987">
        <v>1</v>
      </c>
      <c r="AM54" s="2987">
        <v>1</v>
      </c>
      <c r="AN54" s="2987">
        <v>1</v>
      </c>
      <c r="AO54" s="2987">
        <v>1</v>
      </c>
      <c r="AP54" s="2987">
        <v>1</v>
      </c>
      <c r="AQ54" s="2987">
        <v>1</v>
      </c>
      <c r="AR54" s="2987">
        <v>1</v>
      </c>
      <c r="AS54" s="2987">
        <v>1</v>
      </c>
    </row>
    <row r="55" spans="1:45" ht="15">
      <c r="A55" s="93" t="s">
        <v>2941</v>
      </c>
      <c r="B55" s="91" t="s">
        <v>2942</v>
      </c>
      <c r="C55" s="2987">
        <v>2</v>
      </c>
      <c r="D55" s="1649">
        <v>2</v>
      </c>
      <c r="E55" s="1650">
        <v>2</v>
      </c>
      <c r="F55" s="1649">
        <v>2</v>
      </c>
      <c r="G55" s="1649">
        <v>2</v>
      </c>
      <c r="H55" s="1649">
        <v>2</v>
      </c>
      <c r="I55" s="2988">
        <v>2</v>
      </c>
      <c r="J55" s="1649">
        <v>2</v>
      </c>
      <c r="K55" s="1649">
        <v>2</v>
      </c>
      <c r="L55" s="1649">
        <v>2</v>
      </c>
      <c r="M55" s="1650">
        <v>2</v>
      </c>
      <c r="N55" s="1649">
        <v>3</v>
      </c>
      <c r="O55" s="1649">
        <v>3</v>
      </c>
      <c r="P55" s="1649">
        <v>3</v>
      </c>
      <c r="Q55" s="1650">
        <v>3</v>
      </c>
      <c r="R55" s="1649">
        <v>3</v>
      </c>
      <c r="S55" s="1649">
        <v>3</v>
      </c>
      <c r="T55" s="1649">
        <v>3</v>
      </c>
      <c r="U55" s="1650">
        <v>3</v>
      </c>
      <c r="V55" s="1651">
        <v>3</v>
      </c>
      <c r="W55" s="1651">
        <v>3</v>
      </c>
      <c r="X55" s="1651">
        <v>3</v>
      </c>
      <c r="Y55" s="1651">
        <v>3</v>
      </c>
      <c r="Z55" s="1651">
        <v>3</v>
      </c>
      <c r="AA55" s="1652">
        <v>3</v>
      </c>
      <c r="AB55" s="1649">
        <v>3</v>
      </c>
      <c r="AC55" s="1649">
        <v>3</v>
      </c>
      <c r="AD55" s="1649">
        <v>3</v>
      </c>
      <c r="AE55" s="1649">
        <v>3</v>
      </c>
      <c r="AF55" s="1649">
        <v>3</v>
      </c>
      <c r="AG55" s="1649">
        <v>3</v>
      </c>
      <c r="AH55" s="1649">
        <v>3</v>
      </c>
      <c r="AI55" s="1649">
        <v>3</v>
      </c>
      <c r="AJ55" s="1649">
        <v>3</v>
      </c>
      <c r="AK55" s="1654">
        <v>3</v>
      </c>
      <c r="AL55" s="2987">
        <v>3</v>
      </c>
      <c r="AM55" s="2987">
        <v>3</v>
      </c>
      <c r="AN55" s="2987">
        <v>3</v>
      </c>
      <c r="AO55" s="2987">
        <v>3</v>
      </c>
      <c r="AP55" s="2987">
        <v>3</v>
      </c>
      <c r="AQ55" s="2987">
        <v>3</v>
      </c>
      <c r="AR55" s="2987">
        <v>3</v>
      </c>
      <c r="AS55" s="2987">
        <v>3</v>
      </c>
    </row>
    <row r="56" spans="1:45" ht="15">
      <c r="A56" s="90" t="s">
        <v>2943</v>
      </c>
      <c r="B56" s="91" t="s">
        <v>2944</v>
      </c>
      <c r="C56" s="1645">
        <v>2</v>
      </c>
      <c r="D56" s="1649">
        <v>2</v>
      </c>
      <c r="E56" s="1650">
        <v>2</v>
      </c>
      <c r="F56" s="1649">
        <v>2</v>
      </c>
      <c r="G56" s="1649">
        <v>2</v>
      </c>
      <c r="H56" s="1649">
        <v>2</v>
      </c>
      <c r="I56" s="2988">
        <v>2</v>
      </c>
      <c r="J56" s="1649">
        <v>3</v>
      </c>
      <c r="K56" s="1649">
        <v>3</v>
      </c>
      <c r="L56" s="1649">
        <v>3</v>
      </c>
      <c r="M56" s="1650">
        <v>3</v>
      </c>
      <c r="N56" s="1649">
        <v>4</v>
      </c>
      <c r="O56" s="1649">
        <v>4</v>
      </c>
      <c r="P56" s="1649">
        <v>4</v>
      </c>
      <c r="Q56" s="1650">
        <v>4</v>
      </c>
      <c r="R56" s="1649">
        <v>4</v>
      </c>
      <c r="S56" s="1649">
        <v>4</v>
      </c>
      <c r="T56" s="1649">
        <v>4</v>
      </c>
      <c r="U56" s="1650">
        <v>4</v>
      </c>
      <c r="V56" s="1651">
        <v>4</v>
      </c>
      <c r="W56" s="1651">
        <v>4</v>
      </c>
      <c r="X56" s="1651">
        <v>4</v>
      </c>
      <c r="Y56" s="1651">
        <v>4</v>
      </c>
      <c r="Z56" s="1651">
        <v>4</v>
      </c>
      <c r="AA56" s="1652">
        <v>4</v>
      </c>
      <c r="AB56" s="1649">
        <v>4</v>
      </c>
      <c r="AC56" s="1649">
        <v>4</v>
      </c>
      <c r="AD56" s="1649">
        <v>4</v>
      </c>
      <c r="AE56" s="1649">
        <v>4</v>
      </c>
      <c r="AF56" s="1649">
        <v>4</v>
      </c>
      <c r="AG56" s="1649">
        <v>4</v>
      </c>
      <c r="AH56" s="1649">
        <v>4</v>
      </c>
      <c r="AI56" s="1649">
        <v>4</v>
      </c>
      <c r="AJ56" s="1649">
        <v>4</v>
      </c>
      <c r="AK56" s="1649">
        <v>4</v>
      </c>
      <c r="AL56" s="2987">
        <v>4</v>
      </c>
      <c r="AM56" s="2987">
        <v>4</v>
      </c>
      <c r="AN56" s="2987">
        <v>4</v>
      </c>
      <c r="AO56" s="2987">
        <v>4</v>
      </c>
      <c r="AP56" s="2987">
        <v>4</v>
      </c>
      <c r="AQ56" s="2987">
        <v>4</v>
      </c>
      <c r="AR56" s="2987">
        <v>4</v>
      </c>
      <c r="AS56" s="2987">
        <v>4</v>
      </c>
    </row>
    <row r="57" spans="1:45" ht="15">
      <c r="A57" s="93" t="s">
        <v>2945</v>
      </c>
      <c r="B57" s="91" t="s">
        <v>2946</v>
      </c>
      <c r="C57" s="2987">
        <v>2</v>
      </c>
      <c r="D57" s="1649">
        <v>2</v>
      </c>
      <c r="E57" s="1650">
        <v>2</v>
      </c>
      <c r="F57" s="1649">
        <v>2</v>
      </c>
      <c r="G57" s="1649">
        <v>2</v>
      </c>
      <c r="H57" s="1649">
        <v>2</v>
      </c>
      <c r="I57" s="2988">
        <v>2</v>
      </c>
      <c r="J57" s="1649">
        <v>3</v>
      </c>
      <c r="K57" s="1649">
        <v>3</v>
      </c>
      <c r="L57" s="1649">
        <v>3</v>
      </c>
      <c r="M57" s="1650">
        <v>3</v>
      </c>
      <c r="N57" s="1649">
        <v>4</v>
      </c>
      <c r="O57" s="1649">
        <v>4</v>
      </c>
      <c r="P57" s="1649">
        <v>4</v>
      </c>
      <c r="Q57" s="1650">
        <v>4</v>
      </c>
      <c r="R57" s="1649">
        <v>4</v>
      </c>
      <c r="S57" s="1649">
        <v>4</v>
      </c>
      <c r="T57" s="1649">
        <v>4</v>
      </c>
      <c r="U57" s="1650">
        <v>4</v>
      </c>
      <c r="V57" s="1651">
        <v>4</v>
      </c>
      <c r="W57" s="1651">
        <v>4</v>
      </c>
      <c r="X57" s="1651">
        <v>4</v>
      </c>
      <c r="Y57" s="1651">
        <v>4</v>
      </c>
      <c r="Z57" s="1651">
        <v>4</v>
      </c>
      <c r="AA57" s="1652">
        <v>4</v>
      </c>
      <c r="AB57" s="1649">
        <v>4</v>
      </c>
      <c r="AC57" s="1649">
        <v>4</v>
      </c>
      <c r="AD57" s="1649">
        <v>4</v>
      </c>
      <c r="AE57" s="1649">
        <v>4</v>
      </c>
      <c r="AF57" s="1649">
        <v>4</v>
      </c>
      <c r="AG57" s="1649">
        <v>4</v>
      </c>
      <c r="AH57" s="1649">
        <v>4</v>
      </c>
      <c r="AI57" s="1649">
        <v>4</v>
      </c>
      <c r="AJ57" s="1649">
        <v>4</v>
      </c>
      <c r="AK57" s="1649">
        <v>4</v>
      </c>
      <c r="AL57" s="2987">
        <v>4</v>
      </c>
      <c r="AM57" s="2987">
        <v>4</v>
      </c>
      <c r="AN57" s="2987">
        <v>4</v>
      </c>
      <c r="AO57" s="2987">
        <v>4</v>
      </c>
      <c r="AP57" s="2987">
        <v>4</v>
      </c>
      <c r="AQ57" s="2987">
        <v>4</v>
      </c>
      <c r="AR57" s="2987">
        <v>4</v>
      </c>
      <c r="AS57" s="2987">
        <v>4</v>
      </c>
    </row>
    <row r="58" spans="1:45" ht="15">
      <c r="A58" s="93" t="s">
        <v>2947</v>
      </c>
      <c r="B58" s="91" t="s">
        <v>2948</v>
      </c>
      <c r="C58" s="2987">
        <v>0</v>
      </c>
      <c r="D58" s="1649">
        <v>0</v>
      </c>
      <c r="E58" s="2988">
        <v>0</v>
      </c>
      <c r="F58" s="2987">
        <v>0</v>
      </c>
      <c r="G58" s="2987">
        <v>0</v>
      </c>
      <c r="H58" s="2987">
        <v>0</v>
      </c>
      <c r="I58" s="2988">
        <v>0</v>
      </c>
      <c r="J58" s="2987">
        <v>0</v>
      </c>
      <c r="K58" s="2987">
        <v>0</v>
      </c>
      <c r="L58" s="2987">
        <v>0</v>
      </c>
      <c r="M58" s="2988">
        <v>0</v>
      </c>
      <c r="N58" s="2987">
        <v>0</v>
      </c>
      <c r="O58" s="2987">
        <v>0</v>
      </c>
      <c r="P58" s="2987">
        <v>0</v>
      </c>
      <c r="Q58" s="2988">
        <v>0</v>
      </c>
      <c r="R58" s="2987">
        <v>0</v>
      </c>
      <c r="S58" s="2987">
        <v>0</v>
      </c>
      <c r="T58" s="2987">
        <v>0</v>
      </c>
      <c r="U58" s="2988">
        <v>0</v>
      </c>
      <c r="V58" s="2989">
        <v>0</v>
      </c>
      <c r="W58" s="2989">
        <v>0</v>
      </c>
      <c r="X58" s="2989">
        <v>0</v>
      </c>
      <c r="Y58" s="2989">
        <v>0</v>
      </c>
      <c r="Z58" s="2989">
        <v>0</v>
      </c>
      <c r="AA58" s="2991">
        <v>0</v>
      </c>
      <c r="AB58" s="2987">
        <v>0</v>
      </c>
      <c r="AC58" s="2987">
        <v>0</v>
      </c>
      <c r="AD58" s="2987">
        <v>0</v>
      </c>
      <c r="AE58" s="2987">
        <v>0</v>
      </c>
      <c r="AF58" s="2987">
        <v>0</v>
      </c>
      <c r="AG58" s="2987">
        <v>0</v>
      </c>
      <c r="AH58" s="2987">
        <v>0</v>
      </c>
      <c r="AI58" s="2987">
        <v>0</v>
      </c>
      <c r="AJ58" s="2987">
        <v>0</v>
      </c>
      <c r="AK58" s="2987">
        <v>0</v>
      </c>
      <c r="AL58" s="2987">
        <v>0</v>
      </c>
      <c r="AM58" s="2987">
        <v>0</v>
      </c>
      <c r="AN58" s="2987">
        <v>0</v>
      </c>
      <c r="AO58" s="2987">
        <v>0</v>
      </c>
      <c r="AP58" s="2987">
        <v>0</v>
      </c>
      <c r="AQ58" s="2987">
        <v>0</v>
      </c>
      <c r="AR58" s="2987">
        <v>0</v>
      </c>
      <c r="AS58" s="2987">
        <v>0</v>
      </c>
    </row>
    <row r="59" spans="1:45" ht="15">
      <c r="A59" s="93" t="s">
        <v>2949</v>
      </c>
      <c r="B59" s="91" t="s">
        <v>2950</v>
      </c>
      <c r="C59" s="2987">
        <v>0</v>
      </c>
      <c r="D59" s="1649">
        <v>0</v>
      </c>
      <c r="E59" s="2988">
        <v>0</v>
      </c>
      <c r="F59" s="1649">
        <v>0</v>
      </c>
      <c r="G59" s="1649">
        <v>0</v>
      </c>
      <c r="H59" s="1649">
        <v>0</v>
      </c>
      <c r="I59" s="2988">
        <v>0</v>
      </c>
      <c r="J59" s="1649">
        <v>0</v>
      </c>
      <c r="K59" s="1649">
        <v>0</v>
      </c>
      <c r="L59" s="1649">
        <v>0</v>
      </c>
      <c r="M59" s="2988">
        <v>0</v>
      </c>
      <c r="N59" s="1649">
        <v>0</v>
      </c>
      <c r="O59" s="1649">
        <v>0</v>
      </c>
      <c r="P59" s="1649">
        <v>0</v>
      </c>
      <c r="Q59" s="2988">
        <v>0</v>
      </c>
      <c r="R59" s="1649">
        <v>0</v>
      </c>
      <c r="S59" s="1649">
        <v>0</v>
      </c>
      <c r="T59" s="1649">
        <v>0</v>
      </c>
      <c r="U59" s="2988">
        <v>0</v>
      </c>
      <c r="V59" s="1651">
        <v>0</v>
      </c>
      <c r="W59" s="1651">
        <v>0</v>
      </c>
      <c r="X59" s="1651">
        <v>0</v>
      </c>
      <c r="Y59" s="1651">
        <v>0</v>
      </c>
      <c r="Z59" s="1651">
        <v>0</v>
      </c>
      <c r="AA59" s="1652">
        <v>0</v>
      </c>
      <c r="AB59" s="1649">
        <v>0</v>
      </c>
      <c r="AC59" s="1649">
        <v>0</v>
      </c>
      <c r="AD59" s="1649">
        <v>0</v>
      </c>
      <c r="AE59" s="1649">
        <v>0</v>
      </c>
      <c r="AF59" s="1649">
        <v>0</v>
      </c>
      <c r="AG59" s="1649">
        <v>0</v>
      </c>
      <c r="AH59" s="1649">
        <v>0</v>
      </c>
      <c r="AI59" s="1649">
        <v>0</v>
      </c>
      <c r="AJ59" s="1649">
        <v>0</v>
      </c>
      <c r="AK59" s="1649">
        <v>0</v>
      </c>
      <c r="AL59" s="1649">
        <v>0</v>
      </c>
      <c r="AM59" s="1649">
        <v>0</v>
      </c>
      <c r="AN59" s="1649">
        <v>0</v>
      </c>
      <c r="AO59" s="1649">
        <v>0</v>
      </c>
      <c r="AP59" s="1649">
        <v>0</v>
      </c>
      <c r="AQ59" s="1649">
        <v>0</v>
      </c>
      <c r="AR59" s="1649">
        <v>0</v>
      </c>
      <c r="AS59" s="1649">
        <v>0</v>
      </c>
    </row>
    <row r="60" spans="1:45" ht="15">
      <c r="A60" s="93" t="s">
        <v>2951</v>
      </c>
      <c r="B60" s="91" t="s">
        <v>2952</v>
      </c>
      <c r="C60" s="1645">
        <v>4</v>
      </c>
      <c r="D60" s="1649">
        <v>4</v>
      </c>
      <c r="E60" s="1650">
        <v>4</v>
      </c>
      <c r="F60" s="1649">
        <v>6</v>
      </c>
      <c r="G60" s="1649">
        <v>6</v>
      </c>
      <c r="H60" s="1649">
        <v>6</v>
      </c>
      <c r="I60" s="2988">
        <v>6</v>
      </c>
      <c r="J60" s="1649">
        <v>8</v>
      </c>
      <c r="K60" s="1649">
        <v>8</v>
      </c>
      <c r="L60" s="1649">
        <v>8</v>
      </c>
      <c r="M60" s="1650">
        <v>8</v>
      </c>
      <c r="N60" s="1649">
        <v>8</v>
      </c>
      <c r="O60" s="1649">
        <v>8</v>
      </c>
      <c r="P60" s="1649">
        <v>8</v>
      </c>
      <c r="Q60" s="1650">
        <v>8</v>
      </c>
      <c r="R60" s="1649">
        <v>10</v>
      </c>
      <c r="S60" s="1649">
        <v>10</v>
      </c>
      <c r="T60" s="1649">
        <v>10</v>
      </c>
      <c r="U60" s="1650">
        <v>10</v>
      </c>
      <c r="V60" s="1651">
        <v>10</v>
      </c>
      <c r="W60" s="1651">
        <v>10</v>
      </c>
      <c r="X60" s="1651">
        <v>10</v>
      </c>
      <c r="Y60" s="1651">
        <v>10</v>
      </c>
      <c r="Z60" s="1651">
        <v>10</v>
      </c>
      <c r="AA60" s="1652">
        <v>10</v>
      </c>
      <c r="AB60" s="1649">
        <v>10</v>
      </c>
      <c r="AC60" s="1649">
        <v>10</v>
      </c>
      <c r="AD60" s="1649">
        <v>10</v>
      </c>
      <c r="AE60" s="1649">
        <v>10</v>
      </c>
      <c r="AF60" s="1649">
        <v>10</v>
      </c>
      <c r="AG60" s="1649">
        <v>10</v>
      </c>
      <c r="AH60" s="1649">
        <v>10</v>
      </c>
      <c r="AI60" s="1649">
        <v>10</v>
      </c>
      <c r="AJ60" s="1649">
        <v>10</v>
      </c>
      <c r="AK60" s="1649">
        <v>10</v>
      </c>
      <c r="AL60" s="1649">
        <v>10</v>
      </c>
      <c r="AM60" s="1649">
        <v>10</v>
      </c>
      <c r="AN60" s="1649">
        <v>10</v>
      </c>
      <c r="AO60" s="1649">
        <v>10</v>
      </c>
      <c r="AP60" s="1649">
        <v>10</v>
      </c>
      <c r="AQ60" s="1649">
        <v>10</v>
      </c>
      <c r="AR60" s="1649">
        <v>10</v>
      </c>
      <c r="AS60" s="1649">
        <v>10</v>
      </c>
    </row>
    <row r="61" spans="1:45" ht="15">
      <c r="A61" s="93" t="s">
        <v>2953</v>
      </c>
      <c r="B61" s="91" t="s">
        <v>2954</v>
      </c>
      <c r="C61" s="1645">
        <v>4</v>
      </c>
      <c r="D61" s="1649">
        <v>4</v>
      </c>
      <c r="E61" s="1650">
        <v>4</v>
      </c>
      <c r="F61" s="1649">
        <v>6</v>
      </c>
      <c r="G61" s="1649">
        <v>6</v>
      </c>
      <c r="H61" s="1649">
        <v>6</v>
      </c>
      <c r="I61" s="2988">
        <v>6</v>
      </c>
      <c r="J61" s="1649">
        <v>8</v>
      </c>
      <c r="K61" s="1649">
        <v>8</v>
      </c>
      <c r="L61" s="1649">
        <v>8</v>
      </c>
      <c r="M61" s="1650">
        <v>8</v>
      </c>
      <c r="N61" s="1649">
        <v>8</v>
      </c>
      <c r="O61" s="1649">
        <v>8</v>
      </c>
      <c r="P61" s="1649">
        <v>8</v>
      </c>
      <c r="Q61" s="1650">
        <v>8</v>
      </c>
      <c r="R61" s="1649">
        <v>10</v>
      </c>
      <c r="S61" s="1649">
        <v>10</v>
      </c>
      <c r="T61" s="1649">
        <v>10</v>
      </c>
      <c r="U61" s="1650">
        <v>10</v>
      </c>
      <c r="V61" s="1651">
        <v>10</v>
      </c>
      <c r="W61" s="1651">
        <v>10</v>
      </c>
      <c r="X61" s="1651">
        <v>10</v>
      </c>
      <c r="Y61" s="1651">
        <v>10</v>
      </c>
      <c r="Z61" s="1651">
        <v>10</v>
      </c>
      <c r="AA61" s="1652">
        <v>10</v>
      </c>
      <c r="AB61" s="1649">
        <v>10</v>
      </c>
      <c r="AC61" s="1649">
        <v>10</v>
      </c>
      <c r="AD61" s="1649">
        <v>10</v>
      </c>
      <c r="AE61" s="1649">
        <v>10</v>
      </c>
      <c r="AF61" s="1649">
        <v>10</v>
      </c>
      <c r="AG61" s="1649">
        <v>10</v>
      </c>
      <c r="AH61" s="1649">
        <v>10</v>
      </c>
      <c r="AI61" s="1649">
        <v>10</v>
      </c>
      <c r="AJ61" s="1649">
        <v>10</v>
      </c>
      <c r="AK61" s="1649">
        <v>10</v>
      </c>
      <c r="AL61" s="1649">
        <v>10</v>
      </c>
      <c r="AM61" s="1649">
        <v>10</v>
      </c>
      <c r="AN61" s="1649">
        <v>10</v>
      </c>
      <c r="AO61" s="1649">
        <v>10</v>
      </c>
      <c r="AP61" s="1649">
        <v>10</v>
      </c>
      <c r="AQ61" s="1649">
        <v>10</v>
      </c>
      <c r="AR61" s="1649">
        <v>10</v>
      </c>
      <c r="AS61" s="1649">
        <v>10</v>
      </c>
    </row>
    <row r="62" spans="1:45" ht="15">
      <c r="A62" s="93" t="s">
        <v>2955</v>
      </c>
      <c r="B62" s="91" t="s">
        <v>3226</v>
      </c>
      <c r="C62" s="2987">
        <v>0</v>
      </c>
      <c r="D62" s="1649">
        <v>0</v>
      </c>
      <c r="E62" s="2988">
        <v>0</v>
      </c>
      <c r="F62" s="1649">
        <v>0</v>
      </c>
      <c r="G62" s="1649">
        <v>0</v>
      </c>
      <c r="H62" s="1649">
        <v>0</v>
      </c>
      <c r="I62" s="2988">
        <v>0</v>
      </c>
      <c r="J62" s="1649">
        <v>0</v>
      </c>
      <c r="K62" s="1649">
        <v>0</v>
      </c>
      <c r="L62" s="1649">
        <v>0</v>
      </c>
      <c r="M62" s="2988">
        <v>0</v>
      </c>
      <c r="N62" s="1649">
        <v>0</v>
      </c>
      <c r="O62" s="1649">
        <v>0</v>
      </c>
      <c r="P62" s="1649">
        <v>0</v>
      </c>
      <c r="Q62" s="2988">
        <v>0</v>
      </c>
      <c r="R62" s="1649">
        <v>0</v>
      </c>
      <c r="S62" s="1649">
        <v>0</v>
      </c>
      <c r="T62" s="1649">
        <v>0</v>
      </c>
      <c r="U62" s="2988">
        <v>0</v>
      </c>
      <c r="V62" s="1651">
        <v>0</v>
      </c>
      <c r="W62" s="1651">
        <v>0</v>
      </c>
      <c r="X62" s="1651">
        <v>0</v>
      </c>
      <c r="Y62" s="1651">
        <v>0</v>
      </c>
      <c r="Z62" s="1651">
        <v>0</v>
      </c>
      <c r="AA62" s="1652">
        <v>0</v>
      </c>
      <c r="AB62" s="1649">
        <v>0</v>
      </c>
      <c r="AC62" s="1649">
        <v>0</v>
      </c>
      <c r="AD62" s="1649">
        <v>0</v>
      </c>
      <c r="AE62" s="1649">
        <v>0</v>
      </c>
      <c r="AF62" s="1649">
        <v>0</v>
      </c>
      <c r="AG62" s="1649">
        <v>0</v>
      </c>
      <c r="AH62" s="1649">
        <v>0</v>
      </c>
      <c r="AI62" s="1649">
        <v>0</v>
      </c>
      <c r="AJ62" s="1649">
        <v>0</v>
      </c>
      <c r="AK62" s="1649">
        <v>0</v>
      </c>
      <c r="AL62" s="1649">
        <v>0</v>
      </c>
      <c r="AM62" s="1649">
        <v>0</v>
      </c>
      <c r="AN62" s="1649">
        <v>0</v>
      </c>
      <c r="AO62" s="1649">
        <v>0</v>
      </c>
      <c r="AP62" s="1649">
        <v>0</v>
      </c>
      <c r="AQ62" s="1649">
        <v>0</v>
      </c>
      <c r="AR62" s="1649">
        <v>0</v>
      </c>
      <c r="AS62" s="1649">
        <v>0</v>
      </c>
    </row>
    <row r="63" spans="1:45" ht="15">
      <c r="A63" s="93" t="s">
        <v>3227</v>
      </c>
      <c r="B63" s="91" t="s">
        <v>3228</v>
      </c>
      <c r="C63" s="2987">
        <v>0</v>
      </c>
      <c r="D63" s="1649">
        <v>0</v>
      </c>
      <c r="E63" s="2988">
        <v>0</v>
      </c>
      <c r="F63" s="1649">
        <v>0</v>
      </c>
      <c r="G63" s="1649">
        <v>0</v>
      </c>
      <c r="H63" s="1649">
        <v>0</v>
      </c>
      <c r="I63" s="2988">
        <v>0</v>
      </c>
      <c r="J63" s="1649">
        <v>0</v>
      </c>
      <c r="K63" s="1649">
        <v>0</v>
      </c>
      <c r="L63" s="1649">
        <v>0</v>
      </c>
      <c r="M63" s="2988">
        <v>0</v>
      </c>
      <c r="N63" s="1649">
        <v>0</v>
      </c>
      <c r="O63" s="1649">
        <v>0</v>
      </c>
      <c r="P63" s="1649">
        <v>0</v>
      </c>
      <c r="Q63" s="2988">
        <v>0</v>
      </c>
      <c r="R63" s="1649">
        <v>0</v>
      </c>
      <c r="S63" s="1649">
        <v>0</v>
      </c>
      <c r="T63" s="1649">
        <v>0</v>
      </c>
      <c r="U63" s="2988">
        <v>0</v>
      </c>
      <c r="V63" s="1651">
        <v>0</v>
      </c>
      <c r="W63" s="1651">
        <v>0</v>
      </c>
      <c r="X63" s="1651">
        <v>0</v>
      </c>
      <c r="Y63" s="1651">
        <v>0</v>
      </c>
      <c r="Z63" s="1651">
        <v>0</v>
      </c>
      <c r="AA63" s="1652">
        <v>0</v>
      </c>
      <c r="AB63" s="1649">
        <v>0</v>
      </c>
      <c r="AC63" s="1649">
        <v>0</v>
      </c>
      <c r="AD63" s="1649">
        <v>0</v>
      </c>
      <c r="AE63" s="1649">
        <v>0</v>
      </c>
      <c r="AF63" s="1649">
        <v>0</v>
      </c>
      <c r="AG63" s="1649">
        <v>0</v>
      </c>
      <c r="AH63" s="1649">
        <v>0</v>
      </c>
      <c r="AI63" s="1649">
        <v>0</v>
      </c>
      <c r="AJ63" s="1649">
        <v>0</v>
      </c>
      <c r="AK63" s="1649">
        <v>0</v>
      </c>
      <c r="AL63" s="1649">
        <v>0</v>
      </c>
      <c r="AM63" s="1649">
        <v>0</v>
      </c>
      <c r="AN63" s="1649">
        <v>0</v>
      </c>
      <c r="AO63" s="1649">
        <v>0</v>
      </c>
      <c r="AP63" s="1649">
        <v>0</v>
      </c>
      <c r="AQ63" s="1649">
        <v>0</v>
      </c>
      <c r="AR63" s="1649">
        <v>0</v>
      </c>
      <c r="AS63" s="1649">
        <v>0</v>
      </c>
    </row>
    <row r="64" spans="1:45" ht="15">
      <c r="A64" s="93" t="s">
        <v>3229</v>
      </c>
      <c r="B64" s="91" t="s">
        <v>3230</v>
      </c>
      <c r="C64" s="2987">
        <v>0</v>
      </c>
      <c r="D64" s="1649">
        <v>0</v>
      </c>
      <c r="E64" s="2988">
        <v>0</v>
      </c>
      <c r="F64" s="1649">
        <v>0</v>
      </c>
      <c r="G64" s="1649">
        <v>0</v>
      </c>
      <c r="H64" s="1649">
        <v>0</v>
      </c>
      <c r="I64" s="2988">
        <v>0</v>
      </c>
      <c r="J64" s="1649">
        <v>0</v>
      </c>
      <c r="K64" s="1649">
        <v>0</v>
      </c>
      <c r="L64" s="1649">
        <v>0</v>
      </c>
      <c r="M64" s="2988">
        <v>0</v>
      </c>
      <c r="N64" s="1649">
        <v>0</v>
      </c>
      <c r="O64" s="1649">
        <v>0</v>
      </c>
      <c r="P64" s="1649">
        <v>0</v>
      </c>
      <c r="Q64" s="2988">
        <v>0</v>
      </c>
      <c r="R64" s="1649">
        <v>0</v>
      </c>
      <c r="S64" s="1649">
        <v>0</v>
      </c>
      <c r="T64" s="1649">
        <v>0</v>
      </c>
      <c r="U64" s="2988">
        <v>0</v>
      </c>
      <c r="V64" s="1651">
        <v>0</v>
      </c>
      <c r="W64" s="1651">
        <v>0</v>
      </c>
      <c r="X64" s="1651">
        <v>0</v>
      </c>
      <c r="Y64" s="1651">
        <v>0</v>
      </c>
      <c r="Z64" s="1651">
        <v>0</v>
      </c>
      <c r="AA64" s="1652">
        <v>0</v>
      </c>
      <c r="AB64" s="1649">
        <v>0</v>
      </c>
      <c r="AC64" s="1649">
        <v>0</v>
      </c>
      <c r="AD64" s="1649">
        <v>0</v>
      </c>
      <c r="AE64" s="1649">
        <v>0</v>
      </c>
      <c r="AF64" s="1649">
        <v>0</v>
      </c>
      <c r="AG64" s="1649">
        <v>0</v>
      </c>
      <c r="AH64" s="1649">
        <v>0</v>
      </c>
      <c r="AI64" s="1649">
        <v>0</v>
      </c>
      <c r="AJ64" s="1649">
        <v>0</v>
      </c>
      <c r="AK64" s="1649">
        <v>0</v>
      </c>
      <c r="AL64" s="1649">
        <v>0</v>
      </c>
      <c r="AM64" s="1649">
        <v>0</v>
      </c>
      <c r="AN64" s="1649">
        <v>0</v>
      </c>
      <c r="AO64" s="1649">
        <v>0</v>
      </c>
      <c r="AP64" s="1649">
        <v>0</v>
      </c>
      <c r="AQ64" s="1649">
        <v>0</v>
      </c>
      <c r="AR64" s="1649">
        <v>0</v>
      </c>
      <c r="AS64" s="1649">
        <v>0</v>
      </c>
    </row>
    <row r="65" spans="1:46" ht="15">
      <c r="A65" s="93" t="s">
        <v>3231</v>
      </c>
      <c r="B65" s="91" t="s">
        <v>3232</v>
      </c>
      <c r="C65" s="2987">
        <v>0</v>
      </c>
      <c r="D65" s="1649">
        <v>0</v>
      </c>
      <c r="E65" s="2988">
        <v>0</v>
      </c>
      <c r="F65" s="1649">
        <v>0</v>
      </c>
      <c r="G65" s="1649">
        <v>0</v>
      </c>
      <c r="H65" s="1649">
        <v>0</v>
      </c>
      <c r="I65" s="2988">
        <v>0</v>
      </c>
      <c r="J65" s="1649">
        <v>0</v>
      </c>
      <c r="K65" s="1649">
        <v>0</v>
      </c>
      <c r="L65" s="1649">
        <v>0</v>
      </c>
      <c r="M65" s="2988">
        <v>0</v>
      </c>
      <c r="N65" s="1649">
        <v>0</v>
      </c>
      <c r="O65" s="1649">
        <v>0</v>
      </c>
      <c r="P65" s="1649">
        <v>0</v>
      </c>
      <c r="Q65" s="2988">
        <v>0</v>
      </c>
      <c r="R65" s="1649">
        <v>0</v>
      </c>
      <c r="S65" s="1649">
        <v>0</v>
      </c>
      <c r="T65" s="1649">
        <v>0</v>
      </c>
      <c r="U65" s="2988">
        <v>0</v>
      </c>
      <c r="V65" s="1651">
        <v>0</v>
      </c>
      <c r="W65" s="1651">
        <v>0</v>
      </c>
      <c r="X65" s="1651">
        <v>0</v>
      </c>
      <c r="Y65" s="1651">
        <v>0</v>
      </c>
      <c r="Z65" s="1651">
        <v>0</v>
      </c>
      <c r="AA65" s="1652">
        <v>0</v>
      </c>
      <c r="AB65" s="1649">
        <v>0</v>
      </c>
      <c r="AC65" s="1649">
        <v>0</v>
      </c>
      <c r="AD65" s="1649">
        <v>0</v>
      </c>
      <c r="AE65" s="1649">
        <v>0</v>
      </c>
      <c r="AF65" s="1649">
        <v>0</v>
      </c>
      <c r="AG65" s="1649">
        <v>0</v>
      </c>
      <c r="AH65" s="1649">
        <v>0</v>
      </c>
      <c r="AI65" s="1649">
        <v>0</v>
      </c>
      <c r="AJ65" s="1649">
        <v>0</v>
      </c>
      <c r="AK65" s="1649">
        <v>0</v>
      </c>
      <c r="AL65" s="1649">
        <v>0</v>
      </c>
      <c r="AM65" s="1649">
        <v>0</v>
      </c>
      <c r="AN65" s="1649">
        <v>0</v>
      </c>
      <c r="AO65" s="1649">
        <v>0</v>
      </c>
      <c r="AP65" s="1649">
        <v>0</v>
      </c>
      <c r="AQ65" s="1649">
        <v>0</v>
      </c>
      <c r="AR65" s="1649">
        <v>0</v>
      </c>
      <c r="AS65" s="1649">
        <v>0</v>
      </c>
    </row>
    <row r="66" spans="1:46" s="94" customFormat="1" ht="15">
      <c r="A66" s="93" t="s">
        <v>3233</v>
      </c>
      <c r="B66" s="91" t="s">
        <v>3234</v>
      </c>
      <c r="C66" s="2987">
        <v>0</v>
      </c>
      <c r="D66" s="1649">
        <v>0</v>
      </c>
      <c r="E66" s="2988">
        <v>0</v>
      </c>
      <c r="F66" s="1649">
        <v>0</v>
      </c>
      <c r="G66" s="1649">
        <v>0</v>
      </c>
      <c r="H66" s="1649">
        <v>0</v>
      </c>
      <c r="I66" s="2988">
        <v>0</v>
      </c>
      <c r="J66" s="1649">
        <v>0</v>
      </c>
      <c r="K66" s="1649">
        <v>0</v>
      </c>
      <c r="L66" s="1649">
        <v>0</v>
      </c>
      <c r="M66" s="2988">
        <v>0</v>
      </c>
      <c r="N66" s="1649">
        <v>0</v>
      </c>
      <c r="O66" s="1649">
        <v>0</v>
      </c>
      <c r="P66" s="1649">
        <v>0</v>
      </c>
      <c r="Q66" s="2988">
        <v>0</v>
      </c>
      <c r="R66" s="1649">
        <v>0</v>
      </c>
      <c r="S66" s="1649">
        <v>0</v>
      </c>
      <c r="T66" s="1649">
        <v>0</v>
      </c>
      <c r="U66" s="2988">
        <v>0</v>
      </c>
      <c r="V66" s="1651">
        <v>0</v>
      </c>
      <c r="W66" s="1651">
        <v>0</v>
      </c>
      <c r="X66" s="1651">
        <v>0</v>
      </c>
      <c r="Y66" s="1651">
        <v>0</v>
      </c>
      <c r="Z66" s="1651">
        <v>0</v>
      </c>
      <c r="AA66" s="1652">
        <v>0</v>
      </c>
      <c r="AB66" s="1649">
        <v>0</v>
      </c>
      <c r="AC66" s="1649">
        <v>0</v>
      </c>
      <c r="AD66" s="1649">
        <v>0</v>
      </c>
      <c r="AE66" s="1649">
        <v>0</v>
      </c>
      <c r="AF66" s="1649">
        <v>0</v>
      </c>
      <c r="AG66" s="1649">
        <v>0</v>
      </c>
      <c r="AH66" s="1649">
        <v>0</v>
      </c>
      <c r="AI66" s="1649">
        <v>0</v>
      </c>
      <c r="AJ66" s="1649">
        <v>0</v>
      </c>
      <c r="AK66" s="1649">
        <v>0</v>
      </c>
      <c r="AL66" s="1649">
        <v>0</v>
      </c>
      <c r="AM66" s="1649">
        <v>0</v>
      </c>
      <c r="AN66" s="1649">
        <v>0</v>
      </c>
      <c r="AO66" s="1649">
        <v>0</v>
      </c>
      <c r="AP66" s="1649">
        <v>0</v>
      </c>
      <c r="AQ66" s="1649">
        <v>0</v>
      </c>
      <c r="AR66" s="1649">
        <v>0</v>
      </c>
      <c r="AS66" s="1649">
        <v>0</v>
      </c>
    </row>
    <row r="67" spans="1:46" ht="15">
      <c r="A67" s="93" t="s">
        <v>1786</v>
      </c>
      <c r="B67" s="91" t="s">
        <v>1793</v>
      </c>
      <c r="C67" s="2987">
        <v>1</v>
      </c>
      <c r="D67" s="1649">
        <v>1</v>
      </c>
      <c r="E67" s="1650">
        <v>1</v>
      </c>
      <c r="F67" s="1649">
        <v>1</v>
      </c>
      <c r="G67" s="1649">
        <v>1</v>
      </c>
      <c r="H67" s="1649">
        <v>1</v>
      </c>
      <c r="I67" s="2988">
        <v>1</v>
      </c>
      <c r="J67" s="1649">
        <v>1</v>
      </c>
      <c r="K67" s="1649">
        <v>1</v>
      </c>
      <c r="L67" s="1649">
        <v>1</v>
      </c>
      <c r="M67" s="1650">
        <v>1</v>
      </c>
      <c r="N67" s="1649">
        <v>1</v>
      </c>
      <c r="O67" s="1649">
        <v>1</v>
      </c>
      <c r="P67" s="1649">
        <v>1</v>
      </c>
      <c r="Q67" s="1650">
        <v>1</v>
      </c>
      <c r="R67" s="1649">
        <v>1</v>
      </c>
      <c r="S67" s="1649">
        <v>1</v>
      </c>
      <c r="T67" s="1649">
        <v>1</v>
      </c>
      <c r="U67" s="1650">
        <v>1</v>
      </c>
      <c r="V67" s="1651">
        <v>1</v>
      </c>
      <c r="W67" s="1651">
        <v>1</v>
      </c>
      <c r="X67" s="1651">
        <v>1</v>
      </c>
      <c r="Y67" s="1651">
        <v>1</v>
      </c>
      <c r="Z67" s="1651">
        <v>1</v>
      </c>
      <c r="AA67" s="1652">
        <v>1</v>
      </c>
      <c r="AB67" s="1649">
        <v>1</v>
      </c>
      <c r="AC67" s="1649">
        <v>1</v>
      </c>
      <c r="AD67" s="1649">
        <v>1</v>
      </c>
      <c r="AE67" s="1649">
        <v>1</v>
      </c>
      <c r="AF67" s="1649">
        <v>1</v>
      </c>
      <c r="AG67" s="1649">
        <v>1</v>
      </c>
      <c r="AH67" s="1649">
        <v>1</v>
      </c>
      <c r="AI67" s="1649">
        <v>1</v>
      </c>
      <c r="AJ67" s="1649">
        <v>1</v>
      </c>
      <c r="AK67" s="1649">
        <v>1</v>
      </c>
      <c r="AL67" s="1649">
        <v>1</v>
      </c>
      <c r="AM67" s="1649">
        <v>1</v>
      </c>
      <c r="AN67" s="1649">
        <v>1</v>
      </c>
      <c r="AO67" s="1649">
        <v>1</v>
      </c>
      <c r="AP67" s="1649">
        <v>1</v>
      </c>
      <c r="AQ67" s="1649">
        <v>1</v>
      </c>
      <c r="AR67" s="1649">
        <v>1</v>
      </c>
      <c r="AS67" s="1649">
        <v>1</v>
      </c>
    </row>
    <row r="68" spans="1:46" ht="15">
      <c r="A68" s="93" t="s">
        <v>176</v>
      </c>
      <c r="B68" s="91" t="s">
        <v>177</v>
      </c>
      <c r="C68" s="2987">
        <v>1</v>
      </c>
      <c r="D68" s="1649">
        <v>1</v>
      </c>
      <c r="E68" s="1650">
        <v>1</v>
      </c>
      <c r="F68" s="1649">
        <v>1</v>
      </c>
      <c r="G68" s="1649">
        <v>1</v>
      </c>
      <c r="H68" s="1649">
        <v>1</v>
      </c>
      <c r="I68" s="2988">
        <v>1</v>
      </c>
      <c r="J68" s="1649">
        <v>1</v>
      </c>
      <c r="K68" s="1649">
        <v>1</v>
      </c>
      <c r="L68" s="1649">
        <v>1</v>
      </c>
      <c r="M68" s="1650">
        <v>1</v>
      </c>
      <c r="N68" s="1649">
        <v>1</v>
      </c>
      <c r="O68" s="1649">
        <v>1</v>
      </c>
      <c r="P68" s="1649">
        <v>1</v>
      </c>
      <c r="Q68" s="1650">
        <v>1</v>
      </c>
      <c r="R68" s="1649">
        <v>1</v>
      </c>
      <c r="S68" s="1649">
        <v>1</v>
      </c>
      <c r="T68" s="1649">
        <v>1</v>
      </c>
      <c r="U68" s="1650">
        <v>1</v>
      </c>
      <c r="V68" s="1651">
        <v>1</v>
      </c>
      <c r="W68" s="1651">
        <v>1</v>
      </c>
      <c r="X68" s="1651">
        <v>1</v>
      </c>
      <c r="Y68" s="1651">
        <v>1</v>
      </c>
      <c r="Z68" s="1651">
        <v>1</v>
      </c>
      <c r="AA68" s="1652">
        <v>1</v>
      </c>
      <c r="AB68" s="1649">
        <v>1</v>
      </c>
      <c r="AC68" s="1649">
        <v>1</v>
      </c>
      <c r="AD68" s="1649">
        <v>1</v>
      </c>
      <c r="AE68" s="1649">
        <v>1</v>
      </c>
      <c r="AF68" s="1649">
        <v>1</v>
      </c>
      <c r="AG68" s="1649">
        <v>1</v>
      </c>
      <c r="AH68" s="1649">
        <v>1</v>
      </c>
      <c r="AI68" s="1649">
        <v>1</v>
      </c>
      <c r="AJ68" s="1649">
        <v>1</v>
      </c>
      <c r="AK68" s="1649">
        <v>1</v>
      </c>
      <c r="AL68" s="1649">
        <v>1</v>
      </c>
      <c r="AM68" s="1649">
        <v>1</v>
      </c>
      <c r="AN68" s="1649">
        <v>1</v>
      </c>
      <c r="AO68" s="1649">
        <v>1</v>
      </c>
      <c r="AP68" s="1649">
        <v>1</v>
      </c>
      <c r="AQ68" s="1649">
        <v>1</v>
      </c>
      <c r="AR68" s="1649">
        <v>1</v>
      </c>
      <c r="AS68" s="1649">
        <v>1</v>
      </c>
    </row>
    <row r="69" spans="1:46" ht="15">
      <c r="A69" s="93" t="s">
        <v>178</v>
      </c>
      <c r="B69" s="91" t="s">
        <v>179</v>
      </c>
      <c r="C69" s="2994">
        <v>1</v>
      </c>
      <c r="D69" s="1649">
        <v>1</v>
      </c>
      <c r="E69" s="1650">
        <v>1</v>
      </c>
      <c r="F69" s="1649">
        <v>1</v>
      </c>
      <c r="G69" s="1649">
        <v>1</v>
      </c>
      <c r="H69" s="1649">
        <v>1</v>
      </c>
      <c r="I69" s="2988">
        <v>1</v>
      </c>
      <c r="J69" s="1649">
        <v>1</v>
      </c>
      <c r="K69" s="1649">
        <v>1</v>
      </c>
      <c r="L69" s="1649">
        <v>1</v>
      </c>
      <c r="M69" s="1650">
        <v>1</v>
      </c>
      <c r="N69" s="1649">
        <v>1</v>
      </c>
      <c r="O69" s="1649">
        <v>1</v>
      </c>
      <c r="P69" s="1649">
        <v>1</v>
      </c>
      <c r="Q69" s="1650">
        <v>1</v>
      </c>
      <c r="R69" s="1649">
        <v>1</v>
      </c>
      <c r="S69" s="1649">
        <v>1</v>
      </c>
      <c r="T69" s="1649">
        <v>1</v>
      </c>
      <c r="U69" s="1650">
        <v>1</v>
      </c>
      <c r="V69" s="1651">
        <v>1</v>
      </c>
      <c r="W69" s="1651">
        <v>1</v>
      </c>
      <c r="X69" s="1651">
        <v>1</v>
      </c>
      <c r="Y69" s="1651">
        <v>1</v>
      </c>
      <c r="Z69" s="1651">
        <v>1</v>
      </c>
      <c r="AA69" s="1652">
        <v>1</v>
      </c>
      <c r="AB69" s="1649">
        <v>1</v>
      </c>
      <c r="AC69" s="1649">
        <v>1</v>
      </c>
      <c r="AD69" s="1649">
        <v>1</v>
      </c>
      <c r="AE69" s="1649">
        <v>1</v>
      </c>
      <c r="AF69" s="1649">
        <v>1</v>
      </c>
      <c r="AG69" s="1649">
        <v>1</v>
      </c>
      <c r="AH69" s="1649">
        <v>1</v>
      </c>
      <c r="AI69" s="1649">
        <v>1</v>
      </c>
      <c r="AJ69" s="1649">
        <v>1</v>
      </c>
      <c r="AK69" s="1649">
        <v>1</v>
      </c>
      <c r="AL69" s="1649">
        <v>1</v>
      </c>
      <c r="AM69" s="1649">
        <v>1</v>
      </c>
      <c r="AN69" s="1649">
        <v>1</v>
      </c>
      <c r="AO69" s="1649">
        <v>1</v>
      </c>
      <c r="AP69" s="1649">
        <v>1</v>
      </c>
      <c r="AQ69" s="1649">
        <v>1</v>
      </c>
      <c r="AR69" s="1649">
        <v>1</v>
      </c>
      <c r="AS69" s="1649">
        <v>1</v>
      </c>
    </row>
    <row r="70" spans="1:46" ht="15">
      <c r="A70" s="95" t="s">
        <v>1787</v>
      </c>
      <c r="B70" s="91" t="s">
        <v>1323</v>
      </c>
      <c r="C70" s="1645">
        <v>0</v>
      </c>
      <c r="D70" s="1649">
        <v>0</v>
      </c>
      <c r="E70" s="2988">
        <v>0</v>
      </c>
      <c r="F70" s="1649">
        <v>0</v>
      </c>
      <c r="G70" s="1649">
        <v>0</v>
      </c>
      <c r="H70" s="1649">
        <v>0</v>
      </c>
      <c r="I70" s="2988">
        <v>0</v>
      </c>
      <c r="J70" s="1649">
        <v>0</v>
      </c>
      <c r="K70" s="1649">
        <v>0</v>
      </c>
      <c r="L70" s="1649">
        <v>0</v>
      </c>
      <c r="M70" s="2988">
        <v>0</v>
      </c>
      <c r="N70" s="1649">
        <v>0</v>
      </c>
      <c r="O70" s="1649">
        <v>0</v>
      </c>
      <c r="P70" s="1649">
        <v>0</v>
      </c>
      <c r="Q70" s="2988">
        <v>0</v>
      </c>
      <c r="R70" s="1649">
        <v>0</v>
      </c>
      <c r="S70" s="1649">
        <v>0</v>
      </c>
      <c r="T70" s="1649">
        <v>0</v>
      </c>
      <c r="U70" s="2988">
        <v>0</v>
      </c>
      <c r="V70" s="1651">
        <v>0</v>
      </c>
      <c r="W70" s="1651">
        <v>0</v>
      </c>
      <c r="X70" s="1651">
        <v>0</v>
      </c>
      <c r="Y70" s="1651">
        <v>0</v>
      </c>
      <c r="Z70" s="1651">
        <v>0</v>
      </c>
      <c r="AA70" s="1652">
        <v>0</v>
      </c>
      <c r="AB70" s="1649">
        <v>0</v>
      </c>
      <c r="AC70" s="1649">
        <v>0</v>
      </c>
      <c r="AD70" s="1649">
        <v>0</v>
      </c>
      <c r="AE70" s="1649">
        <v>0</v>
      </c>
      <c r="AF70" s="1649">
        <v>0</v>
      </c>
      <c r="AG70" s="1649">
        <v>0</v>
      </c>
      <c r="AH70" s="1649">
        <v>0</v>
      </c>
      <c r="AI70" s="1649">
        <v>0</v>
      </c>
      <c r="AJ70" s="1649">
        <v>0</v>
      </c>
      <c r="AK70" s="1649">
        <v>0</v>
      </c>
      <c r="AL70" s="1649">
        <v>0</v>
      </c>
      <c r="AM70" s="1649">
        <v>0</v>
      </c>
      <c r="AN70" s="1649">
        <v>0</v>
      </c>
      <c r="AO70" s="1649">
        <v>0</v>
      </c>
      <c r="AP70" s="1649">
        <v>0</v>
      </c>
      <c r="AQ70" s="1649">
        <v>0</v>
      </c>
      <c r="AR70" s="1649">
        <v>0</v>
      </c>
      <c r="AS70" s="1649">
        <v>0</v>
      </c>
    </row>
    <row r="71" spans="1:46" ht="15">
      <c r="A71" s="90" t="s">
        <v>1788</v>
      </c>
      <c r="B71" s="91" t="s">
        <v>183</v>
      </c>
      <c r="C71" s="1654">
        <v>5</v>
      </c>
      <c r="D71" s="1654">
        <v>6</v>
      </c>
      <c r="E71" s="1650">
        <v>7</v>
      </c>
      <c r="F71" s="1654">
        <v>8</v>
      </c>
      <c r="G71" s="1654">
        <v>9</v>
      </c>
      <c r="H71" s="1654">
        <v>10</v>
      </c>
      <c r="I71" s="2988">
        <v>11</v>
      </c>
      <c r="J71" s="1654">
        <v>12</v>
      </c>
      <c r="K71" s="1654">
        <v>13</v>
      </c>
      <c r="L71" s="1654">
        <v>14</v>
      </c>
      <c r="M71" s="1650">
        <v>15</v>
      </c>
      <c r="N71" s="1654">
        <v>16</v>
      </c>
      <c r="O71" s="1654">
        <v>17</v>
      </c>
      <c r="P71" s="1654">
        <v>18</v>
      </c>
      <c r="Q71" s="1650">
        <v>19</v>
      </c>
      <c r="R71" s="1654">
        <v>20</v>
      </c>
      <c r="S71" s="1654">
        <v>21</v>
      </c>
      <c r="T71" s="1654">
        <v>22</v>
      </c>
      <c r="U71" s="1650">
        <v>23</v>
      </c>
      <c r="V71" s="1654">
        <v>24</v>
      </c>
      <c r="W71" s="1654">
        <v>25</v>
      </c>
      <c r="X71" s="1654">
        <v>26</v>
      </c>
      <c r="Y71" s="1654">
        <v>27</v>
      </c>
      <c r="Z71" s="1654">
        <v>28</v>
      </c>
      <c r="AA71" s="2369">
        <v>29</v>
      </c>
      <c r="AB71" s="1654">
        <v>30</v>
      </c>
      <c r="AC71" s="1654">
        <v>31</v>
      </c>
      <c r="AD71" s="1654">
        <v>32</v>
      </c>
      <c r="AE71" s="1654">
        <v>33</v>
      </c>
      <c r="AF71" s="1654">
        <v>34</v>
      </c>
      <c r="AG71" s="1654">
        <v>35</v>
      </c>
      <c r="AH71" s="1654">
        <v>36</v>
      </c>
      <c r="AI71" s="1654">
        <v>37</v>
      </c>
      <c r="AJ71" s="1654">
        <v>38</v>
      </c>
      <c r="AK71" s="1654">
        <v>39</v>
      </c>
      <c r="AL71" s="1654">
        <v>40</v>
      </c>
      <c r="AM71" s="1654">
        <v>41</v>
      </c>
      <c r="AN71" s="1654">
        <v>42</v>
      </c>
      <c r="AO71" s="1654">
        <v>43</v>
      </c>
      <c r="AP71" s="1654">
        <v>44</v>
      </c>
      <c r="AQ71" s="1654">
        <v>45</v>
      </c>
      <c r="AR71" s="1654">
        <v>46</v>
      </c>
      <c r="AS71" s="1654">
        <v>47</v>
      </c>
      <c r="AT71" s="1654"/>
    </row>
    <row r="72" spans="1:46" ht="15">
      <c r="A72" s="90" t="s">
        <v>1789</v>
      </c>
      <c r="B72" s="91" t="s">
        <v>3937</v>
      </c>
      <c r="C72" s="2987">
        <v>1</v>
      </c>
      <c r="D72" s="1649">
        <v>1</v>
      </c>
      <c r="E72" s="1650">
        <v>1</v>
      </c>
      <c r="F72" s="1649">
        <v>1</v>
      </c>
      <c r="G72" s="1649">
        <v>1</v>
      </c>
      <c r="H72" s="1649">
        <v>1</v>
      </c>
      <c r="I72" s="2988">
        <v>1</v>
      </c>
      <c r="J72" s="1649">
        <v>1</v>
      </c>
      <c r="K72" s="1649">
        <v>1</v>
      </c>
      <c r="L72" s="1649">
        <v>1</v>
      </c>
      <c r="M72" s="1650">
        <v>1</v>
      </c>
      <c r="N72" s="1649">
        <v>1</v>
      </c>
      <c r="O72" s="1649">
        <v>1</v>
      </c>
      <c r="P72" s="1649">
        <v>1</v>
      </c>
      <c r="Q72" s="1650">
        <v>1</v>
      </c>
      <c r="R72" s="1649">
        <v>1</v>
      </c>
      <c r="S72" s="1649">
        <v>1</v>
      </c>
      <c r="T72" s="1649">
        <v>1</v>
      </c>
      <c r="U72" s="1650">
        <v>1</v>
      </c>
      <c r="V72" s="1651">
        <v>1</v>
      </c>
      <c r="W72" s="1651">
        <v>1</v>
      </c>
      <c r="X72" s="1651">
        <v>1</v>
      </c>
      <c r="Y72" s="1651">
        <v>1</v>
      </c>
      <c r="Z72" s="1651">
        <v>1</v>
      </c>
      <c r="AA72" s="1652">
        <v>1</v>
      </c>
      <c r="AB72" s="1649">
        <v>1</v>
      </c>
      <c r="AC72" s="1649">
        <v>1</v>
      </c>
      <c r="AD72" s="1649">
        <v>1</v>
      </c>
      <c r="AE72" s="1649">
        <v>1</v>
      </c>
      <c r="AF72" s="1649">
        <v>1</v>
      </c>
      <c r="AG72" s="1649">
        <v>1</v>
      </c>
      <c r="AH72" s="1649">
        <v>1</v>
      </c>
      <c r="AI72" s="1649">
        <v>1</v>
      </c>
      <c r="AJ72" s="1649">
        <v>1</v>
      </c>
      <c r="AK72" s="1649">
        <v>1</v>
      </c>
      <c r="AL72" s="1649">
        <v>1</v>
      </c>
      <c r="AM72" s="1649">
        <v>1</v>
      </c>
      <c r="AN72" s="1649">
        <v>1</v>
      </c>
      <c r="AO72" s="1649">
        <v>1</v>
      </c>
      <c r="AP72" s="1649">
        <v>1</v>
      </c>
      <c r="AQ72" s="1649">
        <v>1</v>
      </c>
      <c r="AR72" s="1649">
        <v>1</v>
      </c>
      <c r="AS72" s="1649">
        <v>1</v>
      </c>
    </row>
    <row r="73" spans="1:46" ht="15">
      <c r="A73" s="90" t="s">
        <v>1088</v>
      </c>
      <c r="B73" s="91" t="s">
        <v>3939</v>
      </c>
      <c r="C73" s="1649">
        <v>3</v>
      </c>
      <c r="D73" s="1649">
        <v>3</v>
      </c>
      <c r="E73" s="1650">
        <v>3</v>
      </c>
      <c r="F73" s="1649">
        <v>3</v>
      </c>
      <c r="G73" s="1649">
        <v>3</v>
      </c>
      <c r="H73" s="1649">
        <v>3</v>
      </c>
      <c r="I73" s="2988">
        <v>3</v>
      </c>
      <c r="J73" s="1649">
        <v>4</v>
      </c>
      <c r="K73" s="1649">
        <v>4</v>
      </c>
      <c r="L73" s="1649">
        <v>4</v>
      </c>
      <c r="M73" s="1650">
        <v>4</v>
      </c>
      <c r="N73" s="1649">
        <v>5</v>
      </c>
      <c r="O73" s="1649">
        <v>5</v>
      </c>
      <c r="P73" s="1649">
        <v>5</v>
      </c>
      <c r="Q73" s="1650">
        <v>5</v>
      </c>
      <c r="R73" s="1649">
        <v>6</v>
      </c>
      <c r="S73" s="1649">
        <v>6</v>
      </c>
      <c r="T73" s="1649">
        <v>6</v>
      </c>
      <c r="U73" s="1650">
        <v>6</v>
      </c>
      <c r="V73" s="1651">
        <v>6</v>
      </c>
      <c r="W73" s="1651">
        <v>6</v>
      </c>
      <c r="X73" s="1651">
        <v>6</v>
      </c>
      <c r="Y73" s="1651">
        <v>6</v>
      </c>
      <c r="Z73" s="1651">
        <v>6</v>
      </c>
      <c r="AA73" s="1652">
        <v>6</v>
      </c>
      <c r="AB73" s="1649">
        <v>6</v>
      </c>
      <c r="AC73" s="1649">
        <v>6</v>
      </c>
      <c r="AD73" s="1649">
        <v>6</v>
      </c>
      <c r="AE73" s="1649">
        <v>6</v>
      </c>
      <c r="AF73" s="1649">
        <v>6</v>
      </c>
      <c r="AG73" s="1649">
        <v>6</v>
      </c>
      <c r="AH73" s="1649">
        <v>6</v>
      </c>
      <c r="AI73" s="1649">
        <v>6</v>
      </c>
      <c r="AJ73" s="1649">
        <v>6</v>
      </c>
      <c r="AK73" s="1649">
        <v>6</v>
      </c>
      <c r="AL73" s="1649">
        <v>6</v>
      </c>
      <c r="AM73" s="1649">
        <v>6</v>
      </c>
      <c r="AN73" s="1649">
        <v>6</v>
      </c>
      <c r="AO73" s="1649">
        <v>6</v>
      </c>
      <c r="AP73" s="1649">
        <v>6</v>
      </c>
      <c r="AQ73" s="1649">
        <v>6</v>
      </c>
      <c r="AR73" s="1649">
        <v>6</v>
      </c>
      <c r="AS73" s="1649">
        <v>6</v>
      </c>
    </row>
    <row r="74" spans="1:46" ht="15">
      <c r="A74" s="93" t="s">
        <v>3940</v>
      </c>
      <c r="B74" s="91" t="s">
        <v>3941</v>
      </c>
      <c r="C74" s="1645">
        <v>2</v>
      </c>
      <c r="D74" s="1649">
        <v>2</v>
      </c>
      <c r="E74" s="1650">
        <v>2</v>
      </c>
      <c r="F74" s="1649">
        <v>2</v>
      </c>
      <c r="G74" s="1649">
        <v>2</v>
      </c>
      <c r="H74" s="1649">
        <v>2</v>
      </c>
      <c r="I74" s="2988">
        <v>2</v>
      </c>
      <c r="J74" s="1649">
        <v>2</v>
      </c>
      <c r="K74" s="1649">
        <v>2</v>
      </c>
      <c r="L74" s="1649">
        <v>2</v>
      </c>
      <c r="M74" s="1650">
        <v>2</v>
      </c>
      <c r="N74" s="1649">
        <v>2</v>
      </c>
      <c r="O74" s="1649">
        <v>2</v>
      </c>
      <c r="P74" s="1649">
        <v>2</v>
      </c>
      <c r="Q74" s="1650">
        <v>2</v>
      </c>
      <c r="R74" s="1649">
        <v>2</v>
      </c>
      <c r="S74" s="1649">
        <v>2</v>
      </c>
      <c r="T74" s="1649">
        <v>2</v>
      </c>
      <c r="U74" s="1650">
        <v>2</v>
      </c>
      <c r="V74" s="1651">
        <v>2</v>
      </c>
      <c r="W74" s="1651">
        <v>2</v>
      </c>
      <c r="X74" s="1651">
        <v>2</v>
      </c>
      <c r="Y74" s="1651">
        <v>2</v>
      </c>
      <c r="Z74" s="1651">
        <v>2</v>
      </c>
      <c r="AA74" s="1652">
        <v>2</v>
      </c>
      <c r="AB74" s="1649">
        <v>2</v>
      </c>
      <c r="AC74" s="1649">
        <v>2</v>
      </c>
      <c r="AD74" s="1649">
        <v>2</v>
      </c>
      <c r="AE74" s="1649">
        <v>2</v>
      </c>
      <c r="AF74" s="1649">
        <v>2</v>
      </c>
      <c r="AG74" s="1649">
        <v>2</v>
      </c>
      <c r="AH74" s="1649">
        <v>2</v>
      </c>
      <c r="AI74" s="1649">
        <v>2</v>
      </c>
      <c r="AJ74" s="1649">
        <v>2</v>
      </c>
      <c r="AK74" s="1649">
        <v>2</v>
      </c>
      <c r="AL74" s="1649">
        <v>2</v>
      </c>
      <c r="AM74" s="1649">
        <v>2</v>
      </c>
      <c r="AN74" s="1649">
        <v>2</v>
      </c>
      <c r="AO74" s="1649">
        <v>2</v>
      </c>
      <c r="AP74" s="1649">
        <v>2</v>
      </c>
      <c r="AQ74" s="1649">
        <v>2</v>
      </c>
      <c r="AR74" s="1649">
        <v>2</v>
      </c>
      <c r="AS74" s="1649">
        <v>2</v>
      </c>
    </row>
    <row r="75" spans="1:46" ht="15">
      <c r="A75" s="93" t="s">
        <v>3942</v>
      </c>
      <c r="B75" s="91" t="s">
        <v>3943</v>
      </c>
      <c r="C75" s="1645">
        <v>1</v>
      </c>
      <c r="D75" s="1649">
        <v>1</v>
      </c>
      <c r="E75" s="1650">
        <v>1</v>
      </c>
      <c r="F75" s="1649">
        <v>1</v>
      </c>
      <c r="G75" s="1649">
        <v>1</v>
      </c>
      <c r="H75" s="1649">
        <v>1</v>
      </c>
      <c r="I75" s="2988">
        <v>1</v>
      </c>
      <c r="J75" s="1649">
        <v>1</v>
      </c>
      <c r="K75" s="1649">
        <v>1</v>
      </c>
      <c r="L75" s="1649">
        <v>1</v>
      </c>
      <c r="M75" s="1650">
        <v>1</v>
      </c>
      <c r="N75" s="1649">
        <v>1</v>
      </c>
      <c r="O75" s="1649">
        <v>1</v>
      </c>
      <c r="P75" s="1649">
        <v>1</v>
      </c>
      <c r="Q75" s="1650">
        <v>1</v>
      </c>
      <c r="R75" s="1649">
        <v>1</v>
      </c>
      <c r="S75" s="1649">
        <v>1</v>
      </c>
      <c r="T75" s="1649">
        <v>1</v>
      </c>
      <c r="U75" s="1650">
        <v>1</v>
      </c>
      <c r="V75" s="1651">
        <v>1</v>
      </c>
      <c r="W75" s="1651">
        <v>1</v>
      </c>
      <c r="X75" s="1651">
        <v>1</v>
      </c>
      <c r="Y75" s="1651">
        <v>1</v>
      </c>
      <c r="Z75" s="1651">
        <v>1</v>
      </c>
      <c r="AA75" s="1652">
        <v>1</v>
      </c>
      <c r="AB75" s="1649">
        <v>1</v>
      </c>
      <c r="AC75" s="1649">
        <v>1</v>
      </c>
      <c r="AD75" s="1649">
        <v>1</v>
      </c>
      <c r="AE75" s="1649">
        <v>1</v>
      </c>
      <c r="AF75" s="1649">
        <v>1</v>
      </c>
      <c r="AG75" s="1649">
        <v>1</v>
      </c>
      <c r="AH75" s="1649">
        <v>1</v>
      </c>
      <c r="AI75" s="1649">
        <v>1</v>
      </c>
      <c r="AJ75" s="1649">
        <v>1</v>
      </c>
      <c r="AK75" s="1649">
        <v>1</v>
      </c>
      <c r="AL75" s="1649">
        <v>1</v>
      </c>
      <c r="AM75" s="1649">
        <v>1</v>
      </c>
      <c r="AN75" s="1649">
        <v>1</v>
      </c>
      <c r="AO75" s="1649">
        <v>1</v>
      </c>
      <c r="AP75" s="1649">
        <v>1</v>
      </c>
      <c r="AQ75" s="1649">
        <v>1</v>
      </c>
      <c r="AR75" s="1649">
        <v>1</v>
      </c>
      <c r="AS75" s="1649">
        <v>1</v>
      </c>
    </row>
    <row r="76" spans="1:46" ht="15">
      <c r="A76" s="93" t="s">
        <v>3944</v>
      </c>
      <c r="B76" s="91" t="s">
        <v>3945</v>
      </c>
      <c r="C76" s="2987">
        <v>0</v>
      </c>
      <c r="D76" s="1649">
        <v>0</v>
      </c>
      <c r="E76" s="2988">
        <v>0</v>
      </c>
      <c r="F76" s="1649">
        <v>0</v>
      </c>
      <c r="G76" s="1649">
        <v>0</v>
      </c>
      <c r="H76" s="1649">
        <v>0</v>
      </c>
      <c r="I76" s="2988">
        <v>0</v>
      </c>
      <c r="J76" s="1649">
        <v>0</v>
      </c>
      <c r="K76" s="1649">
        <v>0</v>
      </c>
      <c r="L76" s="1649">
        <v>0</v>
      </c>
      <c r="M76" s="2988">
        <v>0</v>
      </c>
      <c r="N76" s="1649">
        <v>0</v>
      </c>
      <c r="O76" s="1649">
        <v>0</v>
      </c>
      <c r="P76" s="1649">
        <v>0</v>
      </c>
      <c r="Q76" s="2988">
        <v>0</v>
      </c>
      <c r="R76" s="1649">
        <v>0</v>
      </c>
      <c r="S76" s="1649">
        <v>0</v>
      </c>
      <c r="T76" s="1649">
        <v>0</v>
      </c>
      <c r="U76" s="2988">
        <v>0</v>
      </c>
      <c r="V76" s="1651">
        <v>0</v>
      </c>
      <c r="W76" s="1651">
        <v>0</v>
      </c>
      <c r="X76" s="1651">
        <v>0</v>
      </c>
      <c r="Y76" s="1651">
        <v>0</v>
      </c>
      <c r="Z76" s="1651">
        <v>0</v>
      </c>
      <c r="AA76" s="1652">
        <v>0</v>
      </c>
      <c r="AB76" s="1649">
        <v>0</v>
      </c>
      <c r="AC76" s="1649">
        <v>0</v>
      </c>
      <c r="AD76" s="1649">
        <v>0</v>
      </c>
      <c r="AE76" s="1649">
        <v>0</v>
      </c>
      <c r="AF76" s="1649">
        <v>0</v>
      </c>
      <c r="AG76" s="1649">
        <v>0</v>
      </c>
      <c r="AH76" s="1649">
        <v>0</v>
      </c>
      <c r="AI76" s="1649">
        <v>0</v>
      </c>
      <c r="AJ76" s="1649">
        <v>0</v>
      </c>
      <c r="AK76" s="1649">
        <v>0</v>
      </c>
      <c r="AL76" s="1649">
        <v>0</v>
      </c>
      <c r="AM76" s="1649">
        <v>0</v>
      </c>
      <c r="AN76" s="1649">
        <v>0</v>
      </c>
      <c r="AO76" s="1649">
        <v>0</v>
      </c>
      <c r="AP76" s="1649">
        <v>0</v>
      </c>
      <c r="AQ76" s="1649">
        <v>0</v>
      </c>
      <c r="AR76" s="1649">
        <v>0</v>
      </c>
      <c r="AS76" s="1649">
        <v>0</v>
      </c>
    </row>
    <row r="77" spans="1:46" ht="15">
      <c r="A77" s="93" t="s">
        <v>3946</v>
      </c>
      <c r="B77" s="91" t="s">
        <v>3947</v>
      </c>
      <c r="C77" s="2987">
        <v>0</v>
      </c>
      <c r="D77" s="1649">
        <v>0</v>
      </c>
      <c r="E77" s="2988">
        <v>0</v>
      </c>
      <c r="F77" s="1649">
        <v>0</v>
      </c>
      <c r="G77" s="1649">
        <v>0</v>
      </c>
      <c r="H77" s="1649">
        <v>0</v>
      </c>
      <c r="I77" s="2988">
        <v>0</v>
      </c>
      <c r="J77" s="1649">
        <v>0</v>
      </c>
      <c r="K77" s="1649">
        <v>0</v>
      </c>
      <c r="L77" s="1649">
        <v>0</v>
      </c>
      <c r="M77" s="2988">
        <v>0</v>
      </c>
      <c r="N77" s="1649">
        <v>0</v>
      </c>
      <c r="O77" s="1649">
        <v>0</v>
      </c>
      <c r="P77" s="1649">
        <v>0</v>
      </c>
      <c r="Q77" s="2988">
        <v>0</v>
      </c>
      <c r="R77" s="1649">
        <v>0</v>
      </c>
      <c r="S77" s="1649">
        <v>0</v>
      </c>
      <c r="T77" s="1649">
        <v>0</v>
      </c>
      <c r="U77" s="2988">
        <v>0</v>
      </c>
      <c r="V77" s="1651">
        <v>0</v>
      </c>
      <c r="W77" s="1651">
        <v>0</v>
      </c>
      <c r="X77" s="1651">
        <v>0</v>
      </c>
      <c r="Y77" s="1651">
        <v>0</v>
      </c>
      <c r="Z77" s="1651">
        <v>0</v>
      </c>
      <c r="AA77" s="1652">
        <v>0</v>
      </c>
      <c r="AB77" s="1649">
        <v>0</v>
      </c>
      <c r="AC77" s="1649">
        <v>0</v>
      </c>
      <c r="AD77" s="1649">
        <v>0</v>
      </c>
      <c r="AE77" s="1649">
        <v>0</v>
      </c>
      <c r="AF77" s="1649">
        <v>0</v>
      </c>
      <c r="AG77" s="1649">
        <v>0</v>
      </c>
      <c r="AH77" s="1649">
        <v>0</v>
      </c>
      <c r="AI77" s="1649">
        <v>0</v>
      </c>
      <c r="AJ77" s="1649">
        <v>0</v>
      </c>
      <c r="AK77" s="1649">
        <v>0</v>
      </c>
      <c r="AL77" s="1649">
        <v>0</v>
      </c>
      <c r="AM77" s="1649">
        <v>0</v>
      </c>
      <c r="AN77" s="1649">
        <v>0</v>
      </c>
      <c r="AO77" s="1649">
        <v>0</v>
      </c>
      <c r="AP77" s="1649">
        <v>0</v>
      </c>
      <c r="AQ77" s="1649">
        <v>0</v>
      </c>
      <c r="AR77" s="1649">
        <v>0</v>
      </c>
      <c r="AS77" s="1649">
        <v>0</v>
      </c>
    </row>
    <row r="78" spans="1:46" ht="15">
      <c r="A78" s="93" t="s">
        <v>3948</v>
      </c>
      <c r="B78" s="91" t="s">
        <v>3949</v>
      </c>
      <c r="C78" s="1649">
        <v>1</v>
      </c>
      <c r="D78" s="1649">
        <v>1</v>
      </c>
      <c r="E78" s="1650">
        <v>1</v>
      </c>
      <c r="F78" s="1649">
        <v>2</v>
      </c>
      <c r="G78" s="1649">
        <v>2</v>
      </c>
      <c r="H78" s="1649">
        <v>2</v>
      </c>
      <c r="I78" s="2988">
        <v>2</v>
      </c>
      <c r="J78" s="1649">
        <v>2</v>
      </c>
      <c r="K78" s="1649">
        <v>2</v>
      </c>
      <c r="L78" s="1649">
        <v>2</v>
      </c>
      <c r="M78" s="1650">
        <v>2</v>
      </c>
      <c r="N78" s="1649">
        <v>3</v>
      </c>
      <c r="O78" s="1649">
        <v>3</v>
      </c>
      <c r="P78" s="1649">
        <v>3</v>
      </c>
      <c r="Q78" s="1650">
        <v>3</v>
      </c>
      <c r="R78" s="1649">
        <v>3</v>
      </c>
      <c r="S78" s="1649">
        <v>3</v>
      </c>
      <c r="T78" s="1649">
        <v>3</v>
      </c>
      <c r="U78" s="1650">
        <v>3</v>
      </c>
      <c r="V78" s="1651">
        <v>3</v>
      </c>
      <c r="W78" s="1651">
        <v>3</v>
      </c>
      <c r="X78" s="1651">
        <v>3</v>
      </c>
      <c r="Y78" s="1651">
        <v>3</v>
      </c>
      <c r="Z78" s="1651">
        <v>3</v>
      </c>
      <c r="AA78" s="1652">
        <v>3</v>
      </c>
      <c r="AB78" s="1649">
        <v>3</v>
      </c>
      <c r="AC78" s="1649">
        <v>3</v>
      </c>
      <c r="AD78" s="1649">
        <v>3</v>
      </c>
      <c r="AE78" s="1649">
        <v>3</v>
      </c>
      <c r="AF78" s="1649">
        <v>3</v>
      </c>
      <c r="AG78" s="1649">
        <v>3</v>
      </c>
      <c r="AH78" s="1649">
        <v>3</v>
      </c>
      <c r="AI78" s="1649">
        <v>3</v>
      </c>
      <c r="AJ78" s="1649">
        <v>3</v>
      </c>
      <c r="AK78" s="1649">
        <v>3</v>
      </c>
      <c r="AL78" s="1649">
        <v>3</v>
      </c>
      <c r="AM78" s="1649">
        <v>3</v>
      </c>
      <c r="AN78" s="1649">
        <v>3</v>
      </c>
      <c r="AO78" s="1649">
        <v>3</v>
      </c>
      <c r="AP78" s="1649">
        <v>3</v>
      </c>
      <c r="AQ78" s="1649">
        <v>3</v>
      </c>
      <c r="AR78" s="1649">
        <v>3</v>
      </c>
      <c r="AS78" s="1649">
        <v>3</v>
      </c>
    </row>
    <row r="79" spans="1:46" ht="15">
      <c r="A79" s="93" t="s">
        <v>3950</v>
      </c>
      <c r="B79" s="91" t="s">
        <v>3951</v>
      </c>
      <c r="C79" s="1645">
        <v>2</v>
      </c>
      <c r="D79" s="1649">
        <v>2</v>
      </c>
      <c r="E79" s="1650">
        <v>2</v>
      </c>
      <c r="F79" s="1649">
        <v>2</v>
      </c>
      <c r="G79" s="1649">
        <v>2</v>
      </c>
      <c r="H79" s="1649">
        <v>2</v>
      </c>
      <c r="I79" s="2988">
        <v>2</v>
      </c>
      <c r="J79" s="1649">
        <v>2</v>
      </c>
      <c r="K79" s="1649">
        <v>2</v>
      </c>
      <c r="L79" s="1649">
        <v>2</v>
      </c>
      <c r="M79" s="1650">
        <v>2</v>
      </c>
      <c r="N79" s="1649">
        <v>2</v>
      </c>
      <c r="O79" s="1649">
        <v>2</v>
      </c>
      <c r="P79" s="1649">
        <v>2</v>
      </c>
      <c r="Q79" s="1650">
        <v>2</v>
      </c>
      <c r="R79" s="1649">
        <v>2</v>
      </c>
      <c r="S79" s="1649">
        <v>2</v>
      </c>
      <c r="T79" s="1649">
        <v>2</v>
      </c>
      <c r="U79" s="1650">
        <v>2</v>
      </c>
      <c r="V79" s="1651">
        <v>2</v>
      </c>
      <c r="W79" s="1651">
        <v>2</v>
      </c>
      <c r="X79" s="1651">
        <v>2</v>
      </c>
      <c r="Y79" s="1651">
        <v>2</v>
      </c>
      <c r="Z79" s="1651">
        <v>2</v>
      </c>
      <c r="AA79" s="1652">
        <v>2</v>
      </c>
      <c r="AB79" s="1649">
        <v>2</v>
      </c>
      <c r="AC79" s="1649">
        <v>2</v>
      </c>
      <c r="AD79" s="1649">
        <v>2</v>
      </c>
      <c r="AE79" s="1649">
        <v>2</v>
      </c>
      <c r="AF79" s="1649">
        <v>2</v>
      </c>
      <c r="AG79" s="1649">
        <v>2</v>
      </c>
      <c r="AH79" s="1649">
        <v>2</v>
      </c>
      <c r="AI79" s="1649">
        <v>2</v>
      </c>
      <c r="AJ79" s="1649">
        <v>2</v>
      </c>
      <c r="AK79" s="1649">
        <v>2</v>
      </c>
      <c r="AL79" s="1649">
        <v>2</v>
      </c>
      <c r="AM79" s="1649">
        <v>2</v>
      </c>
      <c r="AN79" s="1649">
        <v>2</v>
      </c>
      <c r="AO79" s="1649">
        <v>2</v>
      </c>
      <c r="AP79" s="1649">
        <v>2</v>
      </c>
      <c r="AQ79" s="1649">
        <v>2</v>
      </c>
      <c r="AR79" s="1649">
        <v>2</v>
      </c>
      <c r="AS79" s="1649">
        <v>2</v>
      </c>
    </row>
    <row r="80" spans="1:46" ht="15">
      <c r="A80" s="93" t="s">
        <v>1089</v>
      </c>
      <c r="B80" s="91" t="s">
        <v>2185</v>
      </c>
      <c r="C80" s="2993">
        <v>1</v>
      </c>
      <c r="D80" s="1649">
        <v>1</v>
      </c>
      <c r="E80" s="1650">
        <v>1</v>
      </c>
      <c r="F80" s="1649">
        <v>1</v>
      </c>
      <c r="G80" s="1649">
        <v>1</v>
      </c>
      <c r="H80" s="1649">
        <v>1</v>
      </c>
      <c r="I80" s="2988">
        <v>1</v>
      </c>
      <c r="J80" s="1649">
        <v>1</v>
      </c>
      <c r="K80" s="1649">
        <v>1</v>
      </c>
      <c r="L80" s="1649">
        <v>1</v>
      </c>
      <c r="M80" s="1650">
        <v>1</v>
      </c>
      <c r="N80" s="1649">
        <v>1</v>
      </c>
      <c r="O80" s="1649">
        <v>1</v>
      </c>
      <c r="P80" s="1649">
        <v>1</v>
      </c>
      <c r="Q80" s="1650">
        <v>1</v>
      </c>
      <c r="R80" s="1649">
        <v>1</v>
      </c>
      <c r="S80" s="1649">
        <v>1</v>
      </c>
      <c r="T80" s="1649">
        <v>1</v>
      </c>
      <c r="U80" s="1650">
        <v>1</v>
      </c>
      <c r="V80" s="1651">
        <v>1</v>
      </c>
      <c r="W80" s="1651">
        <v>1</v>
      </c>
      <c r="X80" s="1651">
        <v>1</v>
      </c>
      <c r="Y80" s="1651">
        <v>1</v>
      </c>
      <c r="Z80" s="1651">
        <v>1</v>
      </c>
      <c r="AA80" s="1652">
        <v>1</v>
      </c>
      <c r="AB80" s="1649">
        <v>1</v>
      </c>
      <c r="AC80" s="1649">
        <v>1</v>
      </c>
      <c r="AD80" s="1649">
        <v>1</v>
      </c>
      <c r="AE80" s="1649">
        <v>1</v>
      </c>
      <c r="AF80" s="1649">
        <v>1</v>
      </c>
      <c r="AG80" s="1649">
        <v>1</v>
      </c>
      <c r="AH80" s="1649">
        <v>1</v>
      </c>
      <c r="AI80" s="1649">
        <v>1</v>
      </c>
      <c r="AJ80" s="1649">
        <v>1</v>
      </c>
      <c r="AK80" s="1649">
        <v>1</v>
      </c>
      <c r="AL80" s="1649">
        <v>1</v>
      </c>
      <c r="AM80" s="1649">
        <v>1</v>
      </c>
      <c r="AN80" s="1649">
        <v>1</v>
      </c>
      <c r="AO80" s="1649">
        <v>1</v>
      </c>
      <c r="AP80" s="1649">
        <v>1</v>
      </c>
      <c r="AQ80" s="1649">
        <v>1</v>
      </c>
      <c r="AR80" s="1649">
        <v>1</v>
      </c>
      <c r="AS80" s="1649">
        <v>1</v>
      </c>
    </row>
    <row r="81" spans="1:45" ht="15">
      <c r="A81" s="93" t="s">
        <v>1856</v>
      </c>
      <c r="B81" s="91" t="s">
        <v>2604</v>
      </c>
      <c r="C81" s="2993">
        <v>1</v>
      </c>
      <c r="D81" s="1649">
        <v>1</v>
      </c>
      <c r="E81" s="1650">
        <v>1</v>
      </c>
      <c r="F81" s="1649">
        <v>1</v>
      </c>
      <c r="G81" s="1649">
        <v>1</v>
      </c>
      <c r="H81" s="1649">
        <v>1</v>
      </c>
      <c r="I81" s="2988">
        <v>1</v>
      </c>
      <c r="J81" s="1649">
        <v>1</v>
      </c>
      <c r="K81" s="1649">
        <v>1</v>
      </c>
      <c r="L81" s="1649">
        <v>1</v>
      </c>
      <c r="M81" s="1650">
        <v>1</v>
      </c>
      <c r="N81" s="1649">
        <v>1</v>
      </c>
      <c r="O81" s="1649">
        <v>1</v>
      </c>
      <c r="P81" s="1649">
        <v>1</v>
      </c>
      <c r="Q81" s="1650">
        <v>1</v>
      </c>
      <c r="R81" s="1649">
        <v>1</v>
      </c>
      <c r="S81" s="1649">
        <v>1</v>
      </c>
      <c r="T81" s="1649">
        <v>1</v>
      </c>
      <c r="U81" s="1650">
        <v>1</v>
      </c>
      <c r="V81" s="1651">
        <v>1</v>
      </c>
      <c r="W81" s="1651">
        <v>1</v>
      </c>
      <c r="X81" s="1651">
        <v>1</v>
      </c>
      <c r="Y81" s="1651">
        <v>1</v>
      </c>
      <c r="Z81" s="1651">
        <v>1</v>
      </c>
      <c r="AA81" s="1652">
        <v>1</v>
      </c>
      <c r="AB81" s="1649">
        <v>1</v>
      </c>
      <c r="AC81" s="1649">
        <v>1</v>
      </c>
      <c r="AD81" s="1649">
        <v>1</v>
      </c>
      <c r="AE81" s="1649">
        <v>1</v>
      </c>
      <c r="AF81" s="1649">
        <v>1</v>
      </c>
      <c r="AG81" s="1649">
        <v>1</v>
      </c>
      <c r="AH81" s="1649">
        <v>1</v>
      </c>
      <c r="AI81" s="1649">
        <v>1</v>
      </c>
      <c r="AJ81" s="1649">
        <v>1</v>
      </c>
      <c r="AK81" s="1649">
        <v>1</v>
      </c>
      <c r="AL81" s="1649">
        <v>1</v>
      </c>
      <c r="AM81" s="1649">
        <v>1</v>
      </c>
      <c r="AN81" s="1649">
        <v>1</v>
      </c>
      <c r="AO81" s="1649">
        <v>1</v>
      </c>
      <c r="AP81" s="1649">
        <v>1</v>
      </c>
      <c r="AQ81" s="1649">
        <v>1</v>
      </c>
      <c r="AR81" s="1649">
        <v>1</v>
      </c>
      <c r="AS81" s="1649">
        <v>1</v>
      </c>
    </row>
    <row r="82" spans="1:45" ht="15">
      <c r="A82" s="93" t="s">
        <v>2607</v>
      </c>
      <c r="B82" s="91" t="s">
        <v>2608</v>
      </c>
      <c r="C82" s="2987">
        <v>1</v>
      </c>
      <c r="D82" s="1649">
        <v>1</v>
      </c>
      <c r="E82" s="1650">
        <v>1</v>
      </c>
      <c r="F82" s="1649">
        <v>1</v>
      </c>
      <c r="G82" s="1649">
        <v>1</v>
      </c>
      <c r="H82" s="1649">
        <v>1</v>
      </c>
      <c r="I82" s="2988">
        <v>1</v>
      </c>
      <c r="J82" s="1649">
        <v>1</v>
      </c>
      <c r="K82" s="1649">
        <v>1</v>
      </c>
      <c r="L82" s="1649">
        <v>1</v>
      </c>
      <c r="M82" s="1650">
        <v>1</v>
      </c>
      <c r="N82" s="1649">
        <v>1</v>
      </c>
      <c r="O82" s="1649">
        <v>1</v>
      </c>
      <c r="P82" s="1649">
        <v>1</v>
      </c>
      <c r="Q82" s="1650">
        <v>1</v>
      </c>
      <c r="R82" s="1649">
        <v>1</v>
      </c>
      <c r="S82" s="1649">
        <v>1</v>
      </c>
      <c r="T82" s="1649">
        <v>1</v>
      </c>
      <c r="U82" s="1650">
        <v>1</v>
      </c>
      <c r="V82" s="1651">
        <v>1</v>
      </c>
      <c r="W82" s="1651">
        <v>1</v>
      </c>
      <c r="X82" s="1651">
        <v>1</v>
      </c>
      <c r="Y82" s="1651">
        <v>1</v>
      </c>
      <c r="Z82" s="1651">
        <v>1</v>
      </c>
      <c r="AA82" s="1652">
        <v>1</v>
      </c>
      <c r="AB82" s="1649">
        <v>1</v>
      </c>
      <c r="AC82" s="1649">
        <v>1</v>
      </c>
      <c r="AD82" s="1649">
        <v>1</v>
      </c>
      <c r="AE82" s="1649">
        <v>1</v>
      </c>
      <c r="AF82" s="1649">
        <v>1</v>
      </c>
      <c r="AG82" s="1649">
        <v>1</v>
      </c>
      <c r="AH82" s="1649">
        <v>1</v>
      </c>
      <c r="AI82" s="1649">
        <v>1</v>
      </c>
      <c r="AJ82" s="1649">
        <v>1</v>
      </c>
      <c r="AK82" s="1649">
        <v>1</v>
      </c>
      <c r="AL82" s="1649">
        <v>1</v>
      </c>
      <c r="AM82" s="1649">
        <v>1</v>
      </c>
      <c r="AN82" s="1649">
        <v>1</v>
      </c>
      <c r="AO82" s="1649">
        <v>1</v>
      </c>
      <c r="AP82" s="1649">
        <v>1</v>
      </c>
      <c r="AQ82" s="1649">
        <v>1</v>
      </c>
      <c r="AR82" s="1649">
        <v>1</v>
      </c>
      <c r="AS82" s="1649">
        <v>1</v>
      </c>
    </row>
    <row r="83" spans="1:45" ht="15">
      <c r="A83" s="93" t="s">
        <v>2609</v>
      </c>
      <c r="B83" s="91" t="s">
        <v>2610</v>
      </c>
      <c r="C83" s="1649">
        <v>1</v>
      </c>
      <c r="D83" s="1649">
        <v>1</v>
      </c>
      <c r="E83" s="1650">
        <v>1</v>
      </c>
      <c r="F83" s="1649">
        <v>1</v>
      </c>
      <c r="G83" s="1649">
        <v>1</v>
      </c>
      <c r="H83" s="1649">
        <v>1</v>
      </c>
      <c r="I83" s="2988">
        <v>1</v>
      </c>
      <c r="J83" s="1649">
        <v>1</v>
      </c>
      <c r="K83" s="1649">
        <v>1</v>
      </c>
      <c r="L83" s="1649">
        <v>1</v>
      </c>
      <c r="M83" s="1650">
        <v>1</v>
      </c>
      <c r="N83" s="1649">
        <v>1</v>
      </c>
      <c r="O83" s="1649">
        <v>1</v>
      </c>
      <c r="P83" s="1649">
        <v>1</v>
      </c>
      <c r="Q83" s="1650">
        <v>1</v>
      </c>
      <c r="R83" s="1649">
        <v>1</v>
      </c>
      <c r="S83" s="1649">
        <v>1</v>
      </c>
      <c r="T83" s="1649">
        <v>1</v>
      </c>
      <c r="U83" s="1650">
        <v>1</v>
      </c>
      <c r="V83" s="1651">
        <v>1</v>
      </c>
      <c r="W83" s="1651">
        <v>1</v>
      </c>
      <c r="X83" s="1651">
        <v>1</v>
      </c>
      <c r="Y83" s="1651">
        <v>1</v>
      </c>
      <c r="Z83" s="1651">
        <v>1</v>
      </c>
      <c r="AA83" s="1652">
        <v>1</v>
      </c>
      <c r="AB83" s="1649">
        <v>1</v>
      </c>
      <c r="AC83" s="1649">
        <v>1</v>
      </c>
      <c r="AD83" s="1649">
        <v>1</v>
      </c>
      <c r="AE83" s="1649">
        <v>1</v>
      </c>
      <c r="AF83" s="1649">
        <v>1</v>
      </c>
      <c r="AG83" s="1649">
        <v>1</v>
      </c>
      <c r="AH83" s="1649">
        <v>1</v>
      </c>
      <c r="AI83" s="1649">
        <v>1</v>
      </c>
      <c r="AJ83" s="1649">
        <v>1</v>
      </c>
      <c r="AK83" s="1649">
        <v>1</v>
      </c>
      <c r="AL83" s="1649">
        <v>1</v>
      </c>
      <c r="AM83" s="1649">
        <v>1</v>
      </c>
      <c r="AN83" s="1649">
        <v>1</v>
      </c>
      <c r="AO83" s="1649">
        <v>1</v>
      </c>
      <c r="AP83" s="1649">
        <v>1</v>
      </c>
      <c r="AQ83" s="1649">
        <v>1</v>
      </c>
      <c r="AR83" s="1649">
        <v>1</v>
      </c>
      <c r="AS83" s="1649">
        <v>1</v>
      </c>
    </row>
    <row r="84" spans="1:45" ht="15">
      <c r="A84" s="90" t="s">
        <v>2611</v>
      </c>
      <c r="B84" s="91" t="s">
        <v>2612</v>
      </c>
      <c r="C84" s="1649">
        <v>1</v>
      </c>
      <c r="D84" s="1649">
        <v>1</v>
      </c>
      <c r="E84" s="1650">
        <v>1</v>
      </c>
      <c r="F84" s="1649">
        <v>1</v>
      </c>
      <c r="G84" s="1649">
        <v>1</v>
      </c>
      <c r="H84" s="1649">
        <v>1</v>
      </c>
      <c r="I84" s="2988">
        <v>1</v>
      </c>
      <c r="J84" s="1649">
        <v>1</v>
      </c>
      <c r="K84" s="1649">
        <v>1</v>
      </c>
      <c r="L84" s="1649">
        <v>1</v>
      </c>
      <c r="M84" s="1650">
        <v>1</v>
      </c>
      <c r="N84" s="1649">
        <v>2</v>
      </c>
      <c r="O84" s="1649">
        <v>2</v>
      </c>
      <c r="P84" s="1649">
        <v>2</v>
      </c>
      <c r="Q84" s="1650">
        <v>2</v>
      </c>
      <c r="R84" s="1649">
        <v>2</v>
      </c>
      <c r="S84" s="1649">
        <v>2</v>
      </c>
      <c r="T84" s="1649">
        <v>2</v>
      </c>
      <c r="U84" s="1650">
        <v>2</v>
      </c>
      <c r="V84" s="1651">
        <v>2</v>
      </c>
      <c r="W84" s="1651">
        <v>2</v>
      </c>
      <c r="X84" s="1651">
        <v>2</v>
      </c>
      <c r="Y84" s="1651">
        <v>2</v>
      </c>
      <c r="Z84" s="1651">
        <v>2</v>
      </c>
      <c r="AA84" s="1655">
        <v>2</v>
      </c>
      <c r="AB84" s="1649">
        <v>2</v>
      </c>
      <c r="AC84" s="1649">
        <v>2</v>
      </c>
      <c r="AD84" s="1649">
        <v>2</v>
      </c>
      <c r="AE84" s="1649">
        <v>2</v>
      </c>
      <c r="AF84" s="1649">
        <v>2</v>
      </c>
      <c r="AG84" s="1649">
        <v>2</v>
      </c>
      <c r="AH84" s="1649">
        <v>2</v>
      </c>
      <c r="AI84" s="1649">
        <v>2</v>
      </c>
      <c r="AJ84" s="1649">
        <v>2</v>
      </c>
      <c r="AK84" s="1654">
        <v>2</v>
      </c>
      <c r="AL84" s="1649">
        <v>2</v>
      </c>
      <c r="AM84" s="1649">
        <v>2</v>
      </c>
      <c r="AN84" s="1649">
        <v>2</v>
      </c>
      <c r="AO84" s="1649">
        <v>2</v>
      </c>
      <c r="AP84" s="1649">
        <v>2</v>
      </c>
      <c r="AQ84" s="1649">
        <v>2</v>
      </c>
      <c r="AR84" s="1649">
        <v>2</v>
      </c>
      <c r="AS84" s="1649">
        <v>2</v>
      </c>
    </row>
    <row r="85" spans="1:45" ht="15">
      <c r="A85" s="93" t="s">
        <v>2613</v>
      </c>
      <c r="B85" s="91" t="s">
        <v>2614</v>
      </c>
      <c r="C85" s="2987">
        <v>1</v>
      </c>
      <c r="D85" s="1649">
        <v>1</v>
      </c>
      <c r="E85" s="1650">
        <v>1</v>
      </c>
      <c r="F85" s="1649">
        <v>1</v>
      </c>
      <c r="G85" s="1649">
        <v>1</v>
      </c>
      <c r="H85" s="1649">
        <v>1</v>
      </c>
      <c r="I85" s="2988">
        <v>1</v>
      </c>
      <c r="J85" s="1649">
        <v>1</v>
      </c>
      <c r="K85" s="1649">
        <v>1</v>
      </c>
      <c r="L85" s="1649">
        <v>1</v>
      </c>
      <c r="M85" s="1650">
        <v>1</v>
      </c>
      <c r="N85" s="1649">
        <v>1</v>
      </c>
      <c r="O85" s="1649">
        <v>1</v>
      </c>
      <c r="P85" s="1649">
        <v>1</v>
      </c>
      <c r="Q85" s="1650">
        <v>1</v>
      </c>
      <c r="R85" s="1649">
        <v>2</v>
      </c>
      <c r="S85" s="1649">
        <v>2</v>
      </c>
      <c r="T85" s="1649">
        <v>2</v>
      </c>
      <c r="U85" s="1650">
        <v>2</v>
      </c>
      <c r="V85" s="1651">
        <v>2</v>
      </c>
      <c r="W85" s="1651">
        <v>2</v>
      </c>
      <c r="X85" s="1651">
        <v>2</v>
      </c>
      <c r="Y85" s="1651">
        <v>2</v>
      </c>
      <c r="Z85" s="1651">
        <v>2</v>
      </c>
      <c r="AA85" s="1652">
        <v>2</v>
      </c>
      <c r="AB85" s="1649">
        <v>2</v>
      </c>
      <c r="AC85" s="1649">
        <v>2</v>
      </c>
      <c r="AD85" s="1649">
        <v>2</v>
      </c>
      <c r="AE85" s="1649">
        <v>2</v>
      </c>
      <c r="AF85" s="1649">
        <v>2</v>
      </c>
      <c r="AG85" s="1649">
        <v>2</v>
      </c>
      <c r="AH85" s="1649">
        <v>2</v>
      </c>
      <c r="AI85" s="1649">
        <v>2</v>
      </c>
      <c r="AJ85" s="1649">
        <v>2</v>
      </c>
      <c r="AK85" s="1649">
        <v>2</v>
      </c>
      <c r="AL85" s="1649">
        <v>2</v>
      </c>
      <c r="AM85" s="1649">
        <v>2</v>
      </c>
      <c r="AN85" s="1649">
        <v>2</v>
      </c>
      <c r="AO85" s="1649">
        <v>2</v>
      </c>
      <c r="AP85" s="1649">
        <v>2</v>
      </c>
      <c r="AQ85" s="1649">
        <v>2</v>
      </c>
      <c r="AR85" s="1649">
        <v>2</v>
      </c>
      <c r="AS85" s="1649">
        <v>2</v>
      </c>
    </row>
    <row r="86" spans="1:45" ht="15">
      <c r="A86" s="93" t="s">
        <v>2615</v>
      </c>
      <c r="B86" s="91" t="s">
        <v>2616</v>
      </c>
      <c r="C86" s="2987">
        <v>1</v>
      </c>
      <c r="D86" s="1649">
        <v>1</v>
      </c>
      <c r="E86" s="1650">
        <v>1</v>
      </c>
      <c r="F86" s="1649">
        <v>1</v>
      </c>
      <c r="G86" s="1649">
        <v>1</v>
      </c>
      <c r="H86" s="1649">
        <v>1</v>
      </c>
      <c r="I86" s="2988">
        <v>1</v>
      </c>
      <c r="J86" s="1649">
        <v>1</v>
      </c>
      <c r="K86" s="1649">
        <v>1</v>
      </c>
      <c r="L86" s="1649">
        <v>1</v>
      </c>
      <c r="M86" s="1650">
        <v>1</v>
      </c>
      <c r="N86" s="1649">
        <v>1</v>
      </c>
      <c r="O86" s="1649">
        <v>1</v>
      </c>
      <c r="P86" s="1649">
        <v>1</v>
      </c>
      <c r="Q86" s="1650">
        <v>1</v>
      </c>
      <c r="R86" s="1649">
        <v>1</v>
      </c>
      <c r="S86" s="1649">
        <v>1</v>
      </c>
      <c r="T86" s="1649">
        <v>1</v>
      </c>
      <c r="U86" s="1650">
        <v>1</v>
      </c>
      <c r="V86" s="1651">
        <v>1</v>
      </c>
      <c r="W86" s="1651">
        <v>1</v>
      </c>
      <c r="X86" s="1651">
        <v>1</v>
      </c>
      <c r="Y86" s="1651">
        <v>1</v>
      </c>
      <c r="Z86" s="1651">
        <v>1</v>
      </c>
      <c r="AA86" s="1652">
        <v>1</v>
      </c>
      <c r="AB86" s="1649">
        <v>1</v>
      </c>
      <c r="AC86" s="1649">
        <v>1</v>
      </c>
      <c r="AD86" s="1649">
        <v>1</v>
      </c>
      <c r="AE86" s="1649">
        <v>1</v>
      </c>
      <c r="AF86" s="1649">
        <v>1</v>
      </c>
      <c r="AG86" s="1649">
        <v>1</v>
      </c>
      <c r="AH86" s="1649">
        <v>1</v>
      </c>
      <c r="AI86" s="1649">
        <v>1</v>
      </c>
      <c r="AJ86" s="1649">
        <v>1</v>
      </c>
      <c r="AK86" s="1649">
        <v>1</v>
      </c>
      <c r="AL86" s="1649">
        <v>1</v>
      </c>
      <c r="AM86" s="1649">
        <v>1</v>
      </c>
      <c r="AN86" s="1649">
        <v>1</v>
      </c>
      <c r="AO86" s="1649">
        <v>1</v>
      </c>
      <c r="AP86" s="1649">
        <v>1</v>
      </c>
      <c r="AQ86" s="1649">
        <v>1</v>
      </c>
      <c r="AR86" s="1649">
        <v>1</v>
      </c>
      <c r="AS86" s="1649">
        <v>1</v>
      </c>
    </row>
    <row r="87" spans="1:45" ht="15">
      <c r="A87" s="93" t="s">
        <v>2617</v>
      </c>
      <c r="B87" s="91" t="s">
        <v>2618</v>
      </c>
      <c r="C87" s="2987">
        <v>1</v>
      </c>
      <c r="D87" s="1649">
        <v>1</v>
      </c>
      <c r="E87" s="1650">
        <v>1</v>
      </c>
      <c r="F87" s="1649">
        <v>1</v>
      </c>
      <c r="G87" s="1649">
        <v>1</v>
      </c>
      <c r="H87" s="1649">
        <v>1</v>
      </c>
      <c r="I87" s="2988">
        <v>1</v>
      </c>
      <c r="J87" s="1649">
        <v>1</v>
      </c>
      <c r="K87" s="1649">
        <v>1</v>
      </c>
      <c r="L87" s="1649">
        <v>1</v>
      </c>
      <c r="M87" s="1650">
        <v>1</v>
      </c>
      <c r="N87" s="1649">
        <v>1</v>
      </c>
      <c r="O87" s="1649">
        <v>1</v>
      </c>
      <c r="P87" s="1649">
        <v>1</v>
      </c>
      <c r="Q87" s="1650">
        <v>1</v>
      </c>
      <c r="R87" s="1649">
        <v>1</v>
      </c>
      <c r="S87" s="1649">
        <v>1</v>
      </c>
      <c r="T87" s="1649">
        <v>1</v>
      </c>
      <c r="U87" s="1650">
        <v>1</v>
      </c>
      <c r="V87" s="1651">
        <v>1</v>
      </c>
      <c r="W87" s="1651">
        <v>1</v>
      </c>
      <c r="X87" s="1651">
        <v>1</v>
      </c>
      <c r="Y87" s="1651">
        <v>1</v>
      </c>
      <c r="Z87" s="1651">
        <v>1</v>
      </c>
      <c r="AA87" s="1652">
        <v>1</v>
      </c>
      <c r="AB87" s="1649">
        <v>1</v>
      </c>
      <c r="AC87" s="1649">
        <v>1</v>
      </c>
      <c r="AD87" s="1649">
        <v>1</v>
      </c>
      <c r="AE87" s="1649">
        <v>1</v>
      </c>
      <c r="AF87" s="1649">
        <v>1</v>
      </c>
      <c r="AG87" s="1649">
        <v>1</v>
      </c>
      <c r="AH87" s="1649">
        <v>1</v>
      </c>
      <c r="AI87" s="1649">
        <v>1</v>
      </c>
      <c r="AJ87" s="1649">
        <v>1</v>
      </c>
      <c r="AK87" s="1649">
        <v>1</v>
      </c>
      <c r="AL87" s="1649">
        <v>1</v>
      </c>
      <c r="AM87" s="1649">
        <v>1</v>
      </c>
      <c r="AN87" s="1649">
        <v>1</v>
      </c>
      <c r="AO87" s="1649">
        <v>1</v>
      </c>
      <c r="AP87" s="1649">
        <v>1</v>
      </c>
      <c r="AQ87" s="1649">
        <v>1</v>
      </c>
      <c r="AR87" s="1649">
        <v>1</v>
      </c>
      <c r="AS87" s="1649">
        <v>1</v>
      </c>
    </row>
    <row r="88" spans="1:45" ht="15">
      <c r="A88" s="93" t="s">
        <v>2619</v>
      </c>
      <c r="B88" s="91" t="s">
        <v>2620</v>
      </c>
      <c r="C88" s="2987">
        <v>1</v>
      </c>
      <c r="D88" s="1649">
        <v>1</v>
      </c>
      <c r="E88" s="1650">
        <v>1</v>
      </c>
      <c r="F88" s="1649">
        <v>1</v>
      </c>
      <c r="G88" s="1649">
        <v>1</v>
      </c>
      <c r="H88" s="1649">
        <v>1</v>
      </c>
      <c r="I88" s="2988">
        <v>1</v>
      </c>
      <c r="J88" s="1649">
        <v>1</v>
      </c>
      <c r="K88" s="1649">
        <v>1</v>
      </c>
      <c r="L88" s="1649">
        <v>1</v>
      </c>
      <c r="M88" s="1650">
        <v>1</v>
      </c>
      <c r="N88" s="1649">
        <v>1</v>
      </c>
      <c r="O88" s="1649">
        <v>1</v>
      </c>
      <c r="P88" s="1649">
        <v>1</v>
      </c>
      <c r="Q88" s="1650">
        <v>1</v>
      </c>
      <c r="R88" s="1649">
        <v>1</v>
      </c>
      <c r="S88" s="1649">
        <v>1</v>
      </c>
      <c r="T88" s="1649">
        <v>1</v>
      </c>
      <c r="U88" s="1650">
        <v>1</v>
      </c>
      <c r="V88" s="1651">
        <v>1</v>
      </c>
      <c r="W88" s="1651">
        <v>1</v>
      </c>
      <c r="X88" s="1651">
        <v>1</v>
      </c>
      <c r="Y88" s="1651">
        <v>1</v>
      </c>
      <c r="Z88" s="1651">
        <v>1</v>
      </c>
      <c r="AA88" s="1652">
        <v>1</v>
      </c>
      <c r="AB88" s="1649">
        <v>1</v>
      </c>
      <c r="AC88" s="1649">
        <v>1</v>
      </c>
      <c r="AD88" s="1649">
        <v>1</v>
      </c>
      <c r="AE88" s="1649">
        <v>1</v>
      </c>
      <c r="AF88" s="1649">
        <v>1</v>
      </c>
      <c r="AG88" s="1649">
        <v>1</v>
      </c>
      <c r="AH88" s="1649">
        <v>1</v>
      </c>
      <c r="AI88" s="1649">
        <v>1</v>
      </c>
      <c r="AJ88" s="1649">
        <v>1</v>
      </c>
      <c r="AK88" s="1649">
        <v>1</v>
      </c>
      <c r="AL88" s="1649">
        <v>1</v>
      </c>
      <c r="AM88" s="1649">
        <v>1</v>
      </c>
      <c r="AN88" s="1649">
        <v>1</v>
      </c>
      <c r="AO88" s="1649">
        <v>1</v>
      </c>
      <c r="AP88" s="1649">
        <v>1</v>
      </c>
      <c r="AQ88" s="1649">
        <v>1</v>
      </c>
      <c r="AR88" s="1649">
        <v>1</v>
      </c>
      <c r="AS88" s="1649">
        <v>1</v>
      </c>
    </row>
    <row r="89" spans="1:45" ht="15">
      <c r="A89" s="93" t="s">
        <v>2621</v>
      </c>
      <c r="B89" s="91" t="s">
        <v>2622</v>
      </c>
      <c r="C89" s="2987">
        <v>2</v>
      </c>
      <c r="D89" s="1649">
        <v>2</v>
      </c>
      <c r="E89" s="1650">
        <v>2</v>
      </c>
      <c r="F89" s="1649">
        <v>3</v>
      </c>
      <c r="G89" s="1649">
        <v>3</v>
      </c>
      <c r="H89" s="1649">
        <v>3</v>
      </c>
      <c r="I89" s="2988">
        <v>3</v>
      </c>
      <c r="J89" s="1649">
        <v>4</v>
      </c>
      <c r="K89" s="1649">
        <v>4</v>
      </c>
      <c r="L89" s="1649">
        <v>4</v>
      </c>
      <c r="M89" s="1650">
        <v>4</v>
      </c>
      <c r="N89" s="1649">
        <v>5</v>
      </c>
      <c r="O89" s="1649">
        <v>5</v>
      </c>
      <c r="P89" s="1649">
        <v>5</v>
      </c>
      <c r="Q89" s="1650">
        <v>5</v>
      </c>
      <c r="R89" s="1649">
        <v>6</v>
      </c>
      <c r="S89" s="1649">
        <v>6</v>
      </c>
      <c r="T89" s="1649">
        <v>6</v>
      </c>
      <c r="U89" s="1650">
        <v>6</v>
      </c>
      <c r="V89" s="1651">
        <v>6</v>
      </c>
      <c r="W89" s="1651">
        <v>6</v>
      </c>
      <c r="X89" s="1651">
        <v>6</v>
      </c>
      <c r="Y89" s="1651">
        <v>6</v>
      </c>
      <c r="Z89" s="1651">
        <v>6</v>
      </c>
      <c r="AA89" s="1652">
        <v>6</v>
      </c>
      <c r="AB89" s="1649">
        <v>6</v>
      </c>
      <c r="AC89" s="1649">
        <v>6</v>
      </c>
      <c r="AD89" s="1649">
        <v>6</v>
      </c>
      <c r="AE89" s="1649">
        <v>6</v>
      </c>
      <c r="AF89" s="1649">
        <v>6</v>
      </c>
      <c r="AG89" s="1649">
        <v>6</v>
      </c>
      <c r="AH89" s="1649">
        <v>6</v>
      </c>
      <c r="AI89" s="1649">
        <v>6</v>
      </c>
      <c r="AJ89" s="1649">
        <v>6</v>
      </c>
      <c r="AK89" s="1649">
        <v>6</v>
      </c>
      <c r="AL89" s="1649">
        <v>6</v>
      </c>
      <c r="AM89" s="1649">
        <v>6</v>
      </c>
      <c r="AN89" s="1649">
        <v>6</v>
      </c>
      <c r="AO89" s="1649">
        <v>6</v>
      </c>
      <c r="AP89" s="1649">
        <v>6</v>
      </c>
      <c r="AQ89" s="1649">
        <v>6</v>
      </c>
      <c r="AR89" s="1649">
        <v>6</v>
      </c>
      <c r="AS89" s="1649">
        <v>6</v>
      </c>
    </row>
    <row r="90" spans="1:45" ht="15">
      <c r="A90" s="93" t="s">
        <v>2250</v>
      </c>
      <c r="B90" s="91" t="s">
        <v>2624</v>
      </c>
      <c r="C90" s="2987">
        <v>2</v>
      </c>
      <c r="D90" s="1649">
        <v>2</v>
      </c>
      <c r="E90" s="1650">
        <v>2</v>
      </c>
      <c r="F90" s="1649">
        <v>4</v>
      </c>
      <c r="G90" s="1649">
        <v>4</v>
      </c>
      <c r="H90" s="1649">
        <v>4</v>
      </c>
      <c r="I90" s="2988">
        <v>4</v>
      </c>
      <c r="J90" s="1649">
        <v>4</v>
      </c>
      <c r="K90" s="1649">
        <v>4</v>
      </c>
      <c r="L90" s="1649">
        <v>4</v>
      </c>
      <c r="M90" s="1650">
        <v>4</v>
      </c>
      <c r="N90" s="1649">
        <v>4</v>
      </c>
      <c r="O90" s="1649">
        <v>4</v>
      </c>
      <c r="P90" s="1649">
        <v>4</v>
      </c>
      <c r="Q90" s="1650">
        <v>4</v>
      </c>
      <c r="R90" s="1649">
        <v>4</v>
      </c>
      <c r="S90" s="1649">
        <v>4</v>
      </c>
      <c r="T90" s="1649">
        <v>4</v>
      </c>
      <c r="U90" s="1650">
        <v>4</v>
      </c>
      <c r="V90" s="1651">
        <v>4</v>
      </c>
      <c r="W90" s="1651">
        <v>4</v>
      </c>
      <c r="X90" s="1651">
        <v>4</v>
      </c>
      <c r="Y90" s="1651">
        <v>4</v>
      </c>
      <c r="Z90" s="1651">
        <v>4</v>
      </c>
      <c r="AA90" s="1652">
        <v>4</v>
      </c>
      <c r="AB90" s="1649">
        <v>4</v>
      </c>
      <c r="AC90" s="1649">
        <v>4</v>
      </c>
      <c r="AD90" s="1649">
        <v>4</v>
      </c>
      <c r="AE90" s="1649">
        <v>4</v>
      </c>
      <c r="AF90" s="1649">
        <v>4</v>
      </c>
      <c r="AG90" s="1649">
        <v>4</v>
      </c>
      <c r="AH90" s="1649">
        <v>4</v>
      </c>
      <c r="AI90" s="1649">
        <v>4</v>
      </c>
      <c r="AJ90" s="1649">
        <v>4</v>
      </c>
      <c r="AK90" s="1649">
        <v>4</v>
      </c>
      <c r="AL90" s="1649">
        <v>4</v>
      </c>
      <c r="AM90" s="1649">
        <v>4</v>
      </c>
      <c r="AN90" s="1649">
        <v>4</v>
      </c>
      <c r="AO90" s="1649">
        <v>4</v>
      </c>
      <c r="AP90" s="1649">
        <v>4</v>
      </c>
      <c r="AQ90" s="1649">
        <v>4</v>
      </c>
      <c r="AR90" s="1649">
        <v>4</v>
      </c>
      <c r="AS90" s="1649">
        <v>4</v>
      </c>
    </row>
    <row r="91" spans="1:45" ht="15">
      <c r="A91" s="93" t="s">
        <v>2625</v>
      </c>
      <c r="B91" s="91" t="s">
        <v>2626</v>
      </c>
      <c r="C91" s="2987">
        <v>0</v>
      </c>
      <c r="D91" s="1649">
        <v>0</v>
      </c>
      <c r="E91" s="2988">
        <v>0</v>
      </c>
      <c r="F91" s="1649">
        <v>0</v>
      </c>
      <c r="G91" s="1649">
        <v>0</v>
      </c>
      <c r="H91" s="1649">
        <v>0</v>
      </c>
      <c r="I91" s="2988">
        <v>0</v>
      </c>
      <c r="J91" s="1649">
        <v>0</v>
      </c>
      <c r="K91" s="1649">
        <v>0</v>
      </c>
      <c r="L91" s="1649">
        <v>0</v>
      </c>
      <c r="M91" s="2988">
        <v>0</v>
      </c>
      <c r="N91" s="1649">
        <v>0</v>
      </c>
      <c r="O91" s="1649">
        <v>0</v>
      </c>
      <c r="P91" s="1649">
        <v>0</v>
      </c>
      <c r="Q91" s="2988">
        <v>0</v>
      </c>
      <c r="R91" s="1649">
        <v>0</v>
      </c>
      <c r="S91" s="1649">
        <v>0</v>
      </c>
      <c r="T91" s="1649">
        <v>0</v>
      </c>
      <c r="U91" s="2988">
        <v>0</v>
      </c>
      <c r="V91" s="1651">
        <v>0</v>
      </c>
      <c r="W91" s="1651">
        <v>0</v>
      </c>
      <c r="X91" s="1651">
        <v>0</v>
      </c>
      <c r="Y91" s="1651">
        <v>0</v>
      </c>
      <c r="Z91" s="1651">
        <v>0</v>
      </c>
      <c r="AA91" s="1652">
        <v>0</v>
      </c>
      <c r="AB91" s="1649">
        <v>0</v>
      </c>
      <c r="AC91" s="1649">
        <v>0</v>
      </c>
      <c r="AD91" s="1649">
        <v>0</v>
      </c>
      <c r="AE91" s="1649">
        <v>0</v>
      </c>
      <c r="AF91" s="1649">
        <v>0</v>
      </c>
      <c r="AG91" s="1649">
        <v>0</v>
      </c>
      <c r="AH91" s="1649">
        <v>0</v>
      </c>
      <c r="AI91" s="1649">
        <v>0</v>
      </c>
      <c r="AJ91" s="1649">
        <v>0</v>
      </c>
      <c r="AK91" s="1649">
        <v>0</v>
      </c>
      <c r="AL91" s="1649">
        <v>0</v>
      </c>
      <c r="AM91" s="1649">
        <v>0</v>
      </c>
      <c r="AN91" s="1649">
        <v>0</v>
      </c>
      <c r="AO91" s="1649">
        <v>0</v>
      </c>
      <c r="AP91" s="1649">
        <v>0</v>
      </c>
      <c r="AQ91" s="1649">
        <v>0</v>
      </c>
      <c r="AR91" s="1649">
        <v>0</v>
      </c>
      <c r="AS91" s="1649">
        <v>0</v>
      </c>
    </row>
    <row r="92" spans="1:45" ht="15">
      <c r="A92" s="90" t="s">
        <v>2627</v>
      </c>
      <c r="B92" s="91" t="s">
        <v>2628</v>
      </c>
      <c r="C92" s="2987">
        <v>1</v>
      </c>
      <c r="D92" s="1649">
        <v>1</v>
      </c>
      <c r="E92" s="1650">
        <v>1</v>
      </c>
      <c r="F92" s="1649">
        <v>1</v>
      </c>
      <c r="G92" s="1649">
        <v>1</v>
      </c>
      <c r="H92" s="1649">
        <v>1</v>
      </c>
      <c r="I92" s="2988">
        <v>1</v>
      </c>
      <c r="J92" s="2987">
        <v>1</v>
      </c>
      <c r="K92" s="2987">
        <v>1</v>
      </c>
      <c r="L92" s="2987">
        <v>1</v>
      </c>
      <c r="M92" s="1650">
        <v>1</v>
      </c>
      <c r="N92" s="1649">
        <v>1</v>
      </c>
      <c r="O92" s="1649">
        <v>1</v>
      </c>
      <c r="P92" s="1649">
        <v>1</v>
      </c>
      <c r="Q92" s="1650">
        <v>1</v>
      </c>
      <c r="R92" s="1649">
        <v>1</v>
      </c>
      <c r="S92" s="1649">
        <v>1</v>
      </c>
      <c r="T92" s="1649">
        <v>1</v>
      </c>
      <c r="U92" s="1650">
        <v>1</v>
      </c>
      <c r="V92" s="1651">
        <v>1</v>
      </c>
      <c r="W92" s="1651">
        <v>1</v>
      </c>
      <c r="X92" s="1651">
        <v>1</v>
      </c>
      <c r="Y92" s="1651">
        <v>1</v>
      </c>
      <c r="Z92" s="1651">
        <v>1</v>
      </c>
      <c r="AA92" s="1652">
        <v>1</v>
      </c>
      <c r="AB92" s="1649">
        <v>1</v>
      </c>
      <c r="AC92" s="1649">
        <v>1</v>
      </c>
      <c r="AD92" s="1649">
        <v>1</v>
      </c>
      <c r="AE92" s="1649">
        <v>1</v>
      </c>
      <c r="AF92" s="1649">
        <v>1</v>
      </c>
      <c r="AG92" s="1649">
        <v>1</v>
      </c>
      <c r="AH92" s="1649">
        <v>1</v>
      </c>
      <c r="AI92" s="1649">
        <v>1</v>
      </c>
      <c r="AJ92" s="1649">
        <v>1</v>
      </c>
      <c r="AK92" s="1649">
        <v>1</v>
      </c>
      <c r="AL92" s="1649">
        <v>1</v>
      </c>
      <c r="AM92" s="1649">
        <v>1</v>
      </c>
      <c r="AN92" s="1649">
        <v>1</v>
      </c>
      <c r="AO92" s="1649">
        <v>1</v>
      </c>
      <c r="AP92" s="1649">
        <v>1</v>
      </c>
      <c r="AQ92" s="1649">
        <v>1</v>
      </c>
      <c r="AR92" s="1649">
        <v>1</v>
      </c>
      <c r="AS92" s="1649">
        <v>1</v>
      </c>
    </row>
    <row r="93" spans="1:45" s="39" customFormat="1">
      <c r="A93" s="90" t="s">
        <v>2155</v>
      </c>
      <c r="B93" s="91" t="s">
        <v>2630</v>
      </c>
      <c r="C93" s="2987">
        <v>1</v>
      </c>
      <c r="D93" s="1649">
        <v>1</v>
      </c>
      <c r="E93" s="1650">
        <v>1</v>
      </c>
      <c r="F93" s="1649">
        <v>1</v>
      </c>
      <c r="G93" s="1649">
        <v>1</v>
      </c>
      <c r="H93" s="1649">
        <v>1</v>
      </c>
      <c r="I93" s="2988">
        <v>1</v>
      </c>
      <c r="J93" s="1649">
        <v>1</v>
      </c>
      <c r="K93" s="1649">
        <v>1</v>
      </c>
      <c r="L93" s="1649">
        <v>1</v>
      </c>
      <c r="M93" s="1650">
        <v>1</v>
      </c>
      <c r="N93" s="1649">
        <v>1</v>
      </c>
      <c r="O93" s="1649">
        <v>1</v>
      </c>
      <c r="P93" s="1649">
        <v>1</v>
      </c>
      <c r="Q93" s="1650">
        <v>1</v>
      </c>
      <c r="R93" s="1649">
        <v>1</v>
      </c>
      <c r="S93" s="1649">
        <v>1</v>
      </c>
      <c r="T93" s="1649">
        <v>1</v>
      </c>
      <c r="U93" s="1650">
        <v>1</v>
      </c>
      <c r="V93" s="1651">
        <v>1</v>
      </c>
      <c r="W93" s="1651">
        <v>1</v>
      </c>
      <c r="X93" s="1651">
        <v>1</v>
      </c>
      <c r="Y93" s="1651">
        <v>1</v>
      </c>
      <c r="Z93" s="1651">
        <v>1</v>
      </c>
      <c r="AA93" s="1652">
        <v>1</v>
      </c>
      <c r="AB93" s="1649">
        <v>1</v>
      </c>
      <c r="AC93" s="1649">
        <v>1</v>
      </c>
      <c r="AD93" s="1649">
        <v>1</v>
      </c>
      <c r="AE93" s="1649">
        <v>1</v>
      </c>
      <c r="AF93" s="1649">
        <v>1</v>
      </c>
      <c r="AG93" s="1649">
        <v>1</v>
      </c>
      <c r="AH93" s="1649">
        <v>1</v>
      </c>
      <c r="AI93" s="1649">
        <v>1</v>
      </c>
      <c r="AJ93" s="1649">
        <v>1</v>
      </c>
      <c r="AK93" s="1649">
        <v>1</v>
      </c>
      <c r="AL93" s="1649">
        <v>1</v>
      </c>
      <c r="AM93" s="1649">
        <v>1</v>
      </c>
      <c r="AN93" s="1649">
        <v>1</v>
      </c>
      <c r="AO93" s="1649">
        <v>1</v>
      </c>
      <c r="AP93" s="1649">
        <v>1</v>
      </c>
      <c r="AQ93" s="1649">
        <v>1</v>
      </c>
      <c r="AR93" s="1649">
        <v>1</v>
      </c>
      <c r="AS93" s="1649">
        <v>1</v>
      </c>
    </row>
    <row r="94" spans="1:45" ht="15">
      <c r="A94" s="93" t="s">
        <v>2251</v>
      </c>
      <c r="B94" s="91" t="s">
        <v>2632</v>
      </c>
      <c r="C94" s="2987">
        <v>1</v>
      </c>
      <c r="D94" s="1649">
        <v>1</v>
      </c>
      <c r="E94" s="1650">
        <v>1</v>
      </c>
      <c r="F94" s="1649">
        <v>1</v>
      </c>
      <c r="G94" s="1649">
        <v>1</v>
      </c>
      <c r="H94" s="1649">
        <v>1</v>
      </c>
      <c r="I94" s="2988">
        <v>1</v>
      </c>
      <c r="J94" s="1649">
        <v>1</v>
      </c>
      <c r="K94" s="1649">
        <v>1</v>
      </c>
      <c r="L94" s="1649">
        <v>1</v>
      </c>
      <c r="M94" s="1650">
        <v>1</v>
      </c>
      <c r="N94" s="1649">
        <v>1</v>
      </c>
      <c r="O94" s="1649">
        <v>1</v>
      </c>
      <c r="P94" s="1649">
        <v>1</v>
      </c>
      <c r="Q94" s="1650">
        <v>1</v>
      </c>
      <c r="R94" s="1649">
        <v>1</v>
      </c>
      <c r="S94" s="1649">
        <v>1</v>
      </c>
      <c r="T94" s="1649">
        <v>1</v>
      </c>
      <c r="U94" s="1650">
        <v>1</v>
      </c>
      <c r="V94" s="1651">
        <v>1</v>
      </c>
      <c r="W94" s="1651">
        <v>1</v>
      </c>
      <c r="X94" s="1651">
        <v>1</v>
      </c>
      <c r="Y94" s="1651">
        <v>1</v>
      </c>
      <c r="Z94" s="1651">
        <v>1</v>
      </c>
      <c r="AA94" s="1652">
        <v>1</v>
      </c>
      <c r="AB94" s="1649">
        <v>1</v>
      </c>
      <c r="AC94" s="1649">
        <v>1</v>
      </c>
      <c r="AD94" s="1649">
        <v>1</v>
      </c>
      <c r="AE94" s="1649">
        <v>1</v>
      </c>
      <c r="AF94" s="1649">
        <v>1</v>
      </c>
      <c r="AG94" s="1649">
        <v>1</v>
      </c>
      <c r="AH94" s="1649">
        <v>1</v>
      </c>
      <c r="AI94" s="1649">
        <v>1</v>
      </c>
      <c r="AJ94" s="1649">
        <v>1</v>
      </c>
      <c r="AK94" s="1649">
        <v>1</v>
      </c>
      <c r="AL94" s="1649">
        <v>1</v>
      </c>
      <c r="AM94" s="1649">
        <v>1</v>
      </c>
      <c r="AN94" s="1649">
        <v>1</v>
      </c>
      <c r="AO94" s="1649">
        <v>1</v>
      </c>
      <c r="AP94" s="1649">
        <v>1</v>
      </c>
      <c r="AQ94" s="1649">
        <v>1</v>
      </c>
      <c r="AR94" s="1649">
        <v>1</v>
      </c>
      <c r="AS94" s="1649">
        <v>1</v>
      </c>
    </row>
    <row r="95" spans="1:45" s="94" customFormat="1" ht="15">
      <c r="A95" s="95" t="s">
        <v>2633</v>
      </c>
      <c r="B95" s="91" t="s">
        <v>2634</v>
      </c>
      <c r="C95" s="2987">
        <v>1</v>
      </c>
      <c r="D95" s="1649">
        <v>1</v>
      </c>
      <c r="E95" s="1650">
        <v>1</v>
      </c>
      <c r="F95" s="1649">
        <v>1</v>
      </c>
      <c r="G95" s="1649">
        <v>1</v>
      </c>
      <c r="H95" s="1649">
        <v>1</v>
      </c>
      <c r="I95" s="2988">
        <v>1</v>
      </c>
      <c r="J95" s="1649">
        <v>1</v>
      </c>
      <c r="K95" s="1649">
        <v>1</v>
      </c>
      <c r="L95" s="1649">
        <v>1</v>
      </c>
      <c r="M95" s="1650">
        <v>1</v>
      </c>
      <c r="N95" s="1649">
        <v>1</v>
      </c>
      <c r="O95" s="1649">
        <v>1</v>
      </c>
      <c r="P95" s="1649">
        <v>1</v>
      </c>
      <c r="Q95" s="1650">
        <v>1</v>
      </c>
      <c r="R95" s="1649">
        <v>1</v>
      </c>
      <c r="S95" s="1649">
        <v>1</v>
      </c>
      <c r="T95" s="1649">
        <v>1</v>
      </c>
      <c r="U95" s="1650">
        <v>1</v>
      </c>
      <c r="V95" s="1651">
        <v>1</v>
      </c>
      <c r="W95" s="1651">
        <v>1</v>
      </c>
      <c r="X95" s="1651">
        <v>1</v>
      </c>
      <c r="Y95" s="1651">
        <v>1</v>
      </c>
      <c r="Z95" s="1651">
        <v>1</v>
      </c>
      <c r="AA95" s="1652">
        <v>1</v>
      </c>
      <c r="AB95" s="1649">
        <v>1</v>
      </c>
      <c r="AC95" s="1649">
        <v>1</v>
      </c>
      <c r="AD95" s="1649">
        <v>1</v>
      </c>
      <c r="AE95" s="1649">
        <v>1</v>
      </c>
      <c r="AF95" s="1649">
        <v>1</v>
      </c>
      <c r="AG95" s="1649">
        <v>1</v>
      </c>
      <c r="AH95" s="1649">
        <v>1</v>
      </c>
      <c r="AI95" s="1649">
        <v>1</v>
      </c>
      <c r="AJ95" s="1649">
        <v>1</v>
      </c>
      <c r="AK95" s="1649">
        <v>1</v>
      </c>
      <c r="AL95" s="1649">
        <v>1</v>
      </c>
      <c r="AM95" s="1649">
        <v>1</v>
      </c>
      <c r="AN95" s="1649">
        <v>1</v>
      </c>
      <c r="AO95" s="1649">
        <v>1</v>
      </c>
      <c r="AP95" s="1649">
        <v>1</v>
      </c>
      <c r="AQ95" s="1649">
        <v>1</v>
      </c>
      <c r="AR95" s="1649">
        <v>1</v>
      </c>
      <c r="AS95" s="1649">
        <v>1</v>
      </c>
    </row>
    <row r="96" spans="1:45" ht="15">
      <c r="A96" s="93" t="s">
        <v>2637</v>
      </c>
      <c r="B96" s="91" t="s">
        <v>2638</v>
      </c>
      <c r="C96" s="1649">
        <v>1</v>
      </c>
      <c r="D96" s="1649">
        <v>1</v>
      </c>
      <c r="E96" s="1650">
        <v>1</v>
      </c>
      <c r="F96" s="1649">
        <v>1</v>
      </c>
      <c r="G96" s="1649">
        <v>1</v>
      </c>
      <c r="H96" s="1649">
        <v>1</v>
      </c>
      <c r="I96" s="2988">
        <v>1</v>
      </c>
      <c r="J96" s="1649">
        <v>1</v>
      </c>
      <c r="K96" s="1649">
        <v>1</v>
      </c>
      <c r="L96" s="1649">
        <v>1</v>
      </c>
      <c r="M96" s="1650">
        <v>1</v>
      </c>
      <c r="N96" s="1649">
        <v>1</v>
      </c>
      <c r="O96" s="1649">
        <v>1</v>
      </c>
      <c r="P96" s="1649">
        <v>1</v>
      </c>
      <c r="Q96" s="1650">
        <v>1</v>
      </c>
      <c r="R96" s="1649">
        <v>1</v>
      </c>
      <c r="S96" s="1649">
        <v>1</v>
      </c>
      <c r="T96" s="1649">
        <v>1</v>
      </c>
      <c r="U96" s="1650">
        <v>1</v>
      </c>
      <c r="V96" s="1651">
        <v>1</v>
      </c>
      <c r="W96" s="1651">
        <v>1</v>
      </c>
      <c r="X96" s="1651">
        <v>1</v>
      </c>
      <c r="Y96" s="1651">
        <v>1</v>
      </c>
      <c r="Z96" s="1651">
        <v>1</v>
      </c>
      <c r="AA96" s="1652">
        <v>1</v>
      </c>
      <c r="AB96" s="1649">
        <v>1</v>
      </c>
      <c r="AC96" s="1649">
        <v>1</v>
      </c>
      <c r="AD96" s="1649">
        <v>1</v>
      </c>
      <c r="AE96" s="1649">
        <v>1</v>
      </c>
      <c r="AF96" s="1649">
        <v>1</v>
      </c>
      <c r="AG96" s="1649">
        <v>1</v>
      </c>
      <c r="AH96" s="1649">
        <v>1</v>
      </c>
      <c r="AI96" s="1649">
        <v>1</v>
      </c>
      <c r="AJ96" s="1649">
        <v>1</v>
      </c>
      <c r="AK96" s="1649">
        <v>1</v>
      </c>
      <c r="AL96" s="1649">
        <v>1</v>
      </c>
      <c r="AM96" s="1649">
        <v>1</v>
      </c>
      <c r="AN96" s="1649">
        <v>1</v>
      </c>
      <c r="AO96" s="1649">
        <v>1</v>
      </c>
      <c r="AP96" s="1649">
        <v>1</v>
      </c>
      <c r="AQ96" s="1649">
        <v>1</v>
      </c>
      <c r="AR96" s="1649">
        <v>1</v>
      </c>
      <c r="AS96" s="1649">
        <v>1</v>
      </c>
    </row>
    <row r="97" spans="1:45" ht="15">
      <c r="A97" s="93" t="s">
        <v>4253</v>
      </c>
      <c r="B97" s="91" t="s">
        <v>2640</v>
      </c>
      <c r="C97" s="1649">
        <v>1</v>
      </c>
      <c r="D97" s="1649">
        <v>1</v>
      </c>
      <c r="E97" s="1650">
        <v>1</v>
      </c>
      <c r="F97" s="1649">
        <v>1</v>
      </c>
      <c r="G97" s="1649">
        <v>1</v>
      </c>
      <c r="H97" s="1649">
        <v>1</v>
      </c>
      <c r="I97" s="2988">
        <v>1</v>
      </c>
      <c r="J97" s="1649">
        <v>1</v>
      </c>
      <c r="K97" s="1649">
        <v>1</v>
      </c>
      <c r="L97" s="1649">
        <v>1</v>
      </c>
      <c r="M97" s="1650">
        <v>1</v>
      </c>
      <c r="N97" s="1649">
        <v>1</v>
      </c>
      <c r="O97" s="1649">
        <v>1</v>
      </c>
      <c r="P97" s="1649">
        <v>1</v>
      </c>
      <c r="Q97" s="1650">
        <v>1</v>
      </c>
      <c r="R97" s="1649">
        <v>1</v>
      </c>
      <c r="S97" s="1649">
        <v>1</v>
      </c>
      <c r="T97" s="1649">
        <v>1</v>
      </c>
      <c r="U97" s="1650">
        <v>1</v>
      </c>
      <c r="V97" s="1651">
        <v>1</v>
      </c>
      <c r="W97" s="1651">
        <v>1</v>
      </c>
      <c r="X97" s="1651">
        <v>1</v>
      </c>
      <c r="Y97" s="1651">
        <v>1</v>
      </c>
      <c r="Z97" s="1651">
        <v>1</v>
      </c>
      <c r="AA97" s="1652">
        <v>1</v>
      </c>
      <c r="AB97" s="1649">
        <v>1</v>
      </c>
      <c r="AC97" s="1649">
        <v>1</v>
      </c>
      <c r="AD97" s="1649">
        <v>1</v>
      </c>
      <c r="AE97" s="1649">
        <v>1</v>
      </c>
      <c r="AF97" s="1649">
        <v>1</v>
      </c>
      <c r="AG97" s="1649">
        <v>1</v>
      </c>
      <c r="AH97" s="1649">
        <v>1</v>
      </c>
      <c r="AI97" s="1649">
        <v>1</v>
      </c>
      <c r="AJ97" s="1649">
        <v>1</v>
      </c>
      <c r="AK97" s="1649">
        <v>1</v>
      </c>
      <c r="AL97" s="1649">
        <v>1</v>
      </c>
      <c r="AM97" s="1649">
        <v>1</v>
      </c>
      <c r="AN97" s="1649">
        <v>1</v>
      </c>
      <c r="AO97" s="1649">
        <v>1</v>
      </c>
      <c r="AP97" s="1649">
        <v>1</v>
      </c>
      <c r="AQ97" s="1649">
        <v>1</v>
      </c>
      <c r="AR97" s="1649">
        <v>1</v>
      </c>
      <c r="AS97" s="1649">
        <v>1</v>
      </c>
    </row>
    <row r="98" spans="1:45" ht="15">
      <c r="A98" s="93" t="s">
        <v>2641</v>
      </c>
      <c r="B98" s="91" t="s">
        <v>2642</v>
      </c>
      <c r="C98" s="2987">
        <v>1</v>
      </c>
      <c r="D98" s="1649">
        <v>1</v>
      </c>
      <c r="E98" s="1650">
        <v>1</v>
      </c>
      <c r="F98" s="1649">
        <v>1</v>
      </c>
      <c r="G98" s="1649">
        <v>1</v>
      </c>
      <c r="H98" s="1649">
        <v>1</v>
      </c>
      <c r="I98" s="2988">
        <v>1</v>
      </c>
      <c r="J98" s="1649">
        <v>1</v>
      </c>
      <c r="K98" s="1649">
        <v>1</v>
      </c>
      <c r="L98" s="1649">
        <v>1</v>
      </c>
      <c r="M98" s="1650">
        <v>1</v>
      </c>
      <c r="N98" s="1649">
        <v>1</v>
      </c>
      <c r="O98" s="1649">
        <v>1</v>
      </c>
      <c r="P98" s="1649">
        <v>1</v>
      </c>
      <c r="Q98" s="1650">
        <v>1</v>
      </c>
      <c r="R98" s="1649">
        <v>1</v>
      </c>
      <c r="S98" s="1649">
        <v>1</v>
      </c>
      <c r="T98" s="1649">
        <v>1</v>
      </c>
      <c r="U98" s="1650">
        <v>1</v>
      </c>
      <c r="V98" s="1651">
        <v>1</v>
      </c>
      <c r="W98" s="1651">
        <v>1</v>
      </c>
      <c r="X98" s="1651">
        <v>1</v>
      </c>
      <c r="Y98" s="1651">
        <v>1</v>
      </c>
      <c r="Z98" s="1651">
        <v>1</v>
      </c>
      <c r="AA98" s="1652">
        <v>1</v>
      </c>
      <c r="AB98" s="1649">
        <v>1</v>
      </c>
      <c r="AC98" s="1649">
        <v>1</v>
      </c>
      <c r="AD98" s="1649">
        <v>1</v>
      </c>
      <c r="AE98" s="1649">
        <v>1</v>
      </c>
      <c r="AF98" s="1649">
        <v>1</v>
      </c>
      <c r="AG98" s="1649">
        <v>1</v>
      </c>
      <c r="AH98" s="1649">
        <v>1</v>
      </c>
      <c r="AI98" s="1649">
        <v>1</v>
      </c>
      <c r="AJ98" s="1649">
        <v>1</v>
      </c>
      <c r="AK98" s="1649">
        <v>1</v>
      </c>
      <c r="AL98" s="1649">
        <v>1</v>
      </c>
      <c r="AM98" s="1649">
        <v>1</v>
      </c>
      <c r="AN98" s="1649">
        <v>1</v>
      </c>
      <c r="AO98" s="1649">
        <v>1</v>
      </c>
      <c r="AP98" s="1649">
        <v>1</v>
      </c>
      <c r="AQ98" s="1649">
        <v>1</v>
      </c>
      <c r="AR98" s="1649">
        <v>1</v>
      </c>
      <c r="AS98" s="1649">
        <v>1</v>
      </c>
    </row>
    <row r="99" spans="1:45" ht="15">
      <c r="A99" s="93" t="s">
        <v>2643</v>
      </c>
      <c r="B99" s="91" t="s">
        <v>2644</v>
      </c>
      <c r="C99" s="2987">
        <v>0</v>
      </c>
      <c r="D99" s="1649">
        <v>0</v>
      </c>
      <c r="E99" s="2988">
        <v>0</v>
      </c>
      <c r="F99" s="1649">
        <v>0</v>
      </c>
      <c r="G99" s="1649">
        <v>0</v>
      </c>
      <c r="H99" s="1649">
        <v>0</v>
      </c>
      <c r="I99" s="2988">
        <v>0</v>
      </c>
      <c r="J99" s="1649">
        <v>0</v>
      </c>
      <c r="K99" s="1649">
        <v>0</v>
      </c>
      <c r="L99" s="1649">
        <v>0</v>
      </c>
      <c r="M99" s="2988">
        <v>0</v>
      </c>
      <c r="N99" s="1649">
        <v>0</v>
      </c>
      <c r="O99" s="1649">
        <v>0</v>
      </c>
      <c r="P99" s="1649">
        <v>0</v>
      </c>
      <c r="Q99" s="2988">
        <v>0</v>
      </c>
      <c r="R99" s="1649">
        <v>0</v>
      </c>
      <c r="S99" s="1649">
        <v>0</v>
      </c>
      <c r="T99" s="1649">
        <v>0</v>
      </c>
      <c r="U99" s="2988">
        <v>0</v>
      </c>
      <c r="V99" s="1651">
        <v>0</v>
      </c>
      <c r="W99" s="1651">
        <v>0</v>
      </c>
      <c r="X99" s="1651">
        <v>0</v>
      </c>
      <c r="Y99" s="1651">
        <v>0</v>
      </c>
      <c r="Z99" s="1651">
        <v>0</v>
      </c>
      <c r="AA99" s="1652">
        <v>0</v>
      </c>
      <c r="AB99" s="1649">
        <v>0</v>
      </c>
      <c r="AC99" s="1649">
        <v>0</v>
      </c>
      <c r="AD99" s="1649">
        <v>0</v>
      </c>
      <c r="AE99" s="1649">
        <v>0</v>
      </c>
      <c r="AF99" s="1649">
        <v>0</v>
      </c>
      <c r="AG99" s="1649">
        <v>0</v>
      </c>
      <c r="AH99" s="1649">
        <v>0</v>
      </c>
      <c r="AI99" s="1649">
        <v>0</v>
      </c>
      <c r="AJ99" s="1649">
        <v>0</v>
      </c>
      <c r="AK99" s="1649">
        <v>0</v>
      </c>
      <c r="AL99" s="1649">
        <v>0</v>
      </c>
      <c r="AM99" s="1649">
        <v>0</v>
      </c>
      <c r="AN99" s="1649">
        <v>0</v>
      </c>
      <c r="AO99" s="1649">
        <v>0</v>
      </c>
      <c r="AP99" s="1649">
        <v>0</v>
      </c>
      <c r="AQ99" s="1649">
        <v>0</v>
      </c>
      <c r="AR99" s="1649">
        <v>0</v>
      </c>
      <c r="AS99" s="1649">
        <v>0</v>
      </c>
    </row>
    <row r="100" spans="1:45" ht="15">
      <c r="A100" s="93" t="s">
        <v>2646</v>
      </c>
      <c r="B100" s="91" t="s">
        <v>2647</v>
      </c>
      <c r="C100" s="2987">
        <v>1</v>
      </c>
      <c r="D100" s="1649">
        <v>1</v>
      </c>
      <c r="E100" s="1650">
        <v>1</v>
      </c>
      <c r="F100" s="1649">
        <v>1</v>
      </c>
      <c r="G100" s="1649">
        <v>1</v>
      </c>
      <c r="H100" s="1649">
        <v>1</v>
      </c>
      <c r="I100" s="2988">
        <v>1</v>
      </c>
      <c r="J100" s="1649">
        <v>1</v>
      </c>
      <c r="K100" s="1649">
        <v>1</v>
      </c>
      <c r="L100" s="1649">
        <v>1</v>
      </c>
      <c r="M100" s="1650">
        <v>1</v>
      </c>
      <c r="N100" s="1649">
        <v>1</v>
      </c>
      <c r="O100" s="1649">
        <v>1</v>
      </c>
      <c r="P100" s="1649">
        <v>1</v>
      </c>
      <c r="Q100" s="1650">
        <v>1</v>
      </c>
      <c r="R100" s="1649">
        <v>1</v>
      </c>
      <c r="S100" s="1649">
        <v>1</v>
      </c>
      <c r="T100" s="1649">
        <v>1</v>
      </c>
      <c r="U100" s="1650">
        <v>1</v>
      </c>
      <c r="V100" s="1651">
        <v>1</v>
      </c>
      <c r="W100" s="1651">
        <v>1</v>
      </c>
      <c r="X100" s="1651">
        <v>1</v>
      </c>
      <c r="Y100" s="1651">
        <v>1</v>
      </c>
      <c r="Z100" s="1651">
        <v>1</v>
      </c>
      <c r="AA100" s="1652">
        <v>1</v>
      </c>
      <c r="AB100" s="1649">
        <v>1</v>
      </c>
      <c r="AC100" s="1649">
        <v>1</v>
      </c>
      <c r="AD100" s="1649">
        <v>1</v>
      </c>
      <c r="AE100" s="1649">
        <v>1</v>
      </c>
      <c r="AF100" s="1649">
        <v>1</v>
      </c>
      <c r="AG100" s="1649">
        <v>1</v>
      </c>
      <c r="AH100" s="1649">
        <v>1</v>
      </c>
      <c r="AI100" s="1649">
        <v>1</v>
      </c>
      <c r="AJ100" s="1649">
        <v>1</v>
      </c>
      <c r="AK100" s="1649">
        <v>1</v>
      </c>
      <c r="AL100" s="1649">
        <v>1</v>
      </c>
      <c r="AM100" s="1649">
        <v>1</v>
      </c>
      <c r="AN100" s="1649">
        <v>1</v>
      </c>
      <c r="AO100" s="1649">
        <v>1</v>
      </c>
      <c r="AP100" s="1649">
        <v>1</v>
      </c>
      <c r="AQ100" s="1649">
        <v>1</v>
      </c>
      <c r="AR100" s="1649">
        <v>1</v>
      </c>
      <c r="AS100" s="1649">
        <v>1</v>
      </c>
    </row>
    <row r="101" spans="1:45" ht="15">
      <c r="A101" s="93" t="s">
        <v>2648</v>
      </c>
      <c r="B101" s="91" t="s">
        <v>2649</v>
      </c>
      <c r="C101" s="2987">
        <v>1</v>
      </c>
      <c r="D101" s="1649">
        <v>1</v>
      </c>
      <c r="E101" s="1650">
        <v>1</v>
      </c>
      <c r="F101" s="1649">
        <v>1</v>
      </c>
      <c r="G101" s="1649">
        <v>1</v>
      </c>
      <c r="H101" s="1649">
        <v>1</v>
      </c>
      <c r="I101" s="2988">
        <v>1</v>
      </c>
      <c r="J101" s="1649">
        <v>1</v>
      </c>
      <c r="K101" s="1649">
        <v>1</v>
      </c>
      <c r="L101" s="1649">
        <v>1</v>
      </c>
      <c r="M101" s="1650">
        <v>1</v>
      </c>
      <c r="N101" s="1649">
        <v>1</v>
      </c>
      <c r="O101" s="1649">
        <v>1</v>
      </c>
      <c r="P101" s="1649">
        <v>1</v>
      </c>
      <c r="Q101" s="1650">
        <v>1</v>
      </c>
      <c r="R101" s="1649">
        <v>1</v>
      </c>
      <c r="S101" s="1649">
        <v>1</v>
      </c>
      <c r="T101" s="1649">
        <v>1</v>
      </c>
      <c r="U101" s="1650">
        <v>1</v>
      </c>
      <c r="V101" s="1651">
        <v>1</v>
      </c>
      <c r="W101" s="1651">
        <v>1</v>
      </c>
      <c r="X101" s="1651">
        <v>1</v>
      </c>
      <c r="Y101" s="1651">
        <v>1</v>
      </c>
      <c r="Z101" s="1651">
        <v>1</v>
      </c>
      <c r="AA101" s="1652">
        <v>1</v>
      </c>
      <c r="AB101" s="1649">
        <v>1</v>
      </c>
      <c r="AC101" s="1649">
        <v>1</v>
      </c>
      <c r="AD101" s="1649">
        <v>1</v>
      </c>
      <c r="AE101" s="1649">
        <v>1</v>
      </c>
      <c r="AF101" s="1649">
        <v>1</v>
      </c>
      <c r="AG101" s="1649">
        <v>1</v>
      </c>
      <c r="AH101" s="1649">
        <v>1</v>
      </c>
      <c r="AI101" s="1649">
        <v>1</v>
      </c>
      <c r="AJ101" s="1649">
        <v>1</v>
      </c>
      <c r="AK101" s="1649">
        <v>1</v>
      </c>
      <c r="AL101" s="1649">
        <v>1</v>
      </c>
      <c r="AM101" s="1649">
        <v>1</v>
      </c>
      <c r="AN101" s="1649">
        <v>1</v>
      </c>
      <c r="AO101" s="1649">
        <v>1</v>
      </c>
      <c r="AP101" s="1649">
        <v>1</v>
      </c>
      <c r="AQ101" s="1649">
        <v>1</v>
      </c>
      <c r="AR101" s="1649">
        <v>1</v>
      </c>
      <c r="AS101" s="1649">
        <v>1</v>
      </c>
    </row>
    <row r="106" spans="1:45" ht="12" customHeight="1"/>
  </sheetData>
  <sheetProtection sheet="1" objects="1" scenarios="1"/>
  <phoneticPr fontId="0" type="noConversion"/>
  <printOptions horizontalCentered="1"/>
  <pageMargins left="0.2" right="0.19" top="0.38" bottom="0.5" header="0.4" footer="0.26"/>
  <pageSetup scale="58" fitToHeight="6" orientation="landscape" r:id="rId1"/>
  <headerFooter alignWithMargins="0">
    <oddFooter>&amp;L&amp;F&amp;C&amp;P of &amp;N
&amp;R&amp;D  &amp;T</oddFooter>
  </headerFooter>
  <rowBreaks count="1" manualBreakCount="1">
    <brk id="103" max="8" man="1"/>
  </rowBreaks>
  <legacyDrawing r:id="rId2"/>
</worksheet>
</file>

<file path=xl/worksheets/sheet36.xml><?xml version="1.0" encoding="utf-8"?>
<worksheet xmlns="http://schemas.openxmlformats.org/spreadsheetml/2006/main" xmlns:r="http://schemas.openxmlformats.org/officeDocument/2006/relationships">
  <sheetPr codeName="Sheet14" enableFormatConditionsCalculation="0">
    <tabColor indexed="44"/>
  </sheetPr>
  <dimension ref="A1:AS106"/>
  <sheetViews>
    <sheetView showGridLines="0" zoomScale="75" zoomScaleNormal="60" zoomScaleSheetLayoutView="75" workbookViewId="0">
      <pane xSplit="2" ySplit="1" topLeftCell="C2" activePane="bottomRight" state="frozen"/>
      <selection activeCell="C2" sqref="C2"/>
      <selection pane="topRight" activeCell="C2" sqref="C2"/>
      <selection pane="bottomLeft" activeCell="C2" sqref="C2"/>
      <selection pane="bottomRight" activeCell="C2" sqref="C2"/>
    </sheetView>
  </sheetViews>
  <sheetFormatPr defaultRowHeight="15.75"/>
  <cols>
    <col min="1" max="1" width="47.7109375" style="92" bestFit="1" customWidth="1"/>
    <col min="2" max="2" width="11.42578125" style="92" customWidth="1"/>
    <col min="3" max="3" width="16.140625" style="1638" bestFit="1" customWidth="1"/>
    <col min="4" max="4" width="15.42578125" style="1638" bestFit="1" customWidth="1"/>
    <col min="5" max="5" width="16.140625" style="1639" bestFit="1" customWidth="1"/>
    <col min="6" max="6" width="16.140625" style="1638" bestFit="1" customWidth="1"/>
    <col min="7" max="7" width="15.42578125" style="1638" bestFit="1" customWidth="1"/>
    <col min="8" max="8" width="16.140625" style="1638" bestFit="1" customWidth="1"/>
    <col min="9" max="9" width="15.42578125" style="1639" bestFit="1" customWidth="1"/>
    <col min="10" max="10" width="15.42578125" style="1638" bestFit="1" customWidth="1"/>
    <col min="11" max="11" width="16.140625" style="1638" bestFit="1" customWidth="1"/>
    <col min="12" max="12" width="15.42578125" style="1638" bestFit="1" customWidth="1"/>
    <col min="13" max="13" width="16.140625" style="1639" bestFit="1" customWidth="1"/>
    <col min="14" max="14" width="15.42578125" style="1638" bestFit="1" customWidth="1"/>
    <col min="15" max="15" width="16.140625" style="1638" bestFit="1" customWidth="1"/>
    <col min="16" max="16" width="15.42578125" style="1638" bestFit="1" customWidth="1"/>
    <col min="17" max="17" width="16.140625" style="1639" bestFit="1" customWidth="1"/>
    <col min="18" max="18" width="15.42578125" style="92" bestFit="1" customWidth="1"/>
    <col min="19" max="19" width="16.140625" style="92" bestFit="1" customWidth="1"/>
    <col min="20" max="20" width="15.42578125" style="92" bestFit="1" customWidth="1"/>
    <col min="21" max="21" width="16.140625" style="1639" bestFit="1" customWidth="1"/>
    <col min="22" max="22" width="15.5703125" style="92" bestFit="1" customWidth="1"/>
    <col min="23" max="23" width="16.140625" style="92" bestFit="1" customWidth="1"/>
    <col min="24" max="24" width="15.5703125" style="92" bestFit="1" customWidth="1"/>
    <col min="25" max="25" width="16.140625" style="92" bestFit="1" customWidth="1"/>
    <col min="26" max="26" width="15.5703125" style="92" bestFit="1" customWidth="1"/>
    <col min="27" max="27" width="15.5703125" style="1640" bestFit="1" customWidth="1"/>
    <col min="28" max="45" width="15.5703125" style="1638" bestFit="1" customWidth="1"/>
    <col min="46" max="16384" width="9.140625" style="92"/>
  </cols>
  <sheetData>
    <row r="1" spans="1:45" s="89" customFormat="1" thickBot="1">
      <c r="A1" s="88"/>
      <c r="B1" s="88" t="s">
        <v>3929</v>
      </c>
      <c r="C1" s="1623">
        <v>6</v>
      </c>
      <c r="D1" s="1623">
        <v>7</v>
      </c>
      <c r="E1" s="1624">
        <v>8</v>
      </c>
      <c r="F1" s="1623">
        <v>9</v>
      </c>
      <c r="G1" s="1623">
        <v>10</v>
      </c>
      <c r="H1" s="1623">
        <v>11</v>
      </c>
      <c r="I1" s="1624">
        <v>12</v>
      </c>
      <c r="J1" s="1623">
        <v>13</v>
      </c>
      <c r="K1" s="1623">
        <v>14</v>
      </c>
      <c r="L1" s="1623">
        <v>15</v>
      </c>
      <c r="M1" s="1624">
        <v>16</v>
      </c>
      <c r="N1" s="1623">
        <v>17</v>
      </c>
      <c r="O1" s="1623">
        <v>18</v>
      </c>
      <c r="P1" s="1623">
        <v>19</v>
      </c>
      <c r="Q1" s="1624">
        <v>20</v>
      </c>
      <c r="R1" s="88">
        <v>21</v>
      </c>
      <c r="S1" s="88">
        <v>22</v>
      </c>
      <c r="T1" s="88">
        <v>23</v>
      </c>
      <c r="U1" s="1624">
        <v>24</v>
      </c>
      <c r="V1" s="88">
        <v>25</v>
      </c>
      <c r="W1" s="88">
        <v>26</v>
      </c>
      <c r="X1" s="88">
        <v>27</v>
      </c>
      <c r="Y1" s="88">
        <v>28</v>
      </c>
      <c r="Z1" s="88">
        <v>29</v>
      </c>
      <c r="AA1" s="1625">
        <v>30</v>
      </c>
      <c r="AB1" s="1623">
        <v>31</v>
      </c>
      <c r="AC1" s="1623">
        <v>32</v>
      </c>
      <c r="AD1" s="1623">
        <v>33</v>
      </c>
      <c r="AE1" s="1623">
        <v>34</v>
      </c>
      <c r="AF1" s="1623">
        <v>35</v>
      </c>
      <c r="AG1" s="1623">
        <v>36</v>
      </c>
      <c r="AH1" s="1623">
        <v>37</v>
      </c>
      <c r="AI1" s="1623">
        <v>38</v>
      </c>
      <c r="AJ1" s="1623">
        <v>39</v>
      </c>
      <c r="AK1" s="1623">
        <v>40</v>
      </c>
      <c r="AL1" s="1623">
        <v>41</v>
      </c>
      <c r="AM1" s="1623">
        <v>42</v>
      </c>
      <c r="AN1" s="1623">
        <v>43</v>
      </c>
      <c r="AO1" s="1623">
        <v>44</v>
      </c>
      <c r="AP1" s="1623">
        <v>45</v>
      </c>
      <c r="AQ1" s="1623">
        <v>46</v>
      </c>
      <c r="AR1" s="1623">
        <v>47</v>
      </c>
      <c r="AS1" s="1623">
        <v>48</v>
      </c>
    </row>
    <row r="2" spans="1:45" ht="15">
      <c r="A2" s="90" t="s">
        <v>2129</v>
      </c>
      <c r="B2" s="91" t="s">
        <v>2130</v>
      </c>
      <c r="C2" s="2995">
        <v>9000</v>
      </c>
      <c r="D2" s="2995">
        <v>9000</v>
      </c>
      <c r="E2" s="2996">
        <v>9000</v>
      </c>
      <c r="F2" s="2995">
        <v>10000</v>
      </c>
      <c r="G2" s="2995">
        <v>10000</v>
      </c>
      <c r="H2" s="2995">
        <v>10000</v>
      </c>
      <c r="I2" s="2996">
        <v>10000</v>
      </c>
      <c r="J2" s="2995">
        <v>11000</v>
      </c>
      <c r="K2" s="2995">
        <v>11000</v>
      </c>
      <c r="L2" s="2995">
        <v>11000</v>
      </c>
      <c r="M2" s="2996">
        <v>11000</v>
      </c>
      <c r="N2" s="2995">
        <v>11305</v>
      </c>
      <c r="O2" s="2995">
        <v>11305</v>
      </c>
      <c r="P2" s="2995">
        <v>11305</v>
      </c>
      <c r="Q2" s="2996">
        <v>11305</v>
      </c>
      <c r="R2" s="2995">
        <v>11305</v>
      </c>
      <c r="S2" s="2995">
        <v>11305</v>
      </c>
      <c r="T2" s="2995">
        <v>11305</v>
      </c>
      <c r="U2" s="2996">
        <v>11305</v>
      </c>
      <c r="V2" s="2997">
        <v>11305</v>
      </c>
      <c r="W2" s="2997">
        <v>11305</v>
      </c>
      <c r="X2" s="2997">
        <v>11305</v>
      </c>
      <c r="Y2" s="2997">
        <v>11305</v>
      </c>
      <c r="Z2" s="2997">
        <v>11305</v>
      </c>
      <c r="AA2" s="2998">
        <v>11305</v>
      </c>
      <c r="AB2" s="2995">
        <v>11305</v>
      </c>
      <c r="AC2" s="2995">
        <v>11305</v>
      </c>
      <c r="AD2" s="2995">
        <v>11305</v>
      </c>
      <c r="AE2" s="2995">
        <v>11305</v>
      </c>
      <c r="AF2" s="2995">
        <v>11305</v>
      </c>
      <c r="AG2" s="2995">
        <v>11305</v>
      </c>
      <c r="AH2" s="2995">
        <v>11305</v>
      </c>
      <c r="AI2" s="2995">
        <v>11305</v>
      </c>
      <c r="AJ2" s="2995">
        <v>11305</v>
      </c>
      <c r="AK2" s="2995">
        <v>11305</v>
      </c>
      <c r="AL2" s="2995">
        <v>11305</v>
      </c>
      <c r="AM2" s="2995">
        <v>11305</v>
      </c>
      <c r="AN2" s="2995">
        <v>11305</v>
      </c>
      <c r="AO2" s="2995">
        <v>11305</v>
      </c>
      <c r="AP2" s="2995">
        <v>11305</v>
      </c>
      <c r="AQ2" s="2995">
        <v>11305</v>
      </c>
      <c r="AR2" s="2995">
        <v>11305</v>
      </c>
      <c r="AS2" s="2995">
        <v>11305</v>
      </c>
    </row>
    <row r="3" spans="1:45" ht="15">
      <c r="A3" s="90" t="s">
        <v>1778</v>
      </c>
      <c r="B3" s="91" t="s">
        <v>2131</v>
      </c>
      <c r="C3" s="2995">
        <v>15500</v>
      </c>
      <c r="D3" s="2995">
        <v>15500</v>
      </c>
      <c r="E3" s="2996">
        <v>15500</v>
      </c>
      <c r="F3" s="2995">
        <v>17000</v>
      </c>
      <c r="G3" s="2995">
        <v>17000</v>
      </c>
      <c r="H3" s="2995">
        <v>17000</v>
      </c>
      <c r="I3" s="2996">
        <v>17000</v>
      </c>
      <c r="J3" s="2995">
        <v>18500</v>
      </c>
      <c r="K3" s="2995">
        <v>18500</v>
      </c>
      <c r="L3" s="2995">
        <v>18500</v>
      </c>
      <c r="M3" s="2996">
        <v>18500</v>
      </c>
      <c r="N3" s="2995">
        <v>21000</v>
      </c>
      <c r="O3" s="2995">
        <v>21000</v>
      </c>
      <c r="P3" s="2995">
        <v>21000</v>
      </c>
      <c r="Q3" s="2996">
        <v>21000</v>
      </c>
      <c r="R3" s="2995">
        <v>23000</v>
      </c>
      <c r="S3" s="2995">
        <v>23000</v>
      </c>
      <c r="T3" s="2995">
        <v>23000</v>
      </c>
      <c r="U3" s="2996">
        <v>23000</v>
      </c>
      <c r="V3" s="2997">
        <v>23000</v>
      </c>
      <c r="W3" s="2997">
        <v>23000</v>
      </c>
      <c r="X3" s="2997">
        <v>23000</v>
      </c>
      <c r="Y3" s="2997">
        <v>23000</v>
      </c>
      <c r="Z3" s="2997">
        <v>23000</v>
      </c>
      <c r="AA3" s="2999">
        <v>23000</v>
      </c>
      <c r="AB3" s="2995">
        <v>23000</v>
      </c>
      <c r="AC3" s="2995">
        <v>23000</v>
      </c>
      <c r="AD3" s="2995">
        <v>23000</v>
      </c>
      <c r="AE3" s="2995">
        <v>23000</v>
      </c>
      <c r="AF3" s="2995">
        <v>23000</v>
      </c>
      <c r="AG3" s="2995">
        <v>23000</v>
      </c>
      <c r="AH3" s="2995">
        <v>23000</v>
      </c>
      <c r="AI3" s="2995">
        <v>23000</v>
      </c>
      <c r="AJ3" s="2995">
        <v>23000</v>
      </c>
      <c r="AK3" s="2995">
        <v>23000</v>
      </c>
      <c r="AL3" s="2995">
        <v>23000</v>
      </c>
      <c r="AM3" s="2995">
        <v>23000</v>
      </c>
      <c r="AN3" s="2995">
        <v>23000</v>
      </c>
      <c r="AO3" s="2995">
        <v>23000</v>
      </c>
      <c r="AP3" s="2995">
        <v>23000</v>
      </c>
      <c r="AQ3" s="2995">
        <v>23000</v>
      </c>
      <c r="AR3" s="2995">
        <v>23000</v>
      </c>
      <c r="AS3" s="2995">
        <v>23000</v>
      </c>
    </row>
    <row r="4" spans="1:45" ht="15">
      <c r="A4" s="90" t="s">
        <v>2132</v>
      </c>
      <c r="B4" s="91" t="s">
        <v>2133</v>
      </c>
      <c r="C4" s="1626">
        <v>0</v>
      </c>
      <c r="D4" s="1626">
        <v>0</v>
      </c>
      <c r="E4" s="1627">
        <v>0</v>
      </c>
      <c r="F4" s="1626">
        <v>0</v>
      </c>
      <c r="G4" s="1626">
        <v>0</v>
      </c>
      <c r="H4" s="1626">
        <v>0</v>
      </c>
      <c r="I4" s="1627">
        <v>0</v>
      </c>
      <c r="J4" s="1626">
        <v>0</v>
      </c>
      <c r="K4" s="1626">
        <v>0</v>
      </c>
      <c r="L4" s="1626">
        <v>0</v>
      </c>
      <c r="M4" s="1627">
        <v>0</v>
      </c>
      <c r="N4" s="1626">
        <v>0</v>
      </c>
      <c r="O4" s="1626">
        <v>0</v>
      </c>
      <c r="P4" s="1626">
        <v>0</v>
      </c>
      <c r="Q4" s="1627">
        <v>0</v>
      </c>
      <c r="R4" s="1626">
        <v>0</v>
      </c>
      <c r="S4" s="1626">
        <v>0</v>
      </c>
      <c r="T4" s="1626">
        <v>0</v>
      </c>
      <c r="U4" s="1627">
        <v>0</v>
      </c>
      <c r="V4" s="1628">
        <v>0</v>
      </c>
      <c r="W4" s="1629">
        <v>12052.81</v>
      </c>
      <c r="X4" s="1628">
        <v>12052.81</v>
      </c>
      <c r="Y4" s="1628">
        <v>12052.81</v>
      </c>
      <c r="Z4" s="1628">
        <v>12052.81</v>
      </c>
      <c r="AA4" s="1630">
        <v>12052.81</v>
      </c>
      <c r="AB4" s="1626">
        <v>12052.81</v>
      </c>
      <c r="AC4" s="1626">
        <v>12052.81</v>
      </c>
      <c r="AD4" s="1626">
        <v>12052.81</v>
      </c>
      <c r="AE4" s="1626">
        <v>12052.81</v>
      </c>
      <c r="AF4" s="1626">
        <v>12052.81</v>
      </c>
      <c r="AG4" s="1626">
        <v>12052.81</v>
      </c>
      <c r="AH4" s="1626">
        <v>12052.81</v>
      </c>
      <c r="AI4" s="1626">
        <v>12052.81</v>
      </c>
      <c r="AJ4" s="1626">
        <v>12052.81</v>
      </c>
      <c r="AK4" s="1626">
        <v>12052.81</v>
      </c>
      <c r="AL4" s="1626">
        <v>12052.81</v>
      </c>
      <c r="AM4" s="1626">
        <v>12052.81</v>
      </c>
      <c r="AN4" s="1626">
        <v>12052.81</v>
      </c>
      <c r="AO4" s="1626">
        <v>12052.81</v>
      </c>
      <c r="AP4" s="1626">
        <v>12052.81</v>
      </c>
      <c r="AQ4" s="1626">
        <v>12052.81</v>
      </c>
      <c r="AR4" s="1626">
        <v>12052.81</v>
      </c>
      <c r="AS4" s="1626">
        <v>12052.81</v>
      </c>
    </row>
    <row r="5" spans="1:45" ht="15">
      <c r="A5" s="93" t="s">
        <v>2134</v>
      </c>
      <c r="B5" s="91" t="s">
        <v>2135</v>
      </c>
      <c r="C5" s="2995">
        <v>0</v>
      </c>
      <c r="D5" s="2995">
        <v>0</v>
      </c>
      <c r="E5" s="2996">
        <v>0</v>
      </c>
      <c r="F5" s="2995">
        <v>0</v>
      </c>
      <c r="G5" s="2995">
        <v>0</v>
      </c>
      <c r="H5" s="2995">
        <v>0</v>
      </c>
      <c r="I5" s="2996">
        <v>0</v>
      </c>
      <c r="J5" s="2995">
        <v>0</v>
      </c>
      <c r="K5" s="2995">
        <v>0</v>
      </c>
      <c r="L5" s="2995">
        <v>0</v>
      </c>
      <c r="M5" s="2996">
        <v>0</v>
      </c>
      <c r="N5" s="2995">
        <v>0</v>
      </c>
      <c r="O5" s="2995">
        <v>0</v>
      </c>
      <c r="P5" s="2995">
        <v>0</v>
      </c>
      <c r="Q5" s="2996">
        <v>0</v>
      </c>
      <c r="R5" s="2995">
        <v>0</v>
      </c>
      <c r="S5" s="2995">
        <v>0</v>
      </c>
      <c r="T5" s="2995">
        <v>0</v>
      </c>
      <c r="U5" s="2996">
        <v>0</v>
      </c>
      <c r="V5" s="2997">
        <v>0</v>
      </c>
      <c r="W5" s="2997">
        <v>0</v>
      </c>
      <c r="X5" s="2997">
        <v>0</v>
      </c>
      <c r="Y5" s="2997">
        <v>0</v>
      </c>
      <c r="Z5" s="2997">
        <v>0</v>
      </c>
      <c r="AA5" s="2999">
        <v>0</v>
      </c>
      <c r="AB5" s="2995">
        <v>0</v>
      </c>
      <c r="AC5" s="2995">
        <v>0</v>
      </c>
      <c r="AD5" s="2995">
        <v>0</v>
      </c>
      <c r="AE5" s="2995">
        <v>0</v>
      </c>
      <c r="AF5" s="2995">
        <v>0</v>
      </c>
      <c r="AG5" s="2995">
        <v>0</v>
      </c>
      <c r="AH5" s="2995">
        <v>0</v>
      </c>
      <c r="AI5" s="2995">
        <v>0</v>
      </c>
      <c r="AJ5" s="2995">
        <v>0</v>
      </c>
      <c r="AK5" s="2995">
        <v>0</v>
      </c>
      <c r="AL5" s="2995">
        <v>0</v>
      </c>
      <c r="AM5" s="2995">
        <v>0</v>
      </c>
      <c r="AN5" s="2995">
        <v>0</v>
      </c>
      <c r="AO5" s="2995">
        <v>0</v>
      </c>
      <c r="AP5" s="2995">
        <v>0</v>
      </c>
      <c r="AQ5" s="2995">
        <v>0</v>
      </c>
      <c r="AR5" s="2995">
        <v>0</v>
      </c>
      <c r="AS5" s="2995">
        <v>0</v>
      </c>
    </row>
    <row r="6" spans="1:45" ht="15">
      <c r="A6" s="93" t="s">
        <v>2156</v>
      </c>
      <c r="B6" s="91" t="s">
        <v>2137</v>
      </c>
      <c r="C6" s="1631">
        <v>1500</v>
      </c>
      <c r="D6" s="1631">
        <v>1500</v>
      </c>
      <c r="E6" s="1632">
        <v>1500</v>
      </c>
      <c r="F6" s="1631">
        <v>1500</v>
      </c>
      <c r="G6" s="1631">
        <v>1500</v>
      </c>
      <c r="H6" s="1631">
        <v>1500</v>
      </c>
      <c r="I6" s="1632">
        <v>1500</v>
      </c>
      <c r="J6" s="1631">
        <v>1500</v>
      </c>
      <c r="K6" s="1631">
        <v>1500</v>
      </c>
      <c r="L6" s="1631">
        <v>1500</v>
      </c>
      <c r="M6" s="1632">
        <v>1500</v>
      </c>
      <c r="N6" s="1631">
        <v>1500</v>
      </c>
      <c r="O6" s="1631">
        <v>1500</v>
      </c>
      <c r="P6" s="1631">
        <v>1500</v>
      </c>
      <c r="Q6" s="1632">
        <v>1500</v>
      </c>
      <c r="R6" s="1631">
        <v>1500</v>
      </c>
      <c r="S6" s="1631">
        <v>1500</v>
      </c>
      <c r="T6" s="1631">
        <v>1500</v>
      </c>
      <c r="U6" s="1632">
        <v>1500</v>
      </c>
      <c r="V6" s="1633">
        <v>1500</v>
      </c>
      <c r="W6" s="1633">
        <v>1500</v>
      </c>
      <c r="X6" s="1633">
        <v>1500</v>
      </c>
      <c r="Y6" s="1633">
        <v>1500</v>
      </c>
      <c r="Z6" s="1633">
        <v>1500</v>
      </c>
      <c r="AA6" s="1634">
        <v>1500</v>
      </c>
      <c r="AB6" s="1631">
        <v>1500</v>
      </c>
      <c r="AC6" s="1631">
        <v>1500</v>
      </c>
      <c r="AD6" s="1631">
        <v>1500</v>
      </c>
      <c r="AE6" s="1631">
        <v>1500</v>
      </c>
      <c r="AF6" s="1631">
        <v>1500</v>
      </c>
      <c r="AG6" s="1631">
        <v>1500</v>
      </c>
      <c r="AH6" s="1631">
        <v>1500</v>
      </c>
      <c r="AI6" s="1631">
        <v>1500</v>
      </c>
      <c r="AJ6" s="1631">
        <v>1500</v>
      </c>
      <c r="AK6" s="1631">
        <v>1500</v>
      </c>
      <c r="AL6" s="1631">
        <v>1500</v>
      </c>
      <c r="AM6" s="1631">
        <v>1500</v>
      </c>
      <c r="AN6" s="1631">
        <v>1500</v>
      </c>
      <c r="AO6" s="1631">
        <v>1500</v>
      </c>
      <c r="AP6" s="1631">
        <v>1500</v>
      </c>
      <c r="AQ6" s="1631">
        <v>1500</v>
      </c>
      <c r="AR6" s="1631">
        <v>1500</v>
      </c>
      <c r="AS6" s="1631">
        <v>1500</v>
      </c>
    </row>
    <row r="7" spans="1:45" ht="15">
      <c r="A7" s="93" t="s">
        <v>1853</v>
      </c>
      <c r="B7" s="91" t="s">
        <v>2139</v>
      </c>
      <c r="C7" s="2995">
        <v>8000</v>
      </c>
      <c r="D7" s="2995">
        <v>8000</v>
      </c>
      <c r="E7" s="2996">
        <v>8000</v>
      </c>
      <c r="F7" s="2995">
        <v>10000</v>
      </c>
      <c r="G7" s="2995">
        <v>10000</v>
      </c>
      <c r="H7" s="2995">
        <v>10000</v>
      </c>
      <c r="I7" s="2996">
        <v>10000</v>
      </c>
      <c r="J7" s="2995">
        <v>14000</v>
      </c>
      <c r="K7" s="2995">
        <v>14000</v>
      </c>
      <c r="L7" s="2995">
        <v>14000</v>
      </c>
      <c r="M7" s="2996">
        <v>14000</v>
      </c>
      <c r="N7" s="2995">
        <v>16000</v>
      </c>
      <c r="O7" s="2995">
        <v>16000</v>
      </c>
      <c r="P7" s="2995">
        <v>16000</v>
      </c>
      <c r="Q7" s="2996">
        <v>16000</v>
      </c>
      <c r="R7" s="2995">
        <v>18000</v>
      </c>
      <c r="S7" s="2995">
        <v>18000</v>
      </c>
      <c r="T7" s="2995">
        <v>18000</v>
      </c>
      <c r="U7" s="2996">
        <v>18000</v>
      </c>
      <c r="V7" s="2997">
        <v>18000</v>
      </c>
      <c r="W7" s="2997">
        <v>18000</v>
      </c>
      <c r="X7" s="2997">
        <v>18000</v>
      </c>
      <c r="Y7" s="2997">
        <v>18000</v>
      </c>
      <c r="Z7" s="2997">
        <v>18000</v>
      </c>
      <c r="AA7" s="2999">
        <v>18000</v>
      </c>
      <c r="AB7" s="2995">
        <v>18000</v>
      </c>
      <c r="AC7" s="2995">
        <v>18000</v>
      </c>
      <c r="AD7" s="2995">
        <v>18000</v>
      </c>
      <c r="AE7" s="2995">
        <v>18000</v>
      </c>
      <c r="AF7" s="2995">
        <v>18000</v>
      </c>
      <c r="AG7" s="2995">
        <v>18000</v>
      </c>
      <c r="AH7" s="2995">
        <v>18000</v>
      </c>
      <c r="AI7" s="2995">
        <v>18000</v>
      </c>
      <c r="AJ7" s="2995">
        <v>18000</v>
      </c>
      <c r="AK7" s="2995">
        <v>18000</v>
      </c>
      <c r="AL7" s="2995">
        <v>18000</v>
      </c>
      <c r="AM7" s="2995">
        <v>18000</v>
      </c>
      <c r="AN7" s="2995">
        <v>18000</v>
      </c>
      <c r="AO7" s="2995">
        <v>18000</v>
      </c>
      <c r="AP7" s="2995">
        <v>18000</v>
      </c>
      <c r="AQ7" s="2995">
        <v>18000</v>
      </c>
      <c r="AR7" s="2995">
        <v>18000</v>
      </c>
      <c r="AS7" s="2995">
        <v>18000</v>
      </c>
    </row>
    <row r="8" spans="1:45" ht="15">
      <c r="A8" s="93" t="s">
        <v>2667</v>
      </c>
      <c r="B8" s="91" t="s">
        <v>2666</v>
      </c>
      <c r="C8" s="2995">
        <v>0</v>
      </c>
      <c r="D8" s="2995">
        <v>0</v>
      </c>
      <c r="E8" s="2996">
        <v>0</v>
      </c>
      <c r="F8" s="2995">
        <v>0</v>
      </c>
      <c r="G8" s="2995">
        <v>0</v>
      </c>
      <c r="H8" s="2995">
        <v>0</v>
      </c>
      <c r="I8" s="2996">
        <v>0</v>
      </c>
      <c r="J8" s="2995">
        <v>0</v>
      </c>
      <c r="K8" s="2995">
        <v>0</v>
      </c>
      <c r="L8" s="2995">
        <v>0</v>
      </c>
      <c r="M8" s="2996">
        <v>0</v>
      </c>
      <c r="N8" s="2995">
        <v>0</v>
      </c>
      <c r="O8" s="2995">
        <v>0</v>
      </c>
      <c r="P8" s="2995">
        <v>0</v>
      </c>
      <c r="Q8" s="2996">
        <v>0</v>
      </c>
      <c r="R8" s="2995">
        <v>0</v>
      </c>
      <c r="S8" s="2995">
        <v>0</v>
      </c>
      <c r="T8" s="2995">
        <v>0</v>
      </c>
      <c r="U8" s="2996">
        <v>0</v>
      </c>
      <c r="V8" s="2997">
        <v>0</v>
      </c>
      <c r="W8" s="2997">
        <v>0</v>
      </c>
      <c r="X8" s="2997">
        <v>0</v>
      </c>
      <c r="Y8" s="2997">
        <v>0</v>
      </c>
      <c r="Z8" s="2997">
        <v>0</v>
      </c>
      <c r="AA8" s="2999">
        <v>0</v>
      </c>
      <c r="AB8" s="2995">
        <v>0</v>
      </c>
      <c r="AC8" s="2995">
        <v>0</v>
      </c>
      <c r="AD8" s="2995">
        <v>0</v>
      </c>
      <c r="AE8" s="2995">
        <v>0</v>
      </c>
      <c r="AF8" s="2995">
        <v>0</v>
      </c>
      <c r="AG8" s="2995">
        <v>0</v>
      </c>
      <c r="AH8" s="2995">
        <v>0</v>
      </c>
      <c r="AI8" s="2995">
        <v>0</v>
      </c>
      <c r="AJ8" s="2995">
        <v>0</v>
      </c>
      <c r="AK8" s="2995">
        <v>0</v>
      </c>
      <c r="AL8" s="2995">
        <v>0</v>
      </c>
      <c r="AM8" s="2995">
        <v>0</v>
      </c>
      <c r="AN8" s="2995">
        <v>0</v>
      </c>
      <c r="AO8" s="2995">
        <v>0</v>
      </c>
      <c r="AP8" s="2995">
        <v>0</v>
      </c>
      <c r="AQ8" s="2995">
        <v>0</v>
      </c>
      <c r="AR8" s="2995">
        <v>0</v>
      </c>
      <c r="AS8" s="2995">
        <v>0</v>
      </c>
    </row>
    <row r="9" spans="1:45" ht="15">
      <c r="A9" s="93" t="s">
        <v>1865</v>
      </c>
      <c r="B9" s="91" t="s">
        <v>1864</v>
      </c>
      <c r="C9" s="2995">
        <v>11000</v>
      </c>
      <c r="D9" s="2995">
        <v>11000</v>
      </c>
      <c r="E9" s="2996">
        <v>11000</v>
      </c>
      <c r="F9" s="2995">
        <v>11000</v>
      </c>
      <c r="G9" s="2995">
        <v>11000</v>
      </c>
      <c r="H9" s="2995">
        <v>11000</v>
      </c>
      <c r="I9" s="2996">
        <v>11000</v>
      </c>
      <c r="J9" s="2995">
        <v>11000</v>
      </c>
      <c r="K9" s="2995">
        <v>11000</v>
      </c>
      <c r="L9" s="2995">
        <v>11000</v>
      </c>
      <c r="M9" s="2996">
        <v>11000</v>
      </c>
      <c r="N9" s="2995">
        <v>11000</v>
      </c>
      <c r="O9" s="2995">
        <v>11000</v>
      </c>
      <c r="P9" s="2995">
        <v>11000</v>
      </c>
      <c r="Q9" s="2996">
        <v>11000</v>
      </c>
      <c r="R9" s="2995">
        <v>11000</v>
      </c>
      <c r="S9" s="2995">
        <v>11000</v>
      </c>
      <c r="T9" s="2995">
        <v>11000</v>
      </c>
      <c r="U9" s="2996">
        <v>11000</v>
      </c>
      <c r="V9" s="2997">
        <v>11000</v>
      </c>
      <c r="W9" s="2997">
        <v>11000</v>
      </c>
      <c r="X9" s="2997">
        <v>11000</v>
      </c>
      <c r="Y9" s="2997">
        <v>11000</v>
      </c>
      <c r="Z9" s="2997">
        <v>11000</v>
      </c>
      <c r="AA9" s="2999">
        <v>11000</v>
      </c>
      <c r="AB9" s="2995">
        <v>11000</v>
      </c>
      <c r="AC9" s="2995">
        <v>11000</v>
      </c>
      <c r="AD9" s="2995">
        <v>11000</v>
      </c>
      <c r="AE9" s="2995">
        <v>11000</v>
      </c>
      <c r="AF9" s="2995">
        <v>11000</v>
      </c>
      <c r="AG9" s="2995">
        <v>11000</v>
      </c>
      <c r="AH9" s="2995">
        <v>11000</v>
      </c>
      <c r="AI9" s="2995">
        <v>11000</v>
      </c>
      <c r="AJ9" s="2995">
        <v>11000</v>
      </c>
      <c r="AK9" s="2995">
        <v>11000</v>
      </c>
      <c r="AL9" s="2995">
        <v>11000</v>
      </c>
      <c r="AM9" s="2995">
        <v>11000</v>
      </c>
      <c r="AN9" s="2995">
        <v>11000</v>
      </c>
      <c r="AO9" s="2995">
        <v>11000</v>
      </c>
      <c r="AP9" s="2995">
        <v>11000</v>
      </c>
      <c r="AQ9" s="2995">
        <v>11000</v>
      </c>
      <c r="AR9" s="2995">
        <v>11000</v>
      </c>
      <c r="AS9" s="2995">
        <v>11000</v>
      </c>
    </row>
    <row r="10" spans="1:45" ht="15">
      <c r="A10" s="93" t="s">
        <v>1866</v>
      </c>
      <c r="B10" s="91" t="s">
        <v>1867</v>
      </c>
      <c r="C10" s="2995">
        <v>5500</v>
      </c>
      <c r="D10" s="2995">
        <v>7000</v>
      </c>
      <c r="E10" s="2996">
        <v>7000</v>
      </c>
      <c r="F10" s="2995">
        <v>8500</v>
      </c>
      <c r="G10" s="2995">
        <v>8500</v>
      </c>
      <c r="H10" s="2995">
        <v>8500</v>
      </c>
      <c r="I10" s="2996">
        <v>10000</v>
      </c>
      <c r="J10" s="2995">
        <v>11500</v>
      </c>
      <c r="K10" s="2995">
        <v>11500</v>
      </c>
      <c r="L10" s="2995">
        <v>11500</v>
      </c>
      <c r="M10" s="2996">
        <v>13000</v>
      </c>
      <c r="N10" s="2995">
        <v>14500</v>
      </c>
      <c r="O10" s="2995">
        <v>14500</v>
      </c>
      <c r="P10" s="2995">
        <v>14500</v>
      </c>
      <c r="Q10" s="2996">
        <v>16000</v>
      </c>
      <c r="R10" s="2995">
        <v>17500</v>
      </c>
      <c r="S10" s="2995">
        <v>17500</v>
      </c>
      <c r="T10" s="2995">
        <v>17500</v>
      </c>
      <c r="U10" s="2996">
        <v>19000</v>
      </c>
      <c r="V10" s="2997">
        <v>20500</v>
      </c>
      <c r="W10" s="2997">
        <v>20500</v>
      </c>
      <c r="X10" s="2997">
        <v>20500</v>
      </c>
      <c r="Y10" s="2997">
        <v>22000</v>
      </c>
      <c r="Z10" s="2997">
        <v>23500</v>
      </c>
      <c r="AA10" s="2999">
        <v>23500</v>
      </c>
      <c r="AB10" s="2995">
        <v>23500</v>
      </c>
      <c r="AC10" s="2995">
        <v>23500</v>
      </c>
      <c r="AD10" s="2995">
        <v>23500</v>
      </c>
      <c r="AE10" s="2995">
        <v>23500</v>
      </c>
      <c r="AF10" s="2995">
        <v>23500</v>
      </c>
      <c r="AG10" s="2995">
        <v>23500</v>
      </c>
      <c r="AH10" s="2995">
        <v>23500</v>
      </c>
      <c r="AI10" s="2995">
        <v>23500</v>
      </c>
      <c r="AJ10" s="2995">
        <v>23500</v>
      </c>
      <c r="AK10" s="2995">
        <v>23500</v>
      </c>
      <c r="AL10" s="2995">
        <v>23500</v>
      </c>
      <c r="AM10" s="2995">
        <v>23500</v>
      </c>
      <c r="AN10" s="2995">
        <v>23500</v>
      </c>
      <c r="AO10" s="2995">
        <v>23500</v>
      </c>
      <c r="AP10" s="2995">
        <v>23500</v>
      </c>
      <c r="AQ10" s="2995">
        <v>23500</v>
      </c>
      <c r="AR10" s="2995">
        <v>23500</v>
      </c>
      <c r="AS10" s="2995">
        <v>23500</v>
      </c>
    </row>
    <row r="11" spans="1:45" ht="15">
      <c r="A11" s="90" t="s">
        <v>2140</v>
      </c>
      <c r="B11" s="91" t="s">
        <v>2141</v>
      </c>
      <c r="C11" s="2995">
        <v>86000</v>
      </c>
      <c r="D11" s="2995">
        <v>86000</v>
      </c>
      <c r="E11" s="2996">
        <v>86000</v>
      </c>
      <c r="F11" s="2995">
        <v>88000</v>
      </c>
      <c r="G11" s="2995">
        <v>88000</v>
      </c>
      <c r="H11" s="2995">
        <v>88000</v>
      </c>
      <c r="I11" s="2996">
        <v>88000</v>
      </c>
      <c r="J11" s="2995">
        <v>95000</v>
      </c>
      <c r="K11" s="2995">
        <v>95000</v>
      </c>
      <c r="L11" s="2995">
        <v>95000</v>
      </c>
      <c r="M11" s="2996">
        <v>95000</v>
      </c>
      <c r="N11" s="2995">
        <v>97000</v>
      </c>
      <c r="O11" s="2995">
        <v>97000</v>
      </c>
      <c r="P11" s="2995">
        <v>97000</v>
      </c>
      <c r="Q11" s="2996">
        <v>97000</v>
      </c>
      <c r="R11" s="2995">
        <v>100000</v>
      </c>
      <c r="S11" s="2995">
        <v>100000</v>
      </c>
      <c r="T11" s="2995">
        <v>100000</v>
      </c>
      <c r="U11" s="2996">
        <v>100000</v>
      </c>
      <c r="V11" s="2997">
        <v>100000</v>
      </c>
      <c r="W11" s="2997">
        <v>100000</v>
      </c>
      <c r="X11" s="2997">
        <v>100000</v>
      </c>
      <c r="Y11" s="2997">
        <v>100000</v>
      </c>
      <c r="Z11" s="2997">
        <v>100000</v>
      </c>
      <c r="AA11" s="2999">
        <v>100000</v>
      </c>
      <c r="AB11" s="2995">
        <v>100000</v>
      </c>
      <c r="AC11" s="2995">
        <v>100000</v>
      </c>
      <c r="AD11" s="2995">
        <v>100000</v>
      </c>
      <c r="AE11" s="2995">
        <v>100000</v>
      </c>
      <c r="AF11" s="2995">
        <v>100000</v>
      </c>
      <c r="AG11" s="2995">
        <v>100000</v>
      </c>
      <c r="AH11" s="2995">
        <v>100000</v>
      </c>
      <c r="AI11" s="2995">
        <v>100000</v>
      </c>
      <c r="AJ11" s="2995">
        <v>100000</v>
      </c>
      <c r="AK11" s="2995">
        <v>100000</v>
      </c>
      <c r="AL11" s="2995">
        <v>100000</v>
      </c>
      <c r="AM11" s="2995">
        <v>100000</v>
      </c>
      <c r="AN11" s="2995">
        <v>100000</v>
      </c>
      <c r="AO11" s="2995">
        <v>100000</v>
      </c>
      <c r="AP11" s="2995">
        <v>100000</v>
      </c>
      <c r="AQ11" s="2995">
        <v>100000</v>
      </c>
      <c r="AR11" s="2995">
        <v>100000</v>
      </c>
      <c r="AS11" s="2995">
        <v>100000</v>
      </c>
    </row>
    <row r="12" spans="1:45" ht="15">
      <c r="A12" s="90" t="s">
        <v>1859</v>
      </c>
      <c r="B12" s="91" t="s">
        <v>2700</v>
      </c>
      <c r="C12" s="2995">
        <v>500</v>
      </c>
      <c r="D12" s="2995">
        <v>500</v>
      </c>
      <c r="E12" s="2996">
        <v>500</v>
      </c>
      <c r="F12" s="2995">
        <v>500</v>
      </c>
      <c r="G12" s="2995">
        <v>500</v>
      </c>
      <c r="H12" s="2995">
        <v>500</v>
      </c>
      <c r="I12" s="2996">
        <v>500</v>
      </c>
      <c r="J12" s="2995">
        <v>500</v>
      </c>
      <c r="K12" s="2995">
        <v>500</v>
      </c>
      <c r="L12" s="2995">
        <v>500</v>
      </c>
      <c r="M12" s="2996">
        <v>500</v>
      </c>
      <c r="N12" s="2995">
        <v>500</v>
      </c>
      <c r="O12" s="2995">
        <v>500</v>
      </c>
      <c r="P12" s="2995">
        <v>500</v>
      </c>
      <c r="Q12" s="2996">
        <v>500</v>
      </c>
      <c r="R12" s="2995">
        <v>500</v>
      </c>
      <c r="S12" s="2995">
        <v>500</v>
      </c>
      <c r="T12" s="2995">
        <v>500</v>
      </c>
      <c r="U12" s="2996">
        <v>500</v>
      </c>
      <c r="V12" s="2997">
        <v>500</v>
      </c>
      <c r="W12" s="2997">
        <v>500</v>
      </c>
      <c r="X12" s="2997">
        <v>500</v>
      </c>
      <c r="Y12" s="2997">
        <v>500</v>
      </c>
      <c r="Z12" s="2997">
        <v>500</v>
      </c>
      <c r="AA12" s="2999">
        <v>500</v>
      </c>
      <c r="AB12" s="2995">
        <v>500</v>
      </c>
      <c r="AC12" s="2995">
        <v>500</v>
      </c>
      <c r="AD12" s="2995">
        <v>500</v>
      </c>
      <c r="AE12" s="2995">
        <v>500</v>
      </c>
      <c r="AF12" s="2995">
        <v>500</v>
      </c>
      <c r="AG12" s="2995">
        <v>500</v>
      </c>
      <c r="AH12" s="2995">
        <v>500</v>
      </c>
      <c r="AI12" s="2995">
        <v>500</v>
      </c>
      <c r="AJ12" s="2995">
        <v>500</v>
      </c>
      <c r="AK12" s="2995">
        <v>500</v>
      </c>
      <c r="AL12" s="2995">
        <v>500</v>
      </c>
      <c r="AM12" s="2995">
        <v>500</v>
      </c>
      <c r="AN12" s="2995">
        <v>500</v>
      </c>
      <c r="AO12" s="2995">
        <v>500</v>
      </c>
      <c r="AP12" s="2995">
        <v>500</v>
      </c>
      <c r="AQ12" s="2995">
        <v>500</v>
      </c>
      <c r="AR12" s="2995">
        <v>500</v>
      </c>
      <c r="AS12" s="2995">
        <v>500</v>
      </c>
    </row>
    <row r="13" spans="1:45" ht="15">
      <c r="A13" s="90" t="s">
        <v>2701</v>
      </c>
      <c r="B13" s="91" t="s">
        <v>2702</v>
      </c>
      <c r="C13" s="2995">
        <v>3800</v>
      </c>
      <c r="D13" s="2995">
        <v>3800</v>
      </c>
      <c r="E13" s="2996">
        <v>3800</v>
      </c>
      <c r="F13" s="2995">
        <v>3800</v>
      </c>
      <c r="G13" s="2995">
        <v>3800</v>
      </c>
      <c r="H13" s="2995">
        <v>3800</v>
      </c>
      <c r="I13" s="2996">
        <v>3800</v>
      </c>
      <c r="J13" s="2995">
        <v>3800</v>
      </c>
      <c r="K13" s="2995">
        <v>3800</v>
      </c>
      <c r="L13" s="2995">
        <v>3800</v>
      </c>
      <c r="M13" s="2996">
        <v>3800</v>
      </c>
      <c r="N13" s="2995">
        <v>3800</v>
      </c>
      <c r="O13" s="2995">
        <v>3800</v>
      </c>
      <c r="P13" s="2995">
        <v>3800</v>
      </c>
      <c r="Q13" s="2996">
        <v>3800</v>
      </c>
      <c r="R13" s="2995">
        <v>3800</v>
      </c>
      <c r="S13" s="2995">
        <v>3800</v>
      </c>
      <c r="T13" s="2995">
        <v>3800</v>
      </c>
      <c r="U13" s="2996">
        <v>3800</v>
      </c>
      <c r="V13" s="2997">
        <v>3800</v>
      </c>
      <c r="W13" s="2997">
        <v>3800</v>
      </c>
      <c r="X13" s="2997">
        <v>3800</v>
      </c>
      <c r="Y13" s="2997">
        <v>3800</v>
      </c>
      <c r="Z13" s="2997">
        <v>3800</v>
      </c>
      <c r="AA13" s="2999">
        <v>3800</v>
      </c>
      <c r="AB13" s="2995">
        <v>3800</v>
      </c>
      <c r="AC13" s="2995">
        <v>3800</v>
      </c>
      <c r="AD13" s="2995">
        <v>3800</v>
      </c>
      <c r="AE13" s="2995">
        <v>3800</v>
      </c>
      <c r="AF13" s="2995">
        <v>3800</v>
      </c>
      <c r="AG13" s="2995">
        <v>3800</v>
      </c>
      <c r="AH13" s="2995">
        <v>3800</v>
      </c>
      <c r="AI13" s="2995">
        <v>3800</v>
      </c>
      <c r="AJ13" s="2995">
        <v>3800</v>
      </c>
      <c r="AK13" s="2995">
        <v>3800</v>
      </c>
      <c r="AL13" s="2995">
        <v>3800</v>
      </c>
      <c r="AM13" s="2995">
        <v>3800</v>
      </c>
      <c r="AN13" s="2995">
        <v>3800</v>
      </c>
      <c r="AO13" s="2995">
        <v>3800</v>
      </c>
      <c r="AP13" s="2995">
        <v>3800</v>
      </c>
      <c r="AQ13" s="2995">
        <v>3800</v>
      </c>
      <c r="AR13" s="2995">
        <v>3800</v>
      </c>
      <c r="AS13" s="2995">
        <v>3800</v>
      </c>
    </row>
    <row r="14" spans="1:45" ht="15">
      <c r="A14" s="90" t="s">
        <v>2703</v>
      </c>
      <c r="B14" s="91" t="s">
        <v>2704</v>
      </c>
      <c r="C14" s="1626">
        <v>1550</v>
      </c>
      <c r="D14" s="2995">
        <v>1550</v>
      </c>
      <c r="E14" s="2996">
        <v>1550</v>
      </c>
      <c r="F14" s="2995">
        <v>1550</v>
      </c>
      <c r="G14" s="2995">
        <v>1550</v>
      </c>
      <c r="H14" s="2995">
        <v>1550</v>
      </c>
      <c r="I14" s="2996">
        <v>1550</v>
      </c>
      <c r="J14" s="2995">
        <v>1550</v>
      </c>
      <c r="K14" s="2995">
        <v>1550</v>
      </c>
      <c r="L14" s="2995">
        <v>1550</v>
      </c>
      <c r="M14" s="2996">
        <v>1550</v>
      </c>
      <c r="N14" s="2995">
        <v>1550</v>
      </c>
      <c r="O14" s="2995">
        <v>1550</v>
      </c>
      <c r="P14" s="2995">
        <v>1550</v>
      </c>
      <c r="Q14" s="2996">
        <v>1550</v>
      </c>
      <c r="R14" s="2995">
        <v>1550</v>
      </c>
      <c r="S14" s="2995">
        <v>1550</v>
      </c>
      <c r="T14" s="2995">
        <v>1550</v>
      </c>
      <c r="U14" s="2996">
        <v>1550</v>
      </c>
      <c r="V14" s="2997">
        <v>1550</v>
      </c>
      <c r="W14" s="2997">
        <v>1550</v>
      </c>
      <c r="X14" s="2997">
        <v>1550</v>
      </c>
      <c r="Y14" s="2997">
        <v>1550</v>
      </c>
      <c r="Z14" s="2997">
        <v>1550</v>
      </c>
      <c r="AA14" s="2999">
        <v>1550</v>
      </c>
      <c r="AB14" s="2995">
        <v>1550</v>
      </c>
      <c r="AC14" s="2995">
        <v>1550</v>
      </c>
      <c r="AD14" s="2995">
        <v>1550</v>
      </c>
      <c r="AE14" s="2995">
        <v>1550</v>
      </c>
      <c r="AF14" s="2995">
        <v>1550</v>
      </c>
      <c r="AG14" s="2995">
        <v>1550</v>
      </c>
      <c r="AH14" s="2995">
        <v>1550</v>
      </c>
      <c r="AI14" s="2995">
        <v>1550</v>
      </c>
      <c r="AJ14" s="2995">
        <v>1550</v>
      </c>
      <c r="AK14" s="2995">
        <v>1550</v>
      </c>
      <c r="AL14" s="2995">
        <v>1550</v>
      </c>
      <c r="AM14" s="2995">
        <v>1550</v>
      </c>
      <c r="AN14" s="2995">
        <v>1550</v>
      </c>
      <c r="AO14" s="2995">
        <v>1550</v>
      </c>
      <c r="AP14" s="2995">
        <v>1550</v>
      </c>
      <c r="AQ14" s="2995">
        <v>1550</v>
      </c>
      <c r="AR14" s="2995">
        <v>1550</v>
      </c>
      <c r="AS14" s="2995">
        <v>1550</v>
      </c>
    </row>
    <row r="15" spans="1:45" ht="15">
      <c r="A15" s="93" t="s">
        <v>2368</v>
      </c>
      <c r="B15" s="91" t="s">
        <v>2369</v>
      </c>
      <c r="C15" s="1626">
        <v>600</v>
      </c>
      <c r="D15" s="2995">
        <v>600</v>
      </c>
      <c r="E15" s="2996">
        <v>600</v>
      </c>
      <c r="F15" s="2995">
        <v>600</v>
      </c>
      <c r="G15" s="2995">
        <v>600</v>
      </c>
      <c r="H15" s="2995">
        <v>600</v>
      </c>
      <c r="I15" s="2996">
        <v>600</v>
      </c>
      <c r="J15" s="2995">
        <v>600</v>
      </c>
      <c r="K15" s="2995">
        <v>600</v>
      </c>
      <c r="L15" s="2995">
        <v>600</v>
      </c>
      <c r="M15" s="2996">
        <v>600</v>
      </c>
      <c r="N15" s="2995">
        <v>600</v>
      </c>
      <c r="O15" s="2995">
        <v>600</v>
      </c>
      <c r="P15" s="2995">
        <v>600</v>
      </c>
      <c r="Q15" s="2996">
        <v>600</v>
      </c>
      <c r="R15" s="2995">
        <v>600</v>
      </c>
      <c r="S15" s="2995">
        <v>600</v>
      </c>
      <c r="T15" s="2995">
        <v>600</v>
      </c>
      <c r="U15" s="2996">
        <v>600</v>
      </c>
      <c r="V15" s="2997">
        <v>600</v>
      </c>
      <c r="W15" s="2997">
        <v>600</v>
      </c>
      <c r="X15" s="2997">
        <v>600</v>
      </c>
      <c r="Y15" s="2997">
        <v>600</v>
      </c>
      <c r="Z15" s="2997">
        <v>600</v>
      </c>
      <c r="AA15" s="2999">
        <v>600</v>
      </c>
      <c r="AB15" s="2995">
        <v>600</v>
      </c>
      <c r="AC15" s="2995">
        <v>600</v>
      </c>
      <c r="AD15" s="2995">
        <v>600</v>
      </c>
      <c r="AE15" s="2995">
        <v>600</v>
      </c>
      <c r="AF15" s="2995">
        <v>600</v>
      </c>
      <c r="AG15" s="2995">
        <v>600</v>
      </c>
      <c r="AH15" s="2995">
        <v>600</v>
      </c>
      <c r="AI15" s="2995">
        <v>600</v>
      </c>
      <c r="AJ15" s="2995">
        <v>600</v>
      </c>
      <c r="AK15" s="2995">
        <v>600</v>
      </c>
      <c r="AL15" s="2995">
        <v>600</v>
      </c>
      <c r="AM15" s="2995">
        <v>600</v>
      </c>
      <c r="AN15" s="2995">
        <v>600</v>
      </c>
      <c r="AO15" s="2995">
        <v>600</v>
      </c>
      <c r="AP15" s="2995">
        <v>600</v>
      </c>
      <c r="AQ15" s="2995">
        <v>600</v>
      </c>
      <c r="AR15" s="2995">
        <v>600</v>
      </c>
      <c r="AS15" s="2995">
        <v>600</v>
      </c>
    </row>
    <row r="16" spans="1:45" ht="15">
      <c r="A16" s="93" t="s">
        <v>2370</v>
      </c>
      <c r="B16" s="91" t="s">
        <v>2371</v>
      </c>
      <c r="C16" s="2995">
        <v>200</v>
      </c>
      <c r="D16" s="2995">
        <v>200</v>
      </c>
      <c r="E16" s="2996">
        <v>200</v>
      </c>
      <c r="F16" s="2995">
        <v>200</v>
      </c>
      <c r="G16" s="2995">
        <v>200</v>
      </c>
      <c r="H16" s="2995">
        <v>200</v>
      </c>
      <c r="I16" s="2996">
        <v>200</v>
      </c>
      <c r="J16" s="2995">
        <v>200</v>
      </c>
      <c r="K16" s="2995">
        <v>200</v>
      </c>
      <c r="L16" s="2995">
        <v>200</v>
      </c>
      <c r="M16" s="2996">
        <v>200</v>
      </c>
      <c r="N16" s="2995">
        <v>200</v>
      </c>
      <c r="O16" s="2995">
        <v>200</v>
      </c>
      <c r="P16" s="2995">
        <v>200</v>
      </c>
      <c r="Q16" s="2996">
        <v>200</v>
      </c>
      <c r="R16" s="2995">
        <v>200</v>
      </c>
      <c r="S16" s="2995">
        <v>200</v>
      </c>
      <c r="T16" s="2995">
        <v>200</v>
      </c>
      <c r="U16" s="2996">
        <v>200</v>
      </c>
      <c r="V16" s="2997">
        <v>200</v>
      </c>
      <c r="W16" s="2997">
        <v>200</v>
      </c>
      <c r="X16" s="2997">
        <v>200</v>
      </c>
      <c r="Y16" s="2997">
        <v>200</v>
      </c>
      <c r="Z16" s="2997">
        <v>200</v>
      </c>
      <c r="AA16" s="2999">
        <v>200</v>
      </c>
      <c r="AB16" s="2995">
        <v>200</v>
      </c>
      <c r="AC16" s="2995">
        <v>200</v>
      </c>
      <c r="AD16" s="2995">
        <v>200</v>
      </c>
      <c r="AE16" s="2995">
        <v>200</v>
      </c>
      <c r="AF16" s="2995">
        <v>200</v>
      </c>
      <c r="AG16" s="2995">
        <v>200</v>
      </c>
      <c r="AH16" s="2995">
        <v>200</v>
      </c>
      <c r="AI16" s="2995">
        <v>200</v>
      </c>
      <c r="AJ16" s="2995">
        <v>200</v>
      </c>
      <c r="AK16" s="2995">
        <v>200</v>
      </c>
      <c r="AL16" s="2995">
        <v>200</v>
      </c>
      <c r="AM16" s="2995">
        <v>200</v>
      </c>
      <c r="AN16" s="2995">
        <v>200</v>
      </c>
      <c r="AO16" s="2995">
        <v>200</v>
      </c>
      <c r="AP16" s="2995">
        <v>200</v>
      </c>
      <c r="AQ16" s="2995">
        <v>200</v>
      </c>
      <c r="AR16" s="2995">
        <v>200</v>
      </c>
      <c r="AS16" s="2995">
        <v>200</v>
      </c>
    </row>
    <row r="17" spans="1:45" ht="15">
      <c r="A17" s="90" t="s">
        <v>2372</v>
      </c>
      <c r="B17" s="91" t="s">
        <v>2373</v>
      </c>
      <c r="C17" s="2995">
        <v>9475</v>
      </c>
      <c r="D17" s="2995">
        <v>9475</v>
      </c>
      <c r="E17" s="2996">
        <v>9475</v>
      </c>
      <c r="F17" s="2995">
        <v>9475</v>
      </c>
      <c r="G17" s="2995">
        <v>9475</v>
      </c>
      <c r="H17" s="2995">
        <v>9475</v>
      </c>
      <c r="I17" s="2996">
        <v>9475</v>
      </c>
      <c r="J17" s="2995">
        <v>9475</v>
      </c>
      <c r="K17" s="2995">
        <v>9475</v>
      </c>
      <c r="L17" s="2995">
        <v>9475</v>
      </c>
      <c r="M17" s="2996">
        <v>9475</v>
      </c>
      <c r="N17" s="2995">
        <v>10865</v>
      </c>
      <c r="O17" s="2995">
        <v>10865</v>
      </c>
      <c r="P17" s="2995">
        <v>10865</v>
      </c>
      <c r="Q17" s="2996">
        <v>10865</v>
      </c>
      <c r="R17" s="2995">
        <v>10865</v>
      </c>
      <c r="S17" s="2995">
        <v>10865</v>
      </c>
      <c r="T17" s="2995">
        <v>10865</v>
      </c>
      <c r="U17" s="2996">
        <v>10865</v>
      </c>
      <c r="V17" s="3000">
        <v>9056.33</v>
      </c>
      <c r="W17" s="2997">
        <v>9056.33</v>
      </c>
      <c r="X17" s="2997">
        <v>9056.33</v>
      </c>
      <c r="Y17" s="2997">
        <v>9056.33</v>
      </c>
      <c r="Z17" s="2997">
        <v>9056.33</v>
      </c>
      <c r="AA17" s="2999">
        <v>9056.33</v>
      </c>
      <c r="AB17" s="2995">
        <v>9056.33</v>
      </c>
      <c r="AC17" s="2995">
        <v>9056.33</v>
      </c>
      <c r="AD17" s="2995">
        <v>9056.33</v>
      </c>
      <c r="AE17" s="2995">
        <v>9056.33</v>
      </c>
      <c r="AF17" s="2995">
        <v>9056.33</v>
      </c>
      <c r="AG17" s="2995">
        <v>9056.33</v>
      </c>
      <c r="AH17" s="2995">
        <v>9056.33</v>
      </c>
      <c r="AI17" s="2995">
        <v>9056.33</v>
      </c>
      <c r="AJ17" s="2995">
        <v>9056.33</v>
      </c>
      <c r="AK17" s="2995">
        <v>9056.33</v>
      </c>
      <c r="AL17" s="2995">
        <v>9056.33</v>
      </c>
      <c r="AM17" s="2995">
        <v>9056.33</v>
      </c>
      <c r="AN17" s="2995">
        <v>9056.33</v>
      </c>
      <c r="AO17" s="2995">
        <v>9056.33</v>
      </c>
      <c r="AP17" s="2995">
        <v>9056.33</v>
      </c>
      <c r="AQ17" s="2995">
        <v>9056.33</v>
      </c>
      <c r="AR17" s="2995">
        <v>9056.33</v>
      </c>
      <c r="AS17" s="2995">
        <v>9056.33</v>
      </c>
    </row>
    <row r="18" spans="1:45" ht="15">
      <c r="A18" s="93" t="s">
        <v>2374</v>
      </c>
      <c r="B18" s="91" t="s">
        <v>2375</v>
      </c>
      <c r="C18" s="2995">
        <v>0</v>
      </c>
      <c r="D18" s="2995">
        <v>0</v>
      </c>
      <c r="E18" s="2996">
        <v>0</v>
      </c>
      <c r="F18" s="2995">
        <v>0</v>
      </c>
      <c r="G18" s="2995">
        <v>0</v>
      </c>
      <c r="H18" s="2995">
        <v>0</v>
      </c>
      <c r="I18" s="2996">
        <v>0</v>
      </c>
      <c r="J18" s="2995">
        <v>0</v>
      </c>
      <c r="K18" s="2995">
        <v>0</v>
      </c>
      <c r="L18" s="2995">
        <v>0</v>
      </c>
      <c r="M18" s="2996">
        <v>0</v>
      </c>
      <c r="N18" s="2995">
        <v>0</v>
      </c>
      <c r="O18" s="2995">
        <v>0</v>
      </c>
      <c r="P18" s="2995">
        <v>0</v>
      </c>
      <c r="Q18" s="2996">
        <v>0</v>
      </c>
      <c r="R18" s="2995">
        <v>0</v>
      </c>
      <c r="S18" s="2995">
        <v>0</v>
      </c>
      <c r="T18" s="2995">
        <v>0</v>
      </c>
      <c r="U18" s="2996">
        <v>0</v>
      </c>
      <c r="V18" s="3001">
        <v>3362.65</v>
      </c>
      <c r="W18" s="2997">
        <v>3362.65</v>
      </c>
      <c r="X18" s="2997">
        <v>3362.65</v>
      </c>
      <c r="Y18" s="2997">
        <v>3362.65</v>
      </c>
      <c r="Z18" s="2997">
        <v>3362.65</v>
      </c>
      <c r="AA18" s="2999">
        <v>3362.65</v>
      </c>
      <c r="AB18" s="2995">
        <v>3362.65</v>
      </c>
      <c r="AC18" s="2995">
        <v>3362.65</v>
      </c>
      <c r="AD18" s="2995">
        <v>3362.65</v>
      </c>
      <c r="AE18" s="2995">
        <v>3362.65</v>
      </c>
      <c r="AF18" s="2995">
        <v>3362.65</v>
      </c>
      <c r="AG18" s="2995">
        <v>3362.65</v>
      </c>
      <c r="AH18" s="2995">
        <v>3362.65</v>
      </c>
      <c r="AI18" s="2995">
        <v>3362.65</v>
      </c>
      <c r="AJ18" s="2995">
        <v>3362.65</v>
      </c>
      <c r="AK18" s="2995">
        <v>3362.65</v>
      </c>
      <c r="AL18" s="2995">
        <v>3362.65</v>
      </c>
      <c r="AM18" s="2995">
        <v>3362.65</v>
      </c>
      <c r="AN18" s="2995">
        <v>3362.65</v>
      </c>
      <c r="AO18" s="2995">
        <v>3362.65</v>
      </c>
      <c r="AP18" s="2995">
        <v>3362.65</v>
      </c>
      <c r="AQ18" s="2995">
        <v>3362.65</v>
      </c>
      <c r="AR18" s="2995">
        <v>3362.65</v>
      </c>
      <c r="AS18" s="2995">
        <v>3362.65</v>
      </c>
    </row>
    <row r="19" spans="1:45" ht="15">
      <c r="A19" s="93" t="s">
        <v>1854</v>
      </c>
      <c r="B19" s="91" t="s">
        <v>2377</v>
      </c>
      <c r="C19" s="2995">
        <v>400</v>
      </c>
      <c r="D19" s="2995">
        <v>400</v>
      </c>
      <c r="E19" s="2996">
        <v>400</v>
      </c>
      <c r="F19" s="2995">
        <v>400</v>
      </c>
      <c r="G19" s="2995">
        <v>400</v>
      </c>
      <c r="H19" s="2995">
        <v>400</v>
      </c>
      <c r="I19" s="2996">
        <v>400</v>
      </c>
      <c r="J19" s="2995">
        <v>400</v>
      </c>
      <c r="K19" s="2995">
        <v>400</v>
      </c>
      <c r="L19" s="2995">
        <v>400</v>
      </c>
      <c r="M19" s="2996">
        <v>400</v>
      </c>
      <c r="N19" s="2995">
        <v>400</v>
      </c>
      <c r="O19" s="2995">
        <v>400</v>
      </c>
      <c r="P19" s="2995">
        <v>400</v>
      </c>
      <c r="Q19" s="2996">
        <v>400</v>
      </c>
      <c r="R19" s="2995">
        <v>400</v>
      </c>
      <c r="S19" s="2995">
        <v>400</v>
      </c>
      <c r="T19" s="2995">
        <v>400</v>
      </c>
      <c r="U19" s="2996">
        <v>400</v>
      </c>
      <c r="V19" s="2997">
        <v>400</v>
      </c>
      <c r="W19" s="2997">
        <v>400</v>
      </c>
      <c r="X19" s="2997">
        <v>400</v>
      </c>
      <c r="Y19" s="2997">
        <v>400</v>
      </c>
      <c r="Z19" s="2997">
        <v>400</v>
      </c>
      <c r="AA19" s="2999">
        <v>400</v>
      </c>
      <c r="AB19" s="2995">
        <v>400</v>
      </c>
      <c r="AC19" s="2995">
        <v>400</v>
      </c>
      <c r="AD19" s="2995">
        <v>400</v>
      </c>
      <c r="AE19" s="2995">
        <v>400</v>
      </c>
      <c r="AF19" s="2995">
        <v>400</v>
      </c>
      <c r="AG19" s="2995">
        <v>400</v>
      </c>
      <c r="AH19" s="2995">
        <v>400</v>
      </c>
      <c r="AI19" s="2995">
        <v>400</v>
      </c>
      <c r="AJ19" s="2995">
        <v>400</v>
      </c>
      <c r="AK19" s="2995">
        <v>400</v>
      </c>
      <c r="AL19" s="2995">
        <v>400</v>
      </c>
      <c r="AM19" s="2995">
        <v>400</v>
      </c>
      <c r="AN19" s="2995">
        <v>400</v>
      </c>
      <c r="AO19" s="2995">
        <v>400</v>
      </c>
      <c r="AP19" s="2995">
        <v>400</v>
      </c>
      <c r="AQ19" s="2995">
        <v>400</v>
      </c>
      <c r="AR19" s="2995">
        <v>400</v>
      </c>
      <c r="AS19" s="2995">
        <v>400</v>
      </c>
    </row>
    <row r="20" spans="1:45" ht="15">
      <c r="A20" s="93" t="s">
        <v>2359</v>
      </c>
      <c r="B20" s="91" t="s">
        <v>2360</v>
      </c>
      <c r="C20" s="2995">
        <v>0</v>
      </c>
      <c r="D20" s="2995">
        <v>0</v>
      </c>
      <c r="E20" s="2996">
        <v>0</v>
      </c>
      <c r="F20" s="2995">
        <v>0</v>
      </c>
      <c r="G20" s="2995">
        <v>0</v>
      </c>
      <c r="H20" s="2995">
        <v>0</v>
      </c>
      <c r="I20" s="2996">
        <v>0</v>
      </c>
      <c r="J20" s="2995">
        <v>0</v>
      </c>
      <c r="K20" s="2995">
        <v>0</v>
      </c>
      <c r="L20" s="2995">
        <v>0</v>
      </c>
      <c r="M20" s="2996">
        <v>0</v>
      </c>
      <c r="N20" s="2995">
        <v>0</v>
      </c>
      <c r="O20" s="2995">
        <v>0</v>
      </c>
      <c r="P20" s="2995">
        <v>0</v>
      </c>
      <c r="Q20" s="2996">
        <v>0</v>
      </c>
      <c r="R20" s="2995">
        <v>0</v>
      </c>
      <c r="S20" s="2995">
        <v>0</v>
      </c>
      <c r="T20" s="2995">
        <v>0</v>
      </c>
      <c r="U20" s="2996">
        <v>0</v>
      </c>
      <c r="V20" s="2997">
        <v>0</v>
      </c>
      <c r="W20" s="2997">
        <v>0</v>
      </c>
      <c r="X20" s="2997">
        <v>0</v>
      </c>
      <c r="Y20" s="2997">
        <v>0</v>
      </c>
      <c r="Z20" s="2997">
        <v>0</v>
      </c>
      <c r="AA20" s="2999">
        <v>0</v>
      </c>
      <c r="AB20" s="2995">
        <v>0</v>
      </c>
      <c r="AC20" s="2995">
        <v>0</v>
      </c>
      <c r="AD20" s="2995">
        <v>0</v>
      </c>
      <c r="AE20" s="2995">
        <v>0</v>
      </c>
      <c r="AF20" s="2995">
        <v>0</v>
      </c>
      <c r="AG20" s="2995">
        <v>0</v>
      </c>
      <c r="AH20" s="2995">
        <v>0</v>
      </c>
      <c r="AI20" s="2995">
        <v>0</v>
      </c>
      <c r="AJ20" s="2995">
        <v>0</v>
      </c>
      <c r="AK20" s="2995">
        <v>0</v>
      </c>
      <c r="AL20" s="2995">
        <v>0</v>
      </c>
      <c r="AM20" s="2995">
        <v>0</v>
      </c>
      <c r="AN20" s="2995">
        <v>0</v>
      </c>
      <c r="AO20" s="2995">
        <v>0</v>
      </c>
      <c r="AP20" s="2995">
        <v>0</v>
      </c>
      <c r="AQ20" s="2995">
        <v>0</v>
      </c>
      <c r="AR20" s="2995">
        <v>0</v>
      </c>
      <c r="AS20" s="2995">
        <v>0</v>
      </c>
    </row>
    <row r="21" spans="1:45" ht="15">
      <c r="A21" s="93" t="s">
        <v>1993</v>
      </c>
      <c r="B21" s="91" t="s">
        <v>1994</v>
      </c>
      <c r="C21" s="2995">
        <v>2000</v>
      </c>
      <c r="D21" s="2995">
        <v>2000</v>
      </c>
      <c r="E21" s="2996">
        <v>2000</v>
      </c>
      <c r="F21" s="2995">
        <v>2000</v>
      </c>
      <c r="G21" s="2995">
        <v>2000</v>
      </c>
      <c r="H21" s="2995">
        <v>2000</v>
      </c>
      <c r="I21" s="2996">
        <v>2000</v>
      </c>
      <c r="J21" s="2995">
        <v>2000</v>
      </c>
      <c r="K21" s="2995">
        <v>2000</v>
      </c>
      <c r="L21" s="2995">
        <v>2000</v>
      </c>
      <c r="M21" s="2996">
        <v>2000</v>
      </c>
      <c r="N21" s="2995">
        <v>2000</v>
      </c>
      <c r="O21" s="2995">
        <v>2000</v>
      </c>
      <c r="P21" s="2995">
        <v>2000</v>
      </c>
      <c r="Q21" s="2996">
        <v>2000</v>
      </c>
      <c r="R21" s="2995">
        <v>2000</v>
      </c>
      <c r="S21" s="2995">
        <v>2000</v>
      </c>
      <c r="T21" s="2995">
        <v>2000</v>
      </c>
      <c r="U21" s="2996">
        <v>2000</v>
      </c>
      <c r="V21" s="2997">
        <v>2000</v>
      </c>
      <c r="W21" s="2997">
        <v>2000</v>
      </c>
      <c r="X21" s="2997">
        <v>2000</v>
      </c>
      <c r="Y21" s="2997">
        <v>2000</v>
      </c>
      <c r="Z21" s="2997">
        <v>2000</v>
      </c>
      <c r="AA21" s="2999">
        <v>2000</v>
      </c>
      <c r="AB21" s="2995">
        <v>2000</v>
      </c>
      <c r="AC21" s="2995">
        <v>2000</v>
      </c>
      <c r="AD21" s="2995">
        <v>2000</v>
      </c>
      <c r="AE21" s="2995">
        <v>2000</v>
      </c>
      <c r="AF21" s="2995">
        <v>2000</v>
      </c>
      <c r="AG21" s="2995">
        <v>2000</v>
      </c>
      <c r="AH21" s="2995">
        <v>2000</v>
      </c>
      <c r="AI21" s="2995">
        <v>2000</v>
      </c>
      <c r="AJ21" s="2995">
        <v>2000</v>
      </c>
      <c r="AK21" s="2995">
        <v>2000</v>
      </c>
      <c r="AL21" s="2995">
        <v>2666.6666666666665</v>
      </c>
      <c r="AM21" s="2995">
        <v>2666.6666666666665</v>
      </c>
      <c r="AN21" s="2995">
        <v>2666.6666666666665</v>
      </c>
      <c r="AO21" s="2995">
        <v>2666.6666666666665</v>
      </c>
      <c r="AP21" s="2995">
        <v>2666.6666666666665</v>
      </c>
      <c r="AQ21" s="2995">
        <v>2666.6666666666665</v>
      </c>
      <c r="AR21" s="2995">
        <v>2666.6666666666665</v>
      </c>
      <c r="AS21" s="2995">
        <v>2666.6666666666665</v>
      </c>
    </row>
    <row r="22" spans="1:45" ht="15">
      <c r="A22" s="93" t="s">
        <v>1779</v>
      </c>
      <c r="B22" s="91" t="s">
        <v>1996</v>
      </c>
      <c r="C22" s="2995">
        <v>2200</v>
      </c>
      <c r="D22" s="2995">
        <v>2200</v>
      </c>
      <c r="E22" s="2996">
        <v>2200</v>
      </c>
      <c r="F22" s="2995">
        <v>2200</v>
      </c>
      <c r="G22" s="2995">
        <v>2200</v>
      </c>
      <c r="H22" s="2995">
        <v>2200</v>
      </c>
      <c r="I22" s="2996">
        <v>2200</v>
      </c>
      <c r="J22" s="2995">
        <v>2200</v>
      </c>
      <c r="K22" s="2995">
        <v>2200</v>
      </c>
      <c r="L22" s="2995">
        <v>2200</v>
      </c>
      <c r="M22" s="2996">
        <v>2200</v>
      </c>
      <c r="N22" s="2995">
        <v>2200</v>
      </c>
      <c r="O22" s="2995">
        <v>2200</v>
      </c>
      <c r="P22" s="2995">
        <v>2200</v>
      </c>
      <c r="Q22" s="2996">
        <v>2200</v>
      </c>
      <c r="R22" s="2995">
        <v>2200</v>
      </c>
      <c r="S22" s="2995">
        <v>2200</v>
      </c>
      <c r="T22" s="2995">
        <v>2200</v>
      </c>
      <c r="U22" s="2996">
        <v>2200</v>
      </c>
      <c r="V22" s="2997">
        <v>2200</v>
      </c>
      <c r="W22" s="2997">
        <v>2200</v>
      </c>
      <c r="X22" s="2997">
        <v>2200</v>
      </c>
      <c r="Y22" s="2997">
        <v>2200</v>
      </c>
      <c r="Z22" s="2997">
        <v>2200</v>
      </c>
      <c r="AA22" s="2999">
        <v>2200</v>
      </c>
      <c r="AB22" s="2995">
        <v>2200</v>
      </c>
      <c r="AC22" s="2995">
        <v>2200</v>
      </c>
      <c r="AD22" s="2995">
        <v>2200</v>
      </c>
      <c r="AE22" s="2995">
        <v>2200</v>
      </c>
      <c r="AF22" s="2995">
        <v>2200</v>
      </c>
      <c r="AG22" s="2995">
        <v>2200</v>
      </c>
      <c r="AH22" s="2995">
        <v>2200</v>
      </c>
      <c r="AI22" s="2995">
        <v>2200</v>
      </c>
      <c r="AJ22" s="2995">
        <v>2200</v>
      </c>
      <c r="AK22" s="2995">
        <v>2200</v>
      </c>
      <c r="AL22" s="2995">
        <v>2200</v>
      </c>
      <c r="AM22" s="2995">
        <v>2200</v>
      </c>
      <c r="AN22" s="2995">
        <v>2200</v>
      </c>
      <c r="AO22" s="2995">
        <v>2200</v>
      </c>
      <c r="AP22" s="2995">
        <v>2200</v>
      </c>
      <c r="AQ22" s="2995">
        <v>2200</v>
      </c>
      <c r="AR22" s="2995">
        <v>2200</v>
      </c>
      <c r="AS22" s="2995">
        <v>2200</v>
      </c>
    </row>
    <row r="23" spans="1:45" ht="15">
      <c r="A23" s="93" t="s">
        <v>3292</v>
      </c>
      <c r="B23" s="91" t="s">
        <v>3293</v>
      </c>
      <c r="C23" s="2995">
        <v>500</v>
      </c>
      <c r="D23" s="2995">
        <v>500</v>
      </c>
      <c r="E23" s="2996">
        <v>500</v>
      </c>
      <c r="F23" s="2995">
        <v>500</v>
      </c>
      <c r="G23" s="2995">
        <v>500</v>
      </c>
      <c r="H23" s="2995">
        <v>500</v>
      </c>
      <c r="I23" s="2996">
        <v>500</v>
      </c>
      <c r="J23" s="2995">
        <v>500</v>
      </c>
      <c r="K23" s="2995">
        <v>500</v>
      </c>
      <c r="L23" s="2995">
        <v>500</v>
      </c>
      <c r="M23" s="2996">
        <v>500</v>
      </c>
      <c r="N23" s="2995">
        <v>500</v>
      </c>
      <c r="O23" s="2995">
        <v>500</v>
      </c>
      <c r="P23" s="2995">
        <v>500</v>
      </c>
      <c r="Q23" s="2996">
        <v>500</v>
      </c>
      <c r="R23" s="2995">
        <v>500</v>
      </c>
      <c r="S23" s="2995">
        <v>500</v>
      </c>
      <c r="T23" s="2995">
        <v>500</v>
      </c>
      <c r="U23" s="2996">
        <v>500</v>
      </c>
      <c r="V23" s="2997">
        <v>500</v>
      </c>
      <c r="W23" s="2997">
        <v>500</v>
      </c>
      <c r="X23" s="2997">
        <v>500</v>
      </c>
      <c r="Y23" s="2997">
        <v>500</v>
      </c>
      <c r="Z23" s="2997">
        <v>500</v>
      </c>
      <c r="AA23" s="2999">
        <v>500</v>
      </c>
      <c r="AB23" s="2995">
        <v>500</v>
      </c>
      <c r="AC23" s="2995">
        <v>500</v>
      </c>
      <c r="AD23" s="2995">
        <v>500</v>
      </c>
      <c r="AE23" s="2995">
        <v>500</v>
      </c>
      <c r="AF23" s="2995">
        <v>500</v>
      </c>
      <c r="AG23" s="2995">
        <v>500</v>
      </c>
      <c r="AH23" s="2995">
        <v>500</v>
      </c>
      <c r="AI23" s="2995">
        <v>500</v>
      </c>
      <c r="AJ23" s="2995">
        <v>500</v>
      </c>
      <c r="AK23" s="2995">
        <v>500</v>
      </c>
      <c r="AL23" s="2995">
        <v>500</v>
      </c>
      <c r="AM23" s="2995">
        <v>500</v>
      </c>
      <c r="AN23" s="2995">
        <v>500</v>
      </c>
      <c r="AO23" s="2995">
        <v>500</v>
      </c>
      <c r="AP23" s="2995">
        <v>500</v>
      </c>
      <c r="AQ23" s="2995">
        <v>500</v>
      </c>
      <c r="AR23" s="2995">
        <v>500</v>
      </c>
      <c r="AS23" s="2995">
        <v>500</v>
      </c>
    </row>
    <row r="24" spans="1:45" ht="15">
      <c r="A24" s="93" t="s">
        <v>3294</v>
      </c>
      <c r="B24" s="91" t="s">
        <v>907</v>
      </c>
      <c r="C24" s="2995">
        <v>385</v>
      </c>
      <c r="D24" s="2995">
        <v>385</v>
      </c>
      <c r="E24" s="2996">
        <v>385</v>
      </c>
      <c r="F24" s="2995">
        <v>385</v>
      </c>
      <c r="G24" s="2995">
        <v>385</v>
      </c>
      <c r="H24" s="2995">
        <v>385</v>
      </c>
      <c r="I24" s="2996">
        <v>385</v>
      </c>
      <c r="J24" s="2995">
        <v>385</v>
      </c>
      <c r="K24" s="2995">
        <v>385</v>
      </c>
      <c r="L24" s="2995">
        <v>385</v>
      </c>
      <c r="M24" s="2996">
        <v>385</v>
      </c>
      <c r="N24" s="2995">
        <v>385</v>
      </c>
      <c r="O24" s="2995">
        <v>385</v>
      </c>
      <c r="P24" s="2995">
        <v>385</v>
      </c>
      <c r="Q24" s="2996">
        <v>385</v>
      </c>
      <c r="R24" s="2995">
        <v>385</v>
      </c>
      <c r="S24" s="2995">
        <v>385</v>
      </c>
      <c r="T24" s="2995">
        <v>385</v>
      </c>
      <c r="U24" s="2996">
        <v>385</v>
      </c>
      <c r="V24" s="2997">
        <v>385</v>
      </c>
      <c r="W24" s="2997">
        <v>385</v>
      </c>
      <c r="X24" s="2997">
        <v>385</v>
      </c>
      <c r="Y24" s="2997">
        <v>385</v>
      </c>
      <c r="Z24" s="2997">
        <v>385</v>
      </c>
      <c r="AA24" s="2999">
        <v>385</v>
      </c>
      <c r="AB24" s="2995">
        <v>385</v>
      </c>
      <c r="AC24" s="2995">
        <v>385</v>
      </c>
      <c r="AD24" s="2995">
        <v>385</v>
      </c>
      <c r="AE24" s="2995">
        <v>385</v>
      </c>
      <c r="AF24" s="2995">
        <v>385</v>
      </c>
      <c r="AG24" s="2995">
        <v>385</v>
      </c>
      <c r="AH24" s="2995">
        <v>385</v>
      </c>
      <c r="AI24" s="2995">
        <v>385</v>
      </c>
      <c r="AJ24" s="2995">
        <v>385</v>
      </c>
      <c r="AK24" s="2995">
        <v>385</v>
      </c>
      <c r="AL24" s="2995">
        <v>385</v>
      </c>
      <c r="AM24" s="2995">
        <v>385</v>
      </c>
      <c r="AN24" s="2995">
        <v>385</v>
      </c>
      <c r="AO24" s="2995">
        <v>385</v>
      </c>
      <c r="AP24" s="2995">
        <v>385</v>
      </c>
      <c r="AQ24" s="2995">
        <v>385</v>
      </c>
      <c r="AR24" s="2995">
        <v>385</v>
      </c>
      <c r="AS24" s="2995">
        <v>385</v>
      </c>
    </row>
    <row r="25" spans="1:45" ht="15">
      <c r="A25" s="93" t="s">
        <v>1780</v>
      </c>
      <c r="B25" s="91" t="s">
        <v>909</v>
      </c>
      <c r="C25" s="2995">
        <v>50</v>
      </c>
      <c r="D25" s="2995">
        <v>50</v>
      </c>
      <c r="E25" s="2996">
        <v>50</v>
      </c>
      <c r="F25" s="2995">
        <v>50</v>
      </c>
      <c r="G25" s="2995">
        <v>50</v>
      </c>
      <c r="H25" s="2995">
        <v>50</v>
      </c>
      <c r="I25" s="2996">
        <v>50</v>
      </c>
      <c r="J25" s="2995">
        <v>50</v>
      </c>
      <c r="K25" s="2995">
        <v>50</v>
      </c>
      <c r="L25" s="2995">
        <v>50</v>
      </c>
      <c r="M25" s="2996">
        <v>50</v>
      </c>
      <c r="N25" s="2995">
        <v>50</v>
      </c>
      <c r="O25" s="2995">
        <v>50</v>
      </c>
      <c r="P25" s="2995">
        <v>50</v>
      </c>
      <c r="Q25" s="2996">
        <v>50</v>
      </c>
      <c r="R25" s="2995">
        <v>50</v>
      </c>
      <c r="S25" s="2995">
        <v>50</v>
      </c>
      <c r="T25" s="2995">
        <v>50</v>
      </c>
      <c r="U25" s="2996">
        <v>50</v>
      </c>
      <c r="V25" s="2997">
        <v>50</v>
      </c>
      <c r="W25" s="2997">
        <v>50</v>
      </c>
      <c r="X25" s="2997">
        <v>50</v>
      </c>
      <c r="Y25" s="2997">
        <v>50</v>
      </c>
      <c r="Z25" s="2997">
        <v>50</v>
      </c>
      <c r="AA25" s="2999">
        <v>50</v>
      </c>
      <c r="AB25" s="2995">
        <v>50</v>
      </c>
      <c r="AC25" s="2995">
        <v>50</v>
      </c>
      <c r="AD25" s="2995">
        <v>50</v>
      </c>
      <c r="AE25" s="2995">
        <v>50</v>
      </c>
      <c r="AF25" s="2995">
        <v>50</v>
      </c>
      <c r="AG25" s="2995">
        <v>50</v>
      </c>
      <c r="AH25" s="2995">
        <v>50</v>
      </c>
      <c r="AI25" s="2995">
        <v>50</v>
      </c>
      <c r="AJ25" s="2995">
        <v>50</v>
      </c>
      <c r="AK25" s="2995">
        <v>50</v>
      </c>
      <c r="AL25" s="2995">
        <v>50</v>
      </c>
      <c r="AM25" s="2995">
        <v>50</v>
      </c>
      <c r="AN25" s="2995">
        <v>50</v>
      </c>
      <c r="AO25" s="2995">
        <v>50</v>
      </c>
      <c r="AP25" s="2995">
        <v>50</v>
      </c>
      <c r="AQ25" s="2995">
        <v>50</v>
      </c>
      <c r="AR25" s="2995">
        <v>50</v>
      </c>
      <c r="AS25" s="2995">
        <v>50</v>
      </c>
    </row>
    <row r="26" spans="1:45" ht="15">
      <c r="A26" s="93" t="s">
        <v>910</v>
      </c>
      <c r="B26" s="91" t="s">
        <v>912</v>
      </c>
      <c r="C26" s="2995">
        <v>0</v>
      </c>
      <c r="D26" s="2995">
        <v>0</v>
      </c>
      <c r="E26" s="2996">
        <v>0</v>
      </c>
      <c r="F26" s="2995">
        <v>0</v>
      </c>
      <c r="G26" s="2995">
        <v>0</v>
      </c>
      <c r="H26" s="2995">
        <v>0</v>
      </c>
      <c r="I26" s="2996">
        <v>0</v>
      </c>
      <c r="J26" s="2995">
        <v>0</v>
      </c>
      <c r="K26" s="2995">
        <v>0</v>
      </c>
      <c r="L26" s="2995">
        <v>0</v>
      </c>
      <c r="M26" s="2996">
        <v>0</v>
      </c>
      <c r="N26" s="2995">
        <v>0</v>
      </c>
      <c r="O26" s="2995">
        <v>0</v>
      </c>
      <c r="P26" s="2995">
        <v>0</v>
      </c>
      <c r="Q26" s="2996">
        <v>0</v>
      </c>
      <c r="R26" s="2995">
        <v>0</v>
      </c>
      <c r="S26" s="2995">
        <v>0</v>
      </c>
      <c r="T26" s="2995">
        <v>0</v>
      </c>
      <c r="U26" s="2996">
        <v>0</v>
      </c>
      <c r="V26" s="2997">
        <v>0</v>
      </c>
      <c r="W26" s="2997">
        <v>0</v>
      </c>
      <c r="X26" s="2997">
        <v>0</v>
      </c>
      <c r="Y26" s="2997">
        <v>0</v>
      </c>
      <c r="Z26" s="2997">
        <v>0</v>
      </c>
      <c r="AA26" s="2999">
        <v>0</v>
      </c>
      <c r="AB26" s="2995">
        <v>0</v>
      </c>
      <c r="AC26" s="2995">
        <v>0</v>
      </c>
      <c r="AD26" s="2995">
        <v>0</v>
      </c>
      <c r="AE26" s="2995">
        <v>0</v>
      </c>
      <c r="AF26" s="2995">
        <v>0</v>
      </c>
      <c r="AG26" s="2995">
        <v>0</v>
      </c>
      <c r="AH26" s="2995">
        <v>0</v>
      </c>
      <c r="AI26" s="2995">
        <v>0</v>
      </c>
      <c r="AJ26" s="2995">
        <v>0</v>
      </c>
      <c r="AK26" s="2995">
        <v>0</v>
      </c>
      <c r="AL26" s="2995">
        <v>0</v>
      </c>
      <c r="AM26" s="2995">
        <v>0</v>
      </c>
      <c r="AN26" s="2995">
        <v>0</v>
      </c>
      <c r="AO26" s="2995">
        <v>0</v>
      </c>
      <c r="AP26" s="2995">
        <v>0</v>
      </c>
      <c r="AQ26" s="2995">
        <v>0</v>
      </c>
      <c r="AR26" s="2995">
        <v>0</v>
      </c>
      <c r="AS26" s="2995">
        <v>0</v>
      </c>
    </row>
    <row r="27" spans="1:45" ht="15">
      <c r="A27" s="93" t="s">
        <v>913</v>
      </c>
      <c r="B27" s="91" t="s">
        <v>914</v>
      </c>
      <c r="C27" s="2995">
        <v>0</v>
      </c>
      <c r="D27" s="2995">
        <v>0</v>
      </c>
      <c r="E27" s="2996">
        <v>0</v>
      </c>
      <c r="F27" s="2995">
        <v>0</v>
      </c>
      <c r="G27" s="2995">
        <v>0</v>
      </c>
      <c r="H27" s="2995">
        <v>0</v>
      </c>
      <c r="I27" s="2996">
        <v>0</v>
      </c>
      <c r="J27" s="2995">
        <v>0</v>
      </c>
      <c r="K27" s="2995">
        <v>0</v>
      </c>
      <c r="L27" s="2995">
        <v>0</v>
      </c>
      <c r="M27" s="2996">
        <v>0</v>
      </c>
      <c r="N27" s="2995">
        <v>0</v>
      </c>
      <c r="O27" s="2995">
        <v>0</v>
      </c>
      <c r="P27" s="2995">
        <v>0</v>
      </c>
      <c r="Q27" s="2996">
        <v>0</v>
      </c>
      <c r="R27" s="2995">
        <v>0</v>
      </c>
      <c r="S27" s="2995">
        <v>0</v>
      </c>
      <c r="T27" s="2995">
        <v>0</v>
      </c>
      <c r="U27" s="2996">
        <v>0</v>
      </c>
      <c r="V27" s="2997">
        <v>0</v>
      </c>
      <c r="W27" s="2997">
        <v>0</v>
      </c>
      <c r="X27" s="2997">
        <v>0</v>
      </c>
      <c r="Y27" s="2997">
        <v>0</v>
      </c>
      <c r="Z27" s="2997">
        <v>0</v>
      </c>
      <c r="AA27" s="2999">
        <v>0</v>
      </c>
      <c r="AB27" s="2995">
        <v>0</v>
      </c>
      <c r="AC27" s="2995">
        <v>0</v>
      </c>
      <c r="AD27" s="2995">
        <v>0</v>
      </c>
      <c r="AE27" s="2995">
        <v>0</v>
      </c>
      <c r="AF27" s="2995">
        <v>0</v>
      </c>
      <c r="AG27" s="2995">
        <v>0</v>
      </c>
      <c r="AH27" s="2995">
        <v>0</v>
      </c>
      <c r="AI27" s="2995">
        <v>0</v>
      </c>
      <c r="AJ27" s="2995">
        <v>0</v>
      </c>
      <c r="AK27" s="2995">
        <v>0</v>
      </c>
      <c r="AL27" s="2995">
        <v>0</v>
      </c>
      <c r="AM27" s="2995">
        <v>0</v>
      </c>
      <c r="AN27" s="2995">
        <v>0</v>
      </c>
      <c r="AO27" s="2995">
        <v>0</v>
      </c>
      <c r="AP27" s="2995">
        <v>0</v>
      </c>
      <c r="AQ27" s="2995">
        <v>0</v>
      </c>
      <c r="AR27" s="2995">
        <v>0</v>
      </c>
      <c r="AS27" s="2995">
        <v>0</v>
      </c>
    </row>
    <row r="28" spans="1:45" s="94" customFormat="1" ht="15">
      <c r="A28" s="93" t="s">
        <v>915</v>
      </c>
      <c r="B28" s="91" t="s">
        <v>916</v>
      </c>
      <c r="C28" s="2995">
        <v>0</v>
      </c>
      <c r="D28" s="2995">
        <v>0</v>
      </c>
      <c r="E28" s="2996">
        <v>0</v>
      </c>
      <c r="F28" s="2995">
        <v>0</v>
      </c>
      <c r="G28" s="2995">
        <v>0</v>
      </c>
      <c r="H28" s="2995">
        <v>0</v>
      </c>
      <c r="I28" s="2996">
        <v>0</v>
      </c>
      <c r="J28" s="2995">
        <v>0</v>
      </c>
      <c r="K28" s="2995">
        <v>0</v>
      </c>
      <c r="L28" s="2995">
        <v>0</v>
      </c>
      <c r="M28" s="2996">
        <v>0</v>
      </c>
      <c r="N28" s="2995">
        <v>0</v>
      </c>
      <c r="O28" s="2995">
        <v>0</v>
      </c>
      <c r="P28" s="2995">
        <v>0</v>
      </c>
      <c r="Q28" s="2996">
        <v>0</v>
      </c>
      <c r="R28" s="2995">
        <v>0</v>
      </c>
      <c r="S28" s="2995">
        <v>0</v>
      </c>
      <c r="T28" s="2995">
        <v>0</v>
      </c>
      <c r="U28" s="2996">
        <v>0</v>
      </c>
      <c r="V28" s="2997">
        <v>0</v>
      </c>
      <c r="W28" s="2997">
        <v>0</v>
      </c>
      <c r="X28" s="2997">
        <v>0</v>
      </c>
      <c r="Y28" s="2997">
        <v>0</v>
      </c>
      <c r="Z28" s="2997">
        <v>0</v>
      </c>
      <c r="AA28" s="2999">
        <v>0</v>
      </c>
      <c r="AB28" s="2995">
        <v>0</v>
      </c>
      <c r="AC28" s="2995">
        <v>0</v>
      </c>
      <c r="AD28" s="2995">
        <v>0</v>
      </c>
      <c r="AE28" s="2995">
        <v>0</v>
      </c>
      <c r="AF28" s="2995">
        <v>0</v>
      </c>
      <c r="AG28" s="2995">
        <v>0</v>
      </c>
      <c r="AH28" s="2995">
        <v>0</v>
      </c>
      <c r="AI28" s="2995">
        <v>0</v>
      </c>
      <c r="AJ28" s="2995">
        <v>0</v>
      </c>
      <c r="AK28" s="2995">
        <v>0</v>
      </c>
      <c r="AL28" s="2995">
        <v>0</v>
      </c>
      <c r="AM28" s="2995">
        <v>0</v>
      </c>
      <c r="AN28" s="2995">
        <v>0</v>
      </c>
      <c r="AO28" s="2995">
        <v>0</v>
      </c>
      <c r="AP28" s="2995">
        <v>0</v>
      </c>
      <c r="AQ28" s="2995">
        <v>0</v>
      </c>
      <c r="AR28" s="2995">
        <v>0</v>
      </c>
      <c r="AS28" s="2995">
        <v>0</v>
      </c>
    </row>
    <row r="29" spans="1:45" ht="15">
      <c r="A29" s="93" t="s">
        <v>917</v>
      </c>
      <c r="B29" s="91" t="s">
        <v>918</v>
      </c>
      <c r="C29" s="2995">
        <v>250</v>
      </c>
      <c r="D29" s="2995">
        <v>250</v>
      </c>
      <c r="E29" s="2996">
        <v>250</v>
      </c>
      <c r="F29" s="2995">
        <v>250</v>
      </c>
      <c r="G29" s="2995">
        <v>250</v>
      </c>
      <c r="H29" s="2995">
        <v>250</v>
      </c>
      <c r="I29" s="2996">
        <v>250</v>
      </c>
      <c r="J29" s="2995">
        <v>250</v>
      </c>
      <c r="K29" s="2995">
        <v>250</v>
      </c>
      <c r="L29" s="2995">
        <v>250</v>
      </c>
      <c r="M29" s="2996">
        <v>250</v>
      </c>
      <c r="N29" s="2995">
        <v>250</v>
      </c>
      <c r="O29" s="2995">
        <v>250</v>
      </c>
      <c r="P29" s="2995">
        <v>250</v>
      </c>
      <c r="Q29" s="2996">
        <v>250</v>
      </c>
      <c r="R29" s="2995">
        <v>250</v>
      </c>
      <c r="S29" s="2995">
        <v>250</v>
      </c>
      <c r="T29" s="2995">
        <v>250</v>
      </c>
      <c r="U29" s="2996">
        <v>250</v>
      </c>
      <c r="V29" s="2997">
        <v>250</v>
      </c>
      <c r="W29" s="2997">
        <v>250</v>
      </c>
      <c r="X29" s="2997">
        <v>250</v>
      </c>
      <c r="Y29" s="2997">
        <v>250</v>
      </c>
      <c r="Z29" s="2997">
        <v>250</v>
      </c>
      <c r="AA29" s="2999">
        <v>250</v>
      </c>
      <c r="AB29" s="2995">
        <v>250</v>
      </c>
      <c r="AC29" s="2995">
        <v>250</v>
      </c>
      <c r="AD29" s="2995">
        <v>250</v>
      </c>
      <c r="AE29" s="2995">
        <v>250</v>
      </c>
      <c r="AF29" s="2995">
        <v>250</v>
      </c>
      <c r="AG29" s="2995">
        <v>250</v>
      </c>
      <c r="AH29" s="2995">
        <v>250</v>
      </c>
      <c r="AI29" s="2995">
        <v>250</v>
      </c>
      <c r="AJ29" s="2995">
        <v>250</v>
      </c>
      <c r="AK29" s="2995">
        <v>250</v>
      </c>
      <c r="AL29" s="2995">
        <v>250</v>
      </c>
      <c r="AM29" s="2995">
        <v>250</v>
      </c>
      <c r="AN29" s="2995">
        <v>250</v>
      </c>
      <c r="AO29" s="2995">
        <v>250</v>
      </c>
      <c r="AP29" s="2995">
        <v>250</v>
      </c>
      <c r="AQ29" s="2995">
        <v>250</v>
      </c>
      <c r="AR29" s="2995">
        <v>250</v>
      </c>
      <c r="AS29" s="2995">
        <v>250</v>
      </c>
    </row>
    <row r="30" spans="1:45" ht="15">
      <c r="A30" s="93" t="s">
        <v>919</v>
      </c>
      <c r="B30" s="91" t="s">
        <v>920</v>
      </c>
      <c r="C30" s="2995">
        <v>300</v>
      </c>
      <c r="D30" s="2995">
        <v>300</v>
      </c>
      <c r="E30" s="2996">
        <v>300</v>
      </c>
      <c r="F30" s="2995">
        <v>300</v>
      </c>
      <c r="G30" s="2995">
        <v>300</v>
      </c>
      <c r="H30" s="2995">
        <v>300</v>
      </c>
      <c r="I30" s="2996">
        <v>300</v>
      </c>
      <c r="J30" s="2995">
        <v>300</v>
      </c>
      <c r="K30" s="2995">
        <v>300</v>
      </c>
      <c r="L30" s="2995">
        <v>300</v>
      </c>
      <c r="M30" s="2996">
        <v>300</v>
      </c>
      <c r="N30" s="2995">
        <v>300</v>
      </c>
      <c r="O30" s="2995">
        <v>300</v>
      </c>
      <c r="P30" s="2995">
        <v>300</v>
      </c>
      <c r="Q30" s="2996">
        <v>300</v>
      </c>
      <c r="R30" s="2995">
        <v>300</v>
      </c>
      <c r="S30" s="2995">
        <v>300</v>
      </c>
      <c r="T30" s="2995">
        <v>300</v>
      </c>
      <c r="U30" s="2996">
        <v>300</v>
      </c>
      <c r="V30" s="2997">
        <v>300</v>
      </c>
      <c r="W30" s="2997">
        <v>300</v>
      </c>
      <c r="X30" s="2997">
        <v>300</v>
      </c>
      <c r="Y30" s="2997">
        <v>300</v>
      </c>
      <c r="Z30" s="2997">
        <v>300</v>
      </c>
      <c r="AA30" s="2999">
        <v>300</v>
      </c>
      <c r="AB30" s="2995">
        <v>300</v>
      </c>
      <c r="AC30" s="2995">
        <v>300</v>
      </c>
      <c r="AD30" s="2995">
        <v>300</v>
      </c>
      <c r="AE30" s="2995">
        <v>300</v>
      </c>
      <c r="AF30" s="2995">
        <v>300</v>
      </c>
      <c r="AG30" s="2995">
        <v>300</v>
      </c>
      <c r="AH30" s="2995">
        <v>300</v>
      </c>
      <c r="AI30" s="2995">
        <v>300</v>
      </c>
      <c r="AJ30" s="2995">
        <v>300</v>
      </c>
      <c r="AK30" s="2995">
        <v>300</v>
      </c>
      <c r="AL30" s="2995">
        <v>300</v>
      </c>
      <c r="AM30" s="2995">
        <v>300</v>
      </c>
      <c r="AN30" s="2995">
        <v>300</v>
      </c>
      <c r="AO30" s="2995">
        <v>300</v>
      </c>
      <c r="AP30" s="2995">
        <v>300</v>
      </c>
      <c r="AQ30" s="2995">
        <v>300</v>
      </c>
      <c r="AR30" s="2995">
        <v>300</v>
      </c>
      <c r="AS30" s="2995">
        <v>300</v>
      </c>
    </row>
    <row r="31" spans="1:45" ht="15">
      <c r="A31" s="93" t="s">
        <v>476</v>
      </c>
      <c r="B31" s="91" t="s">
        <v>477</v>
      </c>
      <c r="C31" s="2995">
        <v>1500</v>
      </c>
      <c r="D31" s="2995">
        <v>1500</v>
      </c>
      <c r="E31" s="2996">
        <v>1500</v>
      </c>
      <c r="F31" s="2995">
        <v>2000</v>
      </c>
      <c r="G31" s="2995">
        <v>2000</v>
      </c>
      <c r="H31" s="2995">
        <v>2000</v>
      </c>
      <c r="I31" s="2996">
        <v>2000</v>
      </c>
      <c r="J31" s="2995">
        <v>2000</v>
      </c>
      <c r="K31" s="2995">
        <v>2000</v>
      </c>
      <c r="L31" s="2995">
        <v>2000</v>
      </c>
      <c r="M31" s="2996">
        <v>2000</v>
      </c>
      <c r="N31" s="2995">
        <v>2000</v>
      </c>
      <c r="O31" s="2995">
        <v>2000</v>
      </c>
      <c r="P31" s="2995">
        <v>2000</v>
      </c>
      <c r="Q31" s="2996">
        <v>2000</v>
      </c>
      <c r="R31" s="2995">
        <v>2000</v>
      </c>
      <c r="S31" s="2995">
        <v>2000</v>
      </c>
      <c r="T31" s="2995">
        <v>2000</v>
      </c>
      <c r="U31" s="2996">
        <v>2000</v>
      </c>
      <c r="V31" s="2997">
        <v>2000</v>
      </c>
      <c r="W31" s="2997">
        <v>2000</v>
      </c>
      <c r="X31" s="2997">
        <v>2000</v>
      </c>
      <c r="Y31" s="2997">
        <v>2000</v>
      </c>
      <c r="Z31" s="2997">
        <v>2000</v>
      </c>
      <c r="AA31" s="2999">
        <v>2000</v>
      </c>
      <c r="AB31" s="2995">
        <v>2000</v>
      </c>
      <c r="AC31" s="2995">
        <v>2000</v>
      </c>
      <c r="AD31" s="2995">
        <v>2000</v>
      </c>
      <c r="AE31" s="2995">
        <v>2000</v>
      </c>
      <c r="AF31" s="2995">
        <v>2000</v>
      </c>
      <c r="AG31" s="2995">
        <v>2000</v>
      </c>
      <c r="AH31" s="2995">
        <v>2000</v>
      </c>
      <c r="AI31" s="2995">
        <v>2000</v>
      </c>
      <c r="AJ31" s="2995">
        <v>2000</v>
      </c>
      <c r="AK31" s="2995">
        <v>2000</v>
      </c>
      <c r="AL31" s="2995">
        <v>2000</v>
      </c>
      <c r="AM31" s="2995">
        <v>2000</v>
      </c>
      <c r="AN31" s="2995">
        <v>2000</v>
      </c>
      <c r="AO31" s="2995">
        <v>2000</v>
      </c>
      <c r="AP31" s="2995">
        <v>2000</v>
      </c>
      <c r="AQ31" s="2995">
        <v>2000</v>
      </c>
      <c r="AR31" s="2995">
        <v>2000</v>
      </c>
      <c r="AS31" s="2995">
        <v>2000</v>
      </c>
    </row>
    <row r="32" spans="1:45" ht="15">
      <c r="A32" s="93" t="s">
        <v>1781</v>
      </c>
      <c r="B32" s="91" t="s">
        <v>479</v>
      </c>
      <c r="C32" s="2995">
        <v>2000</v>
      </c>
      <c r="D32" s="2995">
        <v>2000</v>
      </c>
      <c r="E32" s="2996">
        <v>2000</v>
      </c>
      <c r="F32" s="2995">
        <v>1200</v>
      </c>
      <c r="G32" s="2995">
        <v>1200</v>
      </c>
      <c r="H32" s="2995">
        <v>1200</v>
      </c>
      <c r="I32" s="2996">
        <v>1200</v>
      </c>
      <c r="J32" s="2995">
        <v>3200</v>
      </c>
      <c r="K32" s="2995">
        <v>3200</v>
      </c>
      <c r="L32" s="2995">
        <v>3200</v>
      </c>
      <c r="M32" s="2996">
        <v>3200</v>
      </c>
      <c r="N32" s="2995">
        <v>4000</v>
      </c>
      <c r="O32" s="2995">
        <v>4000</v>
      </c>
      <c r="P32" s="2995">
        <v>4000</v>
      </c>
      <c r="Q32" s="2996">
        <v>4000</v>
      </c>
      <c r="R32" s="2995">
        <v>4800</v>
      </c>
      <c r="S32" s="2995">
        <v>4800</v>
      </c>
      <c r="T32" s="2995">
        <v>4800</v>
      </c>
      <c r="U32" s="2996">
        <v>4800</v>
      </c>
      <c r="V32" s="2997">
        <v>4800</v>
      </c>
      <c r="W32" s="2997">
        <v>4800</v>
      </c>
      <c r="X32" s="2997">
        <v>4800</v>
      </c>
      <c r="Y32" s="2997">
        <v>4800</v>
      </c>
      <c r="Z32" s="2997">
        <v>4800</v>
      </c>
      <c r="AA32" s="2999">
        <v>4800</v>
      </c>
      <c r="AB32" s="2995">
        <v>4800</v>
      </c>
      <c r="AC32" s="2995">
        <v>4800</v>
      </c>
      <c r="AD32" s="2995">
        <v>4800</v>
      </c>
      <c r="AE32" s="2995">
        <v>4800</v>
      </c>
      <c r="AF32" s="2995">
        <v>4800</v>
      </c>
      <c r="AG32" s="2995">
        <v>4800</v>
      </c>
      <c r="AH32" s="2995">
        <v>4800</v>
      </c>
      <c r="AI32" s="2995">
        <v>4800</v>
      </c>
      <c r="AJ32" s="2995">
        <v>4800</v>
      </c>
      <c r="AK32" s="2995">
        <v>4800</v>
      </c>
      <c r="AL32" s="2995">
        <v>4800</v>
      </c>
      <c r="AM32" s="2995">
        <v>4800</v>
      </c>
      <c r="AN32" s="2995">
        <v>4800</v>
      </c>
      <c r="AO32" s="2995">
        <v>4800</v>
      </c>
      <c r="AP32" s="2995">
        <v>4800</v>
      </c>
      <c r="AQ32" s="2995">
        <v>4800</v>
      </c>
      <c r="AR32" s="2995">
        <v>4800</v>
      </c>
      <c r="AS32" s="2995">
        <v>4800</v>
      </c>
    </row>
    <row r="33" spans="1:45" ht="15">
      <c r="A33" s="95" t="s">
        <v>480</v>
      </c>
      <c r="B33" s="91" t="s">
        <v>481</v>
      </c>
      <c r="C33" s="2995">
        <v>0</v>
      </c>
      <c r="D33" s="2995">
        <v>0</v>
      </c>
      <c r="E33" s="2996">
        <v>0</v>
      </c>
      <c r="F33" s="2995">
        <v>0</v>
      </c>
      <c r="G33" s="2995">
        <v>0</v>
      </c>
      <c r="H33" s="2995">
        <v>0</v>
      </c>
      <c r="I33" s="2996">
        <v>0</v>
      </c>
      <c r="J33" s="2995">
        <v>0</v>
      </c>
      <c r="K33" s="2995">
        <v>0</v>
      </c>
      <c r="L33" s="2995">
        <v>0</v>
      </c>
      <c r="M33" s="2996">
        <v>0</v>
      </c>
      <c r="N33" s="2995">
        <v>0</v>
      </c>
      <c r="O33" s="2995">
        <v>0</v>
      </c>
      <c r="P33" s="2995">
        <v>0</v>
      </c>
      <c r="Q33" s="2996">
        <v>0</v>
      </c>
      <c r="R33" s="2995">
        <v>0</v>
      </c>
      <c r="S33" s="2995">
        <v>0</v>
      </c>
      <c r="T33" s="2995">
        <v>0</v>
      </c>
      <c r="U33" s="2996">
        <v>0</v>
      </c>
      <c r="V33" s="2997">
        <v>0</v>
      </c>
      <c r="W33" s="2997">
        <v>0</v>
      </c>
      <c r="X33" s="2997">
        <v>0</v>
      </c>
      <c r="Y33" s="2997">
        <v>0</v>
      </c>
      <c r="Z33" s="2997">
        <v>0</v>
      </c>
      <c r="AA33" s="2999">
        <v>0</v>
      </c>
      <c r="AB33" s="2995">
        <v>0</v>
      </c>
      <c r="AC33" s="2995">
        <v>0</v>
      </c>
      <c r="AD33" s="2995">
        <v>0</v>
      </c>
      <c r="AE33" s="2995">
        <v>0</v>
      </c>
      <c r="AF33" s="2995">
        <v>0</v>
      </c>
      <c r="AG33" s="2995">
        <v>0</v>
      </c>
      <c r="AH33" s="2995">
        <v>0</v>
      </c>
      <c r="AI33" s="2995">
        <v>0</v>
      </c>
      <c r="AJ33" s="2995">
        <v>0</v>
      </c>
      <c r="AK33" s="2995">
        <v>0</v>
      </c>
      <c r="AL33" s="2995">
        <v>0</v>
      </c>
      <c r="AM33" s="2995">
        <v>0</v>
      </c>
      <c r="AN33" s="2995">
        <v>0</v>
      </c>
      <c r="AO33" s="2995">
        <v>0</v>
      </c>
      <c r="AP33" s="2995">
        <v>0</v>
      </c>
      <c r="AQ33" s="2995">
        <v>0</v>
      </c>
      <c r="AR33" s="2995">
        <v>0</v>
      </c>
      <c r="AS33" s="2995">
        <v>0</v>
      </c>
    </row>
    <row r="34" spans="1:45" ht="15">
      <c r="A34" s="93" t="s">
        <v>1782</v>
      </c>
      <c r="B34" s="91" t="s">
        <v>484</v>
      </c>
      <c r="C34" s="2995">
        <v>0</v>
      </c>
      <c r="D34" s="2995">
        <v>0</v>
      </c>
      <c r="E34" s="2996">
        <v>0</v>
      </c>
      <c r="F34" s="2995">
        <v>0</v>
      </c>
      <c r="G34" s="2995">
        <v>0</v>
      </c>
      <c r="H34" s="2995">
        <v>0</v>
      </c>
      <c r="I34" s="2996">
        <v>0</v>
      </c>
      <c r="J34" s="2995">
        <v>0</v>
      </c>
      <c r="K34" s="2995">
        <v>0</v>
      </c>
      <c r="L34" s="2995">
        <v>0</v>
      </c>
      <c r="M34" s="2996">
        <v>0</v>
      </c>
      <c r="N34" s="2995">
        <v>0</v>
      </c>
      <c r="O34" s="2995">
        <v>0</v>
      </c>
      <c r="P34" s="2995">
        <v>0</v>
      </c>
      <c r="Q34" s="2996">
        <v>0</v>
      </c>
      <c r="R34" s="2995">
        <v>0</v>
      </c>
      <c r="S34" s="2995">
        <v>0</v>
      </c>
      <c r="T34" s="2995">
        <v>0</v>
      </c>
      <c r="U34" s="2996">
        <v>0</v>
      </c>
      <c r="V34" s="2997">
        <v>0</v>
      </c>
      <c r="W34" s="2997">
        <v>0</v>
      </c>
      <c r="X34" s="2997">
        <v>0</v>
      </c>
      <c r="Y34" s="2997">
        <v>0</v>
      </c>
      <c r="Z34" s="2997">
        <v>0</v>
      </c>
      <c r="AA34" s="2999">
        <v>0</v>
      </c>
      <c r="AB34" s="2995">
        <v>3000</v>
      </c>
      <c r="AC34" s="2995">
        <v>3000</v>
      </c>
      <c r="AD34" s="2995">
        <v>3000</v>
      </c>
      <c r="AE34" s="2995">
        <v>3000</v>
      </c>
      <c r="AF34" s="2995">
        <v>3000</v>
      </c>
      <c r="AG34" s="2995">
        <v>3000</v>
      </c>
      <c r="AH34" s="2995">
        <v>3000</v>
      </c>
      <c r="AI34" s="2995">
        <v>3000</v>
      </c>
      <c r="AJ34" s="2995">
        <v>3000</v>
      </c>
      <c r="AK34" s="2995">
        <v>3000</v>
      </c>
      <c r="AL34" s="2995">
        <v>3000</v>
      </c>
      <c r="AM34" s="2995">
        <v>3000</v>
      </c>
      <c r="AN34" s="2995">
        <v>3000</v>
      </c>
      <c r="AO34" s="2995">
        <v>3000</v>
      </c>
      <c r="AP34" s="2995">
        <v>3000</v>
      </c>
      <c r="AQ34" s="2995">
        <v>3000</v>
      </c>
      <c r="AR34" s="2995">
        <v>3000</v>
      </c>
      <c r="AS34" s="2995">
        <v>3000</v>
      </c>
    </row>
    <row r="35" spans="1:45" ht="15">
      <c r="A35" s="90" t="s">
        <v>485</v>
      </c>
      <c r="B35" s="91" t="s">
        <v>486</v>
      </c>
      <c r="C35" s="1626">
        <v>19675</v>
      </c>
      <c r="D35" s="2995">
        <v>19675</v>
      </c>
      <c r="E35" s="2996">
        <v>19675</v>
      </c>
      <c r="F35" s="2995">
        <v>19675</v>
      </c>
      <c r="G35" s="2995">
        <v>19675</v>
      </c>
      <c r="H35" s="2995">
        <v>19675</v>
      </c>
      <c r="I35" s="2996">
        <v>19675</v>
      </c>
      <c r="J35" s="2995">
        <v>19675</v>
      </c>
      <c r="K35" s="2995">
        <v>19675</v>
      </c>
      <c r="L35" s="2995">
        <v>19675</v>
      </c>
      <c r="M35" s="2996">
        <v>19675</v>
      </c>
      <c r="N35" s="2995">
        <v>25000</v>
      </c>
      <c r="O35" s="2995">
        <v>25000</v>
      </c>
      <c r="P35" s="2995">
        <v>25000</v>
      </c>
      <c r="Q35" s="2996">
        <v>25000</v>
      </c>
      <c r="R35" s="2995">
        <v>25000</v>
      </c>
      <c r="S35" s="2995">
        <v>25000</v>
      </c>
      <c r="T35" s="2995">
        <v>25000</v>
      </c>
      <c r="U35" s="2996">
        <v>25000</v>
      </c>
      <c r="V35" s="1629">
        <v>31419.54</v>
      </c>
      <c r="W35" s="1628">
        <v>31419.54</v>
      </c>
      <c r="X35" s="1628">
        <v>31419.54</v>
      </c>
      <c r="Y35" s="1628">
        <v>31419.54</v>
      </c>
      <c r="Z35" s="1628">
        <v>31419.54</v>
      </c>
      <c r="AA35" s="1630">
        <v>31419.54</v>
      </c>
      <c r="AB35" s="1626">
        <v>31419.54</v>
      </c>
      <c r="AC35" s="1626">
        <v>31419.54</v>
      </c>
      <c r="AD35" s="1626">
        <v>28293.599999999999</v>
      </c>
      <c r="AE35" s="1626">
        <v>28293.599999999999</v>
      </c>
      <c r="AF35" s="1626">
        <v>28293.599999999999</v>
      </c>
      <c r="AG35" s="1626">
        <v>28293.599999999999</v>
      </c>
      <c r="AH35" s="1626">
        <v>28293.599999999999</v>
      </c>
      <c r="AI35" s="1626">
        <v>28293.599999999999</v>
      </c>
      <c r="AJ35" s="1626">
        <v>28293.599999999999</v>
      </c>
      <c r="AK35" s="1626">
        <v>28293.599999999999</v>
      </c>
      <c r="AL35" s="1626">
        <v>28293.599999999999</v>
      </c>
      <c r="AM35" s="1626">
        <v>28293.599999999999</v>
      </c>
      <c r="AN35" s="1626">
        <v>28293.599999999999</v>
      </c>
      <c r="AO35" s="1626">
        <v>28293.599999999999</v>
      </c>
      <c r="AP35" s="1626">
        <v>28293.599999999999</v>
      </c>
      <c r="AQ35" s="1626">
        <v>28293.599999999999</v>
      </c>
      <c r="AR35" s="1626">
        <v>28293.599999999999</v>
      </c>
      <c r="AS35" s="1626">
        <v>28293.599999999999</v>
      </c>
    </row>
    <row r="36" spans="1:45" ht="15">
      <c r="A36" s="90" t="s">
        <v>3381</v>
      </c>
      <c r="B36" s="91" t="s">
        <v>3382</v>
      </c>
      <c r="C36" s="1626">
        <v>0</v>
      </c>
      <c r="D36" s="2995">
        <v>0</v>
      </c>
      <c r="E36" s="2996">
        <v>0</v>
      </c>
      <c r="F36" s="2995">
        <v>0</v>
      </c>
      <c r="G36" s="2995">
        <v>0</v>
      </c>
      <c r="H36" s="2995">
        <v>0</v>
      </c>
      <c r="I36" s="2996">
        <v>0</v>
      </c>
      <c r="J36" s="2995">
        <v>0</v>
      </c>
      <c r="K36" s="2995">
        <v>0</v>
      </c>
      <c r="L36" s="2995">
        <v>0</v>
      </c>
      <c r="M36" s="2996">
        <v>0</v>
      </c>
      <c r="N36" s="2995">
        <v>0</v>
      </c>
      <c r="O36" s="2995">
        <v>0</v>
      </c>
      <c r="P36" s="2995">
        <v>0</v>
      </c>
      <c r="Q36" s="2996">
        <v>0</v>
      </c>
      <c r="R36" s="2995">
        <v>0</v>
      </c>
      <c r="S36" s="2995">
        <v>0</v>
      </c>
      <c r="T36" s="2995">
        <v>0</v>
      </c>
      <c r="U36" s="2996">
        <v>0</v>
      </c>
      <c r="V36" s="2997">
        <v>0</v>
      </c>
      <c r="W36" s="2997">
        <v>0</v>
      </c>
      <c r="X36" s="2997">
        <v>0</v>
      </c>
      <c r="Y36" s="2997">
        <v>0</v>
      </c>
      <c r="Z36" s="2997">
        <v>0</v>
      </c>
      <c r="AA36" s="2999">
        <v>0</v>
      </c>
      <c r="AB36" s="2995">
        <v>0</v>
      </c>
      <c r="AC36" s="2995">
        <v>0</v>
      </c>
      <c r="AD36" s="2995">
        <v>0</v>
      </c>
      <c r="AE36" s="2995">
        <v>0</v>
      </c>
      <c r="AF36" s="2995">
        <v>0</v>
      </c>
      <c r="AG36" s="2995">
        <v>0</v>
      </c>
      <c r="AH36" s="2995">
        <v>0</v>
      </c>
      <c r="AI36" s="2995">
        <v>0</v>
      </c>
      <c r="AJ36" s="2995">
        <v>0</v>
      </c>
      <c r="AK36" s="2995">
        <v>0</v>
      </c>
      <c r="AL36" s="2995">
        <v>0</v>
      </c>
      <c r="AM36" s="2995">
        <v>0</v>
      </c>
      <c r="AN36" s="2995">
        <v>0</v>
      </c>
      <c r="AO36" s="2995">
        <v>0</v>
      </c>
      <c r="AP36" s="2995">
        <v>0</v>
      </c>
      <c r="AQ36" s="2995">
        <v>0</v>
      </c>
      <c r="AR36" s="2995">
        <v>0</v>
      </c>
      <c r="AS36" s="2995">
        <v>0</v>
      </c>
    </row>
    <row r="37" spans="1:45" ht="15">
      <c r="A37" s="90" t="s">
        <v>3383</v>
      </c>
      <c r="B37" s="91" t="s">
        <v>3384</v>
      </c>
      <c r="C37" s="1626">
        <v>700</v>
      </c>
      <c r="D37" s="2995">
        <v>700</v>
      </c>
      <c r="E37" s="2996">
        <v>700</v>
      </c>
      <c r="F37" s="2995">
        <v>700</v>
      </c>
      <c r="G37" s="2995">
        <v>700</v>
      </c>
      <c r="H37" s="2995">
        <v>700</v>
      </c>
      <c r="I37" s="2996">
        <v>700</v>
      </c>
      <c r="J37" s="2995">
        <v>700</v>
      </c>
      <c r="K37" s="2995">
        <v>700</v>
      </c>
      <c r="L37" s="2995">
        <v>700</v>
      </c>
      <c r="M37" s="2996">
        <v>700</v>
      </c>
      <c r="N37" s="2995">
        <v>900</v>
      </c>
      <c r="O37" s="2995">
        <v>900</v>
      </c>
      <c r="P37" s="2995">
        <v>900</v>
      </c>
      <c r="Q37" s="2996">
        <v>900</v>
      </c>
      <c r="R37" s="1626">
        <v>900</v>
      </c>
      <c r="S37" s="1626">
        <v>900</v>
      </c>
      <c r="T37" s="1626">
        <v>900</v>
      </c>
      <c r="U37" s="1627">
        <v>900</v>
      </c>
      <c r="V37" s="1628">
        <v>900</v>
      </c>
      <c r="W37" s="1628">
        <v>900</v>
      </c>
      <c r="X37" s="1628">
        <v>900</v>
      </c>
      <c r="Y37" s="1628">
        <v>900</v>
      </c>
      <c r="Z37" s="1628">
        <v>900</v>
      </c>
      <c r="AA37" s="1630">
        <v>900</v>
      </c>
      <c r="AB37" s="1626">
        <v>900</v>
      </c>
      <c r="AC37" s="1626">
        <v>900</v>
      </c>
      <c r="AD37" s="1626">
        <v>900</v>
      </c>
      <c r="AE37" s="1626">
        <v>900</v>
      </c>
      <c r="AF37" s="1626">
        <v>900</v>
      </c>
      <c r="AG37" s="1626">
        <v>900</v>
      </c>
      <c r="AH37" s="1626">
        <v>900</v>
      </c>
      <c r="AI37" s="1626">
        <v>900</v>
      </c>
      <c r="AJ37" s="1626">
        <v>900</v>
      </c>
      <c r="AK37" s="1626">
        <v>900</v>
      </c>
      <c r="AL37" s="1626">
        <v>900</v>
      </c>
      <c r="AM37" s="1626">
        <v>900</v>
      </c>
      <c r="AN37" s="1626">
        <v>900</v>
      </c>
      <c r="AO37" s="1626">
        <v>900</v>
      </c>
      <c r="AP37" s="1626">
        <v>900</v>
      </c>
      <c r="AQ37" s="1626">
        <v>900</v>
      </c>
      <c r="AR37" s="1626">
        <v>900</v>
      </c>
      <c r="AS37" s="1626">
        <v>900</v>
      </c>
    </row>
    <row r="38" spans="1:45" ht="15">
      <c r="A38" s="93" t="s">
        <v>3385</v>
      </c>
      <c r="B38" s="91" t="s">
        <v>3386</v>
      </c>
      <c r="C38" s="3002">
        <v>625</v>
      </c>
      <c r="D38" s="2995">
        <v>625</v>
      </c>
      <c r="E38" s="2996">
        <v>625</v>
      </c>
      <c r="F38" s="2995">
        <v>625</v>
      </c>
      <c r="G38" s="2995">
        <v>625</v>
      </c>
      <c r="H38" s="2995">
        <v>625</v>
      </c>
      <c r="I38" s="2996">
        <v>625</v>
      </c>
      <c r="J38" s="2995">
        <v>625</v>
      </c>
      <c r="K38" s="2995">
        <v>625</v>
      </c>
      <c r="L38" s="2995">
        <v>625</v>
      </c>
      <c r="M38" s="2996">
        <v>625</v>
      </c>
      <c r="N38" s="2995">
        <v>625</v>
      </c>
      <c r="O38" s="2995">
        <v>625</v>
      </c>
      <c r="P38" s="2995">
        <v>625</v>
      </c>
      <c r="Q38" s="2996">
        <v>625</v>
      </c>
      <c r="R38" s="2995">
        <v>625</v>
      </c>
      <c r="S38" s="2995">
        <v>625</v>
      </c>
      <c r="T38" s="2995">
        <v>625</v>
      </c>
      <c r="U38" s="2996">
        <v>625</v>
      </c>
      <c r="V38" s="2997">
        <v>625</v>
      </c>
      <c r="W38" s="2997">
        <v>625</v>
      </c>
      <c r="X38" s="2997">
        <v>625</v>
      </c>
      <c r="Y38" s="2997">
        <v>625</v>
      </c>
      <c r="Z38" s="2997">
        <v>625</v>
      </c>
      <c r="AA38" s="2999">
        <v>625</v>
      </c>
      <c r="AB38" s="2995">
        <v>625</v>
      </c>
      <c r="AC38" s="2995">
        <v>625</v>
      </c>
      <c r="AD38" s="2995">
        <v>625</v>
      </c>
      <c r="AE38" s="2995">
        <v>625</v>
      </c>
      <c r="AF38" s="2995">
        <v>625</v>
      </c>
      <c r="AG38" s="2995">
        <v>625</v>
      </c>
      <c r="AH38" s="2995">
        <v>625</v>
      </c>
      <c r="AI38" s="2995">
        <v>625</v>
      </c>
      <c r="AJ38" s="2995">
        <v>625</v>
      </c>
      <c r="AK38" s="2995">
        <v>625</v>
      </c>
      <c r="AL38" s="2995">
        <v>625</v>
      </c>
      <c r="AM38" s="2995">
        <v>625</v>
      </c>
      <c r="AN38" s="2995">
        <v>625</v>
      </c>
      <c r="AO38" s="2995">
        <v>625</v>
      </c>
      <c r="AP38" s="2995">
        <v>625</v>
      </c>
      <c r="AQ38" s="2995">
        <v>625</v>
      </c>
      <c r="AR38" s="2995">
        <v>625</v>
      </c>
      <c r="AS38" s="2995">
        <v>625</v>
      </c>
    </row>
    <row r="39" spans="1:45" ht="15">
      <c r="A39" s="93" t="s">
        <v>2157</v>
      </c>
      <c r="B39" s="91" t="s">
        <v>3389</v>
      </c>
      <c r="C39" s="1631">
        <v>12500</v>
      </c>
      <c r="D39" s="1626">
        <v>12500</v>
      </c>
      <c r="E39" s="1627">
        <v>12500</v>
      </c>
      <c r="F39" s="1626">
        <v>12500</v>
      </c>
      <c r="G39" s="1626">
        <v>12500</v>
      </c>
      <c r="H39" s="1626">
        <v>12500</v>
      </c>
      <c r="I39" s="1627">
        <v>12500</v>
      </c>
      <c r="J39" s="1626">
        <v>12500</v>
      </c>
      <c r="K39" s="1626">
        <v>12500</v>
      </c>
      <c r="L39" s="1626">
        <v>12500</v>
      </c>
      <c r="M39" s="1627">
        <v>12500</v>
      </c>
      <c r="N39" s="1626">
        <v>12500</v>
      </c>
      <c r="O39" s="1626">
        <v>12500</v>
      </c>
      <c r="P39" s="1626">
        <v>12500</v>
      </c>
      <c r="Q39" s="1627">
        <v>12500</v>
      </c>
      <c r="R39" s="1626">
        <v>12500</v>
      </c>
      <c r="S39" s="1626">
        <v>12500</v>
      </c>
      <c r="T39" s="1626">
        <v>12500</v>
      </c>
      <c r="U39" s="1627">
        <v>12500</v>
      </c>
      <c r="V39" s="1629">
        <v>12500</v>
      </c>
      <c r="W39" s="1629">
        <v>12500</v>
      </c>
      <c r="X39" s="1629">
        <v>12500</v>
      </c>
      <c r="Y39" s="1629">
        <v>12500</v>
      </c>
      <c r="Z39" s="1629">
        <v>12500</v>
      </c>
      <c r="AA39" s="1630">
        <v>12500</v>
      </c>
      <c r="AB39" s="1626">
        <v>12500</v>
      </c>
      <c r="AC39" s="1626">
        <v>12500</v>
      </c>
      <c r="AD39" s="1626">
        <v>12500</v>
      </c>
      <c r="AE39" s="1626">
        <v>12500</v>
      </c>
      <c r="AF39" s="1626">
        <v>12500</v>
      </c>
      <c r="AG39" s="1626">
        <v>12500</v>
      </c>
      <c r="AH39" s="1626">
        <v>12500</v>
      </c>
      <c r="AI39" s="1626">
        <v>12500</v>
      </c>
      <c r="AJ39" s="1626">
        <v>12500</v>
      </c>
      <c r="AK39" s="1626">
        <v>12500</v>
      </c>
      <c r="AL39" s="1626">
        <v>12500</v>
      </c>
      <c r="AM39" s="1626">
        <v>12500</v>
      </c>
      <c r="AN39" s="1626">
        <v>12500</v>
      </c>
      <c r="AO39" s="1626">
        <v>12500</v>
      </c>
      <c r="AP39" s="1626">
        <v>12500</v>
      </c>
      <c r="AQ39" s="1626">
        <v>12500</v>
      </c>
      <c r="AR39" s="1626">
        <v>12500</v>
      </c>
      <c r="AS39" s="1626">
        <v>12500</v>
      </c>
    </row>
    <row r="40" spans="1:45" ht="15">
      <c r="A40" s="93" t="s">
        <v>1783</v>
      </c>
      <c r="B40" s="91" t="s">
        <v>1325</v>
      </c>
      <c r="C40" s="1631">
        <v>1730</v>
      </c>
      <c r="D40" s="1631">
        <v>1730</v>
      </c>
      <c r="E40" s="1632">
        <v>1730</v>
      </c>
      <c r="F40" s="1631">
        <v>1730</v>
      </c>
      <c r="G40" s="1631">
        <v>1730</v>
      </c>
      <c r="H40" s="1631">
        <v>1730</v>
      </c>
      <c r="I40" s="1632">
        <v>1730</v>
      </c>
      <c r="J40" s="1631">
        <v>1730</v>
      </c>
      <c r="K40" s="1631">
        <v>1730</v>
      </c>
      <c r="L40" s="1631">
        <v>1730</v>
      </c>
      <c r="M40" s="1632">
        <v>1730</v>
      </c>
      <c r="N40" s="1631">
        <v>1730</v>
      </c>
      <c r="O40" s="1631">
        <v>1730</v>
      </c>
      <c r="P40" s="1631">
        <v>1730</v>
      </c>
      <c r="Q40" s="1632">
        <v>1730</v>
      </c>
      <c r="R40" s="1631">
        <v>1730</v>
      </c>
      <c r="S40" s="1631">
        <v>1730</v>
      </c>
      <c r="T40" s="1631">
        <v>1730</v>
      </c>
      <c r="U40" s="1632">
        <v>1730</v>
      </c>
      <c r="V40" s="1633">
        <v>1730</v>
      </c>
      <c r="W40" s="1633">
        <v>1730</v>
      </c>
      <c r="X40" s="1633">
        <v>1730</v>
      </c>
      <c r="Y40" s="1633">
        <v>1730</v>
      </c>
      <c r="Z40" s="1633">
        <v>1730</v>
      </c>
      <c r="AA40" s="1634">
        <v>1730</v>
      </c>
      <c r="AB40" s="1631">
        <v>1730</v>
      </c>
      <c r="AC40" s="1631">
        <v>1730</v>
      </c>
      <c r="AD40" s="1631">
        <v>3460</v>
      </c>
      <c r="AE40" s="1631">
        <v>3460</v>
      </c>
      <c r="AF40" s="1631">
        <v>3460</v>
      </c>
      <c r="AG40" s="1631">
        <v>3460</v>
      </c>
      <c r="AH40" s="1631">
        <v>3460</v>
      </c>
      <c r="AI40" s="1631">
        <v>3460</v>
      </c>
      <c r="AJ40" s="1631">
        <v>3460</v>
      </c>
      <c r="AK40" s="1631">
        <v>3460</v>
      </c>
      <c r="AL40" s="1631">
        <v>3460</v>
      </c>
      <c r="AM40" s="1631">
        <v>3460</v>
      </c>
      <c r="AN40" s="1631">
        <v>3460</v>
      </c>
      <c r="AO40" s="1631">
        <v>3460</v>
      </c>
      <c r="AP40" s="1631">
        <v>3460</v>
      </c>
      <c r="AQ40" s="1631">
        <v>3460</v>
      </c>
      <c r="AR40" s="1631">
        <v>3460</v>
      </c>
      <c r="AS40" s="1631">
        <v>3460</v>
      </c>
    </row>
    <row r="41" spans="1:45" ht="15">
      <c r="A41" s="90" t="s">
        <v>2158</v>
      </c>
      <c r="B41" s="91" t="s">
        <v>1327</v>
      </c>
      <c r="C41" s="1631">
        <v>4475</v>
      </c>
      <c r="D41" s="1631">
        <v>4475</v>
      </c>
      <c r="E41" s="1632">
        <v>4475</v>
      </c>
      <c r="F41" s="1631">
        <v>4475</v>
      </c>
      <c r="G41" s="1631">
        <v>4475</v>
      </c>
      <c r="H41" s="1631">
        <v>4475</v>
      </c>
      <c r="I41" s="1632">
        <v>4475</v>
      </c>
      <c r="J41" s="1631">
        <v>4475</v>
      </c>
      <c r="K41" s="1631">
        <v>4475</v>
      </c>
      <c r="L41" s="1631">
        <v>4475</v>
      </c>
      <c r="M41" s="1632">
        <v>4475</v>
      </c>
      <c r="N41" s="1631">
        <v>4475</v>
      </c>
      <c r="O41" s="1631">
        <v>4475</v>
      </c>
      <c r="P41" s="1631">
        <v>4475</v>
      </c>
      <c r="Q41" s="1632">
        <v>4475</v>
      </c>
      <c r="R41" s="1631">
        <v>4475</v>
      </c>
      <c r="S41" s="1631">
        <v>4475</v>
      </c>
      <c r="T41" s="1631">
        <v>4475</v>
      </c>
      <c r="U41" s="1632">
        <v>4475</v>
      </c>
      <c r="V41" s="1633">
        <v>4475</v>
      </c>
      <c r="W41" s="1633">
        <v>4475</v>
      </c>
      <c r="X41" s="1633">
        <v>4475</v>
      </c>
      <c r="Y41" s="1633">
        <v>4475</v>
      </c>
      <c r="Z41" s="1633">
        <v>4475</v>
      </c>
      <c r="AA41" s="1634">
        <v>4475</v>
      </c>
      <c r="AB41" s="1631">
        <v>4475</v>
      </c>
      <c r="AC41" s="1631">
        <v>4475</v>
      </c>
      <c r="AD41" s="1631">
        <v>4475</v>
      </c>
      <c r="AE41" s="1631">
        <v>4475</v>
      </c>
      <c r="AF41" s="1631">
        <v>4475</v>
      </c>
      <c r="AG41" s="1631">
        <v>4475</v>
      </c>
      <c r="AH41" s="1631">
        <v>4475</v>
      </c>
      <c r="AI41" s="1631">
        <v>4475</v>
      </c>
      <c r="AJ41" s="1631">
        <v>4475</v>
      </c>
      <c r="AK41" s="1631">
        <v>4475</v>
      </c>
      <c r="AL41" s="1631">
        <v>4475</v>
      </c>
      <c r="AM41" s="1631">
        <v>4475</v>
      </c>
      <c r="AN41" s="1631">
        <v>4475</v>
      </c>
      <c r="AO41" s="1631">
        <v>4475</v>
      </c>
      <c r="AP41" s="1631">
        <v>4475</v>
      </c>
      <c r="AQ41" s="1631">
        <v>4475</v>
      </c>
      <c r="AR41" s="1631">
        <v>4475</v>
      </c>
      <c r="AS41" s="1631">
        <v>4475</v>
      </c>
    </row>
    <row r="42" spans="1:45" ht="15">
      <c r="A42" s="93" t="s">
        <v>1328</v>
      </c>
      <c r="B42" s="91" t="s">
        <v>1329</v>
      </c>
      <c r="C42" s="2995">
        <v>3360</v>
      </c>
      <c r="D42" s="1631">
        <v>3360</v>
      </c>
      <c r="E42" s="1632">
        <v>3360</v>
      </c>
      <c r="F42" s="1631">
        <v>3360</v>
      </c>
      <c r="G42" s="1631">
        <v>3360</v>
      </c>
      <c r="H42" s="1631">
        <v>3360</v>
      </c>
      <c r="I42" s="1632">
        <v>3360</v>
      </c>
      <c r="J42" s="1631">
        <v>3360</v>
      </c>
      <c r="K42" s="1631">
        <v>3360</v>
      </c>
      <c r="L42" s="1631">
        <v>3360</v>
      </c>
      <c r="M42" s="1632">
        <v>3360</v>
      </c>
      <c r="N42" s="1631">
        <v>3360</v>
      </c>
      <c r="O42" s="1631">
        <v>3360</v>
      </c>
      <c r="P42" s="1631">
        <v>3360</v>
      </c>
      <c r="Q42" s="1632">
        <v>3360</v>
      </c>
      <c r="R42" s="1631">
        <v>3360</v>
      </c>
      <c r="S42" s="1631">
        <v>3360</v>
      </c>
      <c r="T42" s="1631">
        <v>3360</v>
      </c>
      <c r="U42" s="1632">
        <v>3360</v>
      </c>
      <c r="V42" s="1633">
        <v>3360</v>
      </c>
      <c r="W42" s="1633">
        <v>3360</v>
      </c>
      <c r="X42" s="1633">
        <v>3360</v>
      </c>
      <c r="Y42" s="1633">
        <v>3360</v>
      </c>
      <c r="Z42" s="1633">
        <v>3360</v>
      </c>
      <c r="AA42" s="1634">
        <v>3360</v>
      </c>
      <c r="AB42" s="1631">
        <v>3360</v>
      </c>
      <c r="AC42" s="1631">
        <v>3360</v>
      </c>
      <c r="AD42" s="1631">
        <v>3360</v>
      </c>
      <c r="AE42" s="1631">
        <v>3360</v>
      </c>
      <c r="AF42" s="1631">
        <v>3360</v>
      </c>
      <c r="AG42" s="1631">
        <v>3360</v>
      </c>
      <c r="AH42" s="1631">
        <v>3360</v>
      </c>
      <c r="AI42" s="1631">
        <v>3360</v>
      </c>
      <c r="AJ42" s="1631">
        <v>3360</v>
      </c>
      <c r="AK42" s="1631">
        <v>3360</v>
      </c>
      <c r="AL42" s="1631">
        <v>3360</v>
      </c>
      <c r="AM42" s="1631">
        <v>3360</v>
      </c>
      <c r="AN42" s="1631">
        <v>3360</v>
      </c>
      <c r="AO42" s="1631">
        <v>3360</v>
      </c>
      <c r="AP42" s="1631">
        <v>3360</v>
      </c>
      <c r="AQ42" s="1631">
        <v>3360</v>
      </c>
      <c r="AR42" s="1631">
        <v>3360</v>
      </c>
      <c r="AS42" s="1631">
        <v>3360</v>
      </c>
    </row>
    <row r="43" spans="1:45" ht="15">
      <c r="A43" s="90" t="s">
        <v>1855</v>
      </c>
      <c r="B43" s="91" t="s">
        <v>1901</v>
      </c>
      <c r="C43" s="2995">
        <v>425</v>
      </c>
      <c r="D43" s="1631">
        <v>425</v>
      </c>
      <c r="E43" s="1632">
        <v>425</v>
      </c>
      <c r="F43" s="1631">
        <v>425</v>
      </c>
      <c r="G43" s="1631">
        <v>425</v>
      </c>
      <c r="H43" s="1631">
        <v>425</v>
      </c>
      <c r="I43" s="1632">
        <v>425</v>
      </c>
      <c r="J43" s="1631">
        <v>425</v>
      </c>
      <c r="K43" s="1631">
        <v>425</v>
      </c>
      <c r="L43" s="1631">
        <v>425</v>
      </c>
      <c r="M43" s="1632">
        <v>425</v>
      </c>
      <c r="N43" s="1631">
        <v>425</v>
      </c>
      <c r="O43" s="1631">
        <v>425</v>
      </c>
      <c r="P43" s="1631">
        <v>425</v>
      </c>
      <c r="Q43" s="1632">
        <v>425</v>
      </c>
      <c r="R43" s="1631">
        <v>425</v>
      </c>
      <c r="S43" s="1631">
        <v>425</v>
      </c>
      <c r="T43" s="1631">
        <v>425</v>
      </c>
      <c r="U43" s="1632">
        <v>425</v>
      </c>
      <c r="V43" s="1633">
        <v>425</v>
      </c>
      <c r="W43" s="1633">
        <v>425</v>
      </c>
      <c r="X43" s="1633">
        <v>425</v>
      </c>
      <c r="Y43" s="1633">
        <v>425</v>
      </c>
      <c r="Z43" s="1633">
        <v>425</v>
      </c>
      <c r="AA43" s="1634">
        <v>425</v>
      </c>
      <c r="AB43" s="1631">
        <v>425</v>
      </c>
      <c r="AC43" s="1631">
        <v>425</v>
      </c>
      <c r="AD43" s="1631">
        <v>425</v>
      </c>
      <c r="AE43" s="1631">
        <v>425</v>
      </c>
      <c r="AF43" s="1631">
        <v>425</v>
      </c>
      <c r="AG43" s="1631">
        <v>425</v>
      </c>
      <c r="AH43" s="1631">
        <v>425</v>
      </c>
      <c r="AI43" s="1631">
        <v>425</v>
      </c>
      <c r="AJ43" s="1631">
        <v>425</v>
      </c>
      <c r="AK43" s="1631">
        <v>425</v>
      </c>
      <c r="AL43" s="1631">
        <v>425</v>
      </c>
      <c r="AM43" s="1631">
        <v>425</v>
      </c>
      <c r="AN43" s="1631">
        <v>425</v>
      </c>
      <c r="AO43" s="1631">
        <v>425</v>
      </c>
      <c r="AP43" s="1631">
        <v>425</v>
      </c>
      <c r="AQ43" s="1631">
        <v>425</v>
      </c>
      <c r="AR43" s="1631">
        <v>425</v>
      </c>
      <c r="AS43" s="1631">
        <v>425</v>
      </c>
    </row>
    <row r="44" spans="1:45" ht="15">
      <c r="A44" s="90" t="s">
        <v>2159</v>
      </c>
      <c r="B44" s="91" t="s">
        <v>1903</v>
      </c>
      <c r="C44" s="2995">
        <v>545</v>
      </c>
      <c r="D44" s="1631">
        <v>545</v>
      </c>
      <c r="E44" s="1632">
        <v>545</v>
      </c>
      <c r="F44" s="1631">
        <v>545</v>
      </c>
      <c r="G44" s="1631">
        <v>545</v>
      </c>
      <c r="H44" s="1631">
        <v>545</v>
      </c>
      <c r="I44" s="1632">
        <v>545</v>
      </c>
      <c r="J44" s="1631">
        <v>545</v>
      </c>
      <c r="K44" s="1631">
        <v>545</v>
      </c>
      <c r="L44" s="1631">
        <v>545</v>
      </c>
      <c r="M44" s="1632">
        <v>545</v>
      </c>
      <c r="N44" s="1631">
        <v>545</v>
      </c>
      <c r="O44" s="1631">
        <v>545</v>
      </c>
      <c r="P44" s="1631">
        <v>545</v>
      </c>
      <c r="Q44" s="1632">
        <v>545</v>
      </c>
      <c r="R44" s="1631">
        <v>545</v>
      </c>
      <c r="S44" s="1631">
        <v>545</v>
      </c>
      <c r="T44" s="1631">
        <v>545</v>
      </c>
      <c r="U44" s="1632">
        <v>545</v>
      </c>
      <c r="V44" s="1633">
        <v>545</v>
      </c>
      <c r="W44" s="1633">
        <v>545</v>
      </c>
      <c r="X44" s="1633">
        <v>545</v>
      </c>
      <c r="Y44" s="1633">
        <v>545</v>
      </c>
      <c r="Z44" s="1633">
        <v>545</v>
      </c>
      <c r="AA44" s="1634">
        <v>545</v>
      </c>
      <c r="AB44" s="1631">
        <v>545</v>
      </c>
      <c r="AC44" s="1631">
        <v>545</v>
      </c>
      <c r="AD44" s="1631">
        <v>545</v>
      </c>
      <c r="AE44" s="1631">
        <v>545</v>
      </c>
      <c r="AF44" s="1631">
        <v>545</v>
      </c>
      <c r="AG44" s="1631">
        <v>545</v>
      </c>
      <c r="AH44" s="1631">
        <v>545</v>
      </c>
      <c r="AI44" s="1631">
        <v>545</v>
      </c>
      <c r="AJ44" s="1631">
        <v>545</v>
      </c>
      <c r="AK44" s="1631">
        <v>545</v>
      </c>
      <c r="AL44" s="1631">
        <v>545</v>
      </c>
      <c r="AM44" s="1631">
        <v>545</v>
      </c>
      <c r="AN44" s="1631">
        <v>545</v>
      </c>
      <c r="AO44" s="1631">
        <v>545</v>
      </c>
      <c r="AP44" s="1631">
        <v>545</v>
      </c>
      <c r="AQ44" s="1631">
        <v>545</v>
      </c>
      <c r="AR44" s="1631">
        <v>545</v>
      </c>
      <c r="AS44" s="1631">
        <v>545</v>
      </c>
    </row>
    <row r="45" spans="1:45" ht="15">
      <c r="A45" s="90" t="s">
        <v>2160</v>
      </c>
      <c r="B45" s="91" t="s">
        <v>1905</v>
      </c>
      <c r="C45" s="2995">
        <v>525</v>
      </c>
      <c r="D45" s="1631">
        <v>525</v>
      </c>
      <c r="E45" s="1632">
        <v>525</v>
      </c>
      <c r="F45" s="1631">
        <v>525</v>
      </c>
      <c r="G45" s="1631">
        <v>525</v>
      </c>
      <c r="H45" s="1631">
        <v>525</v>
      </c>
      <c r="I45" s="1632">
        <v>525</v>
      </c>
      <c r="J45" s="1631">
        <v>525</v>
      </c>
      <c r="K45" s="1631">
        <v>525</v>
      </c>
      <c r="L45" s="1631">
        <v>525</v>
      </c>
      <c r="M45" s="1632">
        <v>525</v>
      </c>
      <c r="N45" s="1631">
        <v>525</v>
      </c>
      <c r="O45" s="1631">
        <v>525</v>
      </c>
      <c r="P45" s="1631">
        <v>525</v>
      </c>
      <c r="Q45" s="1632">
        <v>525</v>
      </c>
      <c r="R45" s="1631">
        <v>525</v>
      </c>
      <c r="S45" s="1631">
        <v>525</v>
      </c>
      <c r="T45" s="1631">
        <v>525</v>
      </c>
      <c r="U45" s="1632">
        <v>525</v>
      </c>
      <c r="V45" s="1633">
        <v>525</v>
      </c>
      <c r="W45" s="1633">
        <v>525</v>
      </c>
      <c r="X45" s="1633">
        <v>525</v>
      </c>
      <c r="Y45" s="1633">
        <v>525</v>
      </c>
      <c r="Z45" s="1633">
        <v>525</v>
      </c>
      <c r="AA45" s="1634">
        <v>525</v>
      </c>
      <c r="AB45" s="1631">
        <v>525</v>
      </c>
      <c r="AC45" s="1631">
        <v>525</v>
      </c>
      <c r="AD45" s="1631">
        <v>525</v>
      </c>
      <c r="AE45" s="1631">
        <v>525</v>
      </c>
      <c r="AF45" s="1631">
        <v>525</v>
      </c>
      <c r="AG45" s="1631">
        <v>525</v>
      </c>
      <c r="AH45" s="1631">
        <v>525</v>
      </c>
      <c r="AI45" s="1631">
        <v>525</v>
      </c>
      <c r="AJ45" s="1631">
        <v>525</v>
      </c>
      <c r="AK45" s="1631">
        <v>525</v>
      </c>
      <c r="AL45" s="1631">
        <v>525</v>
      </c>
      <c r="AM45" s="1631">
        <v>525</v>
      </c>
      <c r="AN45" s="1631">
        <v>525</v>
      </c>
      <c r="AO45" s="1631">
        <v>525</v>
      </c>
      <c r="AP45" s="1631">
        <v>525</v>
      </c>
      <c r="AQ45" s="1631">
        <v>525</v>
      </c>
      <c r="AR45" s="1631">
        <v>525</v>
      </c>
      <c r="AS45" s="1631">
        <v>525</v>
      </c>
    </row>
    <row r="46" spans="1:45" ht="15">
      <c r="A46" s="90" t="s">
        <v>2160</v>
      </c>
      <c r="B46" s="91" t="s">
        <v>1909</v>
      </c>
      <c r="C46" s="2995">
        <v>525</v>
      </c>
      <c r="D46" s="1631">
        <v>525</v>
      </c>
      <c r="E46" s="1632">
        <v>525</v>
      </c>
      <c r="F46" s="1631">
        <v>525</v>
      </c>
      <c r="G46" s="1631">
        <v>525</v>
      </c>
      <c r="H46" s="1631">
        <v>525</v>
      </c>
      <c r="I46" s="1632">
        <v>525</v>
      </c>
      <c r="J46" s="1631">
        <v>525</v>
      </c>
      <c r="K46" s="1631">
        <v>525</v>
      </c>
      <c r="L46" s="1631">
        <v>525</v>
      </c>
      <c r="M46" s="1632">
        <v>525</v>
      </c>
      <c r="N46" s="1631">
        <v>525</v>
      </c>
      <c r="O46" s="1631">
        <v>525</v>
      </c>
      <c r="P46" s="1631">
        <v>525</v>
      </c>
      <c r="Q46" s="1632">
        <v>525</v>
      </c>
      <c r="R46" s="1631">
        <v>525</v>
      </c>
      <c r="S46" s="1631">
        <v>525</v>
      </c>
      <c r="T46" s="1631">
        <v>525</v>
      </c>
      <c r="U46" s="1632">
        <v>525</v>
      </c>
      <c r="V46" s="1633">
        <v>525</v>
      </c>
      <c r="W46" s="1633">
        <v>525</v>
      </c>
      <c r="X46" s="1633">
        <v>525</v>
      </c>
      <c r="Y46" s="1633">
        <v>525</v>
      </c>
      <c r="Z46" s="1633">
        <v>525</v>
      </c>
      <c r="AA46" s="1634">
        <v>525</v>
      </c>
      <c r="AB46" s="1631">
        <v>525</v>
      </c>
      <c r="AC46" s="1631">
        <v>525</v>
      </c>
      <c r="AD46" s="1631">
        <v>525</v>
      </c>
      <c r="AE46" s="1631">
        <v>525</v>
      </c>
      <c r="AF46" s="1631">
        <v>525</v>
      </c>
      <c r="AG46" s="1631">
        <v>525</v>
      </c>
      <c r="AH46" s="1631">
        <v>525</v>
      </c>
      <c r="AI46" s="1631">
        <v>525</v>
      </c>
      <c r="AJ46" s="1631">
        <v>525</v>
      </c>
      <c r="AK46" s="1631">
        <v>525</v>
      </c>
      <c r="AL46" s="1631">
        <v>525</v>
      </c>
      <c r="AM46" s="1631">
        <v>525</v>
      </c>
      <c r="AN46" s="1631">
        <v>525</v>
      </c>
      <c r="AO46" s="1631">
        <v>525</v>
      </c>
      <c r="AP46" s="1631">
        <v>525</v>
      </c>
      <c r="AQ46" s="1631">
        <v>525</v>
      </c>
      <c r="AR46" s="1631">
        <v>525</v>
      </c>
      <c r="AS46" s="1631">
        <v>525</v>
      </c>
    </row>
    <row r="47" spans="1:45" ht="15">
      <c r="A47" s="90" t="s">
        <v>1856</v>
      </c>
      <c r="B47" s="91" t="s">
        <v>1911</v>
      </c>
      <c r="C47" s="2995">
        <v>145</v>
      </c>
      <c r="D47" s="1631">
        <v>145</v>
      </c>
      <c r="E47" s="1632">
        <v>145</v>
      </c>
      <c r="F47" s="1631">
        <v>145</v>
      </c>
      <c r="G47" s="1631">
        <v>145</v>
      </c>
      <c r="H47" s="1631">
        <v>145</v>
      </c>
      <c r="I47" s="1632">
        <v>145</v>
      </c>
      <c r="J47" s="1631">
        <v>145</v>
      </c>
      <c r="K47" s="1631">
        <v>145</v>
      </c>
      <c r="L47" s="1631">
        <v>145</v>
      </c>
      <c r="M47" s="1632">
        <v>145</v>
      </c>
      <c r="N47" s="1631">
        <v>145</v>
      </c>
      <c r="O47" s="1631">
        <v>145</v>
      </c>
      <c r="P47" s="1631">
        <v>145</v>
      </c>
      <c r="Q47" s="1632">
        <v>145</v>
      </c>
      <c r="R47" s="1631">
        <v>145</v>
      </c>
      <c r="S47" s="1631">
        <v>145</v>
      </c>
      <c r="T47" s="1631">
        <v>145</v>
      </c>
      <c r="U47" s="1632">
        <v>145</v>
      </c>
      <c r="V47" s="1633">
        <v>145</v>
      </c>
      <c r="W47" s="1633">
        <v>145</v>
      </c>
      <c r="X47" s="1633">
        <v>145</v>
      </c>
      <c r="Y47" s="1633">
        <v>145</v>
      </c>
      <c r="Z47" s="1633">
        <v>145</v>
      </c>
      <c r="AA47" s="1634">
        <v>145</v>
      </c>
      <c r="AB47" s="1631">
        <v>145</v>
      </c>
      <c r="AC47" s="1631">
        <v>145</v>
      </c>
      <c r="AD47" s="1631">
        <v>145</v>
      </c>
      <c r="AE47" s="1631">
        <v>145</v>
      </c>
      <c r="AF47" s="1631">
        <v>145</v>
      </c>
      <c r="AG47" s="1631">
        <v>145</v>
      </c>
      <c r="AH47" s="1631">
        <v>145</v>
      </c>
      <c r="AI47" s="1631">
        <v>145</v>
      </c>
      <c r="AJ47" s="1631">
        <v>145</v>
      </c>
      <c r="AK47" s="1631">
        <v>145</v>
      </c>
      <c r="AL47" s="1631">
        <v>145</v>
      </c>
      <c r="AM47" s="1631">
        <v>145</v>
      </c>
      <c r="AN47" s="1631">
        <v>145</v>
      </c>
      <c r="AO47" s="1631">
        <v>145</v>
      </c>
      <c r="AP47" s="1631">
        <v>145</v>
      </c>
      <c r="AQ47" s="1631">
        <v>145</v>
      </c>
      <c r="AR47" s="1631">
        <v>145</v>
      </c>
      <c r="AS47" s="1631">
        <v>145</v>
      </c>
    </row>
    <row r="48" spans="1:45" ht="15">
      <c r="A48" s="93" t="s">
        <v>2158</v>
      </c>
      <c r="B48" s="91" t="s">
        <v>1913</v>
      </c>
      <c r="C48" s="2995">
        <v>3885</v>
      </c>
      <c r="D48" s="1631">
        <v>3885</v>
      </c>
      <c r="E48" s="1632">
        <v>3885</v>
      </c>
      <c r="F48" s="1631">
        <v>3885</v>
      </c>
      <c r="G48" s="1631">
        <v>3885</v>
      </c>
      <c r="H48" s="1631">
        <v>3885</v>
      </c>
      <c r="I48" s="1632">
        <v>3885</v>
      </c>
      <c r="J48" s="1631">
        <v>3885</v>
      </c>
      <c r="K48" s="1631">
        <v>3885</v>
      </c>
      <c r="L48" s="1631">
        <v>3885</v>
      </c>
      <c r="M48" s="1632">
        <v>3885</v>
      </c>
      <c r="N48" s="1631">
        <v>3885</v>
      </c>
      <c r="O48" s="1631">
        <v>3885</v>
      </c>
      <c r="P48" s="1631">
        <v>3885</v>
      </c>
      <c r="Q48" s="1632">
        <v>3885</v>
      </c>
      <c r="R48" s="1631">
        <v>3885</v>
      </c>
      <c r="S48" s="1631">
        <v>3885</v>
      </c>
      <c r="T48" s="1631">
        <v>3885</v>
      </c>
      <c r="U48" s="1632">
        <v>3885</v>
      </c>
      <c r="V48" s="1633">
        <v>3885</v>
      </c>
      <c r="W48" s="1633">
        <v>3885</v>
      </c>
      <c r="X48" s="1633">
        <v>3885</v>
      </c>
      <c r="Y48" s="1633">
        <v>3885</v>
      </c>
      <c r="Z48" s="1633">
        <v>3885</v>
      </c>
      <c r="AA48" s="1634">
        <v>3885</v>
      </c>
      <c r="AB48" s="1631">
        <v>3885</v>
      </c>
      <c r="AC48" s="1631">
        <v>3885</v>
      </c>
      <c r="AD48" s="1631">
        <v>3885</v>
      </c>
      <c r="AE48" s="1631">
        <v>3885</v>
      </c>
      <c r="AF48" s="1631">
        <v>3885</v>
      </c>
      <c r="AG48" s="1631">
        <v>3885</v>
      </c>
      <c r="AH48" s="1631">
        <v>3885</v>
      </c>
      <c r="AI48" s="1631">
        <v>3885</v>
      </c>
      <c r="AJ48" s="1631">
        <v>3885</v>
      </c>
      <c r="AK48" s="1631">
        <v>3885</v>
      </c>
      <c r="AL48" s="1631">
        <v>3885</v>
      </c>
      <c r="AM48" s="1631">
        <v>3885</v>
      </c>
      <c r="AN48" s="1631">
        <v>3885</v>
      </c>
      <c r="AO48" s="1631">
        <v>3885</v>
      </c>
      <c r="AP48" s="1631">
        <v>3885</v>
      </c>
      <c r="AQ48" s="1631">
        <v>3885</v>
      </c>
      <c r="AR48" s="1631">
        <v>3885</v>
      </c>
      <c r="AS48" s="1631">
        <v>3885</v>
      </c>
    </row>
    <row r="49" spans="1:45" ht="15">
      <c r="A49" s="93" t="s">
        <v>1914</v>
      </c>
      <c r="B49" s="91" t="s">
        <v>1915</v>
      </c>
      <c r="C49" s="2995">
        <v>1000</v>
      </c>
      <c r="D49" s="1631">
        <v>1000</v>
      </c>
      <c r="E49" s="1632">
        <v>1000</v>
      </c>
      <c r="F49" s="1631">
        <v>1000</v>
      </c>
      <c r="G49" s="1631">
        <v>1000</v>
      </c>
      <c r="H49" s="1631">
        <v>1000</v>
      </c>
      <c r="I49" s="1632">
        <v>1000</v>
      </c>
      <c r="J49" s="1631">
        <v>1000</v>
      </c>
      <c r="K49" s="1631">
        <v>1000</v>
      </c>
      <c r="L49" s="1631">
        <v>1000</v>
      </c>
      <c r="M49" s="1632">
        <v>1000</v>
      </c>
      <c r="N49" s="1631">
        <v>1000</v>
      </c>
      <c r="O49" s="1631">
        <v>1000</v>
      </c>
      <c r="P49" s="1631">
        <v>1000</v>
      </c>
      <c r="Q49" s="1632">
        <v>1000</v>
      </c>
      <c r="R49" s="1631">
        <v>1000</v>
      </c>
      <c r="S49" s="1631">
        <v>1000</v>
      </c>
      <c r="T49" s="1631">
        <v>1000</v>
      </c>
      <c r="U49" s="1632">
        <v>1000</v>
      </c>
      <c r="V49" s="1633">
        <v>1000</v>
      </c>
      <c r="W49" s="1633">
        <v>1000</v>
      </c>
      <c r="X49" s="1633">
        <v>1000</v>
      </c>
      <c r="Y49" s="1633">
        <v>1000</v>
      </c>
      <c r="Z49" s="1633">
        <v>1000</v>
      </c>
      <c r="AA49" s="1634">
        <v>1000</v>
      </c>
      <c r="AB49" s="1631">
        <v>1000</v>
      </c>
      <c r="AC49" s="1631">
        <v>1000</v>
      </c>
      <c r="AD49" s="1631">
        <v>1000</v>
      </c>
      <c r="AE49" s="1631">
        <v>1000</v>
      </c>
      <c r="AF49" s="1631">
        <v>1000</v>
      </c>
      <c r="AG49" s="1631">
        <v>1000</v>
      </c>
      <c r="AH49" s="1631">
        <v>1000</v>
      </c>
      <c r="AI49" s="1631">
        <v>1000</v>
      </c>
      <c r="AJ49" s="1631">
        <v>1000</v>
      </c>
      <c r="AK49" s="1631">
        <v>1000</v>
      </c>
      <c r="AL49" s="1631">
        <v>1000</v>
      </c>
      <c r="AM49" s="1631">
        <v>1000</v>
      </c>
      <c r="AN49" s="1631">
        <v>1000</v>
      </c>
      <c r="AO49" s="1631">
        <v>1000</v>
      </c>
      <c r="AP49" s="1631">
        <v>1000</v>
      </c>
      <c r="AQ49" s="1631">
        <v>1000</v>
      </c>
      <c r="AR49" s="1631">
        <v>1000</v>
      </c>
      <c r="AS49" s="1631">
        <v>1000</v>
      </c>
    </row>
    <row r="50" spans="1:45" ht="15">
      <c r="A50" s="93" t="s">
        <v>902</v>
      </c>
      <c r="B50" s="91" t="s">
        <v>903</v>
      </c>
      <c r="C50" s="2995">
        <v>1322</v>
      </c>
      <c r="D50" s="1631">
        <v>1322</v>
      </c>
      <c r="E50" s="1632">
        <v>1322</v>
      </c>
      <c r="F50" s="1631">
        <v>1322</v>
      </c>
      <c r="G50" s="1631">
        <v>1322</v>
      </c>
      <c r="H50" s="1631">
        <v>1322</v>
      </c>
      <c r="I50" s="1632">
        <v>1322</v>
      </c>
      <c r="J50" s="1631">
        <v>1322</v>
      </c>
      <c r="K50" s="1631">
        <v>1322</v>
      </c>
      <c r="L50" s="1631">
        <v>1322</v>
      </c>
      <c r="M50" s="1632">
        <v>1322</v>
      </c>
      <c r="N50" s="1631">
        <v>1322</v>
      </c>
      <c r="O50" s="1631">
        <v>1322</v>
      </c>
      <c r="P50" s="1631">
        <v>1322</v>
      </c>
      <c r="Q50" s="1632">
        <v>1322</v>
      </c>
      <c r="R50" s="1631">
        <v>1322</v>
      </c>
      <c r="S50" s="1631">
        <v>1322</v>
      </c>
      <c r="T50" s="1631">
        <v>1322</v>
      </c>
      <c r="U50" s="1632">
        <v>1322</v>
      </c>
      <c r="V50" s="1633">
        <v>1322</v>
      </c>
      <c r="W50" s="1633">
        <v>1322</v>
      </c>
      <c r="X50" s="1633">
        <v>1322</v>
      </c>
      <c r="Y50" s="1633">
        <v>1322</v>
      </c>
      <c r="Z50" s="1633">
        <v>1322</v>
      </c>
      <c r="AA50" s="1634">
        <v>1322</v>
      </c>
      <c r="AB50" s="1631">
        <v>1322</v>
      </c>
      <c r="AC50" s="1631">
        <v>1322</v>
      </c>
      <c r="AD50" s="1631">
        <v>1322</v>
      </c>
      <c r="AE50" s="1631">
        <v>1322</v>
      </c>
      <c r="AF50" s="1631">
        <v>1322</v>
      </c>
      <c r="AG50" s="1631">
        <v>1322</v>
      </c>
      <c r="AH50" s="1631">
        <v>1322</v>
      </c>
      <c r="AI50" s="1631">
        <v>1322</v>
      </c>
      <c r="AJ50" s="1631">
        <v>1322</v>
      </c>
      <c r="AK50" s="1631">
        <v>1322</v>
      </c>
      <c r="AL50" s="1631">
        <v>1322</v>
      </c>
      <c r="AM50" s="1631">
        <v>1322</v>
      </c>
      <c r="AN50" s="1631">
        <v>1322</v>
      </c>
      <c r="AO50" s="1631">
        <v>1322</v>
      </c>
      <c r="AP50" s="1631">
        <v>1322</v>
      </c>
      <c r="AQ50" s="1631">
        <v>1322</v>
      </c>
      <c r="AR50" s="1631">
        <v>1322</v>
      </c>
      <c r="AS50" s="1631">
        <v>1322</v>
      </c>
    </row>
    <row r="51" spans="1:45" ht="15">
      <c r="A51" s="93" t="s">
        <v>1784</v>
      </c>
      <c r="B51" s="91" t="s">
        <v>905</v>
      </c>
      <c r="C51" s="2995">
        <v>2000</v>
      </c>
      <c r="D51" s="1631">
        <v>2000</v>
      </c>
      <c r="E51" s="1632">
        <v>2000</v>
      </c>
      <c r="F51" s="1631">
        <v>2000</v>
      </c>
      <c r="G51" s="1631">
        <v>2000</v>
      </c>
      <c r="H51" s="1631">
        <v>2000</v>
      </c>
      <c r="I51" s="1632">
        <v>2000</v>
      </c>
      <c r="J51" s="1631">
        <v>2000</v>
      </c>
      <c r="K51" s="1631">
        <v>2000</v>
      </c>
      <c r="L51" s="1631">
        <v>2000</v>
      </c>
      <c r="M51" s="1632">
        <v>2000</v>
      </c>
      <c r="N51" s="1631">
        <v>2000</v>
      </c>
      <c r="O51" s="1631">
        <v>2000</v>
      </c>
      <c r="P51" s="1631">
        <v>2000</v>
      </c>
      <c r="Q51" s="1632">
        <v>2000</v>
      </c>
      <c r="R51" s="1631">
        <v>2000</v>
      </c>
      <c r="S51" s="1631">
        <v>2000</v>
      </c>
      <c r="T51" s="1631">
        <v>2000</v>
      </c>
      <c r="U51" s="1632">
        <v>2000</v>
      </c>
      <c r="V51" s="1633">
        <v>2000</v>
      </c>
      <c r="W51" s="1633">
        <v>2000</v>
      </c>
      <c r="X51" s="1633">
        <v>2000</v>
      </c>
      <c r="Y51" s="1633">
        <v>2000</v>
      </c>
      <c r="Z51" s="1633">
        <v>2000</v>
      </c>
      <c r="AA51" s="1634">
        <v>2000</v>
      </c>
      <c r="AB51" s="1631">
        <v>2000</v>
      </c>
      <c r="AC51" s="1631">
        <v>2000</v>
      </c>
      <c r="AD51" s="1631">
        <v>2000</v>
      </c>
      <c r="AE51" s="1631">
        <v>2000</v>
      </c>
      <c r="AF51" s="1631">
        <v>2000</v>
      </c>
      <c r="AG51" s="1631">
        <v>2000</v>
      </c>
      <c r="AH51" s="1631">
        <v>2000</v>
      </c>
      <c r="AI51" s="1631">
        <v>2000</v>
      </c>
      <c r="AJ51" s="1631">
        <v>2000</v>
      </c>
      <c r="AK51" s="1631">
        <v>2000</v>
      </c>
      <c r="AL51" s="1631">
        <v>2000</v>
      </c>
      <c r="AM51" s="1631">
        <v>2000</v>
      </c>
      <c r="AN51" s="1631">
        <v>2000</v>
      </c>
      <c r="AO51" s="1631">
        <v>2000</v>
      </c>
      <c r="AP51" s="1631">
        <v>2000</v>
      </c>
      <c r="AQ51" s="1631">
        <v>2000</v>
      </c>
      <c r="AR51" s="1631">
        <v>2000</v>
      </c>
      <c r="AS51" s="1631">
        <v>2000</v>
      </c>
    </row>
    <row r="52" spans="1:45" ht="15">
      <c r="A52" s="93" t="s">
        <v>1785</v>
      </c>
      <c r="B52" s="91" t="s">
        <v>2936</v>
      </c>
      <c r="C52" s="1626">
        <v>1995</v>
      </c>
      <c r="D52" s="1631">
        <v>1995</v>
      </c>
      <c r="E52" s="1632">
        <v>1995</v>
      </c>
      <c r="F52" s="1631">
        <v>1995</v>
      </c>
      <c r="G52" s="1631">
        <v>1995</v>
      </c>
      <c r="H52" s="1631">
        <v>1995</v>
      </c>
      <c r="I52" s="1632">
        <v>1995</v>
      </c>
      <c r="J52" s="1631">
        <v>1995</v>
      </c>
      <c r="K52" s="1631">
        <v>1995</v>
      </c>
      <c r="L52" s="1631">
        <v>1995</v>
      </c>
      <c r="M52" s="1632">
        <v>1995</v>
      </c>
      <c r="N52" s="1631">
        <v>1995</v>
      </c>
      <c r="O52" s="1631">
        <v>1995</v>
      </c>
      <c r="P52" s="1631">
        <v>1995</v>
      </c>
      <c r="Q52" s="1632">
        <v>1995</v>
      </c>
      <c r="R52" s="1631">
        <v>1995</v>
      </c>
      <c r="S52" s="1631">
        <v>1995</v>
      </c>
      <c r="T52" s="1631">
        <v>1995</v>
      </c>
      <c r="U52" s="1632">
        <v>1995</v>
      </c>
      <c r="V52" s="1633">
        <v>1995</v>
      </c>
      <c r="W52" s="1633">
        <v>1995</v>
      </c>
      <c r="X52" s="1633">
        <v>1995</v>
      </c>
      <c r="Y52" s="1633">
        <v>1995</v>
      </c>
      <c r="Z52" s="1633">
        <v>1995</v>
      </c>
      <c r="AA52" s="1634">
        <v>1995</v>
      </c>
      <c r="AB52" s="1631">
        <v>1995</v>
      </c>
      <c r="AC52" s="1631">
        <v>1995</v>
      </c>
      <c r="AD52" s="1631">
        <v>1995</v>
      </c>
      <c r="AE52" s="1631">
        <v>1995</v>
      </c>
      <c r="AF52" s="1631">
        <v>1995</v>
      </c>
      <c r="AG52" s="1631">
        <v>1995</v>
      </c>
      <c r="AH52" s="1631">
        <v>1995</v>
      </c>
      <c r="AI52" s="1631">
        <v>1995</v>
      </c>
      <c r="AJ52" s="1631">
        <v>1995</v>
      </c>
      <c r="AK52" s="1631">
        <v>1995</v>
      </c>
      <c r="AL52" s="1631">
        <v>1995</v>
      </c>
      <c r="AM52" s="1631">
        <v>1995</v>
      </c>
      <c r="AN52" s="1631">
        <v>1995</v>
      </c>
      <c r="AO52" s="1631">
        <v>1995</v>
      </c>
      <c r="AP52" s="1631">
        <v>1995</v>
      </c>
      <c r="AQ52" s="1631">
        <v>1995</v>
      </c>
      <c r="AR52" s="1631">
        <v>1995</v>
      </c>
      <c r="AS52" s="1631">
        <v>1995</v>
      </c>
    </row>
    <row r="53" spans="1:45" ht="15">
      <c r="A53" s="93" t="s">
        <v>2937</v>
      </c>
      <c r="B53" s="91" t="s">
        <v>2938</v>
      </c>
      <c r="C53" s="1626">
        <v>10</v>
      </c>
      <c r="D53" s="1631">
        <v>10</v>
      </c>
      <c r="E53" s="1632">
        <v>10</v>
      </c>
      <c r="F53" s="1631">
        <v>10</v>
      </c>
      <c r="G53" s="1631">
        <v>10</v>
      </c>
      <c r="H53" s="1631">
        <v>10</v>
      </c>
      <c r="I53" s="1632">
        <v>10</v>
      </c>
      <c r="J53" s="1631">
        <v>10</v>
      </c>
      <c r="K53" s="1631">
        <v>10</v>
      </c>
      <c r="L53" s="1631">
        <v>10</v>
      </c>
      <c r="M53" s="1632">
        <v>10</v>
      </c>
      <c r="N53" s="1631">
        <v>10</v>
      </c>
      <c r="O53" s="1631">
        <v>10</v>
      </c>
      <c r="P53" s="1631">
        <v>10</v>
      </c>
      <c r="Q53" s="1632">
        <v>10</v>
      </c>
      <c r="R53" s="1631">
        <v>10</v>
      </c>
      <c r="S53" s="1631">
        <v>10</v>
      </c>
      <c r="T53" s="1631">
        <v>10</v>
      </c>
      <c r="U53" s="1632">
        <v>10</v>
      </c>
      <c r="V53" s="1633">
        <v>10</v>
      </c>
      <c r="W53" s="1633">
        <v>10</v>
      </c>
      <c r="X53" s="1633">
        <v>10</v>
      </c>
      <c r="Y53" s="1633">
        <v>10</v>
      </c>
      <c r="Z53" s="1633">
        <v>10</v>
      </c>
      <c r="AA53" s="1634">
        <v>10</v>
      </c>
      <c r="AB53" s="1631">
        <v>10</v>
      </c>
      <c r="AC53" s="1631">
        <v>10</v>
      </c>
      <c r="AD53" s="1631">
        <v>10</v>
      </c>
      <c r="AE53" s="1631">
        <v>10</v>
      </c>
      <c r="AF53" s="1631">
        <v>10</v>
      </c>
      <c r="AG53" s="1631">
        <v>10</v>
      </c>
      <c r="AH53" s="1631">
        <v>10</v>
      </c>
      <c r="AI53" s="1631">
        <v>10</v>
      </c>
      <c r="AJ53" s="1631">
        <v>10</v>
      </c>
      <c r="AK53" s="1631">
        <v>10</v>
      </c>
      <c r="AL53" s="2995">
        <v>10</v>
      </c>
      <c r="AM53" s="2995">
        <v>10</v>
      </c>
      <c r="AN53" s="2995">
        <v>10</v>
      </c>
      <c r="AO53" s="2995">
        <v>10</v>
      </c>
      <c r="AP53" s="2995">
        <v>10</v>
      </c>
      <c r="AQ53" s="2995">
        <v>10</v>
      </c>
      <c r="AR53" s="2995">
        <v>10</v>
      </c>
      <c r="AS53" s="2995">
        <v>10</v>
      </c>
    </row>
    <row r="54" spans="1:45" ht="15">
      <c r="A54" s="93" t="s">
        <v>2939</v>
      </c>
      <c r="B54" s="91" t="s">
        <v>2940</v>
      </c>
      <c r="C54" s="1626">
        <v>225</v>
      </c>
      <c r="D54" s="1631">
        <v>225</v>
      </c>
      <c r="E54" s="1632">
        <v>225</v>
      </c>
      <c r="F54" s="1631">
        <v>225</v>
      </c>
      <c r="G54" s="1631">
        <v>225</v>
      </c>
      <c r="H54" s="1631">
        <v>225</v>
      </c>
      <c r="I54" s="1632">
        <v>225</v>
      </c>
      <c r="J54" s="1631">
        <v>225</v>
      </c>
      <c r="K54" s="1631">
        <v>225</v>
      </c>
      <c r="L54" s="1631">
        <v>225</v>
      </c>
      <c r="M54" s="1632">
        <v>225</v>
      </c>
      <c r="N54" s="1631">
        <v>225</v>
      </c>
      <c r="O54" s="1631">
        <v>225</v>
      </c>
      <c r="P54" s="1631">
        <v>225</v>
      </c>
      <c r="Q54" s="1632">
        <v>225</v>
      </c>
      <c r="R54" s="1631">
        <v>225</v>
      </c>
      <c r="S54" s="1631">
        <v>225</v>
      </c>
      <c r="T54" s="1631">
        <v>225</v>
      </c>
      <c r="U54" s="1632">
        <v>225</v>
      </c>
      <c r="V54" s="1633">
        <v>225</v>
      </c>
      <c r="W54" s="1633">
        <v>225</v>
      </c>
      <c r="X54" s="1633">
        <v>225</v>
      </c>
      <c r="Y54" s="1633">
        <v>225</v>
      </c>
      <c r="Z54" s="1633">
        <v>225</v>
      </c>
      <c r="AA54" s="1634">
        <v>225</v>
      </c>
      <c r="AB54" s="1631">
        <v>225</v>
      </c>
      <c r="AC54" s="1631">
        <v>225</v>
      </c>
      <c r="AD54" s="1631">
        <v>225</v>
      </c>
      <c r="AE54" s="1631">
        <v>225</v>
      </c>
      <c r="AF54" s="1631">
        <v>225</v>
      </c>
      <c r="AG54" s="1631">
        <v>225</v>
      </c>
      <c r="AH54" s="1631">
        <v>225</v>
      </c>
      <c r="AI54" s="1631">
        <v>225</v>
      </c>
      <c r="AJ54" s="1631">
        <v>225</v>
      </c>
      <c r="AK54" s="1631">
        <v>225</v>
      </c>
      <c r="AL54" s="2995">
        <v>225</v>
      </c>
      <c r="AM54" s="2995">
        <v>225</v>
      </c>
      <c r="AN54" s="2995">
        <v>225</v>
      </c>
      <c r="AO54" s="2995">
        <v>225</v>
      </c>
      <c r="AP54" s="2995">
        <v>225</v>
      </c>
      <c r="AQ54" s="2995">
        <v>225</v>
      </c>
      <c r="AR54" s="2995">
        <v>225</v>
      </c>
      <c r="AS54" s="2995">
        <v>225</v>
      </c>
    </row>
    <row r="55" spans="1:45" ht="15">
      <c r="A55" s="93" t="s">
        <v>2941</v>
      </c>
      <c r="B55" s="91" t="s">
        <v>2942</v>
      </c>
      <c r="C55" s="2995">
        <v>700</v>
      </c>
      <c r="D55" s="1631">
        <v>700</v>
      </c>
      <c r="E55" s="1632">
        <v>700</v>
      </c>
      <c r="F55" s="1631">
        <v>700</v>
      </c>
      <c r="G55" s="1631">
        <v>700</v>
      </c>
      <c r="H55" s="1631">
        <v>700</v>
      </c>
      <c r="I55" s="1632">
        <v>700</v>
      </c>
      <c r="J55" s="1631">
        <v>700</v>
      </c>
      <c r="K55" s="1631">
        <v>700</v>
      </c>
      <c r="L55" s="1631">
        <v>700</v>
      </c>
      <c r="M55" s="1632">
        <v>700</v>
      </c>
      <c r="N55" s="1631">
        <v>700</v>
      </c>
      <c r="O55" s="1631">
        <v>700</v>
      </c>
      <c r="P55" s="1631">
        <v>700</v>
      </c>
      <c r="Q55" s="1632">
        <v>700</v>
      </c>
      <c r="R55" s="1631">
        <v>700</v>
      </c>
      <c r="S55" s="1631">
        <v>700</v>
      </c>
      <c r="T55" s="1631">
        <v>700</v>
      </c>
      <c r="U55" s="1632">
        <v>700</v>
      </c>
      <c r="V55" s="1633">
        <v>700</v>
      </c>
      <c r="W55" s="1633">
        <v>700</v>
      </c>
      <c r="X55" s="1633">
        <v>700</v>
      </c>
      <c r="Y55" s="1633">
        <v>700</v>
      </c>
      <c r="Z55" s="1633">
        <v>700</v>
      </c>
      <c r="AA55" s="1634">
        <v>700</v>
      </c>
      <c r="AB55" s="1631">
        <v>700</v>
      </c>
      <c r="AC55" s="1631">
        <v>700</v>
      </c>
      <c r="AD55" s="1631">
        <v>700</v>
      </c>
      <c r="AE55" s="1631">
        <v>700</v>
      </c>
      <c r="AF55" s="1631">
        <v>700</v>
      </c>
      <c r="AG55" s="1631">
        <v>700</v>
      </c>
      <c r="AH55" s="1631">
        <v>700</v>
      </c>
      <c r="AI55" s="1631">
        <v>700</v>
      </c>
      <c r="AJ55" s="1631">
        <v>700</v>
      </c>
      <c r="AK55" s="1631">
        <v>1000</v>
      </c>
      <c r="AL55" s="2995">
        <v>1000</v>
      </c>
      <c r="AM55" s="2995">
        <v>1000</v>
      </c>
      <c r="AN55" s="2995">
        <v>1000</v>
      </c>
      <c r="AO55" s="2995">
        <v>1000</v>
      </c>
      <c r="AP55" s="2995">
        <v>1000</v>
      </c>
      <c r="AQ55" s="2995">
        <v>1000</v>
      </c>
      <c r="AR55" s="2995">
        <v>1000</v>
      </c>
      <c r="AS55" s="2995">
        <v>1000</v>
      </c>
    </row>
    <row r="56" spans="1:45" ht="15">
      <c r="A56" s="90" t="s">
        <v>2943</v>
      </c>
      <c r="B56" s="91" t="s">
        <v>2944</v>
      </c>
      <c r="C56" s="1626">
        <v>1100</v>
      </c>
      <c r="D56" s="1631">
        <v>1100</v>
      </c>
      <c r="E56" s="1632">
        <v>1100</v>
      </c>
      <c r="F56" s="1631">
        <v>1100</v>
      </c>
      <c r="G56" s="1631">
        <v>1100</v>
      </c>
      <c r="H56" s="1631">
        <v>1100</v>
      </c>
      <c r="I56" s="1632">
        <v>1100</v>
      </c>
      <c r="J56" s="1631">
        <v>1100</v>
      </c>
      <c r="K56" s="1631">
        <v>1100</v>
      </c>
      <c r="L56" s="1631">
        <v>1100</v>
      </c>
      <c r="M56" s="1632">
        <v>1100</v>
      </c>
      <c r="N56" s="1631">
        <v>1100</v>
      </c>
      <c r="O56" s="1631">
        <v>1100</v>
      </c>
      <c r="P56" s="1631">
        <v>1100</v>
      </c>
      <c r="Q56" s="1632">
        <v>1100</v>
      </c>
      <c r="R56" s="1631">
        <v>1100</v>
      </c>
      <c r="S56" s="1631">
        <v>1100</v>
      </c>
      <c r="T56" s="1631">
        <v>1100</v>
      </c>
      <c r="U56" s="1632">
        <v>1100</v>
      </c>
      <c r="V56" s="1633">
        <v>1100</v>
      </c>
      <c r="W56" s="1633">
        <v>1100</v>
      </c>
      <c r="X56" s="1633">
        <v>1100</v>
      </c>
      <c r="Y56" s="1633">
        <v>1100</v>
      </c>
      <c r="Z56" s="1633">
        <v>1100</v>
      </c>
      <c r="AA56" s="1634">
        <v>1100</v>
      </c>
      <c r="AB56" s="1631">
        <v>1100</v>
      </c>
      <c r="AC56" s="1631">
        <v>1100</v>
      </c>
      <c r="AD56" s="1631">
        <v>1100</v>
      </c>
      <c r="AE56" s="1631">
        <v>1100</v>
      </c>
      <c r="AF56" s="1631">
        <v>1100</v>
      </c>
      <c r="AG56" s="1631">
        <v>1100</v>
      </c>
      <c r="AH56" s="1631">
        <v>1100</v>
      </c>
      <c r="AI56" s="1631">
        <v>1100</v>
      </c>
      <c r="AJ56" s="1631">
        <v>1100</v>
      </c>
      <c r="AK56" s="1631">
        <v>1100</v>
      </c>
      <c r="AL56" s="2995">
        <v>1100</v>
      </c>
      <c r="AM56" s="2995">
        <v>1100</v>
      </c>
      <c r="AN56" s="2995">
        <v>1100</v>
      </c>
      <c r="AO56" s="2995">
        <v>1100</v>
      </c>
      <c r="AP56" s="2995">
        <v>1100</v>
      </c>
      <c r="AQ56" s="2995">
        <v>1100</v>
      </c>
      <c r="AR56" s="2995">
        <v>1100</v>
      </c>
      <c r="AS56" s="2995">
        <v>1100</v>
      </c>
    </row>
    <row r="57" spans="1:45" ht="15">
      <c r="A57" s="93" t="s">
        <v>2945</v>
      </c>
      <c r="B57" s="91" t="s">
        <v>2946</v>
      </c>
      <c r="C57" s="2995">
        <v>80</v>
      </c>
      <c r="D57" s="1631">
        <v>80</v>
      </c>
      <c r="E57" s="1632">
        <v>80</v>
      </c>
      <c r="F57" s="1631">
        <v>80</v>
      </c>
      <c r="G57" s="1631">
        <v>80</v>
      </c>
      <c r="H57" s="1631">
        <v>80</v>
      </c>
      <c r="I57" s="1632">
        <v>80</v>
      </c>
      <c r="J57" s="1631">
        <v>80</v>
      </c>
      <c r="K57" s="1631">
        <v>80</v>
      </c>
      <c r="L57" s="1631">
        <v>80</v>
      </c>
      <c r="M57" s="1632">
        <v>80</v>
      </c>
      <c r="N57" s="1631">
        <v>80</v>
      </c>
      <c r="O57" s="1631">
        <v>80</v>
      </c>
      <c r="P57" s="1631">
        <v>80</v>
      </c>
      <c r="Q57" s="1632">
        <v>80</v>
      </c>
      <c r="R57" s="1631">
        <v>80</v>
      </c>
      <c r="S57" s="1631">
        <v>80</v>
      </c>
      <c r="T57" s="1631">
        <v>80</v>
      </c>
      <c r="U57" s="1632">
        <v>80</v>
      </c>
      <c r="V57" s="1633">
        <v>80</v>
      </c>
      <c r="W57" s="1633">
        <v>80</v>
      </c>
      <c r="X57" s="1633">
        <v>80</v>
      </c>
      <c r="Y57" s="1633">
        <v>80</v>
      </c>
      <c r="Z57" s="1633">
        <v>80</v>
      </c>
      <c r="AA57" s="1634">
        <v>80</v>
      </c>
      <c r="AB57" s="1631">
        <v>80</v>
      </c>
      <c r="AC57" s="1631">
        <v>80</v>
      </c>
      <c r="AD57" s="1631">
        <v>80</v>
      </c>
      <c r="AE57" s="1631">
        <v>80</v>
      </c>
      <c r="AF57" s="1631">
        <v>80</v>
      </c>
      <c r="AG57" s="1631">
        <v>80</v>
      </c>
      <c r="AH57" s="1631">
        <v>80</v>
      </c>
      <c r="AI57" s="1631">
        <v>80</v>
      </c>
      <c r="AJ57" s="1631">
        <v>80</v>
      </c>
      <c r="AK57" s="1631">
        <v>80</v>
      </c>
      <c r="AL57" s="2995">
        <v>80</v>
      </c>
      <c r="AM57" s="2995">
        <v>80</v>
      </c>
      <c r="AN57" s="2995">
        <v>80</v>
      </c>
      <c r="AO57" s="2995">
        <v>80</v>
      </c>
      <c r="AP57" s="2995">
        <v>80</v>
      </c>
      <c r="AQ57" s="2995">
        <v>80</v>
      </c>
      <c r="AR57" s="2995">
        <v>80</v>
      </c>
      <c r="AS57" s="2995">
        <v>80</v>
      </c>
    </row>
    <row r="58" spans="1:45" ht="15">
      <c r="A58" s="93" t="s">
        <v>2947</v>
      </c>
      <c r="B58" s="91" t="s">
        <v>2948</v>
      </c>
      <c r="C58" s="2995">
        <v>0</v>
      </c>
      <c r="D58" s="1631">
        <v>0</v>
      </c>
      <c r="E58" s="2996">
        <v>0</v>
      </c>
      <c r="F58" s="2995">
        <v>0</v>
      </c>
      <c r="G58" s="2995">
        <v>0</v>
      </c>
      <c r="H58" s="2995">
        <v>0</v>
      </c>
      <c r="I58" s="2996">
        <v>0</v>
      </c>
      <c r="J58" s="2995">
        <v>0</v>
      </c>
      <c r="K58" s="2995">
        <v>0</v>
      </c>
      <c r="L58" s="2995">
        <v>0</v>
      </c>
      <c r="M58" s="2996">
        <v>0</v>
      </c>
      <c r="N58" s="2995">
        <v>0</v>
      </c>
      <c r="O58" s="2995">
        <v>0</v>
      </c>
      <c r="P58" s="2995">
        <v>0</v>
      </c>
      <c r="Q58" s="2996">
        <v>0</v>
      </c>
      <c r="R58" s="2995">
        <v>0</v>
      </c>
      <c r="S58" s="2995">
        <v>0</v>
      </c>
      <c r="T58" s="2995">
        <v>0</v>
      </c>
      <c r="U58" s="2996">
        <v>0</v>
      </c>
      <c r="V58" s="2997">
        <v>0</v>
      </c>
      <c r="W58" s="2997">
        <v>0</v>
      </c>
      <c r="X58" s="2997">
        <v>0</v>
      </c>
      <c r="Y58" s="2997">
        <v>0</v>
      </c>
      <c r="Z58" s="2997">
        <v>0</v>
      </c>
      <c r="AA58" s="2999">
        <v>0</v>
      </c>
      <c r="AB58" s="2995">
        <v>0</v>
      </c>
      <c r="AC58" s="2995">
        <v>0</v>
      </c>
      <c r="AD58" s="2995">
        <v>0</v>
      </c>
      <c r="AE58" s="2995">
        <v>0</v>
      </c>
      <c r="AF58" s="2995">
        <v>0</v>
      </c>
      <c r="AG58" s="2995">
        <v>0</v>
      </c>
      <c r="AH58" s="2995">
        <v>0</v>
      </c>
      <c r="AI58" s="2995">
        <v>0</v>
      </c>
      <c r="AJ58" s="2995">
        <v>0</v>
      </c>
      <c r="AK58" s="2995">
        <v>0</v>
      </c>
      <c r="AL58" s="2995">
        <v>0</v>
      </c>
      <c r="AM58" s="2995">
        <v>0</v>
      </c>
      <c r="AN58" s="2995">
        <v>0</v>
      </c>
      <c r="AO58" s="2995">
        <v>0</v>
      </c>
      <c r="AP58" s="2995">
        <v>0</v>
      </c>
      <c r="AQ58" s="2995">
        <v>0</v>
      </c>
      <c r="AR58" s="2995">
        <v>0</v>
      </c>
      <c r="AS58" s="2995">
        <v>0</v>
      </c>
    </row>
    <row r="59" spans="1:45" ht="15">
      <c r="A59" s="93" t="s">
        <v>2949</v>
      </c>
      <c r="B59" s="91" t="s">
        <v>2950</v>
      </c>
      <c r="C59" s="2995">
        <v>0</v>
      </c>
      <c r="D59" s="1631">
        <v>0</v>
      </c>
      <c r="E59" s="2996">
        <v>0</v>
      </c>
      <c r="F59" s="1631">
        <v>0</v>
      </c>
      <c r="G59" s="1631">
        <v>0</v>
      </c>
      <c r="H59" s="1631">
        <v>0</v>
      </c>
      <c r="I59" s="2996">
        <v>0</v>
      </c>
      <c r="J59" s="1631">
        <v>0</v>
      </c>
      <c r="K59" s="1631">
        <v>0</v>
      </c>
      <c r="L59" s="1631">
        <v>0</v>
      </c>
      <c r="M59" s="2996">
        <v>0</v>
      </c>
      <c r="N59" s="1631">
        <v>0</v>
      </c>
      <c r="O59" s="1631">
        <v>0</v>
      </c>
      <c r="P59" s="1631">
        <v>0</v>
      </c>
      <c r="Q59" s="2996">
        <v>0</v>
      </c>
      <c r="R59" s="1631">
        <v>0</v>
      </c>
      <c r="S59" s="1631">
        <v>0</v>
      </c>
      <c r="T59" s="1631">
        <v>0</v>
      </c>
      <c r="U59" s="2996">
        <v>0</v>
      </c>
      <c r="V59" s="1633">
        <v>0</v>
      </c>
      <c r="W59" s="1633">
        <v>0</v>
      </c>
      <c r="X59" s="1633">
        <v>0</v>
      </c>
      <c r="Y59" s="1633">
        <v>0</v>
      </c>
      <c r="Z59" s="1633">
        <v>0</v>
      </c>
      <c r="AA59" s="1634">
        <v>0</v>
      </c>
      <c r="AB59" s="1631">
        <v>0</v>
      </c>
      <c r="AC59" s="1631">
        <v>0</v>
      </c>
      <c r="AD59" s="1631">
        <v>0</v>
      </c>
      <c r="AE59" s="1631">
        <v>0</v>
      </c>
      <c r="AF59" s="1631">
        <v>0</v>
      </c>
      <c r="AG59" s="1631">
        <v>0</v>
      </c>
      <c r="AH59" s="1631">
        <v>0</v>
      </c>
      <c r="AI59" s="1631">
        <v>0</v>
      </c>
      <c r="AJ59" s="1631">
        <v>0</v>
      </c>
      <c r="AK59" s="1631">
        <v>0</v>
      </c>
      <c r="AL59" s="1631">
        <v>0</v>
      </c>
      <c r="AM59" s="1631">
        <v>0</v>
      </c>
      <c r="AN59" s="1631">
        <v>0</v>
      </c>
      <c r="AO59" s="1631">
        <v>0</v>
      </c>
      <c r="AP59" s="1631">
        <v>0</v>
      </c>
      <c r="AQ59" s="1631">
        <v>0</v>
      </c>
      <c r="AR59" s="1631">
        <v>0</v>
      </c>
      <c r="AS59" s="1631">
        <v>0</v>
      </c>
    </row>
    <row r="60" spans="1:45" ht="15">
      <c r="A60" s="93" t="s">
        <v>2951</v>
      </c>
      <c r="B60" s="91" t="s">
        <v>2952</v>
      </c>
      <c r="C60" s="1626">
        <v>185</v>
      </c>
      <c r="D60" s="1631">
        <v>185</v>
      </c>
      <c r="E60" s="1632">
        <v>185</v>
      </c>
      <c r="F60" s="1631">
        <v>185</v>
      </c>
      <c r="G60" s="1631">
        <v>185</v>
      </c>
      <c r="H60" s="1631">
        <v>185</v>
      </c>
      <c r="I60" s="1632">
        <v>185</v>
      </c>
      <c r="J60" s="1631">
        <v>185</v>
      </c>
      <c r="K60" s="1631">
        <v>185</v>
      </c>
      <c r="L60" s="1631">
        <v>185</v>
      </c>
      <c r="M60" s="1632">
        <v>185</v>
      </c>
      <c r="N60" s="1631">
        <v>185</v>
      </c>
      <c r="O60" s="1631">
        <v>185</v>
      </c>
      <c r="P60" s="1631">
        <v>185</v>
      </c>
      <c r="Q60" s="1632">
        <v>185</v>
      </c>
      <c r="R60" s="1631">
        <v>185</v>
      </c>
      <c r="S60" s="1631">
        <v>185</v>
      </c>
      <c r="T60" s="1631">
        <v>185</v>
      </c>
      <c r="U60" s="1632">
        <v>185</v>
      </c>
      <c r="V60" s="1633">
        <v>185</v>
      </c>
      <c r="W60" s="1633">
        <v>185</v>
      </c>
      <c r="X60" s="1633">
        <v>185</v>
      </c>
      <c r="Y60" s="1633">
        <v>185</v>
      </c>
      <c r="Z60" s="1633">
        <v>185</v>
      </c>
      <c r="AA60" s="1634">
        <v>185</v>
      </c>
      <c r="AB60" s="1631">
        <v>185</v>
      </c>
      <c r="AC60" s="1631">
        <v>185</v>
      </c>
      <c r="AD60" s="1631">
        <v>185</v>
      </c>
      <c r="AE60" s="1631">
        <v>185</v>
      </c>
      <c r="AF60" s="1631">
        <v>185</v>
      </c>
      <c r="AG60" s="1631">
        <v>185</v>
      </c>
      <c r="AH60" s="1631">
        <v>185</v>
      </c>
      <c r="AI60" s="1631">
        <v>185</v>
      </c>
      <c r="AJ60" s="1631">
        <v>185</v>
      </c>
      <c r="AK60" s="1631">
        <v>185</v>
      </c>
      <c r="AL60" s="1631">
        <v>185</v>
      </c>
      <c r="AM60" s="1631">
        <v>185</v>
      </c>
      <c r="AN60" s="1631">
        <v>185</v>
      </c>
      <c r="AO60" s="1631">
        <v>185</v>
      </c>
      <c r="AP60" s="1631">
        <v>185</v>
      </c>
      <c r="AQ60" s="1631">
        <v>185</v>
      </c>
      <c r="AR60" s="1631">
        <v>185</v>
      </c>
      <c r="AS60" s="1631">
        <v>185</v>
      </c>
    </row>
    <row r="61" spans="1:45" ht="15">
      <c r="A61" s="93" t="s">
        <v>2953</v>
      </c>
      <c r="B61" s="91" t="s">
        <v>2954</v>
      </c>
      <c r="C61" s="1626">
        <v>5</v>
      </c>
      <c r="D61" s="1631">
        <v>5</v>
      </c>
      <c r="E61" s="1632">
        <v>5</v>
      </c>
      <c r="F61" s="1631">
        <v>5</v>
      </c>
      <c r="G61" s="1631">
        <v>5</v>
      </c>
      <c r="H61" s="1631">
        <v>5</v>
      </c>
      <c r="I61" s="1632">
        <v>5</v>
      </c>
      <c r="J61" s="1631">
        <v>5</v>
      </c>
      <c r="K61" s="1631">
        <v>5</v>
      </c>
      <c r="L61" s="1631">
        <v>5</v>
      </c>
      <c r="M61" s="1632">
        <v>5</v>
      </c>
      <c r="N61" s="1631">
        <v>5</v>
      </c>
      <c r="O61" s="1631">
        <v>5</v>
      </c>
      <c r="P61" s="1631">
        <v>5</v>
      </c>
      <c r="Q61" s="1632">
        <v>5</v>
      </c>
      <c r="R61" s="1631">
        <v>5</v>
      </c>
      <c r="S61" s="1631">
        <v>5</v>
      </c>
      <c r="T61" s="1631">
        <v>5</v>
      </c>
      <c r="U61" s="1632">
        <v>5</v>
      </c>
      <c r="V61" s="1633">
        <v>5</v>
      </c>
      <c r="W61" s="1633">
        <v>5</v>
      </c>
      <c r="X61" s="1633">
        <v>5</v>
      </c>
      <c r="Y61" s="1633">
        <v>5</v>
      </c>
      <c r="Z61" s="1633">
        <v>5</v>
      </c>
      <c r="AA61" s="1634">
        <v>5</v>
      </c>
      <c r="AB61" s="1631">
        <v>5</v>
      </c>
      <c r="AC61" s="1631">
        <v>5</v>
      </c>
      <c r="AD61" s="1631">
        <v>5</v>
      </c>
      <c r="AE61" s="1631">
        <v>5</v>
      </c>
      <c r="AF61" s="1631">
        <v>5</v>
      </c>
      <c r="AG61" s="1631">
        <v>5</v>
      </c>
      <c r="AH61" s="1631">
        <v>5</v>
      </c>
      <c r="AI61" s="1631">
        <v>5</v>
      </c>
      <c r="AJ61" s="1631">
        <v>5</v>
      </c>
      <c r="AK61" s="1631">
        <v>5</v>
      </c>
      <c r="AL61" s="1631">
        <v>5</v>
      </c>
      <c r="AM61" s="1631">
        <v>5</v>
      </c>
      <c r="AN61" s="1631">
        <v>5</v>
      </c>
      <c r="AO61" s="1631">
        <v>5</v>
      </c>
      <c r="AP61" s="1631">
        <v>5</v>
      </c>
      <c r="AQ61" s="1631">
        <v>5</v>
      </c>
      <c r="AR61" s="1631">
        <v>5</v>
      </c>
      <c r="AS61" s="1631">
        <v>5</v>
      </c>
    </row>
    <row r="62" spans="1:45" ht="15">
      <c r="A62" s="93" t="s">
        <v>2955</v>
      </c>
      <c r="B62" s="91" t="s">
        <v>3226</v>
      </c>
      <c r="C62" s="2995">
        <v>0</v>
      </c>
      <c r="D62" s="1631">
        <v>0</v>
      </c>
      <c r="E62" s="2996">
        <v>0</v>
      </c>
      <c r="F62" s="1631">
        <v>0</v>
      </c>
      <c r="G62" s="1631">
        <v>0</v>
      </c>
      <c r="H62" s="1631">
        <v>0</v>
      </c>
      <c r="I62" s="2996">
        <v>0</v>
      </c>
      <c r="J62" s="1631">
        <v>0</v>
      </c>
      <c r="K62" s="1631">
        <v>0</v>
      </c>
      <c r="L62" s="1631">
        <v>0</v>
      </c>
      <c r="M62" s="2996">
        <v>0</v>
      </c>
      <c r="N62" s="1631">
        <v>0</v>
      </c>
      <c r="O62" s="1631">
        <v>0</v>
      </c>
      <c r="P62" s="1631">
        <v>0</v>
      </c>
      <c r="Q62" s="2996">
        <v>0</v>
      </c>
      <c r="R62" s="1631">
        <v>0</v>
      </c>
      <c r="S62" s="1631">
        <v>0</v>
      </c>
      <c r="T62" s="1631">
        <v>0</v>
      </c>
      <c r="U62" s="2996">
        <v>0</v>
      </c>
      <c r="V62" s="1633">
        <v>0</v>
      </c>
      <c r="W62" s="1633">
        <v>0</v>
      </c>
      <c r="X62" s="1633">
        <v>0</v>
      </c>
      <c r="Y62" s="1633">
        <v>0</v>
      </c>
      <c r="Z62" s="1633">
        <v>0</v>
      </c>
      <c r="AA62" s="1634">
        <v>0</v>
      </c>
      <c r="AB62" s="1631">
        <v>0</v>
      </c>
      <c r="AC62" s="1631">
        <v>0</v>
      </c>
      <c r="AD62" s="1631">
        <v>0</v>
      </c>
      <c r="AE62" s="1631">
        <v>0</v>
      </c>
      <c r="AF62" s="1631">
        <v>0</v>
      </c>
      <c r="AG62" s="1631">
        <v>0</v>
      </c>
      <c r="AH62" s="1631">
        <v>0</v>
      </c>
      <c r="AI62" s="1631">
        <v>0</v>
      </c>
      <c r="AJ62" s="1631">
        <v>0</v>
      </c>
      <c r="AK62" s="1631">
        <v>0</v>
      </c>
      <c r="AL62" s="1631">
        <v>0</v>
      </c>
      <c r="AM62" s="1631">
        <v>0</v>
      </c>
      <c r="AN62" s="1631">
        <v>0</v>
      </c>
      <c r="AO62" s="1631">
        <v>0</v>
      </c>
      <c r="AP62" s="1631">
        <v>0</v>
      </c>
      <c r="AQ62" s="1631">
        <v>0</v>
      </c>
      <c r="AR62" s="1631">
        <v>0</v>
      </c>
      <c r="AS62" s="1631">
        <v>0</v>
      </c>
    </row>
    <row r="63" spans="1:45" ht="15">
      <c r="A63" s="93" t="s">
        <v>3227</v>
      </c>
      <c r="B63" s="91" t="s">
        <v>3228</v>
      </c>
      <c r="C63" s="2995">
        <v>0</v>
      </c>
      <c r="D63" s="1631">
        <v>0</v>
      </c>
      <c r="E63" s="2996">
        <v>0</v>
      </c>
      <c r="F63" s="1631">
        <v>0</v>
      </c>
      <c r="G63" s="1631">
        <v>0</v>
      </c>
      <c r="H63" s="1631">
        <v>0</v>
      </c>
      <c r="I63" s="2996">
        <v>0</v>
      </c>
      <c r="J63" s="1631">
        <v>0</v>
      </c>
      <c r="K63" s="1631">
        <v>0</v>
      </c>
      <c r="L63" s="1631">
        <v>0</v>
      </c>
      <c r="M63" s="2996">
        <v>0</v>
      </c>
      <c r="N63" s="1631">
        <v>0</v>
      </c>
      <c r="O63" s="1631">
        <v>0</v>
      </c>
      <c r="P63" s="1631">
        <v>0</v>
      </c>
      <c r="Q63" s="2996">
        <v>0</v>
      </c>
      <c r="R63" s="1631">
        <v>0</v>
      </c>
      <c r="S63" s="1631">
        <v>0</v>
      </c>
      <c r="T63" s="1631">
        <v>0</v>
      </c>
      <c r="U63" s="2996">
        <v>0</v>
      </c>
      <c r="V63" s="1633">
        <v>0</v>
      </c>
      <c r="W63" s="1633">
        <v>0</v>
      </c>
      <c r="X63" s="1633">
        <v>0</v>
      </c>
      <c r="Y63" s="1633">
        <v>0</v>
      </c>
      <c r="Z63" s="1633">
        <v>0</v>
      </c>
      <c r="AA63" s="1634">
        <v>0</v>
      </c>
      <c r="AB63" s="1631">
        <v>0</v>
      </c>
      <c r="AC63" s="1631">
        <v>0</v>
      </c>
      <c r="AD63" s="1631">
        <v>0</v>
      </c>
      <c r="AE63" s="1631">
        <v>0</v>
      </c>
      <c r="AF63" s="1631">
        <v>0</v>
      </c>
      <c r="AG63" s="1631">
        <v>0</v>
      </c>
      <c r="AH63" s="1631">
        <v>0</v>
      </c>
      <c r="AI63" s="1631">
        <v>0</v>
      </c>
      <c r="AJ63" s="1631">
        <v>0</v>
      </c>
      <c r="AK63" s="1631">
        <v>0</v>
      </c>
      <c r="AL63" s="1631">
        <v>0</v>
      </c>
      <c r="AM63" s="1631">
        <v>0</v>
      </c>
      <c r="AN63" s="1631">
        <v>0</v>
      </c>
      <c r="AO63" s="1631">
        <v>0</v>
      </c>
      <c r="AP63" s="1631">
        <v>0</v>
      </c>
      <c r="AQ63" s="1631">
        <v>0</v>
      </c>
      <c r="AR63" s="1631">
        <v>0</v>
      </c>
      <c r="AS63" s="1631">
        <v>0</v>
      </c>
    </row>
    <row r="64" spans="1:45" ht="15">
      <c r="A64" s="93" t="s">
        <v>3229</v>
      </c>
      <c r="B64" s="91" t="s">
        <v>3230</v>
      </c>
      <c r="C64" s="2995">
        <v>0</v>
      </c>
      <c r="D64" s="1631">
        <v>0</v>
      </c>
      <c r="E64" s="2996">
        <v>0</v>
      </c>
      <c r="F64" s="1631">
        <v>0</v>
      </c>
      <c r="G64" s="1631">
        <v>0</v>
      </c>
      <c r="H64" s="1631">
        <v>0</v>
      </c>
      <c r="I64" s="2996">
        <v>0</v>
      </c>
      <c r="J64" s="1631">
        <v>0</v>
      </c>
      <c r="K64" s="1631">
        <v>0</v>
      </c>
      <c r="L64" s="1631">
        <v>0</v>
      </c>
      <c r="M64" s="2996">
        <v>0</v>
      </c>
      <c r="N64" s="1631">
        <v>0</v>
      </c>
      <c r="O64" s="1631">
        <v>0</v>
      </c>
      <c r="P64" s="1631">
        <v>0</v>
      </c>
      <c r="Q64" s="2996">
        <v>0</v>
      </c>
      <c r="R64" s="1631">
        <v>0</v>
      </c>
      <c r="S64" s="1631">
        <v>0</v>
      </c>
      <c r="T64" s="1631">
        <v>0</v>
      </c>
      <c r="U64" s="2996">
        <v>0</v>
      </c>
      <c r="V64" s="1633">
        <v>0</v>
      </c>
      <c r="W64" s="1633">
        <v>0</v>
      </c>
      <c r="X64" s="1633">
        <v>0</v>
      </c>
      <c r="Y64" s="1633">
        <v>0</v>
      </c>
      <c r="Z64" s="1633">
        <v>0</v>
      </c>
      <c r="AA64" s="1634">
        <v>0</v>
      </c>
      <c r="AB64" s="1631">
        <v>0</v>
      </c>
      <c r="AC64" s="1631">
        <v>0</v>
      </c>
      <c r="AD64" s="1631">
        <v>0</v>
      </c>
      <c r="AE64" s="1631">
        <v>0</v>
      </c>
      <c r="AF64" s="1631">
        <v>0</v>
      </c>
      <c r="AG64" s="1631">
        <v>0</v>
      </c>
      <c r="AH64" s="1631">
        <v>0</v>
      </c>
      <c r="AI64" s="1631">
        <v>0</v>
      </c>
      <c r="AJ64" s="1631">
        <v>0</v>
      </c>
      <c r="AK64" s="1631">
        <v>0</v>
      </c>
      <c r="AL64" s="1631">
        <v>0</v>
      </c>
      <c r="AM64" s="1631">
        <v>0</v>
      </c>
      <c r="AN64" s="1631">
        <v>0</v>
      </c>
      <c r="AO64" s="1631">
        <v>0</v>
      </c>
      <c r="AP64" s="1631">
        <v>0</v>
      </c>
      <c r="AQ64" s="1631">
        <v>0</v>
      </c>
      <c r="AR64" s="1631">
        <v>0</v>
      </c>
      <c r="AS64" s="1631">
        <v>0</v>
      </c>
    </row>
    <row r="65" spans="1:45" ht="15">
      <c r="A65" s="93" t="s">
        <v>3231</v>
      </c>
      <c r="B65" s="91" t="s">
        <v>3232</v>
      </c>
      <c r="C65" s="2995">
        <v>0</v>
      </c>
      <c r="D65" s="1631">
        <v>0</v>
      </c>
      <c r="E65" s="2996">
        <v>0</v>
      </c>
      <c r="F65" s="1631">
        <v>0</v>
      </c>
      <c r="G65" s="1631">
        <v>0</v>
      </c>
      <c r="H65" s="1631">
        <v>0</v>
      </c>
      <c r="I65" s="2996">
        <v>0</v>
      </c>
      <c r="J65" s="1631">
        <v>0</v>
      </c>
      <c r="K65" s="1631">
        <v>0</v>
      </c>
      <c r="L65" s="1631">
        <v>0</v>
      </c>
      <c r="M65" s="2996">
        <v>0</v>
      </c>
      <c r="N65" s="1631">
        <v>0</v>
      </c>
      <c r="O65" s="1631">
        <v>0</v>
      </c>
      <c r="P65" s="1631">
        <v>0</v>
      </c>
      <c r="Q65" s="2996">
        <v>0</v>
      </c>
      <c r="R65" s="1631">
        <v>0</v>
      </c>
      <c r="S65" s="1631">
        <v>0</v>
      </c>
      <c r="T65" s="1631">
        <v>0</v>
      </c>
      <c r="U65" s="2996">
        <v>0</v>
      </c>
      <c r="V65" s="1633">
        <v>0</v>
      </c>
      <c r="W65" s="1633">
        <v>0</v>
      </c>
      <c r="X65" s="1633">
        <v>0</v>
      </c>
      <c r="Y65" s="1633">
        <v>0</v>
      </c>
      <c r="Z65" s="1633">
        <v>0</v>
      </c>
      <c r="AA65" s="1634">
        <v>0</v>
      </c>
      <c r="AB65" s="1631">
        <v>0</v>
      </c>
      <c r="AC65" s="1631">
        <v>0</v>
      </c>
      <c r="AD65" s="1631">
        <v>0</v>
      </c>
      <c r="AE65" s="1631">
        <v>0</v>
      </c>
      <c r="AF65" s="1631">
        <v>0</v>
      </c>
      <c r="AG65" s="1631">
        <v>0</v>
      </c>
      <c r="AH65" s="1631">
        <v>0</v>
      </c>
      <c r="AI65" s="1631">
        <v>0</v>
      </c>
      <c r="AJ65" s="1631">
        <v>0</v>
      </c>
      <c r="AK65" s="1631">
        <v>0</v>
      </c>
      <c r="AL65" s="1631">
        <v>0</v>
      </c>
      <c r="AM65" s="1631">
        <v>0</v>
      </c>
      <c r="AN65" s="1631">
        <v>0</v>
      </c>
      <c r="AO65" s="1631">
        <v>0</v>
      </c>
      <c r="AP65" s="1631">
        <v>0</v>
      </c>
      <c r="AQ65" s="1631">
        <v>0</v>
      </c>
      <c r="AR65" s="1631">
        <v>0</v>
      </c>
      <c r="AS65" s="1631">
        <v>0</v>
      </c>
    </row>
    <row r="66" spans="1:45" s="94" customFormat="1" ht="15">
      <c r="A66" s="93" t="s">
        <v>3233</v>
      </c>
      <c r="B66" s="91" t="s">
        <v>3234</v>
      </c>
      <c r="C66" s="2995">
        <v>0</v>
      </c>
      <c r="D66" s="1631">
        <v>0</v>
      </c>
      <c r="E66" s="2996">
        <v>0</v>
      </c>
      <c r="F66" s="1631">
        <v>0</v>
      </c>
      <c r="G66" s="1631">
        <v>0</v>
      </c>
      <c r="H66" s="1631">
        <v>0</v>
      </c>
      <c r="I66" s="2996">
        <v>0</v>
      </c>
      <c r="J66" s="1631">
        <v>0</v>
      </c>
      <c r="K66" s="1631">
        <v>0</v>
      </c>
      <c r="L66" s="1631">
        <v>0</v>
      </c>
      <c r="M66" s="2996">
        <v>0</v>
      </c>
      <c r="N66" s="1631">
        <v>0</v>
      </c>
      <c r="O66" s="1631">
        <v>0</v>
      </c>
      <c r="P66" s="1631">
        <v>0</v>
      </c>
      <c r="Q66" s="2996">
        <v>0</v>
      </c>
      <c r="R66" s="1631">
        <v>0</v>
      </c>
      <c r="S66" s="1631">
        <v>0</v>
      </c>
      <c r="T66" s="1631">
        <v>0</v>
      </c>
      <c r="U66" s="2996">
        <v>0</v>
      </c>
      <c r="V66" s="1633">
        <v>0</v>
      </c>
      <c r="W66" s="1633">
        <v>0</v>
      </c>
      <c r="X66" s="1633">
        <v>0</v>
      </c>
      <c r="Y66" s="1633">
        <v>0</v>
      </c>
      <c r="Z66" s="1633">
        <v>0</v>
      </c>
      <c r="AA66" s="1634">
        <v>0</v>
      </c>
      <c r="AB66" s="1631">
        <v>0</v>
      </c>
      <c r="AC66" s="1631">
        <v>0</v>
      </c>
      <c r="AD66" s="1631">
        <v>0</v>
      </c>
      <c r="AE66" s="1631">
        <v>0</v>
      </c>
      <c r="AF66" s="1631">
        <v>0</v>
      </c>
      <c r="AG66" s="1631">
        <v>0</v>
      </c>
      <c r="AH66" s="1631">
        <v>0</v>
      </c>
      <c r="AI66" s="1631">
        <v>0</v>
      </c>
      <c r="AJ66" s="1631">
        <v>0</v>
      </c>
      <c r="AK66" s="1631">
        <v>0</v>
      </c>
      <c r="AL66" s="1631">
        <v>0</v>
      </c>
      <c r="AM66" s="1631">
        <v>0</v>
      </c>
      <c r="AN66" s="1631">
        <v>0</v>
      </c>
      <c r="AO66" s="1631">
        <v>0</v>
      </c>
      <c r="AP66" s="1631">
        <v>0</v>
      </c>
      <c r="AQ66" s="1631">
        <v>0</v>
      </c>
      <c r="AR66" s="1631">
        <v>0</v>
      </c>
      <c r="AS66" s="1631">
        <v>0</v>
      </c>
    </row>
    <row r="67" spans="1:45" ht="15">
      <c r="A67" s="93" t="s">
        <v>1786</v>
      </c>
      <c r="B67" s="91" t="s">
        <v>1793</v>
      </c>
      <c r="C67" s="2995">
        <v>160</v>
      </c>
      <c r="D67" s="1631">
        <v>160</v>
      </c>
      <c r="E67" s="1632">
        <v>160</v>
      </c>
      <c r="F67" s="1631">
        <v>160</v>
      </c>
      <c r="G67" s="1631">
        <v>160</v>
      </c>
      <c r="H67" s="1631">
        <v>160</v>
      </c>
      <c r="I67" s="1632">
        <v>160</v>
      </c>
      <c r="J67" s="1631">
        <v>160</v>
      </c>
      <c r="K67" s="1631">
        <v>160</v>
      </c>
      <c r="L67" s="1631">
        <v>160</v>
      </c>
      <c r="M67" s="1632">
        <v>160</v>
      </c>
      <c r="N67" s="1631">
        <v>160</v>
      </c>
      <c r="O67" s="1631">
        <v>160</v>
      </c>
      <c r="P67" s="1631">
        <v>160</v>
      </c>
      <c r="Q67" s="1632">
        <v>160</v>
      </c>
      <c r="R67" s="1631">
        <v>160</v>
      </c>
      <c r="S67" s="1631">
        <v>160</v>
      </c>
      <c r="T67" s="1631">
        <v>160</v>
      </c>
      <c r="U67" s="1632">
        <v>160</v>
      </c>
      <c r="V67" s="1633">
        <v>160</v>
      </c>
      <c r="W67" s="1633">
        <v>160</v>
      </c>
      <c r="X67" s="1633">
        <v>160</v>
      </c>
      <c r="Y67" s="1633">
        <v>160</v>
      </c>
      <c r="Z67" s="1633">
        <v>160</v>
      </c>
      <c r="AA67" s="1634">
        <v>160</v>
      </c>
      <c r="AB67" s="1631">
        <v>160</v>
      </c>
      <c r="AC67" s="1631">
        <v>160</v>
      </c>
      <c r="AD67" s="1631">
        <v>160</v>
      </c>
      <c r="AE67" s="1631">
        <v>160</v>
      </c>
      <c r="AF67" s="1631">
        <v>160</v>
      </c>
      <c r="AG67" s="1631">
        <v>160</v>
      </c>
      <c r="AH67" s="1631">
        <v>160</v>
      </c>
      <c r="AI67" s="1631">
        <v>160</v>
      </c>
      <c r="AJ67" s="1631">
        <v>160</v>
      </c>
      <c r="AK67" s="1631">
        <v>160</v>
      </c>
      <c r="AL67" s="1631">
        <v>160</v>
      </c>
      <c r="AM67" s="1631">
        <v>160</v>
      </c>
      <c r="AN67" s="1631">
        <v>160</v>
      </c>
      <c r="AO67" s="1631">
        <v>160</v>
      </c>
      <c r="AP67" s="1631">
        <v>160</v>
      </c>
      <c r="AQ67" s="1631">
        <v>160</v>
      </c>
      <c r="AR67" s="1631">
        <v>160</v>
      </c>
      <c r="AS67" s="1631">
        <v>160</v>
      </c>
    </row>
    <row r="68" spans="1:45" ht="15">
      <c r="A68" s="93" t="s">
        <v>176</v>
      </c>
      <c r="B68" s="91" t="s">
        <v>177</v>
      </c>
      <c r="C68" s="2995">
        <v>250</v>
      </c>
      <c r="D68" s="1631">
        <v>250</v>
      </c>
      <c r="E68" s="1632">
        <v>250</v>
      </c>
      <c r="F68" s="1631">
        <v>250</v>
      </c>
      <c r="G68" s="1631">
        <v>250</v>
      </c>
      <c r="H68" s="1631">
        <v>250</v>
      </c>
      <c r="I68" s="1632">
        <v>250</v>
      </c>
      <c r="J68" s="1631">
        <v>250</v>
      </c>
      <c r="K68" s="1631">
        <v>250</v>
      </c>
      <c r="L68" s="1631">
        <v>250</v>
      </c>
      <c r="M68" s="1632">
        <v>250</v>
      </c>
      <c r="N68" s="1631">
        <v>250</v>
      </c>
      <c r="O68" s="1631">
        <v>250</v>
      </c>
      <c r="P68" s="1631">
        <v>250</v>
      </c>
      <c r="Q68" s="1632">
        <v>250</v>
      </c>
      <c r="R68" s="1631">
        <v>250</v>
      </c>
      <c r="S68" s="1631">
        <v>250</v>
      </c>
      <c r="T68" s="1631">
        <v>250</v>
      </c>
      <c r="U68" s="1632">
        <v>250</v>
      </c>
      <c r="V68" s="1633">
        <v>250</v>
      </c>
      <c r="W68" s="1633">
        <v>250</v>
      </c>
      <c r="X68" s="1633">
        <v>250</v>
      </c>
      <c r="Y68" s="1633">
        <v>250</v>
      </c>
      <c r="Z68" s="1633">
        <v>250</v>
      </c>
      <c r="AA68" s="1634">
        <v>250</v>
      </c>
      <c r="AB68" s="1631">
        <v>250</v>
      </c>
      <c r="AC68" s="1631">
        <v>250</v>
      </c>
      <c r="AD68" s="1631">
        <v>250</v>
      </c>
      <c r="AE68" s="1631">
        <v>250</v>
      </c>
      <c r="AF68" s="1631">
        <v>250</v>
      </c>
      <c r="AG68" s="1631">
        <v>250</v>
      </c>
      <c r="AH68" s="1631">
        <v>250</v>
      </c>
      <c r="AI68" s="1631">
        <v>250</v>
      </c>
      <c r="AJ68" s="1631">
        <v>250</v>
      </c>
      <c r="AK68" s="1631">
        <v>250</v>
      </c>
      <c r="AL68" s="1631">
        <v>250</v>
      </c>
      <c r="AM68" s="1631">
        <v>250</v>
      </c>
      <c r="AN68" s="1631">
        <v>250</v>
      </c>
      <c r="AO68" s="1631">
        <v>250</v>
      </c>
      <c r="AP68" s="1631">
        <v>250</v>
      </c>
      <c r="AQ68" s="1631">
        <v>250</v>
      </c>
      <c r="AR68" s="1631">
        <v>250</v>
      </c>
      <c r="AS68" s="1631">
        <v>250</v>
      </c>
    </row>
    <row r="69" spans="1:45" ht="15">
      <c r="A69" s="93" t="s">
        <v>178</v>
      </c>
      <c r="B69" s="91" t="s">
        <v>179</v>
      </c>
      <c r="C69" s="3003">
        <v>1500</v>
      </c>
      <c r="D69" s="1631">
        <v>1500</v>
      </c>
      <c r="E69" s="1632">
        <v>1500</v>
      </c>
      <c r="F69" s="1631">
        <v>1500</v>
      </c>
      <c r="G69" s="1631">
        <v>1500</v>
      </c>
      <c r="H69" s="1631">
        <v>1500</v>
      </c>
      <c r="I69" s="1632">
        <v>1500</v>
      </c>
      <c r="J69" s="1631">
        <v>2000</v>
      </c>
      <c r="K69" s="1631">
        <v>2000</v>
      </c>
      <c r="L69" s="1631">
        <v>2000</v>
      </c>
      <c r="M69" s="1632">
        <v>2000</v>
      </c>
      <c r="N69" s="1631">
        <v>2500</v>
      </c>
      <c r="O69" s="1631">
        <v>2500</v>
      </c>
      <c r="P69" s="1631">
        <v>2500</v>
      </c>
      <c r="Q69" s="1632">
        <v>2500</v>
      </c>
      <c r="R69" s="1631">
        <v>3000</v>
      </c>
      <c r="S69" s="1631">
        <v>3000</v>
      </c>
      <c r="T69" s="1631">
        <v>3000</v>
      </c>
      <c r="U69" s="1632">
        <v>3000</v>
      </c>
      <c r="V69" s="1633">
        <v>3000</v>
      </c>
      <c r="W69" s="1633">
        <v>3000</v>
      </c>
      <c r="X69" s="1633">
        <v>3000</v>
      </c>
      <c r="Y69" s="1633">
        <v>3000</v>
      </c>
      <c r="Z69" s="1633">
        <v>3000</v>
      </c>
      <c r="AA69" s="1634">
        <v>3000</v>
      </c>
      <c r="AB69" s="1631">
        <v>3000</v>
      </c>
      <c r="AC69" s="1631">
        <v>3000</v>
      </c>
      <c r="AD69" s="1631">
        <v>3000</v>
      </c>
      <c r="AE69" s="1631">
        <v>3000</v>
      </c>
      <c r="AF69" s="1631">
        <v>3000</v>
      </c>
      <c r="AG69" s="1631">
        <v>3000</v>
      </c>
      <c r="AH69" s="1631">
        <v>3000</v>
      </c>
      <c r="AI69" s="1631">
        <v>3000</v>
      </c>
      <c r="AJ69" s="1631">
        <v>3000</v>
      </c>
      <c r="AK69" s="1631">
        <v>3000</v>
      </c>
      <c r="AL69" s="1631">
        <v>3000</v>
      </c>
      <c r="AM69" s="1631">
        <v>3000</v>
      </c>
      <c r="AN69" s="1631">
        <v>3000</v>
      </c>
      <c r="AO69" s="1631">
        <v>3000</v>
      </c>
      <c r="AP69" s="1631">
        <v>3000</v>
      </c>
      <c r="AQ69" s="1631">
        <v>3000</v>
      </c>
      <c r="AR69" s="1631">
        <v>3000</v>
      </c>
      <c r="AS69" s="1631">
        <v>3000</v>
      </c>
    </row>
    <row r="70" spans="1:45" ht="15">
      <c r="A70" s="95" t="s">
        <v>1787</v>
      </c>
      <c r="B70" s="91" t="s">
        <v>1323</v>
      </c>
      <c r="C70" s="1626">
        <v>0</v>
      </c>
      <c r="D70" s="1631">
        <v>0</v>
      </c>
      <c r="E70" s="2996">
        <v>0</v>
      </c>
      <c r="F70" s="1631">
        <v>0</v>
      </c>
      <c r="G70" s="1631">
        <v>0</v>
      </c>
      <c r="H70" s="1631">
        <v>0</v>
      </c>
      <c r="I70" s="2996">
        <v>0</v>
      </c>
      <c r="J70" s="1631">
        <v>0</v>
      </c>
      <c r="K70" s="1631">
        <v>0</v>
      </c>
      <c r="L70" s="1631">
        <v>0</v>
      </c>
      <c r="M70" s="2996">
        <v>0</v>
      </c>
      <c r="N70" s="1631">
        <v>0</v>
      </c>
      <c r="O70" s="1631">
        <v>0</v>
      </c>
      <c r="P70" s="1631">
        <v>0</v>
      </c>
      <c r="Q70" s="2996">
        <v>0</v>
      </c>
      <c r="R70" s="1631">
        <v>0</v>
      </c>
      <c r="S70" s="1631">
        <v>0</v>
      </c>
      <c r="T70" s="1631">
        <v>0</v>
      </c>
      <c r="U70" s="2996">
        <v>0</v>
      </c>
      <c r="V70" s="1633">
        <v>0</v>
      </c>
      <c r="W70" s="1633">
        <v>0</v>
      </c>
      <c r="X70" s="1633">
        <v>0</v>
      </c>
      <c r="Y70" s="1633">
        <v>0</v>
      </c>
      <c r="Z70" s="1633">
        <v>0</v>
      </c>
      <c r="AA70" s="1634">
        <v>0</v>
      </c>
      <c r="AB70" s="1631">
        <v>0</v>
      </c>
      <c r="AC70" s="1631">
        <v>0</v>
      </c>
      <c r="AD70" s="1631">
        <v>0</v>
      </c>
      <c r="AE70" s="1631">
        <v>0</v>
      </c>
      <c r="AF70" s="1631">
        <v>0</v>
      </c>
      <c r="AG70" s="1631">
        <v>0</v>
      </c>
      <c r="AH70" s="1631">
        <v>0</v>
      </c>
      <c r="AI70" s="1631">
        <v>0</v>
      </c>
      <c r="AJ70" s="1631">
        <v>0</v>
      </c>
      <c r="AK70" s="1631">
        <v>0</v>
      </c>
      <c r="AL70" s="1631">
        <v>0</v>
      </c>
      <c r="AM70" s="1631">
        <v>0</v>
      </c>
      <c r="AN70" s="1631">
        <v>0</v>
      </c>
      <c r="AO70" s="1631">
        <v>0</v>
      </c>
      <c r="AP70" s="1631">
        <v>0</v>
      </c>
      <c r="AQ70" s="1631">
        <v>0</v>
      </c>
      <c r="AR70" s="1631">
        <v>0</v>
      </c>
      <c r="AS70" s="1631">
        <v>0</v>
      </c>
    </row>
    <row r="71" spans="1:45" ht="15">
      <c r="A71" s="90" t="s">
        <v>1788</v>
      </c>
      <c r="B71" s="91" t="s">
        <v>183</v>
      </c>
      <c r="C71" s="2995">
        <v>1010</v>
      </c>
      <c r="D71" s="1631">
        <v>1010</v>
      </c>
      <c r="E71" s="1632">
        <v>1010</v>
      </c>
      <c r="F71" s="1631">
        <v>1010</v>
      </c>
      <c r="G71" s="1631">
        <v>1010</v>
      </c>
      <c r="H71" s="1631">
        <v>1010</v>
      </c>
      <c r="I71" s="1632">
        <v>1010</v>
      </c>
      <c r="J71" s="1631">
        <v>1010</v>
      </c>
      <c r="K71" s="1631">
        <v>1010</v>
      </c>
      <c r="L71" s="1631">
        <v>1010</v>
      </c>
      <c r="M71" s="1632">
        <v>1010</v>
      </c>
      <c r="N71" s="1631">
        <v>1010</v>
      </c>
      <c r="O71" s="1631">
        <v>1010</v>
      </c>
      <c r="P71" s="1631">
        <v>1010</v>
      </c>
      <c r="Q71" s="1632">
        <v>1010</v>
      </c>
      <c r="R71" s="1631">
        <v>1010</v>
      </c>
      <c r="S71" s="1631">
        <v>1010</v>
      </c>
      <c r="T71" s="1631">
        <v>1010</v>
      </c>
      <c r="U71" s="1632">
        <v>1010</v>
      </c>
      <c r="V71" s="1633">
        <v>1010</v>
      </c>
      <c r="W71" s="1633">
        <v>1010</v>
      </c>
      <c r="X71" s="1633">
        <v>1010</v>
      </c>
      <c r="Y71" s="1633">
        <v>1010</v>
      </c>
      <c r="Z71" s="1633">
        <v>1010</v>
      </c>
      <c r="AA71" s="1634">
        <v>1010</v>
      </c>
      <c r="AB71" s="1631">
        <v>1010</v>
      </c>
      <c r="AC71" s="1631">
        <v>1010</v>
      </c>
      <c r="AD71" s="1631">
        <v>1010</v>
      </c>
      <c r="AE71" s="1631">
        <v>1010</v>
      </c>
      <c r="AF71" s="1631">
        <v>1010</v>
      </c>
      <c r="AG71" s="1631">
        <v>1010</v>
      </c>
      <c r="AH71" s="1631">
        <v>1010</v>
      </c>
      <c r="AI71" s="1631">
        <v>1010</v>
      </c>
      <c r="AJ71" s="1631">
        <v>1010</v>
      </c>
      <c r="AK71" s="1631">
        <v>1010</v>
      </c>
      <c r="AL71" s="1631">
        <v>1010</v>
      </c>
      <c r="AM71" s="1631">
        <v>1010</v>
      </c>
      <c r="AN71" s="1631">
        <v>1010</v>
      </c>
      <c r="AO71" s="1631">
        <v>1010</v>
      </c>
      <c r="AP71" s="1631">
        <v>1010</v>
      </c>
      <c r="AQ71" s="1631">
        <v>1010</v>
      </c>
      <c r="AR71" s="1631">
        <v>1010</v>
      </c>
      <c r="AS71" s="1631">
        <v>1010</v>
      </c>
    </row>
    <row r="72" spans="1:45" ht="15">
      <c r="A72" s="90" t="s">
        <v>1789</v>
      </c>
      <c r="B72" s="91" t="s">
        <v>3937</v>
      </c>
      <c r="C72" s="2995">
        <v>1290</v>
      </c>
      <c r="D72" s="1631">
        <v>1290</v>
      </c>
      <c r="E72" s="1632">
        <v>1290</v>
      </c>
      <c r="F72" s="1631">
        <v>1290</v>
      </c>
      <c r="G72" s="1631">
        <v>1290</v>
      </c>
      <c r="H72" s="1631">
        <v>1290</v>
      </c>
      <c r="I72" s="1632">
        <v>1290</v>
      </c>
      <c r="J72" s="1631">
        <v>1290</v>
      </c>
      <c r="K72" s="1631">
        <v>1290</v>
      </c>
      <c r="L72" s="1631">
        <v>1290</v>
      </c>
      <c r="M72" s="1632">
        <v>1290</v>
      </c>
      <c r="N72" s="1631">
        <v>1290</v>
      </c>
      <c r="O72" s="1631">
        <v>1290</v>
      </c>
      <c r="P72" s="1631">
        <v>1290</v>
      </c>
      <c r="Q72" s="1632">
        <v>1290</v>
      </c>
      <c r="R72" s="1631">
        <v>1290</v>
      </c>
      <c r="S72" s="1631">
        <v>1290</v>
      </c>
      <c r="T72" s="1631">
        <v>1290</v>
      </c>
      <c r="U72" s="1632">
        <v>1290</v>
      </c>
      <c r="V72" s="1633">
        <v>1290</v>
      </c>
      <c r="W72" s="1633">
        <v>1290</v>
      </c>
      <c r="X72" s="1633">
        <v>1290</v>
      </c>
      <c r="Y72" s="1633">
        <v>1290</v>
      </c>
      <c r="Z72" s="1633">
        <v>1290</v>
      </c>
      <c r="AA72" s="1634">
        <v>1290</v>
      </c>
      <c r="AB72" s="1631">
        <v>1290</v>
      </c>
      <c r="AC72" s="1631">
        <v>1290</v>
      </c>
      <c r="AD72" s="1631">
        <v>1290</v>
      </c>
      <c r="AE72" s="1631">
        <v>1290</v>
      </c>
      <c r="AF72" s="1631">
        <v>1290</v>
      </c>
      <c r="AG72" s="1631">
        <v>1290</v>
      </c>
      <c r="AH72" s="1631">
        <v>1290</v>
      </c>
      <c r="AI72" s="1631">
        <v>1290</v>
      </c>
      <c r="AJ72" s="1631">
        <v>1290</v>
      </c>
      <c r="AK72" s="1631">
        <v>1290</v>
      </c>
      <c r="AL72" s="1631">
        <v>1290</v>
      </c>
      <c r="AM72" s="1631">
        <v>1290</v>
      </c>
      <c r="AN72" s="1631">
        <v>1290</v>
      </c>
      <c r="AO72" s="1631">
        <v>1290</v>
      </c>
      <c r="AP72" s="1631">
        <v>1290</v>
      </c>
      <c r="AQ72" s="1631">
        <v>1290</v>
      </c>
      <c r="AR72" s="1631">
        <v>1290</v>
      </c>
      <c r="AS72" s="1631">
        <v>1290</v>
      </c>
    </row>
    <row r="73" spans="1:45" ht="15">
      <c r="A73" s="90" t="s">
        <v>1088</v>
      </c>
      <c r="B73" s="91" t="s">
        <v>3939</v>
      </c>
      <c r="C73" s="1631">
        <v>175</v>
      </c>
      <c r="D73" s="1631">
        <v>175</v>
      </c>
      <c r="E73" s="1632">
        <v>175</v>
      </c>
      <c r="F73" s="1631">
        <v>175</v>
      </c>
      <c r="G73" s="1631">
        <v>175</v>
      </c>
      <c r="H73" s="1631">
        <v>175</v>
      </c>
      <c r="I73" s="1632">
        <v>175</v>
      </c>
      <c r="J73" s="1631">
        <v>175</v>
      </c>
      <c r="K73" s="1631">
        <v>175</v>
      </c>
      <c r="L73" s="1631">
        <v>175</v>
      </c>
      <c r="M73" s="1632">
        <v>175</v>
      </c>
      <c r="N73" s="1631">
        <v>175</v>
      </c>
      <c r="O73" s="1631">
        <v>175</v>
      </c>
      <c r="P73" s="1631">
        <v>175</v>
      </c>
      <c r="Q73" s="1632">
        <v>175</v>
      </c>
      <c r="R73" s="1631">
        <v>175</v>
      </c>
      <c r="S73" s="1631">
        <v>175</v>
      </c>
      <c r="T73" s="1631">
        <v>175</v>
      </c>
      <c r="U73" s="1632">
        <v>175</v>
      </c>
      <c r="V73" s="1633">
        <v>175</v>
      </c>
      <c r="W73" s="1633">
        <v>175</v>
      </c>
      <c r="X73" s="1633">
        <v>175</v>
      </c>
      <c r="Y73" s="1633">
        <v>175</v>
      </c>
      <c r="Z73" s="1633">
        <v>175</v>
      </c>
      <c r="AA73" s="1634">
        <v>175</v>
      </c>
      <c r="AB73" s="1631">
        <v>175</v>
      </c>
      <c r="AC73" s="1631">
        <v>175</v>
      </c>
      <c r="AD73" s="1631">
        <v>175</v>
      </c>
      <c r="AE73" s="1631">
        <v>175</v>
      </c>
      <c r="AF73" s="1631">
        <v>175</v>
      </c>
      <c r="AG73" s="1631">
        <v>175</v>
      </c>
      <c r="AH73" s="1631">
        <v>175</v>
      </c>
      <c r="AI73" s="1631">
        <v>175</v>
      </c>
      <c r="AJ73" s="1631">
        <v>175</v>
      </c>
      <c r="AK73" s="1631">
        <v>175</v>
      </c>
      <c r="AL73" s="1631">
        <v>175</v>
      </c>
      <c r="AM73" s="1631">
        <v>175</v>
      </c>
      <c r="AN73" s="1631">
        <v>175</v>
      </c>
      <c r="AO73" s="1631">
        <v>175</v>
      </c>
      <c r="AP73" s="1631">
        <v>175</v>
      </c>
      <c r="AQ73" s="1631">
        <v>175</v>
      </c>
      <c r="AR73" s="1631">
        <v>175</v>
      </c>
      <c r="AS73" s="1631">
        <v>175</v>
      </c>
    </row>
    <row r="74" spans="1:45" ht="15">
      <c r="A74" s="93" t="s">
        <v>3940</v>
      </c>
      <c r="B74" s="91" t="s">
        <v>3941</v>
      </c>
      <c r="C74" s="1626">
        <v>110</v>
      </c>
      <c r="D74" s="1631">
        <v>110</v>
      </c>
      <c r="E74" s="1632">
        <v>110</v>
      </c>
      <c r="F74" s="1631">
        <v>110</v>
      </c>
      <c r="G74" s="1631">
        <v>110</v>
      </c>
      <c r="H74" s="1631">
        <v>110</v>
      </c>
      <c r="I74" s="1632">
        <v>110</v>
      </c>
      <c r="J74" s="1631">
        <v>110</v>
      </c>
      <c r="K74" s="1631">
        <v>110</v>
      </c>
      <c r="L74" s="1631">
        <v>110</v>
      </c>
      <c r="M74" s="1632">
        <v>110</v>
      </c>
      <c r="N74" s="1631">
        <v>110</v>
      </c>
      <c r="O74" s="1631">
        <v>110</v>
      </c>
      <c r="P74" s="1631">
        <v>110</v>
      </c>
      <c r="Q74" s="1632">
        <v>110</v>
      </c>
      <c r="R74" s="1631">
        <v>110</v>
      </c>
      <c r="S74" s="1631">
        <v>110</v>
      </c>
      <c r="T74" s="1631">
        <v>110</v>
      </c>
      <c r="U74" s="1632">
        <v>110</v>
      </c>
      <c r="V74" s="1633">
        <v>110</v>
      </c>
      <c r="W74" s="1633">
        <v>110</v>
      </c>
      <c r="X74" s="1633">
        <v>110</v>
      </c>
      <c r="Y74" s="1633">
        <v>110</v>
      </c>
      <c r="Z74" s="1633">
        <v>110</v>
      </c>
      <c r="AA74" s="1634">
        <v>110</v>
      </c>
      <c r="AB74" s="1631">
        <v>110</v>
      </c>
      <c r="AC74" s="1631">
        <v>110</v>
      </c>
      <c r="AD74" s="1631">
        <v>110</v>
      </c>
      <c r="AE74" s="1631">
        <v>110</v>
      </c>
      <c r="AF74" s="1631">
        <v>110</v>
      </c>
      <c r="AG74" s="1631">
        <v>110</v>
      </c>
      <c r="AH74" s="1631">
        <v>110</v>
      </c>
      <c r="AI74" s="1631">
        <v>110</v>
      </c>
      <c r="AJ74" s="1631">
        <v>110</v>
      </c>
      <c r="AK74" s="1631">
        <v>110</v>
      </c>
      <c r="AL74" s="1631">
        <v>110</v>
      </c>
      <c r="AM74" s="1631">
        <v>110</v>
      </c>
      <c r="AN74" s="1631">
        <v>110</v>
      </c>
      <c r="AO74" s="1631">
        <v>110</v>
      </c>
      <c r="AP74" s="1631">
        <v>110</v>
      </c>
      <c r="AQ74" s="1631">
        <v>110</v>
      </c>
      <c r="AR74" s="1631">
        <v>110</v>
      </c>
      <c r="AS74" s="1631">
        <v>110</v>
      </c>
    </row>
    <row r="75" spans="1:45" ht="15">
      <c r="A75" s="93" t="s">
        <v>3942</v>
      </c>
      <c r="B75" s="91" t="s">
        <v>3943</v>
      </c>
      <c r="C75" s="1626">
        <v>750</v>
      </c>
      <c r="D75" s="1631">
        <v>750</v>
      </c>
      <c r="E75" s="1632">
        <v>750</v>
      </c>
      <c r="F75" s="1631">
        <v>750</v>
      </c>
      <c r="G75" s="1631">
        <v>750</v>
      </c>
      <c r="H75" s="1631">
        <v>750</v>
      </c>
      <c r="I75" s="1632">
        <v>750</v>
      </c>
      <c r="J75" s="1631">
        <v>750</v>
      </c>
      <c r="K75" s="1631">
        <v>750</v>
      </c>
      <c r="L75" s="1631">
        <v>750</v>
      </c>
      <c r="M75" s="1632">
        <v>750</v>
      </c>
      <c r="N75" s="1631">
        <v>750</v>
      </c>
      <c r="O75" s="1631">
        <v>750</v>
      </c>
      <c r="P75" s="1631">
        <v>750</v>
      </c>
      <c r="Q75" s="1632">
        <v>750</v>
      </c>
      <c r="R75" s="1631">
        <v>750</v>
      </c>
      <c r="S75" s="1631">
        <v>750</v>
      </c>
      <c r="T75" s="1631">
        <v>750</v>
      </c>
      <c r="U75" s="1632">
        <v>750</v>
      </c>
      <c r="V75" s="1633">
        <v>750</v>
      </c>
      <c r="W75" s="1633">
        <v>750</v>
      </c>
      <c r="X75" s="1633">
        <v>750</v>
      </c>
      <c r="Y75" s="1633">
        <v>750</v>
      </c>
      <c r="Z75" s="1633">
        <v>750</v>
      </c>
      <c r="AA75" s="1634">
        <v>750</v>
      </c>
      <c r="AB75" s="1631">
        <v>750</v>
      </c>
      <c r="AC75" s="1631">
        <v>750</v>
      </c>
      <c r="AD75" s="1631">
        <v>750</v>
      </c>
      <c r="AE75" s="1631">
        <v>750</v>
      </c>
      <c r="AF75" s="1631">
        <v>750</v>
      </c>
      <c r="AG75" s="1631">
        <v>750</v>
      </c>
      <c r="AH75" s="1631">
        <v>750</v>
      </c>
      <c r="AI75" s="1631">
        <v>750</v>
      </c>
      <c r="AJ75" s="1631">
        <v>750</v>
      </c>
      <c r="AK75" s="1631">
        <v>750</v>
      </c>
      <c r="AL75" s="1631">
        <v>750</v>
      </c>
      <c r="AM75" s="1631">
        <v>750</v>
      </c>
      <c r="AN75" s="1631">
        <v>750</v>
      </c>
      <c r="AO75" s="1631">
        <v>750</v>
      </c>
      <c r="AP75" s="1631">
        <v>750</v>
      </c>
      <c r="AQ75" s="1631">
        <v>750</v>
      </c>
      <c r="AR75" s="1631">
        <v>750</v>
      </c>
      <c r="AS75" s="1631">
        <v>750</v>
      </c>
    </row>
    <row r="76" spans="1:45" ht="15">
      <c r="A76" s="93" t="s">
        <v>3944</v>
      </c>
      <c r="B76" s="91" t="s">
        <v>3945</v>
      </c>
      <c r="C76" s="2995">
        <v>0</v>
      </c>
      <c r="D76" s="1631">
        <v>0</v>
      </c>
      <c r="E76" s="2996">
        <v>0</v>
      </c>
      <c r="F76" s="1631">
        <v>0</v>
      </c>
      <c r="G76" s="1631">
        <v>0</v>
      </c>
      <c r="H76" s="1631">
        <v>0</v>
      </c>
      <c r="I76" s="2996">
        <v>0</v>
      </c>
      <c r="J76" s="1631">
        <v>0</v>
      </c>
      <c r="K76" s="1631">
        <v>0</v>
      </c>
      <c r="L76" s="1631">
        <v>0</v>
      </c>
      <c r="M76" s="2996">
        <v>0</v>
      </c>
      <c r="N76" s="1631">
        <v>0</v>
      </c>
      <c r="O76" s="1631">
        <v>0</v>
      </c>
      <c r="P76" s="1631">
        <v>0</v>
      </c>
      <c r="Q76" s="2996">
        <v>0</v>
      </c>
      <c r="R76" s="1631">
        <v>0</v>
      </c>
      <c r="S76" s="1631">
        <v>0</v>
      </c>
      <c r="T76" s="1631">
        <v>0</v>
      </c>
      <c r="U76" s="2996">
        <v>0</v>
      </c>
      <c r="V76" s="1633">
        <v>0</v>
      </c>
      <c r="W76" s="1633">
        <v>0</v>
      </c>
      <c r="X76" s="1633">
        <v>0</v>
      </c>
      <c r="Y76" s="1633">
        <v>0</v>
      </c>
      <c r="Z76" s="1633">
        <v>0</v>
      </c>
      <c r="AA76" s="1634">
        <v>0</v>
      </c>
      <c r="AB76" s="1631">
        <v>0</v>
      </c>
      <c r="AC76" s="1631">
        <v>0</v>
      </c>
      <c r="AD76" s="1631">
        <v>0</v>
      </c>
      <c r="AE76" s="1631">
        <v>0</v>
      </c>
      <c r="AF76" s="1631">
        <v>0</v>
      </c>
      <c r="AG76" s="1631">
        <v>0</v>
      </c>
      <c r="AH76" s="1631">
        <v>0</v>
      </c>
      <c r="AI76" s="1631">
        <v>0</v>
      </c>
      <c r="AJ76" s="1631">
        <v>0</v>
      </c>
      <c r="AK76" s="1631">
        <v>0</v>
      </c>
      <c r="AL76" s="1631">
        <v>0</v>
      </c>
      <c r="AM76" s="1631">
        <v>0</v>
      </c>
      <c r="AN76" s="1631">
        <v>0</v>
      </c>
      <c r="AO76" s="1631">
        <v>0</v>
      </c>
      <c r="AP76" s="1631">
        <v>0</v>
      </c>
      <c r="AQ76" s="1631">
        <v>0</v>
      </c>
      <c r="AR76" s="1631">
        <v>0</v>
      </c>
      <c r="AS76" s="1631">
        <v>0</v>
      </c>
    </row>
    <row r="77" spans="1:45" ht="15">
      <c r="A77" s="93" t="s">
        <v>3946</v>
      </c>
      <c r="B77" s="91" t="s">
        <v>3947</v>
      </c>
      <c r="C77" s="2995">
        <v>0</v>
      </c>
      <c r="D77" s="1631">
        <v>0</v>
      </c>
      <c r="E77" s="2996">
        <v>0</v>
      </c>
      <c r="F77" s="1631">
        <v>0</v>
      </c>
      <c r="G77" s="1631">
        <v>0</v>
      </c>
      <c r="H77" s="1631">
        <v>0</v>
      </c>
      <c r="I77" s="2996">
        <v>0</v>
      </c>
      <c r="J77" s="1631">
        <v>0</v>
      </c>
      <c r="K77" s="1631">
        <v>0</v>
      </c>
      <c r="L77" s="1631">
        <v>0</v>
      </c>
      <c r="M77" s="2996">
        <v>0</v>
      </c>
      <c r="N77" s="1631">
        <v>0</v>
      </c>
      <c r="O77" s="1631">
        <v>0</v>
      </c>
      <c r="P77" s="1631">
        <v>0</v>
      </c>
      <c r="Q77" s="2996">
        <v>0</v>
      </c>
      <c r="R77" s="1631">
        <v>0</v>
      </c>
      <c r="S77" s="1631">
        <v>0</v>
      </c>
      <c r="T77" s="1631">
        <v>0</v>
      </c>
      <c r="U77" s="2996">
        <v>0</v>
      </c>
      <c r="V77" s="1633">
        <v>0</v>
      </c>
      <c r="W77" s="1633">
        <v>0</v>
      </c>
      <c r="X77" s="1633">
        <v>0</v>
      </c>
      <c r="Y77" s="1633">
        <v>0</v>
      </c>
      <c r="Z77" s="1633">
        <v>0</v>
      </c>
      <c r="AA77" s="1634">
        <v>0</v>
      </c>
      <c r="AB77" s="1631">
        <v>0</v>
      </c>
      <c r="AC77" s="1631">
        <v>0</v>
      </c>
      <c r="AD77" s="1631">
        <v>0</v>
      </c>
      <c r="AE77" s="1631">
        <v>0</v>
      </c>
      <c r="AF77" s="1631">
        <v>0</v>
      </c>
      <c r="AG77" s="1631">
        <v>0</v>
      </c>
      <c r="AH77" s="1631">
        <v>0</v>
      </c>
      <c r="AI77" s="1631">
        <v>0</v>
      </c>
      <c r="AJ77" s="1631">
        <v>0</v>
      </c>
      <c r="AK77" s="1631">
        <v>0</v>
      </c>
      <c r="AL77" s="1631">
        <v>0</v>
      </c>
      <c r="AM77" s="1631">
        <v>0</v>
      </c>
      <c r="AN77" s="1631">
        <v>0</v>
      </c>
      <c r="AO77" s="1631">
        <v>0</v>
      </c>
      <c r="AP77" s="1631">
        <v>0</v>
      </c>
      <c r="AQ77" s="1631">
        <v>0</v>
      </c>
      <c r="AR77" s="1631">
        <v>0</v>
      </c>
      <c r="AS77" s="1631">
        <v>0</v>
      </c>
    </row>
    <row r="78" spans="1:45" ht="15">
      <c r="A78" s="93" t="s">
        <v>3948</v>
      </c>
      <c r="B78" s="91" t="s">
        <v>3949</v>
      </c>
      <c r="C78" s="1631">
        <v>1500</v>
      </c>
      <c r="D78" s="1631">
        <v>1500</v>
      </c>
      <c r="E78" s="1632">
        <v>1500</v>
      </c>
      <c r="F78" s="1631">
        <v>1500</v>
      </c>
      <c r="G78" s="1631">
        <v>1500</v>
      </c>
      <c r="H78" s="1631">
        <v>1500</v>
      </c>
      <c r="I78" s="1632">
        <v>1500</v>
      </c>
      <c r="J78" s="1631">
        <v>1500</v>
      </c>
      <c r="K78" s="1631">
        <v>1500</v>
      </c>
      <c r="L78" s="1631">
        <v>1500</v>
      </c>
      <c r="M78" s="1632">
        <v>1500</v>
      </c>
      <c r="N78" s="1631">
        <v>1500</v>
      </c>
      <c r="O78" s="1631">
        <v>1500</v>
      </c>
      <c r="P78" s="1631">
        <v>1500</v>
      </c>
      <c r="Q78" s="1632">
        <v>1500</v>
      </c>
      <c r="R78" s="1631">
        <v>1500</v>
      </c>
      <c r="S78" s="1631">
        <v>1500</v>
      </c>
      <c r="T78" s="1631">
        <v>1500</v>
      </c>
      <c r="U78" s="1632">
        <v>1500</v>
      </c>
      <c r="V78" s="1633">
        <v>1500</v>
      </c>
      <c r="W78" s="1633">
        <v>1500</v>
      </c>
      <c r="X78" s="1633">
        <v>1500</v>
      </c>
      <c r="Y78" s="1633">
        <v>1500</v>
      </c>
      <c r="Z78" s="1633">
        <v>1500</v>
      </c>
      <c r="AA78" s="1634">
        <v>1500</v>
      </c>
      <c r="AB78" s="1631">
        <v>1500</v>
      </c>
      <c r="AC78" s="1631">
        <v>1500</v>
      </c>
      <c r="AD78" s="1631">
        <v>1500</v>
      </c>
      <c r="AE78" s="1631">
        <v>1500</v>
      </c>
      <c r="AF78" s="1631">
        <v>1500</v>
      </c>
      <c r="AG78" s="1631">
        <v>1500</v>
      </c>
      <c r="AH78" s="1631">
        <v>1500</v>
      </c>
      <c r="AI78" s="1631">
        <v>1500</v>
      </c>
      <c r="AJ78" s="1631">
        <v>1500</v>
      </c>
      <c r="AK78" s="1631">
        <v>1500</v>
      </c>
      <c r="AL78" s="1631">
        <v>1500</v>
      </c>
      <c r="AM78" s="1631">
        <v>1500</v>
      </c>
      <c r="AN78" s="1631">
        <v>1500</v>
      </c>
      <c r="AO78" s="1631">
        <v>1500</v>
      </c>
      <c r="AP78" s="1631">
        <v>1500</v>
      </c>
      <c r="AQ78" s="1631">
        <v>1500</v>
      </c>
      <c r="AR78" s="1631">
        <v>1500</v>
      </c>
      <c r="AS78" s="1631">
        <v>1500</v>
      </c>
    </row>
    <row r="79" spans="1:45" ht="15">
      <c r="A79" s="93" t="s">
        <v>3950</v>
      </c>
      <c r="B79" s="91" t="s">
        <v>3951</v>
      </c>
      <c r="C79" s="1626">
        <v>200</v>
      </c>
      <c r="D79" s="1631">
        <v>200</v>
      </c>
      <c r="E79" s="1632">
        <v>200</v>
      </c>
      <c r="F79" s="1631">
        <v>200</v>
      </c>
      <c r="G79" s="1631">
        <v>200</v>
      </c>
      <c r="H79" s="1631">
        <v>200</v>
      </c>
      <c r="I79" s="1632">
        <v>200</v>
      </c>
      <c r="J79" s="1631">
        <v>200</v>
      </c>
      <c r="K79" s="1631">
        <v>200</v>
      </c>
      <c r="L79" s="1631">
        <v>200</v>
      </c>
      <c r="M79" s="1632">
        <v>200</v>
      </c>
      <c r="N79" s="1631">
        <v>200</v>
      </c>
      <c r="O79" s="1631">
        <v>200</v>
      </c>
      <c r="P79" s="1631">
        <v>200</v>
      </c>
      <c r="Q79" s="1632">
        <v>200</v>
      </c>
      <c r="R79" s="1631">
        <v>200</v>
      </c>
      <c r="S79" s="1631">
        <v>200</v>
      </c>
      <c r="T79" s="1631">
        <v>200</v>
      </c>
      <c r="U79" s="1632">
        <v>200</v>
      </c>
      <c r="V79" s="1633">
        <v>200</v>
      </c>
      <c r="W79" s="1633">
        <v>200</v>
      </c>
      <c r="X79" s="1633">
        <v>200</v>
      </c>
      <c r="Y79" s="1633">
        <v>200</v>
      </c>
      <c r="Z79" s="1633">
        <v>200</v>
      </c>
      <c r="AA79" s="1634">
        <v>200</v>
      </c>
      <c r="AB79" s="1631">
        <v>200</v>
      </c>
      <c r="AC79" s="1631">
        <v>200</v>
      </c>
      <c r="AD79" s="1631">
        <v>200</v>
      </c>
      <c r="AE79" s="1631">
        <v>200</v>
      </c>
      <c r="AF79" s="1631">
        <v>200</v>
      </c>
      <c r="AG79" s="1631">
        <v>200</v>
      </c>
      <c r="AH79" s="1631">
        <v>200</v>
      </c>
      <c r="AI79" s="1631">
        <v>200</v>
      </c>
      <c r="AJ79" s="1631">
        <v>200</v>
      </c>
      <c r="AK79" s="1631">
        <v>200</v>
      </c>
      <c r="AL79" s="1631">
        <v>200</v>
      </c>
      <c r="AM79" s="1631">
        <v>200</v>
      </c>
      <c r="AN79" s="1631">
        <v>200</v>
      </c>
      <c r="AO79" s="1631">
        <v>200</v>
      </c>
      <c r="AP79" s="1631">
        <v>200</v>
      </c>
      <c r="AQ79" s="1631">
        <v>200</v>
      </c>
      <c r="AR79" s="1631">
        <v>200</v>
      </c>
      <c r="AS79" s="1631">
        <v>200</v>
      </c>
    </row>
    <row r="80" spans="1:45" ht="15">
      <c r="A80" s="93" t="s">
        <v>1089</v>
      </c>
      <c r="B80" s="91" t="s">
        <v>2185</v>
      </c>
      <c r="C80" s="3002">
        <v>940</v>
      </c>
      <c r="D80" s="1631">
        <v>940</v>
      </c>
      <c r="E80" s="1632">
        <v>940</v>
      </c>
      <c r="F80" s="1631">
        <v>940</v>
      </c>
      <c r="G80" s="1631">
        <v>940</v>
      </c>
      <c r="H80" s="1631">
        <v>940</v>
      </c>
      <c r="I80" s="1632">
        <v>940</v>
      </c>
      <c r="J80" s="1631">
        <v>940</v>
      </c>
      <c r="K80" s="1631">
        <v>940</v>
      </c>
      <c r="L80" s="1631">
        <v>940</v>
      </c>
      <c r="M80" s="1632">
        <v>940</v>
      </c>
      <c r="N80" s="1631">
        <v>940</v>
      </c>
      <c r="O80" s="1631">
        <v>940</v>
      </c>
      <c r="P80" s="1631">
        <v>940</v>
      </c>
      <c r="Q80" s="1632">
        <v>940</v>
      </c>
      <c r="R80" s="1631">
        <v>940</v>
      </c>
      <c r="S80" s="1631">
        <v>940</v>
      </c>
      <c r="T80" s="1631">
        <v>940</v>
      </c>
      <c r="U80" s="1632">
        <v>940</v>
      </c>
      <c r="V80" s="1633">
        <v>940</v>
      </c>
      <c r="W80" s="1633">
        <v>940</v>
      </c>
      <c r="X80" s="1633">
        <v>940</v>
      </c>
      <c r="Y80" s="1633">
        <v>940</v>
      </c>
      <c r="Z80" s="1633">
        <v>940</v>
      </c>
      <c r="AA80" s="1634">
        <v>940</v>
      </c>
      <c r="AB80" s="1631">
        <v>940</v>
      </c>
      <c r="AC80" s="1631">
        <v>940</v>
      </c>
      <c r="AD80" s="1631">
        <v>940</v>
      </c>
      <c r="AE80" s="1631">
        <v>940</v>
      </c>
      <c r="AF80" s="1631">
        <v>940</v>
      </c>
      <c r="AG80" s="1631">
        <v>940</v>
      </c>
      <c r="AH80" s="1631">
        <v>940</v>
      </c>
      <c r="AI80" s="1631">
        <v>940</v>
      </c>
      <c r="AJ80" s="1631">
        <v>940</v>
      </c>
      <c r="AK80" s="1631">
        <v>940</v>
      </c>
      <c r="AL80" s="1631">
        <v>940</v>
      </c>
      <c r="AM80" s="1631">
        <v>940</v>
      </c>
      <c r="AN80" s="1631">
        <v>940</v>
      </c>
      <c r="AO80" s="1631">
        <v>940</v>
      </c>
      <c r="AP80" s="1631">
        <v>940</v>
      </c>
      <c r="AQ80" s="1631">
        <v>940</v>
      </c>
      <c r="AR80" s="1631">
        <v>940</v>
      </c>
      <c r="AS80" s="1631">
        <v>940</v>
      </c>
    </row>
    <row r="81" spans="1:45" ht="15">
      <c r="A81" s="93" t="s">
        <v>1856</v>
      </c>
      <c r="B81" s="91" t="s">
        <v>2604</v>
      </c>
      <c r="C81" s="3002">
        <v>155</v>
      </c>
      <c r="D81" s="1631">
        <v>155</v>
      </c>
      <c r="E81" s="1632">
        <v>155</v>
      </c>
      <c r="F81" s="1631">
        <v>155</v>
      </c>
      <c r="G81" s="1631">
        <v>155</v>
      </c>
      <c r="H81" s="1631">
        <v>155</v>
      </c>
      <c r="I81" s="1632">
        <v>155</v>
      </c>
      <c r="J81" s="1631">
        <v>155</v>
      </c>
      <c r="K81" s="1631">
        <v>155</v>
      </c>
      <c r="L81" s="1631">
        <v>155</v>
      </c>
      <c r="M81" s="1632">
        <v>155</v>
      </c>
      <c r="N81" s="1631">
        <v>155</v>
      </c>
      <c r="O81" s="1631">
        <v>155</v>
      </c>
      <c r="P81" s="1631">
        <v>155</v>
      </c>
      <c r="Q81" s="1632">
        <v>155</v>
      </c>
      <c r="R81" s="1631">
        <v>155</v>
      </c>
      <c r="S81" s="1631">
        <v>155</v>
      </c>
      <c r="T81" s="1631">
        <v>155</v>
      </c>
      <c r="U81" s="1632">
        <v>155</v>
      </c>
      <c r="V81" s="1633">
        <v>155</v>
      </c>
      <c r="W81" s="1633">
        <v>155</v>
      </c>
      <c r="X81" s="1633">
        <v>155</v>
      </c>
      <c r="Y81" s="1633">
        <v>155</v>
      </c>
      <c r="Z81" s="1633">
        <v>155</v>
      </c>
      <c r="AA81" s="1634">
        <v>155</v>
      </c>
      <c r="AB81" s="1631">
        <v>155</v>
      </c>
      <c r="AC81" s="1631">
        <v>155</v>
      </c>
      <c r="AD81" s="1631">
        <v>155</v>
      </c>
      <c r="AE81" s="1631">
        <v>155</v>
      </c>
      <c r="AF81" s="1631">
        <v>155</v>
      </c>
      <c r="AG81" s="1631">
        <v>155</v>
      </c>
      <c r="AH81" s="1631">
        <v>155</v>
      </c>
      <c r="AI81" s="1631">
        <v>155</v>
      </c>
      <c r="AJ81" s="1631">
        <v>155</v>
      </c>
      <c r="AK81" s="1631">
        <v>155</v>
      </c>
      <c r="AL81" s="1631">
        <v>155</v>
      </c>
      <c r="AM81" s="1631">
        <v>155</v>
      </c>
      <c r="AN81" s="1631">
        <v>155</v>
      </c>
      <c r="AO81" s="1631">
        <v>155</v>
      </c>
      <c r="AP81" s="1631">
        <v>155</v>
      </c>
      <c r="AQ81" s="1631">
        <v>155</v>
      </c>
      <c r="AR81" s="1631">
        <v>155</v>
      </c>
      <c r="AS81" s="1631">
        <v>155</v>
      </c>
    </row>
    <row r="82" spans="1:45" ht="15">
      <c r="A82" s="93" t="s">
        <v>2607</v>
      </c>
      <c r="B82" s="91" t="s">
        <v>2608</v>
      </c>
      <c r="C82" s="2995">
        <v>0</v>
      </c>
      <c r="D82" s="1631">
        <v>0</v>
      </c>
      <c r="E82" s="1632">
        <v>0</v>
      </c>
      <c r="F82" s="1631">
        <v>0</v>
      </c>
      <c r="G82" s="1631">
        <v>0</v>
      </c>
      <c r="H82" s="1631">
        <v>0</v>
      </c>
      <c r="I82" s="1632">
        <v>0</v>
      </c>
      <c r="J82" s="1631">
        <v>0</v>
      </c>
      <c r="K82" s="1631">
        <v>0</v>
      </c>
      <c r="L82" s="1631">
        <v>0</v>
      </c>
      <c r="M82" s="1632">
        <v>0</v>
      </c>
      <c r="N82" s="1631">
        <v>0</v>
      </c>
      <c r="O82" s="1631">
        <v>0</v>
      </c>
      <c r="P82" s="1631">
        <v>0</v>
      </c>
      <c r="Q82" s="1632">
        <v>0</v>
      </c>
      <c r="R82" s="1631">
        <v>0</v>
      </c>
      <c r="S82" s="1631">
        <v>0</v>
      </c>
      <c r="T82" s="1631">
        <v>0</v>
      </c>
      <c r="U82" s="1632">
        <v>0</v>
      </c>
      <c r="V82" s="1633">
        <v>0</v>
      </c>
      <c r="W82" s="1633">
        <v>0</v>
      </c>
      <c r="X82" s="1633">
        <v>0</v>
      </c>
      <c r="Y82" s="1633">
        <v>0</v>
      </c>
      <c r="Z82" s="1633">
        <v>0</v>
      </c>
      <c r="AA82" s="1634">
        <v>0</v>
      </c>
      <c r="AB82" s="1631">
        <v>0</v>
      </c>
      <c r="AC82" s="1631">
        <v>0</v>
      </c>
      <c r="AD82" s="1631">
        <v>0</v>
      </c>
      <c r="AE82" s="1631">
        <v>0</v>
      </c>
      <c r="AF82" s="1631">
        <v>0</v>
      </c>
      <c r="AG82" s="1631">
        <v>0</v>
      </c>
      <c r="AH82" s="1631">
        <v>0</v>
      </c>
      <c r="AI82" s="1631">
        <v>0</v>
      </c>
      <c r="AJ82" s="1631">
        <v>0</v>
      </c>
      <c r="AK82" s="1631">
        <v>0</v>
      </c>
      <c r="AL82" s="1631">
        <v>0</v>
      </c>
      <c r="AM82" s="1631">
        <v>0</v>
      </c>
      <c r="AN82" s="1631">
        <v>0</v>
      </c>
      <c r="AO82" s="1631">
        <v>0</v>
      </c>
      <c r="AP82" s="1631">
        <v>0</v>
      </c>
      <c r="AQ82" s="1631">
        <v>0</v>
      </c>
      <c r="AR82" s="1631">
        <v>0</v>
      </c>
      <c r="AS82" s="1631">
        <v>0</v>
      </c>
    </row>
    <row r="83" spans="1:45" ht="15">
      <c r="A83" s="93" t="s">
        <v>2609</v>
      </c>
      <c r="B83" s="91" t="s">
        <v>2610</v>
      </c>
      <c r="C83" s="1631">
        <v>125</v>
      </c>
      <c r="D83" s="1631">
        <v>125</v>
      </c>
      <c r="E83" s="1632">
        <v>125</v>
      </c>
      <c r="F83" s="1631">
        <v>125</v>
      </c>
      <c r="G83" s="1631">
        <v>125</v>
      </c>
      <c r="H83" s="1631">
        <v>125</v>
      </c>
      <c r="I83" s="1632">
        <v>125</v>
      </c>
      <c r="J83" s="1631">
        <v>125</v>
      </c>
      <c r="K83" s="1631">
        <v>125</v>
      </c>
      <c r="L83" s="1631">
        <v>125</v>
      </c>
      <c r="M83" s="1632">
        <v>125</v>
      </c>
      <c r="N83" s="1631">
        <v>125</v>
      </c>
      <c r="O83" s="1631">
        <v>125</v>
      </c>
      <c r="P83" s="1631">
        <v>125</v>
      </c>
      <c r="Q83" s="1632">
        <v>125</v>
      </c>
      <c r="R83" s="1631">
        <v>125</v>
      </c>
      <c r="S83" s="1631">
        <v>125</v>
      </c>
      <c r="T83" s="1631">
        <v>125</v>
      </c>
      <c r="U83" s="1632">
        <v>125</v>
      </c>
      <c r="V83" s="1633">
        <v>125</v>
      </c>
      <c r="W83" s="1633">
        <v>125</v>
      </c>
      <c r="X83" s="1633">
        <v>125</v>
      </c>
      <c r="Y83" s="1633">
        <v>125</v>
      </c>
      <c r="Z83" s="1633">
        <v>125</v>
      </c>
      <c r="AA83" s="1634">
        <v>125</v>
      </c>
      <c r="AB83" s="1631">
        <v>125</v>
      </c>
      <c r="AC83" s="1631">
        <v>125</v>
      </c>
      <c r="AD83" s="1631">
        <v>125</v>
      </c>
      <c r="AE83" s="1631">
        <v>125</v>
      </c>
      <c r="AF83" s="1631">
        <v>125</v>
      </c>
      <c r="AG83" s="1631">
        <v>125</v>
      </c>
      <c r="AH83" s="1631">
        <v>125</v>
      </c>
      <c r="AI83" s="1631">
        <v>125</v>
      </c>
      <c r="AJ83" s="1631">
        <v>125</v>
      </c>
      <c r="AK83" s="1631">
        <v>125</v>
      </c>
      <c r="AL83" s="1631">
        <v>125</v>
      </c>
      <c r="AM83" s="1631">
        <v>125</v>
      </c>
      <c r="AN83" s="1631">
        <v>125</v>
      </c>
      <c r="AO83" s="1631">
        <v>125</v>
      </c>
      <c r="AP83" s="1631">
        <v>125</v>
      </c>
      <c r="AQ83" s="1631">
        <v>125</v>
      </c>
      <c r="AR83" s="1631">
        <v>125</v>
      </c>
      <c r="AS83" s="1631">
        <v>125</v>
      </c>
    </row>
    <row r="84" spans="1:45" ht="15">
      <c r="A84" s="90" t="s">
        <v>2611</v>
      </c>
      <c r="B84" s="91" t="s">
        <v>2612</v>
      </c>
      <c r="C84" s="1631">
        <v>1600</v>
      </c>
      <c r="D84" s="1631">
        <v>1600</v>
      </c>
      <c r="E84" s="1632">
        <v>1600</v>
      </c>
      <c r="F84" s="1631">
        <v>1600</v>
      </c>
      <c r="G84" s="1631">
        <v>1600</v>
      </c>
      <c r="H84" s="1631">
        <v>1600</v>
      </c>
      <c r="I84" s="1632">
        <v>1600</v>
      </c>
      <c r="J84" s="1631">
        <v>1800</v>
      </c>
      <c r="K84" s="1631">
        <v>1800</v>
      </c>
      <c r="L84" s="1631">
        <v>1800</v>
      </c>
      <c r="M84" s="1632">
        <v>1800</v>
      </c>
      <c r="N84" s="1631">
        <v>1800</v>
      </c>
      <c r="O84" s="1631">
        <v>1800</v>
      </c>
      <c r="P84" s="1631">
        <v>1800</v>
      </c>
      <c r="Q84" s="1632">
        <v>1800</v>
      </c>
      <c r="R84" s="1631">
        <v>2000</v>
      </c>
      <c r="S84" s="1631">
        <v>2000</v>
      </c>
      <c r="T84" s="1631">
        <v>2000</v>
      </c>
      <c r="U84" s="1632">
        <v>2000</v>
      </c>
      <c r="V84" s="1633">
        <v>2000</v>
      </c>
      <c r="W84" s="1633">
        <v>2000</v>
      </c>
      <c r="X84" s="1633">
        <v>2000</v>
      </c>
      <c r="Y84" s="1633">
        <v>2000</v>
      </c>
      <c r="Z84" s="1633">
        <v>2000</v>
      </c>
      <c r="AA84" s="1635">
        <v>3500</v>
      </c>
      <c r="AB84" s="1631">
        <v>3500</v>
      </c>
      <c r="AC84" s="1631">
        <v>3500</v>
      </c>
      <c r="AD84" s="1631">
        <v>3500</v>
      </c>
      <c r="AE84" s="1631">
        <v>3500</v>
      </c>
      <c r="AF84" s="1631">
        <v>3500</v>
      </c>
      <c r="AG84" s="1631">
        <v>3500</v>
      </c>
      <c r="AH84" s="1631">
        <v>3500</v>
      </c>
      <c r="AI84" s="1631">
        <v>3500</v>
      </c>
      <c r="AJ84" s="1631">
        <v>3500</v>
      </c>
      <c r="AK84" s="1631">
        <v>4000</v>
      </c>
      <c r="AL84" s="1631">
        <v>4000</v>
      </c>
      <c r="AM84" s="1631">
        <v>4000</v>
      </c>
      <c r="AN84" s="1631">
        <v>4000</v>
      </c>
      <c r="AO84" s="1631">
        <v>4000</v>
      </c>
      <c r="AP84" s="1631">
        <v>4000</v>
      </c>
      <c r="AQ84" s="1631">
        <v>4000</v>
      </c>
      <c r="AR84" s="1631">
        <v>4000</v>
      </c>
      <c r="AS84" s="1631">
        <v>4000</v>
      </c>
    </row>
    <row r="85" spans="1:45" ht="15">
      <c r="A85" s="93" t="s">
        <v>2613</v>
      </c>
      <c r="B85" s="91" t="s">
        <v>2614</v>
      </c>
      <c r="C85" s="2995">
        <v>136.71</v>
      </c>
      <c r="D85" s="1631">
        <v>136.71</v>
      </c>
      <c r="E85" s="1632">
        <v>136.71</v>
      </c>
      <c r="F85" s="1631">
        <v>136.71</v>
      </c>
      <c r="G85" s="1631">
        <v>136.71</v>
      </c>
      <c r="H85" s="1631">
        <v>136.71</v>
      </c>
      <c r="I85" s="1632">
        <v>136.71</v>
      </c>
      <c r="J85" s="1631">
        <v>136.71</v>
      </c>
      <c r="K85" s="1631">
        <v>136.71</v>
      </c>
      <c r="L85" s="1631">
        <v>136.71</v>
      </c>
      <c r="M85" s="1632">
        <v>136.71</v>
      </c>
      <c r="N85" s="1631">
        <v>136.71</v>
      </c>
      <c r="O85" s="1631">
        <v>136.71</v>
      </c>
      <c r="P85" s="1631">
        <v>136.71</v>
      </c>
      <c r="Q85" s="1632">
        <v>136.71</v>
      </c>
      <c r="R85" s="1631">
        <v>136.71</v>
      </c>
      <c r="S85" s="1631">
        <v>136.71</v>
      </c>
      <c r="T85" s="1631">
        <v>136.71</v>
      </c>
      <c r="U85" s="1632">
        <v>136.71</v>
      </c>
      <c r="V85" s="1633">
        <v>136.71</v>
      </c>
      <c r="W85" s="1633">
        <v>136.71</v>
      </c>
      <c r="X85" s="1633">
        <v>136.71</v>
      </c>
      <c r="Y85" s="1633">
        <v>136.71</v>
      </c>
      <c r="Z85" s="1633">
        <v>136.71</v>
      </c>
      <c r="AA85" s="1634">
        <v>136.71</v>
      </c>
      <c r="AB85" s="1631">
        <v>136.71</v>
      </c>
      <c r="AC85" s="1631">
        <v>136.71</v>
      </c>
      <c r="AD85" s="1631">
        <v>136.71</v>
      </c>
      <c r="AE85" s="1631">
        <v>136.71</v>
      </c>
      <c r="AF85" s="1631">
        <v>136.71</v>
      </c>
      <c r="AG85" s="1631">
        <v>136.71</v>
      </c>
      <c r="AH85" s="1631">
        <v>136.71</v>
      </c>
      <c r="AI85" s="1631">
        <v>136.71</v>
      </c>
      <c r="AJ85" s="1631">
        <v>136.71</v>
      </c>
      <c r="AK85" s="1631">
        <v>136.71</v>
      </c>
      <c r="AL85" s="1631">
        <v>136.71</v>
      </c>
      <c r="AM85" s="1631">
        <v>136.71</v>
      </c>
      <c r="AN85" s="1631">
        <v>136.71</v>
      </c>
      <c r="AO85" s="1631">
        <v>136.71</v>
      </c>
      <c r="AP85" s="1631">
        <v>136.71</v>
      </c>
      <c r="AQ85" s="1631">
        <v>136.71</v>
      </c>
      <c r="AR85" s="1631">
        <v>136.71</v>
      </c>
      <c r="AS85" s="1631">
        <v>136.71</v>
      </c>
    </row>
    <row r="86" spans="1:45" ht="15">
      <c r="A86" s="93" t="s">
        <v>2615</v>
      </c>
      <c r="B86" s="91" t="s">
        <v>2616</v>
      </c>
      <c r="C86" s="2995">
        <v>3500</v>
      </c>
      <c r="D86" s="1631">
        <v>3500</v>
      </c>
      <c r="E86" s="1632">
        <v>3500</v>
      </c>
      <c r="F86" s="1631">
        <v>4500</v>
      </c>
      <c r="G86" s="1631">
        <v>4500</v>
      </c>
      <c r="H86" s="1631">
        <v>4500</v>
      </c>
      <c r="I86" s="1632">
        <v>4500</v>
      </c>
      <c r="J86" s="1631">
        <v>5500</v>
      </c>
      <c r="K86" s="1631">
        <v>5500</v>
      </c>
      <c r="L86" s="1631">
        <v>5500</v>
      </c>
      <c r="M86" s="1632">
        <v>5500</v>
      </c>
      <c r="N86" s="1631">
        <v>5500</v>
      </c>
      <c r="O86" s="1631">
        <v>5500</v>
      </c>
      <c r="P86" s="1631">
        <v>5500</v>
      </c>
      <c r="Q86" s="1632">
        <v>5500</v>
      </c>
      <c r="R86" s="1631">
        <v>6000</v>
      </c>
      <c r="S86" s="1631">
        <v>6000</v>
      </c>
      <c r="T86" s="1631">
        <v>6000</v>
      </c>
      <c r="U86" s="1632">
        <v>6000</v>
      </c>
      <c r="V86" s="1633">
        <v>6000</v>
      </c>
      <c r="W86" s="1633">
        <v>6000</v>
      </c>
      <c r="X86" s="1633">
        <v>6000</v>
      </c>
      <c r="Y86" s="1633">
        <v>6000</v>
      </c>
      <c r="Z86" s="1633">
        <v>6000</v>
      </c>
      <c r="AA86" s="1634">
        <v>6000</v>
      </c>
      <c r="AB86" s="1631">
        <v>6000</v>
      </c>
      <c r="AC86" s="1631">
        <v>6000</v>
      </c>
      <c r="AD86" s="1631">
        <v>6000</v>
      </c>
      <c r="AE86" s="1631">
        <v>6000</v>
      </c>
      <c r="AF86" s="1631">
        <v>6000</v>
      </c>
      <c r="AG86" s="1631">
        <v>6000</v>
      </c>
      <c r="AH86" s="1631">
        <v>6000</v>
      </c>
      <c r="AI86" s="1631">
        <v>6000</v>
      </c>
      <c r="AJ86" s="1631">
        <v>6000</v>
      </c>
      <c r="AK86" s="1631">
        <v>6000</v>
      </c>
      <c r="AL86" s="1631">
        <v>6000</v>
      </c>
      <c r="AM86" s="1631">
        <v>6000</v>
      </c>
      <c r="AN86" s="1631">
        <v>6000</v>
      </c>
      <c r="AO86" s="1631">
        <v>6000</v>
      </c>
      <c r="AP86" s="1631">
        <v>6000</v>
      </c>
      <c r="AQ86" s="1631">
        <v>6000</v>
      </c>
      <c r="AR86" s="1631">
        <v>6000</v>
      </c>
      <c r="AS86" s="1631">
        <v>6000</v>
      </c>
    </row>
    <row r="87" spans="1:45" ht="15">
      <c r="A87" s="93" t="s">
        <v>2617</v>
      </c>
      <c r="B87" s="91" t="s">
        <v>2618</v>
      </c>
      <c r="C87" s="2995">
        <v>100</v>
      </c>
      <c r="D87" s="1631">
        <v>100</v>
      </c>
      <c r="E87" s="1632">
        <v>100</v>
      </c>
      <c r="F87" s="1631">
        <v>100</v>
      </c>
      <c r="G87" s="1631">
        <v>100</v>
      </c>
      <c r="H87" s="1631">
        <v>100</v>
      </c>
      <c r="I87" s="1632">
        <v>100</v>
      </c>
      <c r="J87" s="1631">
        <v>100</v>
      </c>
      <c r="K87" s="1631">
        <v>100</v>
      </c>
      <c r="L87" s="1631">
        <v>100</v>
      </c>
      <c r="M87" s="1632">
        <v>100</v>
      </c>
      <c r="N87" s="1631">
        <v>100</v>
      </c>
      <c r="O87" s="1631">
        <v>100</v>
      </c>
      <c r="P87" s="1631">
        <v>100</v>
      </c>
      <c r="Q87" s="1632">
        <v>100</v>
      </c>
      <c r="R87" s="1631">
        <v>100</v>
      </c>
      <c r="S87" s="1631">
        <v>100</v>
      </c>
      <c r="T87" s="1631">
        <v>100</v>
      </c>
      <c r="U87" s="1632">
        <v>100</v>
      </c>
      <c r="V87" s="1633">
        <v>100</v>
      </c>
      <c r="W87" s="1633">
        <v>100</v>
      </c>
      <c r="X87" s="1633">
        <v>100</v>
      </c>
      <c r="Y87" s="1633">
        <v>100</v>
      </c>
      <c r="Z87" s="1633">
        <v>100</v>
      </c>
      <c r="AA87" s="1634">
        <v>100</v>
      </c>
      <c r="AB87" s="1631">
        <v>100</v>
      </c>
      <c r="AC87" s="1631">
        <v>100</v>
      </c>
      <c r="AD87" s="1631">
        <v>100</v>
      </c>
      <c r="AE87" s="1631">
        <v>100</v>
      </c>
      <c r="AF87" s="1631">
        <v>100</v>
      </c>
      <c r="AG87" s="1631">
        <v>100</v>
      </c>
      <c r="AH87" s="1631">
        <v>100</v>
      </c>
      <c r="AI87" s="1631">
        <v>100</v>
      </c>
      <c r="AJ87" s="1631">
        <v>100</v>
      </c>
      <c r="AK87" s="1631">
        <v>100</v>
      </c>
      <c r="AL87" s="1631">
        <v>100</v>
      </c>
      <c r="AM87" s="1631">
        <v>100</v>
      </c>
      <c r="AN87" s="1631">
        <v>100</v>
      </c>
      <c r="AO87" s="1631">
        <v>100</v>
      </c>
      <c r="AP87" s="1631">
        <v>100</v>
      </c>
      <c r="AQ87" s="1631">
        <v>100</v>
      </c>
      <c r="AR87" s="1631">
        <v>100</v>
      </c>
      <c r="AS87" s="1631">
        <v>100</v>
      </c>
    </row>
    <row r="88" spans="1:45" ht="15">
      <c r="A88" s="93" t="s">
        <v>2619</v>
      </c>
      <c r="B88" s="91" t="s">
        <v>2620</v>
      </c>
      <c r="C88" s="2995">
        <v>200</v>
      </c>
      <c r="D88" s="1631">
        <v>200</v>
      </c>
      <c r="E88" s="1632">
        <v>200</v>
      </c>
      <c r="F88" s="1631">
        <v>200</v>
      </c>
      <c r="G88" s="1631">
        <v>200</v>
      </c>
      <c r="H88" s="1631">
        <v>200</v>
      </c>
      <c r="I88" s="1632">
        <v>200</v>
      </c>
      <c r="J88" s="1631">
        <v>200</v>
      </c>
      <c r="K88" s="1631">
        <v>200</v>
      </c>
      <c r="L88" s="1631">
        <v>200</v>
      </c>
      <c r="M88" s="1632">
        <v>200</v>
      </c>
      <c r="N88" s="1631">
        <v>200</v>
      </c>
      <c r="O88" s="1631">
        <v>200</v>
      </c>
      <c r="P88" s="1631">
        <v>200</v>
      </c>
      <c r="Q88" s="1632">
        <v>200</v>
      </c>
      <c r="R88" s="1631">
        <v>200</v>
      </c>
      <c r="S88" s="1631">
        <v>200</v>
      </c>
      <c r="T88" s="1631">
        <v>200</v>
      </c>
      <c r="U88" s="1632">
        <v>200</v>
      </c>
      <c r="V88" s="1633">
        <v>200</v>
      </c>
      <c r="W88" s="1633">
        <v>200</v>
      </c>
      <c r="X88" s="1633">
        <v>200</v>
      </c>
      <c r="Y88" s="1633">
        <v>200</v>
      </c>
      <c r="Z88" s="1633">
        <v>200</v>
      </c>
      <c r="AA88" s="1634">
        <v>200</v>
      </c>
      <c r="AB88" s="1631">
        <v>200</v>
      </c>
      <c r="AC88" s="1631">
        <v>200</v>
      </c>
      <c r="AD88" s="1631">
        <v>200</v>
      </c>
      <c r="AE88" s="1631">
        <v>200</v>
      </c>
      <c r="AF88" s="1631">
        <v>200</v>
      </c>
      <c r="AG88" s="1631">
        <v>200</v>
      </c>
      <c r="AH88" s="1631">
        <v>200</v>
      </c>
      <c r="AI88" s="1631">
        <v>200</v>
      </c>
      <c r="AJ88" s="1631">
        <v>200</v>
      </c>
      <c r="AK88" s="1631">
        <v>200</v>
      </c>
      <c r="AL88" s="1631">
        <v>200</v>
      </c>
      <c r="AM88" s="1631">
        <v>200</v>
      </c>
      <c r="AN88" s="1631">
        <v>200</v>
      </c>
      <c r="AO88" s="1631">
        <v>200</v>
      </c>
      <c r="AP88" s="1631">
        <v>200</v>
      </c>
      <c r="AQ88" s="1631">
        <v>200</v>
      </c>
      <c r="AR88" s="1631">
        <v>200</v>
      </c>
      <c r="AS88" s="1631">
        <v>200</v>
      </c>
    </row>
    <row r="89" spans="1:45" ht="15">
      <c r="A89" s="93" t="s">
        <v>2621</v>
      </c>
      <c r="B89" s="91" t="s">
        <v>2622</v>
      </c>
      <c r="C89" s="2995">
        <v>175</v>
      </c>
      <c r="D89" s="1631">
        <v>175</v>
      </c>
      <c r="E89" s="1632">
        <v>175</v>
      </c>
      <c r="F89" s="1631">
        <v>175</v>
      </c>
      <c r="G89" s="1631">
        <v>175</v>
      </c>
      <c r="H89" s="1631">
        <v>175</v>
      </c>
      <c r="I89" s="1632">
        <v>175</v>
      </c>
      <c r="J89" s="1631">
        <v>175</v>
      </c>
      <c r="K89" s="1631">
        <v>175</v>
      </c>
      <c r="L89" s="1631">
        <v>175</v>
      </c>
      <c r="M89" s="1632">
        <v>175</v>
      </c>
      <c r="N89" s="1631">
        <v>175</v>
      </c>
      <c r="O89" s="1631">
        <v>175</v>
      </c>
      <c r="P89" s="1631">
        <v>175</v>
      </c>
      <c r="Q89" s="1632">
        <v>175</v>
      </c>
      <c r="R89" s="1631">
        <v>175</v>
      </c>
      <c r="S89" s="1631">
        <v>175</v>
      </c>
      <c r="T89" s="1631">
        <v>175</v>
      </c>
      <c r="U89" s="1632">
        <v>175</v>
      </c>
      <c r="V89" s="1633">
        <v>175</v>
      </c>
      <c r="W89" s="1633">
        <v>175</v>
      </c>
      <c r="X89" s="1633">
        <v>175</v>
      </c>
      <c r="Y89" s="1633">
        <v>175</v>
      </c>
      <c r="Z89" s="1633">
        <v>175</v>
      </c>
      <c r="AA89" s="1634">
        <v>175</v>
      </c>
      <c r="AB89" s="1631">
        <v>175</v>
      </c>
      <c r="AC89" s="1631">
        <v>175</v>
      </c>
      <c r="AD89" s="1631">
        <v>175</v>
      </c>
      <c r="AE89" s="1631">
        <v>175</v>
      </c>
      <c r="AF89" s="1631">
        <v>175</v>
      </c>
      <c r="AG89" s="1631">
        <v>175</v>
      </c>
      <c r="AH89" s="1631">
        <v>175</v>
      </c>
      <c r="AI89" s="1631">
        <v>175</v>
      </c>
      <c r="AJ89" s="1631">
        <v>175</v>
      </c>
      <c r="AK89" s="1631">
        <v>175</v>
      </c>
      <c r="AL89" s="1631">
        <v>175</v>
      </c>
      <c r="AM89" s="1631">
        <v>175</v>
      </c>
      <c r="AN89" s="1631">
        <v>175</v>
      </c>
      <c r="AO89" s="1631">
        <v>175</v>
      </c>
      <c r="AP89" s="1631">
        <v>175</v>
      </c>
      <c r="AQ89" s="1631">
        <v>175</v>
      </c>
      <c r="AR89" s="1631">
        <v>175</v>
      </c>
      <c r="AS89" s="1631">
        <v>175</v>
      </c>
    </row>
    <row r="90" spans="1:45" ht="15">
      <c r="A90" s="93" t="s">
        <v>2250</v>
      </c>
      <c r="B90" s="91" t="s">
        <v>2624</v>
      </c>
      <c r="C90" s="2995">
        <v>100</v>
      </c>
      <c r="D90" s="1631">
        <v>100</v>
      </c>
      <c r="E90" s="1632">
        <v>100</v>
      </c>
      <c r="F90" s="1631">
        <v>100</v>
      </c>
      <c r="G90" s="1631">
        <v>100</v>
      </c>
      <c r="H90" s="1631">
        <v>100</v>
      </c>
      <c r="I90" s="1632">
        <v>100</v>
      </c>
      <c r="J90" s="1631">
        <v>100</v>
      </c>
      <c r="K90" s="1631">
        <v>100</v>
      </c>
      <c r="L90" s="1631">
        <v>100</v>
      </c>
      <c r="M90" s="1632">
        <v>100</v>
      </c>
      <c r="N90" s="1631">
        <v>100</v>
      </c>
      <c r="O90" s="1631">
        <v>100</v>
      </c>
      <c r="P90" s="1631">
        <v>100</v>
      </c>
      <c r="Q90" s="1632">
        <v>100</v>
      </c>
      <c r="R90" s="1631">
        <v>100</v>
      </c>
      <c r="S90" s="1631">
        <v>100</v>
      </c>
      <c r="T90" s="1631">
        <v>100</v>
      </c>
      <c r="U90" s="1632">
        <v>100</v>
      </c>
      <c r="V90" s="1633">
        <v>100</v>
      </c>
      <c r="W90" s="1633">
        <v>100</v>
      </c>
      <c r="X90" s="1633">
        <v>100</v>
      </c>
      <c r="Y90" s="1633">
        <v>100</v>
      </c>
      <c r="Z90" s="1633">
        <v>100</v>
      </c>
      <c r="AA90" s="1634">
        <v>100</v>
      </c>
      <c r="AB90" s="1631">
        <v>100</v>
      </c>
      <c r="AC90" s="1631">
        <v>100</v>
      </c>
      <c r="AD90" s="1631">
        <v>100</v>
      </c>
      <c r="AE90" s="1631">
        <v>100</v>
      </c>
      <c r="AF90" s="1631">
        <v>100</v>
      </c>
      <c r="AG90" s="1631">
        <v>100</v>
      </c>
      <c r="AH90" s="1631">
        <v>100</v>
      </c>
      <c r="AI90" s="1631">
        <v>100</v>
      </c>
      <c r="AJ90" s="1631">
        <v>100</v>
      </c>
      <c r="AK90" s="1631">
        <v>100</v>
      </c>
      <c r="AL90" s="1631">
        <v>100</v>
      </c>
      <c r="AM90" s="1631">
        <v>100</v>
      </c>
      <c r="AN90" s="1631">
        <v>100</v>
      </c>
      <c r="AO90" s="1631">
        <v>100</v>
      </c>
      <c r="AP90" s="1631">
        <v>100</v>
      </c>
      <c r="AQ90" s="1631">
        <v>100</v>
      </c>
      <c r="AR90" s="1631">
        <v>100</v>
      </c>
      <c r="AS90" s="1631">
        <v>100</v>
      </c>
    </row>
    <row r="91" spans="1:45" ht="15">
      <c r="A91" s="93" t="s">
        <v>2625</v>
      </c>
      <c r="B91" s="91" t="s">
        <v>2626</v>
      </c>
      <c r="C91" s="2995">
        <v>0</v>
      </c>
      <c r="D91" s="1631">
        <v>0</v>
      </c>
      <c r="E91" s="2996">
        <v>0</v>
      </c>
      <c r="F91" s="1631">
        <v>0</v>
      </c>
      <c r="G91" s="1631">
        <v>0</v>
      </c>
      <c r="H91" s="1631">
        <v>0</v>
      </c>
      <c r="I91" s="2996">
        <v>0</v>
      </c>
      <c r="J91" s="1631">
        <v>0</v>
      </c>
      <c r="K91" s="1631">
        <v>0</v>
      </c>
      <c r="L91" s="1631">
        <v>0</v>
      </c>
      <c r="M91" s="2996">
        <v>0</v>
      </c>
      <c r="N91" s="1631">
        <v>0</v>
      </c>
      <c r="O91" s="1631">
        <v>0</v>
      </c>
      <c r="P91" s="1631">
        <v>0</v>
      </c>
      <c r="Q91" s="2996">
        <v>0</v>
      </c>
      <c r="R91" s="1631">
        <v>0</v>
      </c>
      <c r="S91" s="1631">
        <v>0</v>
      </c>
      <c r="T91" s="1631">
        <v>0</v>
      </c>
      <c r="U91" s="2996">
        <v>0</v>
      </c>
      <c r="V91" s="1633">
        <v>0</v>
      </c>
      <c r="W91" s="1633">
        <v>0</v>
      </c>
      <c r="X91" s="1633">
        <v>0</v>
      </c>
      <c r="Y91" s="1633">
        <v>0</v>
      </c>
      <c r="Z91" s="1633">
        <v>0</v>
      </c>
      <c r="AA91" s="1634">
        <v>0</v>
      </c>
      <c r="AB91" s="1631">
        <v>0</v>
      </c>
      <c r="AC91" s="1631">
        <v>0</v>
      </c>
      <c r="AD91" s="1631">
        <v>0</v>
      </c>
      <c r="AE91" s="1631">
        <v>0</v>
      </c>
      <c r="AF91" s="1631">
        <v>0</v>
      </c>
      <c r="AG91" s="1631">
        <v>0</v>
      </c>
      <c r="AH91" s="1631">
        <v>0</v>
      </c>
      <c r="AI91" s="1631">
        <v>0</v>
      </c>
      <c r="AJ91" s="1631">
        <v>0</v>
      </c>
      <c r="AK91" s="1631">
        <v>0</v>
      </c>
      <c r="AL91" s="1631">
        <v>0</v>
      </c>
      <c r="AM91" s="1631">
        <v>0</v>
      </c>
      <c r="AN91" s="1631">
        <v>0</v>
      </c>
      <c r="AO91" s="1631">
        <v>0</v>
      </c>
      <c r="AP91" s="1631">
        <v>0</v>
      </c>
      <c r="AQ91" s="1631">
        <v>0</v>
      </c>
      <c r="AR91" s="1631">
        <v>0</v>
      </c>
      <c r="AS91" s="1631">
        <v>0</v>
      </c>
    </row>
    <row r="92" spans="1:45" ht="15">
      <c r="A92" s="90" t="s">
        <v>2627</v>
      </c>
      <c r="B92" s="91" t="s">
        <v>2628</v>
      </c>
      <c r="C92" s="2995">
        <v>2200</v>
      </c>
      <c r="D92" s="1631">
        <v>2200</v>
      </c>
      <c r="E92" s="1632">
        <v>2200</v>
      </c>
      <c r="F92" s="1631">
        <v>2200</v>
      </c>
      <c r="G92" s="1631">
        <v>2200</v>
      </c>
      <c r="H92" s="1631">
        <v>2200</v>
      </c>
      <c r="I92" s="1632">
        <v>2200</v>
      </c>
      <c r="J92" s="2995">
        <v>2200</v>
      </c>
      <c r="K92" s="2995">
        <v>2200</v>
      </c>
      <c r="L92" s="2995">
        <v>2200</v>
      </c>
      <c r="M92" s="1632">
        <v>2200</v>
      </c>
      <c r="N92" s="1631">
        <v>2200</v>
      </c>
      <c r="O92" s="1631">
        <v>2200</v>
      </c>
      <c r="P92" s="1631">
        <v>2200</v>
      </c>
      <c r="Q92" s="1632">
        <v>2200</v>
      </c>
      <c r="R92" s="1631">
        <v>2200</v>
      </c>
      <c r="S92" s="1631">
        <v>2200</v>
      </c>
      <c r="T92" s="1631">
        <v>2200</v>
      </c>
      <c r="U92" s="1632">
        <v>2200</v>
      </c>
      <c r="V92" s="1633">
        <v>2200</v>
      </c>
      <c r="W92" s="1633">
        <v>2200</v>
      </c>
      <c r="X92" s="1633">
        <v>2200</v>
      </c>
      <c r="Y92" s="1633">
        <v>2200</v>
      </c>
      <c r="Z92" s="1633">
        <v>2200</v>
      </c>
      <c r="AA92" s="1634">
        <v>2200</v>
      </c>
      <c r="AB92" s="1631">
        <v>2200</v>
      </c>
      <c r="AC92" s="1631">
        <v>2200</v>
      </c>
      <c r="AD92" s="1631">
        <v>2200</v>
      </c>
      <c r="AE92" s="1631">
        <v>2200</v>
      </c>
      <c r="AF92" s="1631">
        <v>2200</v>
      </c>
      <c r="AG92" s="1631">
        <v>2200</v>
      </c>
      <c r="AH92" s="1631">
        <v>2200</v>
      </c>
      <c r="AI92" s="1631">
        <v>2200</v>
      </c>
      <c r="AJ92" s="1631">
        <v>2200</v>
      </c>
      <c r="AK92" s="1631">
        <v>2200</v>
      </c>
      <c r="AL92" s="1631">
        <v>2200</v>
      </c>
      <c r="AM92" s="1631">
        <v>2200</v>
      </c>
      <c r="AN92" s="1631">
        <v>2200</v>
      </c>
      <c r="AO92" s="1631">
        <v>2200</v>
      </c>
      <c r="AP92" s="1631">
        <v>2200</v>
      </c>
      <c r="AQ92" s="1631">
        <v>2200</v>
      </c>
      <c r="AR92" s="1631">
        <v>2200</v>
      </c>
      <c r="AS92" s="1631">
        <v>2200</v>
      </c>
    </row>
    <row r="93" spans="1:45" s="39" customFormat="1">
      <c r="A93" s="90" t="s">
        <v>2155</v>
      </c>
      <c r="B93" s="91" t="s">
        <v>2630</v>
      </c>
      <c r="C93" s="2995">
        <v>0</v>
      </c>
      <c r="D93" s="1631">
        <v>0</v>
      </c>
      <c r="E93" s="1632">
        <v>0</v>
      </c>
      <c r="F93" s="1631">
        <v>0</v>
      </c>
      <c r="G93" s="1631">
        <v>0</v>
      </c>
      <c r="H93" s="1631">
        <v>0</v>
      </c>
      <c r="I93" s="1632">
        <v>0</v>
      </c>
      <c r="J93" s="1631">
        <v>0</v>
      </c>
      <c r="K93" s="1631">
        <v>0</v>
      </c>
      <c r="L93" s="1631">
        <v>0</v>
      </c>
      <c r="M93" s="1632">
        <v>0</v>
      </c>
      <c r="N93" s="1631">
        <v>0</v>
      </c>
      <c r="O93" s="1631">
        <v>0</v>
      </c>
      <c r="P93" s="1631">
        <v>0</v>
      </c>
      <c r="Q93" s="1632">
        <v>0</v>
      </c>
      <c r="R93" s="1631">
        <v>0</v>
      </c>
      <c r="S93" s="1631">
        <v>0</v>
      </c>
      <c r="T93" s="1631">
        <v>0</v>
      </c>
      <c r="U93" s="1632">
        <v>0</v>
      </c>
      <c r="V93" s="1633">
        <v>0</v>
      </c>
      <c r="W93" s="1633">
        <v>0</v>
      </c>
      <c r="X93" s="1633">
        <v>0</v>
      </c>
      <c r="Y93" s="1633">
        <v>0</v>
      </c>
      <c r="Z93" s="1633">
        <v>0</v>
      </c>
      <c r="AA93" s="1634">
        <v>0</v>
      </c>
      <c r="AB93" s="1631">
        <v>0</v>
      </c>
      <c r="AC93" s="1631">
        <v>0</v>
      </c>
      <c r="AD93" s="1631">
        <v>0</v>
      </c>
      <c r="AE93" s="1631">
        <v>0</v>
      </c>
      <c r="AF93" s="1631">
        <v>0</v>
      </c>
      <c r="AG93" s="1631">
        <v>0</v>
      </c>
      <c r="AH93" s="1631">
        <v>0</v>
      </c>
      <c r="AI93" s="1631">
        <v>0</v>
      </c>
      <c r="AJ93" s="1631">
        <v>0</v>
      </c>
      <c r="AK93" s="1631">
        <v>0</v>
      </c>
      <c r="AL93" s="1631">
        <v>0</v>
      </c>
      <c r="AM93" s="1631">
        <v>0</v>
      </c>
      <c r="AN93" s="1631">
        <v>0</v>
      </c>
      <c r="AO93" s="1631">
        <v>0</v>
      </c>
      <c r="AP93" s="1631">
        <v>0</v>
      </c>
      <c r="AQ93" s="1631">
        <v>0</v>
      </c>
      <c r="AR93" s="1631">
        <v>0</v>
      </c>
      <c r="AS93" s="1631">
        <v>0</v>
      </c>
    </row>
    <row r="94" spans="1:45" ht="15">
      <c r="A94" s="93" t="s">
        <v>2251</v>
      </c>
      <c r="B94" s="91" t="s">
        <v>2632</v>
      </c>
      <c r="C94" s="2995">
        <v>905</v>
      </c>
      <c r="D94" s="1631">
        <v>905</v>
      </c>
      <c r="E94" s="1632">
        <v>905</v>
      </c>
      <c r="F94" s="1631">
        <v>905</v>
      </c>
      <c r="G94" s="1631">
        <v>905</v>
      </c>
      <c r="H94" s="1631">
        <v>905</v>
      </c>
      <c r="I94" s="1632">
        <v>905</v>
      </c>
      <c r="J94" s="1631">
        <v>905</v>
      </c>
      <c r="K94" s="1631">
        <v>905</v>
      </c>
      <c r="L94" s="1631">
        <v>905</v>
      </c>
      <c r="M94" s="1632">
        <v>905</v>
      </c>
      <c r="N94" s="1631">
        <v>905</v>
      </c>
      <c r="O94" s="1631">
        <v>905</v>
      </c>
      <c r="P94" s="1631">
        <v>905</v>
      </c>
      <c r="Q94" s="1632">
        <v>905</v>
      </c>
      <c r="R94" s="1631">
        <v>905</v>
      </c>
      <c r="S94" s="1631">
        <v>905</v>
      </c>
      <c r="T94" s="1631">
        <v>905</v>
      </c>
      <c r="U94" s="1632">
        <v>905</v>
      </c>
      <c r="V94" s="1633">
        <v>905</v>
      </c>
      <c r="W94" s="1633">
        <v>905</v>
      </c>
      <c r="X94" s="1633">
        <v>905</v>
      </c>
      <c r="Y94" s="1633">
        <v>905</v>
      </c>
      <c r="Z94" s="1633">
        <v>905</v>
      </c>
      <c r="AA94" s="1634">
        <v>905</v>
      </c>
      <c r="AB94" s="1631">
        <v>905</v>
      </c>
      <c r="AC94" s="1631">
        <v>905</v>
      </c>
      <c r="AD94" s="1631">
        <v>905</v>
      </c>
      <c r="AE94" s="1631">
        <v>905</v>
      </c>
      <c r="AF94" s="1631">
        <v>905</v>
      </c>
      <c r="AG94" s="1631">
        <v>905</v>
      </c>
      <c r="AH94" s="1631">
        <v>905</v>
      </c>
      <c r="AI94" s="1631">
        <v>905</v>
      </c>
      <c r="AJ94" s="1631">
        <v>905</v>
      </c>
      <c r="AK94" s="1631">
        <v>905</v>
      </c>
      <c r="AL94" s="1631">
        <v>905</v>
      </c>
      <c r="AM94" s="1631">
        <v>905</v>
      </c>
      <c r="AN94" s="1631">
        <v>905</v>
      </c>
      <c r="AO94" s="1631">
        <v>905</v>
      </c>
      <c r="AP94" s="1631">
        <v>905</v>
      </c>
      <c r="AQ94" s="1631">
        <v>905</v>
      </c>
      <c r="AR94" s="1631">
        <v>905</v>
      </c>
      <c r="AS94" s="1631">
        <v>905</v>
      </c>
    </row>
    <row r="95" spans="1:45" s="94" customFormat="1" ht="15">
      <c r="A95" s="95" t="s">
        <v>2633</v>
      </c>
      <c r="B95" s="91" t="s">
        <v>2634</v>
      </c>
      <c r="C95" s="2995">
        <v>17140</v>
      </c>
      <c r="D95" s="1631">
        <v>17140</v>
      </c>
      <c r="E95" s="1632">
        <v>17140</v>
      </c>
      <c r="F95" s="1631">
        <v>17595</v>
      </c>
      <c r="G95" s="1631">
        <v>17595</v>
      </c>
      <c r="H95" s="1631">
        <v>17595</v>
      </c>
      <c r="I95" s="1632">
        <v>17595</v>
      </c>
      <c r="J95" s="1631">
        <v>20200</v>
      </c>
      <c r="K95" s="1631">
        <v>20200</v>
      </c>
      <c r="L95" s="1631">
        <v>20200</v>
      </c>
      <c r="M95" s="1632">
        <v>20200</v>
      </c>
      <c r="N95" s="1631">
        <v>21380</v>
      </c>
      <c r="O95" s="1631">
        <v>21380</v>
      </c>
      <c r="P95" s="1631">
        <v>21380</v>
      </c>
      <c r="Q95" s="1632">
        <v>21380</v>
      </c>
      <c r="R95" s="1631">
        <v>23970</v>
      </c>
      <c r="S95" s="1631">
        <v>23970</v>
      </c>
      <c r="T95" s="1631">
        <v>23970</v>
      </c>
      <c r="U95" s="1632">
        <v>23970</v>
      </c>
      <c r="V95" s="1633">
        <v>23970</v>
      </c>
      <c r="W95" s="1633">
        <v>23970</v>
      </c>
      <c r="X95" s="1633">
        <v>23970</v>
      </c>
      <c r="Y95" s="1633">
        <v>23970</v>
      </c>
      <c r="Z95" s="1633">
        <v>23970</v>
      </c>
      <c r="AA95" s="1634">
        <v>23970</v>
      </c>
      <c r="AB95" s="1631">
        <v>23970</v>
      </c>
      <c r="AC95" s="1631">
        <v>23970</v>
      </c>
      <c r="AD95" s="1631">
        <v>23970</v>
      </c>
      <c r="AE95" s="1631">
        <v>23970</v>
      </c>
      <c r="AF95" s="1631">
        <v>23970</v>
      </c>
      <c r="AG95" s="1631">
        <v>23970</v>
      </c>
      <c r="AH95" s="1631">
        <v>23970</v>
      </c>
      <c r="AI95" s="1631">
        <v>23970</v>
      </c>
      <c r="AJ95" s="1631">
        <v>23970</v>
      </c>
      <c r="AK95" s="1631">
        <v>23970</v>
      </c>
      <c r="AL95" s="1631">
        <v>23970</v>
      </c>
      <c r="AM95" s="1631">
        <v>23970</v>
      </c>
      <c r="AN95" s="1631">
        <v>23970</v>
      </c>
      <c r="AO95" s="1631">
        <v>23970</v>
      </c>
      <c r="AP95" s="1631">
        <v>23970</v>
      </c>
      <c r="AQ95" s="1631">
        <v>23970</v>
      </c>
      <c r="AR95" s="1631">
        <v>23970</v>
      </c>
      <c r="AS95" s="1631">
        <v>23970</v>
      </c>
    </row>
    <row r="96" spans="1:45" ht="15">
      <c r="A96" s="93" t="s">
        <v>2637</v>
      </c>
      <c r="B96" s="91" t="s">
        <v>2638</v>
      </c>
      <c r="C96" s="1631">
        <v>16000</v>
      </c>
      <c r="D96" s="1631">
        <v>16000</v>
      </c>
      <c r="E96" s="1632">
        <v>16000</v>
      </c>
      <c r="F96" s="1631">
        <v>18500</v>
      </c>
      <c r="G96" s="1631">
        <v>18500</v>
      </c>
      <c r="H96" s="1631">
        <v>18500</v>
      </c>
      <c r="I96" s="1632">
        <v>18500</v>
      </c>
      <c r="J96" s="1631">
        <v>21000</v>
      </c>
      <c r="K96" s="1631">
        <v>21000</v>
      </c>
      <c r="L96" s="1631">
        <v>21000</v>
      </c>
      <c r="M96" s="1632">
        <v>21000</v>
      </c>
      <c r="N96" s="1631">
        <v>26000</v>
      </c>
      <c r="O96" s="1631">
        <v>26000</v>
      </c>
      <c r="P96" s="1631">
        <v>26000</v>
      </c>
      <c r="Q96" s="1632">
        <v>26000</v>
      </c>
      <c r="R96" s="1631">
        <v>29000</v>
      </c>
      <c r="S96" s="1631">
        <v>29000</v>
      </c>
      <c r="T96" s="1631">
        <v>29000</v>
      </c>
      <c r="U96" s="1632">
        <v>29000</v>
      </c>
      <c r="V96" s="1636">
        <v>29500</v>
      </c>
      <c r="W96" s="1636">
        <v>30000</v>
      </c>
      <c r="X96" s="1636">
        <v>30500</v>
      </c>
      <c r="Y96" s="1636">
        <v>31000</v>
      </c>
      <c r="Z96" s="1636">
        <v>31500</v>
      </c>
      <c r="AA96" s="1635">
        <v>32000</v>
      </c>
      <c r="AB96" s="1631">
        <v>32500</v>
      </c>
      <c r="AC96" s="1631">
        <v>33000</v>
      </c>
      <c r="AD96" s="1631">
        <v>33500</v>
      </c>
      <c r="AE96" s="1631">
        <v>34000</v>
      </c>
      <c r="AF96" s="1631">
        <v>34500</v>
      </c>
      <c r="AG96" s="1631">
        <v>35000</v>
      </c>
      <c r="AH96" s="1631">
        <v>35500</v>
      </c>
      <c r="AI96" s="1631">
        <v>36000</v>
      </c>
      <c r="AJ96" s="1631">
        <v>36500</v>
      </c>
      <c r="AK96" s="1631">
        <v>37000</v>
      </c>
      <c r="AL96" s="1631">
        <v>37500</v>
      </c>
      <c r="AM96" s="1631">
        <v>38000</v>
      </c>
      <c r="AN96" s="1631">
        <v>38500</v>
      </c>
      <c r="AO96" s="1631">
        <v>39000</v>
      </c>
      <c r="AP96" s="1631">
        <v>39500</v>
      </c>
      <c r="AQ96" s="1631">
        <v>40000</v>
      </c>
      <c r="AR96" s="1631">
        <v>40500</v>
      </c>
      <c r="AS96" s="1631">
        <v>41000</v>
      </c>
    </row>
    <row r="97" spans="1:45" ht="15">
      <c r="A97" s="93" t="s">
        <v>4253</v>
      </c>
      <c r="B97" s="91" t="s">
        <v>2640</v>
      </c>
      <c r="C97" s="1631">
        <v>4000</v>
      </c>
      <c r="D97" s="1631">
        <v>4000</v>
      </c>
      <c r="E97" s="1632">
        <v>4000</v>
      </c>
      <c r="F97" s="1631">
        <v>4500</v>
      </c>
      <c r="G97" s="1631">
        <v>4500</v>
      </c>
      <c r="H97" s="1631">
        <v>4500</v>
      </c>
      <c r="I97" s="1632">
        <v>4500</v>
      </c>
      <c r="J97" s="1631">
        <v>5000</v>
      </c>
      <c r="K97" s="1631">
        <v>5000</v>
      </c>
      <c r="L97" s="1631">
        <v>5000</v>
      </c>
      <c r="M97" s="1632">
        <v>5000</v>
      </c>
      <c r="N97" s="1631">
        <v>5500</v>
      </c>
      <c r="O97" s="1631">
        <v>5500</v>
      </c>
      <c r="P97" s="1631">
        <v>5500</v>
      </c>
      <c r="Q97" s="1632">
        <v>5500</v>
      </c>
      <c r="R97" s="1631">
        <v>6000</v>
      </c>
      <c r="S97" s="1631">
        <v>6000</v>
      </c>
      <c r="T97" s="1631">
        <v>6000</v>
      </c>
      <c r="U97" s="1632">
        <v>6000</v>
      </c>
      <c r="V97" s="1633">
        <v>6000</v>
      </c>
      <c r="W97" s="1633">
        <v>6000</v>
      </c>
      <c r="X97" s="1633">
        <v>6000</v>
      </c>
      <c r="Y97" s="1633">
        <v>6000</v>
      </c>
      <c r="Z97" s="1633">
        <v>6000</v>
      </c>
      <c r="AA97" s="1637">
        <v>6000</v>
      </c>
      <c r="AB97" s="1631">
        <v>3000</v>
      </c>
      <c r="AC97" s="1631">
        <v>3000</v>
      </c>
      <c r="AD97" s="1631">
        <v>3000</v>
      </c>
      <c r="AE97" s="1631">
        <v>3000</v>
      </c>
      <c r="AF97" s="1631">
        <v>3000</v>
      </c>
      <c r="AG97" s="1631">
        <v>3000</v>
      </c>
      <c r="AH97" s="1631">
        <v>3000</v>
      </c>
      <c r="AI97" s="1631">
        <v>3000</v>
      </c>
      <c r="AJ97" s="1631">
        <v>3000</v>
      </c>
      <c r="AK97" s="1631">
        <v>3000</v>
      </c>
      <c r="AL97" s="1631">
        <v>3000</v>
      </c>
      <c r="AM97" s="1631">
        <v>3000</v>
      </c>
      <c r="AN97" s="1631">
        <v>3000</v>
      </c>
      <c r="AO97" s="1631">
        <v>3000</v>
      </c>
      <c r="AP97" s="1631">
        <v>3000</v>
      </c>
      <c r="AQ97" s="1631">
        <v>3000</v>
      </c>
      <c r="AR97" s="1631">
        <v>3000</v>
      </c>
      <c r="AS97" s="1631">
        <v>3000</v>
      </c>
    </row>
    <row r="98" spans="1:45" ht="15">
      <c r="A98" s="93" t="s">
        <v>2641</v>
      </c>
      <c r="B98" s="91" t="s">
        <v>2642</v>
      </c>
      <c r="C98" s="2995">
        <v>3000</v>
      </c>
      <c r="D98" s="1631">
        <v>3000</v>
      </c>
      <c r="E98" s="1632">
        <v>3000</v>
      </c>
      <c r="F98" s="1631">
        <v>3000</v>
      </c>
      <c r="G98" s="1631">
        <v>3000</v>
      </c>
      <c r="H98" s="1631">
        <v>3000</v>
      </c>
      <c r="I98" s="1632">
        <v>3000</v>
      </c>
      <c r="J98" s="1631">
        <v>3000</v>
      </c>
      <c r="K98" s="1631">
        <v>3000</v>
      </c>
      <c r="L98" s="1631">
        <v>3000</v>
      </c>
      <c r="M98" s="1632">
        <v>3000</v>
      </c>
      <c r="N98" s="1631">
        <v>3000</v>
      </c>
      <c r="O98" s="1631">
        <v>3000</v>
      </c>
      <c r="P98" s="1631">
        <v>3000</v>
      </c>
      <c r="Q98" s="1632">
        <v>3000</v>
      </c>
      <c r="R98" s="1631">
        <v>3000</v>
      </c>
      <c r="S98" s="1631">
        <v>3000</v>
      </c>
      <c r="T98" s="1631">
        <v>3000</v>
      </c>
      <c r="U98" s="1632">
        <v>3000</v>
      </c>
      <c r="V98" s="1633">
        <v>3000</v>
      </c>
      <c r="W98" s="1633">
        <v>3000</v>
      </c>
      <c r="X98" s="1633">
        <v>3000</v>
      </c>
      <c r="Y98" s="1633">
        <v>3000</v>
      </c>
      <c r="Z98" s="1633">
        <v>3000</v>
      </c>
      <c r="AA98" s="1637">
        <v>3000</v>
      </c>
      <c r="AB98" s="2995">
        <v>3000</v>
      </c>
      <c r="AC98" s="2995">
        <v>3000</v>
      </c>
      <c r="AD98" s="2995">
        <v>3000</v>
      </c>
      <c r="AE98" s="2995">
        <v>3000</v>
      </c>
      <c r="AF98" s="2995">
        <v>3000</v>
      </c>
      <c r="AG98" s="2995">
        <v>3000</v>
      </c>
      <c r="AH98" s="2995">
        <v>3000</v>
      </c>
      <c r="AI98" s="2995">
        <v>3000</v>
      </c>
      <c r="AJ98" s="2995">
        <v>3000</v>
      </c>
      <c r="AK98" s="2995">
        <v>3000</v>
      </c>
      <c r="AL98" s="2995">
        <v>3000</v>
      </c>
      <c r="AM98" s="2995">
        <v>3000</v>
      </c>
      <c r="AN98" s="2995">
        <v>3000</v>
      </c>
      <c r="AO98" s="2995">
        <v>3000</v>
      </c>
      <c r="AP98" s="2995">
        <v>3000</v>
      </c>
      <c r="AQ98" s="2995">
        <v>3000</v>
      </c>
      <c r="AR98" s="2995">
        <v>3000</v>
      </c>
      <c r="AS98" s="2995">
        <v>3000</v>
      </c>
    </row>
    <row r="99" spans="1:45" ht="15">
      <c r="A99" s="93" t="s">
        <v>2643</v>
      </c>
      <c r="B99" s="91" t="s">
        <v>2644</v>
      </c>
      <c r="C99" s="2995">
        <v>0</v>
      </c>
      <c r="D99" s="1631">
        <v>0</v>
      </c>
      <c r="E99" s="2996">
        <v>0</v>
      </c>
      <c r="F99" s="1631">
        <v>0</v>
      </c>
      <c r="G99" s="1631">
        <v>0</v>
      </c>
      <c r="H99" s="1631">
        <v>0</v>
      </c>
      <c r="I99" s="2996">
        <v>0</v>
      </c>
      <c r="J99" s="1631">
        <v>0</v>
      </c>
      <c r="K99" s="1631">
        <v>0</v>
      </c>
      <c r="L99" s="1631">
        <v>0</v>
      </c>
      <c r="M99" s="2996">
        <v>0</v>
      </c>
      <c r="N99" s="1631">
        <v>0</v>
      </c>
      <c r="O99" s="1631">
        <v>0</v>
      </c>
      <c r="P99" s="1631">
        <v>0</v>
      </c>
      <c r="Q99" s="2996">
        <v>0</v>
      </c>
      <c r="R99" s="1631">
        <v>0</v>
      </c>
      <c r="S99" s="1631">
        <v>0</v>
      </c>
      <c r="T99" s="1631">
        <v>0</v>
      </c>
      <c r="U99" s="2996">
        <v>0</v>
      </c>
      <c r="V99" s="1633">
        <v>0</v>
      </c>
      <c r="W99" s="1633">
        <v>0</v>
      </c>
      <c r="X99" s="1633">
        <v>0</v>
      </c>
      <c r="Y99" s="1633">
        <v>0</v>
      </c>
      <c r="Z99" s="1633">
        <v>0</v>
      </c>
      <c r="AA99" s="1637">
        <v>0</v>
      </c>
      <c r="AB99" s="2995">
        <v>23</v>
      </c>
      <c r="AC99" s="2995">
        <v>23</v>
      </c>
      <c r="AD99" s="2995">
        <v>23</v>
      </c>
      <c r="AE99" s="2995">
        <v>23</v>
      </c>
      <c r="AF99" s="2995">
        <v>23</v>
      </c>
      <c r="AG99" s="2995">
        <v>23</v>
      </c>
      <c r="AH99" s="2995">
        <v>23</v>
      </c>
      <c r="AI99" s="2995">
        <v>23</v>
      </c>
      <c r="AJ99" s="2995">
        <v>23</v>
      </c>
      <c r="AK99" s="2995">
        <v>23</v>
      </c>
      <c r="AL99" s="2995">
        <v>23</v>
      </c>
      <c r="AM99" s="2995">
        <v>23</v>
      </c>
      <c r="AN99" s="2995">
        <v>23</v>
      </c>
      <c r="AO99" s="2995">
        <v>23</v>
      </c>
      <c r="AP99" s="2995">
        <v>23</v>
      </c>
      <c r="AQ99" s="2995">
        <v>23</v>
      </c>
      <c r="AR99" s="2995">
        <v>23</v>
      </c>
      <c r="AS99" s="2995">
        <v>23</v>
      </c>
    </row>
    <row r="100" spans="1:45" ht="15">
      <c r="A100" s="93" t="s">
        <v>2646</v>
      </c>
      <c r="B100" s="91" t="s">
        <v>2647</v>
      </c>
      <c r="C100" s="2995">
        <v>1600</v>
      </c>
      <c r="D100" s="1631">
        <v>1600</v>
      </c>
      <c r="E100" s="1632">
        <v>1600</v>
      </c>
      <c r="F100" s="1631">
        <v>1800</v>
      </c>
      <c r="G100" s="1631">
        <v>1800</v>
      </c>
      <c r="H100" s="1631">
        <v>1800</v>
      </c>
      <c r="I100" s="1632">
        <v>1800</v>
      </c>
      <c r="J100" s="1631">
        <v>2000</v>
      </c>
      <c r="K100" s="1631">
        <v>2000</v>
      </c>
      <c r="L100" s="1631">
        <v>2000</v>
      </c>
      <c r="M100" s="1632">
        <v>2000</v>
      </c>
      <c r="N100" s="1631">
        <v>2200</v>
      </c>
      <c r="O100" s="1631">
        <v>2200</v>
      </c>
      <c r="P100" s="1631">
        <v>2200</v>
      </c>
      <c r="Q100" s="1632">
        <v>2200</v>
      </c>
      <c r="R100" s="1631">
        <v>2400</v>
      </c>
      <c r="S100" s="1631">
        <v>2400</v>
      </c>
      <c r="T100" s="1631">
        <v>2400</v>
      </c>
      <c r="U100" s="1632">
        <v>2400</v>
      </c>
      <c r="V100" s="1636">
        <v>3500</v>
      </c>
      <c r="W100" s="1633">
        <v>3500</v>
      </c>
      <c r="X100" s="1633">
        <v>3500</v>
      </c>
      <c r="Y100" s="1633">
        <v>3500</v>
      </c>
      <c r="Z100" s="1633">
        <v>3500</v>
      </c>
      <c r="AA100" s="1637">
        <v>3500</v>
      </c>
      <c r="AB100" s="2995">
        <v>3500</v>
      </c>
      <c r="AC100" s="2995">
        <v>3500</v>
      </c>
      <c r="AD100" s="2995">
        <v>3500</v>
      </c>
      <c r="AE100" s="2995">
        <v>3500</v>
      </c>
      <c r="AF100" s="2995">
        <v>3500</v>
      </c>
      <c r="AG100" s="2995">
        <v>3500</v>
      </c>
      <c r="AH100" s="2995">
        <v>3500</v>
      </c>
      <c r="AI100" s="2995">
        <v>3500</v>
      </c>
      <c r="AJ100" s="2995">
        <v>3500</v>
      </c>
      <c r="AK100" s="2995">
        <v>3500</v>
      </c>
      <c r="AL100" s="2995">
        <v>3500</v>
      </c>
      <c r="AM100" s="2995">
        <v>3500</v>
      </c>
      <c r="AN100" s="2995">
        <v>3500</v>
      </c>
      <c r="AO100" s="2995">
        <v>3500</v>
      </c>
      <c r="AP100" s="2995">
        <v>3500</v>
      </c>
      <c r="AQ100" s="2995">
        <v>3500</v>
      </c>
      <c r="AR100" s="2995">
        <v>3500</v>
      </c>
      <c r="AS100" s="2995">
        <v>3500</v>
      </c>
    </row>
    <row r="101" spans="1:45" ht="15">
      <c r="A101" s="93" t="s">
        <v>2648</v>
      </c>
      <c r="B101" s="91" t="s">
        <v>2649</v>
      </c>
      <c r="C101" s="2995">
        <v>8000</v>
      </c>
      <c r="D101" s="1631">
        <v>8000</v>
      </c>
      <c r="E101" s="1632">
        <v>8000</v>
      </c>
      <c r="F101" s="1631">
        <v>8000</v>
      </c>
      <c r="G101" s="1631">
        <v>8000</v>
      </c>
      <c r="H101" s="1631">
        <v>8000</v>
      </c>
      <c r="I101" s="1632">
        <v>8000</v>
      </c>
      <c r="J101" s="1631">
        <v>8000</v>
      </c>
      <c r="K101" s="1631">
        <v>8000</v>
      </c>
      <c r="L101" s="1631">
        <v>8000</v>
      </c>
      <c r="M101" s="1632">
        <v>8000</v>
      </c>
      <c r="N101" s="1631">
        <v>8000</v>
      </c>
      <c r="O101" s="1631">
        <v>8000</v>
      </c>
      <c r="P101" s="1631">
        <v>8000</v>
      </c>
      <c r="Q101" s="1632">
        <v>8000</v>
      </c>
      <c r="R101" s="1631">
        <v>8000</v>
      </c>
      <c r="S101" s="1631">
        <v>8000</v>
      </c>
      <c r="T101" s="1631">
        <v>8000</v>
      </c>
      <c r="U101" s="1632">
        <v>8000</v>
      </c>
      <c r="V101" s="1633">
        <v>8000</v>
      </c>
      <c r="W101" s="1633">
        <v>8000</v>
      </c>
      <c r="X101" s="1633">
        <v>8000</v>
      </c>
      <c r="Y101" s="1633">
        <v>8000</v>
      </c>
      <c r="Z101" s="1633">
        <v>8000</v>
      </c>
      <c r="AA101" s="1637">
        <v>8000</v>
      </c>
      <c r="AB101" s="2995">
        <v>6500</v>
      </c>
      <c r="AC101" s="2995">
        <v>6500</v>
      </c>
      <c r="AD101" s="2995">
        <v>6500</v>
      </c>
      <c r="AE101" s="2995">
        <v>6500</v>
      </c>
      <c r="AF101" s="2995">
        <v>6500</v>
      </c>
      <c r="AG101" s="2995">
        <v>6500</v>
      </c>
      <c r="AH101" s="2995">
        <v>6500</v>
      </c>
      <c r="AI101" s="2995">
        <v>6500</v>
      </c>
      <c r="AJ101" s="2995">
        <v>6500</v>
      </c>
      <c r="AK101" s="2995">
        <v>6500</v>
      </c>
      <c r="AL101" s="2995">
        <v>6500</v>
      </c>
      <c r="AM101" s="2995">
        <v>6500</v>
      </c>
      <c r="AN101" s="2995">
        <v>6500</v>
      </c>
      <c r="AO101" s="2995">
        <v>6500</v>
      </c>
      <c r="AP101" s="2995">
        <v>6500</v>
      </c>
      <c r="AQ101" s="2995">
        <v>6500</v>
      </c>
      <c r="AR101" s="2995">
        <v>6500</v>
      </c>
      <c r="AS101" s="2995">
        <v>6500</v>
      </c>
    </row>
    <row r="106" spans="1:45" ht="12" customHeight="1"/>
  </sheetData>
  <sheetProtection sheet="1" objects="1" scenarios="1"/>
  <phoneticPr fontId="0" type="noConversion"/>
  <printOptions horizontalCentered="1"/>
  <pageMargins left="0.2" right="0.19" top="0.38" bottom="0.5" header="0.4" footer="0.26"/>
  <pageSetup scale="58" fitToHeight="6" orientation="landscape" r:id="rId1"/>
  <headerFooter alignWithMargins="0">
    <oddFooter>&amp;L&amp;F&amp;C&amp;P of &amp;N
&amp;R&amp;D  &amp;T</oddFooter>
  </headerFooter>
  <rowBreaks count="1" manualBreakCount="1">
    <brk id="101" max="8" man="1"/>
  </rowBreaks>
  <legacyDrawing r:id="rId2"/>
</worksheet>
</file>

<file path=xl/worksheets/sheet37.xml><?xml version="1.0" encoding="utf-8"?>
<worksheet xmlns="http://schemas.openxmlformats.org/spreadsheetml/2006/main" xmlns:r="http://schemas.openxmlformats.org/officeDocument/2006/relationships">
  <sheetPr codeName="Sheet24" enableFormatConditionsCalculation="0">
    <tabColor indexed="46"/>
    <pageSetUpPr autoPageBreaks="0" fitToPage="1"/>
  </sheetPr>
  <dimension ref="B2:AE66"/>
  <sheetViews>
    <sheetView showGridLines="0" zoomScale="75" zoomScaleNormal="90" workbookViewId="0"/>
  </sheetViews>
  <sheetFormatPr defaultRowHeight="12.75" outlineLevelRow="1" outlineLevelCol="1"/>
  <cols>
    <col min="1" max="1" width="2.7109375" customWidth="1"/>
    <col min="2" max="2" width="12.7109375" customWidth="1"/>
    <col min="3" max="3" width="6.7109375" customWidth="1"/>
    <col min="4" max="6" width="7.5703125" bestFit="1" customWidth="1"/>
    <col min="7" max="7" width="8" bestFit="1" customWidth="1"/>
    <col min="8" max="10" width="7.5703125" bestFit="1" customWidth="1"/>
    <col min="11" max="11" width="2.7109375" customWidth="1"/>
    <col min="12" max="12" width="12.7109375" customWidth="1" outlineLevel="1"/>
    <col min="13" max="13" width="6.7109375" customWidth="1" outlineLevel="1"/>
    <col min="14" max="16" width="7.5703125" customWidth="1" outlineLevel="1"/>
    <col min="17" max="17" width="8" customWidth="1" outlineLevel="1"/>
    <col min="18" max="20" width="7.5703125" customWidth="1" outlineLevel="1"/>
    <col min="21" max="21" width="2.7109375" customWidth="1"/>
    <col min="22" max="22" width="12.7109375" customWidth="1" outlineLevel="1"/>
    <col min="23" max="23" width="6.7109375" customWidth="1" outlineLevel="1"/>
    <col min="24" max="26" width="7.5703125" customWidth="1" outlineLevel="1"/>
    <col min="27" max="27" width="8" customWidth="1" outlineLevel="1"/>
    <col min="28" max="30" width="7.5703125" customWidth="1" outlineLevel="1"/>
    <col min="31" max="31" width="2.7109375" customWidth="1"/>
  </cols>
  <sheetData>
    <row r="2" spans="2:31">
      <c r="B2" s="2" t="s">
        <v>3159</v>
      </c>
    </row>
    <row r="4" spans="2:31">
      <c r="B4" s="61" t="s">
        <v>3324</v>
      </c>
      <c r="C4" s="62"/>
      <c r="D4" s="62"/>
      <c r="E4" s="62"/>
      <c r="F4" s="62"/>
      <c r="G4" s="62"/>
      <c r="H4" s="62"/>
      <c r="I4" s="62"/>
      <c r="J4" s="62"/>
      <c r="L4" s="61" t="s">
        <v>6</v>
      </c>
      <c r="M4" s="62"/>
      <c r="N4" s="62"/>
      <c r="O4" s="62"/>
      <c r="P4" s="62"/>
      <c r="Q4" s="62"/>
      <c r="R4" s="62"/>
      <c r="S4" s="62"/>
      <c r="T4" s="62"/>
      <c r="V4" s="61" t="s">
        <v>1402</v>
      </c>
      <c r="W4" s="62"/>
      <c r="X4" s="62"/>
      <c r="Y4" s="62"/>
      <c r="Z4" s="62"/>
      <c r="AA4" s="62"/>
      <c r="AB4" s="62"/>
      <c r="AC4" s="62"/>
      <c r="AD4" s="62"/>
    </row>
    <row r="5" spans="2:31">
      <c r="B5" s="1221" t="str">
        <f>IF($E$55=0,"(No ICHD patients)","")</f>
        <v/>
      </c>
      <c r="C5" s="1220"/>
      <c r="D5" s="1220"/>
      <c r="E5" s="1220"/>
      <c r="F5" s="1220"/>
      <c r="G5" s="1220"/>
      <c r="H5" s="1220"/>
      <c r="I5" s="1220"/>
      <c r="J5" s="1220"/>
      <c r="L5" s="1221" t="str">
        <f>IF($E$56=0,"(No PD patients)","")</f>
        <v/>
      </c>
      <c r="M5" s="1220"/>
      <c r="N5" s="1220"/>
      <c r="O5" s="1220"/>
      <c r="P5" s="1220"/>
      <c r="Q5" s="1220"/>
      <c r="R5" s="1220"/>
      <c r="S5" s="1220"/>
      <c r="T5" s="1220"/>
      <c r="V5" s="1221" t="str">
        <f>IF($E$57=0,"(No HHD patients)","")</f>
        <v/>
      </c>
      <c r="W5" s="1220"/>
      <c r="X5" s="1220"/>
      <c r="Y5" s="1220"/>
      <c r="Z5" s="1220"/>
      <c r="AA5" s="1220"/>
      <c r="AB5" s="1220"/>
      <c r="AC5" s="1220"/>
      <c r="AD5" s="1220"/>
    </row>
    <row r="7" spans="2:31">
      <c r="B7" s="2499"/>
      <c r="C7" s="2499"/>
      <c r="D7" s="2500" t="s">
        <v>1383</v>
      </c>
      <c r="E7" s="2501"/>
      <c r="F7" s="2502"/>
      <c r="G7" s="2502"/>
      <c r="H7" s="2502"/>
      <c r="I7" s="2502"/>
      <c r="J7" s="2503"/>
      <c r="K7" s="2499"/>
      <c r="L7" s="63"/>
      <c r="M7" s="63"/>
      <c r="N7" s="1782" t="s">
        <v>1383</v>
      </c>
      <c r="O7" s="1783"/>
      <c r="P7" s="1784"/>
      <c r="Q7" s="1784"/>
      <c r="R7" s="1784"/>
      <c r="S7" s="1784"/>
      <c r="T7" s="1785"/>
      <c r="U7" s="63"/>
      <c r="V7" s="63"/>
      <c r="W7" s="63"/>
      <c r="X7" s="1782" t="s">
        <v>1383</v>
      </c>
      <c r="Y7" s="1783"/>
      <c r="Z7" s="1784"/>
      <c r="AA7" s="1784"/>
      <c r="AB7" s="1784"/>
      <c r="AC7" s="1784"/>
      <c r="AD7" s="1785"/>
      <c r="AE7" s="63"/>
    </row>
    <row r="8" spans="2:31">
      <c r="B8" s="2504"/>
      <c r="C8" s="2499"/>
      <c r="D8" s="2505" t="s">
        <v>40</v>
      </c>
      <c r="E8" s="2505"/>
      <c r="F8" s="2506"/>
      <c r="G8" s="2507"/>
      <c r="H8" s="2506"/>
      <c r="I8" s="2506"/>
      <c r="J8" s="2506"/>
      <c r="K8" s="2508"/>
      <c r="L8" s="64"/>
      <c r="M8" s="63"/>
      <c r="N8" s="65" t="s">
        <v>40</v>
      </c>
      <c r="O8" s="65"/>
      <c r="P8" s="66"/>
      <c r="Q8" s="67"/>
      <c r="R8" s="66"/>
      <c r="S8" s="66"/>
      <c r="T8" s="66"/>
      <c r="U8" s="68"/>
      <c r="V8" s="64"/>
      <c r="W8" s="63"/>
      <c r="X8" s="65" t="s">
        <v>40</v>
      </c>
      <c r="Y8" s="65"/>
      <c r="Z8" s="66"/>
      <c r="AA8" s="67"/>
      <c r="AB8" s="66"/>
      <c r="AC8" s="66"/>
      <c r="AD8" s="66"/>
      <c r="AE8" s="68"/>
    </row>
    <row r="9" spans="2:31">
      <c r="B9" s="2504"/>
      <c r="C9" s="2509">
        <f ca="1">C10</f>
        <v>0.23353215518875942</v>
      </c>
      <c r="D9" s="2510">
        <f>'2.1 Reimburse'!$H$47+D10</f>
        <v>986.47682046650482</v>
      </c>
      <c r="E9" s="2511">
        <f>'2.1 Reimburse'!$H$47+E10</f>
        <v>996.47682046650482</v>
      </c>
      <c r="F9" s="2512">
        <f>'2.1 Reimburse'!$H$47+F10</f>
        <v>1006.4768204665048</v>
      </c>
      <c r="G9" s="2513">
        <f>'2.1 Reimburse'!$H$47+G10</f>
        <v>1016.4768204665048</v>
      </c>
      <c r="H9" s="2510">
        <f>'2.1 Reimburse'!$H$47+H10</f>
        <v>1066.4768204665047</v>
      </c>
      <c r="I9" s="2511">
        <f>'2.1 Reimburse'!$H$47+I10</f>
        <v>1116.4768204665047</v>
      </c>
      <c r="J9" s="2512">
        <f>'2.1 Reimburse'!$H$47+J10</f>
        <v>1166.4768204665047</v>
      </c>
      <c r="K9" s="2508"/>
      <c r="L9" s="64"/>
      <c r="M9" s="69">
        <f ca="1">M10</f>
        <v>0.23353215518875942</v>
      </c>
      <c r="N9" s="70">
        <f>'2.1 Reimburse'!$H$52+N10</f>
        <v>986.47682046650482</v>
      </c>
      <c r="O9" s="71">
        <f>'2.1 Reimburse'!$H$52+O10</f>
        <v>996.47682046650482</v>
      </c>
      <c r="P9" s="72">
        <f>'2.1 Reimburse'!$H$52+P10</f>
        <v>1006.4768204665048</v>
      </c>
      <c r="Q9" s="73">
        <f>'2.1 Reimburse'!$H$52+Q10</f>
        <v>1016.4768204665048</v>
      </c>
      <c r="R9" s="70">
        <f>'2.1 Reimburse'!$H$52+R10</f>
        <v>1026.4768204665047</v>
      </c>
      <c r="S9" s="71">
        <f>'2.1 Reimburse'!$H$52+S10</f>
        <v>1036.4768204665047</v>
      </c>
      <c r="T9" s="72">
        <f>'2.1 Reimburse'!$H$52+T10</f>
        <v>1046.4768204665047</v>
      </c>
      <c r="U9" s="68"/>
      <c r="V9" s="64"/>
      <c r="W9" s="69">
        <f ca="1">W10</f>
        <v>0.23353215518875942</v>
      </c>
      <c r="X9" s="70">
        <f>'2.1 Reimburse'!$H$57+X10</f>
        <v>-150</v>
      </c>
      <c r="Y9" s="71">
        <f>'2.1 Reimburse'!$H$57+Y10</f>
        <v>-100</v>
      </c>
      <c r="Z9" s="72">
        <f>'2.1 Reimburse'!$H$57+Z10</f>
        <v>-50</v>
      </c>
      <c r="AA9" s="73">
        <f>'2.1 Reimburse'!$H$57+AA10</f>
        <v>0</v>
      </c>
      <c r="AB9" s="70">
        <f>'2.1 Reimburse'!$H$57+AB10</f>
        <v>50</v>
      </c>
      <c r="AC9" s="71">
        <f>'2.1 Reimburse'!$H$57+AC10</f>
        <v>100</v>
      </c>
      <c r="AD9" s="72">
        <f>'2.1 Reimburse'!$H$57+AD10</f>
        <v>150</v>
      </c>
      <c r="AE9" s="68"/>
    </row>
    <row r="10" spans="2:31" hidden="1">
      <c r="B10" s="2514"/>
      <c r="C10" s="2515">
        <f ca="1">IRR</f>
        <v>0.23353215518875942</v>
      </c>
      <c r="D10" s="2510">
        <f>E10-10</f>
        <v>-30</v>
      </c>
      <c r="E10" s="2511">
        <f>F10-10</f>
        <v>-20</v>
      </c>
      <c r="F10" s="2512">
        <f>G10-10</f>
        <v>-10</v>
      </c>
      <c r="G10" s="2516">
        <v>0</v>
      </c>
      <c r="H10" s="2510">
        <f>G10+50</f>
        <v>50</v>
      </c>
      <c r="I10" s="2511">
        <f>H10+50</f>
        <v>100</v>
      </c>
      <c r="J10" s="2512">
        <f>I10+50</f>
        <v>150</v>
      </c>
      <c r="K10" s="2517"/>
      <c r="L10" s="74"/>
      <c r="M10" s="75">
        <f ca="1">IRR</f>
        <v>0.23353215518875942</v>
      </c>
      <c r="N10" s="70">
        <f>O10-10</f>
        <v>-30</v>
      </c>
      <c r="O10" s="71">
        <f>P10-10</f>
        <v>-20</v>
      </c>
      <c r="P10" s="72">
        <f>Q10-10</f>
        <v>-10</v>
      </c>
      <c r="Q10" s="76">
        <v>0</v>
      </c>
      <c r="R10" s="70">
        <f>Q10+10</f>
        <v>10</v>
      </c>
      <c r="S10" s="71">
        <f>R10+10</f>
        <v>20</v>
      </c>
      <c r="T10" s="72">
        <f>S10+10</f>
        <v>30</v>
      </c>
      <c r="U10" s="77"/>
      <c r="V10" s="74"/>
      <c r="W10" s="75">
        <f ca="1">IRR</f>
        <v>0.23353215518875942</v>
      </c>
      <c r="X10" s="70">
        <f>Y10-50</f>
        <v>-150</v>
      </c>
      <c r="Y10" s="71">
        <f>Z10-50</f>
        <v>-100</v>
      </c>
      <c r="Z10" s="72">
        <f>AA10-50</f>
        <v>-50</v>
      </c>
      <c r="AA10" s="76">
        <v>0</v>
      </c>
      <c r="AB10" s="70">
        <f>AA10+50</f>
        <v>50</v>
      </c>
      <c r="AC10" s="71">
        <f>AB10+50</f>
        <v>100</v>
      </c>
      <c r="AD10" s="72">
        <f>AC10+50</f>
        <v>150</v>
      </c>
      <c r="AE10" s="77"/>
    </row>
    <row r="11" spans="2:31">
      <c r="B11" s="2518"/>
      <c r="C11" s="2519">
        <f>C12-IF($F$55&gt;=3,1,0)</f>
        <v>-3</v>
      </c>
      <c r="D11" s="2520">
        <f t="dataTable" ref="D11:J17" dt2D="1" dtr="0" r1="E49" r2="E52" ca="1"/>
        <v>8.9899813014787083E-2</v>
      </c>
      <c r="E11" s="2520">
        <v>9.1723133510385052E-2</v>
      </c>
      <c r="F11" s="2520">
        <v>9.3537394155943004E-2</v>
      </c>
      <c r="G11" s="2521">
        <v>9.5342726915304113E-2</v>
      </c>
      <c r="H11" s="2520">
        <v>0.10422169305354671</v>
      </c>
      <c r="I11" s="2520">
        <v>0.11287808995787775</v>
      </c>
      <c r="J11" s="2522">
        <v>0.121301193025816</v>
      </c>
      <c r="K11" s="2523"/>
      <c r="L11" s="78"/>
      <c r="M11" s="1663">
        <f>M12-IF($F$56&gt;=3,1,0)</f>
        <v>-2</v>
      </c>
      <c r="N11" s="1520">
        <f t="dataTable" ref="N11:T17" dt2D="1" dtr="0" r1="E50" r2="E53" ca="1"/>
        <v>0.14022646377318365</v>
      </c>
      <c r="O11" s="1520">
        <v>0.14062850820681394</v>
      </c>
      <c r="P11" s="1520">
        <v>0.14102960858917077</v>
      </c>
      <c r="Q11" s="1521">
        <v>0.14142976885472711</v>
      </c>
      <c r="R11" s="1520">
        <v>0.14182899291330028</v>
      </c>
      <c r="S11" s="1520">
        <v>0.14222728465025905</v>
      </c>
      <c r="T11" s="1522">
        <v>0.14262464792673404</v>
      </c>
      <c r="U11" s="79"/>
      <c r="V11" s="78"/>
      <c r="W11" s="1663">
        <f>W12-IF($F$57&gt;=3,1,0)</f>
        <v>-2</v>
      </c>
      <c r="X11" s="1520">
        <f t="dataTable" ref="X11:AD17" dt2D="1" dtr="0" r1="E51" r2="E54" ca="1"/>
        <v>0.26172463741077989</v>
      </c>
      <c r="Y11" s="1520">
        <v>0.2605182520608732</v>
      </c>
      <c r="Z11" s="1520">
        <v>0.25931728750045713</v>
      </c>
      <c r="AA11" s="1521">
        <v>0.25812169799432921</v>
      </c>
      <c r="AB11" s="1520">
        <v>0.25693143836824062</v>
      </c>
      <c r="AC11" s="1520">
        <v>0.25574646399989132</v>
      </c>
      <c r="AD11" s="1522">
        <v>0.25456673081010933</v>
      </c>
      <c r="AE11" s="79"/>
    </row>
    <row r="12" spans="2:31">
      <c r="B12" s="2518"/>
      <c r="C12" s="2524">
        <f>C13-IF($F$55&gt;=2,1,0)</f>
        <v>-2</v>
      </c>
      <c r="D12" s="2525">
        <v>0.13819843717886141</v>
      </c>
      <c r="E12" s="2526">
        <v>0.14030614884400197</v>
      </c>
      <c r="F12" s="2526">
        <v>0.14240098081694277</v>
      </c>
      <c r="G12" s="2527">
        <v>0.14448402903447113</v>
      </c>
      <c r="H12" s="2526">
        <v>0.15472869330291628</v>
      </c>
      <c r="I12" s="2526">
        <v>0.1646857602740677</v>
      </c>
      <c r="J12" s="2528">
        <v>0.17436715534445837</v>
      </c>
      <c r="K12" s="2523"/>
      <c r="L12" s="78"/>
      <c r="M12" s="80">
        <f>M13-IF($F$56&gt;=2,1,0)</f>
        <v>-2</v>
      </c>
      <c r="N12" s="1523">
        <v>0.14022646377318365</v>
      </c>
      <c r="O12" s="1524">
        <v>0.14062850820681394</v>
      </c>
      <c r="P12" s="1524">
        <v>0.14102960858917077</v>
      </c>
      <c r="Q12" s="1525">
        <v>0.14142976885472711</v>
      </c>
      <c r="R12" s="1524">
        <v>0.14182899291330028</v>
      </c>
      <c r="S12" s="1524">
        <v>0.14222728465025905</v>
      </c>
      <c r="T12" s="1526">
        <v>0.14262464792673404</v>
      </c>
      <c r="U12" s="79"/>
      <c r="V12" s="78"/>
      <c r="W12" s="80">
        <f>W13-IF($F$57&gt;=2,1,0)</f>
        <v>-2</v>
      </c>
      <c r="X12" s="1523">
        <v>0.26172463741077989</v>
      </c>
      <c r="Y12" s="1524">
        <v>0.2605182520608732</v>
      </c>
      <c r="Z12" s="1524">
        <v>0.25931728750045713</v>
      </c>
      <c r="AA12" s="1525">
        <v>0.25812169799432921</v>
      </c>
      <c r="AB12" s="1524">
        <v>0.25693143836824062</v>
      </c>
      <c r="AC12" s="1524">
        <v>0.25574646399989132</v>
      </c>
      <c r="AD12" s="1526">
        <v>0.25456673081010933</v>
      </c>
      <c r="AE12" s="79"/>
    </row>
    <row r="13" spans="2:31">
      <c r="B13" s="2518" t="s">
        <v>1394</v>
      </c>
      <c r="C13" s="2524">
        <f>C14-IF($F$55&gt;=1,1,0)</f>
        <v>-1</v>
      </c>
      <c r="D13" s="2525">
        <v>0.18281183686789232</v>
      </c>
      <c r="E13" s="2526">
        <v>0.18521649005484753</v>
      </c>
      <c r="F13" s="2526">
        <v>0.18812923608093035</v>
      </c>
      <c r="G13" s="2527">
        <v>0.19050713591561466</v>
      </c>
      <c r="H13" s="2526">
        <v>0.20221260488277182</v>
      </c>
      <c r="I13" s="2526">
        <v>0.21360678409417225</v>
      </c>
      <c r="J13" s="2528">
        <v>0.22470358344796312</v>
      </c>
      <c r="K13" s="2523"/>
      <c r="L13" s="78" t="s">
        <v>1394</v>
      </c>
      <c r="M13" s="80">
        <f>M14-IF($F$56&gt;=1,1,0)</f>
        <v>-1</v>
      </c>
      <c r="N13" s="1523">
        <v>0.18604760165736881</v>
      </c>
      <c r="O13" s="1524">
        <v>0.18740175418671751</v>
      </c>
      <c r="P13" s="1524">
        <v>0.18823299982291378</v>
      </c>
      <c r="Q13" s="1525">
        <v>0.1890621888763247</v>
      </c>
      <c r="R13" s="1524">
        <v>0.18988933383866799</v>
      </c>
      <c r="S13" s="1524">
        <v>0.1907144470852411</v>
      </c>
      <c r="T13" s="1526">
        <v>0.19153754087638508</v>
      </c>
      <c r="U13" s="79"/>
      <c r="V13" s="78" t="s">
        <v>1394</v>
      </c>
      <c r="W13" s="80">
        <f>W14-IF($F$57&gt;=1,1,0)</f>
        <v>-1</v>
      </c>
      <c r="X13" s="1523">
        <v>0.23903901421247167</v>
      </c>
      <c r="Y13" s="1524">
        <v>0.24131928611434753</v>
      </c>
      <c r="Z13" s="1524">
        <v>0.24358340836691242</v>
      </c>
      <c r="AA13" s="1525">
        <v>0.24583163848439518</v>
      </c>
      <c r="AB13" s="1524">
        <v>0.24806422764312927</v>
      </c>
      <c r="AC13" s="1524">
        <v>0.25028142089141897</v>
      </c>
      <c r="AD13" s="1526">
        <v>0.25248345735070327</v>
      </c>
      <c r="AE13" s="79"/>
    </row>
    <row r="14" spans="2:31">
      <c r="B14" s="2518" t="s">
        <v>1826</v>
      </c>
      <c r="C14" s="2529">
        <v>0</v>
      </c>
      <c r="D14" s="2530">
        <v>0.22563817828586946</v>
      </c>
      <c r="E14" s="2531">
        <v>0.22828399311311784</v>
      </c>
      <c r="F14" s="2531">
        <v>0.23091523538178488</v>
      </c>
      <c r="G14" s="2532">
        <v>0.23353215518875942</v>
      </c>
      <c r="H14" s="2531">
        <v>0.24637994326785737</v>
      </c>
      <c r="I14" s="2531">
        <v>0.25887152191039137</v>
      </c>
      <c r="J14" s="2533">
        <v>0.27105853577222994</v>
      </c>
      <c r="K14" s="2523"/>
      <c r="L14" s="78" t="s">
        <v>1826</v>
      </c>
      <c r="M14" s="81">
        <v>0</v>
      </c>
      <c r="N14" s="1527">
        <v>0.22989837660172147</v>
      </c>
      <c r="O14" s="1528">
        <v>0.23111284266063933</v>
      </c>
      <c r="P14" s="1528">
        <v>0.23232409354559208</v>
      </c>
      <c r="Q14" s="1529">
        <v>0.23353215518875942</v>
      </c>
      <c r="R14" s="1528">
        <v>0.23473705322125163</v>
      </c>
      <c r="S14" s="1528">
        <v>0.23593881297787334</v>
      </c>
      <c r="T14" s="1530">
        <v>0.23713745950178883</v>
      </c>
      <c r="U14" s="79"/>
      <c r="V14" s="78" t="s">
        <v>1826</v>
      </c>
      <c r="W14" s="81">
        <v>0</v>
      </c>
      <c r="X14" s="1527">
        <v>0.21609287802040936</v>
      </c>
      <c r="Y14" s="1528">
        <v>0.22196605832855412</v>
      </c>
      <c r="Z14" s="1528">
        <v>0.22777835989595627</v>
      </c>
      <c r="AA14" s="1529">
        <v>0.23353215518875942</v>
      </c>
      <c r="AB14" s="1528">
        <v>0.23922969911950803</v>
      </c>
      <c r="AC14" s="1528">
        <v>0.2448528626614174</v>
      </c>
      <c r="AD14" s="1530">
        <v>0.25041921815321799</v>
      </c>
      <c r="AE14" s="79"/>
    </row>
    <row r="15" spans="2:31">
      <c r="B15" s="2518" t="s">
        <v>3666</v>
      </c>
      <c r="C15" s="2524">
        <f>C14+1</f>
        <v>1</v>
      </c>
      <c r="D15" s="2525">
        <v>0.2650655636622864</v>
      </c>
      <c r="E15" s="2526">
        <v>0.26796125958992378</v>
      </c>
      <c r="F15" s="2526">
        <v>0.27084174297287389</v>
      </c>
      <c r="G15" s="2527">
        <v>0.27370728904687019</v>
      </c>
      <c r="H15" s="2526">
        <v>0.28750238525228206</v>
      </c>
      <c r="I15" s="2526">
        <v>0.3002921020072733</v>
      </c>
      <c r="J15" s="2528">
        <v>0.31268775109026675</v>
      </c>
      <c r="K15" s="2523"/>
      <c r="L15" s="78" t="s">
        <v>3666</v>
      </c>
      <c r="M15" s="80">
        <f>M14+1</f>
        <v>1</v>
      </c>
      <c r="N15" s="1523">
        <v>0.27028951883767971</v>
      </c>
      <c r="O15" s="1524">
        <v>0.27185865338370502</v>
      </c>
      <c r="P15" s="1524">
        <v>0.27342362700414208</v>
      </c>
      <c r="Q15" s="1525">
        <v>0.27498448190490343</v>
      </c>
      <c r="R15" s="1524">
        <v>0.27654125973675259</v>
      </c>
      <c r="S15" s="1524">
        <v>0.27809400160551595</v>
      </c>
      <c r="T15" s="1526">
        <v>0.27964274808206646</v>
      </c>
      <c r="U15" s="79"/>
      <c r="V15" s="78" t="s">
        <v>3666</v>
      </c>
      <c r="W15" s="80">
        <f>W14+1</f>
        <v>1</v>
      </c>
      <c r="X15" s="1523">
        <v>0.19236728704149486</v>
      </c>
      <c r="Y15" s="1524">
        <v>0.20212418898545267</v>
      </c>
      <c r="Z15" s="1524">
        <v>0.21174773487321513</v>
      </c>
      <c r="AA15" s="1525">
        <v>0.22120699798729943</v>
      </c>
      <c r="AB15" s="1524">
        <v>0.23039214947469802</v>
      </c>
      <c r="AC15" s="1524">
        <v>0.23945933797582183</v>
      </c>
      <c r="AD15" s="1526">
        <v>0.24837369325042383</v>
      </c>
      <c r="AE15" s="79"/>
    </row>
    <row r="16" spans="2:31">
      <c r="B16" s="2534"/>
      <c r="C16" s="2524">
        <f>C15+1</f>
        <v>2</v>
      </c>
      <c r="D16" s="2525">
        <v>0.29861219295484764</v>
      </c>
      <c r="E16" s="2526">
        <v>0.30148234002381652</v>
      </c>
      <c r="F16" s="2526">
        <v>0.30433240644156628</v>
      </c>
      <c r="G16" s="2527">
        <v>0.30716271765761843</v>
      </c>
      <c r="H16" s="2526">
        <v>0.32102877737009644</v>
      </c>
      <c r="I16" s="2526">
        <v>0.33444536522193924</v>
      </c>
      <c r="J16" s="2528">
        <v>0.34744514464209408</v>
      </c>
      <c r="K16" s="2523"/>
      <c r="L16" s="82"/>
      <c r="M16" s="80">
        <f>M15+1</f>
        <v>2</v>
      </c>
      <c r="N16" s="1523">
        <v>0.30413944087162059</v>
      </c>
      <c r="O16" s="1524">
        <v>0.30583973728276598</v>
      </c>
      <c r="P16" s="1524">
        <v>0.30753303378366953</v>
      </c>
      <c r="Q16" s="1525">
        <v>0.30921939705225798</v>
      </c>
      <c r="R16" s="1524">
        <v>0.31089889277225946</v>
      </c>
      <c r="S16" s="1524">
        <v>0.31257158565325177</v>
      </c>
      <c r="T16" s="1526">
        <v>0.31423753945020672</v>
      </c>
      <c r="U16" s="79"/>
      <c r="V16" s="82"/>
      <c r="W16" s="80">
        <f>W15+1</f>
        <v>2</v>
      </c>
      <c r="X16" s="1523">
        <v>0.16786556220775675</v>
      </c>
      <c r="Y16" s="1524">
        <v>0.18202371347704371</v>
      </c>
      <c r="Z16" s="1524">
        <v>0.1954640085410991</v>
      </c>
      <c r="AA16" s="1525">
        <v>0.20866000439585192</v>
      </c>
      <c r="AB16" s="1524">
        <v>0.2215847894102905</v>
      </c>
      <c r="AC16" s="1524">
        <v>0.23408636345435491</v>
      </c>
      <c r="AD16" s="1526">
        <v>0.24634657039458208</v>
      </c>
      <c r="AE16" s="79"/>
    </row>
    <row r="17" spans="2:31">
      <c r="B17" s="2534"/>
      <c r="C17" s="2535">
        <f>C16+1</f>
        <v>3</v>
      </c>
      <c r="D17" s="2536">
        <v>0.32872826065129873</v>
      </c>
      <c r="E17" s="2537">
        <v>0.33172126269678409</v>
      </c>
      <c r="F17" s="2537">
        <v>0.33469315168057284</v>
      </c>
      <c r="G17" s="2538">
        <v>0.33764427265560953</v>
      </c>
      <c r="H17" s="2537">
        <v>0.3520998353516579</v>
      </c>
      <c r="I17" s="2537">
        <v>0.36608323453382879</v>
      </c>
      <c r="J17" s="2539">
        <v>0.38783262902372723</v>
      </c>
      <c r="K17" s="2523"/>
      <c r="L17" s="82"/>
      <c r="M17" s="83">
        <f>M16+1</f>
        <v>3</v>
      </c>
      <c r="N17" s="1531">
        <v>0.334806163335373</v>
      </c>
      <c r="O17" s="1532">
        <v>0.33671632876549157</v>
      </c>
      <c r="P17" s="1532">
        <v>0.33861801684577486</v>
      </c>
      <c r="Q17" s="1533">
        <v>0.34051131452219519</v>
      </c>
      <c r="R17" s="1532">
        <v>0.34239630734158882</v>
      </c>
      <c r="S17" s="1532">
        <v>0.3442730794821186</v>
      </c>
      <c r="T17" s="1534">
        <v>0.34614171378290343</v>
      </c>
      <c r="U17" s="79"/>
      <c r="V17" s="82"/>
      <c r="W17" s="83">
        <f>W16+1</f>
        <v>3</v>
      </c>
      <c r="X17" s="1531">
        <v>0.14349802057052657</v>
      </c>
      <c r="Y17" s="1532">
        <v>0.1612581800520565</v>
      </c>
      <c r="Z17" s="1532">
        <v>0.179099315777836</v>
      </c>
      <c r="AA17" s="1533">
        <v>0.19607917108467823</v>
      </c>
      <c r="AB17" s="1532">
        <v>0.21270437223978436</v>
      </c>
      <c r="AC17" s="1532">
        <v>0.22874358428678446</v>
      </c>
      <c r="AD17" s="1534">
        <v>0.24433754481577316</v>
      </c>
      <c r="AE17" s="79"/>
    </row>
    <row r="21" spans="2:31">
      <c r="B21" s="2499"/>
      <c r="C21" s="2499"/>
      <c r="D21" s="2500" t="s">
        <v>1603</v>
      </c>
      <c r="E21" s="2501"/>
      <c r="F21" s="2502"/>
      <c r="G21" s="2502"/>
      <c r="H21" s="2502"/>
      <c r="I21" s="2502"/>
      <c r="J21" s="2503"/>
      <c r="L21" s="63"/>
      <c r="M21" s="63"/>
      <c r="N21" s="1782" t="s">
        <v>1603</v>
      </c>
      <c r="O21" s="1783"/>
      <c r="P21" s="1784"/>
      <c r="Q21" s="1784"/>
      <c r="R21" s="1784"/>
      <c r="S21" s="1784"/>
      <c r="T21" s="1785"/>
      <c r="V21" s="63"/>
      <c r="W21" s="63"/>
      <c r="X21" s="1782" t="s">
        <v>1603</v>
      </c>
      <c r="Y21" s="1783"/>
      <c r="Z21" s="1784"/>
      <c r="AA21" s="1784"/>
      <c r="AB21" s="1784"/>
      <c r="AC21" s="1784"/>
      <c r="AD21" s="1785"/>
    </row>
    <row r="22" spans="2:31">
      <c r="B22" s="2514"/>
      <c r="C22" s="2499"/>
      <c r="D22" s="2505" t="s">
        <v>40</v>
      </c>
      <c r="E22" s="2505"/>
      <c r="F22" s="2506"/>
      <c r="G22" s="2507"/>
      <c r="H22" s="2506"/>
      <c r="I22" s="2506"/>
      <c r="J22" s="2506"/>
      <c r="L22" s="74"/>
      <c r="M22" s="63"/>
      <c r="N22" s="65" t="s">
        <v>40</v>
      </c>
      <c r="O22" s="65"/>
      <c r="P22" s="66"/>
      <c r="Q22" s="67"/>
      <c r="R22" s="66"/>
      <c r="S22" s="66"/>
      <c r="T22" s="66"/>
      <c r="V22" s="74"/>
      <c r="W22" s="63"/>
      <c r="X22" s="65" t="s">
        <v>40</v>
      </c>
      <c r="Y22" s="65"/>
      <c r="Z22" s="66"/>
      <c r="AA22" s="67"/>
      <c r="AB22" s="66"/>
      <c r="AC22" s="66"/>
      <c r="AD22" s="66"/>
    </row>
    <row r="23" spans="2:31">
      <c r="B23" s="2514"/>
      <c r="C23" s="2509">
        <f ca="1">C24</f>
        <v>0.15709863598518339</v>
      </c>
      <c r="D23" s="2510">
        <f>'2.1 Reimburse'!$H$47+D24</f>
        <v>986.47682046650482</v>
      </c>
      <c r="E23" s="2511">
        <f>'2.1 Reimburse'!$H$47+E24</f>
        <v>996.47682046650482</v>
      </c>
      <c r="F23" s="2512">
        <f>'2.1 Reimburse'!$H$47+F24</f>
        <v>1006.4768204665048</v>
      </c>
      <c r="G23" s="2540">
        <f>'2.1 Reimburse'!$H$47+G24</f>
        <v>1016.4768204665048</v>
      </c>
      <c r="H23" s="2510">
        <f>'2.1 Reimburse'!$H$47+H24</f>
        <v>1066.4768204665047</v>
      </c>
      <c r="I23" s="2511">
        <f>'2.1 Reimburse'!$H$47+I24</f>
        <v>1116.4768204665047</v>
      </c>
      <c r="J23" s="2512">
        <f>'2.1 Reimburse'!$H$47+J24</f>
        <v>1166.4768204665047</v>
      </c>
      <c r="L23" s="74"/>
      <c r="M23" s="69">
        <f ca="1">M24</f>
        <v>0.15709863598518339</v>
      </c>
      <c r="N23" s="70">
        <f>'2.1 Reimburse'!$H$52+N24</f>
        <v>986.47682046650482</v>
      </c>
      <c r="O23" s="71">
        <f>'2.1 Reimburse'!$H$52+O24</f>
        <v>996.47682046650482</v>
      </c>
      <c r="P23" s="72">
        <f>'2.1 Reimburse'!$H$52+P24</f>
        <v>1006.4768204665048</v>
      </c>
      <c r="Q23" s="73">
        <f>'2.1 Reimburse'!$H$52+Q24</f>
        <v>1016.4768204665048</v>
      </c>
      <c r="R23" s="70">
        <f>'2.1 Reimburse'!$H$52+R24</f>
        <v>1026.4768204665047</v>
      </c>
      <c r="S23" s="71">
        <f>'2.1 Reimburse'!$H$52+S24</f>
        <v>1036.4768204665047</v>
      </c>
      <c r="T23" s="72">
        <f>'2.1 Reimburse'!$H$52+T24</f>
        <v>1046.4768204665047</v>
      </c>
      <c r="V23" s="74"/>
      <c r="W23" s="69">
        <f ca="1">W24</f>
        <v>0.15709863598518339</v>
      </c>
      <c r="X23" s="70">
        <f>'2.1 Reimburse'!$H$57+X24</f>
        <v>-150</v>
      </c>
      <c r="Y23" s="71">
        <f>'2.1 Reimburse'!$H$57+Y24</f>
        <v>-100</v>
      </c>
      <c r="Z23" s="72">
        <f>'2.1 Reimburse'!$H$57+Z24</f>
        <v>-50</v>
      </c>
      <c r="AA23" s="73">
        <f>'2.1 Reimburse'!$H$57+AA24</f>
        <v>0</v>
      </c>
      <c r="AB23" s="70">
        <f>'2.1 Reimburse'!$H$57+AB24</f>
        <v>50</v>
      </c>
      <c r="AC23" s="71">
        <f>'2.1 Reimburse'!$H$57+AC24</f>
        <v>100</v>
      </c>
      <c r="AD23" s="72">
        <f>'2.1 Reimburse'!$H$57+AD24</f>
        <v>150</v>
      </c>
    </row>
    <row r="24" spans="2:31" hidden="1">
      <c r="B24" s="2514"/>
      <c r="C24" s="2515">
        <f ca="1">coc</f>
        <v>0.15709863598518339</v>
      </c>
      <c r="D24" s="2510">
        <f>E24-10</f>
        <v>-30</v>
      </c>
      <c r="E24" s="2511">
        <f>F24-10</f>
        <v>-20</v>
      </c>
      <c r="F24" s="2512">
        <f>G24-10</f>
        <v>-10</v>
      </c>
      <c r="G24" s="2516">
        <v>0</v>
      </c>
      <c r="H24" s="2510">
        <f>G24+50</f>
        <v>50</v>
      </c>
      <c r="I24" s="2511">
        <f>H24+50</f>
        <v>100</v>
      </c>
      <c r="J24" s="2512">
        <f>I24+50</f>
        <v>150</v>
      </c>
      <c r="L24" s="74"/>
      <c r="M24" s="75">
        <f ca="1">coc</f>
        <v>0.15709863598518339</v>
      </c>
      <c r="N24" s="70">
        <f>O24-10</f>
        <v>-30</v>
      </c>
      <c r="O24" s="71">
        <f>P24-10</f>
        <v>-20</v>
      </c>
      <c r="P24" s="72">
        <f>Q24-10</f>
        <v>-10</v>
      </c>
      <c r="Q24" s="84">
        <v>0</v>
      </c>
      <c r="R24" s="70">
        <f>Q24+10</f>
        <v>10</v>
      </c>
      <c r="S24" s="71">
        <f>R24+10</f>
        <v>20</v>
      </c>
      <c r="T24" s="72">
        <f>S24+10</f>
        <v>30</v>
      </c>
      <c r="V24" s="74"/>
      <c r="W24" s="75">
        <f ca="1">coc</f>
        <v>0.15709863598518339</v>
      </c>
      <c r="X24" s="70">
        <f>Y24-50</f>
        <v>-150</v>
      </c>
      <c r="Y24" s="71">
        <f>Z24-50</f>
        <v>-100</v>
      </c>
      <c r="Z24" s="72">
        <f>AA24-50</f>
        <v>-50</v>
      </c>
      <c r="AA24" s="84">
        <v>0</v>
      </c>
      <c r="AB24" s="70">
        <f>AA24+50</f>
        <v>50</v>
      </c>
      <c r="AC24" s="71">
        <f>AB24+50</f>
        <v>100</v>
      </c>
      <c r="AD24" s="72">
        <f>AC24+50</f>
        <v>150</v>
      </c>
    </row>
    <row r="25" spans="2:31">
      <c r="B25" s="2518"/>
      <c r="C25" s="2519">
        <f>C26-IF($F$55&gt;=3,1,0)</f>
        <v>-3</v>
      </c>
      <c r="D25" s="2520">
        <f t="dataTable" ref="D25:J31" dt2D="1" dtr="0" r1="E49" r2="E52" ca="1"/>
        <v>8.4692845892603438E-2</v>
      </c>
      <c r="E25" s="2520">
        <v>8.5360056085693997E-2</v>
      </c>
      <c r="F25" s="2520">
        <v>8.6027336175865846E-2</v>
      </c>
      <c r="G25" s="2521">
        <v>8.6694686174103197E-2</v>
      </c>
      <c r="H25" s="2520">
        <v>9.0007845321945168E-2</v>
      </c>
      <c r="I25" s="2520">
        <v>9.330149128563664E-2</v>
      </c>
      <c r="J25" s="2522">
        <v>9.6546334775680781E-2</v>
      </c>
      <c r="L25" s="78"/>
      <c r="M25" s="1663">
        <f t="shared" ref="M25:M31" si="0">M11</f>
        <v>-2</v>
      </c>
      <c r="N25" s="1520">
        <f t="dataTable" ref="N25:T31" dt2D="1" dtr="0" r1="E50" r2="E53" ca="1"/>
        <v>0.11054879182050059</v>
      </c>
      <c r="O25" s="1520">
        <v>0.11054879182050061</v>
      </c>
      <c r="P25" s="1520">
        <v>0.11054879182050059</v>
      </c>
      <c r="Q25" s="1521">
        <v>0.11054879182050059</v>
      </c>
      <c r="R25" s="1520">
        <v>0.11054879182050062</v>
      </c>
      <c r="S25" s="1520">
        <v>0.11054879182050058</v>
      </c>
      <c r="T25" s="1522">
        <v>0.11054879182050062</v>
      </c>
      <c r="V25" s="78"/>
      <c r="W25" s="1663">
        <f t="shared" ref="W25:W31" si="1">W11</f>
        <v>-2</v>
      </c>
      <c r="X25" s="1520">
        <f t="dataTable" ref="X25:AD31" dt2D="1" dtr="0" r1="E51" r2="E54" ca="1"/>
        <v>0.17312972832976381</v>
      </c>
      <c r="Y25" s="1520">
        <v>0.17221231598617717</v>
      </c>
      <c r="Z25" s="1520">
        <v>0.17129478104269286</v>
      </c>
      <c r="AA25" s="1521">
        <v>0.17037712347473347</v>
      </c>
      <c r="AB25" s="1520">
        <v>0.16945934325771478</v>
      </c>
      <c r="AC25" s="1520">
        <v>0.16854144036704691</v>
      </c>
      <c r="AD25" s="1522">
        <v>0.16762341477813175</v>
      </c>
    </row>
    <row r="26" spans="2:31">
      <c r="B26" s="2518"/>
      <c r="C26" s="2524">
        <f>C27-IF($F$55&gt;=2,1,0)</f>
        <v>-2</v>
      </c>
      <c r="D26" s="2525">
        <v>0.10939547363765809</v>
      </c>
      <c r="E26" s="2526">
        <v>0.11028261320947866</v>
      </c>
      <c r="F26" s="2526">
        <v>0.11116898845336663</v>
      </c>
      <c r="G26" s="2527">
        <v>0.11205460035667326</v>
      </c>
      <c r="H26" s="2526">
        <v>0.1164712442029989</v>
      </c>
      <c r="I26" s="2526">
        <v>0.12086895166435198</v>
      </c>
      <c r="J26" s="2528">
        <v>0.12524784426499797</v>
      </c>
      <c r="L26" s="78"/>
      <c r="M26" s="80">
        <f t="shared" si="0"/>
        <v>-2</v>
      </c>
      <c r="N26" s="1523">
        <v>0.11054879182050059</v>
      </c>
      <c r="O26" s="1524">
        <v>0.11054879182050061</v>
      </c>
      <c r="P26" s="1524">
        <v>0.11054879182050059</v>
      </c>
      <c r="Q26" s="1525">
        <v>0.11054879182050059</v>
      </c>
      <c r="R26" s="1524">
        <v>0.11054879182050062</v>
      </c>
      <c r="S26" s="1524">
        <v>0.11054879182050058</v>
      </c>
      <c r="T26" s="1526">
        <v>0.11054879182050062</v>
      </c>
      <c r="V26" s="78"/>
      <c r="W26" s="80">
        <f t="shared" si="1"/>
        <v>-2</v>
      </c>
      <c r="X26" s="1523">
        <v>0.17312972832976381</v>
      </c>
      <c r="Y26" s="1524">
        <v>0.17221231598617717</v>
      </c>
      <c r="Z26" s="1524">
        <v>0.17129478104269286</v>
      </c>
      <c r="AA26" s="1525">
        <v>0.17037712347473347</v>
      </c>
      <c r="AB26" s="1524">
        <v>0.16945934325771478</v>
      </c>
      <c r="AC26" s="1524">
        <v>0.16854144036704691</v>
      </c>
      <c r="AD26" s="1526">
        <v>0.16762341477813175</v>
      </c>
    </row>
    <row r="27" spans="2:31">
      <c r="B27" s="2518" t="s">
        <v>1394</v>
      </c>
      <c r="C27" s="2524">
        <f>C28-IF($F$55&gt;=1,1,0)</f>
        <v>-1</v>
      </c>
      <c r="D27" s="2525">
        <v>0.13151037703454005</v>
      </c>
      <c r="E27" s="2526">
        <v>0.13262399654011964</v>
      </c>
      <c r="F27" s="2526">
        <v>0.13373642625602122</v>
      </c>
      <c r="G27" s="2527">
        <v>0.13484766808798115</v>
      </c>
      <c r="H27" s="2526">
        <v>0.14038612540529855</v>
      </c>
      <c r="I27" s="2526">
        <v>0.14589516915826234</v>
      </c>
      <c r="J27" s="2528">
        <v>0.15137503304006597</v>
      </c>
      <c r="L27" s="78" t="s">
        <v>1394</v>
      </c>
      <c r="M27" s="80">
        <f t="shared" si="0"/>
        <v>-1</v>
      </c>
      <c r="N27" s="1523">
        <v>0.13335092349886501</v>
      </c>
      <c r="O27" s="1524">
        <v>0.13360503014356237</v>
      </c>
      <c r="P27" s="1524">
        <v>0.13385907982050976</v>
      </c>
      <c r="Q27" s="1525">
        <v>0.1341130725488624</v>
      </c>
      <c r="R27" s="1524">
        <v>0.13436700834776655</v>
      </c>
      <c r="S27" s="1524">
        <v>0.13462088723636034</v>
      </c>
      <c r="T27" s="1526">
        <v>0.13487470923377315</v>
      </c>
      <c r="V27" s="78" t="s">
        <v>1394</v>
      </c>
      <c r="W27" s="80">
        <f t="shared" si="1"/>
        <v>-1</v>
      </c>
      <c r="X27" s="1523">
        <v>0.16079796939974081</v>
      </c>
      <c r="Y27" s="1524">
        <v>0.16176692925842451</v>
      </c>
      <c r="Z27" s="1524">
        <v>0.16273438912976396</v>
      </c>
      <c r="AA27" s="1525">
        <v>0.16370035249412324</v>
      </c>
      <c r="AB27" s="1524">
        <v>0.16466482282110731</v>
      </c>
      <c r="AC27" s="1524">
        <v>0.16562780356960341</v>
      </c>
      <c r="AD27" s="1526">
        <v>0.16658929818782414</v>
      </c>
    </row>
    <row r="28" spans="2:31">
      <c r="B28" s="2518" t="s">
        <v>1826</v>
      </c>
      <c r="C28" s="2529">
        <v>0</v>
      </c>
      <c r="D28" s="2530">
        <v>0.15311255890416595</v>
      </c>
      <c r="E28" s="2531">
        <v>0.15444294024831579</v>
      </c>
      <c r="F28" s="2531">
        <v>0.1557716315358503</v>
      </c>
      <c r="G28" s="2532">
        <v>0.15709863598518339</v>
      </c>
      <c r="H28" s="2531">
        <v>0.16370846773307829</v>
      </c>
      <c r="I28" s="2531">
        <v>0.17027660662238295</v>
      </c>
      <c r="J28" s="2533">
        <v>0.17680344589216229</v>
      </c>
      <c r="L28" s="78" t="s">
        <v>1826</v>
      </c>
      <c r="M28" s="85">
        <f t="shared" si="0"/>
        <v>0</v>
      </c>
      <c r="N28" s="1527">
        <v>0.15560783932375416</v>
      </c>
      <c r="O28" s="1528">
        <v>0.15610499169384218</v>
      </c>
      <c r="P28" s="1528">
        <v>0.15660192386556437</v>
      </c>
      <c r="Q28" s="1529">
        <v>0.15709863598518339</v>
      </c>
      <c r="R28" s="1528">
        <v>0.1575951281988327</v>
      </c>
      <c r="S28" s="1528">
        <v>0.15809140065251612</v>
      </c>
      <c r="T28" s="1530">
        <v>0.15858745349210804</v>
      </c>
      <c r="V28" s="78" t="s">
        <v>1826</v>
      </c>
      <c r="W28" s="85">
        <f t="shared" si="1"/>
        <v>0</v>
      </c>
      <c r="X28" s="1527">
        <v>0.14854341209914898</v>
      </c>
      <c r="Y28" s="1528">
        <v>0.15140433247953694</v>
      </c>
      <c r="Z28" s="1528">
        <v>0.15425605902595954</v>
      </c>
      <c r="AA28" s="1529">
        <v>0.15709863598518339</v>
      </c>
      <c r="AB28" s="1528">
        <v>0.15993210732050347</v>
      </c>
      <c r="AC28" s="1528">
        <v>0.16275651671401004</v>
      </c>
      <c r="AD28" s="1530">
        <v>0.16557190756883389</v>
      </c>
    </row>
    <row r="29" spans="2:31">
      <c r="B29" s="2518" t="s">
        <v>3666</v>
      </c>
      <c r="C29" s="2524">
        <f>C28+1</f>
        <v>1</v>
      </c>
      <c r="D29" s="2525">
        <v>0.17421964565530437</v>
      </c>
      <c r="E29" s="2526">
        <v>0.17575755794408227</v>
      </c>
      <c r="F29" s="2526">
        <v>0.1772932131868675</v>
      </c>
      <c r="G29" s="2527">
        <v>0.17882661634869065</v>
      </c>
      <c r="H29" s="2526">
        <v>0.18646002370378609</v>
      </c>
      <c r="I29" s="2526">
        <v>0.19403786548422824</v>
      </c>
      <c r="J29" s="2528">
        <v>0.2015607462043999</v>
      </c>
      <c r="L29" s="78" t="s">
        <v>3666</v>
      </c>
      <c r="M29" s="80">
        <f t="shared" si="0"/>
        <v>1</v>
      </c>
      <c r="N29" s="1523">
        <v>0.17733886304477264</v>
      </c>
      <c r="O29" s="1524">
        <v>0.17806856840064597</v>
      </c>
      <c r="P29" s="1524">
        <v>0.17879779478548402</v>
      </c>
      <c r="Q29" s="1525">
        <v>0.17952654267071994</v>
      </c>
      <c r="R29" s="1524">
        <v>0.18025481252716813</v>
      </c>
      <c r="S29" s="1524">
        <v>0.18098260482502482</v>
      </c>
      <c r="T29" s="1526">
        <v>0.18170992003387074</v>
      </c>
      <c r="V29" s="78" t="s">
        <v>3666</v>
      </c>
      <c r="W29" s="80">
        <f t="shared" si="1"/>
        <v>1</v>
      </c>
      <c r="X29" s="1523">
        <v>0.13636533372165099</v>
      </c>
      <c r="Y29" s="1524">
        <v>0.14112354524735296</v>
      </c>
      <c r="Z29" s="1524">
        <v>0.14585861636617867</v>
      </c>
      <c r="AA29" s="1525">
        <v>0.15057071547527748</v>
      </c>
      <c r="AB29" s="1524">
        <v>0.15526000934180817</v>
      </c>
      <c r="AC29" s="1524">
        <v>0.15992666312261405</v>
      </c>
      <c r="AD29" s="1526">
        <v>0.16457084038361094</v>
      </c>
    </row>
    <row r="30" spans="2:31">
      <c r="B30" s="2534"/>
      <c r="C30" s="2524">
        <f>C29+1</f>
        <v>2</v>
      </c>
      <c r="D30" s="2525">
        <v>0.19484846489974442</v>
      </c>
      <c r="E30" s="2526">
        <v>0.19658513544344824</v>
      </c>
      <c r="F30" s="2526">
        <v>0.19831892257928008</v>
      </c>
      <c r="G30" s="2527">
        <v>0.20004983348230104</v>
      </c>
      <c r="H30" s="2526">
        <v>0.20866149397284886</v>
      </c>
      <c r="I30" s="2526">
        <v>0.21720231134016502</v>
      </c>
      <c r="J30" s="2528">
        <v>0.22567315618107281</v>
      </c>
      <c r="L30" s="82"/>
      <c r="M30" s="80">
        <f t="shared" si="0"/>
        <v>2</v>
      </c>
      <c r="N30" s="1523">
        <v>0.19856241590089824</v>
      </c>
      <c r="O30" s="1524">
        <v>0.19951471494299586</v>
      </c>
      <c r="P30" s="1524">
        <v>0.20046619044928585</v>
      </c>
      <c r="Q30" s="1525">
        <v>0.20141684348758113</v>
      </c>
      <c r="R30" s="1524">
        <v>0.20236667512384907</v>
      </c>
      <c r="S30" s="1524">
        <v>0.20331568642221606</v>
      </c>
      <c r="T30" s="1526">
        <v>0.20426387844497121</v>
      </c>
      <c r="V30" s="82"/>
      <c r="W30" s="80">
        <f t="shared" si="1"/>
        <v>2</v>
      </c>
      <c r="X30" s="1523">
        <v>0.12426302055346111</v>
      </c>
      <c r="Y30" s="1524">
        <v>0.13092360257879954</v>
      </c>
      <c r="Z30" s="1524">
        <v>0.1375409090869785</v>
      </c>
      <c r="AA30" s="1525">
        <v>0.14411536047057291</v>
      </c>
      <c r="AB30" s="1524">
        <v>0.15064737169462328</v>
      </c>
      <c r="AC30" s="1524">
        <v>0.15713735238394588</v>
      </c>
      <c r="AD30" s="1526">
        <v>0.16358570690876317</v>
      </c>
    </row>
    <row r="31" spans="2:31">
      <c r="B31" s="2534"/>
      <c r="C31" s="2535">
        <f>C30+1</f>
        <v>3</v>
      </c>
      <c r="D31" s="2536">
        <v>0.21501509019542048</v>
      </c>
      <c r="E31" s="2537">
        <v>0.21694217752214032</v>
      </c>
      <c r="F31" s="2537">
        <v>0.21886570239179171</v>
      </c>
      <c r="G31" s="2538">
        <v>0.22078567467371016</v>
      </c>
      <c r="H31" s="2537">
        <v>0.23033259015387747</v>
      </c>
      <c r="I31" s="2537">
        <v>0.23979215059406242</v>
      </c>
      <c r="J31" s="2539">
        <v>0.24916554949236439</v>
      </c>
      <c r="L31" s="82"/>
      <c r="M31" s="83">
        <f t="shared" si="0"/>
        <v>3</v>
      </c>
      <c r="N31" s="1531">
        <v>0.21929606870177074</v>
      </c>
      <c r="O31" s="1532">
        <v>0.22046150330763567</v>
      </c>
      <c r="P31" s="1532">
        <v>0.22162569289137288</v>
      </c>
      <c r="Q31" s="1533">
        <v>0.22278863944698388</v>
      </c>
      <c r="R31" s="1532">
        <v>0.2239503449642147</v>
      </c>
      <c r="S31" s="1532">
        <v>0.22511081142856748</v>
      </c>
      <c r="T31" s="1534">
        <v>0.22627004082131033</v>
      </c>
      <c r="V31" s="82"/>
      <c r="W31" s="83">
        <f t="shared" si="1"/>
        <v>3</v>
      </c>
      <c r="X31" s="1531">
        <v>0.11223576773391195</v>
      </c>
      <c r="Y31" s="1532">
        <v>0.12080355460795361</v>
      </c>
      <c r="Z31" s="1532">
        <v>0.12930180689967991</v>
      </c>
      <c r="AA31" s="1533">
        <v>0.13773136768279515</v>
      </c>
      <c r="AB31" s="1532">
        <v>0.14609306645670792</v>
      </c>
      <c r="AC31" s="1532">
        <v>0.15438771941863466</v>
      </c>
      <c r="AD31" s="1534">
        <v>0.16261612972918466</v>
      </c>
    </row>
    <row r="35" spans="2:30">
      <c r="B35" s="2499"/>
      <c r="C35" s="2499"/>
      <c r="D35" s="2500" t="s">
        <v>41</v>
      </c>
      <c r="E35" s="2501"/>
      <c r="F35" s="2502"/>
      <c r="G35" s="2502"/>
      <c r="H35" s="2502"/>
      <c r="I35" s="2502"/>
      <c r="J35" s="2503"/>
      <c r="L35" s="63"/>
      <c r="M35" s="63"/>
      <c r="N35" s="1782" t="s">
        <v>41</v>
      </c>
      <c r="O35" s="1783"/>
      <c r="P35" s="1784"/>
      <c r="Q35" s="1784"/>
      <c r="R35" s="1784"/>
      <c r="S35" s="1784"/>
      <c r="T35" s="1785"/>
      <c r="V35" s="63"/>
      <c r="W35" s="63"/>
      <c r="X35" s="1782" t="s">
        <v>41</v>
      </c>
      <c r="Y35" s="1783"/>
      <c r="Z35" s="1784"/>
      <c r="AA35" s="1784"/>
      <c r="AB35" s="1784"/>
      <c r="AC35" s="1784"/>
      <c r="AD35" s="1785"/>
    </row>
    <row r="36" spans="2:30">
      <c r="B36" s="2514"/>
      <c r="C36" s="2499"/>
      <c r="D36" s="2505" t="s">
        <v>40</v>
      </c>
      <c r="E36" s="2505"/>
      <c r="F36" s="2506"/>
      <c r="G36" s="2507"/>
      <c r="H36" s="2506"/>
      <c r="I36" s="2506"/>
      <c r="J36" s="2506"/>
      <c r="L36" s="74"/>
      <c r="M36" s="63"/>
      <c r="N36" s="65" t="s">
        <v>40</v>
      </c>
      <c r="O36" s="65"/>
      <c r="P36" s="66"/>
      <c r="Q36" s="67"/>
      <c r="R36" s="66"/>
      <c r="S36" s="66"/>
      <c r="T36" s="66"/>
      <c r="V36" s="74"/>
      <c r="W36" s="63"/>
      <c r="X36" s="65" t="s">
        <v>40</v>
      </c>
      <c r="Y36" s="65"/>
      <c r="Z36" s="66"/>
      <c r="AA36" s="67"/>
      <c r="AB36" s="66"/>
      <c r="AC36" s="66"/>
      <c r="AD36" s="66"/>
    </row>
    <row r="37" spans="2:30">
      <c r="B37" s="2514"/>
      <c r="C37" s="2509">
        <f ca="1">C38</f>
        <v>0.19894642120911973</v>
      </c>
      <c r="D37" s="2510">
        <f>'2.1 Reimburse'!$H$47+D38</f>
        <v>986.47682046650482</v>
      </c>
      <c r="E37" s="2511">
        <f>'2.1 Reimburse'!$H$47+E38</f>
        <v>996.47682046650482</v>
      </c>
      <c r="F37" s="2512">
        <f>'2.1 Reimburse'!$H$47+F38</f>
        <v>1006.4768204665048</v>
      </c>
      <c r="G37" s="2540">
        <f>'2.1 Reimburse'!$H$47+G38</f>
        <v>1016.4768204665048</v>
      </c>
      <c r="H37" s="2510">
        <f>'2.1 Reimburse'!$H$47+H38</f>
        <v>1026.4768204665047</v>
      </c>
      <c r="I37" s="2511">
        <f>'2.1 Reimburse'!$H$47+I38</f>
        <v>1036.4768204665047</v>
      </c>
      <c r="J37" s="2512">
        <f>'2.1 Reimburse'!$H$47+J38</f>
        <v>1046.4768204665047</v>
      </c>
      <c r="L37" s="74"/>
      <c r="M37" s="69">
        <f ca="1">M38</f>
        <v>0.19894642120911973</v>
      </c>
      <c r="N37" s="70">
        <f>'2.1 Reimburse'!$H$52+N38</f>
        <v>986.47682046650482</v>
      </c>
      <c r="O37" s="71">
        <f>'2.1 Reimburse'!$H$52+O38</f>
        <v>996.47682046650482</v>
      </c>
      <c r="P37" s="72">
        <f>'2.1 Reimburse'!$H$52+P38</f>
        <v>1006.4768204665048</v>
      </c>
      <c r="Q37" s="73">
        <f>'2.1 Reimburse'!$H$52+Q38</f>
        <v>1016.4768204665048</v>
      </c>
      <c r="R37" s="70">
        <f>'2.1 Reimburse'!$H$52+R38</f>
        <v>1026.4768204665047</v>
      </c>
      <c r="S37" s="71">
        <f>'2.1 Reimburse'!$H$52+S38</f>
        <v>1036.4768204665047</v>
      </c>
      <c r="T37" s="72">
        <f>'2.1 Reimburse'!$H$52+T38</f>
        <v>1046.4768204665047</v>
      </c>
      <c r="V37" s="74"/>
      <c r="W37" s="69">
        <f ca="1">W38</f>
        <v>0.19894642120911973</v>
      </c>
      <c r="X37" s="70">
        <f>'2.1 Reimburse'!$H$57+X38</f>
        <v>-150</v>
      </c>
      <c r="Y37" s="71">
        <f>'2.1 Reimburse'!$H$57+Y38</f>
        <v>-100</v>
      </c>
      <c r="Z37" s="72">
        <f>'2.1 Reimburse'!$H$57+Z38</f>
        <v>-50</v>
      </c>
      <c r="AA37" s="73">
        <f>'2.1 Reimburse'!$H$57+AA38</f>
        <v>0</v>
      </c>
      <c r="AB37" s="70">
        <f>'2.1 Reimburse'!$H$57+AB38</f>
        <v>50</v>
      </c>
      <c r="AC37" s="71">
        <f>'2.1 Reimburse'!$H$57+AC38</f>
        <v>100</v>
      </c>
      <c r="AD37" s="72">
        <f>'2.1 Reimburse'!$H$57+AD38</f>
        <v>150</v>
      </c>
    </row>
    <row r="38" spans="2:30" ht="12.75" hidden="1" customHeight="1">
      <c r="B38" s="2514"/>
      <c r="C38" s="2515">
        <f ca="1">PartnerIRRPretax</f>
        <v>0.19894642120911973</v>
      </c>
      <c r="D38" s="2510">
        <f>E38-10</f>
        <v>-30</v>
      </c>
      <c r="E38" s="2511">
        <f>F38-10</f>
        <v>-20</v>
      </c>
      <c r="F38" s="2512">
        <f>G38-10</f>
        <v>-10</v>
      </c>
      <c r="G38" s="2541">
        <v>0</v>
      </c>
      <c r="H38" s="2510">
        <f>G38+10</f>
        <v>10</v>
      </c>
      <c r="I38" s="2511">
        <f>H38+10</f>
        <v>20</v>
      </c>
      <c r="J38" s="2512">
        <f>I38+10</f>
        <v>30</v>
      </c>
      <c r="L38" s="74"/>
      <c r="M38" s="75">
        <f ca="1">PartnerIRRPretax</f>
        <v>0.19894642120911973</v>
      </c>
      <c r="N38" s="70">
        <f>O38-10</f>
        <v>-30</v>
      </c>
      <c r="O38" s="71">
        <f>P38-10</f>
        <v>-20</v>
      </c>
      <c r="P38" s="72">
        <f>Q38-10</f>
        <v>-10</v>
      </c>
      <c r="Q38" s="84">
        <v>0</v>
      </c>
      <c r="R38" s="70">
        <f>Q38+10</f>
        <v>10</v>
      </c>
      <c r="S38" s="71">
        <f>R38+10</f>
        <v>20</v>
      </c>
      <c r="T38" s="72">
        <f>S38+10</f>
        <v>30</v>
      </c>
      <c r="V38" s="74"/>
      <c r="W38" s="75">
        <f ca="1">PartnerIRRPretax</f>
        <v>0.19894642120911973</v>
      </c>
      <c r="X38" s="70">
        <f>Y38-50</f>
        <v>-150</v>
      </c>
      <c r="Y38" s="71">
        <f>Z38-50</f>
        <v>-100</v>
      </c>
      <c r="Z38" s="72">
        <f>AA38-50</f>
        <v>-50</v>
      </c>
      <c r="AA38" s="84">
        <v>0</v>
      </c>
      <c r="AB38" s="70">
        <f>AA38+50</f>
        <v>50</v>
      </c>
      <c r="AC38" s="71">
        <f>AB38+50</f>
        <v>100</v>
      </c>
      <c r="AD38" s="72">
        <f>AC38+50</f>
        <v>150</v>
      </c>
    </row>
    <row r="39" spans="2:30">
      <c r="B39" s="2518"/>
      <c r="C39" s="2519">
        <f t="shared" ref="C39:C45" si="2">C11</f>
        <v>-3</v>
      </c>
      <c r="D39" s="2520">
        <f t="dataTable" ref="D39:J45" dt2D="1" dtr="0" r1="E49" r2="E52" ca="1"/>
        <v>3.5399430826208313E-2</v>
      </c>
      <c r="E39" s="2520">
        <v>3.7359164892404553E-2</v>
      </c>
      <c r="F39" s="2520">
        <v>3.9356007917877439E-2</v>
      </c>
      <c r="G39" s="2521">
        <v>4.1341707198549835E-2</v>
      </c>
      <c r="H39" s="2520">
        <v>4.3316437785978192E-2</v>
      </c>
      <c r="I39" s="2520">
        <v>4.5280370698404321E-2</v>
      </c>
      <c r="J39" s="2522">
        <v>4.7195926552251223E-2</v>
      </c>
      <c r="L39" s="78"/>
      <c r="M39" s="1663">
        <f t="shared" ref="M39:M45" si="3">M11</f>
        <v>-2</v>
      </c>
      <c r="N39" s="1520">
        <f t="dataTable" ref="N39:T45" dt2D="1" dtr="0" r1="E50" r2="E53" ca="1"/>
        <v>9.2293489437856216E-2</v>
      </c>
      <c r="O39" s="1520">
        <v>9.2706659593465413E-2</v>
      </c>
      <c r="P39" s="1520">
        <v>9.3118791565432582E-2</v>
      </c>
      <c r="Q39" s="1521">
        <v>9.3529889976028374E-2</v>
      </c>
      <c r="R39" s="1520">
        <v>9.3939959416656046E-2</v>
      </c>
      <c r="S39" s="1520">
        <v>9.4349004448128743E-2</v>
      </c>
      <c r="T39" s="1522">
        <v>9.4757029600947812E-2</v>
      </c>
      <c r="V39" s="78"/>
      <c r="W39" s="1663">
        <f t="shared" ref="W39:W45" si="4">W11</f>
        <v>-2</v>
      </c>
      <c r="X39" s="1520">
        <f t="dataTable" ref="X39:AD45" dt2D="1" dtr="0" r1="E51" r2="E54" ca="1"/>
        <v>0.2297908982096831</v>
      </c>
      <c r="Y39" s="1520">
        <v>0.22820809938978664</v>
      </c>
      <c r="Z39" s="1520">
        <v>0.22670854957321054</v>
      </c>
      <c r="AA39" s="1521">
        <v>0.2252163636278636</v>
      </c>
      <c r="AB39" s="1520">
        <v>0.22365749134805074</v>
      </c>
      <c r="AC39" s="1520">
        <v>0.22218027840544163</v>
      </c>
      <c r="AD39" s="1522">
        <v>0.22071023110045995</v>
      </c>
    </row>
    <row r="40" spans="2:30">
      <c r="B40" s="2518"/>
      <c r="C40" s="2524">
        <f t="shared" si="2"/>
        <v>-2</v>
      </c>
      <c r="D40" s="2525">
        <v>9.010761130123382E-2</v>
      </c>
      <c r="E40" s="2526">
        <v>9.2435025621432534E-2</v>
      </c>
      <c r="F40" s="2526">
        <v>9.4749873051396719E-2</v>
      </c>
      <c r="G40" s="2527">
        <v>9.705050642321375E-2</v>
      </c>
      <c r="H40" s="2526">
        <v>9.9337159207461445E-2</v>
      </c>
      <c r="I40" s="2526">
        <v>0.10161005916098012</v>
      </c>
      <c r="J40" s="2528">
        <v>0.10386942851485202</v>
      </c>
      <c r="L40" s="78"/>
      <c r="M40" s="80">
        <f t="shared" si="3"/>
        <v>-2</v>
      </c>
      <c r="N40" s="1523">
        <v>9.2293489437856216E-2</v>
      </c>
      <c r="O40" s="1524">
        <v>9.2706659593465413E-2</v>
      </c>
      <c r="P40" s="1524">
        <v>9.3118791565432582E-2</v>
      </c>
      <c r="Q40" s="1525">
        <v>9.3529889976028374E-2</v>
      </c>
      <c r="R40" s="1524">
        <v>9.3939959416656046E-2</v>
      </c>
      <c r="S40" s="1524">
        <v>9.4349004448128743E-2</v>
      </c>
      <c r="T40" s="1526">
        <v>9.4757029600947812E-2</v>
      </c>
      <c r="V40" s="78"/>
      <c r="W40" s="80">
        <f t="shared" si="4"/>
        <v>-2</v>
      </c>
      <c r="X40" s="1523">
        <v>0.2297908982096831</v>
      </c>
      <c r="Y40" s="1524">
        <v>0.22820809938978664</v>
      </c>
      <c r="Z40" s="1524">
        <v>0.22670854957321054</v>
      </c>
      <c r="AA40" s="1525">
        <v>0.2252163636278636</v>
      </c>
      <c r="AB40" s="1524">
        <v>0.22365749134805074</v>
      </c>
      <c r="AC40" s="1524">
        <v>0.22218027840544163</v>
      </c>
      <c r="AD40" s="1526">
        <v>0.22071023110045995</v>
      </c>
    </row>
    <row r="41" spans="2:30">
      <c r="B41" s="2518" t="s">
        <v>1394</v>
      </c>
      <c r="C41" s="2524">
        <f t="shared" si="2"/>
        <v>-1</v>
      </c>
      <c r="D41" s="2525">
        <v>0.14118436379588437</v>
      </c>
      <c r="E41" s="2526">
        <v>0.14379063475685108</v>
      </c>
      <c r="F41" s="2526">
        <v>0.14684250671956856</v>
      </c>
      <c r="G41" s="2527">
        <v>0.14948165562796661</v>
      </c>
      <c r="H41" s="2526">
        <v>0.15210607424166492</v>
      </c>
      <c r="I41" s="2526">
        <v>0.15471602191622152</v>
      </c>
      <c r="J41" s="2528">
        <v>0.15731175159434466</v>
      </c>
      <c r="L41" s="78" t="s">
        <v>1394</v>
      </c>
      <c r="M41" s="80">
        <f t="shared" si="3"/>
        <v>-1</v>
      </c>
      <c r="N41" s="1523">
        <v>0.14473004238208703</v>
      </c>
      <c r="O41" s="1524">
        <v>0.14605265994798158</v>
      </c>
      <c r="P41" s="1524">
        <v>0.14691300417254963</v>
      </c>
      <c r="Q41" s="1525">
        <v>0.14783339712806923</v>
      </c>
      <c r="R41" s="1524">
        <v>0.14875151391131478</v>
      </c>
      <c r="S41" s="1524">
        <v>0.14960476724223226</v>
      </c>
      <c r="T41" s="1526">
        <v>0.15051830560522153</v>
      </c>
      <c r="V41" s="78" t="s">
        <v>1394</v>
      </c>
      <c r="W41" s="80">
        <f t="shared" si="4"/>
        <v>-1</v>
      </c>
      <c r="X41" s="1523">
        <v>0.20469550420412763</v>
      </c>
      <c r="Y41" s="1524">
        <v>0.20717480121436249</v>
      </c>
      <c r="Z41" s="1524">
        <v>0.20963557508556166</v>
      </c>
      <c r="AA41" s="1525">
        <v>0.21207813860418759</v>
      </c>
      <c r="AB41" s="1524">
        <v>0.21450279641417352</v>
      </c>
      <c r="AC41" s="1524">
        <v>0.21690984530171373</v>
      </c>
      <c r="AD41" s="1526">
        <v>0.21929957446759502</v>
      </c>
    </row>
    <row r="42" spans="2:30">
      <c r="B42" s="2518" t="s">
        <v>1826</v>
      </c>
      <c r="C42" s="2542">
        <f t="shared" si="2"/>
        <v>0</v>
      </c>
      <c r="D42" s="2530">
        <v>0.19010468300527278</v>
      </c>
      <c r="E42" s="2531">
        <v>0.19309150064287883</v>
      </c>
      <c r="F42" s="2531">
        <v>0.19599248987322379</v>
      </c>
      <c r="G42" s="2532">
        <v>0.19894642120911973</v>
      </c>
      <c r="H42" s="2531">
        <v>0.20181451705606801</v>
      </c>
      <c r="I42" s="2531">
        <v>0.20466645885375781</v>
      </c>
      <c r="J42" s="2533">
        <v>0.2075853865163092</v>
      </c>
      <c r="L42" s="78" t="s">
        <v>1826</v>
      </c>
      <c r="M42" s="85">
        <f t="shared" si="3"/>
        <v>0</v>
      </c>
      <c r="N42" s="1527">
        <v>0.19494579810911344</v>
      </c>
      <c r="O42" s="1528">
        <v>0.19628296082267932</v>
      </c>
      <c r="P42" s="1528">
        <v>0.19761649153520397</v>
      </c>
      <c r="Q42" s="1529">
        <v>0.19894642120911973</v>
      </c>
      <c r="R42" s="1528">
        <v>0.20027278042968613</v>
      </c>
      <c r="S42" s="1528">
        <v>0.20159559941127234</v>
      </c>
      <c r="T42" s="1530">
        <v>0.20291490800340814</v>
      </c>
      <c r="V42" s="78" t="s">
        <v>1826</v>
      </c>
      <c r="W42" s="85">
        <f t="shared" si="4"/>
        <v>0</v>
      </c>
      <c r="X42" s="1527">
        <v>0.17934186279863865</v>
      </c>
      <c r="Y42" s="1528">
        <v>0.18592326841576062</v>
      </c>
      <c r="Z42" s="1528">
        <v>0.19243391500745072</v>
      </c>
      <c r="AA42" s="1529">
        <v>0.19894642120911973</v>
      </c>
      <c r="AB42" s="1528">
        <v>0.20532494373074511</v>
      </c>
      <c r="AC42" s="1528">
        <v>0.21160510664767682</v>
      </c>
      <c r="AD42" s="1530">
        <v>0.21790215065308915</v>
      </c>
    </row>
    <row r="43" spans="2:30">
      <c r="B43" s="2518" t="s">
        <v>3666</v>
      </c>
      <c r="C43" s="2524">
        <f t="shared" si="2"/>
        <v>1</v>
      </c>
      <c r="D43" s="2525">
        <v>0.23585238377251147</v>
      </c>
      <c r="E43" s="2526">
        <v>0.23907852537751864</v>
      </c>
      <c r="F43" s="2526">
        <v>0.24236351960604594</v>
      </c>
      <c r="G43" s="2527">
        <v>0.24555569537936864</v>
      </c>
      <c r="H43" s="2526">
        <v>0.24873118861124344</v>
      </c>
      <c r="I43" s="2526">
        <v>0.25189031226385161</v>
      </c>
      <c r="J43" s="2528">
        <v>0.25511106754466228</v>
      </c>
      <c r="L43" s="78" t="s">
        <v>3666</v>
      </c>
      <c r="M43" s="80">
        <f t="shared" si="3"/>
        <v>1</v>
      </c>
      <c r="N43" s="1523">
        <v>0.24177485054278081</v>
      </c>
      <c r="O43" s="1524">
        <v>0.24357399526773635</v>
      </c>
      <c r="P43" s="1524">
        <v>0.24529223214279136</v>
      </c>
      <c r="Q43" s="1525">
        <v>0.2470057726539914</v>
      </c>
      <c r="R43" s="1524">
        <v>0.2487916681033196</v>
      </c>
      <c r="S43" s="1524">
        <v>0.25049616598829794</v>
      </c>
      <c r="T43" s="1526">
        <v>0.25219611293226507</v>
      </c>
      <c r="V43" s="78" t="s">
        <v>3666</v>
      </c>
      <c r="W43" s="80">
        <f t="shared" si="4"/>
        <v>1</v>
      </c>
      <c r="X43" s="1523">
        <v>0.15337825042370451</v>
      </c>
      <c r="Y43" s="1524">
        <v>0.16430222619866849</v>
      </c>
      <c r="Z43" s="1524">
        <v>0.17511319015863511</v>
      </c>
      <c r="AA43" s="1525">
        <v>0.18576181962530519</v>
      </c>
      <c r="AB43" s="1524">
        <v>0.19618189471007966</v>
      </c>
      <c r="AC43" s="1524">
        <v>0.20640822657291052</v>
      </c>
      <c r="AD43" s="1526">
        <v>0.21651775063953205</v>
      </c>
    </row>
    <row r="44" spans="2:30">
      <c r="B44" s="2534"/>
      <c r="C44" s="2524">
        <f t="shared" si="2"/>
        <v>2</v>
      </c>
      <c r="D44" s="2525">
        <v>0.27611041953850968</v>
      </c>
      <c r="E44" s="2526">
        <v>0.27942993640101749</v>
      </c>
      <c r="F44" s="2526">
        <v>0.28272735951085759</v>
      </c>
      <c r="G44" s="2527">
        <v>0.28592184293874784</v>
      </c>
      <c r="H44" s="2526">
        <v>0.28917586169167792</v>
      </c>
      <c r="I44" s="2526">
        <v>0.29240888080235738</v>
      </c>
      <c r="J44" s="2528">
        <v>0.29553907558929965</v>
      </c>
      <c r="L44" s="82"/>
      <c r="M44" s="80">
        <f t="shared" si="3"/>
        <v>2</v>
      </c>
      <c r="N44" s="1523">
        <v>0.28262348267464527</v>
      </c>
      <c r="O44" s="1524">
        <v>0.28460208922705099</v>
      </c>
      <c r="P44" s="1524">
        <v>0.28649183836377934</v>
      </c>
      <c r="Q44" s="1525">
        <v>0.28845520226639337</v>
      </c>
      <c r="R44" s="1524">
        <v>0.29041115879767598</v>
      </c>
      <c r="S44" s="1524">
        <v>0.29235978077484925</v>
      </c>
      <c r="T44" s="1526">
        <v>0.29421905836043127</v>
      </c>
      <c r="V44" s="82"/>
      <c r="W44" s="80">
        <f t="shared" si="4"/>
        <v>2</v>
      </c>
      <c r="X44" s="1523">
        <v>0.12674273393385718</v>
      </c>
      <c r="Y44" s="1524">
        <v>0.14248807660525165</v>
      </c>
      <c r="Z44" s="1524">
        <v>0.157603295517312</v>
      </c>
      <c r="AA44" s="1525">
        <v>0.17245637803409555</v>
      </c>
      <c r="AB44" s="1524">
        <v>0.18700802788810086</v>
      </c>
      <c r="AC44" s="1524">
        <v>0.2012005069220687</v>
      </c>
      <c r="AD44" s="1526">
        <v>0.21507539925042696</v>
      </c>
    </row>
    <row r="45" spans="2:30">
      <c r="B45" s="2534"/>
      <c r="C45" s="2535">
        <f t="shared" si="2"/>
        <v>3</v>
      </c>
      <c r="D45" s="2536">
        <v>0.31287919851950619</v>
      </c>
      <c r="E45" s="2537">
        <v>0.31637562723052104</v>
      </c>
      <c r="F45" s="2537">
        <v>0.31976413058091457</v>
      </c>
      <c r="G45" s="2538">
        <v>0.32321465227881324</v>
      </c>
      <c r="H45" s="2537">
        <v>0.32655733866606451</v>
      </c>
      <c r="I45" s="2537">
        <v>0.32996348323674712</v>
      </c>
      <c r="J45" s="2539">
        <v>0.33334816450391686</v>
      </c>
      <c r="L45" s="82"/>
      <c r="M45" s="83">
        <f t="shared" si="3"/>
        <v>3</v>
      </c>
      <c r="N45" s="1531">
        <v>0.32008042318559815</v>
      </c>
      <c r="O45" s="1532">
        <v>0.32233506803508843</v>
      </c>
      <c r="P45" s="1532">
        <v>0.32449521364710104</v>
      </c>
      <c r="Q45" s="1533">
        <v>0.32673163063481425</v>
      </c>
      <c r="R45" s="1532">
        <v>0.32895919833103232</v>
      </c>
      <c r="S45" s="1532">
        <v>0.33109186230192283</v>
      </c>
      <c r="T45" s="1534">
        <v>0.33330177093280527</v>
      </c>
      <c r="V45" s="82"/>
      <c r="W45" s="83">
        <f t="shared" si="4"/>
        <v>3</v>
      </c>
      <c r="X45" s="1531">
        <v>0.10018223404127491</v>
      </c>
      <c r="Y45" s="1532">
        <v>0.12017485106916995</v>
      </c>
      <c r="Z45" s="1532">
        <v>0.14001495227796334</v>
      </c>
      <c r="AA45" s="1533">
        <v>0.15916317781310646</v>
      </c>
      <c r="AB45" s="1532">
        <v>0.17787072010128163</v>
      </c>
      <c r="AC45" s="1532">
        <v>0.19603298587181636</v>
      </c>
      <c r="AD45" s="1534">
        <v>0.21371699444423539</v>
      </c>
    </row>
    <row r="48" spans="2:30" hidden="1" outlineLevel="1">
      <c r="B48" s="2" t="s">
        <v>3140</v>
      </c>
      <c r="L48" s="41"/>
      <c r="M48" s="1"/>
      <c r="N48" s="1"/>
      <c r="O48" s="1"/>
      <c r="P48" s="1"/>
      <c r="V48" s="41"/>
      <c r="W48" s="1"/>
      <c r="X48" s="1"/>
      <c r="Y48" s="1"/>
      <c r="Z48" s="1"/>
    </row>
    <row r="49" spans="2:26" hidden="1" outlineLevel="1">
      <c r="B49" t="s">
        <v>4115</v>
      </c>
      <c r="E49" s="2543">
        <v>0</v>
      </c>
      <c r="L49" s="1"/>
      <c r="M49" s="1"/>
      <c r="N49" s="86"/>
      <c r="O49" s="1"/>
      <c r="P49" s="1"/>
      <c r="V49" s="1"/>
      <c r="W49" s="1"/>
      <c r="X49" s="86"/>
      <c r="Y49" s="1"/>
      <c r="Z49" s="1"/>
    </row>
    <row r="50" spans="2:26" hidden="1" outlineLevel="1">
      <c r="B50" t="s">
        <v>3141</v>
      </c>
      <c r="E50" s="2543">
        <v>0</v>
      </c>
      <c r="L50" s="1"/>
      <c r="M50" s="1"/>
      <c r="N50" s="86"/>
      <c r="O50" s="1"/>
      <c r="P50" s="1"/>
      <c r="V50" s="1"/>
      <c r="W50" s="1"/>
      <c r="X50" s="86"/>
      <c r="Y50" s="1"/>
      <c r="Z50" s="1"/>
    </row>
    <row r="51" spans="2:26" hidden="1" outlineLevel="1">
      <c r="B51" t="s">
        <v>3142</v>
      </c>
      <c r="E51" s="2543">
        <v>0</v>
      </c>
      <c r="L51" s="1"/>
      <c r="M51" s="1"/>
      <c r="N51" s="86"/>
      <c r="O51" s="1"/>
      <c r="P51" s="1"/>
      <c r="V51" s="1"/>
      <c r="W51" s="1"/>
      <c r="X51" s="86"/>
      <c r="Y51" s="1"/>
      <c r="Z51" s="1"/>
    </row>
    <row r="52" spans="2:26" hidden="1" outlineLevel="1">
      <c r="B52" t="s">
        <v>4116</v>
      </c>
      <c r="E52" s="2543">
        <v>0</v>
      </c>
      <c r="L52" s="1"/>
      <c r="M52" s="1"/>
      <c r="N52" s="86"/>
      <c r="O52" s="1"/>
      <c r="P52" s="1"/>
      <c r="V52" s="1"/>
      <c r="W52" s="1"/>
      <c r="X52" s="86"/>
      <c r="Y52" s="1"/>
      <c r="Z52" s="1"/>
    </row>
    <row r="53" spans="2:26" hidden="1" outlineLevel="1">
      <c r="B53" t="s">
        <v>42</v>
      </c>
      <c r="E53" s="2543">
        <v>0</v>
      </c>
      <c r="L53" s="1"/>
      <c r="M53" s="1"/>
      <c r="N53" s="86"/>
      <c r="O53" s="1"/>
      <c r="P53" s="1"/>
      <c r="V53" s="1"/>
      <c r="W53" s="1"/>
      <c r="X53" s="86"/>
      <c r="Y53" s="1"/>
      <c r="Z53" s="1"/>
    </row>
    <row r="54" spans="2:26" hidden="1" outlineLevel="1">
      <c r="B54" t="s">
        <v>43</v>
      </c>
      <c r="E54" s="2543">
        <v>0</v>
      </c>
      <c r="L54" s="1"/>
      <c r="M54" s="1"/>
      <c r="N54" s="86"/>
      <c r="O54" s="1"/>
      <c r="P54" s="1"/>
      <c r="V54" s="1"/>
      <c r="W54" s="1"/>
      <c r="X54" s="86"/>
      <c r="Y54" s="1"/>
      <c r="Z54" s="1"/>
    </row>
    <row r="55" spans="2:26" hidden="1" outlineLevel="1">
      <c r="B55" t="s">
        <v>4117</v>
      </c>
      <c r="E55">
        <f>'2.0 Patients'!M74+'2.0 Patients'!M76</f>
        <v>81</v>
      </c>
      <c r="F55">
        <f>'2.0 Patients'!K76</f>
        <v>6</v>
      </c>
      <c r="L55" s="1"/>
      <c r="M55" s="1"/>
      <c r="N55" s="86"/>
      <c r="O55" s="1"/>
      <c r="P55" s="1"/>
      <c r="V55" s="1"/>
      <c r="W55" s="1"/>
      <c r="X55" s="86"/>
      <c r="Y55" s="1"/>
      <c r="Z55" s="1"/>
    </row>
    <row r="56" spans="2:26" hidden="1" outlineLevel="1">
      <c r="B56" t="s">
        <v>2191</v>
      </c>
      <c r="E56" s="2544">
        <f>'2.0 Patients'!M80+'2.0 Patients'!M82</f>
        <v>25</v>
      </c>
      <c r="F56" s="2544">
        <f>'2.0 Patients'!K82</f>
        <v>2</v>
      </c>
      <c r="L56" s="1"/>
      <c r="M56" s="1"/>
      <c r="N56" s="86"/>
      <c r="O56" s="1"/>
      <c r="P56" s="1"/>
      <c r="V56" s="1"/>
      <c r="W56" s="1"/>
      <c r="X56" s="86"/>
      <c r="Y56" s="1"/>
      <c r="Z56" s="1"/>
    </row>
    <row r="57" spans="2:26" hidden="1" outlineLevel="1">
      <c r="B57" t="s">
        <v>2192</v>
      </c>
      <c r="E57" s="2544">
        <f>'2.0 Patients'!M86+'2.0 Patients'!M88</f>
        <v>10</v>
      </c>
      <c r="F57">
        <f>'2.0 Patients'!K88</f>
        <v>2</v>
      </c>
      <c r="L57" s="1"/>
      <c r="M57" s="1"/>
      <c r="N57" s="86"/>
      <c r="O57" s="1"/>
      <c r="P57" s="1"/>
      <c r="V57" s="1"/>
      <c r="W57" s="1"/>
      <c r="X57" s="86"/>
      <c r="Y57" s="1"/>
      <c r="Z57" s="1"/>
    </row>
    <row r="58" spans="2:26" hidden="1" outlineLevel="1">
      <c r="L58" s="1"/>
      <c r="M58" s="1"/>
      <c r="N58" s="1"/>
      <c r="O58" s="1"/>
      <c r="P58" s="1"/>
      <c r="V58" s="1"/>
      <c r="W58" s="1"/>
      <c r="X58" s="1"/>
      <c r="Y58" s="1"/>
      <c r="Z58" s="1"/>
    </row>
    <row r="59" spans="2:26" collapsed="1">
      <c r="B59" t="s">
        <v>107</v>
      </c>
    </row>
    <row r="60" spans="2:26">
      <c r="B60" t="s">
        <v>1373</v>
      </c>
    </row>
    <row r="61" spans="2:26">
      <c r="B61" t="s">
        <v>108</v>
      </c>
    </row>
    <row r="63" spans="2:26">
      <c r="B63" t="s">
        <v>1938</v>
      </c>
      <c r="D63" s="1511" t="s">
        <v>1090</v>
      </c>
      <c r="E63" s="1511" t="s">
        <v>1091</v>
      </c>
      <c r="F63" s="1511" t="s">
        <v>2165</v>
      </c>
      <c r="G63" s="1511" t="s">
        <v>2166</v>
      </c>
      <c r="H63" s="1511" t="s">
        <v>2167</v>
      </c>
    </row>
    <row r="64" spans="2:26">
      <c r="B64" s="1512" t="s">
        <v>3324</v>
      </c>
      <c r="D64">
        <f>'2.0 Patients'!I74+'2.0 Patients'!I76</f>
        <v>26</v>
      </c>
      <c r="E64">
        <f>'2.0 Patients'!J74+'2.0 Patients'!J76</f>
        <v>46</v>
      </c>
      <c r="F64">
        <f>'2.0 Patients'!K74+'2.0 Patients'!K76</f>
        <v>59</v>
      </c>
      <c r="G64">
        <f>'2.0 Patients'!L74+'2.0 Patients'!L76</f>
        <v>72</v>
      </c>
      <c r="H64">
        <f>'2.0 Patients'!M74+'2.0 Patients'!M76</f>
        <v>81</v>
      </c>
    </row>
    <row r="65" spans="2:8">
      <c r="B65" s="1512" t="s">
        <v>6</v>
      </c>
      <c r="D65">
        <f>'2.0 Patients'!I80+'2.0 Patients'!I82</f>
        <v>7</v>
      </c>
      <c r="E65">
        <f>'2.0 Patients'!J80+'2.0 Patients'!J82</f>
        <v>13</v>
      </c>
      <c r="F65">
        <f>'2.0 Patients'!K80+'2.0 Patients'!K82</f>
        <v>17</v>
      </c>
      <c r="G65">
        <f>'2.0 Patients'!L80+'2.0 Patients'!L82</f>
        <v>22</v>
      </c>
      <c r="H65">
        <f>'2.0 Patients'!M80+'2.0 Patients'!M82</f>
        <v>25</v>
      </c>
    </row>
    <row r="66" spans="2:8">
      <c r="B66" s="1512" t="s">
        <v>1402</v>
      </c>
      <c r="D66">
        <f>'2.0 Patients'!I86+'2.0 Patients'!I88</f>
        <v>3</v>
      </c>
      <c r="E66">
        <f>'2.0 Patients'!J86+'2.0 Patients'!J88</f>
        <v>6</v>
      </c>
      <c r="F66">
        <f>'2.0 Patients'!K86+'2.0 Patients'!K88</f>
        <v>8</v>
      </c>
      <c r="G66">
        <f>'2.0 Patients'!L86+'2.0 Patients'!L88</f>
        <v>9</v>
      </c>
      <c r="H66">
        <f>'2.0 Patients'!M86+'2.0 Patients'!M88</f>
        <v>10</v>
      </c>
    </row>
  </sheetData>
  <sheetProtection sheet="1" objects="1" scenarios="1"/>
  <phoneticPr fontId="18" type="noConversion"/>
  <conditionalFormatting sqref="W24 M10 M24 W10 B7:J46">
    <cfRule type="expression" dxfId="13" priority="2" stopIfTrue="1">
      <formula>$E$55=0</formula>
    </cfRule>
  </conditionalFormatting>
  <conditionalFormatting sqref="N46:T46 N18:T24 N32:T38 L7:L46 M7:M9 N7:T10 M12:M23 M25:M46">
    <cfRule type="expression" dxfId="12" priority="3" stopIfTrue="1">
      <formula>$E$56=0</formula>
    </cfRule>
  </conditionalFormatting>
  <conditionalFormatting sqref="X46:AD46 X7:AD10 X18:AD24 X32:AD38 V7:V46 W7:W9 W11:W23 W25:W46">
    <cfRule type="expression" dxfId="11" priority="4" stopIfTrue="1">
      <formula>$E$57=0</formula>
    </cfRule>
  </conditionalFormatting>
  <conditionalFormatting sqref="M11">
    <cfRule type="expression" dxfId="10" priority="5" stopIfTrue="1">
      <formula>$E$56=0</formula>
    </cfRule>
  </conditionalFormatting>
  <conditionalFormatting sqref="N11:T17 N25:T31 N39:T45">
    <cfRule type="expression" dxfId="9" priority="6" stopIfTrue="1">
      <formula>$E$56=0</formula>
    </cfRule>
  </conditionalFormatting>
  <conditionalFormatting sqref="X11:AD17 X25:AD31 X39:AD45">
    <cfRule type="expression" dxfId="8" priority="7" stopIfTrue="1">
      <formula>$E$57=0</formula>
    </cfRule>
  </conditionalFormatting>
  <conditionalFormatting sqref="B7:J46">
    <cfRule type="expression" dxfId="7" priority="1" stopIfTrue="1">
      <formula>$E$55=0</formula>
    </cfRule>
  </conditionalFormatting>
  <pageMargins left="0.5" right="0.5" top="1" bottom="1" header="0.5" footer="0.5"/>
  <pageSetup scale="43" orientation="portrait" r:id="rId1"/>
  <headerFooter alignWithMargins="0">
    <oddHeader>&amp;C&amp;F</oddHeader>
    <oddFooter>&amp;L&amp;A&amp;C&amp;P of &amp;N&amp;R&amp;D &amp;T</oddFooter>
  </headerFooter>
</worksheet>
</file>

<file path=xl/worksheets/sheet38.xml><?xml version="1.0" encoding="utf-8"?>
<worksheet xmlns="http://schemas.openxmlformats.org/spreadsheetml/2006/main" xmlns:r="http://schemas.openxmlformats.org/officeDocument/2006/relationships">
  <sheetPr codeName="Sheet21" enableFormatConditionsCalculation="0">
    <tabColor indexed="43"/>
    <pageSetUpPr autoPageBreaks="0"/>
  </sheetPr>
  <dimension ref="A1:BZ329"/>
  <sheetViews>
    <sheetView showGridLines="0" zoomScale="85" zoomScaleNormal="85" zoomScaleSheetLayoutView="100" workbookViewId="0">
      <pane xSplit="13" ySplit="6" topLeftCell="N62" activePane="bottomRight" state="frozen"/>
      <selection activeCell="R10" sqref="R10"/>
      <selection pane="topRight" activeCell="R10" sqref="R10"/>
      <selection pane="bottomLeft" activeCell="R10" sqref="R10"/>
      <selection pane="bottomRight" activeCell="O99" sqref="O99"/>
    </sheetView>
  </sheetViews>
  <sheetFormatPr defaultRowHeight="11.25" outlineLevelRow="1" outlineLevelCol="1"/>
  <cols>
    <col min="1" max="3" width="2.7109375" style="109" customWidth="1"/>
    <col min="4" max="4" width="2.7109375" style="373" customWidth="1"/>
    <col min="5" max="5" width="2.7109375" style="109" customWidth="1"/>
    <col min="6" max="6" width="2.7109375" style="373" customWidth="1"/>
    <col min="7" max="7" width="26.7109375" style="373" customWidth="1"/>
    <col min="8" max="8" width="12.7109375" style="373" customWidth="1"/>
    <col min="9" max="13" width="12.7109375" style="109" customWidth="1"/>
    <col min="14" max="14" width="9.140625" style="373"/>
    <col min="15" max="16" width="2.7109375" style="373" customWidth="1"/>
    <col min="17" max="17" width="11.7109375" style="373" customWidth="1" outlineLevel="1"/>
    <col min="18" max="65" width="10.7109375" style="109" customWidth="1" outlineLevel="1"/>
    <col min="66" max="77" width="10.7109375" style="109" customWidth="1"/>
    <col min="78" max="78" width="10.7109375" style="109" customWidth="1" outlineLevel="1"/>
    <col min="79" max="16384" width="9.140625" style="109"/>
  </cols>
  <sheetData>
    <row r="1" spans="2:78" s="373" customFormat="1">
      <c r="AC1" s="1946">
        <f>(AC48+AC56)/(4*4.2*12)</f>
        <v>0.22139550264550262</v>
      </c>
    </row>
    <row r="2" spans="2:78" s="373" customFormat="1">
      <c r="B2" s="636"/>
      <c r="C2" s="1477" t="str">
        <f>Type&amp;" P&amp;L"</f>
        <v>DeNovo P&amp;L</v>
      </c>
      <c r="D2" s="636"/>
      <c r="E2" s="636"/>
      <c r="F2" s="637"/>
      <c r="G2" s="637"/>
      <c r="H2" s="636"/>
      <c r="I2" s="636"/>
      <c r="J2" s="636"/>
      <c r="K2" s="636"/>
      <c r="L2" s="636"/>
      <c r="M2" s="636"/>
      <c r="N2" s="636"/>
      <c r="O2" s="636"/>
      <c r="P2" s="638"/>
    </row>
    <row r="3" spans="2:78" s="373" customFormat="1">
      <c r="B3" s="636"/>
      <c r="O3" s="636"/>
      <c r="P3" s="638"/>
      <c r="Q3" s="641"/>
      <c r="R3" s="799"/>
      <c r="S3" s="799"/>
      <c r="T3" s="799"/>
      <c r="U3" s="799"/>
      <c r="V3" s="799"/>
      <c r="W3" s="799"/>
      <c r="X3" s="799"/>
      <c r="Y3" s="799"/>
      <c r="Z3" s="799"/>
      <c r="AA3" s="799"/>
      <c r="AB3" s="799"/>
      <c r="AC3" s="799"/>
      <c r="AD3" s="799"/>
      <c r="AE3" s="799"/>
      <c r="AF3" s="799"/>
      <c r="AG3" s="799"/>
      <c r="AH3" s="799"/>
      <c r="AI3" s="799"/>
      <c r="AJ3" s="799"/>
      <c r="AK3" s="799"/>
      <c r="AL3" s="799"/>
      <c r="AM3" s="799"/>
      <c r="AN3" s="799"/>
      <c r="AO3" s="799"/>
      <c r="AP3" s="799"/>
      <c r="AQ3" s="799"/>
      <c r="AR3" s="799"/>
      <c r="AS3" s="799"/>
      <c r="AT3" s="799"/>
      <c r="AU3" s="799"/>
      <c r="AV3" s="799"/>
      <c r="AW3" s="799"/>
      <c r="AX3" s="799"/>
      <c r="AY3" s="799"/>
      <c r="AZ3" s="799"/>
      <c r="BA3" s="799"/>
      <c r="BB3" s="799"/>
      <c r="BC3" s="799"/>
      <c r="BD3" s="799"/>
      <c r="BE3" s="799"/>
      <c r="BF3" s="799"/>
      <c r="BG3" s="799"/>
      <c r="BH3" s="799"/>
      <c r="BI3" s="799"/>
      <c r="BJ3" s="799"/>
      <c r="BK3" s="799"/>
      <c r="BL3" s="799"/>
      <c r="BM3" s="799"/>
      <c r="BN3" s="799"/>
      <c r="BO3" s="799"/>
      <c r="BP3" s="799"/>
      <c r="BQ3" s="799"/>
      <c r="BR3" s="799"/>
      <c r="BS3" s="799"/>
      <c r="BT3" s="799"/>
      <c r="BU3" s="799"/>
      <c r="BV3" s="799"/>
      <c r="BW3" s="799"/>
      <c r="BX3" s="799"/>
      <c r="BY3" s="799"/>
    </row>
    <row r="4" spans="2:78" s="373" customFormat="1">
      <c r="B4" s="636"/>
      <c r="O4" s="636"/>
      <c r="P4" s="638"/>
      <c r="Q4" s="641"/>
      <c r="R4" s="799"/>
      <c r="S4" s="799"/>
      <c r="T4" s="799"/>
      <c r="U4" s="799"/>
      <c r="V4" s="799"/>
      <c r="W4" s="799"/>
      <c r="X4" s="799"/>
      <c r="Y4" s="799"/>
      <c r="Z4" s="799"/>
      <c r="AA4" s="799"/>
      <c r="AB4" s="799"/>
      <c r="AC4" s="799"/>
      <c r="AD4" s="799"/>
      <c r="AE4" s="799"/>
      <c r="AF4" s="799"/>
      <c r="AG4" s="799"/>
      <c r="AH4" s="799"/>
      <c r="AI4" s="799"/>
      <c r="AJ4" s="799"/>
      <c r="AK4" s="799"/>
      <c r="AL4" s="799"/>
      <c r="AM4" s="799"/>
      <c r="AN4" s="799"/>
      <c r="AO4" s="799"/>
      <c r="AP4" s="799"/>
      <c r="AQ4" s="799"/>
      <c r="AR4" s="799"/>
      <c r="AS4" s="799"/>
      <c r="AT4" s="799"/>
      <c r="AU4" s="799"/>
      <c r="AV4" s="799"/>
      <c r="AW4" s="799"/>
      <c r="AX4" s="799"/>
      <c r="AY4" s="799"/>
      <c r="AZ4" s="799"/>
      <c r="BA4" s="799"/>
      <c r="BB4" s="799"/>
      <c r="BC4" s="799"/>
      <c r="BD4" s="799"/>
      <c r="BE4" s="799"/>
      <c r="BF4" s="799"/>
      <c r="BG4" s="799"/>
      <c r="BH4" s="799"/>
      <c r="BI4" s="799"/>
      <c r="BJ4" s="799"/>
      <c r="BK4" s="799"/>
      <c r="BL4" s="799"/>
      <c r="BM4" s="799"/>
      <c r="BN4" s="799"/>
      <c r="BO4" s="799"/>
      <c r="BP4" s="799"/>
      <c r="BQ4" s="799"/>
      <c r="BR4" s="799"/>
      <c r="BS4" s="799"/>
      <c r="BT4" s="799"/>
      <c r="BU4" s="799"/>
      <c r="BV4" s="799"/>
      <c r="BW4" s="799"/>
      <c r="BX4" s="799"/>
      <c r="BY4" s="799"/>
    </row>
    <row r="5" spans="2:78" s="373" customFormat="1">
      <c r="B5" s="636"/>
      <c r="F5" s="803"/>
      <c r="G5" s="803"/>
      <c r="O5" s="636"/>
      <c r="P5" s="638"/>
      <c r="Q5" s="641"/>
      <c r="R5" s="799"/>
      <c r="S5" s="799"/>
      <c r="T5" s="799"/>
      <c r="U5" s="799"/>
      <c r="V5" s="799"/>
      <c r="W5" s="799"/>
      <c r="X5" s="799"/>
      <c r="Y5" s="799"/>
      <c r="Z5" s="799"/>
      <c r="AA5" s="799"/>
      <c r="AB5" s="799"/>
      <c r="AC5" s="799"/>
      <c r="AD5" s="799"/>
      <c r="AE5" s="799"/>
      <c r="AF5" s="799"/>
      <c r="AG5" s="799"/>
      <c r="AH5" s="799"/>
      <c r="AI5" s="799"/>
      <c r="AJ5" s="799"/>
      <c r="AK5" s="799"/>
      <c r="AL5" s="799"/>
      <c r="AM5" s="799"/>
      <c r="AN5" s="799"/>
      <c r="AO5" s="799"/>
      <c r="AP5" s="799"/>
      <c r="AQ5" s="799"/>
      <c r="AR5" s="799"/>
      <c r="AS5" s="799"/>
      <c r="AT5" s="799"/>
      <c r="AU5" s="799"/>
      <c r="AV5" s="799"/>
      <c r="AW5" s="799"/>
      <c r="AX5" s="799"/>
      <c r="AY5" s="799"/>
      <c r="AZ5" s="799"/>
      <c r="BA5" s="799"/>
      <c r="BB5" s="799"/>
      <c r="BC5" s="799"/>
      <c r="BD5" s="799"/>
      <c r="BE5" s="799"/>
      <c r="BF5" s="799"/>
      <c r="BG5" s="799"/>
      <c r="BH5" s="799"/>
      <c r="BI5" s="799"/>
      <c r="BJ5" s="799"/>
      <c r="BK5" s="799"/>
      <c r="BL5" s="799"/>
      <c r="BM5" s="799"/>
      <c r="BN5" s="799"/>
      <c r="BO5" s="799"/>
      <c r="BP5" s="799"/>
      <c r="BQ5" s="799"/>
      <c r="BR5" s="799"/>
      <c r="BS5" s="799"/>
      <c r="BT5" s="799"/>
      <c r="BU5" s="799"/>
      <c r="BV5" s="799"/>
      <c r="BW5" s="799"/>
      <c r="BX5" s="799"/>
      <c r="BY5" s="799"/>
    </row>
    <row r="6" spans="2:78" s="639" customFormat="1">
      <c r="B6" s="636"/>
      <c r="D6" s="953" t="s">
        <v>92</v>
      </c>
      <c r="E6" s="649"/>
      <c r="F6" s="649"/>
      <c r="G6" s="370">
        <f ca="1">'1.0 Summary'!$K$10</f>
        <v>41816</v>
      </c>
      <c r="H6" s="642" t="s">
        <v>1857</v>
      </c>
      <c r="I6" s="642" t="s">
        <v>1090</v>
      </c>
      <c r="J6" s="642" t="s">
        <v>1091</v>
      </c>
      <c r="K6" s="642" t="s">
        <v>2165</v>
      </c>
      <c r="L6" s="642" t="s">
        <v>2166</v>
      </c>
      <c r="M6" s="642" t="s">
        <v>2167</v>
      </c>
      <c r="N6" s="373"/>
      <c r="O6" s="636"/>
      <c r="P6" s="638"/>
      <c r="Q6" s="643">
        <v>0</v>
      </c>
      <c r="R6" s="1260">
        <f>Q6+1</f>
        <v>1</v>
      </c>
      <c r="S6" s="644">
        <f t="shared" ref="S6:BY6" si="0">R6+1</f>
        <v>2</v>
      </c>
      <c r="T6" s="644">
        <f t="shared" si="0"/>
        <v>3</v>
      </c>
      <c r="U6" s="644">
        <f t="shared" si="0"/>
        <v>4</v>
      </c>
      <c r="V6" s="644">
        <f t="shared" si="0"/>
        <v>5</v>
      </c>
      <c r="W6" s="644">
        <f t="shared" si="0"/>
        <v>6</v>
      </c>
      <c r="X6" s="644">
        <f t="shared" si="0"/>
        <v>7</v>
      </c>
      <c r="Y6" s="644">
        <f t="shared" si="0"/>
        <v>8</v>
      </c>
      <c r="Z6" s="644">
        <f t="shared" si="0"/>
        <v>9</v>
      </c>
      <c r="AA6" s="644">
        <f t="shared" si="0"/>
        <v>10</v>
      </c>
      <c r="AB6" s="644">
        <f t="shared" si="0"/>
        <v>11</v>
      </c>
      <c r="AC6" s="945">
        <f t="shared" si="0"/>
        <v>12</v>
      </c>
      <c r="AD6" s="644">
        <f t="shared" si="0"/>
        <v>13</v>
      </c>
      <c r="AE6" s="644">
        <f t="shared" si="0"/>
        <v>14</v>
      </c>
      <c r="AF6" s="644">
        <f t="shared" si="0"/>
        <v>15</v>
      </c>
      <c r="AG6" s="644">
        <f t="shared" si="0"/>
        <v>16</v>
      </c>
      <c r="AH6" s="644">
        <f t="shared" si="0"/>
        <v>17</v>
      </c>
      <c r="AI6" s="644">
        <f t="shared" si="0"/>
        <v>18</v>
      </c>
      <c r="AJ6" s="644">
        <f t="shared" si="0"/>
        <v>19</v>
      </c>
      <c r="AK6" s="644">
        <f t="shared" si="0"/>
        <v>20</v>
      </c>
      <c r="AL6" s="644">
        <f t="shared" si="0"/>
        <v>21</v>
      </c>
      <c r="AM6" s="644">
        <f t="shared" si="0"/>
        <v>22</v>
      </c>
      <c r="AN6" s="644">
        <f t="shared" si="0"/>
        <v>23</v>
      </c>
      <c r="AO6" s="945">
        <f t="shared" si="0"/>
        <v>24</v>
      </c>
      <c r="AP6" s="644">
        <f t="shared" si="0"/>
        <v>25</v>
      </c>
      <c r="AQ6" s="644">
        <f t="shared" si="0"/>
        <v>26</v>
      </c>
      <c r="AR6" s="644">
        <f t="shared" si="0"/>
        <v>27</v>
      </c>
      <c r="AS6" s="644">
        <f t="shared" si="0"/>
        <v>28</v>
      </c>
      <c r="AT6" s="644">
        <f t="shared" si="0"/>
        <v>29</v>
      </c>
      <c r="AU6" s="644">
        <f t="shared" si="0"/>
        <v>30</v>
      </c>
      <c r="AV6" s="644">
        <f t="shared" si="0"/>
        <v>31</v>
      </c>
      <c r="AW6" s="644">
        <f t="shared" si="0"/>
        <v>32</v>
      </c>
      <c r="AX6" s="644">
        <f t="shared" si="0"/>
        <v>33</v>
      </c>
      <c r="AY6" s="644">
        <f t="shared" si="0"/>
        <v>34</v>
      </c>
      <c r="AZ6" s="644">
        <f t="shared" si="0"/>
        <v>35</v>
      </c>
      <c r="BA6" s="945">
        <f t="shared" si="0"/>
        <v>36</v>
      </c>
      <c r="BB6" s="644">
        <f t="shared" si="0"/>
        <v>37</v>
      </c>
      <c r="BC6" s="644">
        <f t="shared" si="0"/>
        <v>38</v>
      </c>
      <c r="BD6" s="644">
        <f t="shared" si="0"/>
        <v>39</v>
      </c>
      <c r="BE6" s="644">
        <f t="shared" si="0"/>
        <v>40</v>
      </c>
      <c r="BF6" s="644">
        <f t="shared" si="0"/>
        <v>41</v>
      </c>
      <c r="BG6" s="644">
        <f t="shared" si="0"/>
        <v>42</v>
      </c>
      <c r="BH6" s="644">
        <f t="shared" si="0"/>
        <v>43</v>
      </c>
      <c r="BI6" s="644">
        <f t="shared" si="0"/>
        <v>44</v>
      </c>
      <c r="BJ6" s="644">
        <f t="shared" si="0"/>
        <v>45</v>
      </c>
      <c r="BK6" s="644">
        <f t="shared" si="0"/>
        <v>46</v>
      </c>
      <c r="BL6" s="644">
        <f t="shared" si="0"/>
        <v>47</v>
      </c>
      <c r="BM6" s="945">
        <f t="shared" si="0"/>
        <v>48</v>
      </c>
      <c r="BN6" s="644">
        <f t="shared" si="0"/>
        <v>49</v>
      </c>
      <c r="BO6" s="644">
        <f t="shared" si="0"/>
        <v>50</v>
      </c>
      <c r="BP6" s="644">
        <f t="shared" si="0"/>
        <v>51</v>
      </c>
      <c r="BQ6" s="644">
        <f t="shared" si="0"/>
        <v>52</v>
      </c>
      <c r="BR6" s="644">
        <f t="shared" si="0"/>
        <v>53</v>
      </c>
      <c r="BS6" s="644">
        <f t="shared" si="0"/>
        <v>54</v>
      </c>
      <c r="BT6" s="644">
        <f t="shared" si="0"/>
        <v>55</v>
      </c>
      <c r="BU6" s="644">
        <f t="shared" si="0"/>
        <v>56</v>
      </c>
      <c r="BV6" s="644">
        <f t="shared" si="0"/>
        <v>57</v>
      </c>
      <c r="BW6" s="644">
        <f t="shared" si="0"/>
        <v>58</v>
      </c>
      <c r="BX6" s="644">
        <f t="shared" si="0"/>
        <v>59</v>
      </c>
      <c r="BY6" s="945">
        <f t="shared" si="0"/>
        <v>60</v>
      </c>
      <c r="BZ6" s="952" t="s">
        <v>1702</v>
      </c>
    </row>
    <row r="7" spans="2:78" s="1112" customFormat="1">
      <c r="B7" s="668"/>
      <c r="D7" s="1113"/>
      <c r="E7" s="1113"/>
      <c r="F7" s="1113"/>
      <c r="G7" s="1113"/>
      <c r="H7" s="1113"/>
      <c r="I7" s="1114"/>
      <c r="J7" s="1114"/>
      <c r="K7" s="1114"/>
      <c r="L7" s="1114"/>
      <c r="M7" s="1114"/>
      <c r="N7" s="667"/>
      <c r="O7" s="668"/>
      <c r="P7" s="1115"/>
      <c r="Q7" s="667"/>
      <c r="R7" s="1261"/>
      <c r="S7" s="663"/>
      <c r="AC7" s="1116"/>
      <c r="AO7" s="1116"/>
      <c r="BA7" s="1116"/>
      <c r="BM7" s="1116"/>
      <c r="BY7" s="1116"/>
    </row>
    <row r="8" spans="2:78" s="1112" customFormat="1">
      <c r="B8" s="668"/>
      <c r="D8" s="1256" t="s">
        <v>1148</v>
      </c>
      <c r="E8" s="1113"/>
      <c r="F8" s="1113"/>
      <c r="G8" s="1113"/>
      <c r="H8" s="1113"/>
      <c r="I8" s="1114"/>
      <c r="J8" s="1114"/>
      <c r="K8" s="1114"/>
      <c r="L8" s="1114"/>
      <c r="M8" s="1114"/>
      <c r="N8" s="667"/>
      <c r="O8" s="668"/>
      <c r="P8" s="1115"/>
      <c r="Q8" s="667"/>
      <c r="R8" s="1261"/>
      <c r="S8" s="663"/>
      <c r="AC8" s="1116"/>
      <c r="AO8" s="1116"/>
      <c r="BA8" s="1116"/>
      <c r="BM8" s="1116"/>
      <c r="BY8" s="1116"/>
    </row>
    <row r="9" spans="2:78" s="1112" customFormat="1">
      <c r="B9" s="668"/>
      <c r="D9" s="1113"/>
      <c r="E9" s="1113"/>
      <c r="F9" s="1113"/>
      <c r="G9" s="1113"/>
      <c r="H9" s="1113"/>
      <c r="I9" s="1114"/>
      <c r="J9" s="1114"/>
      <c r="K9" s="1114"/>
      <c r="L9" s="1114"/>
      <c r="M9" s="1114"/>
      <c r="N9" s="667"/>
      <c r="O9" s="668"/>
      <c r="P9" s="1115"/>
      <c r="Q9" s="667"/>
      <c r="R9" s="1261"/>
      <c r="S9" s="663"/>
      <c r="AC9" s="1116"/>
      <c r="AO9" s="1116"/>
      <c r="BA9" s="1116"/>
      <c r="BM9" s="1116"/>
      <c r="BY9" s="1116"/>
    </row>
    <row r="10" spans="2:78" s="1112" customFormat="1">
      <c r="B10" s="668"/>
      <c r="D10" s="667"/>
      <c r="E10" s="667" t="s">
        <v>3324</v>
      </c>
      <c r="F10" s="667"/>
      <c r="G10" s="1113"/>
      <c r="H10" s="1113"/>
      <c r="I10" s="1114"/>
      <c r="J10" s="1114"/>
      <c r="K10" s="1114"/>
      <c r="L10" s="1114"/>
      <c r="M10" s="1114"/>
      <c r="N10" s="667"/>
      <c r="O10" s="668"/>
      <c r="P10" s="1115"/>
      <c r="Q10" s="667"/>
      <c r="R10" s="1261"/>
      <c r="S10" s="663"/>
      <c r="AC10" s="1116"/>
      <c r="AO10" s="1116"/>
      <c r="BA10" s="1116"/>
      <c r="BM10" s="1116"/>
      <c r="BY10" s="1116"/>
    </row>
    <row r="11" spans="2:78" s="1122" customFormat="1">
      <c r="B11" s="1123"/>
      <c r="D11" s="393"/>
      <c r="E11" s="393"/>
      <c r="F11" s="393" t="s">
        <v>3156</v>
      </c>
      <c r="G11" s="1124"/>
      <c r="H11" s="1125"/>
      <c r="I11" s="1740">
        <f>AVERAGE(R11:AC11)</f>
        <v>12.458333333333334</v>
      </c>
      <c r="J11" s="1740">
        <f>AVERAGE(AD11:AO11)</f>
        <v>32.75</v>
      </c>
      <c r="K11" s="1740">
        <f>AVERAGE(AP11:BA11)</f>
        <v>47.5</v>
      </c>
      <c r="L11" s="1740">
        <f>AVERAGE(BB11:BM11)</f>
        <v>59.5</v>
      </c>
      <c r="M11" s="1740">
        <f>AVERAGE(BN11:BY11)</f>
        <v>69.333333333333371</v>
      </c>
      <c r="N11" s="393"/>
      <c r="O11" s="1123"/>
      <c r="P11" s="1126"/>
      <c r="Q11" s="393"/>
      <c r="R11" s="1262">
        <f>'2.0 Patients'!R74</f>
        <v>1.9166666666666667</v>
      </c>
      <c r="S11" s="1125">
        <f>'2.0 Patients'!S74</f>
        <v>3.8333333333333335</v>
      </c>
      <c r="T11" s="1125">
        <f>'2.0 Patients'!T74</f>
        <v>5.75</v>
      </c>
      <c r="U11" s="1125">
        <f>'2.0 Patients'!U74</f>
        <v>7.666666666666667</v>
      </c>
      <c r="V11" s="1125">
        <f>'2.0 Patients'!V74</f>
        <v>9.5833333333333339</v>
      </c>
      <c r="W11" s="1125">
        <f>'2.0 Patients'!W74</f>
        <v>11.5</v>
      </c>
      <c r="X11" s="1125">
        <f>'2.0 Patients'!X74</f>
        <v>13.416666666666666</v>
      </c>
      <c r="Y11" s="1125">
        <f>'2.0 Patients'!Y74</f>
        <v>15.333333333333332</v>
      </c>
      <c r="Z11" s="1125">
        <f>'2.0 Patients'!Z74</f>
        <v>17.25</v>
      </c>
      <c r="AA11" s="1125">
        <f>'2.0 Patients'!AA74</f>
        <v>19.166666666666668</v>
      </c>
      <c r="AB11" s="1125">
        <f>'2.0 Patients'!AB74</f>
        <v>21.083333333333336</v>
      </c>
      <c r="AC11" s="1127">
        <f>'2.0 Patients'!AC74</f>
        <v>23.000000000000004</v>
      </c>
      <c r="AD11" s="1125">
        <f>'2.0 Patients'!AD74</f>
        <v>24.500000000000004</v>
      </c>
      <c r="AE11" s="1125">
        <f>'2.0 Patients'!AE74</f>
        <v>26.000000000000004</v>
      </c>
      <c r="AF11" s="1125">
        <f>'2.0 Patients'!AF74</f>
        <v>27.500000000000004</v>
      </c>
      <c r="AG11" s="1125">
        <f>'2.0 Patients'!AG74</f>
        <v>29.000000000000004</v>
      </c>
      <c r="AH11" s="1125">
        <f>'2.0 Patients'!AH74</f>
        <v>30.500000000000004</v>
      </c>
      <c r="AI11" s="1125">
        <f>'2.0 Patients'!AI74</f>
        <v>32</v>
      </c>
      <c r="AJ11" s="1125">
        <f>'2.0 Patients'!AJ74</f>
        <v>33.5</v>
      </c>
      <c r="AK11" s="1125">
        <f>'2.0 Patients'!AK74</f>
        <v>35</v>
      </c>
      <c r="AL11" s="1125">
        <f>'2.0 Patients'!AL74</f>
        <v>36.5</v>
      </c>
      <c r="AM11" s="1125">
        <f>'2.0 Patients'!AM74</f>
        <v>38</v>
      </c>
      <c r="AN11" s="1125">
        <f>'2.0 Patients'!AN74</f>
        <v>39.5</v>
      </c>
      <c r="AO11" s="1127">
        <f>'2.0 Patients'!AO74</f>
        <v>41</v>
      </c>
      <c r="AP11" s="1125">
        <f>'2.0 Patients'!AP74</f>
        <v>42</v>
      </c>
      <c r="AQ11" s="1125">
        <f>'2.0 Patients'!AQ74</f>
        <v>43</v>
      </c>
      <c r="AR11" s="1125">
        <f>'2.0 Patients'!AR74</f>
        <v>44</v>
      </c>
      <c r="AS11" s="1125">
        <f>'2.0 Patients'!AS74</f>
        <v>45</v>
      </c>
      <c r="AT11" s="1125">
        <f>'2.0 Patients'!AT74</f>
        <v>46</v>
      </c>
      <c r="AU11" s="1125">
        <f>'2.0 Patients'!AU74</f>
        <v>47</v>
      </c>
      <c r="AV11" s="1125">
        <f>'2.0 Patients'!AV74</f>
        <v>48</v>
      </c>
      <c r="AW11" s="1125">
        <f>'2.0 Patients'!AW74</f>
        <v>49</v>
      </c>
      <c r="AX11" s="1125">
        <f>'2.0 Patients'!AX74</f>
        <v>50</v>
      </c>
      <c r="AY11" s="1125">
        <f>'2.0 Patients'!AY74</f>
        <v>51</v>
      </c>
      <c r="AZ11" s="1125">
        <f>'2.0 Patients'!AZ74</f>
        <v>52</v>
      </c>
      <c r="BA11" s="1127">
        <f>'2.0 Patients'!BA74</f>
        <v>53</v>
      </c>
      <c r="BB11" s="1125">
        <f>'2.0 Patients'!BB74</f>
        <v>54</v>
      </c>
      <c r="BC11" s="1125">
        <f>'2.0 Patients'!BC74</f>
        <v>55</v>
      </c>
      <c r="BD11" s="1125">
        <f>'2.0 Patients'!BD74</f>
        <v>56</v>
      </c>
      <c r="BE11" s="1125">
        <f>'2.0 Patients'!BE74</f>
        <v>57</v>
      </c>
      <c r="BF11" s="1125">
        <f>'2.0 Patients'!BF74</f>
        <v>58</v>
      </c>
      <c r="BG11" s="1125">
        <f>'2.0 Patients'!BG74</f>
        <v>59</v>
      </c>
      <c r="BH11" s="1125">
        <f>'2.0 Patients'!BH74</f>
        <v>60</v>
      </c>
      <c r="BI11" s="1125">
        <f>'2.0 Patients'!BI74</f>
        <v>61</v>
      </c>
      <c r="BJ11" s="1125">
        <f>'2.0 Patients'!BJ74</f>
        <v>62</v>
      </c>
      <c r="BK11" s="1125">
        <f>'2.0 Patients'!BK74</f>
        <v>63</v>
      </c>
      <c r="BL11" s="1125">
        <f>'2.0 Patients'!BL74</f>
        <v>64</v>
      </c>
      <c r="BM11" s="1127">
        <f>'2.0 Patients'!BM74</f>
        <v>65</v>
      </c>
      <c r="BN11" s="1125">
        <f>'2.0 Patients'!BN74</f>
        <v>65.666666666666671</v>
      </c>
      <c r="BO11" s="1125">
        <f>'2.0 Patients'!BO74</f>
        <v>66.333333333333343</v>
      </c>
      <c r="BP11" s="1125">
        <f>'2.0 Patients'!BP74</f>
        <v>67.000000000000014</v>
      </c>
      <c r="BQ11" s="1125">
        <f>'2.0 Patients'!BQ74</f>
        <v>67.666666666666686</v>
      </c>
      <c r="BR11" s="1125">
        <f>'2.0 Patients'!BR74</f>
        <v>68.333333333333357</v>
      </c>
      <c r="BS11" s="1125">
        <f>'2.0 Patients'!BS74</f>
        <v>69.000000000000028</v>
      </c>
      <c r="BT11" s="1125">
        <f>'2.0 Patients'!BT74</f>
        <v>69.6666666666667</v>
      </c>
      <c r="BU11" s="1125">
        <f>'2.0 Patients'!BU74</f>
        <v>70.333333333333371</v>
      </c>
      <c r="BV11" s="1125">
        <f>'2.0 Patients'!BV74</f>
        <v>71.000000000000043</v>
      </c>
      <c r="BW11" s="1125">
        <f>'2.0 Patients'!BW74</f>
        <v>71.666666666666714</v>
      </c>
      <c r="BX11" s="1125">
        <f>'2.0 Patients'!BX74</f>
        <v>72.333333333333385</v>
      </c>
      <c r="BY11" s="1127">
        <f>'2.0 Patients'!BY74</f>
        <v>73.000000000000057</v>
      </c>
    </row>
    <row r="12" spans="2:78" s="1129" customFormat="1" outlineLevel="1">
      <c r="B12" s="1130"/>
      <c r="D12" s="1131"/>
      <c r="E12" s="1131"/>
      <c r="F12" s="1131" t="s">
        <v>2474</v>
      </c>
      <c r="G12" s="1132"/>
      <c r="H12" s="1132"/>
      <c r="I12" s="1133">
        <f>'2.1 Reimburse'!H46</f>
        <v>3</v>
      </c>
      <c r="J12" s="1133">
        <f>'2.1 Reimburse'!I46</f>
        <v>3</v>
      </c>
      <c r="K12" s="1133">
        <f>'2.1 Reimburse'!J46</f>
        <v>3</v>
      </c>
      <c r="L12" s="1133">
        <f>'2.1 Reimburse'!K46</f>
        <v>3</v>
      </c>
      <c r="M12" s="1133">
        <f>'2.1 Reimburse'!L46</f>
        <v>3</v>
      </c>
      <c r="N12" s="1131"/>
      <c r="O12" s="1130"/>
      <c r="P12" s="1134"/>
      <c r="Q12" s="1131"/>
      <c r="R12" s="1263"/>
      <c r="S12" s="1135"/>
      <c r="AC12" s="1136"/>
      <c r="AO12" s="1136"/>
      <c r="BA12" s="1136"/>
      <c r="BM12" s="1136"/>
      <c r="BY12" s="1136"/>
    </row>
    <row r="13" spans="2:78" s="1137" customFormat="1" outlineLevel="1">
      <c r="B13" s="1138"/>
      <c r="D13" s="657"/>
      <c r="E13" s="657"/>
      <c r="F13" s="657" t="s">
        <v>1989</v>
      </c>
      <c r="G13" s="1139"/>
      <c r="H13" s="1139"/>
      <c r="I13" s="1140">
        <f>'2.1 Reimburse'!$J$5</f>
        <v>0.08</v>
      </c>
      <c r="J13" s="1140">
        <f>'2.1 Reimburse'!$J$5</f>
        <v>0.08</v>
      </c>
      <c r="K13" s="1140">
        <f>'2.1 Reimburse'!$J$5</f>
        <v>0.08</v>
      </c>
      <c r="L13" s="1140">
        <f>'2.1 Reimburse'!$J$5</f>
        <v>0.08</v>
      </c>
      <c r="M13" s="1140">
        <f>'2.1 Reimburse'!$J$5</f>
        <v>0.08</v>
      </c>
      <c r="N13" s="657"/>
      <c r="O13" s="1138"/>
      <c r="P13" s="1141"/>
      <c r="Q13" s="657"/>
      <c r="R13" s="1264"/>
      <c r="S13" s="661"/>
      <c r="AC13" s="1142"/>
      <c r="AO13" s="1142"/>
      <c r="BA13" s="1142"/>
      <c r="BM13" s="1142"/>
      <c r="BY13" s="1142"/>
    </row>
    <row r="14" spans="2:78" s="1124" customFormat="1">
      <c r="B14" s="1123"/>
      <c r="D14" s="393"/>
      <c r="E14" s="393"/>
      <c r="F14" s="393" t="s">
        <v>2475</v>
      </c>
      <c r="H14" s="1125"/>
      <c r="I14" s="1125">
        <f>SUM(R14:AC14)</f>
        <v>1788.0200000000002</v>
      </c>
      <c r="J14" s="1125">
        <f>SUM(AD14:AO14)</f>
        <v>4700.28</v>
      </c>
      <c r="K14" s="1125">
        <f>SUM(AP14:BA14)</f>
        <v>6817.2</v>
      </c>
      <c r="L14" s="1125">
        <f>SUM(BB14:BM14)</f>
        <v>8539.44</v>
      </c>
      <c r="M14" s="1125">
        <f>SUM(BN14:BY14)</f>
        <v>9950.720000000003</v>
      </c>
      <c r="N14" s="393"/>
      <c r="O14" s="1123"/>
      <c r="P14" s="1126"/>
      <c r="Q14" s="393"/>
      <c r="R14" s="1265">
        <f t="shared" ref="R14:AC14" si="1">R11*$I12*52*(1-$I13)/12</f>
        <v>22.923333333333332</v>
      </c>
      <c r="S14" s="393">
        <f t="shared" si="1"/>
        <v>45.846666666666664</v>
      </c>
      <c r="T14" s="1124">
        <f t="shared" si="1"/>
        <v>68.77</v>
      </c>
      <c r="U14" s="1124">
        <f t="shared" si="1"/>
        <v>91.693333333333328</v>
      </c>
      <c r="V14" s="1124">
        <f t="shared" si="1"/>
        <v>114.61666666666667</v>
      </c>
      <c r="W14" s="1124">
        <f t="shared" si="1"/>
        <v>137.54</v>
      </c>
      <c r="X14" s="1124">
        <f t="shared" si="1"/>
        <v>160.46333333333334</v>
      </c>
      <c r="Y14" s="1124">
        <f t="shared" si="1"/>
        <v>183.38666666666666</v>
      </c>
      <c r="Z14" s="1124">
        <f t="shared" si="1"/>
        <v>206.31000000000003</v>
      </c>
      <c r="AA14" s="1124">
        <f t="shared" si="1"/>
        <v>229.23333333333335</v>
      </c>
      <c r="AB14" s="1124">
        <f t="shared" si="1"/>
        <v>252.15666666666672</v>
      </c>
      <c r="AC14" s="1128">
        <f t="shared" si="1"/>
        <v>275.0800000000001</v>
      </c>
      <c r="AD14" s="1124">
        <f>AD11*$J12*52*(1-$J13)/12</f>
        <v>293.0200000000001</v>
      </c>
      <c r="AE14" s="1124">
        <f t="shared" ref="AE14:AO14" si="2">AE11*$J12*52*(1-$J13)/12</f>
        <v>310.96000000000009</v>
      </c>
      <c r="AF14" s="1124">
        <f t="shared" si="2"/>
        <v>328.90000000000009</v>
      </c>
      <c r="AG14" s="1124">
        <f t="shared" si="2"/>
        <v>346.84000000000009</v>
      </c>
      <c r="AH14" s="1124">
        <f t="shared" si="2"/>
        <v>364.78000000000003</v>
      </c>
      <c r="AI14" s="1124">
        <f t="shared" si="2"/>
        <v>382.72</v>
      </c>
      <c r="AJ14" s="1124">
        <f t="shared" si="2"/>
        <v>400.66</v>
      </c>
      <c r="AK14" s="1124">
        <f t="shared" si="2"/>
        <v>418.59999999999997</v>
      </c>
      <c r="AL14" s="1124">
        <f t="shared" si="2"/>
        <v>436.54</v>
      </c>
      <c r="AM14" s="1124">
        <f t="shared" si="2"/>
        <v>454.48</v>
      </c>
      <c r="AN14" s="1124">
        <f t="shared" si="2"/>
        <v>472.42</v>
      </c>
      <c r="AO14" s="1128">
        <f t="shared" si="2"/>
        <v>490.36000000000007</v>
      </c>
      <c r="AP14" s="1124">
        <f t="shared" ref="AP14:BA14" si="3">AP11*$K12*52*(1-$K13)/12</f>
        <v>502.32</v>
      </c>
      <c r="AQ14" s="1124">
        <f t="shared" si="3"/>
        <v>514.28000000000009</v>
      </c>
      <c r="AR14" s="1124">
        <f t="shared" si="3"/>
        <v>526.24</v>
      </c>
      <c r="AS14" s="1124">
        <f t="shared" si="3"/>
        <v>538.20000000000005</v>
      </c>
      <c r="AT14" s="1124">
        <f t="shared" si="3"/>
        <v>550.16</v>
      </c>
      <c r="AU14" s="1124">
        <f t="shared" si="3"/>
        <v>562.12</v>
      </c>
      <c r="AV14" s="1124">
        <f t="shared" si="3"/>
        <v>574.08000000000004</v>
      </c>
      <c r="AW14" s="1124">
        <f t="shared" si="3"/>
        <v>586.04000000000008</v>
      </c>
      <c r="AX14" s="1124">
        <f t="shared" si="3"/>
        <v>598</v>
      </c>
      <c r="AY14" s="1124">
        <f t="shared" si="3"/>
        <v>609.96</v>
      </c>
      <c r="AZ14" s="1124">
        <f t="shared" si="3"/>
        <v>621.91999999999996</v>
      </c>
      <c r="BA14" s="1128">
        <f t="shared" si="3"/>
        <v>633.88</v>
      </c>
      <c r="BB14" s="1124">
        <f>BB11*$L12*52*(1-$L13)/12</f>
        <v>645.84</v>
      </c>
      <c r="BC14" s="1124">
        <f t="shared" ref="BC14:BM14" si="4">BC11*$L12*52*(1-$L13)/12</f>
        <v>657.80000000000007</v>
      </c>
      <c r="BD14" s="1124">
        <f t="shared" si="4"/>
        <v>669.7600000000001</v>
      </c>
      <c r="BE14" s="1124">
        <f t="shared" si="4"/>
        <v>681.72</v>
      </c>
      <c r="BF14" s="1124">
        <f t="shared" si="4"/>
        <v>693.68</v>
      </c>
      <c r="BG14" s="1124">
        <f t="shared" si="4"/>
        <v>705.64</v>
      </c>
      <c r="BH14" s="1124">
        <f t="shared" si="4"/>
        <v>717.6</v>
      </c>
      <c r="BI14" s="1124">
        <f t="shared" si="4"/>
        <v>729.56000000000006</v>
      </c>
      <c r="BJ14" s="1124">
        <f t="shared" si="4"/>
        <v>741.52</v>
      </c>
      <c r="BK14" s="1124">
        <f t="shared" si="4"/>
        <v>753.48</v>
      </c>
      <c r="BL14" s="1124">
        <f t="shared" si="4"/>
        <v>765.44</v>
      </c>
      <c r="BM14" s="1128">
        <f t="shared" si="4"/>
        <v>777.40000000000009</v>
      </c>
      <c r="BN14" s="1124">
        <f>BN11*$M12*52*(1-$M13)/12</f>
        <v>785.37333333333333</v>
      </c>
      <c r="BO14" s="1124">
        <f t="shared" ref="BO14:BY14" si="5">BO11*$M12*52*(1-$M13)/12</f>
        <v>793.34666666666681</v>
      </c>
      <c r="BP14" s="1124">
        <f t="shared" si="5"/>
        <v>801.32000000000028</v>
      </c>
      <c r="BQ14" s="1124">
        <f t="shared" si="5"/>
        <v>809.29333333333363</v>
      </c>
      <c r="BR14" s="1124">
        <f t="shared" si="5"/>
        <v>817.26666666666699</v>
      </c>
      <c r="BS14" s="1124">
        <f t="shared" si="5"/>
        <v>825.24000000000035</v>
      </c>
      <c r="BT14" s="1124">
        <f t="shared" si="5"/>
        <v>833.21333333333371</v>
      </c>
      <c r="BU14" s="1124">
        <f t="shared" si="5"/>
        <v>841.18666666666707</v>
      </c>
      <c r="BV14" s="1124">
        <f t="shared" si="5"/>
        <v>849.16000000000042</v>
      </c>
      <c r="BW14" s="1124">
        <f t="shared" si="5"/>
        <v>857.13333333333401</v>
      </c>
      <c r="BX14" s="1124">
        <f t="shared" si="5"/>
        <v>865.10666666666737</v>
      </c>
      <c r="BY14" s="1128">
        <f t="shared" si="5"/>
        <v>873.08000000000072</v>
      </c>
      <c r="BZ14" s="1143">
        <f>ROUND(SUM(H14:M14)-SUM(Q14:BY14),0)</f>
        <v>0</v>
      </c>
    </row>
    <row r="15" spans="2:78" s="1150" customFormat="1">
      <c r="B15" s="1151"/>
      <c r="D15" s="1152"/>
      <c r="E15" s="1152"/>
      <c r="F15" s="1152" t="s">
        <v>9</v>
      </c>
      <c r="I15" s="1153">
        <f>'2.1 Reimburse'!H44</f>
        <v>258.9182374928285</v>
      </c>
      <c r="J15" s="1153">
        <f>'2.1 Reimburse'!I44</f>
        <v>258.27094189909644</v>
      </c>
      <c r="K15" s="1153">
        <f>'2.1 Reimburse'!J44</f>
        <v>258.27094189909644</v>
      </c>
      <c r="L15" s="1153">
        <f>'2.1 Reimburse'!K44</f>
        <v>258.27094189909644</v>
      </c>
      <c r="M15" s="1153">
        <f>'2.1 Reimburse'!L44</f>
        <v>263.43636073707836</v>
      </c>
      <c r="N15" s="1152"/>
      <c r="O15" s="1151"/>
      <c r="P15" s="1154"/>
      <c r="Q15" s="1152"/>
      <c r="R15" s="1266">
        <f>I15</f>
        <v>258.9182374928285</v>
      </c>
      <c r="S15" s="1257">
        <f>R15</f>
        <v>258.9182374928285</v>
      </c>
      <c r="T15" s="1258">
        <f t="shared" ref="T15:BY15" si="6">S15</f>
        <v>258.9182374928285</v>
      </c>
      <c r="U15" s="1258">
        <f t="shared" si="6"/>
        <v>258.9182374928285</v>
      </c>
      <c r="V15" s="1258">
        <f t="shared" si="6"/>
        <v>258.9182374928285</v>
      </c>
      <c r="W15" s="1258">
        <f t="shared" si="6"/>
        <v>258.9182374928285</v>
      </c>
      <c r="X15" s="1258">
        <f t="shared" si="6"/>
        <v>258.9182374928285</v>
      </c>
      <c r="Y15" s="1258">
        <f t="shared" si="6"/>
        <v>258.9182374928285</v>
      </c>
      <c r="Z15" s="1258">
        <f t="shared" si="6"/>
        <v>258.9182374928285</v>
      </c>
      <c r="AA15" s="1258">
        <f t="shared" si="6"/>
        <v>258.9182374928285</v>
      </c>
      <c r="AB15" s="1258">
        <f t="shared" si="6"/>
        <v>258.9182374928285</v>
      </c>
      <c r="AC15" s="1259">
        <f t="shared" si="6"/>
        <v>258.9182374928285</v>
      </c>
      <c r="AD15" s="1258">
        <f>J15</f>
        <v>258.27094189909644</v>
      </c>
      <c r="AE15" s="1258">
        <f t="shared" si="6"/>
        <v>258.27094189909644</v>
      </c>
      <c r="AF15" s="1258">
        <f t="shared" si="6"/>
        <v>258.27094189909644</v>
      </c>
      <c r="AG15" s="1258">
        <f t="shared" si="6"/>
        <v>258.27094189909644</v>
      </c>
      <c r="AH15" s="1258">
        <f t="shared" si="6"/>
        <v>258.27094189909644</v>
      </c>
      <c r="AI15" s="1258">
        <f t="shared" si="6"/>
        <v>258.27094189909644</v>
      </c>
      <c r="AJ15" s="1258">
        <f t="shared" si="6"/>
        <v>258.27094189909644</v>
      </c>
      <c r="AK15" s="1258">
        <f t="shared" si="6"/>
        <v>258.27094189909644</v>
      </c>
      <c r="AL15" s="1258">
        <f t="shared" si="6"/>
        <v>258.27094189909644</v>
      </c>
      <c r="AM15" s="1258">
        <f t="shared" si="6"/>
        <v>258.27094189909644</v>
      </c>
      <c r="AN15" s="1258">
        <f t="shared" si="6"/>
        <v>258.27094189909644</v>
      </c>
      <c r="AO15" s="1259">
        <f t="shared" si="6"/>
        <v>258.27094189909644</v>
      </c>
      <c r="AP15" s="1258">
        <f>K15</f>
        <v>258.27094189909644</v>
      </c>
      <c r="AQ15" s="1258">
        <f t="shared" si="6"/>
        <v>258.27094189909644</v>
      </c>
      <c r="AR15" s="1258">
        <f t="shared" si="6"/>
        <v>258.27094189909644</v>
      </c>
      <c r="AS15" s="1258">
        <f t="shared" si="6"/>
        <v>258.27094189909644</v>
      </c>
      <c r="AT15" s="1258">
        <f t="shared" si="6"/>
        <v>258.27094189909644</v>
      </c>
      <c r="AU15" s="1258">
        <f t="shared" si="6"/>
        <v>258.27094189909644</v>
      </c>
      <c r="AV15" s="1258">
        <f t="shared" si="6"/>
        <v>258.27094189909644</v>
      </c>
      <c r="AW15" s="1258">
        <f t="shared" si="6"/>
        <v>258.27094189909644</v>
      </c>
      <c r="AX15" s="1258">
        <f t="shared" si="6"/>
        <v>258.27094189909644</v>
      </c>
      <c r="AY15" s="1258">
        <f t="shared" si="6"/>
        <v>258.27094189909644</v>
      </c>
      <c r="AZ15" s="1258">
        <f t="shared" si="6"/>
        <v>258.27094189909644</v>
      </c>
      <c r="BA15" s="1259">
        <f t="shared" si="6"/>
        <v>258.27094189909644</v>
      </c>
      <c r="BB15" s="1258">
        <f>L15</f>
        <v>258.27094189909644</v>
      </c>
      <c r="BC15" s="1258">
        <f t="shared" si="6"/>
        <v>258.27094189909644</v>
      </c>
      <c r="BD15" s="1258">
        <f t="shared" si="6"/>
        <v>258.27094189909644</v>
      </c>
      <c r="BE15" s="1258">
        <f t="shared" si="6"/>
        <v>258.27094189909644</v>
      </c>
      <c r="BF15" s="1258">
        <f t="shared" si="6"/>
        <v>258.27094189909644</v>
      </c>
      <c r="BG15" s="1258">
        <f t="shared" si="6"/>
        <v>258.27094189909644</v>
      </c>
      <c r="BH15" s="1258">
        <f t="shared" si="6"/>
        <v>258.27094189909644</v>
      </c>
      <c r="BI15" s="1258">
        <f t="shared" si="6"/>
        <v>258.27094189909644</v>
      </c>
      <c r="BJ15" s="1258">
        <f t="shared" si="6"/>
        <v>258.27094189909644</v>
      </c>
      <c r="BK15" s="1258">
        <f t="shared" si="6"/>
        <v>258.27094189909644</v>
      </c>
      <c r="BL15" s="1258">
        <f t="shared" si="6"/>
        <v>258.27094189909644</v>
      </c>
      <c r="BM15" s="1259">
        <f t="shared" si="6"/>
        <v>258.27094189909644</v>
      </c>
      <c r="BN15" s="1258">
        <f>M15</f>
        <v>263.43636073707836</v>
      </c>
      <c r="BO15" s="1258">
        <f t="shared" si="6"/>
        <v>263.43636073707836</v>
      </c>
      <c r="BP15" s="1258">
        <f t="shared" si="6"/>
        <v>263.43636073707836</v>
      </c>
      <c r="BQ15" s="1258">
        <f t="shared" si="6"/>
        <v>263.43636073707836</v>
      </c>
      <c r="BR15" s="1258">
        <f t="shared" si="6"/>
        <v>263.43636073707836</v>
      </c>
      <c r="BS15" s="1258">
        <f t="shared" si="6"/>
        <v>263.43636073707836</v>
      </c>
      <c r="BT15" s="1258">
        <f t="shared" si="6"/>
        <v>263.43636073707836</v>
      </c>
      <c r="BU15" s="1258">
        <f t="shared" si="6"/>
        <v>263.43636073707836</v>
      </c>
      <c r="BV15" s="1258">
        <f t="shared" si="6"/>
        <v>263.43636073707836</v>
      </c>
      <c r="BW15" s="1258">
        <f t="shared" si="6"/>
        <v>263.43636073707836</v>
      </c>
      <c r="BX15" s="1258">
        <f t="shared" si="6"/>
        <v>263.43636073707836</v>
      </c>
      <c r="BY15" s="1259">
        <f t="shared" si="6"/>
        <v>263.43636073707836</v>
      </c>
    </row>
    <row r="16" spans="2:78" s="1144" customFormat="1">
      <c r="B16" s="367"/>
      <c r="C16" s="1113"/>
      <c r="D16" s="667"/>
      <c r="E16" s="667"/>
      <c r="F16" s="667" t="s">
        <v>2169</v>
      </c>
      <c r="G16" s="1113"/>
      <c r="I16" s="646">
        <f>52*I12*I11*(1-I13)*I15</f>
        <v>462950.98700192722</v>
      </c>
      <c r="J16" s="646">
        <f>52*J12*J11*(1-J13)*J15</f>
        <v>1213945.7427894853</v>
      </c>
      <c r="K16" s="646">
        <f>52*K12*K11*(1-K13)*K15</f>
        <v>1760684.6651145204</v>
      </c>
      <c r="L16" s="646">
        <f>52*L12*L11*(1-L13)*L15</f>
        <v>2205489.2120908201</v>
      </c>
      <c r="M16" s="646">
        <f>52*M12*M11*(1-M13)*M15</f>
        <v>2621381.4635136616</v>
      </c>
      <c r="N16" s="368"/>
      <c r="O16" s="367"/>
      <c r="P16" s="1145"/>
      <c r="Q16" s="1145"/>
      <c r="R16" s="1267">
        <f t="shared" ref="R16:AW16" si="7">R15*R14</f>
        <v>5935.2690641272711</v>
      </c>
      <c r="S16" s="1144">
        <f t="shared" si="7"/>
        <v>11870.538128254542</v>
      </c>
      <c r="T16" s="1146">
        <f t="shared" si="7"/>
        <v>17805.807192381813</v>
      </c>
      <c r="U16" s="1146">
        <f t="shared" si="7"/>
        <v>23741.076256509084</v>
      </c>
      <c r="V16" s="1146">
        <f t="shared" si="7"/>
        <v>29676.345320636363</v>
      </c>
      <c r="W16" s="1146">
        <f t="shared" si="7"/>
        <v>35611.614384763627</v>
      </c>
      <c r="X16" s="1146">
        <f t="shared" si="7"/>
        <v>41546.883448890905</v>
      </c>
      <c r="Y16" s="1146">
        <f t="shared" si="7"/>
        <v>47482.152513018169</v>
      </c>
      <c r="Z16" s="1146">
        <f t="shared" si="7"/>
        <v>53417.421577145455</v>
      </c>
      <c r="AA16" s="1146">
        <f t="shared" si="7"/>
        <v>59352.690641272726</v>
      </c>
      <c r="AB16" s="1146">
        <f t="shared" si="7"/>
        <v>65287.959705400004</v>
      </c>
      <c r="AC16" s="1147">
        <f t="shared" si="7"/>
        <v>71223.228769527283</v>
      </c>
      <c r="AD16" s="1146">
        <f t="shared" si="7"/>
        <v>75678.551395273258</v>
      </c>
      <c r="AE16" s="1146">
        <f t="shared" si="7"/>
        <v>80311.932092943054</v>
      </c>
      <c r="AF16" s="1146">
        <f t="shared" si="7"/>
        <v>84945.31279061285</v>
      </c>
      <c r="AG16" s="1146">
        <f t="shared" si="7"/>
        <v>89578.693488282632</v>
      </c>
      <c r="AH16" s="1146">
        <f t="shared" si="7"/>
        <v>94212.074185952413</v>
      </c>
      <c r="AI16" s="1146">
        <f t="shared" si="7"/>
        <v>98845.454883622195</v>
      </c>
      <c r="AJ16" s="1146">
        <f t="shared" si="7"/>
        <v>103478.83558129199</v>
      </c>
      <c r="AK16" s="1146">
        <f t="shared" si="7"/>
        <v>108112.21627896176</v>
      </c>
      <c r="AL16" s="1146">
        <f t="shared" si="7"/>
        <v>112745.59697663157</v>
      </c>
      <c r="AM16" s="1146">
        <f t="shared" si="7"/>
        <v>117378.97767430135</v>
      </c>
      <c r="AN16" s="1146">
        <f t="shared" si="7"/>
        <v>122012.35837197115</v>
      </c>
      <c r="AO16" s="1147">
        <f t="shared" si="7"/>
        <v>126645.73906964096</v>
      </c>
      <c r="AP16" s="1146">
        <f t="shared" si="7"/>
        <v>129734.65953475413</v>
      </c>
      <c r="AQ16" s="1146">
        <f t="shared" si="7"/>
        <v>132823.57999986733</v>
      </c>
      <c r="AR16" s="1146">
        <f t="shared" si="7"/>
        <v>135912.50046498052</v>
      </c>
      <c r="AS16" s="1146">
        <f t="shared" si="7"/>
        <v>139001.42093009371</v>
      </c>
      <c r="AT16" s="1146">
        <f t="shared" si="7"/>
        <v>142090.34139520689</v>
      </c>
      <c r="AU16" s="1146">
        <f t="shared" si="7"/>
        <v>145179.26186032008</v>
      </c>
      <c r="AV16" s="1146">
        <f t="shared" si="7"/>
        <v>148268.1823254333</v>
      </c>
      <c r="AW16" s="1146">
        <f t="shared" si="7"/>
        <v>151357.10279054649</v>
      </c>
      <c r="AX16" s="1146">
        <f t="shared" ref="AX16:BY16" si="8">AX15*AX14</f>
        <v>154446.02325565967</v>
      </c>
      <c r="AY16" s="1146">
        <f t="shared" si="8"/>
        <v>157534.94372077286</v>
      </c>
      <c r="AZ16" s="1146">
        <f t="shared" si="8"/>
        <v>160623.86418588605</v>
      </c>
      <c r="BA16" s="1147">
        <f t="shared" si="8"/>
        <v>163712.78465099924</v>
      </c>
      <c r="BB16" s="1146">
        <f t="shared" si="8"/>
        <v>166801.70511611245</v>
      </c>
      <c r="BC16" s="1146">
        <f t="shared" si="8"/>
        <v>169890.62558122567</v>
      </c>
      <c r="BD16" s="1146">
        <f t="shared" si="8"/>
        <v>172979.54604633886</v>
      </c>
      <c r="BE16" s="1146">
        <f t="shared" si="8"/>
        <v>176068.46651145205</v>
      </c>
      <c r="BF16" s="1146">
        <f t="shared" si="8"/>
        <v>179157.38697656521</v>
      </c>
      <c r="BG16" s="1146">
        <f t="shared" si="8"/>
        <v>182246.30744167842</v>
      </c>
      <c r="BH16" s="1146">
        <f t="shared" si="8"/>
        <v>185335.22790679161</v>
      </c>
      <c r="BI16" s="1146">
        <f t="shared" si="8"/>
        <v>188424.14837190483</v>
      </c>
      <c r="BJ16" s="1146">
        <f t="shared" si="8"/>
        <v>191513.06883701799</v>
      </c>
      <c r="BK16" s="1146">
        <f t="shared" si="8"/>
        <v>194601.9893021312</v>
      </c>
      <c r="BL16" s="1146">
        <f t="shared" si="8"/>
        <v>197690.90976724439</v>
      </c>
      <c r="BM16" s="1147">
        <f t="shared" si="8"/>
        <v>200779.83023235761</v>
      </c>
      <c r="BN16" s="1146">
        <f t="shared" si="8"/>
        <v>206895.89275328169</v>
      </c>
      <c r="BO16" s="1146">
        <f t="shared" si="8"/>
        <v>208996.35866955869</v>
      </c>
      <c r="BP16" s="1146">
        <f t="shared" si="8"/>
        <v>211096.82458583571</v>
      </c>
      <c r="BQ16" s="1146">
        <f t="shared" si="8"/>
        <v>213197.29050211268</v>
      </c>
      <c r="BR16" s="1146">
        <f t="shared" si="8"/>
        <v>215297.75641838965</v>
      </c>
      <c r="BS16" s="1146">
        <f t="shared" si="8"/>
        <v>217398.22233466664</v>
      </c>
      <c r="BT16" s="1146">
        <f t="shared" si="8"/>
        <v>219498.68825094361</v>
      </c>
      <c r="BU16" s="1146">
        <f t="shared" si="8"/>
        <v>221599.15416722061</v>
      </c>
      <c r="BV16" s="1146">
        <f t="shared" si="8"/>
        <v>223699.62008349758</v>
      </c>
      <c r="BW16" s="1146">
        <f t="shared" si="8"/>
        <v>225800.0859997746</v>
      </c>
      <c r="BX16" s="1146">
        <f t="shared" si="8"/>
        <v>227900.5519160516</v>
      </c>
      <c r="BY16" s="1147">
        <f t="shared" si="8"/>
        <v>230001.01783232857</v>
      </c>
      <c r="BZ16" s="1148">
        <f>ROUND(SUM(H16:M16)-SUM(Q16:BY16),0)</f>
        <v>0</v>
      </c>
    </row>
    <row r="17" spans="2:78" s="1149" customFormat="1">
      <c r="B17" s="367"/>
      <c r="C17" s="1113"/>
      <c r="D17" s="667"/>
      <c r="E17" s="667"/>
      <c r="F17" s="667" t="s">
        <v>1890</v>
      </c>
      <c r="G17" s="1113"/>
      <c r="H17" s="1144"/>
      <c r="I17" s="646">
        <f>SUM(R17:AC17)</f>
        <v>326439.79852700001</v>
      </c>
      <c r="J17" s="646">
        <f>SUM(AD17:AO17)</f>
        <v>1101798.8338228003</v>
      </c>
      <c r="K17" s="646">
        <f>SUM(AP17:BA17)</f>
        <v>1685006.1137192468</v>
      </c>
      <c r="L17" s="646">
        <f>SUM(BB17:BM17)</f>
        <v>2131355.1209281036</v>
      </c>
      <c r="M17" s="646">
        <f>SUM(BN17:BY17)</f>
        <v>2561950.6337648835</v>
      </c>
      <c r="N17" s="368"/>
      <c r="O17" s="367"/>
      <c r="P17" s="1145"/>
      <c r="Q17" s="368"/>
      <c r="R17" s="1268"/>
      <c r="S17" s="368"/>
      <c r="T17" s="1146">
        <f>IF(T$6&gt;SurveyDelay+2,R16,IF(T$6=SurveyDelay+2,SUM($R16:R16),0))</f>
        <v>0</v>
      </c>
      <c r="U17" s="1146">
        <f>IF(U$6&gt;SurveyDelay+2,S16,IF(U$6=SurveyDelay+2,SUM($R16:S16),0))</f>
        <v>0</v>
      </c>
      <c r="V17" s="1146">
        <f>IF(V$6&gt;SurveyDelay+2,T16,IF(V$6=SurveyDelay+2,SUM($R16:T16),0))</f>
        <v>0</v>
      </c>
      <c r="W17" s="1146">
        <f>IF(W$6&gt;SurveyDelay+2,U16,IF(W$6=SurveyDelay+2,SUM($R16:U16),0))</f>
        <v>0</v>
      </c>
      <c r="X17" s="1146">
        <f>IF(X$6&gt;SurveyDelay+2,V16,IF(X$6=SurveyDelay+2,SUM($R16:V16),0))</f>
        <v>0</v>
      </c>
      <c r="Y17" s="1146">
        <f>IF(Y$6&gt;SurveyDelay+2,W16,IF(Y$6=SurveyDelay+2,SUM($R16:W16),0))</f>
        <v>124640.6503466727</v>
      </c>
      <c r="Z17" s="1146">
        <f>IF(Z$6&gt;SurveyDelay+2,X16,IF(Z$6=SurveyDelay+2,SUM($R16:X16),0))</f>
        <v>41546.883448890905</v>
      </c>
      <c r="AA17" s="1146">
        <f>IF(AA$6&gt;SurveyDelay+2,Y16,IF(AA$6=SurveyDelay+2,SUM($R16:Y16),0))</f>
        <v>47482.152513018169</v>
      </c>
      <c r="AB17" s="1146">
        <f>IF(AB$6&gt;SurveyDelay+2,Z16,IF(AB$6=SurveyDelay+2,SUM($R16:Z16),0))</f>
        <v>53417.421577145455</v>
      </c>
      <c r="AC17" s="1147">
        <f>IF(AC$6&gt;SurveyDelay+2,AA16,IF(AC$6=SurveyDelay+2,SUM($R16:AA16),0))</f>
        <v>59352.690641272726</v>
      </c>
      <c r="AD17" s="1146">
        <f>IF(AD$6&gt;SurveyDelay+2,AB16,IF(AD$6=SurveyDelay+2,SUM($R16:AB16),0))</f>
        <v>65287.959705400004</v>
      </c>
      <c r="AE17" s="1146">
        <f>IF(AE$6&gt;SurveyDelay+2,AC16,IF(AE$6=SurveyDelay+2,SUM($R16:AC16),0))</f>
        <v>71223.228769527283</v>
      </c>
      <c r="AF17" s="1146">
        <f>IF(AF$6&gt;SurveyDelay+2,AD16,IF(AF$6=SurveyDelay+2,SUM($R16:AD16),0))</f>
        <v>75678.551395273258</v>
      </c>
      <c r="AG17" s="1146">
        <f>IF(AG$6&gt;SurveyDelay+2,AE16,IF(AG$6=SurveyDelay+2,SUM($R16:AE16),0))</f>
        <v>80311.932092943054</v>
      </c>
      <c r="AH17" s="1146">
        <f>IF(AH$6&gt;SurveyDelay+2,AF16,IF(AH$6=SurveyDelay+2,SUM($R16:AF16),0))</f>
        <v>84945.31279061285</v>
      </c>
      <c r="AI17" s="1146">
        <f>IF(AI$6&gt;SurveyDelay+2,AG16,IF(AI$6=SurveyDelay+2,SUM($R16:AG16),0))</f>
        <v>89578.693488282632</v>
      </c>
      <c r="AJ17" s="1146">
        <f>IF(AJ$6&gt;SurveyDelay+2,AH16,IF(AJ$6=SurveyDelay+2,SUM($R16:AH16),0))</f>
        <v>94212.074185952413</v>
      </c>
      <c r="AK17" s="1146">
        <f>IF(AK$6&gt;SurveyDelay+2,AI16,IF(AK$6=SurveyDelay+2,SUM($R16:AI16),0))</f>
        <v>98845.454883622195</v>
      </c>
      <c r="AL17" s="1146">
        <f>IF(AL$6&gt;SurveyDelay+2,AJ16,IF(AL$6=SurveyDelay+2,SUM($R16:AJ16),0))</f>
        <v>103478.83558129199</v>
      </c>
      <c r="AM17" s="1146">
        <f>IF(AM$6&gt;SurveyDelay+2,AK16,IF(AM$6=SurveyDelay+2,SUM($R16:AK16),0))</f>
        <v>108112.21627896176</v>
      </c>
      <c r="AN17" s="1146">
        <f>IF(AN$6&gt;SurveyDelay+2,AL16,IF(AN$6=SurveyDelay+2,SUM($R16:AL16),0))</f>
        <v>112745.59697663157</v>
      </c>
      <c r="AO17" s="1147">
        <f>IF(AO$6&gt;SurveyDelay+2,AM16,IF(AO$6=SurveyDelay+2,SUM($R16:AM16),0))</f>
        <v>117378.97767430135</v>
      </c>
      <c r="AP17" s="1146">
        <f>IF(AP$6&gt;SurveyDelay+2,AN16,IF(AP$6=SurveyDelay+2,SUM($R16:AN16),0))</f>
        <v>122012.35837197115</v>
      </c>
      <c r="AQ17" s="1146">
        <f>IF(AQ$6&gt;SurveyDelay+2,AO16,IF(AQ$6=SurveyDelay+2,SUM($R16:AO16),0))</f>
        <v>126645.73906964096</v>
      </c>
      <c r="AR17" s="1146">
        <f>IF(AR$6&gt;SurveyDelay+2,AP16,IF(AR$6=SurveyDelay+2,SUM($R16:AP16),0))</f>
        <v>129734.65953475413</v>
      </c>
      <c r="AS17" s="1146">
        <f>IF(AS$6&gt;SurveyDelay+2,AQ16,IF(AS$6=SurveyDelay+2,SUM($R16:AQ16),0))</f>
        <v>132823.57999986733</v>
      </c>
      <c r="AT17" s="1146">
        <f>IF(AT$6&gt;SurveyDelay+2,AR16,IF(AT$6=SurveyDelay+2,SUM($R16:AR16),0))</f>
        <v>135912.50046498052</v>
      </c>
      <c r="AU17" s="1146">
        <f>IF(AU$6&gt;SurveyDelay+2,AS16,IF(AU$6=SurveyDelay+2,SUM($R16:AS16),0))</f>
        <v>139001.42093009371</v>
      </c>
      <c r="AV17" s="1146">
        <f>IF(AV$6&gt;SurveyDelay+2,AT16,IF(AV$6=SurveyDelay+2,SUM($R16:AT16),0))</f>
        <v>142090.34139520689</v>
      </c>
      <c r="AW17" s="1146">
        <f>IF(AW$6&gt;SurveyDelay+2,AU16,IF(AW$6=SurveyDelay+2,SUM($R16:AU16),0))</f>
        <v>145179.26186032008</v>
      </c>
      <c r="AX17" s="1146">
        <f>IF(AX$6&gt;SurveyDelay+2,AV16,IF(AX$6=SurveyDelay+2,SUM($R16:AV16),0))</f>
        <v>148268.1823254333</v>
      </c>
      <c r="AY17" s="1146">
        <f>IF(AY$6&gt;SurveyDelay+2,AW16,IF(AY$6=SurveyDelay+2,SUM($R16:AW16),0))</f>
        <v>151357.10279054649</v>
      </c>
      <c r="AZ17" s="1146">
        <f>IF(AZ$6&gt;SurveyDelay+2,AX16,IF(AZ$6=SurveyDelay+2,SUM($R16:AX16),0))</f>
        <v>154446.02325565967</v>
      </c>
      <c r="BA17" s="1147">
        <f>IF(BA$6&gt;SurveyDelay+2,AY16,IF(BA$6=SurveyDelay+2,SUM($R16:AY16),0))</f>
        <v>157534.94372077286</v>
      </c>
      <c r="BB17" s="1146">
        <f>IF(BB$6&gt;SurveyDelay+2,AZ16,IF(BB$6=SurveyDelay+2,SUM($R16:AZ16),0))</f>
        <v>160623.86418588605</v>
      </c>
      <c r="BC17" s="1146">
        <f>IF(BC$6&gt;SurveyDelay+2,BA16,IF(BC$6=SurveyDelay+2,SUM($R16:BA16),0))</f>
        <v>163712.78465099924</v>
      </c>
      <c r="BD17" s="1146">
        <f>IF(BD$6&gt;SurveyDelay+2,BB16,IF(BD$6=SurveyDelay+2,SUM($R16:BB16),0))</f>
        <v>166801.70511611245</v>
      </c>
      <c r="BE17" s="1146">
        <f>IF(BE$6&gt;SurveyDelay+2,BC16,IF(BE$6=SurveyDelay+2,SUM($R16:BC16),0))</f>
        <v>169890.62558122567</v>
      </c>
      <c r="BF17" s="1146">
        <f>IF(BF$6&gt;SurveyDelay+2,BD16,IF(BF$6=SurveyDelay+2,SUM($R16:BD16),0))</f>
        <v>172979.54604633886</v>
      </c>
      <c r="BG17" s="1146">
        <f>IF(BG$6&gt;SurveyDelay+2,BE16,IF(BG$6=SurveyDelay+2,SUM($R16:BE16),0))</f>
        <v>176068.46651145205</v>
      </c>
      <c r="BH17" s="1146">
        <f>IF(BH$6&gt;SurveyDelay+2,BF16,IF(BH$6=SurveyDelay+2,SUM($R16:BF16),0))</f>
        <v>179157.38697656521</v>
      </c>
      <c r="BI17" s="1146">
        <f>IF(BI$6&gt;SurveyDelay+2,BG16,IF(BI$6=SurveyDelay+2,SUM($R16:BG16),0))</f>
        <v>182246.30744167842</v>
      </c>
      <c r="BJ17" s="1146">
        <f>IF(BJ$6&gt;SurveyDelay+2,BH16,IF(BJ$6=SurveyDelay+2,SUM($R16:BH16),0))</f>
        <v>185335.22790679161</v>
      </c>
      <c r="BK17" s="1146">
        <f>IF(BK$6&gt;SurveyDelay+2,BI16,IF(BK$6=SurveyDelay+2,SUM($R16:BI16),0))</f>
        <v>188424.14837190483</v>
      </c>
      <c r="BL17" s="1146">
        <f>IF(BL$6&gt;SurveyDelay+2,BJ16,IF(BL$6=SurveyDelay+2,SUM($R16:BJ16),0))</f>
        <v>191513.06883701799</v>
      </c>
      <c r="BM17" s="1147">
        <f>IF(BM$6&gt;SurveyDelay+2,BK16,IF(BM$6=SurveyDelay+2,SUM($R16:BK16),0))</f>
        <v>194601.9893021312</v>
      </c>
      <c r="BN17" s="1146">
        <f>IF(BN$6&gt;SurveyDelay+2,BL16,IF(BN$6=SurveyDelay+2,SUM($R16:BL16),0))</f>
        <v>197690.90976724439</v>
      </c>
      <c r="BO17" s="1146">
        <f>IF(BO$6&gt;SurveyDelay+2,BM16,IF(BO$6=SurveyDelay+2,SUM($R16:BM16),0))</f>
        <v>200779.83023235761</v>
      </c>
      <c r="BP17" s="1146">
        <f>IF(BP$6&gt;SurveyDelay+2,BN16,IF(BP$6=SurveyDelay+2,SUM($R16:BN16),0))</f>
        <v>206895.89275328169</v>
      </c>
      <c r="BQ17" s="1146">
        <f>IF(BQ$6&gt;SurveyDelay+2,BO16,IF(BQ$6=SurveyDelay+2,SUM($R16:BO16),0))</f>
        <v>208996.35866955869</v>
      </c>
      <c r="BR17" s="1146">
        <f>IF(BR$6&gt;SurveyDelay+2,BP16,IF(BR$6=SurveyDelay+2,SUM($R16:BP16),0))</f>
        <v>211096.82458583571</v>
      </c>
      <c r="BS17" s="1146">
        <f>IF(BS$6&gt;SurveyDelay+2,BQ16,IF(BS$6=SurveyDelay+2,SUM($R16:BQ16),0))</f>
        <v>213197.29050211268</v>
      </c>
      <c r="BT17" s="1146">
        <f>IF(BT$6&gt;SurveyDelay+2,BR16,IF(BT$6=SurveyDelay+2,SUM($R16:BR16),0))</f>
        <v>215297.75641838965</v>
      </c>
      <c r="BU17" s="1146">
        <f>IF(BU$6&gt;SurveyDelay+2,BS16,IF(BU$6=SurveyDelay+2,SUM($R16:BS16),0))</f>
        <v>217398.22233466664</v>
      </c>
      <c r="BV17" s="1146">
        <f>IF(BV$6&gt;SurveyDelay+2,BT16,IF(BV$6=SurveyDelay+2,SUM($R16:BT16),0))</f>
        <v>219498.68825094361</v>
      </c>
      <c r="BW17" s="1146">
        <f>IF(BW$6&gt;SurveyDelay+2,BU16,IF(BW$6=SurveyDelay+2,SUM($R16:BU16),0))</f>
        <v>221599.15416722061</v>
      </c>
      <c r="BX17" s="1146">
        <f>IF(BX$6&gt;SurveyDelay+2,BV16,IF(BX$6=SurveyDelay+2,SUM($R16:BV16),0))</f>
        <v>223699.62008349758</v>
      </c>
      <c r="BY17" s="1147">
        <f>IF(BY$6&gt;SurveyDelay+2,BW16,IF(BY$6=SurveyDelay+2,SUM($R16:BW16),0))</f>
        <v>225800.0859997746</v>
      </c>
      <c r="BZ17" s="1148">
        <f>ROUND(SUM(H17:M17)-SUM(Q17:BY17),0)</f>
        <v>0</v>
      </c>
    </row>
    <row r="18" spans="2:78" s="1121" customFormat="1">
      <c r="B18" s="668"/>
      <c r="C18" s="1113"/>
      <c r="D18" s="667"/>
      <c r="E18" s="667"/>
      <c r="F18" s="667"/>
      <c r="G18" s="1113"/>
      <c r="H18" s="1113"/>
      <c r="I18" s="1114"/>
      <c r="J18" s="1114"/>
      <c r="K18" s="1114"/>
      <c r="L18" s="1114"/>
      <c r="M18" s="1114"/>
      <c r="N18" s="667"/>
      <c r="O18" s="668"/>
      <c r="P18" s="1115"/>
      <c r="Q18" s="667"/>
      <c r="R18" s="1261"/>
      <c r="S18" s="667"/>
      <c r="T18" s="803"/>
      <c r="U18" s="803"/>
      <c r="V18" s="803"/>
      <c r="W18" s="803"/>
      <c r="X18" s="803"/>
      <c r="Y18" s="803"/>
      <c r="Z18" s="803"/>
      <c r="AA18" s="803"/>
      <c r="AB18" s="803"/>
      <c r="AC18" s="1119"/>
      <c r="AD18" s="803"/>
      <c r="AE18" s="803"/>
      <c r="AF18" s="803"/>
      <c r="AG18" s="803"/>
      <c r="AH18" s="803"/>
      <c r="AI18" s="803"/>
      <c r="AJ18" s="803"/>
      <c r="AK18" s="803"/>
      <c r="AL18" s="803"/>
      <c r="AM18" s="803"/>
      <c r="AN18" s="803"/>
      <c r="AO18" s="1119"/>
      <c r="AP18" s="803"/>
      <c r="AQ18" s="803"/>
      <c r="AR18" s="803"/>
      <c r="AS18" s="803"/>
      <c r="AT18" s="803"/>
      <c r="AU18" s="803"/>
      <c r="AV18" s="803"/>
      <c r="AW18" s="803"/>
      <c r="AX18" s="803"/>
      <c r="AY18" s="803"/>
      <c r="AZ18" s="803"/>
      <c r="BA18" s="1119"/>
      <c r="BB18" s="803"/>
      <c r="BC18" s="803"/>
      <c r="BD18" s="803"/>
      <c r="BE18" s="803"/>
      <c r="BF18" s="803"/>
      <c r="BG18" s="803"/>
      <c r="BH18" s="803"/>
      <c r="BI18" s="803"/>
      <c r="BJ18" s="803"/>
      <c r="BK18" s="803"/>
      <c r="BL18" s="803"/>
      <c r="BM18" s="1119"/>
      <c r="BN18" s="803"/>
      <c r="BO18" s="803"/>
      <c r="BP18" s="803"/>
      <c r="BQ18" s="803"/>
      <c r="BR18" s="803"/>
      <c r="BS18" s="803"/>
      <c r="BT18" s="803"/>
      <c r="BU18" s="803"/>
      <c r="BV18" s="803"/>
      <c r="BW18" s="803"/>
      <c r="BX18" s="803"/>
      <c r="BY18" s="1119"/>
      <c r="BZ18" s="1113"/>
    </row>
    <row r="19" spans="2:78" s="1122" customFormat="1">
      <c r="B19" s="1123"/>
      <c r="D19" s="393"/>
      <c r="E19" s="393"/>
      <c r="F19" s="393" t="s">
        <v>4118</v>
      </c>
      <c r="G19" s="1124"/>
      <c r="H19" s="1125"/>
      <c r="I19" s="1740">
        <f>AVERAGE(R19:AC19)</f>
        <v>2.0833333333333335</v>
      </c>
      <c r="J19" s="1740">
        <f>AVERAGE(AD19:AO19)</f>
        <v>4.0833333333333321</v>
      </c>
      <c r="K19" s="1740">
        <f>AVERAGE(AP19:BA19)</f>
        <v>5.5416666666666643</v>
      </c>
      <c r="L19" s="1740">
        <f>AVERAGE(BB19:BM19)</f>
        <v>6.5416666666666599</v>
      </c>
      <c r="M19" s="1740">
        <f>AVERAGE(BN19:BY19)</f>
        <v>7.5416666666666581</v>
      </c>
      <c r="N19" s="393"/>
      <c r="O19" s="1123"/>
      <c r="P19" s="1126"/>
      <c r="Q19" s="393"/>
      <c r="R19" s="1262">
        <f>'2.0 Patients'!R76</f>
        <v>1.1666666666666667</v>
      </c>
      <c r="S19" s="1125">
        <f>'2.0 Patients'!S76</f>
        <v>1.3333333333333335</v>
      </c>
      <c r="T19" s="1125">
        <f>'2.0 Patients'!T76</f>
        <v>1.5000000000000002</v>
      </c>
      <c r="U19" s="1125">
        <f>'2.0 Patients'!U76</f>
        <v>1.666666666666667</v>
      </c>
      <c r="V19" s="1125">
        <f>'2.0 Patients'!V76</f>
        <v>1.8333333333333337</v>
      </c>
      <c r="W19" s="1125">
        <f>'2.0 Patients'!W76</f>
        <v>2.0000000000000004</v>
      </c>
      <c r="X19" s="1125">
        <f>'2.0 Patients'!X76</f>
        <v>2.166666666666667</v>
      </c>
      <c r="Y19" s="1125">
        <f>'2.0 Patients'!Y76</f>
        <v>2.3333333333333335</v>
      </c>
      <c r="Z19" s="1125">
        <f>'2.0 Patients'!Z76</f>
        <v>2.5</v>
      </c>
      <c r="AA19" s="1125">
        <f>'2.0 Patients'!AA76</f>
        <v>2.6666666666666665</v>
      </c>
      <c r="AB19" s="1125">
        <f>'2.0 Patients'!AB76</f>
        <v>2.833333333333333</v>
      </c>
      <c r="AC19" s="1127">
        <f>'2.0 Patients'!AC76</f>
        <v>2.9999999999999996</v>
      </c>
      <c r="AD19" s="1125">
        <f>'2.0 Patients'!AD76</f>
        <v>3.1666666666666661</v>
      </c>
      <c r="AE19" s="1125">
        <f>'2.0 Patients'!AE76</f>
        <v>3.3333333333333326</v>
      </c>
      <c r="AF19" s="1125">
        <f>'2.0 Patients'!AF76</f>
        <v>3.4999999999999991</v>
      </c>
      <c r="AG19" s="1125">
        <f>'2.0 Patients'!AG76</f>
        <v>3.6666666666666656</v>
      </c>
      <c r="AH19" s="1125">
        <f>'2.0 Patients'!AH76</f>
        <v>3.8333333333333321</v>
      </c>
      <c r="AI19" s="1125">
        <f>'2.0 Patients'!AI76</f>
        <v>3.9999999999999987</v>
      </c>
      <c r="AJ19" s="1125">
        <f>'2.0 Patients'!AJ76</f>
        <v>4.1666666666666652</v>
      </c>
      <c r="AK19" s="1125">
        <f>'2.0 Patients'!AK76</f>
        <v>4.3333333333333321</v>
      </c>
      <c r="AL19" s="1125">
        <f>'2.0 Patients'!AL76</f>
        <v>4.4999999999999991</v>
      </c>
      <c r="AM19" s="1125">
        <f>'2.0 Patients'!AM76</f>
        <v>4.6666666666666661</v>
      </c>
      <c r="AN19" s="1125">
        <f>'2.0 Patients'!AN76</f>
        <v>4.833333333333333</v>
      </c>
      <c r="AO19" s="1127">
        <f>'2.0 Patients'!AO76</f>
        <v>5</v>
      </c>
      <c r="AP19" s="1125">
        <f>'2.0 Patients'!AP76</f>
        <v>5.083333333333333</v>
      </c>
      <c r="AQ19" s="1125">
        <f>'2.0 Patients'!AQ76</f>
        <v>5.1666666666666661</v>
      </c>
      <c r="AR19" s="1125">
        <f>'2.0 Patients'!AR76</f>
        <v>5.2499999999999991</v>
      </c>
      <c r="AS19" s="1125">
        <f>'2.0 Patients'!AS76</f>
        <v>5.3333333333333321</v>
      </c>
      <c r="AT19" s="1125">
        <f>'2.0 Patients'!AT76</f>
        <v>5.4166666666666652</v>
      </c>
      <c r="AU19" s="1125">
        <f>'2.0 Patients'!AU76</f>
        <v>5.4999999999999982</v>
      </c>
      <c r="AV19" s="1125">
        <f>'2.0 Patients'!AV76</f>
        <v>5.5833333333333313</v>
      </c>
      <c r="AW19" s="1125">
        <f>'2.0 Patients'!AW76</f>
        <v>5.6666666666666643</v>
      </c>
      <c r="AX19" s="1125">
        <f>'2.0 Patients'!AX76</f>
        <v>5.7499999999999973</v>
      </c>
      <c r="AY19" s="1125">
        <f>'2.0 Patients'!AY76</f>
        <v>5.8333333333333304</v>
      </c>
      <c r="AZ19" s="1125">
        <f>'2.0 Patients'!AZ76</f>
        <v>5.9166666666666634</v>
      </c>
      <c r="BA19" s="1127">
        <f>'2.0 Patients'!BA76</f>
        <v>5.9999999999999964</v>
      </c>
      <c r="BB19" s="1125">
        <f>'2.0 Patients'!BB76</f>
        <v>6.0833333333333295</v>
      </c>
      <c r="BC19" s="1125">
        <f>'2.0 Patients'!BC76</f>
        <v>6.1666666666666625</v>
      </c>
      <c r="BD19" s="1125">
        <f>'2.0 Patients'!BD76</f>
        <v>6.2499999999999956</v>
      </c>
      <c r="BE19" s="1125">
        <f>'2.0 Patients'!BE76</f>
        <v>6.3333333333333286</v>
      </c>
      <c r="BF19" s="1125">
        <f>'2.0 Patients'!BF76</f>
        <v>6.4166666666666616</v>
      </c>
      <c r="BG19" s="1125">
        <f>'2.0 Patients'!BG76</f>
        <v>6.4999999999999947</v>
      </c>
      <c r="BH19" s="1125">
        <f>'2.0 Patients'!BH76</f>
        <v>6.5833333333333277</v>
      </c>
      <c r="BI19" s="1125">
        <f>'2.0 Patients'!BI76</f>
        <v>6.6666666666666607</v>
      </c>
      <c r="BJ19" s="1125">
        <f>'2.0 Patients'!BJ76</f>
        <v>6.7499999999999938</v>
      </c>
      <c r="BK19" s="1125">
        <f>'2.0 Patients'!BK76</f>
        <v>6.8333333333333268</v>
      </c>
      <c r="BL19" s="1125">
        <f>'2.0 Patients'!BL76</f>
        <v>6.9166666666666599</v>
      </c>
      <c r="BM19" s="1127">
        <f>'2.0 Patients'!BM76</f>
        <v>6.9999999999999929</v>
      </c>
      <c r="BN19" s="1125">
        <f>'2.0 Patients'!BN76</f>
        <v>7.0833333333333259</v>
      </c>
      <c r="BO19" s="1125">
        <f>'2.0 Patients'!BO76</f>
        <v>7.166666666666659</v>
      </c>
      <c r="BP19" s="1125">
        <f>'2.0 Patients'!BP76</f>
        <v>7.249999999999992</v>
      </c>
      <c r="BQ19" s="1125">
        <f>'2.0 Patients'!BQ76</f>
        <v>7.333333333333325</v>
      </c>
      <c r="BR19" s="1125">
        <f>'2.0 Patients'!BR76</f>
        <v>7.4166666666666581</v>
      </c>
      <c r="BS19" s="1125">
        <f>'2.0 Patients'!BS76</f>
        <v>7.4999999999999911</v>
      </c>
      <c r="BT19" s="1125">
        <f>'2.0 Patients'!BT76</f>
        <v>7.5833333333333242</v>
      </c>
      <c r="BU19" s="1125">
        <f>'2.0 Patients'!BU76</f>
        <v>7.6666666666666572</v>
      </c>
      <c r="BV19" s="1125">
        <f>'2.0 Patients'!BV76</f>
        <v>7.7499999999999902</v>
      </c>
      <c r="BW19" s="1125">
        <f>'2.0 Patients'!BW76</f>
        <v>7.8333333333333233</v>
      </c>
      <c r="BX19" s="1125">
        <f>'2.0 Patients'!BX76</f>
        <v>7.9166666666666563</v>
      </c>
      <c r="BY19" s="1127">
        <f>'2.0 Patients'!BY76</f>
        <v>7.9999999999999893</v>
      </c>
    </row>
    <row r="20" spans="2:78" s="1129" customFormat="1" outlineLevel="1">
      <c r="B20" s="1130"/>
      <c r="D20" s="1131"/>
      <c r="E20" s="1131"/>
      <c r="F20" s="1131" t="s">
        <v>2474</v>
      </c>
      <c r="G20" s="1132"/>
      <c r="H20" s="1132"/>
      <c r="I20" s="1133">
        <f>'2.1 Reimburse'!H48</f>
        <v>3</v>
      </c>
      <c r="J20" s="1133">
        <f>'2.1 Reimburse'!I48</f>
        <v>3</v>
      </c>
      <c r="K20" s="1133">
        <f>'2.1 Reimburse'!J48</f>
        <v>3</v>
      </c>
      <c r="L20" s="1133">
        <f>'2.1 Reimburse'!K48</f>
        <v>3</v>
      </c>
      <c r="M20" s="1133">
        <f>'2.1 Reimburse'!L48</f>
        <v>3</v>
      </c>
      <c r="N20" s="1131"/>
      <c r="O20" s="1130"/>
      <c r="P20" s="1134"/>
      <c r="Q20" s="1131"/>
      <c r="R20" s="1263"/>
      <c r="S20" s="1135"/>
      <c r="AC20" s="1136"/>
      <c r="AO20" s="1136"/>
      <c r="BA20" s="1136"/>
      <c r="BM20" s="1136"/>
      <c r="BY20" s="1136"/>
    </row>
    <row r="21" spans="2:78" s="1137" customFormat="1" outlineLevel="1">
      <c r="B21" s="1138"/>
      <c r="D21" s="657"/>
      <c r="E21" s="657"/>
      <c r="F21" s="657" t="s">
        <v>1989</v>
      </c>
      <c r="G21" s="1139"/>
      <c r="H21" s="1139"/>
      <c r="I21" s="1140">
        <f>'2.1 Reimburse'!$J$5</f>
        <v>0.08</v>
      </c>
      <c r="J21" s="1140">
        <f>'2.1 Reimburse'!$J$5</f>
        <v>0.08</v>
      </c>
      <c r="K21" s="1140">
        <f>'2.1 Reimburse'!$J$5</f>
        <v>0.08</v>
      </c>
      <c r="L21" s="1140">
        <f>'2.1 Reimburse'!$J$5</f>
        <v>0.08</v>
      </c>
      <c r="M21" s="1140">
        <f>'2.1 Reimburse'!$J$5</f>
        <v>0.08</v>
      </c>
      <c r="N21" s="657"/>
      <c r="O21" s="1138"/>
      <c r="P21" s="1141"/>
      <c r="Q21" s="657"/>
      <c r="R21" s="1264"/>
      <c r="S21" s="661"/>
      <c r="AC21" s="1142"/>
      <c r="AO21" s="1142"/>
      <c r="BA21" s="1142"/>
      <c r="BM21" s="1142"/>
      <c r="BY21" s="1142"/>
    </row>
    <row r="22" spans="2:78" s="1124" customFormat="1">
      <c r="B22" s="1123"/>
      <c r="D22" s="393"/>
      <c r="E22" s="393"/>
      <c r="F22" s="393" t="s">
        <v>2475</v>
      </c>
      <c r="H22" s="1125"/>
      <c r="I22" s="1125">
        <f>SUM(R22:AC22)</f>
        <v>299.00000000000006</v>
      </c>
      <c r="J22" s="1125">
        <f>SUM(AD22:AO22)</f>
        <v>586.03999999999985</v>
      </c>
      <c r="K22" s="1125">
        <f>SUM(AP22:BA22)</f>
        <v>795.33999999999992</v>
      </c>
      <c r="L22" s="1125">
        <f>SUM(BB22:BM22)</f>
        <v>938.85999999999922</v>
      </c>
      <c r="M22" s="1125">
        <f>SUM(BN22:BY22)</f>
        <v>1082.379999999999</v>
      </c>
      <c r="N22" s="393"/>
      <c r="O22" s="1123"/>
      <c r="P22" s="1126"/>
      <c r="Q22" s="393"/>
      <c r="R22" s="1265">
        <f t="shared" ref="R22:AC22" si="9">R19*$I20*52*(1-$I21)/12</f>
        <v>13.953333333333333</v>
      </c>
      <c r="S22" s="393">
        <f t="shared" si="9"/>
        <v>15.946666666666667</v>
      </c>
      <c r="T22" s="1124">
        <f t="shared" si="9"/>
        <v>17.940000000000005</v>
      </c>
      <c r="U22" s="1124">
        <f t="shared" si="9"/>
        <v>19.933333333333341</v>
      </c>
      <c r="V22" s="1124">
        <f t="shared" si="9"/>
        <v>21.926666666666673</v>
      </c>
      <c r="W22" s="1124">
        <f t="shared" si="9"/>
        <v>23.920000000000012</v>
      </c>
      <c r="X22" s="1124">
        <f t="shared" si="9"/>
        <v>25.913333333333341</v>
      </c>
      <c r="Y22" s="1124">
        <f t="shared" si="9"/>
        <v>27.906666666666666</v>
      </c>
      <c r="Z22" s="1124">
        <f t="shared" si="9"/>
        <v>29.900000000000002</v>
      </c>
      <c r="AA22" s="1124">
        <f t="shared" si="9"/>
        <v>31.893333333333334</v>
      </c>
      <c r="AB22" s="1124">
        <f t="shared" si="9"/>
        <v>33.88666666666667</v>
      </c>
      <c r="AC22" s="1128">
        <f t="shared" si="9"/>
        <v>35.879999999999988</v>
      </c>
      <c r="AD22" s="1124">
        <f t="shared" ref="AD22:AO22" si="10">AD19*$J20*52*(1-$J21)/12</f>
        <v>37.873333333333328</v>
      </c>
      <c r="AE22" s="1124">
        <f t="shared" si="10"/>
        <v>39.86666666666666</v>
      </c>
      <c r="AF22" s="1124">
        <f t="shared" si="10"/>
        <v>41.859999999999985</v>
      </c>
      <c r="AG22" s="1124">
        <f t="shared" si="10"/>
        <v>43.853333333333318</v>
      </c>
      <c r="AH22" s="1124">
        <f t="shared" si="10"/>
        <v>45.846666666666657</v>
      </c>
      <c r="AI22" s="1124">
        <f t="shared" si="10"/>
        <v>47.839999999999982</v>
      </c>
      <c r="AJ22" s="1124">
        <f t="shared" si="10"/>
        <v>49.833333333333314</v>
      </c>
      <c r="AK22" s="1124">
        <f t="shared" si="10"/>
        <v>51.826666666666654</v>
      </c>
      <c r="AL22" s="1124">
        <f t="shared" si="10"/>
        <v>53.819999999999986</v>
      </c>
      <c r="AM22" s="1124">
        <f t="shared" si="10"/>
        <v>55.813333333333325</v>
      </c>
      <c r="AN22" s="1124">
        <f t="shared" si="10"/>
        <v>57.806666666666672</v>
      </c>
      <c r="AO22" s="1128">
        <f t="shared" si="10"/>
        <v>59.800000000000004</v>
      </c>
      <c r="AP22" s="1124">
        <f t="shared" ref="AP22:BA22" si="11">AP19*$K20*52*(1-$K21)/12</f>
        <v>60.796666666666674</v>
      </c>
      <c r="AQ22" s="1124">
        <f t="shared" si="11"/>
        <v>61.793333333333329</v>
      </c>
      <c r="AR22" s="1124">
        <f t="shared" si="11"/>
        <v>62.789999999999985</v>
      </c>
      <c r="AS22" s="1124">
        <f t="shared" si="11"/>
        <v>63.786666666666655</v>
      </c>
      <c r="AT22" s="1124">
        <f t="shared" si="11"/>
        <v>64.783333333333317</v>
      </c>
      <c r="AU22" s="1124">
        <f t="shared" si="11"/>
        <v>65.779999999999973</v>
      </c>
      <c r="AV22" s="1124">
        <f t="shared" si="11"/>
        <v>66.776666666666642</v>
      </c>
      <c r="AW22" s="1124">
        <f t="shared" si="11"/>
        <v>67.773333333333312</v>
      </c>
      <c r="AX22" s="1124">
        <f t="shared" si="11"/>
        <v>68.769999999999968</v>
      </c>
      <c r="AY22" s="1124">
        <f t="shared" si="11"/>
        <v>69.766666666666637</v>
      </c>
      <c r="AZ22" s="1124">
        <f t="shared" si="11"/>
        <v>70.763333333333293</v>
      </c>
      <c r="BA22" s="1128">
        <f t="shared" si="11"/>
        <v>71.759999999999962</v>
      </c>
      <c r="BB22" s="1124">
        <f t="shared" ref="BB22:BM22" si="12">BB19*$L20*52*(1-$L21)/12</f>
        <v>72.756666666666618</v>
      </c>
      <c r="BC22" s="1124">
        <f t="shared" si="12"/>
        <v>73.753333333333288</v>
      </c>
      <c r="BD22" s="1124">
        <f t="shared" si="12"/>
        <v>74.749999999999957</v>
      </c>
      <c r="BE22" s="1124">
        <f t="shared" si="12"/>
        <v>75.746666666666627</v>
      </c>
      <c r="BF22" s="1124">
        <f t="shared" si="12"/>
        <v>76.743333333333283</v>
      </c>
      <c r="BG22" s="1124">
        <f t="shared" si="12"/>
        <v>77.739999999999952</v>
      </c>
      <c r="BH22" s="1124">
        <f t="shared" si="12"/>
        <v>78.736666666666608</v>
      </c>
      <c r="BI22" s="1124">
        <f t="shared" si="12"/>
        <v>79.733333333333263</v>
      </c>
      <c r="BJ22" s="1124">
        <f t="shared" si="12"/>
        <v>80.729999999999933</v>
      </c>
      <c r="BK22" s="1124">
        <f t="shared" si="12"/>
        <v>81.726666666666588</v>
      </c>
      <c r="BL22" s="1124">
        <f t="shared" si="12"/>
        <v>82.723333333333258</v>
      </c>
      <c r="BM22" s="1128">
        <f t="shared" si="12"/>
        <v>83.719999999999914</v>
      </c>
      <c r="BN22" s="1124">
        <f>BN19*$M20*52*(1-$M21)/12</f>
        <v>84.716666666666583</v>
      </c>
      <c r="BO22" s="1124">
        <f t="shared" ref="BO22:BY22" si="13">BO19*$M20*52*(1-$M21)/12</f>
        <v>85.713333333333253</v>
      </c>
      <c r="BP22" s="1124">
        <f t="shared" si="13"/>
        <v>86.709999999999908</v>
      </c>
      <c r="BQ22" s="1124">
        <f t="shared" si="13"/>
        <v>87.706666666666578</v>
      </c>
      <c r="BR22" s="1124">
        <f t="shared" si="13"/>
        <v>88.703333333333219</v>
      </c>
      <c r="BS22" s="1124">
        <f t="shared" si="13"/>
        <v>89.699999999999889</v>
      </c>
      <c r="BT22" s="1124">
        <f t="shared" si="13"/>
        <v>90.696666666666559</v>
      </c>
      <c r="BU22" s="1124">
        <f t="shared" si="13"/>
        <v>91.693333333333229</v>
      </c>
      <c r="BV22" s="1124">
        <f t="shared" si="13"/>
        <v>92.689999999999898</v>
      </c>
      <c r="BW22" s="1124">
        <f t="shared" si="13"/>
        <v>93.686666666666568</v>
      </c>
      <c r="BX22" s="1124">
        <f t="shared" si="13"/>
        <v>94.683333333333223</v>
      </c>
      <c r="BY22" s="1128">
        <f t="shared" si="13"/>
        <v>95.679999999999879</v>
      </c>
      <c r="BZ22" s="1143">
        <f>ROUND(SUM(H22:M22)-SUM(Q22:BY22),0)</f>
        <v>0</v>
      </c>
    </row>
    <row r="23" spans="2:78" s="1150" customFormat="1">
      <c r="B23" s="1151"/>
      <c r="D23" s="1152"/>
      <c r="E23" s="1152"/>
      <c r="F23" s="1152" t="s">
        <v>9</v>
      </c>
      <c r="I23" s="1153">
        <f>'2.1 Reimburse'!H47</f>
        <v>1016.4768204665048</v>
      </c>
      <c r="J23" s="1153">
        <f>'2.1 Reimburse'!I47</f>
        <v>1039.8557873372342</v>
      </c>
      <c r="K23" s="1153">
        <f>'2.1 Reimburse'!J47</f>
        <v>1063.7724704459906</v>
      </c>
      <c r="L23" s="1153">
        <f>'2.1 Reimburse'!K47</f>
        <v>1088.2392372662482</v>
      </c>
      <c r="M23" s="1153">
        <f>'2.1 Reimburse'!L47</f>
        <v>1113.2687397233717</v>
      </c>
      <c r="N23" s="1152"/>
      <c r="O23" s="1151"/>
      <c r="P23" s="1154"/>
      <c r="Q23" s="1152"/>
      <c r="R23" s="1266">
        <f>I23</f>
        <v>1016.4768204665048</v>
      </c>
      <c r="S23" s="1257">
        <f>R23</f>
        <v>1016.4768204665048</v>
      </c>
      <c r="T23" s="1258">
        <f t="shared" ref="T23:BY23" si="14">S23</f>
        <v>1016.4768204665048</v>
      </c>
      <c r="U23" s="1258">
        <f t="shared" si="14"/>
        <v>1016.4768204665048</v>
      </c>
      <c r="V23" s="1258">
        <f t="shared" si="14"/>
        <v>1016.4768204665048</v>
      </c>
      <c r="W23" s="1258">
        <f t="shared" si="14"/>
        <v>1016.4768204665048</v>
      </c>
      <c r="X23" s="1258">
        <f t="shared" si="14"/>
        <v>1016.4768204665048</v>
      </c>
      <c r="Y23" s="1258">
        <f t="shared" si="14"/>
        <v>1016.4768204665048</v>
      </c>
      <c r="Z23" s="1258">
        <f t="shared" si="14"/>
        <v>1016.4768204665048</v>
      </c>
      <c r="AA23" s="1258">
        <f t="shared" si="14"/>
        <v>1016.4768204665048</v>
      </c>
      <c r="AB23" s="1258">
        <f t="shared" si="14"/>
        <v>1016.4768204665048</v>
      </c>
      <c r="AC23" s="1259">
        <f t="shared" si="14"/>
        <v>1016.4768204665048</v>
      </c>
      <c r="AD23" s="1258">
        <f>J23</f>
        <v>1039.8557873372342</v>
      </c>
      <c r="AE23" s="1258">
        <f t="shared" si="14"/>
        <v>1039.8557873372342</v>
      </c>
      <c r="AF23" s="1258">
        <f t="shared" si="14"/>
        <v>1039.8557873372342</v>
      </c>
      <c r="AG23" s="1258">
        <f t="shared" si="14"/>
        <v>1039.8557873372342</v>
      </c>
      <c r="AH23" s="1258">
        <f t="shared" si="14"/>
        <v>1039.8557873372342</v>
      </c>
      <c r="AI23" s="1258">
        <f t="shared" si="14"/>
        <v>1039.8557873372342</v>
      </c>
      <c r="AJ23" s="1258">
        <f t="shared" si="14"/>
        <v>1039.8557873372342</v>
      </c>
      <c r="AK23" s="1258">
        <f t="shared" si="14"/>
        <v>1039.8557873372342</v>
      </c>
      <c r="AL23" s="1258">
        <f t="shared" si="14"/>
        <v>1039.8557873372342</v>
      </c>
      <c r="AM23" s="1258">
        <f t="shared" si="14"/>
        <v>1039.8557873372342</v>
      </c>
      <c r="AN23" s="1258">
        <f t="shared" si="14"/>
        <v>1039.8557873372342</v>
      </c>
      <c r="AO23" s="1259">
        <f t="shared" si="14"/>
        <v>1039.8557873372342</v>
      </c>
      <c r="AP23" s="1258">
        <f>K23</f>
        <v>1063.7724704459906</v>
      </c>
      <c r="AQ23" s="1258">
        <f t="shared" si="14"/>
        <v>1063.7724704459906</v>
      </c>
      <c r="AR23" s="1258">
        <f t="shared" si="14"/>
        <v>1063.7724704459906</v>
      </c>
      <c r="AS23" s="1258">
        <f t="shared" si="14"/>
        <v>1063.7724704459906</v>
      </c>
      <c r="AT23" s="1258">
        <f t="shared" si="14"/>
        <v>1063.7724704459906</v>
      </c>
      <c r="AU23" s="1258">
        <f t="shared" si="14"/>
        <v>1063.7724704459906</v>
      </c>
      <c r="AV23" s="1258">
        <f t="shared" si="14"/>
        <v>1063.7724704459906</v>
      </c>
      <c r="AW23" s="1258">
        <f t="shared" si="14"/>
        <v>1063.7724704459906</v>
      </c>
      <c r="AX23" s="1258">
        <f t="shared" si="14"/>
        <v>1063.7724704459906</v>
      </c>
      <c r="AY23" s="1258">
        <f t="shared" si="14"/>
        <v>1063.7724704459906</v>
      </c>
      <c r="AZ23" s="1258">
        <f t="shared" si="14"/>
        <v>1063.7724704459906</v>
      </c>
      <c r="BA23" s="1259">
        <f t="shared" si="14"/>
        <v>1063.7724704459906</v>
      </c>
      <c r="BB23" s="1258">
        <f>L23</f>
        <v>1088.2392372662482</v>
      </c>
      <c r="BC23" s="1258">
        <f t="shared" si="14"/>
        <v>1088.2392372662482</v>
      </c>
      <c r="BD23" s="1258">
        <f t="shared" si="14"/>
        <v>1088.2392372662482</v>
      </c>
      <c r="BE23" s="1258">
        <f t="shared" si="14"/>
        <v>1088.2392372662482</v>
      </c>
      <c r="BF23" s="1258">
        <f t="shared" si="14"/>
        <v>1088.2392372662482</v>
      </c>
      <c r="BG23" s="1258">
        <f t="shared" si="14"/>
        <v>1088.2392372662482</v>
      </c>
      <c r="BH23" s="1258">
        <f t="shared" si="14"/>
        <v>1088.2392372662482</v>
      </c>
      <c r="BI23" s="1258">
        <f t="shared" si="14"/>
        <v>1088.2392372662482</v>
      </c>
      <c r="BJ23" s="1258">
        <f t="shared" si="14"/>
        <v>1088.2392372662482</v>
      </c>
      <c r="BK23" s="1258">
        <f t="shared" si="14"/>
        <v>1088.2392372662482</v>
      </c>
      <c r="BL23" s="1258">
        <f t="shared" si="14"/>
        <v>1088.2392372662482</v>
      </c>
      <c r="BM23" s="1259">
        <f t="shared" si="14"/>
        <v>1088.2392372662482</v>
      </c>
      <c r="BN23" s="1258">
        <f>M23</f>
        <v>1113.2687397233717</v>
      </c>
      <c r="BO23" s="1258">
        <f t="shared" si="14"/>
        <v>1113.2687397233717</v>
      </c>
      <c r="BP23" s="1258">
        <f t="shared" si="14"/>
        <v>1113.2687397233717</v>
      </c>
      <c r="BQ23" s="1258">
        <f t="shared" si="14"/>
        <v>1113.2687397233717</v>
      </c>
      <c r="BR23" s="1258">
        <f t="shared" si="14"/>
        <v>1113.2687397233717</v>
      </c>
      <c r="BS23" s="1258">
        <f t="shared" si="14"/>
        <v>1113.2687397233717</v>
      </c>
      <c r="BT23" s="1258">
        <f t="shared" si="14"/>
        <v>1113.2687397233717</v>
      </c>
      <c r="BU23" s="1258">
        <f t="shared" si="14"/>
        <v>1113.2687397233717</v>
      </c>
      <c r="BV23" s="1258">
        <f t="shared" si="14"/>
        <v>1113.2687397233717</v>
      </c>
      <c r="BW23" s="1258">
        <f t="shared" si="14"/>
        <v>1113.2687397233717</v>
      </c>
      <c r="BX23" s="1258">
        <f t="shared" si="14"/>
        <v>1113.2687397233717</v>
      </c>
      <c r="BY23" s="1259">
        <f t="shared" si="14"/>
        <v>1113.2687397233717</v>
      </c>
    </row>
    <row r="24" spans="2:78" s="1144" customFormat="1">
      <c r="B24" s="367"/>
      <c r="C24" s="1113"/>
      <c r="D24" s="667"/>
      <c r="E24" s="667"/>
      <c r="F24" s="667" t="s">
        <v>2169</v>
      </c>
      <c r="G24" s="1113"/>
      <c r="I24" s="646">
        <f>52*I20*I19*(1-I21)*I23</f>
        <v>303926.56931948493</v>
      </c>
      <c r="J24" s="646">
        <f>52*J20*J19*(1-J21)*J23</f>
        <v>609397.08561111265</v>
      </c>
      <c r="K24" s="646">
        <f>52*K20*K19*(1-K21)*K23</f>
        <v>846060.79664451384</v>
      </c>
      <c r="L24" s="646">
        <f>52*L20*L19*(1-L21)*L23</f>
        <v>1021704.2902997888</v>
      </c>
      <c r="M24" s="646">
        <f>52*M20*M19*(1-M21)*M23</f>
        <v>1204979.8185017817</v>
      </c>
      <c r="N24" s="368"/>
      <c r="O24" s="367"/>
      <c r="P24" s="1145"/>
      <c r="Q24" s="1145"/>
      <c r="R24" s="1267">
        <f t="shared" ref="R24:AW24" si="15">R23*R22</f>
        <v>14183.239901575964</v>
      </c>
      <c r="S24" s="1144">
        <f t="shared" si="15"/>
        <v>16209.417030372531</v>
      </c>
      <c r="T24" s="1146">
        <f t="shared" si="15"/>
        <v>18235.594159169101</v>
      </c>
      <c r="U24" s="1146">
        <f t="shared" si="15"/>
        <v>20261.771287965672</v>
      </c>
      <c r="V24" s="1146">
        <f t="shared" si="15"/>
        <v>22287.948416762236</v>
      </c>
      <c r="W24" s="1146">
        <f t="shared" si="15"/>
        <v>24314.125545558807</v>
      </c>
      <c r="X24" s="1146">
        <f t="shared" si="15"/>
        <v>26340.302674355371</v>
      </c>
      <c r="Y24" s="1146">
        <f t="shared" si="15"/>
        <v>28366.479803151928</v>
      </c>
      <c r="Z24" s="1146">
        <f t="shared" si="15"/>
        <v>30392.656931948495</v>
      </c>
      <c r="AA24" s="1146">
        <f t="shared" si="15"/>
        <v>32418.834060745063</v>
      </c>
      <c r="AB24" s="1146">
        <f t="shared" si="15"/>
        <v>34445.011189541627</v>
      </c>
      <c r="AC24" s="1147">
        <f t="shared" si="15"/>
        <v>36471.18831833818</v>
      </c>
      <c r="AD24" s="1146">
        <f t="shared" si="15"/>
        <v>39382.804852418849</v>
      </c>
      <c r="AE24" s="1146">
        <f t="shared" si="15"/>
        <v>41455.584055177729</v>
      </c>
      <c r="AF24" s="1146">
        <f t="shared" si="15"/>
        <v>43528.363257936609</v>
      </c>
      <c r="AG24" s="1146">
        <f t="shared" si="15"/>
        <v>45601.142460695497</v>
      </c>
      <c r="AH24" s="1146">
        <f t="shared" si="15"/>
        <v>47673.921663454392</v>
      </c>
      <c r="AI24" s="1146">
        <f t="shared" si="15"/>
        <v>49746.700866213265</v>
      </c>
      <c r="AJ24" s="1146">
        <f t="shared" si="15"/>
        <v>51819.480068972152</v>
      </c>
      <c r="AK24" s="1146">
        <f t="shared" si="15"/>
        <v>53892.259271731047</v>
      </c>
      <c r="AL24" s="1146">
        <f t="shared" si="15"/>
        <v>55965.038474489935</v>
      </c>
      <c r="AM24" s="1146">
        <f t="shared" si="15"/>
        <v>58037.817677248822</v>
      </c>
      <c r="AN24" s="1146">
        <f t="shared" si="15"/>
        <v>60110.596880007724</v>
      </c>
      <c r="AO24" s="1147">
        <f t="shared" si="15"/>
        <v>62183.376082766612</v>
      </c>
      <c r="AP24" s="1146">
        <f t="shared" si="15"/>
        <v>64673.820294881414</v>
      </c>
      <c r="AQ24" s="1146">
        <f t="shared" si="15"/>
        <v>65734.046857092573</v>
      </c>
      <c r="AR24" s="1146">
        <f t="shared" si="15"/>
        <v>66794.273419303732</v>
      </c>
      <c r="AS24" s="1146">
        <f t="shared" si="15"/>
        <v>67854.499981514906</v>
      </c>
      <c r="AT24" s="1146">
        <f t="shared" si="15"/>
        <v>68914.726543726079</v>
      </c>
      <c r="AU24" s="1146">
        <f t="shared" si="15"/>
        <v>69974.953105937238</v>
      </c>
      <c r="AV24" s="1146">
        <f t="shared" si="15"/>
        <v>71035.179668148412</v>
      </c>
      <c r="AW24" s="1146">
        <f t="shared" si="15"/>
        <v>72095.406230359586</v>
      </c>
      <c r="AX24" s="1146">
        <f t="shared" ref="AX24:BY24" si="16">AX23*AX22</f>
        <v>73155.632792570745</v>
      </c>
      <c r="AY24" s="1146">
        <f t="shared" si="16"/>
        <v>74215.859354781918</v>
      </c>
      <c r="AZ24" s="1146">
        <f t="shared" si="16"/>
        <v>75276.085916993077</v>
      </c>
      <c r="BA24" s="1147">
        <f t="shared" si="16"/>
        <v>76336.312479204251</v>
      </c>
      <c r="BB24" s="1146">
        <f t="shared" si="16"/>
        <v>79176.659439367941</v>
      </c>
      <c r="BC24" s="1146">
        <f t="shared" si="16"/>
        <v>80261.271212509979</v>
      </c>
      <c r="BD24" s="1146">
        <f t="shared" si="16"/>
        <v>81345.882985652002</v>
      </c>
      <c r="BE24" s="1146">
        <f t="shared" si="16"/>
        <v>82430.494758794041</v>
      </c>
      <c r="BF24" s="1146">
        <f t="shared" si="16"/>
        <v>83515.10653193605</v>
      </c>
      <c r="BG24" s="1146">
        <f t="shared" si="16"/>
        <v>84599.718305078088</v>
      </c>
      <c r="BH24" s="1146">
        <f t="shared" si="16"/>
        <v>85684.330078220097</v>
      </c>
      <c r="BI24" s="1146">
        <f t="shared" si="16"/>
        <v>86768.94185136212</v>
      </c>
      <c r="BJ24" s="1146">
        <f t="shared" si="16"/>
        <v>87853.553624504144</v>
      </c>
      <c r="BK24" s="1146">
        <f t="shared" si="16"/>
        <v>88938.165397646153</v>
      </c>
      <c r="BL24" s="1146">
        <f t="shared" si="16"/>
        <v>90022.777170788191</v>
      </c>
      <c r="BM24" s="1147">
        <f t="shared" si="16"/>
        <v>91107.3889439302</v>
      </c>
      <c r="BN24" s="1146">
        <f t="shared" si="16"/>
        <v>94312.416733564882</v>
      </c>
      <c r="BO24" s="1146">
        <f t="shared" si="16"/>
        <v>95421.974577489178</v>
      </c>
      <c r="BP24" s="1146">
        <f t="shared" si="16"/>
        <v>96531.53242141346</v>
      </c>
      <c r="BQ24" s="1146">
        <f t="shared" si="16"/>
        <v>97641.090265337756</v>
      </c>
      <c r="BR24" s="1146">
        <f t="shared" si="16"/>
        <v>98750.648109262023</v>
      </c>
      <c r="BS24" s="1146">
        <f t="shared" si="16"/>
        <v>99860.20595318632</v>
      </c>
      <c r="BT24" s="1146">
        <f t="shared" si="16"/>
        <v>100969.76379711062</v>
      </c>
      <c r="BU24" s="1146">
        <f t="shared" si="16"/>
        <v>102079.32164103491</v>
      </c>
      <c r="BV24" s="1146">
        <f t="shared" si="16"/>
        <v>103188.87948495921</v>
      </c>
      <c r="BW24" s="1146">
        <f t="shared" si="16"/>
        <v>104298.4373288835</v>
      </c>
      <c r="BX24" s="1146">
        <f t="shared" si="16"/>
        <v>105407.99517280779</v>
      </c>
      <c r="BY24" s="1147">
        <f t="shared" si="16"/>
        <v>106517.55301673207</v>
      </c>
      <c r="BZ24" s="1148">
        <f>ROUND(SUM(H24:M24)-SUM(Q24:BY24),0)</f>
        <v>0</v>
      </c>
    </row>
    <row r="25" spans="2:78" s="1149" customFormat="1">
      <c r="B25" s="367"/>
      <c r="C25" s="1113"/>
      <c r="D25" s="667"/>
      <c r="E25" s="667"/>
      <c r="F25" s="667" t="s">
        <v>1890</v>
      </c>
      <c r="G25" s="1113"/>
      <c r="H25" s="1144"/>
      <c r="I25" s="646">
        <f>SUM(R25:AC25)</f>
        <v>200591.53575086009</v>
      </c>
      <c r="J25" s="646">
        <f>SUM(AD25:AO25)</f>
        <v>532400.32853971433</v>
      </c>
      <c r="K25" s="646">
        <f>SUM(AP25:BA25)</f>
        <v>800564.32953355776</v>
      </c>
      <c r="L25" s="646">
        <f>SUM(BB25:BM25)</f>
        <v>977464.21653840377</v>
      </c>
      <c r="M25" s="646">
        <f>SUM(BN25:BY25)</f>
        <v>1158824.1644957229</v>
      </c>
      <c r="N25" s="368"/>
      <c r="O25" s="367"/>
      <c r="P25" s="1145"/>
      <c r="Q25" s="368"/>
      <c r="R25" s="1268"/>
      <c r="S25" s="368"/>
      <c r="T25" s="1146"/>
      <c r="U25" s="1146">
        <f>IF(U$6&gt;SurveyDelay+3,R24,IF(U$6=SurveyDelay+3,SUM($R24:R24),0))</f>
        <v>0</v>
      </c>
      <c r="V25" s="1146">
        <f>IF(V$6&gt;SurveyDelay+3,S24,IF(V$6=SurveyDelay+3,SUM($R24:S24),0))</f>
        <v>0</v>
      </c>
      <c r="W25" s="1146">
        <f>IF(W$6&gt;SurveyDelay+3,T24,IF(W$6=SurveyDelay+3,SUM($R24:T24),0))</f>
        <v>0</v>
      </c>
      <c r="X25" s="1146">
        <f>IF(X$6&gt;SurveyDelay+3,U24,IF(X$6=SurveyDelay+3,SUM($R24:U24),0))</f>
        <v>0</v>
      </c>
      <c r="Y25" s="1146">
        <f>IF(Y$6&gt;SurveyDelay+3,V24,IF(Y$6=SurveyDelay+3,SUM($R24:V24),0))</f>
        <v>0</v>
      </c>
      <c r="Z25" s="1146">
        <f>IF(Z$6&gt;SurveyDelay+3,W24,IF(Z$6=SurveyDelay+3,SUM($R24:W24),0))</f>
        <v>115492.09634140431</v>
      </c>
      <c r="AA25" s="1146">
        <f>IF(AA$6&gt;SurveyDelay+3,X24,IF(AA$6=SurveyDelay+3,SUM($R24:X24),0))</f>
        <v>26340.302674355371</v>
      </c>
      <c r="AB25" s="1146">
        <f>IF(AB$6&gt;SurveyDelay+3,Y24,IF(AB$6=SurveyDelay+3,SUM($R24:Y24),0))</f>
        <v>28366.479803151928</v>
      </c>
      <c r="AC25" s="1147">
        <f>IF(AC$6&gt;SurveyDelay+3,Z24,IF(AC$6=SurveyDelay+3,SUM($R24:Z24),0))</f>
        <v>30392.656931948495</v>
      </c>
      <c r="AD25" s="1146">
        <f>IF(AD$6&gt;SurveyDelay+3,AA24,IF(AD$6=SurveyDelay+3,SUM($R24:AA24),0))</f>
        <v>32418.834060745063</v>
      </c>
      <c r="AE25" s="1146">
        <f>IF(AE$6&gt;SurveyDelay+3,AB24,IF(AE$6=SurveyDelay+3,SUM($R24:AB24),0))</f>
        <v>34445.011189541627</v>
      </c>
      <c r="AF25" s="1146">
        <f>IF(AF$6&gt;SurveyDelay+3,AC24,IF(AF$6=SurveyDelay+3,SUM($R24:AC24),0))</f>
        <v>36471.18831833818</v>
      </c>
      <c r="AG25" s="1146">
        <f>IF(AG$6&gt;SurveyDelay+3,AD24,IF(AG$6=SurveyDelay+3,SUM($R24:AD24),0))</f>
        <v>39382.804852418849</v>
      </c>
      <c r="AH25" s="1146">
        <f>IF(AH$6&gt;SurveyDelay+3,AE24,IF(AH$6=SurveyDelay+3,SUM($R24:AE24),0))</f>
        <v>41455.584055177729</v>
      </c>
      <c r="AI25" s="1146">
        <f>IF(AI$6&gt;SurveyDelay+3,AF24,IF(AI$6=SurveyDelay+3,SUM($R24:AF24),0))</f>
        <v>43528.363257936609</v>
      </c>
      <c r="AJ25" s="1146">
        <f>IF(AJ$6&gt;SurveyDelay+3,AG24,IF(AJ$6=SurveyDelay+3,SUM($R24:AG24),0))</f>
        <v>45601.142460695497</v>
      </c>
      <c r="AK25" s="1146">
        <f>IF(AK$6&gt;SurveyDelay+3,AH24,IF(AK$6=SurveyDelay+3,SUM($R24:AH24),0))</f>
        <v>47673.921663454392</v>
      </c>
      <c r="AL25" s="1146">
        <f>IF(AL$6&gt;SurveyDelay+3,AI24,IF(AL$6=SurveyDelay+3,SUM($R24:AI24),0))</f>
        <v>49746.700866213265</v>
      </c>
      <c r="AM25" s="1146">
        <f>IF(AM$6&gt;SurveyDelay+3,AJ24,IF(AM$6=SurveyDelay+3,SUM($R24:AJ24),0))</f>
        <v>51819.480068972152</v>
      </c>
      <c r="AN25" s="1146">
        <f>IF(AN$6&gt;SurveyDelay+3,AK24,IF(AN$6=SurveyDelay+3,SUM($R24:AK24),0))</f>
        <v>53892.259271731047</v>
      </c>
      <c r="AO25" s="1147">
        <f>IF(AO$6&gt;SurveyDelay+3,AL24,IF(AO$6=SurveyDelay+3,SUM($R24:AL24),0))</f>
        <v>55965.038474489935</v>
      </c>
      <c r="AP25" s="1146">
        <f>IF(AP$6&gt;SurveyDelay+3,AM24,IF(AP$6=SurveyDelay+3,SUM($R24:AM24),0))</f>
        <v>58037.817677248822</v>
      </c>
      <c r="AQ25" s="1146">
        <f>IF(AQ$6&gt;SurveyDelay+3,AN24,IF(AQ$6=SurveyDelay+3,SUM($R24:AN24),0))</f>
        <v>60110.596880007724</v>
      </c>
      <c r="AR25" s="1146">
        <f>IF(AR$6&gt;SurveyDelay+3,AO24,IF(AR$6=SurveyDelay+3,SUM($R24:AO24),0))</f>
        <v>62183.376082766612</v>
      </c>
      <c r="AS25" s="1146">
        <f>IF(AS$6&gt;SurveyDelay+3,AP24,IF(AS$6=SurveyDelay+3,SUM($R24:AP24),0))</f>
        <v>64673.820294881414</v>
      </c>
      <c r="AT25" s="1146">
        <f>IF(AT$6&gt;SurveyDelay+3,AQ24,IF(AT$6=SurveyDelay+3,SUM($R24:AQ24),0))</f>
        <v>65734.046857092573</v>
      </c>
      <c r="AU25" s="1146">
        <f>IF(AU$6&gt;SurveyDelay+3,AR24,IF(AU$6=SurveyDelay+3,SUM($R24:AR24),0))</f>
        <v>66794.273419303732</v>
      </c>
      <c r="AV25" s="1146">
        <f>IF(AV$6&gt;SurveyDelay+3,AS24,IF(AV$6=SurveyDelay+3,SUM($R24:AS24),0))</f>
        <v>67854.499981514906</v>
      </c>
      <c r="AW25" s="1146">
        <f>IF(AW$6&gt;SurveyDelay+3,AT24,IF(AW$6=SurveyDelay+3,SUM($R24:AT24),0))</f>
        <v>68914.726543726079</v>
      </c>
      <c r="AX25" s="1146">
        <f>IF(AX$6&gt;SurveyDelay+3,AU24,IF(AX$6=SurveyDelay+3,SUM($R24:AU24),0))</f>
        <v>69974.953105937238</v>
      </c>
      <c r="AY25" s="1146">
        <f>IF(AY$6&gt;SurveyDelay+3,AV24,IF(AY$6=SurveyDelay+3,SUM($R24:AV24),0))</f>
        <v>71035.179668148412</v>
      </c>
      <c r="AZ25" s="1146">
        <f>IF(AZ$6&gt;SurveyDelay+3,AW24,IF(AZ$6=SurveyDelay+3,SUM($R24:AW24),0))</f>
        <v>72095.406230359586</v>
      </c>
      <c r="BA25" s="1147">
        <f>IF(BA$6&gt;SurveyDelay+3,AX24,IF(BA$6=SurveyDelay+3,SUM($R24:AX24),0))</f>
        <v>73155.632792570745</v>
      </c>
      <c r="BB25" s="1146">
        <f>IF(BB$6&gt;SurveyDelay+3,AY24,IF(BB$6=SurveyDelay+3,SUM($R24:AY24),0))</f>
        <v>74215.859354781918</v>
      </c>
      <c r="BC25" s="1146">
        <f>IF(BC$6&gt;SurveyDelay+3,AZ24,IF(BC$6=SurveyDelay+3,SUM($R24:AZ24),0))</f>
        <v>75276.085916993077</v>
      </c>
      <c r="BD25" s="1146">
        <f>IF(BD$6&gt;SurveyDelay+3,BA24,IF(BD$6=SurveyDelay+3,SUM($R24:BA24),0))</f>
        <v>76336.312479204251</v>
      </c>
      <c r="BE25" s="1146">
        <f>IF(BE$6&gt;SurveyDelay+3,BB24,IF(BE$6=SurveyDelay+3,SUM($R24:BB24),0))</f>
        <v>79176.659439367941</v>
      </c>
      <c r="BF25" s="1146">
        <f>IF(BF$6&gt;SurveyDelay+3,BC24,IF(BF$6=SurveyDelay+3,SUM($R24:BC24),0))</f>
        <v>80261.271212509979</v>
      </c>
      <c r="BG25" s="1146">
        <f>IF(BG$6&gt;SurveyDelay+3,BD24,IF(BG$6=SurveyDelay+3,SUM($R24:BD24),0))</f>
        <v>81345.882985652002</v>
      </c>
      <c r="BH25" s="1146">
        <f>IF(BH$6&gt;SurveyDelay+3,BE24,IF(BH$6=SurveyDelay+3,SUM($R24:BE24),0))</f>
        <v>82430.494758794041</v>
      </c>
      <c r="BI25" s="1146">
        <f>IF(BI$6&gt;SurveyDelay+3,BF24,IF(BI$6=SurveyDelay+3,SUM($R24:BF24),0))</f>
        <v>83515.10653193605</v>
      </c>
      <c r="BJ25" s="1146">
        <f>IF(BJ$6&gt;SurveyDelay+3,BG24,IF(BJ$6=SurveyDelay+3,SUM($R24:BG24),0))</f>
        <v>84599.718305078088</v>
      </c>
      <c r="BK25" s="1146">
        <f>IF(BK$6&gt;SurveyDelay+3,BH24,IF(BK$6=SurveyDelay+3,SUM($R24:BH24),0))</f>
        <v>85684.330078220097</v>
      </c>
      <c r="BL25" s="1146">
        <f>IF(BL$6&gt;SurveyDelay+3,BI24,IF(BL$6=SurveyDelay+3,SUM($R24:BI24),0))</f>
        <v>86768.94185136212</v>
      </c>
      <c r="BM25" s="1147">
        <f>IF(BM$6&gt;SurveyDelay+3,BJ24,IF(BM$6=SurveyDelay+3,SUM($R24:BJ24),0))</f>
        <v>87853.553624504144</v>
      </c>
      <c r="BN25" s="1146">
        <f>IF(BN$6&gt;SurveyDelay+3,BK24,IF(BN$6=SurveyDelay+3,SUM($R24:BK24),0))</f>
        <v>88938.165397646153</v>
      </c>
      <c r="BO25" s="1146">
        <f>IF(BO$6&gt;SurveyDelay+3,BL24,IF(BO$6=SurveyDelay+3,SUM($R24:BL24),0))</f>
        <v>90022.777170788191</v>
      </c>
      <c r="BP25" s="1146">
        <f>IF(BP$6&gt;SurveyDelay+3,BM24,IF(BP$6=SurveyDelay+3,SUM($R24:BM24),0))</f>
        <v>91107.3889439302</v>
      </c>
      <c r="BQ25" s="1146">
        <f>IF(BQ$6&gt;SurveyDelay+3,BN24,IF(BQ$6=SurveyDelay+3,SUM($R24:BN24),0))</f>
        <v>94312.416733564882</v>
      </c>
      <c r="BR25" s="1146">
        <f>IF(BR$6&gt;SurveyDelay+3,BO24,IF(BR$6=SurveyDelay+3,SUM($R24:BO24),0))</f>
        <v>95421.974577489178</v>
      </c>
      <c r="BS25" s="1146">
        <f>IF(BS$6&gt;SurveyDelay+3,BP24,IF(BS$6=SurveyDelay+3,SUM($R24:BP24),0))</f>
        <v>96531.53242141346</v>
      </c>
      <c r="BT25" s="1146">
        <f>IF(BT$6&gt;SurveyDelay+3,BQ24,IF(BT$6=SurveyDelay+3,SUM($R24:BQ24),0))</f>
        <v>97641.090265337756</v>
      </c>
      <c r="BU25" s="1146">
        <f>IF(BU$6&gt;SurveyDelay+3,BR24,IF(BU$6=SurveyDelay+3,SUM($R24:BR24),0))</f>
        <v>98750.648109262023</v>
      </c>
      <c r="BV25" s="1146">
        <f>IF(BV$6&gt;SurveyDelay+3,BS24,IF(BV$6=SurveyDelay+3,SUM($R24:BS24),0))</f>
        <v>99860.20595318632</v>
      </c>
      <c r="BW25" s="1146">
        <f>IF(BW$6&gt;SurveyDelay+3,BT24,IF(BW$6=SurveyDelay+3,SUM($R24:BT24),0))</f>
        <v>100969.76379711062</v>
      </c>
      <c r="BX25" s="1146">
        <f>IF(BX$6&gt;SurveyDelay+3,BU24,IF(BX$6=SurveyDelay+3,SUM($R24:BU24),0))</f>
        <v>102079.32164103491</v>
      </c>
      <c r="BY25" s="1147">
        <f>IF(BY$6&gt;SurveyDelay+3,BV24,IF(BY$6=SurveyDelay+3,SUM($R24:BV24),0))</f>
        <v>103188.87948495921</v>
      </c>
      <c r="BZ25" s="1148">
        <f>ROUND(SUM(H25:M25)-SUM(Q25:BY25),0)</f>
        <v>0</v>
      </c>
    </row>
    <row r="26" spans="2:78" s="1121" customFormat="1">
      <c r="B26" s="668"/>
      <c r="C26" s="1113"/>
      <c r="D26" s="667"/>
      <c r="E26" s="667"/>
      <c r="F26" s="667"/>
      <c r="G26" s="1113"/>
      <c r="H26" s="1113"/>
      <c r="I26" s="1114"/>
      <c r="J26" s="1114"/>
      <c r="K26" s="1114"/>
      <c r="L26" s="1114"/>
      <c r="M26" s="1114"/>
      <c r="N26" s="667"/>
      <c r="O26" s="668"/>
      <c r="P26" s="1115"/>
      <c r="Q26" s="667"/>
      <c r="R26" s="1261"/>
      <c r="S26" s="667"/>
      <c r="T26" s="803"/>
      <c r="U26" s="803"/>
      <c r="V26" s="803"/>
      <c r="W26" s="803"/>
      <c r="X26" s="803"/>
      <c r="Y26" s="803"/>
      <c r="Z26" s="803"/>
      <c r="AA26" s="803"/>
      <c r="AB26" s="803"/>
      <c r="AC26" s="1119"/>
      <c r="AD26" s="803"/>
      <c r="AE26" s="803"/>
      <c r="AF26" s="803"/>
      <c r="AG26" s="803"/>
      <c r="AH26" s="803"/>
      <c r="AI26" s="803"/>
      <c r="AJ26" s="803"/>
      <c r="AK26" s="803"/>
      <c r="AL26" s="803"/>
      <c r="AM26" s="803"/>
      <c r="AN26" s="803"/>
      <c r="AO26" s="1119"/>
      <c r="AP26" s="803"/>
      <c r="AQ26" s="803"/>
      <c r="AR26" s="803"/>
      <c r="AS26" s="803"/>
      <c r="AT26" s="803"/>
      <c r="AU26" s="803"/>
      <c r="AV26" s="803"/>
      <c r="AW26" s="803"/>
      <c r="AX26" s="803"/>
      <c r="AY26" s="803"/>
      <c r="AZ26" s="803"/>
      <c r="BA26" s="1119"/>
      <c r="BB26" s="803"/>
      <c r="BC26" s="803"/>
      <c r="BD26" s="803"/>
      <c r="BE26" s="803"/>
      <c r="BF26" s="803"/>
      <c r="BG26" s="803"/>
      <c r="BH26" s="803"/>
      <c r="BI26" s="803"/>
      <c r="BJ26" s="803"/>
      <c r="BK26" s="803"/>
      <c r="BL26" s="803"/>
      <c r="BM26" s="1119"/>
      <c r="BN26" s="803"/>
      <c r="BO26" s="803"/>
      <c r="BP26" s="803"/>
      <c r="BQ26" s="803"/>
      <c r="BR26" s="803"/>
      <c r="BS26" s="803"/>
      <c r="BT26" s="803"/>
      <c r="BU26" s="803"/>
      <c r="BV26" s="803"/>
      <c r="BW26" s="803"/>
      <c r="BX26" s="803"/>
      <c r="BY26" s="1119"/>
      <c r="BZ26" s="1113"/>
    </row>
    <row r="27" spans="2:78" s="1113" customFormat="1">
      <c r="B27" s="1120"/>
      <c r="C27" s="1121"/>
      <c r="D27" s="667"/>
      <c r="E27" s="667" t="s">
        <v>6</v>
      </c>
      <c r="F27" s="667"/>
      <c r="G27" s="1121"/>
      <c r="I27" s="1114"/>
      <c r="J27" s="1114"/>
      <c r="K27" s="1114"/>
      <c r="L27" s="1114"/>
      <c r="M27" s="1114"/>
      <c r="N27" s="667"/>
      <c r="O27" s="668"/>
      <c r="P27" s="1115"/>
      <c r="Q27" s="667"/>
      <c r="R27" s="1261"/>
      <c r="S27" s="667"/>
      <c r="AC27" s="1116"/>
      <c r="AO27" s="1116"/>
      <c r="BA27" s="1116"/>
      <c r="BM27" s="1116"/>
      <c r="BY27" s="1116"/>
    </row>
    <row r="28" spans="2:78" s="1122" customFormat="1">
      <c r="B28" s="1123"/>
      <c r="D28" s="393"/>
      <c r="E28" s="393"/>
      <c r="F28" s="393" t="s">
        <v>3156</v>
      </c>
      <c r="G28" s="1124"/>
      <c r="H28" s="1125"/>
      <c r="I28" s="1740">
        <f>AVERAGE(R28:AC28)</f>
        <v>3.25</v>
      </c>
      <c r="J28" s="1740">
        <f>AVERAGE(AD28:AO28)</f>
        <v>8.7083333333333321</v>
      </c>
      <c r="K28" s="1740">
        <f>AVERAGE(AP28:BA28)</f>
        <v>13.166666666666666</v>
      </c>
      <c r="L28" s="1740">
        <f>AVERAGE(BB28:BM28)</f>
        <v>17.166666666666664</v>
      </c>
      <c r="M28" s="1740">
        <f>AVERAGE(BN28:BY28)</f>
        <v>20.083333333333336</v>
      </c>
      <c r="N28" s="393"/>
      <c r="O28" s="1123"/>
      <c r="P28" s="1126"/>
      <c r="Q28" s="393"/>
      <c r="R28" s="1262">
        <f>'2.0 Patients'!R80</f>
        <v>0.5</v>
      </c>
      <c r="S28" s="1125">
        <f>'2.0 Patients'!S80</f>
        <v>1</v>
      </c>
      <c r="T28" s="1125">
        <f>'2.0 Patients'!T80</f>
        <v>1.5</v>
      </c>
      <c r="U28" s="1125">
        <f>'2.0 Patients'!U80</f>
        <v>2</v>
      </c>
      <c r="V28" s="1125">
        <f>'2.0 Patients'!V80</f>
        <v>2.5</v>
      </c>
      <c r="W28" s="1125">
        <f>'2.0 Patients'!W80</f>
        <v>3</v>
      </c>
      <c r="X28" s="1125">
        <f>'2.0 Patients'!X80</f>
        <v>3.5</v>
      </c>
      <c r="Y28" s="1125">
        <f>'2.0 Patients'!Y80</f>
        <v>4</v>
      </c>
      <c r="Z28" s="1125">
        <f>'2.0 Patients'!Z80</f>
        <v>4.5</v>
      </c>
      <c r="AA28" s="1125">
        <f>'2.0 Patients'!AA80</f>
        <v>5</v>
      </c>
      <c r="AB28" s="1125">
        <f>'2.0 Patients'!AB80</f>
        <v>5.5</v>
      </c>
      <c r="AC28" s="1127">
        <f>'2.0 Patients'!AC80</f>
        <v>6</v>
      </c>
      <c r="AD28" s="1125">
        <f>'2.0 Patients'!AD80</f>
        <v>6.416666666666667</v>
      </c>
      <c r="AE28" s="1125">
        <f>'2.0 Patients'!AE80</f>
        <v>6.8333333333333339</v>
      </c>
      <c r="AF28" s="1125">
        <f>'2.0 Patients'!AF80</f>
        <v>7.2500000000000009</v>
      </c>
      <c r="AG28" s="1125">
        <f>'2.0 Patients'!AG80</f>
        <v>7.6666666666666679</v>
      </c>
      <c r="AH28" s="1125">
        <f>'2.0 Patients'!AH80</f>
        <v>8.0833333333333339</v>
      </c>
      <c r="AI28" s="1125">
        <f>'2.0 Patients'!AI80</f>
        <v>8.5</v>
      </c>
      <c r="AJ28" s="1125">
        <f>'2.0 Patients'!AJ80</f>
        <v>8.9166666666666661</v>
      </c>
      <c r="AK28" s="1125">
        <f>'2.0 Patients'!AK80</f>
        <v>9.3333333333333321</v>
      </c>
      <c r="AL28" s="1125">
        <f>'2.0 Patients'!AL80</f>
        <v>9.7499999999999982</v>
      </c>
      <c r="AM28" s="1125">
        <f>'2.0 Patients'!AM80</f>
        <v>10.166666666666664</v>
      </c>
      <c r="AN28" s="1125">
        <f>'2.0 Patients'!AN80</f>
        <v>10.58333333333333</v>
      </c>
      <c r="AO28" s="1127">
        <f>'2.0 Patients'!AO80</f>
        <v>10.999999999999996</v>
      </c>
      <c r="AP28" s="1125">
        <f>'2.0 Patients'!AP80</f>
        <v>11.33333333333333</v>
      </c>
      <c r="AQ28" s="1125">
        <f>'2.0 Patients'!AQ80</f>
        <v>11.666666666666664</v>
      </c>
      <c r="AR28" s="1125">
        <f>'2.0 Patients'!AR80</f>
        <v>11.999999999999998</v>
      </c>
      <c r="AS28" s="1125">
        <f>'2.0 Patients'!AS80</f>
        <v>12.333333333333332</v>
      </c>
      <c r="AT28" s="1125">
        <f>'2.0 Patients'!AT80</f>
        <v>12.666666666666666</v>
      </c>
      <c r="AU28" s="1125">
        <f>'2.0 Patients'!AU80</f>
        <v>13</v>
      </c>
      <c r="AV28" s="1125">
        <f>'2.0 Patients'!AV80</f>
        <v>13.333333333333334</v>
      </c>
      <c r="AW28" s="1125">
        <f>'2.0 Patients'!AW80</f>
        <v>13.666666666666668</v>
      </c>
      <c r="AX28" s="1125">
        <f>'2.0 Patients'!AX80</f>
        <v>14.000000000000002</v>
      </c>
      <c r="AY28" s="1125">
        <f>'2.0 Patients'!AY80</f>
        <v>14.333333333333336</v>
      </c>
      <c r="AZ28" s="1125">
        <f>'2.0 Patients'!AZ80</f>
        <v>14.66666666666667</v>
      </c>
      <c r="BA28" s="1127">
        <f>'2.0 Patients'!BA80</f>
        <v>15.000000000000004</v>
      </c>
      <c r="BB28" s="1125">
        <f>'2.0 Patients'!BB80</f>
        <v>15.333333333333337</v>
      </c>
      <c r="BC28" s="1125">
        <f>'2.0 Patients'!BC80</f>
        <v>15.666666666666671</v>
      </c>
      <c r="BD28" s="1125">
        <f>'2.0 Patients'!BD80</f>
        <v>16.000000000000004</v>
      </c>
      <c r="BE28" s="1125">
        <f>'2.0 Patients'!BE80</f>
        <v>16.333333333333336</v>
      </c>
      <c r="BF28" s="1125">
        <f>'2.0 Patients'!BF80</f>
        <v>16.666666666666668</v>
      </c>
      <c r="BG28" s="1125">
        <f>'2.0 Patients'!BG80</f>
        <v>17</v>
      </c>
      <c r="BH28" s="1125">
        <f>'2.0 Patients'!BH80</f>
        <v>17.333333333333332</v>
      </c>
      <c r="BI28" s="1125">
        <f>'2.0 Patients'!BI80</f>
        <v>17.666666666666664</v>
      </c>
      <c r="BJ28" s="1125">
        <f>'2.0 Patients'!BJ80</f>
        <v>17.999999999999996</v>
      </c>
      <c r="BK28" s="1125">
        <f>'2.0 Patients'!BK80</f>
        <v>18.333333333333329</v>
      </c>
      <c r="BL28" s="1125">
        <f>'2.0 Patients'!BL80</f>
        <v>18.666666666666661</v>
      </c>
      <c r="BM28" s="1127">
        <f>'2.0 Patients'!BM80</f>
        <v>18.999999999999993</v>
      </c>
      <c r="BN28" s="1125">
        <f>'2.0 Patients'!BN80</f>
        <v>19.166666666666661</v>
      </c>
      <c r="BO28" s="1125">
        <f>'2.0 Patients'!BO80</f>
        <v>19.333333333333329</v>
      </c>
      <c r="BP28" s="1125">
        <f>'2.0 Patients'!BP80</f>
        <v>19.499999999999996</v>
      </c>
      <c r="BQ28" s="1125">
        <f>'2.0 Patients'!BQ80</f>
        <v>19.666666666666664</v>
      </c>
      <c r="BR28" s="1125">
        <f>'2.0 Patients'!BR80</f>
        <v>19.833333333333332</v>
      </c>
      <c r="BS28" s="1125">
        <f>'2.0 Patients'!BS80</f>
        <v>20</v>
      </c>
      <c r="BT28" s="1125">
        <f>'2.0 Patients'!BT80</f>
        <v>20.166666666666668</v>
      </c>
      <c r="BU28" s="1125">
        <f>'2.0 Patients'!BU80</f>
        <v>20.333333333333336</v>
      </c>
      <c r="BV28" s="1125">
        <f>'2.0 Patients'!BV80</f>
        <v>20.500000000000004</v>
      </c>
      <c r="BW28" s="1125">
        <f>'2.0 Patients'!BW80</f>
        <v>20.666666666666671</v>
      </c>
      <c r="BX28" s="1125">
        <f>'2.0 Patients'!BX80</f>
        <v>20.833333333333339</v>
      </c>
      <c r="BY28" s="1127">
        <f>'2.0 Patients'!BY80</f>
        <v>21.000000000000007</v>
      </c>
    </row>
    <row r="29" spans="2:78" s="1129" customFormat="1" outlineLevel="1">
      <c r="B29" s="1130"/>
      <c r="D29" s="1131"/>
      <c r="E29" s="1131"/>
      <c r="F29" s="1131" t="s">
        <v>2474</v>
      </c>
      <c r="G29" s="1132"/>
      <c r="H29" s="1132"/>
      <c r="I29" s="1133">
        <f>'2.1 Reimburse'!H51</f>
        <v>3</v>
      </c>
      <c r="J29" s="1133">
        <f>'2.1 Reimburse'!I51</f>
        <v>3</v>
      </c>
      <c r="K29" s="1133">
        <f>'2.1 Reimburse'!J51</f>
        <v>3</v>
      </c>
      <c r="L29" s="1133">
        <f>'2.1 Reimburse'!K51</f>
        <v>3</v>
      </c>
      <c r="M29" s="1133">
        <f>'2.1 Reimburse'!L51</f>
        <v>3</v>
      </c>
      <c r="N29" s="1131"/>
      <c r="O29" s="1130"/>
      <c r="P29" s="1134"/>
      <c r="Q29" s="1131"/>
      <c r="R29" s="1263"/>
      <c r="S29" s="1135"/>
      <c r="AC29" s="1136"/>
      <c r="AO29" s="1136"/>
      <c r="BA29" s="1136"/>
      <c r="BM29" s="1136"/>
      <c r="BY29" s="1136"/>
    </row>
    <row r="30" spans="2:78" s="1137" customFormat="1" outlineLevel="1">
      <c r="B30" s="1138"/>
      <c r="D30" s="657"/>
      <c r="E30" s="657"/>
      <c r="F30" s="657" t="s">
        <v>1989</v>
      </c>
      <c r="G30" s="1139"/>
      <c r="H30" s="1139"/>
      <c r="I30" s="1140">
        <f>homemiss</f>
        <v>0.05</v>
      </c>
      <c r="J30" s="1140">
        <f>homemiss</f>
        <v>0.05</v>
      </c>
      <c r="K30" s="1140">
        <f>homemiss</f>
        <v>0.05</v>
      </c>
      <c r="L30" s="1140">
        <f>homemiss</f>
        <v>0.05</v>
      </c>
      <c r="M30" s="1140">
        <f>homemiss</f>
        <v>0.05</v>
      </c>
      <c r="N30" s="657"/>
      <c r="O30" s="1138"/>
      <c r="P30" s="1141"/>
      <c r="Q30" s="657"/>
      <c r="R30" s="1264"/>
      <c r="S30" s="661"/>
      <c r="AC30" s="1142"/>
      <c r="AO30" s="1142"/>
      <c r="BA30" s="1142"/>
      <c r="BM30" s="1142"/>
      <c r="BY30" s="1142"/>
    </row>
    <row r="31" spans="2:78" s="1124" customFormat="1">
      <c r="B31" s="1123"/>
      <c r="D31" s="393"/>
      <c r="E31" s="393"/>
      <c r="F31" s="393" t="s">
        <v>2475</v>
      </c>
      <c r="H31" s="1125"/>
      <c r="I31" s="1125">
        <f>SUM(R31:AC31)</f>
        <v>481.65</v>
      </c>
      <c r="J31" s="1125">
        <f>SUM(AD31:AO31)</f>
        <v>1290.5749999999998</v>
      </c>
      <c r="K31" s="1125">
        <f>SUM(AP31:BA31)</f>
        <v>1951.3</v>
      </c>
      <c r="L31" s="1125">
        <f>SUM(BB31:BM31)</f>
        <v>2544.1000000000004</v>
      </c>
      <c r="M31" s="1125">
        <f>SUM(BN31:BY31)</f>
        <v>2976.35</v>
      </c>
      <c r="N31" s="393"/>
      <c r="O31" s="1123"/>
      <c r="P31" s="1126"/>
      <c r="Q31" s="393"/>
      <c r="R31" s="1265">
        <f>R28*$I29*52*(1-$I30)/12</f>
        <v>6.1749999999999998</v>
      </c>
      <c r="S31" s="393">
        <f t="shared" ref="S31:AC31" si="17">S28*$I29*52*(1-$I30)/12</f>
        <v>12.35</v>
      </c>
      <c r="T31" s="1124">
        <f t="shared" si="17"/>
        <v>18.524999999999999</v>
      </c>
      <c r="U31" s="1124">
        <f t="shared" si="17"/>
        <v>24.7</v>
      </c>
      <c r="V31" s="1124">
        <f t="shared" si="17"/>
        <v>30.875</v>
      </c>
      <c r="W31" s="1124">
        <f t="shared" si="17"/>
        <v>37.049999999999997</v>
      </c>
      <c r="X31" s="1124">
        <f t="shared" si="17"/>
        <v>43.224999999999994</v>
      </c>
      <c r="Y31" s="1124">
        <f t="shared" si="17"/>
        <v>49.4</v>
      </c>
      <c r="Z31" s="1124">
        <f t="shared" si="17"/>
        <v>55.574999999999996</v>
      </c>
      <c r="AA31" s="1124">
        <f t="shared" si="17"/>
        <v>61.75</v>
      </c>
      <c r="AB31" s="1124">
        <f t="shared" si="17"/>
        <v>67.924999999999997</v>
      </c>
      <c r="AC31" s="1128">
        <f t="shared" si="17"/>
        <v>74.099999999999994</v>
      </c>
      <c r="AD31" s="1124">
        <f>AD28*$J29*52*(1-$J30)/12</f>
        <v>79.245833333333323</v>
      </c>
      <c r="AE31" s="1124">
        <f t="shared" ref="AE31:AO31" si="18">AE28*$J29*52*(1-$J30)/12</f>
        <v>84.391666666666666</v>
      </c>
      <c r="AF31" s="1124">
        <f t="shared" si="18"/>
        <v>89.537500000000023</v>
      </c>
      <c r="AG31" s="1124">
        <f t="shared" si="18"/>
        <v>94.683333333333351</v>
      </c>
      <c r="AH31" s="1124">
        <f t="shared" si="18"/>
        <v>99.829166666666666</v>
      </c>
      <c r="AI31" s="1124">
        <f t="shared" si="18"/>
        <v>104.97500000000001</v>
      </c>
      <c r="AJ31" s="1124">
        <f t="shared" si="18"/>
        <v>110.12083333333334</v>
      </c>
      <c r="AK31" s="1124">
        <f t="shared" si="18"/>
        <v>115.26666666666665</v>
      </c>
      <c r="AL31" s="1124">
        <f t="shared" si="18"/>
        <v>120.41249999999997</v>
      </c>
      <c r="AM31" s="1124">
        <f t="shared" si="18"/>
        <v>125.55833333333329</v>
      </c>
      <c r="AN31" s="1124">
        <f t="shared" si="18"/>
        <v>130.70416666666662</v>
      </c>
      <c r="AO31" s="1128">
        <f t="shared" si="18"/>
        <v>135.84999999999994</v>
      </c>
      <c r="AP31" s="1124">
        <f>AP28*$K29*52*(1-$K30)/12</f>
        <v>139.96666666666661</v>
      </c>
      <c r="AQ31" s="1124">
        <f t="shared" ref="AQ31:BA31" si="19">AQ28*$K29*52*(1-$K30)/12</f>
        <v>144.08333333333329</v>
      </c>
      <c r="AR31" s="1124">
        <f t="shared" si="19"/>
        <v>148.19999999999996</v>
      </c>
      <c r="AS31" s="1124">
        <f t="shared" si="19"/>
        <v>152.31666666666666</v>
      </c>
      <c r="AT31" s="1124">
        <f t="shared" si="19"/>
        <v>156.43333333333331</v>
      </c>
      <c r="AU31" s="1124">
        <f t="shared" si="19"/>
        <v>160.54999999999998</v>
      </c>
      <c r="AV31" s="1124">
        <f t="shared" si="19"/>
        <v>164.66666666666666</v>
      </c>
      <c r="AW31" s="1124">
        <f t="shared" si="19"/>
        <v>168.78333333333333</v>
      </c>
      <c r="AX31" s="1124">
        <f t="shared" si="19"/>
        <v>172.9</v>
      </c>
      <c r="AY31" s="1124">
        <f t="shared" si="19"/>
        <v>177.01666666666668</v>
      </c>
      <c r="AZ31" s="1124">
        <f t="shared" si="19"/>
        <v>181.13333333333335</v>
      </c>
      <c r="BA31" s="1128">
        <f t="shared" si="19"/>
        <v>185.25000000000009</v>
      </c>
      <c r="BB31" s="1124">
        <f>BB28*$L29*52*(1-$L30)/12</f>
        <v>189.3666666666667</v>
      </c>
      <c r="BC31" s="1124">
        <f t="shared" ref="BC31:BM31" si="20">BC28*$L29*52*(1-$L30)/12</f>
        <v>193.48333333333338</v>
      </c>
      <c r="BD31" s="1124">
        <f t="shared" si="20"/>
        <v>197.60000000000005</v>
      </c>
      <c r="BE31" s="1124">
        <f t="shared" si="20"/>
        <v>201.7166666666667</v>
      </c>
      <c r="BF31" s="1124">
        <f t="shared" si="20"/>
        <v>205.83333333333334</v>
      </c>
      <c r="BG31" s="1124">
        <f t="shared" si="20"/>
        <v>209.95000000000002</v>
      </c>
      <c r="BH31" s="1124">
        <f t="shared" si="20"/>
        <v>214.06666666666663</v>
      </c>
      <c r="BI31" s="1124">
        <f t="shared" si="20"/>
        <v>218.18333333333328</v>
      </c>
      <c r="BJ31" s="1124">
        <f t="shared" si="20"/>
        <v>222.29999999999993</v>
      </c>
      <c r="BK31" s="1124">
        <f t="shared" si="20"/>
        <v>226.4166666666666</v>
      </c>
      <c r="BL31" s="1124">
        <f t="shared" si="20"/>
        <v>230.53333333333327</v>
      </c>
      <c r="BM31" s="1128">
        <f t="shared" si="20"/>
        <v>234.64999999999989</v>
      </c>
      <c r="BN31" s="1124">
        <f>BN28*$M29*52*(1-$M30)/12</f>
        <v>236.70833333333326</v>
      </c>
      <c r="BO31" s="1124">
        <f t="shared" ref="BO31:BY31" si="21">BO28*$M29*52*(1-$M30)/12</f>
        <v>238.76666666666657</v>
      </c>
      <c r="BP31" s="1124">
        <f t="shared" si="21"/>
        <v>240.82499999999993</v>
      </c>
      <c r="BQ31" s="1124">
        <f t="shared" si="21"/>
        <v>242.8833333333333</v>
      </c>
      <c r="BR31" s="1124">
        <f t="shared" si="21"/>
        <v>244.94166666666663</v>
      </c>
      <c r="BS31" s="1124">
        <f t="shared" si="21"/>
        <v>247</v>
      </c>
      <c r="BT31" s="1124">
        <f t="shared" si="21"/>
        <v>249.05833333333331</v>
      </c>
      <c r="BU31" s="1124">
        <f t="shared" si="21"/>
        <v>251.11666666666667</v>
      </c>
      <c r="BV31" s="1124">
        <f t="shared" si="21"/>
        <v>253.17500000000007</v>
      </c>
      <c r="BW31" s="1124">
        <f t="shared" si="21"/>
        <v>255.23333333333338</v>
      </c>
      <c r="BX31" s="1124">
        <f t="shared" si="21"/>
        <v>257.29166666666674</v>
      </c>
      <c r="BY31" s="1128">
        <f t="shared" si="21"/>
        <v>259.35000000000008</v>
      </c>
      <c r="BZ31" s="1143">
        <f>ROUND(SUM(H31:M31)-SUM(Q31:BY31),0)</f>
        <v>0</v>
      </c>
    </row>
    <row r="32" spans="2:78" s="1150" customFormat="1">
      <c r="B32" s="1151"/>
      <c r="D32" s="1152"/>
      <c r="E32" s="1152"/>
      <c r="F32" s="1152" t="s">
        <v>9</v>
      </c>
      <c r="I32" s="1153">
        <f>'2.1 Reimburse'!H49</f>
        <v>252.16187902417448</v>
      </c>
      <c r="J32" s="1153">
        <f>'2.1 Reimburse'!I49</f>
        <v>251.53147432661413</v>
      </c>
      <c r="K32" s="1153">
        <f>'2.1 Reimburse'!J49</f>
        <v>251.53147432661413</v>
      </c>
      <c r="L32" s="1153">
        <f>'2.1 Reimburse'!K49</f>
        <v>251.53147432661413</v>
      </c>
      <c r="M32" s="1153">
        <f>'2.1 Reimburse'!L49</f>
        <v>256.56210381314639</v>
      </c>
      <c r="N32" s="1152"/>
      <c r="O32" s="1151"/>
      <c r="P32" s="1154"/>
      <c r="Q32" s="1152"/>
      <c r="R32" s="1266">
        <f>I32</f>
        <v>252.16187902417448</v>
      </c>
      <c r="S32" s="1257">
        <f>R32</f>
        <v>252.16187902417448</v>
      </c>
      <c r="T32" s="1258">
        <f t="shared" ref="T32:BY32" si="22">S32</f>
        <v>252.16187902417448</v>
      </c>
      <c r="U32" s="1258">
        <f t="shared" si="22"/>
        <v>252.16187902417448</v>
      </c>
      <c r="V32" s="1258">
        <f t="shared" si="22"/>
        <v>252.16187902417448</v>
      </c>
      <c r="W32" s="1258">
        <f t="shared" si="22"/>
        <v>252.16187902417448</v>
      </c>
      <c r="X32" s="1258">
        <f t="shared" si="22"/>
        <v>252.16187902417448</v>
      </c>
      <c r="Y32" s="1258">
        <f t="shared" si="22"/>
        <v>252.16187902417448</v>
      </c>
      <c r="Z32" s="1258">
        <f t="shared" si="22"/>
        <v>252.16187902417448</v>
      </c>
      <c r="AA32" s="1258">
        <f t="shared" si="22"/>
        <v>252.16187902417448</v>
      </c>
      <c r="AB32" s="1258">
        <f t="shared" si="22"/>
        <v>252.16187902417448</v>
      </c>
      <c r="AC32" s="1259">
        <f t="shared" si="22"/>
        <v>252.16187902417448</v>
      </c>
      <c r="AD32" s="1258">
        <f>J32</f>
        <v>251.53147432661413</v>
      </c>
      <c r="AE32" s="1258">
        <f t="shared" si="22"/>
        <v>251.53147432661413</v>
      </c>
      <c r="AF32" s="1258">
        <f t="shared" si="22"/>
        <v>251.53147432661413</v>
      </c>
      <c r="AG32" s="1258">
        <f t="shared" si="22"/>
        <v>251.53147432661413</v>
      </c>
      <c r="AH32" s="1258">
        <f t="shared" si="22"/>
        <v>251.53147432661413</v>
      </c>
      <c r="AI32" s="1258">
        <f t="shared" si="22"/>
        <v>251.53147432661413</v>
      </c>
      <c r="AJ32" s="1258">
        <f t="shared" si="22"/>
        <v>251.53147432661413</v>
      </c>
      <c r="AK32" s="1258">
        <f t="shared" si="22"/>
        <v>251.53147432661413</v>
      </c>
      <c r="AL32" s="1258">
        <f t="shared" si="22"/>
        <v>251.53147432661413</v>
      </c>
      <c r="AM32" s="1258">
        <f t="shared" si="22"/>
        <v>251.53147432661413</v>
      </c>
      <c r="AN32" s="1258">
        <f t="shared" si="22"/>
        <v>251.53147432661413</v>
      </c>
      <c r="AO32" s="1259">
        <f t="shared" si="22"/>
        <v>251.53147432661413</v>
      </c>
      <c r="AP32" s="1258">
        <f>K32</f>
        <v>251.53147432661413</v>
      </c>
      <c r="AQ32" s="1258">
        <f t="shared" si="22"/>
        <v>251.53147432661413</v>
      </c>
      <c r="AR32" s="1258">
        <f t="shared" si="22"/>
        <v>251.53147432661413</v>
      </c>
      <c r="AS32" s="1258">
        <f t="shared" si="22"/>
        <v>251.53147432661413</v>
      </c>
      <c r="AT32" s="1258">
        <f t="shared" si="22"/>
        <v>251.53147432661413</v>
      </c>
      <c r="AU32" s="1258">
        <f t="shared" si="22"/>
        <v>251.53147432661413</v>
      </c>
      <c r="AV32" s="1258">
        <f t="shared" si="22"/>
        <v>251.53147432661413</v>
      </c>
      <c r="AW32" s="1258">
        <f t="shared" si="22"/>
        <v>251.53147432661413</v>
      </c>
      <c r="AX32" s="1258">
        <f t="shared" si="22"/>
        <v>251.53147432661413</v>
      </c>
      <c r="AY32" s="1258">
        <f t="shared" si="22"/>
        <v>251.53147432661413</v>
      </c>
      <c r="AZ32" s="1258">
        <f t="shared" si="22"/>
        <v>251.53147432661413</v>
      </c>
      <c r="BA32" s="1259">
        <f t="shared" si="22"/>
        <v>251.53147432661413</v>
      </c>
      <c r="BB32" s="1258">
        <f>L32</f>
        <v>251.53147432661413</v>
      </c>
      <c r="BC32" s="1258">
        <f t="shared" si="22"/>
        <v>251.53147432661413</v>
      </c>
      <c r="BD32" s="1258">
        <f t="shared" si="22"/>
        <v>251.53147432661413</v>
      </c>
      <c r="BE32" s="1258">
        <f t="shared" si="22"/>
        <v>251.53147432661413</v>
      </c>
      <c r="BF32" s="1258">
        <f t="shared" si="22"/>
        <v>251.53147432661413</v>
      </c>
      <c r="BG32" s="1258">
        <f t="shared" si="22"/>
        <v>251.53147432661413</v>
      </c>
      <c r="BH32" s="1258">
        <f t="shared" si="22"/>
        <v>251.53147432661413</v>
      </c>
      <c r="BI32" s="1258">
        <f t="shared" si="22"/>
        <v>251.53147432661413</v>
      </c>
      <c r="BJ32" s="1258">
        <f t="shared" si="22"/>
        <v>251.53147432661413</v>
      </c>
      <c r="BK32" s="1258">
        <f t="shared" si="22"/>
        <v>251.53147432661413</v>
      </c>
      <c r="BL32" s="1258">
        <f t="shared" si="22"/>
        <v>251.53147432661413</v>
      </c>
      <c r="BM32" s="1259">
        <f t="shared" si="22"/>
        <v>251.53147432661413</v>
      </c>
      <c r="BN32" s="1258">
        <f>M32</f>
        <v>256.56210381314639</v>
      </c>
      <c r="BO32" s="1258">
        <f t="shared" si="22"/>
        <v>256.56210381314639</v>
      </c>
      <c r="BP32" s="1258">
        <f t="shared" si="22"/>
        <v>256.56210381314639</v>
      </c>
      <c r="BQ32" s="1258">
        <f t="shared" si="22"/>
        <v>256.56210381314639</v>
      </c>
      <c r="BR32" s="1258">
        <f t="shared" si="22"/>
        <v>256.56210381314639</v>
      </c>
      <c r="BS32" s="1258">
        <f t="shared" si="22"/>
        <v>256.56210381314639</v>
      </c>
      <c r="BT32" s="1258">
        <f t="shared" si="22"/>
        <v>256.56210381314639</v>
      </c>
      <c r="BU32" s="1258">
        <f t="shared" si="22"/>
        <v>256.56210381314639</v>
      </c>
      <c r="BV32" s="1258">
        <f t="shared" si="22"/>
        <v>256.56210381314639</v>
      </c>
      <c r="BW32" s="1258">
        <f t="shared" si="22"/>
        <v>256.56210381314639</v>
      </c>
      <c r="BX32" s="1258">
        <f t="shared" si="22"/>
        <v>256.56210381314639</v>
      </c>
      <c r="BY32" s="1259">
        <f t="shared" si="22"/>
        <v>256.56210381314639</v>
      </c>
    </row>
    <row r="33" spans="2:78" s="1144" customFormat="1">
      <c r="B33" s="367"/>
      <c r="C33" s="1113"/>
      <c r="D33" s="667"/>
      <c r="E33" s="667"/>
      <c r="F33" s="667" t="s">
        <v>2169</v>
      </c>
      <c r="G33" s="1113"/>
      <c r="I33" s="646">
        <f>52*I29*I28*(1-I30)*I32</f>
        <v>121453.76903199364</v>
      </c>
      <c r="J33" s="646">
        <f>52*J29*J28*(1-J30)*J32</f>
        <v>324620.23247906996</v>
      </c>
      <c r="K33" s="646">
        <f>52*K29*K28*(1-K30)*K32</f>
        <v>490813.36585352215</v>
      </c>
      <c r="L33" s="646">
        <f>52*L29*L28*(1-L30)*L32</f>
        <v>639921.22383433883</v>
      </c>
      <c r="M33" s="646">
        <f>52*M29*M28*(1-M30)*M32</f>
        <v>763618.61768425838</v>
      </c>
      <c r="N33" s="368"/>
      <c r="O33" s="367"/>
      <c r="P33" s="1145"/>
      <c r="Q33" s="1145"/>
      <c r="R33" s="1267">
        <f t="shared" ref="R33:AW33" si="23">R32*R31</f>
        <v>1557.0996029742773</v>
      </c>
      <c r="S33" s="1144">
        <f t="shared" si="23"/>
        <v>3114.1992059485547</v>
      </c>
      <c r="T33" s="1146">
        <f t="shared" si="23"/>
        <v>4671.298808922832</v>
      </c>
      <c r="U33" s="1146">
        <f t="shared" si="23"/>
        <v>6228.3984118971093</v>
      </c>
      <c r="V33" s="1146">
        <f t="shared" si="23"/>
        <v>7785.4980148713876</v>
      </c>
      <c r="W33" s="1146">
        <f t="shared" si="23"/>
        <v>9342.597617845664</v>
      </c>
      <c r="X33" s="1146">
        <f t="shared" si="23"/>
        <v>10899.69722081994</v>
      </c>
      <c r="Y33" s="1146">
        <f t="shared" si="23"/>
        <v>12456.796823794219</v>
      </c>
      <c r="Z33" s="1146">
        <f t="shared" si="23"/>
        <v>14013.896426768495</v>
      </c>
      <c r="AA33" s="1146">
        <f t="shared" si="23"/>
        <v>15570.996029742775</v>
      </c>
      <c r="AB33" s="1146">
        <f t="shared" si="23"/>
        <v>17128.09563271705</v>
      </c>
      <c r="AC33" s="1147">
        <f t="shared" si="23"/>
        <v>18685.195235691328</v>
      </c>
      <c r="AD33" s="1146">
        <f t="shared" si="23"/>
        <v>19932.821292574474</v>
      </c>
      <c r="AE33" s="1146">
        <f t="shared" si="23"/>
        <v>21227.160337546844</v>
      </c>
      <c r="AF33" s="1146">
        <f t="shared" si="23"/>
        <v>22521.499382519218</v>
      </c>
      <c r="AG33" s="1146">
        <f t="shared" si="23"/>
        <v>23815.838427491584</v>
      </c>
      <c r="AH33" s="1146">
        <f t="shared" si="23"/>
        <v>25110.177472463951</v>
      </c>
      <c r="AI33" s="1146">
        <f t="shared" si="23"/>
        <v>26404.516517436321</v>
      </c>
      <c r="AJ33" s="1146">
        <f t="shared" si="23"/>
        <v>27698.855562408688</v>
      </c>
      <c r="AK33" s="1146">
        <f t="shared" si="23"/>
        <v>28993.19460738105</v>
      </c>
      <c r="AL33" s="1146">
        <f t="shared" si="23"/>
        <v>30287.533652353417</v>
      </c>
      <c r="AM33" s="1146">
        <f t="shared" si="23"/>
        <v>31581.872697325784</v>
      </c>
      <c r="AN33" s="1146">
        <f t="shared" si="23"/>
        <v>32876.211742298154</v>
      </c>
      <c r="AO33" s="1147">
        <f t="shared" si="23"/>
        <v>34170.550787270513</v>
      </c>
      <c r="AP33" s="1146">
        <f t="shared" si="23"/>
        <v>35206.022023248413</v>
      </c>
      <c r="AQ33" s="1146">
        <f t="shared" si="23"/>
        <v>36241.493259226307</v>
      </c>
      <c r="AR33" s="1146">
        <f t="shared" si="23"/>
        <v>37276.964495204207</v>
      </c>
      <c r="AS33" s="1146">
        <f t="shared" si="23"/>
        <v>38312.435731182108</v>
      </c>
      <c r="AT33" s="1146">
        <f t="shared" si="23"/>
        <v>39347.906967160001</v>
      </c>
      <c r="AU33" s="1146">
        <f t="shared" si="23"/>
        <v>40383.378203137894</v>
      </c>
      <c r="AV33" s="1146">
        <f t="shared" si="23"/>
        <v>41418.849439115795</v>
      </c>
      <c r="AW33" s="1146">
        <f t="shared" si="23"/>
        <v>42454.320675093688</v>
      </c>
      <c r="AX33" s="1146">
        <f t="shared" ref="AX33:BY33" si="24">AX32*AX31</f>
        <v>43489.791911071581</v>
      </c>
      <c r="AY33" s="1146">
        <f t="shared" si="24"/>
        <v>44525.263147049482</v>
      </c>
      <c r="AZ33" s="1146">
        <f t="shared" si="24"/>
        <v>45560.734383027375</v>
      </c>
      <c r="BA33" s="1147">
        <f t="shared" si="24"/>
        <v>46596.20561900529</v>
      </c>
      <c r="BB33" s="1146">
        <f t="shared" si="24"/>
        <v>47631.676854983169</v>
      </c>
      <c r="BC33" s="1146">
        <f t="shared" si="24"/>
        <v>48667.148090961069</v>
      </c>
      <c r="BD33" s="1146">
        <f t="shared" si="24"/>
        <v>49702.619326938962</v>
      </c>
      <c r="BE33" s="1146">
        <f t="shared" si="24"/>
        <v>50738.090562916856</v>
      </c>
      <c r="BF33" s="1146">
        <f t="shared" si="24"/>
        <v>51773.561798894742</v>
      </c>
      <c r="BG33" s="1146">
        <f t="shared" si="24"/>
        <v>52809.033034872642</v>
      </c>
      <c r="BH33" s="1146">
        <f t="shared" si="24"/>
        <v>53844.504270850521</v>
      </c>
      <c r="BI33" s="1146">
        <f t="shared" si="24"/>
        <v>54879.975506828414</v>
      </c>
      <c r="BJ33" s="1146">
        <f t="shared" si="24"/>
        <v>55915.4467428063</v>
      </c>
      <c r="BK33" s="1146">
        <f t="shared" si="24"/>
        <v>56950.9179787842</v>
      </c>
      <c r="BL33" s="1146">
        <f t="shared" si="24"/>
        <v>57986.389214762094</v>
      </c>
      <c r="BM33" s="1147">
        <f t="shared" si="24"/>
        <v>59021.86045073998</v>
      </c>
      <c r="BN33" s="1146">
        <f t="shared" si="24"/>
        <v>60730.387990103511</v>
      </c>
      <c r="BO33" s="1146">
        <f t="shared" si="24"/>
        <v>61258.478320452225</v>
      </c>
      <c r="BP33" s="1146">
        <f t="shared" si="24"/>
        <v>61786.56865080096</v>
      </c>
      <c r="BQ33" s="1146">
        <f t="shared" si="24"/>
        <v>62314.658981149696</v>
      </c>
      <c r="BR33" s="1146">
        <f t="shared" si="24"/>
        <v>62842.749311498425</v>
      </c>
      <c r="BS33" s="1146">
        <f t="shared" si="24"/>
        <v>63370.83964184716</v>
      </c>
      <c r="BT33" s="1146">
        <f t="shared" si="24"/>
        <v>63898.929972195881</v>
      </c>
      <c r="BU33" s="1146">
        <f t="shared" si="24"/>
        <v>64427.020302544617</v>
      </c>
      <c r="BV33" s="1146">
        <f t="shared" si="24"/>
        <v>64955.110632893353</v>
      </c>
      <c r="BW33" s="1146">
        <f t="shared" si="24"/>
        <v>65483.200963242074</v>
      </c>
      <c r="BX33" s="1146">
        <f t="shared" si="24"/>
        <v>66011.29129359081</v>
      </c>
      <c r="BY33" s="1147">
        <f t="shared" si="24"/>
        <v>66539.381623939538</v>
      </c>
      <c r="BZ33" s="1148">
        <f>ROUND(SUM(H33:M33)-SUM(Q33:BY33),0)</f>
        <v>0</v>
      </c>
    </row>
    <row r="34" spans="2:78" s="1149" customFormat="1">
      <c r="B34" s="367"/>
      <c r="C34" s="1113"/>
      <c r="D34" s="667"/>
      <c r="E34" s="667"/>
      <c r="F34" s="667" t="s">
        <v>1890</v>
      </c>
      <c r="G34" s="1113"/>
      <c r="H34" s="1144"/>
      <c r="I34" s="646">
        <f>SUM(R34:AC34)</f>
        <v>85640.478163585256</v>
      </c>
      <c r="J34" s="646">
        <f>SUM(AD34:AO34)</f>
        <v>293386.76081790967</v>
      </c>
      <c r="K34" s="646">
        <f>SUM(AP34:BA34)</f>
        <v>465703.18838105811</v>
      </c>
      <c r="L34" s="646">
        <f>SUM(BB34:BM34)</f>
        <v>615069.91417086951</v>
      </c>
      <c r="M34" s="646">
        <f>SUM(BN34:BY34)</f>
        <v>748076.19443223008</v>
      </c>
      <c r="N34" s="368"/>
      <c r="O34" s="367"/>
      <c r="P34" s="1145"/>
      <c r="Q34" s="368"/>
      <c r="R34" s="1268"/>
      <c r="S34" s="368"/>
      <c r="T34" s="1146">
        <f>IF(T$6&gt;SurveyDelay+2,R33,IF(T$6=SurveyDelay+2,SUM($R33:R33),0))</f>
        <v>0</v>
      </c>
      <c r="U34" s="1146">
        <f>IF(U$6&gt;SurveyDelay+2,S33,IF(U$6=SurveyDelay+2,SUM($R33:S33),0))</f>
        <v>0</v>
      </c>
      <c r="V34" s="1146">
        <f>IF(V$6&gt;SurveyDelay+2,T33,IF(V$6=SurveyDelay+2,SUM($R33:T33),0))</f>
        <v>0</v>
      </c>
      <c r="W34" s="1146">
        <f>IF(W$6&gt;SurveyDelay+2,U33,IF(W$6=SurveyDelay+2,SUM($R33:U33),0))</f>
        <v>0</v>
      </c>
      <c r="X34" s="1146">
        <f>IF(X$6&gt;SurveyDelay+2,V33,IF(X$6=SurveyDelay+2,SUM($R33:V33),0))</f>
        <v>0</v>
      </c>
      <c r="Y34" s="1146">
        <f>IF(Y$6&gt;SurveyDelay+2,W33,IF(Y$6=SurveyDelay+2,SUM($R33:W33),0))</f>
        <v>32699.091662459825</v>
      </c>
      <c r="Z34" s="1146">
        <f>IF(Z$6&gt;SurveyDelay+2,X33,IF(Z$6=SurveyDelay+2,SUM($R33:X33),0))</f>
        <v>10899.69722081994</v>
      </c>
      <c r="AA34" s="1146">
        <f>IF(AA$6&gt;SurveyDelay+2,Y33,IF(AA$6=SurveyDelay+2,SUM($R33:Y33),0))</f>
        <v>12456.796823794219</v>
      </c>
      <c r="AB34" s="1146">
        <f>IF(AB$6&gt;SurveyDelay+2,Z33,IF(AB$6=SurveyDelay+2,SUM($R33:Z33),0))</f>
        <v>14013.896426768495</v>
      </c>
      <c r="AC34" s="1147">
        <f>IF(AC$6&gt;SurveyDelay+2,AA33,IF(AC$6=SurveyDelay+2,SUM($R33:AA33),0))</f>
        <v>15570.996029742775</v>
      </c>
      <c r="AD34" s="1146">
        <f>IF(AD$6&gt;SurveyDelay+2,AB33,IF(AD$6=SurveyDelay+2,SUM($R33:AB33),0))</f>
        <v>17128.09563271705</v>
      </c>
      <c r="AE34" s="1146">
        <f>IF(AE$6&gt;SurveyDelay+2,AC33,IF(AE$6=SurveyDelay+2,SUM($R33:AC33),0))</f>
        <v>18685.195235691328</v>
      </c>
      <c r="AF34" s="1146">
        <f>IF(AF$6&gt;SurveyDelay+2,AD33,IF(AF$6=SurveyDelay+2,SUM($R33:AD33),0))</f>
        <v>19932.821292574474</v>
      </c>
      <c r="AG34" s="1146">
        <f>IF(AG$6&gt;SurveyDelay+2,AE33,IF(AG$6=SurveyDelay+2,SUM($R33:AE33),0))</f>
        <v>21227.160337546844</v>
      </c>
      <c r="AH34" s="1146">
        <f>IF(AH$6&gt;SurveyDelay+2,AF33,IF(AH$6=SurveyDelay+2,SUM($R33:AF33),0))</f>
        <v>22521.499382519218</v>
      </c>
      <c r="AI34" s="1146">
        <f>IF(AI$6&gt;SurveyDelay+2,AG33,IF(AI$6=SurveyDelay+2,SUM($R33:AG33),0))</f>
        <v>23815.838427491584</v>
      </c>
      <c r="AJ34" s="1146">
        <f>IF(AJ$6&gt;SurveyDelay+2,AH33,IF(AJ$6=SurveyDelay+2,SUM($R33:AH33),0))</f>
        <v>25110.177472463951</v>
      </c>
      <c r="AK34" s="1146">
        <f>IF(AK$6&gt;SurveyDelay+2,AI33,IF(AK$6=SurveyDelay+2,SUM($R33:AI33),0))</f>
        <v>26404.516517436321</v>
      </c>
      <c r="AL34" s="1146">
        <f>IF(AL$6&gt;SurveyDelay+2,AJ33,IF(AL$6=SurveyDelay+2,SUM($R33:AJ33),0))</f>
        <v>27698.855562408688</v>
      </c>
      <c r="AM34" s="1146">
        <f>IF(AM$6&gt;SurveyDelay+2,AK33,IF(AM$6=SurveyDelay+2,SUM($R33:AK33),0))</f>
        <v>28993.19460738105</v>
      </c>
      <c r="AN34" s="1146">
        <f>IF(AN$6&gt;SurveyDelay+2,AL33,IF(AN$6=SurveyDelay+2,SUM($R33:AL33),0))</f>
        <v>30287.533652353417</v>
      </c>
      <c r="AO34" s="1147">
        <f>IF(AO$6&gt;SurveyDelay+2,AM33,IF(AO$6=SurveyDelay+2,SUM($R33:AM33),0))</f>
        <v>31581.872697325784</v>
      </c>
      <c r="AP34" s="1146">
        <f>IF(AP$6&gt;SurveyDelay+2,AN33,IF(AP$6=SurveyDelay+2,SUM($R33:AN33),0))</f>
        <v>32876.211742298154</v>
      </c>
      <c r="AQ34" s="1146">
        <f>IF(AQ$6&gt;SurveyDelay+2,AO33,IF(AQ$6=SurveyDelay+2,SUM($R33:AO33),0))</f>
        <v>34170.550787270513</v>
      </c>
      <c r="AR34" s="1146">
        <f>IF(AR$6&gt;SurveyDelay+2,AP33,IF(AR$6=SurveyDelay+2,SUM($R33:AP33),0))</f>
        <v>35206.022023248413</v>
      </c>
      <c r="AS34" s="1146">
        <f>IF(AS$6&gt;SurveyDelay+2,AQ33,IF(AS$6=SurveyDelay+2,SUM($R33:AQ33),0))</f>
        <v>36241.493259226307</v>
      </c>
      <c r="AT34" s="1146">
        <f>IF(AT$6&gt;SurveyDelay+2,AR33,IF(AT$6=SurveyDelay+2,SUM($R33:AR33),0))</f>
        <v>37276.964495204207</v>
      </c>
      <c r="AU34" s="1146">
        <f>IF(AU$6&gt;SurveyDelay+2,AS33,IF(AU$6=SurveyDelay+2,SUM($R33:AS33),0))</f>
        <v>38312.435731182108</v>
      </c>
      <c r="AV34" s="1146">
        <f>IF(AV$6&gt;SurveyDelay+2,AT33,IF(AV$6=SurveyDelay+2,SUM($R33:AT33),0))</f>
        <v>39347.906967160001</v>
      </c>
      <c r="AW34" s="1146">
        <f>IF(AW$6&gt;SurveyDelay+2,AU33,IF(AW$6=SurveyDelay+2,SUM($R33:AU33),0))</f>
        <v>40383.378203137894</v>
      </c>
      <c r="AX34" s="1146">
        <f>IF(AX$6&gt;SurveyDelay+2,AV33,IF(AX$6=SurveyDelay+2,SUM($R33:AV33),0))</f>
        <v>41418.849439115795</v>
      </c>
      <c r="AY34" s="1146">
        <f>IF(AY$6&gt;SurveyDelay+2,AW33,IF(AY$6=SurveyDelay+2,SUM($R33:AW33),0))</f>
        <v>42454.320675093688</v>
      </c>
      <c r="AZ34" s="1146">
        <f>IF(AZ$6&gt;SurveyDelay+2,AX33,IF(AZ$6=SurveyDelay+2,SUM($R33:AX33),0))</f>
        <v>43489.791911071581</v>
      </c>
      <c r="BA34" s="1147">
        <f>IF(BA$6&gt;SurveyDelay+2,AY33,IF(BA$6=SurveyDelay+2,SUM($R33:AY33),0))</f>
        <v>44525.263147049482</v>
      </c>
      <c r="BB34" s="1146">
        <f>IF(BB$6&gt;SurveyDelay+2,AZ33,IF(BB$6=SurveyDelay+2,SUM($R33:AZ33),0))</f>
        <v>45560.734383027375</v>
      </c>
      <c r="BC34" s="1146">
        <f>IF(BC$6&gt;SurveyDelay+2,BA33,IF(BC$6=SurveyDelay+2,SUM($R33:BA33),0))</f>
        <v>46596.20561900529</v>
      </c>
      <c r="BD34" s="1146">
        <f>IF(BD$6&gt;SurveyDelay+2,BB33,IF(BD$6=SurveyDelay+2,SUM($R33:BB33),0))</f>
        <v>47631.676854983169</v>
      </c>
      <c r="BE34" s="1146">
        <f>IF(BE$6&gt;SurveyDelay+2,BC33,IF(BE$6=SurveyDelay+2,SUM($R33:BC33),0))</f>
        <v>48667.148090961069</v>
      </c>
      <c r="BF34" s="1146">
        <f>IF(BF$6&gt;SurveyDelay+2,BD33,IF(BF$6=SurveyDelay+2,SUM($R33:BD33),0))</f>
        <v>49702.619326938962</v>
      </c>
      <c r="BG34" s="1146">
        <f>IF(BG$6&gt;SurveyDelay+2,BE33,IF(BG$6=SurveyDelay+2,SUM($R33:BE33),0))</f>
        <v>50738.090562916856</v>
      </c>
      <c r="BH34" s="1146">
        <f>IF(BH$6&gt;SurveyDelay+2,BF33,IF(BH$6=SurveyDelay+2,SUM($R33:BF33),0))</f>
        <v>51773.561798894742</v>
      </c>
      <c r="BI34" s="1146">
        <f>IF(BI$6&gt;SurveyDelay+2,BG33,IF(BI$6=SurveyDelay+2,SUM($R33:BG33),0))</f>
        <v>52809.033034872642</v>
      </c>
      <c r="BJ34" s="1146">
        <f>IF(BJ$6&gt;SurveyDelay+2,BH33,IF(BJ$6=SurveyDelay+2,SUM($R33:BH33),0))</f>
        <v>53844.504270850521</v>
      </c>
      <c r="BK34" s="1146">
        <f>IF(BK$6&gt;SurveyDelay+2,BI33,IF(BK$6=SurveyDelay+2,SUM($R33:BI33),0))</f>
        <v>54879.975506828414</v>
      </c>
      <c r="BL34" s="1146">
        <f>IF(BL$6&gt;SurveyDelay+2,BJ33,IF(BL$6=SurveyDelay+2,SUM($R33:BJ33),0))</f>
        <v>55915.4467428063</v>
      </c>
      <c r="BM34" s="1147">
        <f>IF(BM$6&gt;SurveyDelay+2,BK33,IF(BM$6=SurveyDelay+2,SUM($R33:BK33),0))</f>
        <v>56950.9179787842</v>
      </c>
      <c r="BN34" s="1146">
        <f>IF(BN$6&gt;SurveyDelay+2,BL33,IF(BN$6=SurveyDelay+2,SUM($R33:BL33),0))</f>
        <v>57986.389214762094</v>
      </c>
      <c r="BO34" s="1146">
        <f>IF(BO$6&gt;SurveyDelay+2,BM33,IF(BO$6=SurveyDelay+2,SUM($R33:BM33),0))</f>
        <v>59021.86045073998</v>
      </c>
      <c r="BP34" s="1146">
        <f>IF(BP$6&gt;SurveyDelay+2,BN33,IF(BP$6=SurveyDelay+2,SUM($R33:BN33),0))</f>
        <v>60730.387990103511</v>
      </c>
      <c r="BQ34" s="1146">
        <f>IF(BQ$6&gt;SurveyDelay+2,BO33,IF(BQ$6=SurveyDelay+2,SUM($R33:BO33),0))</f>
        <v>61258.478320452225</v>
      </c>
      <c r="BR34" s="1146">
        <f>IF(BR$6&gt;SurveyDelay+2,BP33,IF(BR$6=SurveyDelay+2,SUM($R33:BP33),0))</f>
        <v>61786.56865080096</v>
      </c>
      <c r="BS34" s="1146">
        <f>IF(BS$6&gt;SurveyDelay+2,BQ33,IF(BS$6=SurveyDelay+2,SUM($R33:BQ33),0))</f>
        <v>62314.658981149696</v>
      </c>
      <c r="BT34" s="1146">
        <f>IF(BT$6&gt;SurveyDelay+2,BR33,IF(BT$6=SurveyDelay+2,SUM($R33:BR33),0))</f>
        <v>62842.749311498425</v>
      </c>
      <c r="BU34" s="1146">
        <f>IF(BU$6&gt;SurveyDelay+2,BS33,IF(BU$6=SurveyDelay+2,SUM($R33:BS33),0))</f>
        <v>63370.83964184716</v>
      </c>
      <c r="BV34" s="1146">
        <f>IF(BV$6&gt;SurveyDelay+2,BT33,IF(BV$6=SurveyDelay+2,SUM($R33:BT33),0))</f>
        <v>63898.929972195881</v>
      </c>
      <c r="BW34" s="1146">
        <f>IF(BW$6&gt;SurveyDelay+2,BU33,IF(BW$6=SurveyDelay+2,SUM($R33:BU33),0))</f>
        <v>64427.020302544617</v>
      </c>
      <c r="BX34" s="1146">
        <f>IF(BX$6&gt;SurveyDelay+2,BV33,IF(BX$6=SurveyDelay+2,SUM($R33:BV33),0))</f>
        <v>64955.110632893353</v>
      </c>
      <c r="BY34" s="1147">
        <f>IF(BY$6&gt;SurveyDelay+2,BW33,IF(BY$6=SurveyDelay+2,SUM($R33:BW33),0))</f>
        <v>65483.200963242074</v>
      </c>
      <c r="BZ34" s="1148">
        <f>ROUND(SUM(H34:M34)-SUM(Q34:BY34),0)</f>
        <v>0</v>
      </c>
    </row>
    <row r="35" spans="2:78" s="1121" customFormat="1">
      <c r="B35" s="668"/>
      <c r="C35" s="1113"/>
      <c r="D35" s="667"/>
      <c r="E35" s="667"/>
      <c r="F35" s="667"/>
      <c r="G35" s="1113"/>
      <c r="H35" s="1113"/>
      <c r="I35" s="1114"/>
      <c r="J35" s="1114"/>
      <c r="K35" s="1114"/>
      <c r="L35" s="1114"/>
      <c r="M35" s="1114"/>
      <c r="N35" s="667"/>
      <c r="O35" s="668"/>
      <c r="P35" s="1115"/>
      <c r="Q35" s="667"/>
      <c r="R35" s="1261"/>
      <c r="S35" s="667"/>
      <c r="T35" s="803"/>
      <c r="U35" s="803"/>
      <c r="V35" s="803"/>
      <c r="W35" s="803"/>
      <c r="X35" s="803"/>
      <c r="Y35" s="803"/>
      <c r="Z35" s="803"/>
      <c r="AA35" s="803"/>
      <c r="AB35" s="803"/>
      <c r="AC35" s="1119"/>
      <c r="AD35" s="803"/>
      <c r="AE35" s="803"/>
      <c r="AF35" s="803"/>
      <c r="AG35" s="803"/>
      <c r="AH35" s="803"/>
      <c r="AI35" s="803"/>
      <c r="AJ35" s="803"/>
      <c r="AK35" s="803"/>
      <c r="AL35" s="803"/>
      <c r="AM35" s="803"/>
      <c r="AN35" s="803"/>
      <c r="AO35" s="1119"/>
      <c r="AP35" s="803"/>
      <c r="AQ35" s="803"/>
      <c r="AR35" s="803"/>
      <c r="AS35" s="803"/>
      <c r="AT35" s="803"/>
      <c r="AU35" s="803"/>
      <c r="AV35" s="803"/>
      <c r="AW35" s="803"/>
      <c r="AX35" s="803"/>
      <c r="AY35" s="803"/>
      <c r="AZ35" s="803"/>
      <c r="BA35" s="1119"/>
      <c r="BB35" s="803"/>
      <c r="BC35" s="803"/>
      <c r="BD35" s="803"/>
      <c r="BE35" s="803"/>
      <c r="BF35" s="803"/>
      <c r="BG35" s="803"/>
      <c r="BH35" s="803"/>
      <c r="BI35" s="803"/>
      <c r="BJ35" s="803"/>
      <c r="BK35" s="803"/>
      <c r="BL35" s="803"/>
      <c r="BM35" s="1119"/>
      <c r="BN35" s="803"/>
      <c r="BO35" s="803"/>
      <c r="BP35" s="803"/>
      <c r="BQ35" s="803"/>
      <c r="BR35" s="803"/>
      <c r="BS35" s="803"/>
      <c r="BT35" s="803"/>
      <c r="BU35" s="803"/>
      <c r="BV35" s="803"/>
      <c r="BW35" s="803"/>
      <c r="BX35" s="803"/>
      <c r="BY35" s="1119"/>
      <c r="BZ35" s="1113"/>
    </row>
    <row r="36" spans="2:78" s="1122" customFormat="1">
      <c r="B36" s="1123"/>
      <c r="D36" s="393"/>
      <c r="E36" s="393"/>
      <c r="F36" s="393" t="s">
        <v>4118</v>
      </c>
      <c r="G36" s="1124"/>
      <c r="H36" s="1125"/>
      <c r="I36" s="1740">
        <f>AVERAGE(R36:AC36)</f>
        <v>1</v>
      </c>
      <c r="J36" s="1740">
        <f>AVERAGE(AD36:AO36)</f>
        <v>1.5416666666666661</v>
      </c>
      <c r="K36" s="1740">
        <f>AVERAGE(AP36:BA36)</f>
        <v>1.9999999999999998</v>
      </c>
      <c r="L36" s="1740">
        <f>AVERAGE(BB36:BM36)</f>
        <v>2.541666666666667</v>
      </c>
      <c r="M36" s="1740">
        <f>AVERAGE(BN36:BY36)</f>
        <v>3.5416666666666683</v>
      </c>
      <c r="N36" s="393"/>
      <c r="O36" s="1123"/>
      <c r="P36" s="1126"/>
      <c r="Q36" s="393"/>
      <c r="R36" s="1262">
        <f>'2.0 Patients'!R82</f>
        <v>1</v>
      </c>
      <c r="S36" s="1125">
        <f>'2.0 Patients'!S82</f>
        <v>1</v>
      </c>
      <c r="T36" s="1125">
        <f>'2.0 Patients'!T82</f>
        <v>1</v>
      </c>
      <c r="U36" s="1125">
        <f>'2.0 Patients'!U82</f>
        <v>1</v>
      </c>
      <c r="V36" s="1125">
        <f>'2.0 Patients'!V82</f>
        <v>1</v>
      </c>
      <c r="W36" s="1125">
        <f>'2.0 Patients'!W82</f>
        <v>1</v>
      </c>
      <c r="X36" s="1125">
        <f>'2.0 Patients'!X82</f>
        <v>1</v>
      </c>
      <c r="Y36" s="1125">
        <f>'2.0 Patients'!Y82</f>
        <v>1</v>
      </c>
      <c r="Z36" s="1125">
        <f>'2.0 Patients'!Z82</f>
        <v>1</v>
      </c>
      <c r="AA36" s="1125">
        <f>'2.0 Patients'!AA82</f>
        <v>1</v>
      </c>
      <c r="AB36" s="1125">
        <f>'2.0 Patients'!AB82</f>
        <v>1</v>
      </c>
      <c r="AC36" s="1127">
        <f>'2.0 Patients'!AC82</f>
        <v>1</v>
      </c>
      <c r="AD36" s="1125">
        <f>'2.0 Patients'!AD82</f>
        <v>1.0833333333333333</v>
      </c>
      <c r="AE36" s="1125">
        <f>'2.0 Patients'!AE82</f>
        <v>1.1666666666666665</v>
      </c>
      <c r="AF36" s="1125">
        <f>'2.0 Patients'!AF82</f>
        <v>1.2499999999999998</v>
      </c>
      <c r="AG36" s="1125">
        <f>'2.0 Patients'!AG82</f>
        <v>1.333333333333333</v>
      </c>
      <c r="AH36" s="1125">
        <f>'2.0 Patients'!AH82</f>
        <v>1.4166666666666663</v>
      </c>
      <c r="AI36" s="1125">
        <f>'2.0 Patients'!AI82</f>
        <v>1.4999999999999996</v>
      </c>
      <c r="AJ36" s="1125">
        <f>'2.0 Patients'!AJ82</f>
        <v>1.5833333333333328</v>
      </c>
      <c r="AK36" s="1125">
        <f>'2.0 Patients'!AK82</f>
        <v>1.6666666666666661</v>
      </c>
      <c r="AL36" s="1125">
        <f>'2.0 Patients'!AL82</f>
        <v>1.7499999999999993</v>
      </c>
      <c r="AM36" s="1125">
        <f>'2.0 Patients'!AM82</f>
        <v>1.8333333333333326</v>
      </c>
      <c r="AN36" s="1125">
        <f>'2.0 Patients'!AN82</f>
        <v>1.9166666666666659</v>
      </c>
      <c r="AO36" s="1127">
        <f>'2.0 Patients'!AO82</f>
        <v>1.9999999999999991</v>
      </c>
      <c r="AP36" s="1125">
        <f>'2.0 Patients'!AP82</f>
        <v>1.9999999999999991</v>
      </c>
      <c r="AQ36" s="1125">
        <f>'2.0 Patients'!AQ82</f>
        <v>1.9999999999999991</v>
      </c>
      <c r="AR36" s="1125">
        <f>'2.0 Patients'!AR82</f>
        <v>1.9999999999999991</v>
      </c>
      <c r="AS36" s="1125">
        <f>'2.0 Patients'!AS82</f>
        <v>1.9999999999999991</v>
      </c>
      <c r="AT36" s="1125">
        <f>'2.0 Patients'!AT82</f>
        <v>1.9999999999999991</v>
      </c>
      <c r="AU36" s="1125">
        <f>'2.0 Patients'!AU82</f>
        <v>1.9999999999999991</v>
      </c>
      <c r="AV36" s="1125">
        <f>'2.0 Patients'!AV82</f>
        <v>1.9999999999999991</v>
      </c>
      <c r="AW36" s="1125">
        <f>'2.0 Patients'!AW82</f>
        <v>1.9999999999999991</v>
      </c>
      <c r="AX36" s="1125">
        <f>'2.0 Patients'!AX82</f>
        <v>1.9999999999999991</v>
      </c>
      <c r="AY36" s="1125">
        <f>'2.0 Patients'!AY82</f>
        <v>1.9999999999999991</v>
      </c>
      <c r="AZ36" s="1125">
        <f>'2.0 Patients'!AZ82</f>
        <v>1.9999999999999991</v>
      </c>
      <c r="BA36" s="1127">
        <f>'2.0 Patients'!BA82</f>
        <v>1.9999999999999991</v>
      </c>
      <c r="BB36" s="1125">
        <f>'2.0 Patients'!BB82</f>
        <v>2.0833333333333326</v>
      </c>
      <c r="BC36" s="1125">
        <f>'2.0 Patients'!BC82</f>
        <v>2.1666666666666661</v>
      </c>
      <c r="BD36" s="1125">
        <f>'2.0 Patients'!BD82</f>
        <v>2.2499999999999996</v>
      </c>
      <c r="BE36" s="1125">
        <f>'2.0 Patients'!BE82</f>
        <v>2.333333333333333</v>
      </c>
      <c r="BF36" s="1125">
        <f>'2.0 Patients'!BF82</f>
        <v>2.4166666666666665</v>
      </c>
      <c r="BG36" s="1125">
        <f>'2.0 Patients'!BG82</f>
        <v>2.5</v>
      </c>
      <c r="BH36" s="1125">
        <f>'2.0 Patients'!BH82</f>
        <v>2.5833333333333335</v>
      </c>
      <c r="BI36" s="1125">
        <f>'2.0 Patients'!BI82</f>
        <v>2.666666666666667</v>
      </c>
      <c r="BJ36" s="1125">
        <f>'2.0 Patients'!BJ82</f>
        <v>2.7500000000000004</v>
      </c>
      <c r="BK36" s="1125">
        <f>'2.0 Patients'!BK82</f>
        <v>2.8333333333333339</v>
      </c>
      <c r="BL36" s="1125">
        <f>'2.0 Patients'!BL82</f>
        <v>2.9166666666666674</v>
      </c>
      <c r="BM36" s="1127">
        <f>'2.0 Patients'!BM82</f>
        <v>3.0000000000000009</v>
      </c>
      <c r="BN36" s="1125">
        <f>'2.0 Patients'!BN82</f>
        <v>3.0833333333333344</v>
      </c>
      <c r="BO36" s="1125">
        <f>'2.0 Patients'!BO82</f>
        <v>3.1666666666666679</v>
      </c>
      <c r="BP36" s="1125">
        <f>'2.0 Patients'!BP82</f>
        <v>3.2500000000000013</v>
      </c>
      <c r="BQ36" s="1125">
        <f>'2.0 Patients'!BQ82</f>
        <v>3.3333333333333348</v>
      </c>
      <c r="BR36" s="1125">
        <f>'2.0 Patients'!BR82</f>
        <v>3.4166666666666683</v>
      </c>
      <c r="BS36" s="1125">
        <f>'2.0 Patients'!BS82</f>
        <v>3.5000000000000018</v>
      </c>
      <c r="BT36" s="1125">
        <f>'2.0 Patients'!BT82</f>
        <v>3.5833333333333353</v>
      </c>
      <c r="BU36" s="1125">
        <f>'2.0 Patients'!BU82</f>
        <v>3.6666666666666687</v>
      </c>
      <c r="BV36" s="1125">
        <f>'2.0 Patients'!BV82</f>
        <v>3.7500000000000022</v>
      </c>
      <c r="BW36" s="1125">
        <f>'2.0 Patients'!BW82</f>
        <v>3.8333333333333357</v>
      </c>
      <c r="BX36" s="1125">
        <f>'2.0 Patients'!BX82</f>
        <v>3.9166666666666692</v>
      </c>
      <c r="BY36" s="1127">
        <f>'2.0 Patients'!BY82</f>
        <v>4.0000000000000027</v>
      </c>
    </row>
    <row r="37" spans="2:78" s="1129" customFormat="1" outlineLevel="1">
      <c r="B37" s="1130"/>
      <c r="D37" s="1131"/>
      <c r="E37" s="1131"/>
      <c r="F37" s="1131" t="s">
        <v>2474</v>
      </c>
      <c r="G37" s="1132"/>
      <c r="H37" s="1132"/>
      <c r="I37" s="1133">
        <f>'2.1 Reimburse'!H51</f>
        <v>3</v>
      </c>
      <c r="J37" s="1133">
        <f>'2.1 Reimburse'!I51</f>
        <v>3</v>
      </c>
      <c r="K37" s="1133">
        <f>'2.1 Reimburse'!J51</f>
        <v>3</v>
      </c>
      <c r="L37" s="1133">
        <f>'2.1 Reimburse'!K51</f>
        <v>3</v>
      </c>
      <c r="M37" s="1133">
        <f>'2.1 Reimburse'!L51</f>
        <v>3</v>
      </c>
      <c r="N37" s="1131"/>
      <c r="O37" s="1130"/>
      <c r="P37" s="1134"/>
      <c r="Q37" s="1131"/>
      <c r="R37" s="1263"/>
      <c r="S37" s="1135"/>
      <c r="AC37" s="1136"/>
      <c r="AO37" s="1136"/>
      <c r="BA37" s="1136"/>
      <c r="BM37" s="1136"/>
      <c r="BY37" s="1136"/>
    </row>
    <row r="38" spans="2:78" s="1137" customFormat="1" outlineLevel="1">
      <c r="B38" s="1138"/>
      <c r="D38" s="657"/>
      <c r="E38" s="657"/>
      <c r="F38" s="657" t="s">
        <v>1989</v>
      </c>
      <c r="G38" s="1139"/>
      <c r="H38" s="1139"/>
      <c r="I38" s="1140">
        <f>homemiss</f>
        <v>0.05</v>
      </c>
      <c r="J38" s="1140">
        <f>homemiss</f>
        <v>0.05</v>
      </c>
      <c r="K38" s="1140">
        <f>homemiss</f>
        <v>0.05</v>
      </c>
      <c r="L38" s="1140">
        <f>homemiss</f>
        <v>0.05</v>
      </c>
      <c r="M38" s="1140">
        <f>homemiss</f>
        <v>0.05</v>
      </c>
      <c r="N38" s="657"/>
      <c r="O38" s="1138"/>
      <c r="P38" s="1141"/>
      <c r="Q38" s="657"/>
      <c r="R38" s="1264"/>
      <c r="S38" s="661"/>
      <c r="AC38" s="1142"/>
      <c r="AO38" s="1142"/>
      <c r="BA38" s="1142"/>
      <c r="BM38" s="1142"/>
      <c r="BY38" s="1142"/>
    </row>
    <row r="39" spans="2:78" s="1124" customFormat="1">
      <c r="B39" s="1123"/>
      <c r="D39" s="393"/>
      <c r="E39" s="393"/>
      <c r="F39" s="393" t="s">
        <v>2475</v>
      </c>
      <c r="H39" s="1125"/>
      <c r="I39" s="1125">
        <f>SUM(R39:AC39)</f>
        <v>148.19999999999996</v>
      </c>
      <c r="J39" s="1125">
        <f>SUM(AD39:AO39)</f>
        <v>228.47499999999988</v>
      </c>
      <c r="K39" s="1125">
        <f>SUM(AP39:BA39)</f>
        <v>296.39999999999986</v>
      </c>
      <c r="L39" s="1125">
        <f>SUM(BB39:BM39)</f>
        <v>376.67500000000001</v>
      </c>
      <c r="M39" s="1125">
        <f>SUM(BN39:BY39)</f>
        <v>524.87500000000023</v>
      </c>
      <c r="N39" s="393"/>
      <c r="O39" s="1123"/>
      <c r="P39" s="1126"/>
      <c r="Q39" s="393"/>
      <c r="R39" s="1265">
        <f>R36*$I37*52*(1-$I38)/12</f>
        <v>12.35</v>
      </c>
      <c r="S39" s="393">
        <f t="shared" ref="S39:AC39" si="25">S36*$I37*52*(1-$I38)/12</f>
        <v>12.35</v>
      </c>
      <c r="T39" s="1124">
        <f t="shared" si="25"/>
        <v>12.35</v>
      </c>
      <c r="U39" s="1124">
        <f t="shared" si="25"/>
        <v>12.35</v>
      </c>
      <c r="V39" s="1124">
        <f t="shared" si="25"/>
        <v>12.35</v>
      </c>
      <c r="W39" s="1124">
        <f t="shared" si="25"/>
        <v>12.35</v>
      </c>
      <c r="X39" s="1124">
        <f t="shared" si="25"/>
        <v>12.35</v>
      </c>
      <c r="Y39" s="1124">
        <f t="shared" si="25"/>
        <v>12.35</v>
      </c>
      <c r="Z39" s="1124">
        <f t="shared" si="25"/>
        <v>12.35</v>
      </c>
      <c r="AA39" s="1124">
        <f t="shared" si="25"/>
        <v>12.35</v>
      </c>
      <c r="AB39" s="1124">
        <f t="shared" si="25"/>
        <v>12.35</v>
      </c>
      <c r="AC39" s="1128">
        <f t="shared" si="25"/>
        <v>12.35</v>
      </c>
      <c r="AD39" s="1124">
        <f t="shared" ref="AD39:AO39" si="26">AD36*$J37*52*(1-$J38)/12</f>
        <v>13.379166666666665</v>
      </c>
      <c r="AE39" s="1124">
        <f t="shared" si="26"/>
        <v>14.408333333333331</v>
      </c>
      <c r="AF39" s="1124">
        <f t="shared" si="26"/>
        <v>15.437499999999995</v>
      </c>
      <c r="AG39" s="1124">
        <f t="shared" si="26"/>
        <v>16.466666666666661</v>
      </c>
      <c r="AH39" s="1124">
        <f t="shared" si="26"/>
        <v>17.495833333333326</v>
      </c>
      <c r="AI39" s="1124">
        <f t="shared" si="26"/>
        <v>18.524999999999991</v>
      </c>
      <c r="AJ39" s="1124">
        <f t="shared" si="26"/>
        <v>19.55416666666666</v>
      </c>
      <c r="AK39" s="1124">
        <f t="shared" si="26"/>
        <v>20.583333333333325</v>
      </c>
      <c r="AL39" s="1124">
        <f t="shared" si="26"/>
        <v>21.612499999999986</v>
      </c>
      <c r="AM39" s="1124">
        <f t="shared" si="26"/>
        <v>22.641666666666655</v>
      </c>
      <c r="AN39" s="1124">
        <f t="shared" si="26"/>
        <v>23.670833333333324</v>
      </c>
      <c r="AO39" s="1128">
        <f t="shared" si="26"/>
        <v>24.699999999999989</v>
      </c>
      <c r="AP39" s="1124">
        <f t="shared" ref="AP39:BA39" si="27">AP36*$K37*52*(1-$K38)/12</f>
        <v>24.699999999999989</v>
      </c>
      <c r="AQ39" s="1124">
        <f t="shared" si="27"/>
        <v>24.699999999999989</v>
      </c>
      <c r="AR39" s="1124">
        <f t="shared" si="27"/>
        <v>24.699999999999989</v>
      </c>
      <c r="AS39" s="1124">
        <f t="shared" si="27"/>
        <v>24.699999999999989</v>
      </c>
      <c r="AT39" s="1124">
        <f t="shared" si="27"/>
        <v>24.699999999999989</v>
      </c>
      <c r="AU39" s="1124">
        <f t="shared" si="27"/>
        <v>24.699999999999989</v>
      </c>
      <c r="AV39" s="1124">
        <f t="shared" si="27"/>
        <v>24.699999999999989</v>
      </c>
      <c r="AW39" s="1124">
        <f t="shared" si="27"/>
        <v>24.699999999999989</v>
      </c>
      <c r="AX39" s="1124">
        <f t="shared" si="27"/>
        <v>24.699999999999989</v>
      </c>
      <c r="AY39" s="1124">
        <f t="shared" si="27"/>
        <v>24.699999999999989</v>
      </c>
      <c r="AZ39" s="1124">
        <f t="shared" si="27"/>
        <v>24.699999999999989</v>
      </c>
      <c r="BA39" s="1128">
        <f t="shared" si="27"/>
        <v>24.699999999999989</v>
      </c>
      <c r="BB39" s="1124">
        <f t="shared" ref="BB39:BM39" si="28">BB36*$L37*52*(1-$L38)/12</f>
        <v>25.729166666666657</v>
      </c>
      <c r="BC39" s="1124">
        <f t="shared" si="28"/>
        <v>26.758333333333322</v>
      </c>
      <c r="BD39" s="1124">
        <f t="shared" si="28"/>
        <v>27.787499999999991</v>
      </c>
      <c r="BE39" s="1124">
        <f t="shared" si="28"/>
        <v>28.816666666666663</v>
      </c>
      <c r="BF39" s="1124">
        <f t="shared" si="28"/>
        <v>29.845833333333331</v>
      </c>
      <c r="BG39" s="1124">
        <f t="shared" si="28"/>
        <v>30.875</v>
      </c>
      <c r="BH39" s="1124">
        <f t="shared" si="28"/>
        <v>31.904166666666665</v>
      </c>
      <c r="BI39" s="1124">
        <f t="shared" si="28"/>
        <v>32.93333333333333</v>
      </c>
      <c r="BJ39" s="1124">
        <f t="shared" si="28"/>
        <v>33.962500000000006</v>
      </c>
      <c r="BK39" s="1124">
        <f t="shared" si="28"/>
        <v>34.991666666666674</v>
      </c>
      <c r="BL39" s="1124">
        <f t="shared" si="28"/>
        <v>36.020833333333343</v>
      </c>
      <c r="BM39" s="1128">
        <f t="shared" si="28"/>
        <v>37.050000000000011</v>
      </c>
      <c r="BN39" s="1124">
        <f t="shared" ref="BN39:BY39" si="29">BN36*$M37*52*(1-$M38)/12</f>
        <v>38.07916666666668</v>
      </c>
      <c r="BO39" s="1124">
        <f t="shared" si="29"/>
        <v>39.108333333333341</v>
      </c>
      <c r="BP39" s="1124">
        <f t="shared" si="29"/>
        <v>40.13750000000001</v>
      </c>
      <c r="BQ39" s="1124">
        <f t="shared" si="29"/>
        <v>41.166666666666679</v>
      </c>
      <c r="BR39" s="1124">
        <f t="shared" si="29"/>
        <v>42.195833333333347</v>
      </c>
      <c r="BS39" s="1124">
        <f t="shared" si="29"/>
        <v>43.225000000000016</v>
      </c>
      <c r="BT39" s="1124">
        <f t="shared" si="29"/>
        <v>44.254166666666684</v>
      </c>
      <c r="BU39" s="1124">
        <f t="shared" si="29"/>
        <v>45.28333333333336</v>
      </c>
      <c r="BV39" s="1124">
        <f t="shared" si="29"/>
        <v>46.312500000000028</v>
      </c>
      <c r="BW39" s="1124">
        <f t="shared" si="29"/>
        <v>47.34166666666669</v>
      </c>
      <c r="BX39" s="1124">
        <f t="shared" si="29"/>
        <v>48.370833333333358</v>
      </c>
      <c r="BY39" s="1128">
        <f t="shared" si="29"/>
        <v>49.400000000000027</v>
      </c>
      <c r="BZ39" s="1143">
        <f>ROUND(SUM(H39:M39)-SUM(Q39:BY39),0)</f>
        <v>0</v>
      </c>
    </row>
    <row r="40" spans="2:78" s="1150" customFormat="1">
      <c r="B40" s="1151"/>
      <c r="D40" s="1152"/>
      <c r="E40" s="1152"/>
      <c r="F40" s="1152" t="s">
        <v>9</v>
      </c>
      <c r="I40" s="1153">
        <f>'2.1 Reimburse'!H52</f>
        <v>1016.4768204665048</v>
      </c>
      <c r="J40" s="1153">
        <f>'2.1 Reimburse'!I52</f>
        <v>1039.8557873372342</v>
      </c>
      <c r="K40" s="1153">
        <f>'2.1 Reimburse'!J52</f>
        <v>1063.7724704459906</v>
      </c>
      <c r="L40" s="1153">
        <f>'2.1 Reimburse'!K52</f>
        <v>1088.2392372662482</v>
      </c>
      <c r="M40" s="1153">
        <f>'2.1 Reimburse'!L52</f>
        <v>1113.2687397233717</v>
      </c>
      <c r="N40" s="1152"/>
      <c r="O40" s="1151"/>
      <c r="P40" s="1154"/>
      <c r="Q40" s="1152"/>
      <c r="R40" s="1266">
        <f>I40</f>
        <v>1016.4768204665048</v>
      </c>
      <c r="S40" s="1257">
        <f>R40</f>
        <v>1016.4768204665048</v>
      </c>
      <c r="T40" s="1258">
        <f t="shared" ref="T40:BY40" si="30">S40</f>
        <v>1016.4768204665048</v>
      </c>
      <c r="U40" s="1258">
        <f t="shared" si="30"/>
        <v>1016.4768204665048</v>
      </c>
      <c r="V40" s="1258">
        <f t="shared" si="30"/>
        <v>1016.4768204665048</v>
      </c>
      <c r="W40" s="1258">
        <f t="shared" si="30"/>
        <v>1016.4768204665048</v>
      </c>
      <c r="X40" s="1258">
        <f t="shared" si="30"/>
        <v>1016.4768204665048</v>
      </c>
      <c r="Y40" s="1258">
        <f t="shared" si="30"/>
        <v>1016.4768204665048</v>
      </c>
      <c r="Z40" s="1258">
        <f t="shared" si="30"/>
        <v>1016.4768204665048</v>
      </c>
      <c r="AA40" s="1258">
        <f t="shared" si="30"/>
        <v>1016.4768204665048</v>
      </c>
      <c r="AB40" s="1258">
        <f t="shared" si="30"/>
        <v>1016.4768204665048</v>
      </c>
      <c r="AC40" s="1259">
        <f t="shared" si="30"/>
        <v>1016.4768204665048</v>
      </c>
      <c r="AD40" s="1258">
        <f>J40</f>
        <v>1039.8557873372342</v>
      </c>
      <c r="AE40" s="1258">
        <f t="shared" si="30"/>
        <v>1039.8557873372342</v>
      </c>
      <c r="AF40" s="1258">
        <f t="shared" si="30"/>
        <v>1039.8557873372342</v>
      </c>
      <c r="AG40" s="1258">
        <f t="shared" si="30"/>
        <v>1039.8557873372342</v>
      </c>
      <c r="AH40" s="1258">
        <f t="shared" si="30"/>
        <v>1039.8557873372342</v>
      </c>
      <c r="AI40" s="1258">
        <f t="shared" si="30"/>
        <v>1039.8557873372342</v>
      </c>
      <c r="AJ40" s="1258">
        <f t="shared" si="30"/>
        <v>1039.8557873372342</v>
      </c>
      <c r="AK40" s="1258">
        <f t="shared" si="30"/>
        <v>1039.8557873372342</v>
      </c>
      <c r="AL40" s="1258">
        <f t="shared" si="30"/>
        <v>1039.8557873372342</v>
      </c>
      <c r="AM40" s="1258">
        <f t="shared" si="30"/>
        <v>1039.8557873372342</v>
      </c>
      <c r="AN40" s="1258">
        <f t="shared" si="30"/>
        <v>1039.8557873372342</v>
      </c>
      <c r="AO40" s="1259">
        <f t="shared" si="30"/>
        <v>1039.8557873372342</v>
      </c>
      <c r="AP40" s="1258">
        <f>K40</f>
        <v>1063.7724704459906</v>
      </c>
      <c r="AQ40" s="1258">
        <f t="shared" si="30"/>
        <v>1063.7724704459906</v>
      </c>
      <c r="AR40" s="1258">
        <f t="shared" si="30"/>
        <v>1063.7724704459906</v>
      </c>
      <c r="AS40" s="1258">
        <f t="shared" si="30"/>
        <v>1063.7724704459906</v>
      </c>
      <c r="AT40" s="1258">
        <f t="shared" si="30"/>
        <v>1063.7724704459906</v>
      </c>
      <c r="AU40" s="1258">
        <f t="shared" si="30"/>
        <v>1063.7724704459906</v>
      </c>
      <c r="AV40" s="1258">
        <f t="shared" si="30"/>
        <v>1063.7724704459906</v>
      </c>
      <c r="AW40" s="1258">
        <f t="shared" si="30"/>
        <v>1063.7724704459906</v>
      </c>
      <c r="AX40" s="1258">
        <f t="shared" si="30"/>
        <v>1063.7724704459906</v>
      </c>
      <c r="AY40" s="1258">
        <f t="shared" si="30"/>
        <v>1063.7724704459906</v>
      </c>
      <c r="AZ40" s="1258">
        <f t="shared" si="30"/>
        <v>1063.7724704459906</v>
      </c>
      <c r="BA40" s="1259">
        <f t="shared" si="30"/>
        <v>1063.7724704459906</v>
      </c>
      <c r="BB40" s="1258">
        <f>L40</f>
        <v>1088.2392372662482</v>
      </c>
      <c r="BC40" s="1258">
        <f t="shared" si="30"/>
        <v>1088.2392372662482</v>
      </c>
      <c r="BD40" s="1258">
        <f t="shared" si="30"/>
        <v>1088.2392372662482</v>
      </c>
      <c r="BE40" s="1258">
        <f t="shared" si="30"/>
        <v>1088.2392372662482</v>
      </c>
      <c r="BF40" s="1258">
        <f t="shared" si="30"/>
        <v>1088.2392372662482</v>
      </c>
      <c r="BG40" s="1258">
        <f t="shared" si="30"/>
        <v>1088.2392372662482</v>
      </c>
      <c r="BH40" s="1258">
        <f t="shared" si="30"/>
        <v>1088.2392372662482</v>
      </c>
      <c r="BI40" s="1258">
        <f t="shared" si="30"/>
        <v>1088.2392372662482</v>
      </c>
      <c r="BJ40" s="1258">
        <f t="shared" si="30"/>
        <v>1088.2392372662482</v>
      </c>
      <c r="BK40" s="1258">
        <f t="shared" si="30"/>
        <v>1088.2392372662482</v>
      </c>
      <c r="BL40" s="1258">
        <f t="shared" si="30"/>
        <v>1088.2392372662482</v>
      </c>
      <c r="BM40" s="1259">
        <f t="shared" si="30"/>
        <v>1088.2392372662482</v>
      </c>
      <c r="BN40" s="1258">
        <f>M40</f>
        <v>1113.2687397233717</v>
      </c>
      <c r="BO40" s="1258">
        <f t="shared" si="30"/>
        <v>1113.2687397233717</v>
      </c>
      <c r="BP40" s="1258">
        <f t="shared" si="30"/>
        <v>1113.2687397233717</v>
      </c>
      <c r="BQ40" s="1258">
        <f t="shared" si="30"/>
        <v>1113.2687397233717</v>
      </c>
      <c r="BR40" s="1258">
        <f t="shared" si="30"/>
        <v>1113.2687397233717</v>
      </c>
      <c r="BS40" s="1258">
        <f t="shared" si="30"/>
        <v>1113.2687397233717</v>
      </c>
      <c r="BT40" s="1258">
        <f t="shared" si="30"/>
        <v>1113.2687397233717</v>
      </c>
      <c r="BU40" s="1258">
        <f t="shared" si="30"/>
        <v>1113.2687397233717</v>
      </c>
      <c r="BV40" s="1258">
        <f t="shared" si="30"/>
        <v>1113.2687397233717</v>
      </c>
      <c r="BW40" s="1258">
        <f t="shared" si="30"/>
        <v>1113.2687397233717</v>
      </c>
      <c r="BX40" s="1258">
        <f t="shared" si="30"/>
        <v>1113.2687397233717</v>
      </c>
      <c r="BY40" s="1259">
        <f t="shared" si="30"/>
        <v>1113.2687397233717</v>
      </c>
    </row>
    <row r="41" spans="2:78" s="1144" customFormat="1">
      <c r="B41" s="367"/>
      <c r="C41" s="1113"/>
      <c r="D41" s="667"/>
      <c r="E41" s="667"/>
      <c r="F41" s="667" t="s">
        <v>2169</v>
      </c>
      <c r="G41" s="1113"/>
      <c r="I41" s="646">
        <f>52*I37*I36*(1-I38)*I40</f>
        <v>150641.86479313599</v>
      </c>
      <c r="J41" s="646">
        <f>52*J37*J36*(1-J38)*J40</f>
        <v>237581.05101187449</v>
      </c>
      <c r="K41" s="646">
        <f>52*K37*K36*(1-K38)*K40</f>
        <v>315302.16024019156</v>
      </c>
      <c r="L41" s="646">
        <f>52*L37*L36*(1-L38)*L40</f>
        <v>409912.51469726407</v>
      </c>
      <c r="M41" s="646">
        <f>52*M37*M36*(1-M38)*M40</f>
        <v>584326.92976230499</v>
      </c>
      <c r="N41" s="368"/>
      <c r="O41" s="367"/>
      <c r="P41" s="1145"/>
      <c r="Q41" s="1145"/>
      <c r="R41" s="1267">
        <f t="shared" ref="R41:AW41" si="31">R40*R39</f>
        <v>12553.488732761334</v>
      </c>
      <c r="S41" s="1144">
        <f t="shared" si="31"/>
        <v>12553.488732761334</v>
      </c>
      <c r="T41" s="1146">
        <f t="shared" si="31"/>
        <v>12553.488732761334</v>
      </c>
      <c r="U41" s="1146">
        <f t="shared" si="31"/>
        <v>12553.488732761334</v>
      </c>
      <c r="V41" s="1146">
        <f t="shared" si="31"/>
        <v>12553.488732761334</v>
      </c>
      <c r="W41" s="1146">
        <f t="shared" si="31"/>
        <v>12553.488732761334</v>
      </c>
      <c r="X41" s="1146">
        <f t="shared" si="31"/>
        <v>12553.488732761334</v>
      </c>
      <c r="Y41" s="1146">
        <f t="shared" si="31"/>
        <v>12553.488732761334</v>
      </c>
      <c r="Z41" s="1146">
        <f t="shared" si="31"/>
        <v>12553.488732761334</v>
      </c>
      <c r="AA41" s="1146">
        <f t="shared" si="31"/>
        <v>12553.488732761334</v>
      </c>
      <c r="AB41" s="1146">
        <f t="shared" si="31"/>
        <v>12553.488732761334</v>
      </c>
      <c r="AC41" s="1147">
        <f t="shared" si="31"/>
        <v>12553.488732761334</v>
      </c>
      <c r="AD41" s="1146">
        <f t="shared" si="31"/>
        <v>13912.403888082745</v>
      </c>
      <c r="AE41" s="1146">
        <f t="shared" si="31"/>
        <v>14982.588802550648</v>
      </c>
      <c r="AF41" s="1146">
        <f t="shared" si="31"/>
        <v>16052.773717018548</v>
      </c>
      <c r="AG41" s="1146">
        <f t="shared" si="31"/>
        <v>17122.95863148645</v>
      </c>
      <c r="AH41" s="1146">
        <f t="shared" si="31"/>
        <v>18193.143545954354</v>
      </c>
      <c r="AI41" s="1146">
        <f t="shared" si="31"/>
        <v>19263.328460422254</v>
      </c>
      <c r="AJ41" s="1146">
        <f t="shared" si="31"/>
        <v>20333.513374890161</v>
      </c>
      <c r="AK41" s="1146">
        <f t="shared" si="31"/>
        <v>21403.698289358064</v>
      </c>
      <c r="AL41" s="1146">
        <f t="shared" si="31"/>
        <v>22473.883203825961</v>
      </c>
      <c r="AM41" s="1146">
        <f t="shared" si="31"/>
        <v>23544.068118293868</v>
      </c>
      <c r="AN41" s="1146">
        <f t="shared" si="31"/>
        <v>24614.253032761771</v>
      </c>
      <c r="AO41" s="1147">
        <f t="shared" si="31"/>
        <v>25684.437947229675</v>
      </c>
      <c r="AP41" s="1146">
        <f t="shared" si="31"/>
        <v>26275.180020015956</v>
      </c>
      <c r="AQ41" s="1146">
        <f t="shared" si="31"/>
        <v>26275.180020015956</v>
      </c>
      <c r="AR41" s="1146">
        <f t="shared" si="31"/>
        <v>26275.180020015956</v>
      </c>
      <c r="AS41" s="1146">
        <f t="shared" si="31"/>
        <v>26275.180020015956</v>
      </c>
      <c r="AT41" s="1146">
        <f t="shared" si="31"/>
        <v>26275.180020015956</v>
      </c>
      <c r="AU41" s="1146">
        <f t="shared" si="31"/>
        <v>26275.180020015956</v>
      </c>
      <c r="AV41" s="1146">
        <f t="shared" si="31"/>
        <v>26275.180020015956</v>
      </c>
      <c r="AW41" s="1146">
        <f t="shared" si="31"/>
        <v>26275.180020015956</v>
      </c>
      <c r="AX41" s="1146">
        <f t="shared" ref="AX41:BY41" si="32">AX40*AX39</f>
        <v>26275.180020015956</v>
      </c>
      <c r="AY41" s="1146">
        <f t="shared" si="32"/>
        <v>26275.180020015956</v>
      </c>
      <c r="AZ41" s="1146">
        <f t="shared" si="32"/>
        <v>26275.180020015956</v>
      </c>
      <c r="BA41" s="1147">
        <f t="shared" si="32"/>
        <v>26275.180020015956</v>
      </c>
      <c r="BB41" s="1146">
        <f t="shared" si="32"/>
        <v>27999.4887088295</v>
      </c>
      <c r="BC41" s="1146">
        <f t="shared" si="32"/>
        <v>29119.468257182678</v>
      </c>
      <c r="BD41" s="1146">
        <f t="shared" si="32"/>
        <v>30239.447805535863</v>
      </c>
      <c r="BE41" s="1146">
        <f t="shared" si="32"/>
        <v>31359.427353889048</v>
      </c>
      <c r="BF41" s="1146">
        <f t="shared" si="32"/>
        <v>32479.40690224223</v>
      </c>
      <c r="BG41" s="1146">
        <f t="shared" si="32"/>
        <v>33599.386450595412</v>
      </c>
      <c r="BH41" s="1146">
        <f t="shared" si="32"/>
        <v>34719.36599894859</v>
      </c>
      <c r="BI41" s="1146">
        <f t="shared" si="32"/>
        <v>35839.345547301768</v>
      </c>
      <c r="BJ41" s="1146">
        <f t="shared" si="32"/>
        <v>36959.32509565496</v>
      </c>
      <c r="BK41" s="1146">
        <f t="shared" si="32"/>
        <v>38079.304644008145</v>
      </c>
      <c r="BL41" s="1146">
        <f t="shared" si="32"/>
        <v>39199.284192361323</v>
      </c>
      <c r="BM41" s="1147">
        <f t="shared" si="32"/>
        <v>40319.263740714508</v>
      </c>
      <c r="BN41" s="1146">
        <f t="shared" si="32"/>
        <v>42392.34588471624</v>
      </c>
      <c r="BO41" s="1146">
        <f t="shared" si="32"/>
        <v>43538.08496268154</v>
      </c>
      <c r="BP41" s="1146">
        <f t="shared" si="32"/>
        <v>44683.824040646839</v>
      </c>
      <c r="BQ41" s="1146">
        <f t="shared" si="32"/>
        <v>45829.563118612146</v>
      </c>
      <c r="BR41" s="1146">
        <f t="shared" si="32"/>
        <v>46975.302196577453</v>
      </c>
      <c r="BS41" s="1146">
        <f t="shared" si="32"/>
        <v>48121.04127454276</v>
      </c>
      <c r="BT41" s="1146">
        <f t="shared" si="32"/>
        <v>49266.780352508067</v>
      </c>
      <c r="BU41" s="1146">
        <f t="shared" si="32"/>
        <v>50412.519430473381</v>
      </c>
      <c r="BV41" s="1146">
        <f t="shared" si="32"/>
        <v>51558.258508438681</v>
      </c>
      <c r="BW41" s="1146">
        <f t="shared" si="32"/>
        <v>52703.997586403981</v>
      </c>
      <c r="BX41" s="1146">
        <f t="shared" si="32"/>
        <v>53849.736664369288</v>
      </c>
      <c r="BY41" s="1147">
        <f t="shared" si="32"/>
        <v>54995.475742334595</v>
      </c>
      <c r="BZ41" s="1148">
        <f>ROUND(SUM(H41:M41)-SUM(Q41:BY41),0)</f>
        <v>0</v>
      </c>
    </row>
    <row r="42" spans="2:78" s="1149" customFormat="1">
      <c r="B42" s="367"/>
      <c r="C42" s="1113"/>
      <c r="D42" s="667"/>
      <c r="E42" s="667"/>
      <c r="F42" s="667" t="s">
        <v>1890</v>
      </c>
      <c r="G42" s="1113"/>
      <c r="H42" s="1144"/>
      <c r="I42" s="646">
        <f>SUM(R42:AC42)</f>
        <v>112981.39859485203</v>
      </c>
      <c r="J42" s="646">
        <f>SUM(AD42:AO42)</f>
        <v>201398.75811187318</v>
      </c>
      <c r="K42" s="646">
        <f>SUM(AP42:BA42)</f>
        <v>310319.37927842891</v>
      </c>
      <c r="L42" s="646">
        <f>SUM(BB42:BM42)</f>
        <v>371140.20218022785</v>
      </c>
      <c r="M42" s="646">
        <f>SUM(BN42:BY42)</f>
        <v>540375.57234628114</v>
      </c>
      <c r="N42" s="368"/>
      <c r="O42" s="367"/>
      <c r="P42" s="1145"/>
      <c r="Q42" s="368"/>
      <c r="R42" s="1268"/>
      <c r="S42" s="368"/>
      <c r="T42" s="1146"/>
      <c r="U42" s="1146">
        <f>IF(U$6&gt;SurveyDelay+3,R41,IF(U$6=SurveyDelay+3,SUM($R41:R41),0))</f>
        <v>0</v>
      </c>
      <c r="V42" s="1146">
        <f>IF(V$6&gt;SurveyDelay+3,S41,IF(V$6=SurveyDelay+3,SUM($R41:S41),0))</f>
        <v>0</v>
      </c>
      <c r="W42" s="1146">
        <f>IF(W$6&gt;SurveyDelay+3,T41,IF(W$6=SurveyDelay+3,SUM($R41:T41),0))</f>
        <v>0</v>
      </c>
      <c r="X42" s="1146">
        <f>IF(X$6&gt;SurveyDelay+3,U41,IF(X$6=SurveyDelay+3,SUM($R41:U41),0))</f>
        <v>0</v>
      </c>
      <c r="Y42" s="1146">
        <f>IF(Y$6&gt;SurveyDelay+3,V41,IF(Y$6=SurveyDelay+3,SUM($R41:V41),0))</f>
        <v>0</v>
      </c>
      <c r="Z42" s="1146">
        <f>IF(Z$6&gt;SurveyDelay+3,W41,IF(Z$6=SurveyDelay+3,SUM($R41:W41),0))</f>
        <v>75320.932396568009</v>
      </c>
      <c r="AA42" s="1146">
        <f>IF(AA$6&gt;SurveyDelay+3,X41,IF(AA$6=SurveyDelay+3,SUM($R41:X41),0))</f>
        <v>12553.488732761334</v>
      </c>
      <c r="AB42" s="1146">
        <f>IF(AB$6&gt;SurveyDelay+3,Y41,IF(AB$6=SurveyDelay+3,SUM($R41:Y41),0))</f>
        <v>12553.488732761334</v>
      </c>
      <c r="AC42" s="1147">
        <f>IF(AC$6&gt;SurveyDelay+3,Z41,IF(AC$6=SurveyDelay+3,SUM($R41:Z41),0))</f>
        <v>12553.488732761334</v>
      </c>
      <c r="AD42" s="1146">
        <f>IF(AD$6&gt;SurveyDelay+3,AA41,IF(AD$6=SurveyDelay+3,SUM($R41:AA41),0))</f>
        <v>12553.488732761334</v>
      </c>
      <c r="AE42" s="1146">
        <f>IF(AE$6&gt;SurveyDelay+3,AB41,IF(AE$6=SurveyDelay+3,SUM($R41:AB41),0))</f>
        <v>12553.488732761334</v>
      </c>
      <c r="AF42" s="1146">
        <f>IF(AF$6&gt;SurveyDelay+3,AC41,IF(AF$6=SurveyDelay+3,SUM($R41:AC41),0))</f>
        <v>12553.488732761334</v>
      </c>
      <c r="AG42" s="1146">
        <f>IF(AG$6&gt;SurveyDelay+3,AD41,IF(AG$6=SurveyDelay+3,SUM($R41:AD41),0))</f>
        <v>13912.403888082745</v>
      </c>
      <c r="AH42" s="1146">
        <f>IF(AH$6&gt;SurveyDelay+3,AE41,IF(AH$6=SurveyDelay+3,SUM($R41:AE41),0))</f>
        <v>14982.588802550648</v>
      </c>
      <c r="AI42" s="1146">
        <f>IF(AI$6&gt;SurveyDelay+3,AF41,IF(AI$6=SurveyDelay+3,SUM($R41:AF41),0))</f>
        <v>16052.773717018548</v>
      </c>
      <c r="AJ42" s="1146">
        <f>IF(AJ$6&gt;SurveyDelay+3,AG41,IF(AJ$6=SurveyDelay+3,SUM($R41:AG41),0))</f>
        <v>17122.95863148645</v>
      </c>
      <c r="AK42" s="1146">
        <f>IF(AK$6&gt;SurveyDelay+3,AH41,IF(AK$6=SurveyDelay+3,SUM($R41:AH41),0))</f>
        <v>18193.143545954354</v>
      </c>
      <c r="AL42" s="1146">
        <f>IF(AL$6&gt;SurveyDelay+3,AI41,IF(AL$6=SurveyDelay+3,SUM($R41:AI41),0))</f>
        <v>19263.328460422254</v>
      </c>
      <c r="AM42" s="1146">
        <f>IF(AM$6&gt;SurveyDelay+3,AJ41,IF(AM$6=SurveyDelay+3,SUM($R41:AJ41),0))</f>
        <v>20333.513374890161</v>
      </c>
      <c r="AN42" s="1146">
        <f>IF(AN$6&gt;SurveyDelay+3,AK41,IF(AN$6=SurveyDelay+3,SUM($R41:AK41),0))</f>
        <v>21403.698289358064</v>
      </c>
      <c r="AO42" s="1147">
        <f>IF(AO$6&gt;SurveyDelay+3,AL41,IF(AO$6=SurveyDelay+3,SUM($R41:AL41),0))</f>
        <v>22473.883203825961</v>
      </c>
      <c r="AP42" s="1146">
        <f>IF(AP$6&gt;SurveyDelay+3,AM41,IF(AP$6=SurveyDelay+3,SUM($R41:AM41),0))</f>
        <v>23544.068118293868</v>
      </c>
      <c r="AQ42" s="1146">
        <f>IF(AQ$6&gt;SurveyDelay+3,AN41,IF(AQ$6=SurveyDelay+3,SUM($R41:AN41),0))</f>
        <v>24614.253032761771</v>
      </c>
      <c r="AR42" s="1146">
        <f>IF(AR$6&gt;SurveyDelay+3,AO41,IF(AR$6=SurveyDelay+3,SUM($R41:AO41),0))</f>
        <v>25684.437947229675</v>
      </c>
      <c r="AS42" s="1146">
        <f>IF(AS$6&gt;SurveyDelay+3,AP41,IF(AS$6=SurveyDelay+3,SUM($R41:AP41),0))</f>
        <v>26275.180020015956</v>
      </c>
      <c r="AT42" s="1146">
        <f>IF(AT$6&gt;SurveyDelay+3,AQ41,IF(AT$6=SurveyDelay+3,SUM($R41:AQ41),0))</f>
        <v>26275.180020015956</v>
      </c>
      <c r="AU42" s="1146">
        <f>IF(AU$6&gt;SurveyDelay+3,AR41,IF(AU$6=SurveyDelay+3,SUM($R41:AR41),0))</f>
        <v>26275.180020015956</v>
      </c>
      <c r="AV42" s="1146">
        <f>IF(AV$6&gt;SurveyDelay+3,AS41,IF(AV$6=SurveyDelay+3,SUM($R41:AS41),0))</f>
        <v>26275.180020015956</v>
      </c>
      <c r="AW42" s="1146">
        <f>IF(AW$6&gt;SurveyDelay+3,AT41,IF(AW$6=SurveyDelay+3,SUM($R41:AT41),0))</f>
        <v>26275.180020015956</v>
      </c>
      <c r="AX42" s="1146">
        <f>IF(AX$6&gt;SurveyDelay+3,AU41,IF(AX$6=SurveyDelay+3,SUM($R41:AU41),0))</f>
        <v>26275.180020015956</v>
      </c>
      <c r="AY42" s="1146">
        <f>IF(AY$6&gt;SurveyDelay+3,AV41,IF(AY$6=SurveyDelay+3,SUM($R41:AV41),0))</f>
        <v>26275.180020015956</v>
      </c>
      <c r="AZ42" s="1146">
        <f>IF(AZ$6&gt;SurveyDelay+3,AW41,IF(AZ$6=SurveyDelay+3,SUM($R41:AW41),0))</f>
        <v>26275.180020015956</v>
      </c>
      <c r="BA42" s="1147">
        <f>IF(BA$6&gt;SurveyDelay+3,AX41,IF(BA$6=SurveyDelay+3,SUM($R41:AX41),0))</f>
        <v>26275.180020015956</v>
      </c>
      <c r="BB42" s="1146">
        <f>IF(BB$6&gt;SurveyDelay+3,AY41,IF(BB$6=SurveyDelay+3,SUM($R41:AY41),0))</f>
        <v>26275.180020015956</v>
      </c>
      <c r="BC42" s="1146">
        <f>IF(BC$6&gt;SurveyDelay+3,AZ41,IF(BC$6=SurveyDelay+3,SUM($R41:AZ41),0))</f>
        <v>26275.180020015956</v>
      </c>
      <c r="BD42" s="1146">
        <f>IF(BD$6&gt;SurveyDelay+3,BA41,IF(BD$6=SurveyDelay+3,SUM($R41:BA41),0))</f>
        <v>26275.180020015956</v>
      </c>
      <c r="BE42" s="1146">
        <f>IF(BE$6&gt;SurveyDelay+3,BB41,IF(BE$6=SurveyDelay+3,SUM($R41:BB41),0))</f>
        <v>27999.4887088295</v>
      </c>
      <c r="BF42" s="1146">
        <f>IF(BF$6&gt;SurveyDelay+3,BC41,IF(BF$6=SurveyDelay+3,SUM($R41:BC41),0))</f>
        <v>29119.468257182678</v>
      </c>
      <c r="BG42" s="1146">
        <f>IF(BG$6&gt;SurveyDelay+3,BD41,IF(BG$6=SurveyDelay+3,SUM($R41:BD41),0))</f>
        <v>30239.447805535863</v>
      </c>
      <c r="BH42" s="1146">
        <f>IF(BH$6&gt;SurveyDelay+3,BE41,IF(BH$6=SurveyDelay+3,SUM($R41:BE41),0))</f>
        <v>31359.427353889048</v>
      </c>
      <c r="BI42" s="1146">
        <f>IF(BI$6&gt;SurveyDelay+3,BF41,IF(BI$6=SurveyDelay+3,SUM($R41:BF41),0))</f>
        <v>32479.40690224223</v>
      </c>
      <c r="BJ42" s="1146">
        <f>IF(BJ$6&gt;SurveyDelay+3,BG41,IF(BJ$6=SurveyDelay+3,SUM($R41:BG41),0))</f>
        <v>33599.386450595412</v>
      </c>
      <c r="BK42" s="1146">
        <f>IF(BK$6&gt;SurveyDelay+3,BH41,IF(BK$6=SurveyDelay+3,SUM($R41:BH41),0))</f>
        <v>34719.36599894859</v>
      </c>
      <c r="BL42" s="1146">
        <f>IF(BL$6&gt;SurveyDelay+3,BI41,IF(BL$6=SurveyDelay+3,SUM($R41:BI41),0))</f>
        <v>35839.345547301768</v>
      </c>
      <c r="BM42" s="1147">
        <f>IF(BM$6&gt;SurveyDelay+3,BJ41,IF(BM$6=SurveyDelay+3,SUM($R41:BJ41),0))</f>
        <v>36959.32509565496</v>
      </c>
      <c r="BN42" s="1146">
        <f>IF(BN$6&gt;SurveyDelay+3,BK41,IF(BN$6=SurveyDelay+3,SUM($R41:BK41),0))</f>
        <v>38079.304644008145</v>
      </c>
      <c r="BO42" s="1146">
        <f>IF(BO$6&gt;SurveyDelay+3,BL41,IF(BO$6=SurveyDelay+3,SUM($R41:BL41),0))</f>
        <v>39199.284192361323</v>
      </c>
      <c r="BP42" s="1146">
        <f>IF(BP$6&gt;SurveyDelay+3,BM41,IF(BP$6=SurveyDelay+3,SUM($R41:BM41),0))</f>
        <v>40319.263740714508</v>
      </c>
      <c r="BQ42" s="1146">
        <f>IF(BQ$6&gt;SurveyDelay+3,BN41,IF(BQ$6=SurveyDelay+3,SUM($R41:BN41),0))</f>
        <v>42392.34588471624</v>
      </c>
      <c r="BR42" s="1146">
        <f>IF(BR$6&gt;SurveyDelay+3,BO41,IF(BR$6=SurveyDelay+3,SUM($R41:BO41),0))</f>
        <v>43538.08496268154</v>
      </c>
      <c r="BS42" s="1146">
        <f>IF(BS$6&gt;SurveyDelay+3,BP41,IF(BS$6=SurveyDelay+3,SUM($R41:BP41),0))</f>
        <v>44683.824040646839</v>
      </c>
      <c r="BT42" s="1146">
        <f>IF(BT$6&gt;SurveyDelay+3,BQ41,IF(BT$6=SurveyDelay+3,SUM($R41:BQ41),0))</f>
        <v>45829.563118612146</v>
      </c>
      <c r="BU42" s="1146">
        <f>IF(BU$6&gt;SurveyDelay+3,BR41,IF(BU$6=SurveyDelay+3,SUM($R41:BR41),0))</f>
        <v>46975.302196577453</v>
      </c>
      <c r="BV42" s="1146">
        <f>IF(BV$6&gt;SurveyDelay+3,BS41,IF(BV$6=SurveyDelay+3,SUM($R41:BS41),0))</f>
        <v>48121.04127454276</v>
      </c>
      <c r="BW42" s="1146">
        <f>IF(BW$6&gt;SurveyDelay+3,BT41,IF(BW$6=SurveyDelay+3,SUM($R41:BT41),0))</f>
        <v>49266.780352508067</v>
      </c>
      <c r="BX42" s="1146">
        <f>IF(BX$6&gt;SurveyDelay+3,BU41,IF(BX$6=SurveyDelay+3,SUM($R41:BU41),0))</f>
        <v>50412.519430473381</v>
      </c>
      <c r="BY42" s="1147">
        <f>IF(BY$6&gt;SurveyDelay+3,BV41,IF(BY$6=SurveyDelay+3,SUM($R41:BV41),0))</f>
        <v>51558.258508438681</v>
      </c>
      <c r="BZ42" s="1148">
        <f>ROUND(SUM(H42:M42)-SUM(Q42:BY42),0)</f>
        <v>0</v>
      </c>
    </row>
    <row r="43" spans="2:78" s="1121" customFormat="1">
      <c r="B43" s="668"/>
      <c r="C43" s="1113"/>
      <c r="D43" s="667"/>
      <c r="E43" s="667"/>
      <c r="F43" s="667"/>
      <c r="G43" s="1113"/>
      <c r="H43" s="1113"/>
      <c r="I43" s="1114"/>
      <c r="J43" s="1114"/>
      <c r="K43" s="1114"/>
      <c r="L43" s="1114"/>
      <c r="M43" s="1114"/>
      <c r="N43" s="667"/>
      <c r="O43" s="668"/>
      <c r="P43" s="1115"/>
      <c r="Q43" s="667"/>
      <c r="R43" s="1261"/>
      <c r="S43" s="667"/>
      <c r="T43" s="803"/>
      <c r="U43" s="803"/>
      <c r="V43" s="803"/>
      <c r="W43" s="803"/>
      <c r="X43" s="803"/>
      <c r="Y43" s="803"/>
      <c r="Z43" s="803"/>
      <c r="AA43" s="803"/>
      <c r="AB43" s="803"/>
      <c r="AC43" s="1119"/>
      <c r="AD43" s="803"/>
      <c r="AE43" s="803"/>
      <c r="AF43" s="803"/>
      <c r="AG43" s="803"/>
      <c r="AH43" s="803"/>
      <c r="AI43" s="803"/>
      <c r="AJ43" s="803"/>
      <c r="AK43" s="803"/>
      <c r="AL43" s="803"/>
      <c r="AM43" s="803"/>
      <c r="AN43" s="803"/>
      <c r="AO43" s="1119"/>
      <c r="AP43" s="803"/>
      <c r="AQ43" s="803"/>
      <c r="AR43" s="803"/>
      <c r="AS43" s="803"/>
      <c r="AT43" s="803"/>
      <c r="AU43" s="803"/>
      <c r="AV43" s="803"/>
      <c r="AW43" s="803"/>
      <c r="AX43" s="803"/>
      <c r="AY43" s="803"/>
      <c r="AZ43" s="803"/>
      <c r="BA43" s="1119"/>
      <c r="BB43" s="803"/>
      <c r="BC43" s="803"/>
      <c r="BD43" s="803"/>
      <c r="BE43" s="803"/>
      <c r="BF43" s="803"/>
      <c r="BG43" s="803"/>
      <c r="BH43" s="803"/>
      <c r="BI43" s="803"/>
      <c r="BJ43" s="803"/>
      <c r="BK43" s="803"/>
      <c r="BL43" s="803"/>
      <c r="BM43" s="1119"/>
      <c r="BN43" s="803"/>
      <c r="BO43" s="803"/>
      <c r="BP43" s="803"/>
      <c r="BQ43" s="803"/>
      <c r="BR43" s="803"/>
      <c r="BS43" s="803"/>
      <c r="BT43" s="803"/>
      <c r="BU43" s="803"/>
      <c r="BV43" s="803"/>
      <c r="BW43" s="803"/>
      <c r="BX43" s="803"/>
      <c r="BY43" s="1119"/>
      <c r="BZ43" s="1113"/>
    </row>
    <row r="44" spans="2:78" s="1113" customFormat="1">
      <c r="B44" s="1120"/>
      <c r="C44" s="1121"/>
      <c r="D44" s="667"/>
      <c r="E44" s="667" t="s">
        <v>1402</v>
      </c>
      <c r="F44" s="667"/>
      <c r="G44" s="1121"/>
      <c r="I44" s="1945"/>
      <c r="J44" s="1114"/>
      <c r="K44" s="1114"/>
      <c r="L44" s="1114"/>
      <c r="M44" s="1114"/>
      <c r="N44" s="667"/>
      <c r="O44" s="668"/>
      <c r="P44" s="1115"/>
      <c r="Q44" s="667"/>
      <c r="R44" s="1268"/>
      <c r="S44" s="667"/>
      <c r="T44" s="803"/>
      <c r="U44" s="803"/>
      <c r="V44" s="803"/>
      <c r="W44" s="803"/>
      <c r="X44" s="803"/>
      <c r="Y44" s="803"/>
      <c r="Z44" s="803"/>
      <c r="AA44" s="803"/>
      <c r="AB44" s="803"/>
      <c r="AC44" s="1119"/>
      <c r="AD44" s="803"/>
      <c r="AE44" s="803"/>
      <c r="AF44" s="803"/>
      <c r="AG44" s="803"/>
      <c r="AH44" s="803"/>
      <c r="AI44" s="803"/>
      <c r="AJ44" s="803"/>
      <c r="AK44" s="803"/>
      <c r="AL44" s="803"/>
      <c r="AM44" s="803"/>
      <c r="AN44" s="803"/>
      <c r="AO44" s="1119"/>
      <c r="AP44" s="803"/>
      <c r="AQ44" s="803"/>
      <c r="AR44" s="803"/>
      <c r="AS44" s="803"/>
      <c r="AT44" s="803"/>
      <c r="AU44" s="803"/>
      <c r="AV44" s="803"/>
      <c r="AW44" s="803"/>
      <c r="AX44" s="803"/>
      <c r="AY44" s="803"/>
      <c r="AZ44" s="803"/>
      <c r="BA44" s="1119"/>
      <c r="BB44" s="803"/>
      <c r="BC44" s="803"/>
      <c r="BD44" s="803"/>
      <c r="BE44" s="803"/>
      <c r="BF44" s="803"/>
      <c r="BG44" s="803"/>
      <c r="BH44" s="803"/>
      <c r="BI44" s="803"/>
      <c r="BJ44" s="803"/>
      <c r="BK44" s="803"/>
      <c r="BL44" s="803"/>
      <c r="BM44" s="1119"/>
      <c r="BN44" s="803"/>
      <c r="BO44" s="803"/>
      <c r="BP44" s="803"/>
      <c r="BQ44" s="803"/>
      <c r="BR44" s="803"/>
      <c r="BS44" s="803"/>
      <c r="BT44" s="803"/>
      <c r="BU44" s="803"/>
      <c r="BV44" s="803"/>
      <c r="BW44" s="803"/>
      <c r="BX44" s="803"/>
      <c r="BY44" s="1119"/>
    </row>
    <row r="45" spans="2:78" s="1122" customFormat="1">
      <c r="B45" s="1123"/>
      <c r="D45" s="393"/>
      <c r="E45" s="393"/>
      <c r="F45" s="393" t="s">
        <v>3156</v>
      </c>
      <c r="G45" s="1124"/>
      <c r="H45" s="2087">
        <f>IF(Type="DeNovo", 0,'2.0 Patients'!$Q$33)</f>
        <v>0</v>
      </c>
      <c r="I45" s="1740">
        <f>AVERAGE(R45:AC45)</f>
        <v>1.0833333333333333</v>
      </c>
      <c r="J45" s="1740">
        <f>AVERAGE(AD45:AO45)</f>
        <v>3.625</v>
      </c>
      <c r="K45" s="1740">
        <f>AVERAGE(AP45:BA45)</f>
        <v>5.5416666666666643</v>
      </c>
      <c r="L45" s="1740">
        <f>AVERAGE(BB45:BM45)</f>
        <v>6.5416666666666599</v>
      </c>
      <c r="M45" s="1740">
        <f>AVERAGE(BN45:BY45)</f>
        <v>7.5416666666666581</v>
      </c>
      <c r="N45" s="393"/>
      <c r="O45" s="1123"/>
      <c r="P45" s="1126"/>
      <c r="Q45" s="393"/>
      <c r="R45" s="1262">
        <f>'2.0 Patients'!R86</f>
        <v>0.16666666666666666</v>
      </c>
      <c r="S45" s="1125">
        <f>'2.0 Patients'!S86</f>
        <v>0.33333333333333331</v>
      </c>
      <c r="T45" s="1125">
        <f>'2.0 Patients'!T86</f>
        <v>0.5</v>
      </c>
      <c r="U45" s="1125">
        <f>'2.0 Patients'!U86</f>
        <v>0.66666666666666663</v>
      </c>
      <c r="V45" s="1125">
        <f>'2.0 Patients'!V86</f>
        <v>0.83333333333333326</v>
      </c>
      <c r="W45" s="1125">
        <f>'2.0 Patients'!W86</f>
        <v>0.99999999999999989</v>
      </c>
      <c r="X45" s="1125">
        <f>'2.0 Patients'!X86</f>
        <v>1.1666666666666665</v>
      </c>
      <c r="Y45" s="1125">
        <f>'2.0 Patients'!Y86</f>
        <v>1.3333333333333333</v>
      </c>
      <c r="Z45" s="1125">
        <f>'2.0 Patients'!Z86</f>
        <v>1.5</v>
      </c>
      <c r="AA45" s="1125">
        <f>'2.0 Patients'!AA86</f>
        <v>1.6666666666666667</v>
      </c>
      <c r="AB45" s="1125">
        <f>'2.0 Patients'!AB86</f>
        <v>1.8333333333333335</v>
      </c>
      <c r="AC45" s="1127">
        <f>'2.0 Patients'!AC86</f>
        <v>2</v>
      </c>
      <c r="AD45" s="1125">
        <f>'2.0 Patients'!AD86</f>
        <v>2.25</v>
      </c>
      <c r="AE45" s="1125">
        <f>'2.0 Patients'!AE86</f>
        <v>2.5</v>
      </c>
      <c r="AF45" s="1125">
        <f>'2.0 Patients'!AF86</f>
        <v>2.75</v>
      </c>
      <c r="AG45" s="1125">
        <f>'2.0 Patients'!AG86</f>
        <v>3</v>
      </c>
      <c r="AH45" s="1125">
        <f>'2.0 Patients'!AH86</f>
        <v>3.25</v>
      </c>
      <c r="AI45" s="1125">
        <f>'2.0 Patients'!AI86</f>
        <v>3.5</v>
      </c>
      <c r="AJ45" s="1125">
        <f>'2.0 Patients'!AJ86</f>
        <v>3.75</v>
      </c>
      <c r="AK45" s="1125">
        <f>'2.0 Patients'!AK86</f>
        <v>4</v>
      </c>
      <c r="AL45" s="1125">
        <f>'2.0 Patients'!AL86</f>
        <v>4.25</v>
      </c>
      <c r="AM45" s="1125">
        <f>'2.0 Patients'!AM86</f>
        <v>4.5</v>
      </c>
      <c r="AN45" s="1125">
        <f>'2.0 Patients'!AN86</f>
        <v>4.75</v>
      </c>
      <c r="AO45" s="1127">
        <f>'2.0 Patients'!AO86</f>
        <v>5</v>
      </c>
      <c r="AP45" s="1125">
        <f>'2.0 Patients'!AP86</f>
        <v>5.083333333333333</v>
      </c>
      <c r="AQ45" s="1125">
        <f>'2.0 Patients'!AQ86</f>
        <v>5.1666666666666661</v>
      </c>
      <c r="AR45" s="1125">
        <f>'2.0 Patients'!AR86</f>
        <v>5.2499999999999991</v>
      </c>
      <c r="AS45" s="1125">
        <f>'2.0 Patients'!AS86</f>
        <v>5.3333333333333321</v>
      </c>
      <c r="AT45" s="1125">
        <f>'2.0 Patients'!AT86</f>
        <v>5.4166666666666652</v>
      </c>
      <c r="AU45" s="1125">
        <f>'2.0 Patients'!AU86</f>
        <v>5.4999999999999982</v>
      </c>
      <c r="AV45" s="1125">
        <f>'2.0 Patients'!AV86</f>
        <v>5.5833333333333313</v>
      </c>
      <c r="AW45" s="1125">
        <f>'2.0 Patients'!AW86</f>
        <v>5.6666666666666643</v>
      </c>
      <c r="AX45" s="1125">
        <f>'2.0 Patients'!AX86</f>
        <v>5.7499999999999973</v>
      </c>
      <c r="AY45" s="1125">
        <f>'2.0 Patients'!AY86</f>
        <v>5.8333333333333304</v>
      </c>
      <c r="AZ45" s="1125">
        <f>'2.0 Patients'!AZ86</f>
        <v>5.9166666666666634</v>
      </c>
      <c r="BA45" s="1127">
        <f>'2.0 Patients'!BA86</f>
        <v>5.9999999999999964</v>
      </c>
      <c r="BB45" s="1125">
        <f>'2.0 Patients'!BB86</f>
        <v>6.0833333333333295</v>
      </c>
      <c r="BC45" s="1125">
        <f>'2.0 Patients'!BC86</f>
        <v>6.1666666666666625</v>
      </c>
      <c r="BD45" s="1125">
        <f>'2.0 Patients'!BD86</f>
        <v>6.2499999999999956</v>
      </c>
      <c r="BE45" s="1125">
        <f>'2.0 Patients'!BE86</f>
        <v>6.3333333333333286</v>
      </c>
      <c r="BF45" s="1125">
        <f>'2.0 Patients'!BF86</f>
        <v>6.4166666666666616</v>
      </c>
      <c r="BG45" s="1125">
        <f>'2.0 Patients'!BG86</f>
        <v>6.4999999999999947</v>
      </c>
      <c r="BH45" s="1125">
        <f>'2.0 Patients'!BH86</f>
        <v>6.5833333333333277</v>
      </c>
      <c r="BI45" s="1125">
        <f>'2.0 Patients'!BI86</f>
        <v>6.6666666666666607</v>
      </c>
      <c r="BJ45" s="1125">
        <f>'2.0 Patients'!BJ86</f>
        <v>6.7499999999999938</v>
      </c>
      <c r="BK45" s="1125">
        <f>'2.0 Patients'!BK86</f>
        <v>6.8333333333333268</v>
      </c>
      <c r="BL45" s="1125">
        <f>'2.0 Patients'!BL86</f>
        <v>6.9166666666666599</v>
      </c>
      <c r="BM45" s="1127">
        <f>'2.0 Patients'!BM86</f>
        <v>6.9999999999999929</v>
      </c>
      <c r="BN45" s="1125">
        <f>'2.0 Patients'!BN86</f>
        <v>7.0833333333333259</v>
      </c>
      <c r="BO45" s="1125">
        <f>'2.0 Patients'!BO86</f>
        <v>7.166666666666659</v>
      </c>
      <c r="BP45" s="1125">
        <f>'2.0 Patients'!BP86</f>
        <v>7.249999999999992</v>
      </c>
      <c r="BQ45" s="1125">
        <f>'2.0 Patients'!BQ86</f>
        <v>7.333333333333325</v>
      </c>
      <c r="BR45" s="1125">
        <f>'2.0 Patients'!BR86</f>
        <v>7.4166666666666581</v>
      </c>
      <c r="BS45" s="1125">
        <f>'2.0 Patients'!BS86</f>
        <v>7.4999999999999911</v>
      </c>
      <c r="BT45" s="1125">
        <f>'2.0 Patients'!BT86</f>
        <v>7.5833333333333242</v>
      </c>
      <c r="BU45" s="1125">
        <f>'2.0 Patients'!BU86</f>
        <v>7.6666666666666572</v>
      </c>
      <c r="BV45" s="1125">
        <f>'2.0 Patients'!BV86</f>
        <v>7.7499999999999902</v>
      </c>
      <c r="BW45" s="1125">
        <f>'2.0 Patients'!BW86</f>
        <v>7.8333333333333233</v>
      </c>
      <c r="BX45" s="1125">
        <f>'2.0 Patients'!BX86</f>
        <v>7.9166666666666563</v>
      </c>
      <c r="BY45" s="1127">
        <f>'2.0 Patients'!BY86</f>
        <v>7.9999999999999893</v>
      </c>
    </row>
    <row r="46" spans="2:78" s="1129" customFormat="1" outlineLevel="1">
      <c r="B46" s="1130"/>
      <c r="D46" s="1131"/>
      <c r="E46" s="1131"/>
      <c r="F46" s="1131" t="s">
        <v>2474</v>
      </c>
      <c r="G46" s="1132"/>
      <c r="H46" s="1132"/>
      <c r="I46" s="1133">
        <f>'2.1 Reimburse'!H56</f>
        <v>3</v>
      </c>
      <c r="J46" s="1133">
        <f>'2.1 Reimburse'!I56</f>
        <v>3</v>
      </c>
      <c r="K46" s="1133">
        <f>'2.1 Reimburse'!J56</f>
        <v>3</v>
      </c>
      <c r="L46" s="1133">
        <f>'2.1 Reimburse'!K56</f>
        <v>3</v>
      </c>
      <c r="M46" s="1133">
        <f>'2.1 Reimburse'!L56</f>
        <v>3</v>
      </c>
      <c r="N46" s="1131"/>
      <c r="O46" s="1130"/>
      <c r="P46" s="1134"/>
      <c r="Q46" s="1131"/>
      <c r="R46" s="1263"/>
      <c r="S46" s="1135"/>
      <c r="AC46" s="1136"/>
      <c r="AO46" s="1136"/>
      <c r="BA46" s="1136"/>
      <c r="BM46" s="1136"/>
      <c r="BY46" s="1136"/>
    </row>
    <row r="47" spans="2:78" s="1137" customFormat="1" outlineLevel="1">
      <c r="B47" s="1138"/>
      <c r="D47" s="657"/>
      <c r="E47" s="657"/>
      <c r="F47" s="657" t="s">
        <v>1989</v>
      </c>
      <c r="G47" s="1139"/>
      <c r="H47" s="1139"/>
      <c r="I47" s="1140">
        <f>'2.1 Reimburse'!$J$7</f>
        <v>0</v>
      </c>
      <c r="J47" s="1140">
        <f>'2.1 Reimburse'!$J$7</f>
        <v>0</v>
      </c>
      <c r="K47" s="1140">
        <f>'2.1 Reimburse'!$J$7</f>
        <v>0</v>
      </c>
      <c r="L47" s="1140">
        <f>'2.1 Reimburse'!$J$7</f>
        <v>0</v>
      </c>
      <c r="M47" s="1140">
        <f>'2.1 Reimburse'!$J$7</f>
        <v>0</v>
      </c>
      <c r="N47" s="657"/>
      <c r="O47" s="1138"/>
      <c r="P47" s="1141"/>
      <c r="Q47" s="657"/>
      <c r="R47" s="1264"/>
      <c r="S47" s="661"/>
      <c r="AC47" s="1142"/>
      <c r="AO47" s="1142"/>
      <c r="BA47" s="1142"/>
      <c r="BM47" s="1142"/>
      <c r="BY47" s="1142"/>
    </row>
    <row r="48" spans="2:78" s="1124" customFormat="1">
      <c r="B48" s="1123"/>
      <c r="D48" s="393"/>
      <c r="E48" s="393"/>
      <c r="F48" s="393" t="s">
        <v>2475</v>
      </c>
      <c r="H48" s="1125"/>
      <c r="I48" s="1125">
        <f>SUM(R48:AC48)</f>
        <v>169</v>
      </c>
      <c r="J48" s="1125">
        <f>SUM(AD48:AO48)</f>
        <v>565.5</v>
      </c>
      <c r="K48" s="1125">
        <f>SUM(AP48:BA48)</f>
        <v>864.49999999999977</v>
      </c>
      <c r="L48" s="1125">
        <f>SUM(BB48:BM48)</f>
        <v>1020.4999999999992</v>
      </c>
      <c r="M48" s="1125">
        <f>SUM(BN48:BY48)</f>
        <v>1176.4999999999986</v>
      </c>
      <c r="N48" s="393"/>
      <c r="O48" s="1123"/>
      <c r="P48" s="1126"/>
      <c r="Q48" s="393"/>
      <c r="R48" s="1947">
        <f>R45*$I46*52*(1-$I47)/12</f>
        <v>2.1666666666666665</v>
      </c>
      <c r="S48" s="1126">
        <f t="shared" ref="S48:AC48" si="33">S45*$I46*52*(1-$I47)/12</f>
        <v>4.333333333333333</v>
      </c>
      <c r="T48" s="1126">
        <f t="shared" si="33"/>
        <v>6.5</v>
      </c>
      <c r="U48" s="1126">
        <f t="shared" si="33"/>
        <v>8.6666666666666661</v>
      </c>
      <c r="V48" s="1126">
        <f t="shared" si="33"/>
        <v>10.833333333333334</v>
      </c>
      <c r="W48" s="1126">
        <f t="shared" si="33"/>
        <v>12.999999999999998</v>
      </c>
      <c r="X48" s="1126">
        <f t="shared" si="33"/>
        <v>15.166666666666664</v>
      </c>
      <c r="Y48" s="1126">
        <f t="shared" si="33"/>
        <v>17.333333333333332</v>
      </c>
      <c r="Z48" s="1126">
        <f t="shared" si="33"/>
        <v>19.5</v>
      </c>
      <c r="AA48" s="1126">
        <f t="shared" si="33"/>
        <v>21.666666666666668</v>
      </c>
      <c r="AB48" s="1126">
        <f t="shared" si="33"/>
        <v>23.833333333333332</v>
      </c>
      <c r="AC48" s="1948">
        <f t="shared" si="33"/>
        <v>26</v>
      </c>
      <c r="AD48" s="1949">
        <f>AD45*$J46*52*(1-$J47)/12</f>
        <v>29.25</v>
      </c>
      <c r="AE48" s="1949">
        <f t="shared" ref="AE48:AO48" si="34">AE45*$J46*52*(1-$J47)/12</f>
        <v>32.5</v>
      </c>
      <c r="AF48" s="1949">
        <f t="shared" si="34"/>
        <v>35.75</v>
      </c>
      <c r="AG48" s="1949">
        <f t="shared" si="34"/>
        <v>39</v>
      </c>
      <c r="AH48" s="1949">
        <f t="shared" si="34"/>
        <v>42.25</v>
      </c>
      <c r="AI48" s="1949">
        <f t="shared" si="34"/>
        <v>45.5</v>
      </c>
      <c r="AJ48" s="1949">
        <f t="shared" si="34"/>
        <v>48.75</v>
      </c>
      <c r="AK48" s="1949">
        <f t="shared" si="34"/>
        <v>52</v>
      </c>
      <c r="AL48" s="1949">
        <f t="shared" si="34"/>
        <v>55.25</v>
      </c>
      <c r="AM48" s="1949">
        <f t="shared" si="34"/>
        <v>58.5</v>
      </c>
      <c r="AN48" s="1949">
        <f t="shared" si="34"/>
        <v>61.75</v>
      </c>
      <c r="AO48" s="1948">
        <f t="shared" si="34"/>
        <v>65</v>
      </c>
      <c r="AP48" s="1949">
        <f>AP45*$K46*52*(1-$K47)/12</f>
        <v>66.083333333333329</v>
      </c>
      <c r="AQ48" s="1949">
        <f t="shared" ref="AQ48:BA48" si="35">AQ45*$K46*52*(1-$K47)/12</f>
        <v>67.166666666666657</v>
      </c>
      <c r="AR48" s="1949">
        <f t="shared" si="35"/>
        <v>68.249999999999986</v>
      </c>
      <c r="AS48" s="1949">
        <f t="shared" si="35"/>
        <v>69.333333333333314</v>
      </c>
      <c r="AT48" s="1949">
        <f t="shared" si="35"/>
        <v>70.416666666666643</v>
      </c>
      <c r="AU48" s="1949">
        <f t="shared" si="35"/>
        <v>71.499999999999972</v>
      </c>
      <c r="AV48" s="1949">
        <f t="shared" si="35"/>
        <v>72.5833333333333</v>
      </c>
      <c r="AW48" s="1949">
        <f t="shared" si="35"/>
        <v>73.666666666666643</v>
      </c>
      <c r="AX48" s="1949">
        <f t="shared" si="35"/>
        <v>74.749999999999972</v>
      </c>
      <c r="AY48" s="1949">
        <f t="shared" si="35"/>
        <v>75.8333333333333</v>
      </c>
      <c r="AZ48" s="1949">
        <f t="shared" si="35"/>
        <v>76.916666666666615</v>
      </c>
      <c r="BA48" s="1948">
        <f t="shared" si="35"/>
        <v>77.999999999999957</v>
      </c>
      <c r="BB48" s="1949">
        <f>BB45*$L46*52*(1-$L47)/12</f>
        <v>79.083333333333286</v>
      </c>
      <c r="BC48" s="1949">
        <f t="shared" ref="BC48:BM48" si="36">BC45*$L46*52*(1-$L47)/12</f>
        <v>80.166666666666615</v>
      </c>
      <c r="BD48" s="1949">
        <f t="shared" si="36"/>
        <v>81.249999999999943</v>
      </c>
      <c r="BE48" s="1949">
        <f t="shared" si="36"/>
        <v>82.333333333333272</v>
      </c>
      <c r="BF48" s="1949">
        <f t="shared" si="36"/>
        <v>83.416666666666615</v>
      </c>
      <c r="BG48" s="1949">
        <f t="shared" si="36"/>
        <v>84.499999999999943</v>
      </c>
      <c r="BH48" s="1949">
        <f t="shared" si="36"/>
        <v>85.583333333333258</v>
      </c>
      <c r="BI48" s="1949">
        <f t="shared" si="36"/>
        <v>86.666666666666586</v>
      </c>
      <c r="BJ48" s="1949">
        <f t="shared" si="36"/>
        <v>87.749999999999929</v>
      </c>
      <c r="BK48" s="1949">
        <f t="shared" si="36"/>
        <v>88.833333333333243</v>
      </c>
      <c r="BL48" s="1949">
        <f t="shared" si="36"/>
        <v>89.916666666666572</v>
      </c>
      <c r="BM48" s="1948">
        <f t="shared" si="36"/>
        <v>90.999999999999901</v>
      </c>
      <c r="BN48" s="1949">
        <f>BN45*$M46*52*(1-$M47)/12</f>
        <v>92.083333333333243</v>
      </c>
      <c r="BO48" s="1949">
        <f t="shared" ref="BO48:BY48" si="37">BO45*$M46*52*(1-$M47)/12</f>
        <v>93.166666666666572</v>
      </c>
      <c r="BP48" s="1949">
        <f t="shared" si="37"/>
        <v>94.249999999999886</v>
      </c>
      <c r="BQ48" s="1949">
        <f t="shared" si="37"/>
        <v>95.333333333333215</v>
      </c>
      <c r="BR48" s="1949">
        <f t="shared" si="37"/>
        <v>96.416666666666558</v>
      </c>
      <c r="BS48" s="1949">
        <f t="shared" si="37"/>
        <v>97.499999999999886</v>
      </c>
      <c r="BT48" s="1949">
        <f t="shared" si="37"/>
        <v>98.583333333333215</v>
      </c>
      <c r="BU48" s="1949">
        <f t="shared" si="37"/>
        <v>99.666666666666558</v>
      </c>
      <c r="BV48" s="1949">
        <f t="shared" si="37"/>
        <v>100.74999999999989</v>
      </c>
      <c r="BW48" s="1949">
        <f t="shared" si="37"/>
        <v>101.83333333333321</v>
      </c>
      <c r="BX48" s="1949">
        <f t="shared" si="37"/>
        <v>102.91666666666653</v>
      </c>
      <c r="BY48" s="1948">
        <f t="shared" si="37"/>
        <v>103.99999999999987</v>
      </c>
      <c r="BZ48" s="1950">
        <f>ROUND(SUM(H48:M48)-SUM(Q48:BY48),0)</f>
        <v>0</v>
      </c>
    </row>
    <row r="49" spans="2:78" s="1150" customFormat="1">
      <c r="B49" s="1151"/>
      <c r="D49" s="1152"/>
      <c r="E49" s="1152"/>
      <c r="F49" s="1152" t="s">
        <v>9</v>
      </c>
      <c r="I49" s="1153">
        <f>'2.1 Reimburse'!H54</f>
        <v>260.41648221343871</v>
      </c>
      <c r="J49" s="1153">
        <f>'2.1 Reimburse'!I54</f>
        <v>259.76544100790511</v>
      </c>
      <c r="K49" s="1153">
        <f>'2.1 Reimburse'!J54</f>
        <v>259.76544100790511</v>
      </c>
      <c r="L49" s="1153">
        <f>'2.1 Reimburse'!K54</f>
        <v>259.76544100790511</v>
      </c>
      <c r="M49" s="1153">
        <f>'2.1 Reimburse'!L54</f>
        <v>264.96074982806323</v>
      </c>
      <c r="N49" s="1152"/>
      <c r="O49" s="1151"/>
      <c r="P49" s="1154"/>
      <c r="Q49" s="1154"/>
      <c r="R49" s="1266">
        <f>I49</f>
        <v>260.41648221343871</v>
      </c>
      <c r="S49" s="1257">
        <f>R49</f>
        <v>260.41648221343871</v>
      </c>
      <c r="T49" s="1258">
        <f t="shared" ref="T49:BY49" si="38">S49</f>
        <v>260.41648221343871</v>
      </c>
      <c r="U49" s="1258">
        <f t="shared" si="38"/>
        <v>260.41648221343871</v>
      </c>
      <c r="V49" s="1258">
        <f t="shared" si="38"/>
        <v>260.41648221343871</v>
      </c>
      <c r="W49" s="1258">
        <f t="shared" si="38"/>
        <v>260.41648221343871</v>
      </c>
      <c r="X49" s="1258">
        <f t="shared" si="38"/>
        <v>260.41648221343871</v>
      </c>
      <c r="Y49" s="1258">
        <f t="shared" si="38"/>
        <v>260.41648221343871</v>
      </c>
      <c r="Z49" s="1258">
        <f t="shared" si="38"/>
        <v>260.41648221343871</v>
      </c>
      <c r="AA49" s="1258">
        <f t="shared" si="38"/>
        <v>260.41648221343871</v>
      </c>
      <c r="AB49" s="1258">
        <f t="shared" si="38"/>
        <v>260.41648221343871</v>
      </c>
      <c r="AC49" s="1259">
        <f t="shared" si="38"/>
        <v>260.41648221343871</v>
      </c>
      <c r="AD49" s="1258">
        <f>J49</f>
        <v>259.76544100790511</v>
      </c>
      <c r="AE49" s="1258">
        <f t="shared" si="38"/>
        <v>259.76544100790511</v>
      </c>
      <c r="AF49" s="1258">
        <f t="shared" si="38"/>
        <v>259.76544100790511</v>
      </c>
      <c r="AG49" s="1258">
        <f t="shared" si="38"/>
        <v>259.76544100790511</v>
      </c>
      <c r="AH49" s="1258">
        <f t="shared" si="38"/>
        <v>259.76544100790511</v>
      </c>
      <c r="AI49" s="1258">
        <f t="shared" si="38"/>
        <v>259.76544100790511</v>
      </c>
      <c r="AJ49" s="1258">
        <f t="shared" si="38"/>
        <v>259.76544100790511</v>
      </c>
      <c r="AK49" s="1258">
        <f t="shared" si="38"/>
        <v>259.76544100790511</v>
      </c>
      <c r="AL49" s="1258">
        <f t="shared" si="38"/>
        <v>259.76544100790511</v>
      </c>
      <c r="AM49" s="1258">
        <f t="shared" si="38"/>
        <v>259.76544100790511</v>
      </c>
      <c r="AN49" s="1258">
        <f t="shared" si="38"/>
        <v>259.76544100790511</v>
      </c>
      <c r="AO49" s="1259">
        <f t="shared" si="38"/>
        <v>259.76544100790511</v>
      </c>
      <c r="AP49" s="1258">
        <f>K49</f>
        <v>259.76544100790511</v>
      </c>
      <c r="AQ49" s="1258">
        <f t="shared" si="38"/>
        <v>259.76544100790511</v>
      </c>
      <c r="AR49" s="1258">
        <f t="shared" si="38"/>
        <v>259.76544100790511</v>
      </c>
      <c r="AS49" s="1258">
        <f t="shared" si="38"/>
        <v>259.76544100790511</v>
      </c>
      <c r="AT49" s="1258">
        <f t="shared" si="38"/>
        <v>259.76544100790511</v>
      </c>
      <c r="AU49" s="1258">
        <f t="shared" si="38"/>
        <v>259.76544100790511</v>
      </c>
      <c r="AV49" s="1258">
        <f t="shared" si="38"/>
        <v>259.76544100790511</v>
      </c>
      <c r="AW49" s="1258">
        <f t="shared" si="38"/>
        <v>259.76544100790511</v>
      </c>
      <c r="AX49" s="1258">
        <f t="shared" si="38"/>
        <v>259.76544100790511</v>
      </c>
      <c r="AY49" s="1258">
        <f t="shared" si="38"/>
        <v>259.76544100790511</v>
      </c>
      <c r="AZ49" s="1258">
        <f t="shared" si="38"/>
        <v>259.76544100790511</v>
      </c>
      <c r="BA49" s="1259">
        <f t="shared" si="38"/>
        <v>259.76544100790511</v>
      </c>
      <c r="BB49" s="1258">
        <f>L49</f>
        <v>259.76544100790511</v>
      </c>
      <c r="BC49" s="1258">
        <f t="shared" si="38"/>
        <v>259.76544100790511</v>
      </c>
      <c r="BD49" s="1258">
        <f t="shared" si="38"/>
        <v>259.76544100790511</v>
      </c>
      <c r="BE49" s="1258">
        <f t="shared" si="38"/>
        <v>259.76544100790511</v>
      </c>
      <c r="BF49" s="1258">
        <f t="shared" si="38"/>
        <v>259.76544100790511</v>
      </c>
      <c r="BG49" s="1258">
        <f t="shared" si="38"/>
        <v>259.76544100790511</v>
      </c>
      <c r="BH49" s="1258">
        <f t="shared" si="38"/>
        <v>259.76544100790511</v>
      </c>
      <c r="BI49" s="1258">
        <f t="shared" si="38"/>
        <v>259.76544100790511</v>
      </c>
      <c r="BJ49" s="1258">
        <f t="shared" si="38"/>
        <v>259.76544100790511</v>
      </c>
      <c r="BK49" s="1258">
        <f t="shared" si="38"/>
        <v>259.76544100790511</v>
      </c>
      <c r="BL49" s="1258">
        <f t="shared" si="38"/>
        <v>259.76544100790511</v>
      </c>
      <c r="BM49" s="1259">
        <f t="shared" si="38"/>
        <v>259.76544100790511</v>
      </c>
      <c r="BN49" s="1258">
        <f>M49</f>
        <v>264.96074982806323</v>
      </c>
      <c r="BO49" s="1258">
        <f t="shared" si="38"/>
        <v>264.96074982806323</v>
      </c>
      <c r="BP49" s="1258">
        <f t="shared" si="38"/>
        <v>264.96074982806323</v>
      </c>
      <c r="BQ49" s="1258">
        <f t="shared" si="38"/>
        <v>264.96074982806323</v>
      </c>
      <c r="BR49" s="1258">
        <f t="shared" si="38"/>
        <v>264.96074982806323</v>
      </c>
      <c r="BS49" s="1258">
        <f t="shared" si="38"/>
        <v>264.96074982806323</v>
      </c>
      <c r="BT49" s="1258">
        <f t="shared" si="38"/>
        <v>264.96074982806323</v>
      </c>
      <c r="BU49" s="1258">
        <f t="shared" si="38"/>
        <v>264.96074982806323</v>
      </c>
      <c r="BV49" s="1258">
        <f t="shared" si="38"/>
        <v>264.96074982806323</v>
      </c>
      <c r="BW49" s="1258">
        <f t="shared" si="38"/>
        <v>264.96074982806323</v>
      </c>
      <c r="BX49" s="1258">
        <f t="shared" si="38"/>
        <v>264.96074982806323</v>
      </c>
      <c r="BY49" s="1259">
        <f t="shared" si="38"/>
        <v>264.96074982806323</v>
      </c>
    </row>
    <row r="50" spans="2:78" s="1144" customFormat="1">
      <c r="B50" s="367"/>
      <c r="C50" s="1113"/>
      <c r="D50" s="667"/>
      <c r="E50" s="667"/>
      <c r="F50" s="667" t="s">
        <v>2169</v>
      </c>
      <c r="G50" s="1113"/>
      <c r="I50" s="1858">
        <f>52*I46*I45*(1-I47)*I49-clawback*(52*(I46-3)*I45*(1-I47)*I49)</f>
        <v>44010.385494071139</v>
      </c>
      <c r="J50" s="1858">
        <f>52*J46*J45*(1-J47)*J49-clawback*(52*(J46-3)*J45*(1-J47)*J49)</f>
        <v>146897.35688997034</v>
      </c>
      <c r="K50" s="1858">
        <f>52*K46*K45*(1-K47)*K49-clawback*(52*(K46-3)*K45*(1-K47)*K49)</f>
        <v>224567.22375133389</v>
      </c>
      <c r="L50" s="1858">
        <f>52*L46*L45*(1-L47)*L49-clawback*(52*(L46-3)*L45*(1-L47)*L49)</f>
        <v>265090.63254856691</v>
      </c>
      <c r="M50" s="1858">
        <f>52*M46*M45*(1-M47)*M49-clawback*(52*(M46-3)*M45*(1-M47)*M49)</f>
        <v>311726.32217271603</v>
      </c>
      <c r="N50" s="368"/>
      <c r="O50" s="367"/>
      <c r="P50" s="1145"/>
      <c r="Q50" s="1145"/>
      <c r="R50" s="1951">
        <f t="shared" ref="R50:AC50" si="39">(52*$I46*R45*(1-$I47)*R49-clawback*(52*($I46-3)*R45*(1-$I47)*R49))/12</f>
        <v>564.23571146245058</v>
      </c>
      <c r="S50" s="1952">
        <f t="shared" si="39"/>
        <v>1128.4714229249012</v>
      </c>
      <c r="T50" s="1952">
        <f t="shared" si="39"/>
        <v>1692.7071343873515</v>
      </c>
      <c r="U50" s="1952">
        <f t="shared" si="39"/>
        <v>2256.9428458498023</v>
      </c>
      <c r="V50" s="1952">
        <f t="shared" si="39"/>
        <v>2821.1785573122525</v>
      </c>
      <c r="W50" s="1952">
        <f t="shared" si="39"/>
        <v>3385.4142687747026</v>
      </c>
      <c r="X50" s="1952">
        <f t="shared" si="39"/>
        <v>3949.6499802371532</v>
      </c>
      <c r="Y50" s="1952">
        <f t="shared" si="39"/>
        <v>4513.8856916996046</v>
      </c>
      <c r="Z50" s="1952">
        <f t="shared" si="39"/>
        <v>5078.1214031620548</v>
      </c>
      <c r="AA50" s="1952">
        <f t="shared" si="39"/>
        <v>5642.3571146245049</v>
      </c>
      <c r="AB50" s="1952">
        <f t="shared" si="39"/>
        <v>6206.5928260869559</v>
      </c>
      <c r="AC50" s="1953">
        <f t="shared" si="39"/>
        <v>6770.8285375494061</v>
      </c>
      <c r="AD50" s="1952">
        <f t="shared" ref="AD50:AO50" si="40">(52*$J46*AD45*(1-$J47)*AD49-clawback*(52*($J46-3)*AD45*(1-$J47)*AD49))/12</f>
        <v>7598.1391494812242</v>
      </c>
      <c r="AE50" s="1952">
        <f t="shared" si="40"/>
        <v>8442.376832756916</v>
      </c>
      <c r="AF50" s="1952">
        <f t="shared" si="40"/>
        <v>9286.6145160326068</v>
      </c>
      <c r="AG50" s="1952">
        <f t="shared" si="40"/>
        <v>10130.8521993083</v>
      </c>
      <c r="AH50" s="1952">
        <f t="shared" si="40"/>
        <v>10975.08988258399</v>
      </c>
      <c r="AI50" s="1952">
        <f t="shared" si="40"/>
        <v>11819.327565859683</v>
      </c>
      <c r="AJ50" s="1952">
        <f t="shared" si="40"/>
        <v>12663.565249135374</v>
      </c>
      <c r="AK50" s="1952">
        <f t="shared" si="40"/>
        <v>13507.802932411067</v>
      </c>
      <c r="AL50" s="1952">
        <f t="shared" si="40"/>
        <v>14352.040615686756</v>
      </c>
      <c r="AM50" s="1952">
        <f t="shared" si="40"/>
        <v>15196.278298962448</v>
      </c>
      <c r="AN50" s="1952">
        <f t="shared" si="40"/>
        <v>16040.515982238141</v>
      </c>
      <c r="AO50" s="1953">
        <f t="shared" si="40"/>
        <v>16884.753665513832</v>
      </c>
      <c r="AP50" s="1952">
        <f t="shared" ref="AP50:BA50" si="41">(52*$K46*AP45*(1-$K47)*AP49-clawback*(52*($K46-3)*AP45*(1-$K47)*AP49))/12</f>
        <v>17166.166226605728</v>
      </c>
      <c r="AQ50" s="1952">
        <f t="shared" si="41"/>
        <v>17447.578787697625</v>
      </c>
      <c r="AR50" s="1952">
        <f t="shared" si="41"/>
        <v>17728.991348789521</v>
      </c>
      <c r="AS50" s="1952">
        <f t="shared" si="41"/>
        <v>18010.403909881414</v>
      </c>
      <c r="AT50" s="1952">
        <f t="shared" si="41"/>
        <v>18291.816470973314</v>
      </c>
      <c r="AU50" s="1952">
        <f t="shared" si="41"/>
        <v>18573.22903206521</v>
      </c>
      <c r="AV50" s="1952">
        <f t="shared" si="41"/>
        <v>18854.641593157106</v>
      </c>
      <c r="AW50" s="1952">
        <f t="shared" si="41"/>
        <v>19136.054154249003</v>
      </c>
      <c r="AX50" s="1952">
        <f t="shared" si="41"/>
        <v>19417.466715340899</v>
      </c>
      <c r="AY50" s="1952">
        <f t="shared" si="41"/>
        <v>19698.879276432795</v>
      </c>
      <c r="AZ50" s="1952">
        <f t="shared" si="41"/>
        <v>19980.291837524692</v>
      </c>
      <c r="BA50" s="1953">
        <f t="shared" si="41"/>
        <v>20261.704398616585</v>
      </c>
      <c r="BB50" s="1952">
        <f t="shared" ref="BB50:BM50" si="42">(52*$L46*BB45*(1-$L47)*BB49-clawback*(52*($L46-3)*BB45*(1-$L47)*BB49))/12</f>
        <v>20543.116959708485</v>
      </c>
      <c r="BC50" s="1952">
        <f t="shared" si="42"/>
        <v>20824.529520800377</v>
      </c>
      <c r="BD50" s="1952">
        <f t="shared" si="42"/>
        <v>21105.942081892277</v>
      </c>
      <c r="BE50" s="1952">
        <f t="shared" si="42"/>
        <v>21387.354642984174</v>
      </c>
      <c r="BF50" s="1952">
        <f t="shared" si="42"/>
        <v>21668.767204076066</v>
      </c>
      <c r="BG50" s="1952">
        <f t="shared" si="42"/>
        <v>21950.179765167966</v>
      </c>
      <c r="BH50" s="1952">
        <f t="shared" si="42"/>
        <v>22231.592326259863</v>
      </c>
      <c r="BI50" s="1952">
        <f t="shared" si="42"/>
        <v>22513.004887351755</v>
      </c>
      <c r="BJ50" s="1952">
        <f t="shared" si="42"/>
        <v>22794.417448443652</v>
      </c>
      <c r="BK50" s="1952">
        <f t="shared" si="42"/>
        <v>23075.830009535552</v>
      </c>
      <c r="BL50" s="1952">
        <f t="shared" si="42"/>
        <v>23357.242570627441</v>
      </c>
      <c r="BM50" s="1953">
        <f t="shared" si="42"/>
        <v>23638.655131719341</v>
      </c>
      <c r="BN50" s="1952">
        <f t="shared" ref="BN50:BY50" si="43">(52*$M46*BN45*(1-$M47)*BN49-clawback*(52*($M46-3)*BN45*(1-$M47)*BN49))/12</f>
        <v>24398.469046667466</v>
      </c>
      <c r="BO50" s="1952">
        <f t="shared" si="43"/>
        <v>24685.509858981197</v>
      </c>
      <c r="BP50" s="1952">
        <f t="shared" si="43"/>
        <v>24972.550671294932</v>
      </c>
      <c r="BQ50" s="1952">
        <f t="shared" si="43"/>
        <v>25259.591483608663</v>
      </c>
      <c r="BR50" s="1952">
        <f t="shared" si="43"/>
        <v>25546.632295922402</v>
      </c>
      <c r="BS50" s="1952">
        <f t="shared" si="43"/>
        <v>25833.673108236137</v>
      </c>
      <c r="BT50" s="1952">
        <f t="shared" si="43"/>
        <v>26120.713920549868</v>
      </c>
      <c r="BU50" s="1952">
        <f t="shared" si="43"/>
        <v>26407.754732863603</v>
      </c>
      <c r="BV50" s="1952">
        <f t="shared" si="43"/>
        <v>26694.795545177334</v>
      </c>
      <c r="BW50" s="1952">
        <f t="shared" si="43"/>
        <v>26981.836357491073</v>
      </c>
      <c r="BX50" s="1952">
        <f t="shared" si="43"/>
        <v>27268.877169804808</v>
      </c>
      <c r="BY50" s="1953">
        <f t="shared" si="43"/>
        <v>27555.917982118539</v>
      </c>
      <c r="BZ50" s="1148">
        <f>ROUND(SUM(H50:M50)-SUM(Q50:BY50),0)</f>
        <v>0</v>
      </c>
    </row>
    <row r="51" spans="2:78" s="1149" customFormat="1">
      <c r="B51" s="367"/>
      <c r="C51" s="1113"/>
      <c r="D51" s="667"/>
      <c r="E51" s="667"/>
      <c r="F51" s="667" t="s">
        <v>1890</v>
      </c>
      <c r="G51" s="1113"/>
      <c r="H51" s="1144"/>
      <c r="I51" s="646">
        <f>SUM(R51:AC51)</f>
        <v>31032.964130434779</v>
      </c>
      <c r="J51" s="646">
        <f>SUM(AD51:AO51)</f>
        <v>126949.50860585473</v>
      </c>
      <c r="K51" s="646">
        <f>SUM(AP51:BA51)</f>
        <v>217250.49716294458</v>
      </c>
      <c r="L51" s="646">
        <f>SUM(BB51:BM51)</f>
        <v>258336.73108236142</v>
      </c>
      <c r="M51" s="646">
        <f>SUM(BN51:BY51)</f>
        <v>303897.4247231395</v>
      </c>
      <c r="N51" s="368"/>
      <c r="O51" s="367"/>
      <c r="P51" s="1145"/>
      <c r="Q51" s="368"/>
      <c r="R51" s="1268"/>
      <c r="S51" s="368"/>
      <c r="T51" s="1146">
        <f>IF(T$6&gt;SurveyDelay+2,R50,IF(T$6=SurveyDelay+2,SUM($R50:R50),0))</f>
        <v>0</v>
      </c>
      <c r="U51" s="1146">
        <f>IF(U$6&gt;SurveyDelay+2,S50,IF(U$6=SurveyDelay+2,SUM($R50:S50),0))</f>
        <v>0</v>
      </c>
      <c r="V51" s="1146">
        <f>IF(V$6&gt;SurveyDelay+2,T50,IF(V$6=SurveyDelay+2,SUM($R50:T50),0))</f>
        <v>0</v>
      </c>
      <c r="W51" s="1146">
        <f>IF(W$6&gt;SurveyDelay+2,U50,IF(W$6=SurveyDelay+2,SUM($R50:U50),0))</f>
        <v>0</v>
      </c>
      <c r="X51" s="1146">
        <f>IF(X$6&gt;SurveyDelay+2,V50,IF(X$6=SurveyDelay+2,SUM($R50:V50),0))</f>
        <v>0</v>
      </c>
      <c r="Y51" s="1146">
        <f>IF(Y$6&gt;SurveyDelay+2,W50,IF(Y$6=SurveyDelay+2,SUM($R50:W50),0))</f>
        <v>11848.949940711462</v>
      </c>
      <c r="Z51" s="1146">
        <f>IF(Z$6&gt;SurveyDelay+2,X50,IF(Z$6=SurveyDelay+2,SUM($R50:X50),0))</f>
        <v>3949.6499802371532</v>
      </c>
      <c r="AA51" s="1146">
        <f>IF(AA$6&gt;SurveyDelay+2,Y50,IF(AA$6=SurveyDelay+2,SUM($R50:Y50),0))</f>
        <v>4513.8856916996046</v>
      </c>
      <c r="AB51" s="1146">
        <f>IF(AB$6&gt;SurveyDelay+2,Z50,IF(AB$6=SurveyDelay+2,SUM($R50:Z50),0))</f>
        <v>5078.1214031620548</v>
      </c>
      <c r="AC51" s="1147">
        <f>IF(AC$6&gt;SurveyDelay+2,AA50,IF(AC$6=SurveyDelay+2,SUM($R50:AA50),0))</f>
        <v>5642.3571146245049</v>
      </c>
      <c r="AD51" s="1146">
        <f>IF(AD$6&gt;SurveyDelay+2,AB50,IF(AD$6=SurveyDelay+2,SUM($R50:AB50),0))</f>
        <v>6206.5928260869559</v>
      </c>
      <c r="AE51" s="1146">
        <f>IF(AE$6&gt;SurveyDelay+2,AC50,IF(AE$6=SurveyDelay+2,SUM($R50:AC50),0))</f>
        <v>6770.8285375494061</v>
      </c>
      <c r="AF51" s="1146">
        <f>IF(AF$6&gt;SurveyDelay+2,AD50,IF(AF$6=SurveyDelay+2,SUM($R50:AD50),0))</f>
        <v>7598.1391494812242</v>
      </c>
      <c r="AG51" s="1146">
        <f>IF(AG$6&gt;SurveyDelay+2,AE50,IF(AG$6=SurveyDelay+2,SUM($R50:AE50),0))</f>
        <v>8442.376832756916</v>
      </c>
      <c r="AH51" s="1146">
        <f>IF(AH$6&gt;SurveyDelay+2,AF50,IF(AH$6=SurveyDelay+2,SUM($R50:AF50),0))</f>
        <v>9286.6145160326068</v>
      </c>
      <c r="AI51" s="1146">
        <f>IF(AI$6&gt;SurveyDelay+2,AG50,IF(AI$6=SurveyDelay+2,SUM($R50:AG50),0))</f>
        <v>10130.8521993083</v>
      </c>
      <c r="AJ51" s="1146">
        <f>IF(AJ$6&gt;SurveyDelay+2,AH50,IF(AJ$6=SurveyDelay+2,SUM($R50:AH50),0))</f>
        <v>10975.08988258399</v>
      </c>
      <c r="AK51" s="1146">
        <f>IF(AK$6&gt;SurveyDelay+2,AI50,IF(AK$6=SurveyDelay+2,SUM($R50:AI50),0))</f>
        <v>11819.327565859683</v>
      </c>
      <c r="AL51" s="1146">
        <f>IF(AL$6&gt;SurveyDelay+2,AJ50,IF(AL$6=SurveyDelay+2,SUM($R50:AJ50),0))</f>
        <v>12663.565249135374</v>
      </c>
      <c r="AM51" s="1146">
        <f>IF(AM$6&gt;SurveyDelay+2,AK50,IF(AM$6=SurveyDelay+2,SUM($R50:AK50),0))</f>
        <v>13507.802932411067</v>
      </c>
      <c r="AN51" s="1146">
        <f>IF(AN$6&gt;SurveyDelay+2,AL50,IF(AN$6=SurveyDelay+2,SUM($R50:AL50),0))</f>
        <v>14352.040615686756</v>
      </c>
      <c r="AO51" s="1147">
        <f>IF(AO$6&gt;SurveyDelay+2,AM50,IF(AO$6=SurveyDelay+2,SUM($R50:AM50),0))</f>
        <v>15196.278298962448</v>
      </c>
      <c r="AP51" s="1146">
        <f>IF(AP$6&gt;SurveyDelay+2,AN50,IF(AP$6=SurveyDelay+2,SUM($R50:AN50),0))</f>
        <v>16040.515982238141</v>
      </c>
      <c r="AQ51" s="1146">
        <f>IF(AQ$6&gt;SurveyDelay+2,AO50,IF(AQ$6=SurveyDelay+2,SUM($R50:AO50),0))</f>
        <v>16884.753665513832</v>
      </c>
      <c r="AR51" s="1146">
        <f>IF(AR$6&gt;SurveyDelay+2,AP50,IF(AR$6=SurveyDelay+2,SUM($R50:AP50),0))</f>
        <v>17166.166226605728</v>
      </c>
      <c r="AS51" s="1146">
        <f>IF(AS$6&gt;SurveyDelay+2,AQ50,IF(AS$6=SurveyDelay+2,SUM($R50:AQ50),0))</f>
        <v>17447.578787697625</v>
      </c>
      <c r="AT51" s="1146">
        <f>IF(AT$6&gt;SurveyDelay+2,AR50,IF(AT$6=SurveyDelay+2,SUM($R50:AR50),0))</f>
        <v>17728.991348789521</v>
      </c>
      <c r="AU51" s="1146">
        <f>IF(AU$6&gt;SurveyDelay+2,AS50,IF(AU$6=SurveyDelay+2,SUM($R50:AS50),0))</f>
        <v>18010.403909881414</v>
      </c>
      <c r="AV51" s="1146">
        <f>IF(AV$6&gt;SurveyDelay+2,AT50,IF(AV$6=SurveyDelay+2,SUM($R50:AT50),0))</f>
        <v>18291.816470973314</v>
      </c>
      <c r="AW51" s="1146">
        <f>IF(AW$6&gt;SurveyDelay+2,AU50,IF(AW$6=SurveyDelay+2,SUM($R50:AU50),0))</f>
        <v>18573.22903206521</v>
      </c>
      <c r="AX51" s="1146">
        <f>IF(AX$6&gt;SurveyDelay+2,AV50,IF(AX$6=SurveyDelay+2,SUM($R50:AV50),0))</f>
        <v>18854.641593157106</v>
      </c>
      <c r="AY51" s="1146">
        <f>IF(AY$6&gt;SurveyDelay+2,AW50,IF(AY$6=SurveyDelay+2,SUM($R50:AW50),0))</f>
        <v>19136.054154249003</v>
      </c>
      <c r="AZ51" s="1146">
        <f>IF(AZ$6&gt;SurveyDelay+2,AX50,IF(AZ$6=SurveyDelay+2,SUM($R50:AX50),0))</f>
        <v>19417.466715340899</v>
      </c>
      <c r="BA51" s="1147">
        <f>IF(BA$6&gt;SurveyDelay+2,AY50,IF(BA$6=SurveyDelay+2,SUM($R50:AY50),0))</f>
        <v>19698.879276432795</v>
      </c>
      <c r="BB51" s="1146">
        <f>IF(BB$6&gt;SurveyDelay+2,AZ50,IF(BB$6=SurveyDelay+2,SUM($R50:AZ50),0))</f>
        <v>19980.291837524692</v>
      </c>
      <c r="BC51" s="1146">
        <f>IF(BC$6&gt;SurveyDelay+2,BA50,IF(BC$6=SurveyDelay+2,SUM($R50:BA50),0))</f>
        <v>20261.704398616585</v>
      </c>
      <c r="BD51" s="1146">
        <f>IF(BD$6&gt;SurveyDelay+2,BB50,IF(BD$6=SurveyDelay+2,SUM($R50:BB50),0))</f>
        <v>20543.116959708485</v>
      </c>
      <c r="BE51" s="1146">
        <f>IF(BE$6&gt;SurveyDelay+2,BC50,IF(BE$6=SurveyDelay+2,SUM($R50:BC50),0))</f>
        <v>20824.529520800377</v>
      </c>
      <c r="BF51" s="1146">
        <f>IF(BF$6&gt;SurveyDelay+2,BD50,IF(BF$6=SurveyDelay+2,SUM($R50:BD50),0))</f>
        <v>21105.942081892277</v>
      </c>
      <c r="BG51" s="1146">
        <f>IF(BG$6&gt;SurveyDelay+2,BE50,IF(BG$6=SurveyDelay+2,SUM($R50:BE50),0))</f>
        <v>21387.354642984174</v>
      </c>
      <c r="BH51" s="1146">
        <f>IF(BH$6&gt;SurveyDelay+2,BF50,IF(BH$6=SurveyDelay+2,SUM($R50:BF50),0))</f>
        <v>21668.767204076066</v>
      </c>
      <c r="BI51" s="1146">
        <f>IF(BI$6&gt;SurveyDelay+2,BG50,IF(BI$6=SurveyDelay+2,SUM($R50:BG50),0))</f>
        <v>21950.179765167966</v>
      </c>
      <c r="BJ51" s="1146">
        <f>IF(BJ$6&gt;SurveyDelay+2,BH50,IF(BJ$6=SurveyDelay+2,SUM($R50:BH50),0))</f>
        <v>22231.592326259863</v>
      </c>
      <c r="BK51" s="1146">
        <f>IF(BK$6&gt;SurveyDelay+2,BI50,IF(BK$6=SurveyDelay+2,SUM($R50:BI50),0))</f>
        <v>22513.004887351755</v>
      </c>
      <c r="BL51" s="1146">
        <f>IF(BL$6&gt;SurveyDelay+2,BJ50,IF(BL$6=SurveyDelay+2,SUM($R50:BJ50),0))</f>
        <v>22794.417448443652</v>
      </c>
      <c r="BM51" s="1147">
        <f>IF(BM$6&gt;SurveyDelay+2,BK50,IF(BM$6=SurveyDelay+2,SUM($R50:BK50),0))</f>
        <v>23075.830009535552</v>
      </c>
      <c r="BN51" s="1146">
        <f>IF(BN$6&gt;SurveyDelay+2,BL50,IF(BN$6=SurveyDelay+2,SUM($R50:BL50),0))</f>
        <v>23357.242570627441</v>
      </c>
      <c r="BO51" s="1146">
        <f>IF(BO$6&gt;SurveyDelay+2,BM50,IF(BO$6=SurveyDelay+2,SUM($R50:BM50),0))</f>
        <v>23638.655131719341</v>
      </c>
      <c r="BP51" s="1146">
        <f>IF(BP$6&gt;SurveyDelay+2,BN50,IF(BP$6=SurveyDelay+2,SUM($R50:BN50),0))</f>
        <v>24398.469046667466</v>
      </c>
      <c r="BQ51" s="1146">
        <f>IF(BQ$6&gt;SurveyDelay+2,BO50,IF(BQ$6=SurveyDelay+2,SUM($R50:BO50),0))</f>
        <v>24685.509858981197</v>
      </c>
      <c r="BR51" s="1146">
        <f>IF(BR$6&gt;SurveyDelay+2,BP50,IF(BR$6=SurveyDelay+2,SUM($R50:BP50),0))</f>
        <v>24972.550671294932</v>
      </c>
      <c r="BS51" s="1146">
        <f>IF(BS$6&gt;SurveyDelay+2,BQ50,IF(BS$6=SurveyDelay+2,SUM($R50:BQ50),0))</f>
        <v>25259.591483608663</v>
      </c>
      <c r="BT51" s="1146">
        <f>IF(BT$6&gt;SurveyDelay+2,BR50,IF(BT$6=SurveyDelay+2,SUM($R50:BR50),0))</f>
        <v>25546.632295922402</v>
      </c>
      <c r="BU51" s="1146">
        <f>IF(BU$6&gt;SurveyDelay+2,BS50,IF(BU$6=SurveyDelay+2,SUM($R50:BS50),0))</f>
        <v>25833.673108236137</v>
      </c>
      <c r="BV51" s="1146">
        <f>IF(BV$6&gt;SurveyDelay+2,BT50,IF(BV$6=SurveyDelay+2,SUM($R50:BT50),0))</f>
        <v>26120.713920549868</v>
      </c>
      <c r="BW51" s="1146">
        <f>IF(BW$6&gt;SurveyDelay+2,BU50,IF(BW$6=SurveyDelay+2,SUM($R50:BU50),0))</f>
        <v>26407.754732863603</v>
      </c>
      <c r="BX51" s="1146">
        <f>IF(BX$6&gt;SurveyDelay+2,BV50,IF(BX$6=SurveyDelay+2,SUM($R50:BV50),0))</f>
        <v>26694.795545177334</v>
      </c>
      <c r="BY51" s="1147">
        <f>IF(BY$6&gt;SurveyDelay+2,BW50,IF(BY$6=SurveyDelay+2,SUM($R50:BW50),0))</f>
        <v>26981.836357491073</v>
      </c>
      <c r="BZ51" s="1148">
        <f>ROUND(SUM(H51:M51)-SUM(Q51:BY51),0)</f>
        <v>0</v>
      </c>
    </row>
    <row r="52" spans="2:78" s="1121" customFormat="1">
      <c r="B52" s="668"/>
      <c r="C52" s="1113"/>
      <c r="D52" s="667"/>
      <c r="E52" s="667"/>
      <c r="F52" s="667"/>
      <c r="G52" s="1113"/>
      <c r="H52" s="1113"/>
      <c r="I52" s="1114"/>
      <c r="J52" s="1114"/>
      <c r="K52" s="1114"/>
      <c r="L52" s="1114"/>
      <c r="M52" s="1114"/>
      <c r="N52" s="667"/>
      <c r="O52" s="668"/>
      <c r="P52" s="1115"/>
      <c r="Q52" s="667"/>
      <c r="R52" s="1859"/>
      <c r="S52" s="1146"/>
      <c r="T52" s="1146"/>
      <c r="U52" s="1146"/>
      <c r="V52" s="1146"/>
      <c r="W52" s="1146"/>
      <c r="X52" s="1146"/>
      <c r="Y52" s="1146"/>
      <c r="Z52" s="1146"/>
      <c r="AA52" s="1146"/>
      <c r="AB52" s="1146"/>
      <c r="AC52" s="1147"/>
      <c r="AD52" s="1146"/>
      <c r="AE52" s="1146"/>
      <c r="AF52" s="1146"/>
      <c r="AG52" s="1146"/>
      <c r="AH52" s="1146"/>
      <c r="AI52" s="1146"/>
      <c r="AJ52" s="1146"/>
      <c r="AK52" s="1146"/>
      <c r="AL52" s="1146"/>
      <c r="AM52" s="1146"/>
      <c r="AN52" s="1146"/>
      <c r="AO52" s="1147"/>
      <c r="AP52" s="1146"/>
      <c r="AQ52" s="1146"/>
      <c r="AR52" s="1146"/>
      <c r="AS52" s="1146"/>
      <c r="AT52" s="1146"/>
      <c r="AU52" s="1146"/>
      <c r="AV52" s="1146"/>
      <c r="AW52" s="1146"/>
      <c r="AX52" s="1146"/>
      <c r="AY52" s="1146"/>
      <c r="AZ52" s="1146"/>
      <c r="BA52" s="1147"/>
      <c r="BB52" s="1146"/>
      <c r="BC52" s="1146"/>
      <c r="BD52" s="1146"/>
      <c r="BE52" s="1146"/>
      <c r="BF52" s="1146"/>
      <c r="BG52" s="1146"/>
      <c r="BH52" s="1146"/>
      <c r="BI52" s="1146"/>
      <c r="BJ52" s="1146"/>
      <c r="BK52" s="1146"/>
      <c r="BL52" s="1146"/>
      <c r="BM52" s="1147"/>
      <c r="BN52" s="1146"/>
      <c r="BO52" s="1146"/>
      <c r="BP52" s="1146"/>
      <c r="BQ52" s="1146"/>
      <c r="BR52" s="1146"/>
      <c r="BS52" s="1146"/>
      <c r="BT52" s="1146"/>
      <c r="BU52" s="1146"/>
      <c r="BV52" s="1146"/>
      <c r="BW52" s="1146"/>
      <c r="BX52" s="1146"/>
      <c r="BY52" s="1147"/>
      <c r="BZ52" s="1113"/>
    </row>
    <row r="53" spans="2:78" s="1122" customFormat="1">
      <c r="B53" s="1123"/>
      <c r="D53" s="393"/>
      <c r="E53" s="393"/>
      <c r="F53" s="393" t="s">
        <v>4118</v>
      </c>
      <c r="G53" s="1124"/>
      <c r="H53" s="2087">
        <f>IF(Type="DeNovo", 0,'2.0 Patients'!$Q$35)</f>
        <v>0</v>
      </c>
      <c r="I53" s="1740">
        <f>AVERAGE(R53:AC53)</f>
        <v>1</v>
      </c>
      <c r="J53" s="1740">
        <f>AVERAGE(AD53:AO53)</f>
        <v>1</v>
      </c>
      <c r="K53" s="1740">
        <f>AVERAGE(AP53:BA53)</f>
        <v>1.5416666666666661</v>
      </c>
      <c r="L53" s="1740">
        <f>AVERAGE(BB53:BM53)</f>
        <v>1.9999999999999998</v>
      </c>
      <c r="M53" s="1740">
        <f>AVERAGE(BN53:BY53)</f>
        <v>1.9999999999999998</v>
      </c>
      <c r="N53" s="393"/>
      <c r="O53" s="1123"/>
      <c r="P53" s="1126"/>
      <c r="Q53" s="393"/>
      <c r="R53" s="1262">
        <f>'2.0 Patients'!R88</f>
        <v>1</v>
      </c>
      <c r="S53" s="1125">
        <f>'2.0 Patients'!S88</f>
        <v>1</v>
      </c>
      <c r="T53" s="1125">
        <f>'2.0 Patients'!T88</f>
        <v>1</v>
      </c>
      <c r="U53" s="1125">
        <f>'2.0 Patients'!U88</f>
        <v>1</v>
      </c>
      <c r="V53" s="1125">
        <f>'2.0 Patients'!V88</f>
        <v>1</v>
      </c>
      <c r="W53" s="1125">
        <f>'2.0 Patients'!W88</f>
        <v>1</v>
      </c>
      <c r="X53" s="1125">
        <f>'2.0 Patients'!X88</f>
        <v>1</v>
      </c>
      <c r="Y53" s="1125">
        <f>'2.0 Patients'!Y88</f>
        <v>1</v>
      </c>
      <c r="Z53" s="1125">
        <f>'2.0 Patients'!Z88</f>
        <v>1</v>
      </c>
      <c r="AA53" s="1125">
        <f>'2.0 Patients'!AA88</f>
        <v>1</v>
      </c>
      <c r="AB53" s="1125">
        <f>'2.0 Patients'!AB88</f>
        <v>1</v>
      </c>
      <c r="AC53" s="1127">
        <f>'2.0 Patients'!AC88</f>
        <v>1</v>
      </c>
      <c r="AD53" s="1125">
        <f>'2.0 Patients'!AD88</f>
        <v>1</v>
      </c>
      <c r="AE53" s="1125">
        <f>'2.0 Patients'!AE88</f>
        <v>1</v>
      </c>
      <c r="AF53" s="1125">
        <f>'2.0 Patients'!AF88</f>
        <v>1</v>
      </c>
      <c r="AG53" s="1125">
        <f>'2.0 Patients'!AG88</f>
        <v>1</v>
      </c>
      <c r="AH53" s="1125">
        <f>'2.0 Patients'!AH88</f>
        <v>1</v>
      </c>
      <c r="AI53" s="1125">
        <f>'2.0 Patients'!AI88</f>
        <v>1</v>
      </c>
      <c r="AJ53" s="1125">
        <f>'2.0 Patients'!AJ88</f>
        <v>1</v>
      </c>
      <c r="AK53" s="1125">
        <f>'2.0 Patients'!AK88</f>
        <v>1</v>
      </c>
      <c r="AL53" s="1125">
        <f>'2.0 Patients'!AL88</f>
        <v>1</v>
      </c>
      <c r="AM53" s="1125">
        <f>'2.0 Patients'!AM88</f>
        <v>1</v>
      </c>
      <c r="AN53" s="1125">
        <f>'2.0 Patients'!AN88</f>
        <v>1</v>
      </c>
      <c r="AO53" s="1127">
        <f>'2.0 Patients'!AO88</f>
        <v>1</v>
      </c>
      <c r="AP53" s="1125">
        <f>'2.0 Patients'!AP88</f>
        <v>1.0833333333333333</v>
      </c>
      <c r="AQ53" s="1125">
        <f>'2.0 Patients'!AQ88</f>
        <v>1.1666666666666665</v>
      </c>
      <c r="AR53" s="1125">
        <f>'2.0 Patients'!AR88</f>
        <v>1.2499999999999998</v>
      </c>
      <c r="AS53" s="1125">
        <f>'2.0 Patients'!AS88</f>
        <v>1.333333333333333</v>
      </c>
      <c r="AT53" s="1125">
        <f>'2.0 Patients'!AT88</f>
        <v>1.4166666666666663</v>
      </c>
      <c r="AU53" s="1125">
        <f>'2.0 Patients'!AU88</f>
        <v>1.4999999999999996</v>
      </c>
      <c r="AV53" s="1125">
        <f>'2.0 Patients'!AV88</f>
        <v>1.5833333333333328</v>
      </c>
      <c r="AW53" s="1125">
        <f>'2.0 Patients'!AW88</f>
        <v>1.6666666666666661</v>
      </c>
      <c r="AX53" s="1125">
        <f>'2.0 Patients'!AX88</f>
        <v>1.7499999999999993</v>
      </c>
      <c r="AY53" s="1125">
        <f>'2.0 Patients'!AY88</f>
        <v>1.8333333333333326</v>
      </c>
      <c r="AZ53" s="1125">
        <f>'2.0 Patients'!AZ88</f>
        <v>1.9166666666666659</v>
      </c>
      <c r="BA53" s="1127">
        <f>'2.0 Patients'!BA88</f>
        <v>1.9999999999999991</v>
      </c>
      <c r="BB53" s="1125">
        <f>'2.0 Patients'!BB88</f>
        <v>1.9999999999999991</v>
      </c>
      <c r="BC53" s="1125">
        <f>'2.0 Patients'!BC88</f>
        <v>1.9999999999999991</v>
      </c>
      <c r="BD53" s="1125">
        <f>'2.0 Patients'!BD88</f>
        <v>1.9999999999999991</v>
      </c>
      <c r="BE53" s="1125">
        <f>'2.0 Patients'!BE88</f>
        <v>1.9999999999999991</v>
      </c>
      <c r="BF53" s="1125">
        <f>'2.0 Patients'!BF88</f>
        <v>1.9999999999999991</v>
      </c>
      <c r="BG53" s="1125">
        <f>'2.0 Patients'!BG88</f>
        <v>1.9999999999999991</v>
      </c>
      <c r="BH53" s="1125">
        <f>'2.0 Patients'!BH88</f>
        <v>1.9999999999999991</v>
      </c>
      <c r="BI53" s="1125">
        <f>'2.0 Patients'!BI88</f>
        <v>1.9999999999999991</v>
      </c>
      <c r="BJ53" s="1125">
        <f>'2.0 Patients'!BJ88</f>
        <v>1.9999999999999991</v>
      </c>
      <c r="BK53" s="1125">
        <f>'2.0 Patients'!BK88</f>
        <v>1.9999999999999991</v>
      </c>
      <c r="BL53" s="1125">
        <f>'2.0 Patients'!BL88</f>
        <v>1.9999999999999991</v>
      </c>
      <c r="BM53" s="1127">
        <f>'2.0 Patients'!BM88</f>
        <v>1.9999999999999991</v>
      </c>
      <c r="BN53" s="1125">
        <f>'2.0 Patients'!BN88</f>
        <v>1.9999999999999991</v>
      </c>
      <c r="BO53" s="1125">
        <f>'2.0 Patients'!BO88</f>
        <v>1.9999999999999991</v>
      </c>
      <c r="BP53" s="1125">
        <f>'2.0 Patients'!BP88</f>
        <v>1.9999999999999991</v>
      </c>
      <c r="BQ53" s="1125">
        <f>'2.0 Patients'!BQ88</f>
        <v>1.9999999999999991</v>
      </c>
      <c r="BR53" s="1125">
        <f>'2.0 Patients'!BR88</f>
        <v>1.9999999999999991</v>
      </c>
      <c r="BS53" s="1125">
        <f>'2.0 Patients'!BS88</f>
        <v>1.9999999999999991</v>
      </c>
      <c r="BT53" s="1125">
        <f>'2.0 Patients'!BT88</f>
        <v>1.9999999999999991</v>
      </c>
      <c r="BU53" s="1125">
        <f>'2.0 Patients'!BU88</f>
        <v>1.9999999999999991</v>
      </c>
      <c r="BV53" s="1125">
        <f>'2.0 Patients'!BV88</f>
        <v>1.9999999999999991</v>
      </c>
      <c r="BW53" s="1125">
        <f>'2.0 Patients'!BW88</f>
        <v>1.9999999999999991</v>
      </c>
      <c r="BX53" s="1125">
        <f>'2.0 Patients'!BX88</f>
        <v>1.9999999999999991</v>
      </c>
      <c r="BY53" s="1127">
        <f>'2.0 Patients'!BY88</f>
        <v>1.9999999999999991</v>
      </c>
    </row>
    <row r="54" spans="2:78" s="1129" customFormat="1" outlineLevel="1">
      <c r="B54" s="1130"/>
      <c r="D54" s="1131"/>
      <c r="E54" s="1131"/>
      <c r="F54" s="1131" t="s">
        <v>2474</v>
      </c>
      <c r="G54" s="1132"/>
      <c r="H54" s="1132"/>
      <c r="I54" s="1133">
        <f>'2.1 Reimburse'!H58</f>
        <v>4.3</v>
      </c>
      <c r="J54" s="1133">
        <f>'2.1 Reimburse'!I58</f>
        <v>4.3</v>
      </c>
      <c r="K54" s="1133">
        <f>'2.1 Reimburse'!J58</f>
        <v>4.3</v>
      </c>
      <c r="L54" s="1133">
        <f>'2.1 Reimburse'!K58</f>
        <v>4.3</v>
      </c>
      <c r="M54" s="1133">
        <f>'2.1 Reimburse'!L58</f>
        <v>4.3</v>
      </c>
      <c r="N54" s="1131"/>
      <c r="O54" s="1130"/>
      <c r="P54" s="1134"/>
      <c r="Q54" s="1131"/>
      <c r="R54" s="1263"/>
      <c r="S54" s="1135"/>
      <c r="AC54" s="1136"/>
      <c r="AO54" s="1136"/>
      <c r="BA54" s="1136"/>
      <c r="BM54" s="1136"/>
      <c r="BY54" s="1136"/>
    </row>
    <row r="55" spans="2:78" s="1137" customFormat="1" outlineLevel="1">
      <c r="B55" s="1138"/>
      <c r="D55" s="657"/>
      <c r="E55" s="657"/>
      <c r="F55" s="657" t="s">
        <v>1989</v>
      </c>
      <c r="G55" s="1139"/>
      <c r="H55" s="1139"/>
      <c r="I55" s="1140">
        <f>'2.1 Reimburse'!$J$7</f>
        <v>0</v>
      </c>
      <c r="J55" s="1140">
        <f>'2.1 Reimburse'!$J$7</f>
        <v>0</v>
      </c>
      <c r="K55" s="1140">
        <f>'2.1 Reimburse'!$J$7</f>
        <v>0</v>
      </c>
      <c r="L55" s="1140">
        <f>'2.1 Reimburse'!$J$7</f>
        <v>0</v>
      </c>
      <c r="M55" s="1140">
        <f>'2.1 Reimburse'!$J$7</f>
        <v>0</v>
      </c>
      <c r="N55" s="657"/>
      <c r="O55" s="1138"/>
      <c r="P55" s="1141"/>
      <c r="Q55" s="657"/>
      <c r="R55" s="1264"/>
      <c r="S55" s="661"/>
      <c r="AC55" s="1142"/>
      <c r="AO55" s="1142"/>
      <c r="BA55" s="1142"/>
      <c r="BM55" s="1142"/>
      <c r="BY55" s="1142"/>
    </row>
    <row r="56" spans="2:78" s="1124" customFormat="1">
      <c r="B56" s="1123"/>
      <c r="D56" s="393"/>
      <c r="E56" s="393"/>
      <c r="F56" s="393" t="s">
        <v>2475</v>
      </c>
      <c r="H56" s="1125"/>
      <c r="I56" s="1125">
        <f>SUM(R56:AC56)</f>
        <v>223.59999999999994</v>
      </c>
      <c r="J56" s="1125">
        <f>SUM(AD56:AO56)</f>
        <v>223.59999999999994</v>
      </c>
      <c r="K56" s="1125">
        <f>SUM(AP56:BA56)</f>
        <v>344.71666666666658</v>
      </c>
      <c r="L56" s="1125">
        <f>SUM(BB56:BM56)</f>
        <v>447.19999999999982</v>
      </c>
      <c r="M56" s="1125">
        <f>SUM(BN56:BY56)</f>
        <v>447.19999999999982</v>
      </c>
      <c r="N56" s="393"/>
      <c r="O56" s="1123"/>
      <c r="P56" s="1126"/>
      <c r="Q56" s="393"/>
      <c r="R56" s="1947">
        <f>R53*$I54*52*(1-$I55)/12</f>
        <v>18.633333333333333</v>
      </c>
      <c r="S56" s="1126">
        <f t="shared" ref="S56:AC56" si="44">S53*$I54*52*(1-$I55)/12</f>
        <v>18.633333333333333</v>
      </c>
      <c r="T56" s="1949">
        <f t="shared" si="44"/>
        <v>18.633333333333333</v>
      </c>
      <c r="U56" s="1949">
        <f t="shared" si="44"/>
        <v>18.633333333333333</v>
      </c>
      <c r="V56" s="1949">
        <f t="shared" si="44"/>
        <v>18.633333333333333</v>
      </c>
      <c r="W56" s="1949">
        <f t="shared" si="44"/>
        <v>18.633333333333333</v>
      </c>
      <c r="X56" s="1949">
        <f t="shared" si="44"/>
        <v>18.633333333333333</v>
      </c>
      <c r="Y56" s="1949">
        <f t="shared" si="44"/>
        <v>18.633333333333333</v>
      </c>
      <c r="Z56" s="1949">
        <f t="shared" si="44"/>
        <v>18.633333333333333</v>
      </c>
      <c r="AA56" s="1949">
        <f t="shared" si="44"/>
        <v>18.633333333333333</v>
      </c>
      <c r="AB56" s="1949">
        <f t="shared" si="44"/>
        <v>18.633333333333333</v>
      </c>
      <c r="AC56" s="1948">
        <f t="shared" si="44"/>
        <v>18.633333333333333</v>
      </c>
      <c r="AD56" s="1949">
        <f>AD53*$J54*52*(1-$J55)/12</f>
        <v>18.633333333333333</v>
      </c>
      <c r="AE56" s="1949">
        <f t="shared" ref="AE56:AO56" si="45">AE53*$J54*52*(1-$J55)/12</f>
        <v>18.633333333333333</v>
      </c>
      <c r="AF56" s="1949">
        <f t="shared" si="45"/>
        <v>18.633333333333333</v>
      </c>
      <c r="AG56" s="1949">
        <f t="shared" si="45"/>
        <v>18.633333333333333</v>
      </c>
      <c r="AH56" s="1949">
        <f t="shared" si="45"/>
        <v>18.633333333333333</v>
      </c>
      <c r="AI56" s="1949">
        <f t="shared" si="45"/>
        <v>18.633333333333333</v>
      </c>
      <c r="AJ56" s="1949">
        <f t="shared" si="45"/>
        <v>18.633333333333333</v>
      </c>
      <c r="AK56" s="1949">
        <f t="shared" si="45"/>
        <v>18.633333333333333</v>
      </c>
      <c r="AL56" s="1949">
        <f t="shared" si="45"/>
        <v>18.633333333333333</v>
      </c>
      <c r="AM56" s="1949">
        <f t="shared" si="45"/>
        <v>18.633333333333333</v>
      </c>
      <c r="AN56" s="1949">
        <f t="shared" si="45"/>
        <v>18.633333333333333</v>
      </c>
      <c r="AO56" s="1948">
        <f t="shared" si="45"/>
        <v>18.633333333333333</v>
      </c>
      <c r="AP56" s="1949">
        <f>AP53*$K54*52*(1-$K55)/12</f>
        <v>20.18611111111111</v>
      </c>
      <c r="AQ56" s="1949">
        <f t="shared" ref="AQ56:BA56" si="46">AQ53*$K54*52*(1-$K55)/12</f>
        <v>21.738888888888884</v>
      </c>
      <c r="AR56" s="1949">
        <f t="shared" si="46"/>
        <v>23.291666666666661</v>
      </c>
      <c r="AS56" s="1949">
        <f t="shared" si="46"/>
        <v>24.844444444444438</v>
      </c>
      <c r="AT56" s="1949">
        <f t="shared" si="46"/>
        <v>26.397222222222215</v>
      </c>
      <c r="AU56" s="1949">
        <f t="shared" si="46"/>
        <v>27.949999999999989</v>
      </c>
      <c r="AV56" s="1949">
        <f t="shared" si="46"/>
        <v>29.502777777777766</v>
      </c>
      <c r="AW56" s="1949">
        <f t="shared" si="46"/>
        <v>31.055555555555543</v>
      </c>
      <c r="AX56" s="1949">
        <f t="shared" si="46"/>
        <v>32.60833333333332</v>
      </c>
      <c r="AY56" s="1949">
        <f t="shared" si="46"/>
        <v>34.161111111111097</v>
      </c>
      <c r="AZ56" s="1949">
        <f t="shared" si="46"/>
        <v>35.713888888888874</v>
      </c>
      <c r="BA56" s="1948">
        <f t="shared" si="46"/>
        <v>37.266666666666652</v>
      </c>
      <c r="BB56" s="1949">
        <f>BB53*$L54*52*(1-$L55)/12</f>
        <v>37.266666666666652</v>
      </c>
      <c r="BC56" s="1949">
        <f t="shared" ref="BC56:BM56" si="47">BC53*$L54*52*(1-$L55)/12</f>
        <v>37.266666666666652</v>
      </c>
      <c r="BD56" s="1949">
        <f t="shared" si="47"/>
        <v>37.266666666666652</v>
      </c>
      <c r="BE56" s="1949">
        <f t="shared" si="47"/>
        <v>37.266666666666652</v>
      </c>
      <c r="BF56" s="1949">
        <f t="shared" si="47"/>
        <v>37.266666666666652</v>
      </c>
      <c r="BG56" s="1949">
        <f t="shared" si="47"/>
        <v>37.266666666666652</v>
      </c>
      <c r="BH56" s="1949">
        <f t="shared" si="47"/>
        <v>37.266666666666652</v>
      </c>
      <c r="BI56" s="1949">
        <f t="shared" si="47"/>
        <v>37.266666666666652</v>
      </c>
      <c r="BJ56" s="1949">
        <f t="shared" si="47"/>
        <v>37.266666666666652</v>
      </c>
      <c r="BK56" s="1949">
        <f t="shared" si="47"/>
        <v>37.266666666666652</v>
      </c>
      <c r="BL56" s="1949">
        <f t="shared" si="47"/>
        <v>37.266666666666652</v>
      </c>
      <c r="BM56" s="1948">
        <f t="shared" si="47"/>
        <v>37.266666666666652</v>
      </c>
      <c r="BN56" s="1949">
        <f>BN53*$M54*52*(1-$M55)/12</f>
        <v>37.266666666666652</v>
      </c>
      <c r="BO56" s="1949">
        <f t="shared" ref="BO56:BY56" si="48">BO53*$M54*52*(1-$M55)/12</f>
        <v>37.266666666666652</v>
      </c>
      <c r="BP56" s="1949">
        <f t="shared" si="48"/>
        <v>37.266666666666652</v>
      </c>
      <c r="BQ56" s="1949">
        <f t="shared" si="48"/>
        <v>37.266666666666652</v>
      </c>
      <c r="BR56" s="1949">
        <f t="shared" si="48"/>
        <v>37.266666666666652</v>
      </c>
      <c r="BS56" s="1949">
        <f t="shared" si="48"/>
        <v>37.266666666666652</v>
      </c>
      <c r="BT56" s="1949">
        <f t="shared" si="48"/>
        <v>37.266666666666652</v>
      </c>
      <c r="BU56" s="1949">
        <f t="shared" si="48"/>
        <v>37.266666666666652</v>
      </c>
      <c r="BV56" s="1949">
        <f t="shared" si="48"/>
        <v>37.266666666666652</v>
      </c>
      <c r="BW56" s="1949">
        <f t="shared" si="48"/>
        <v>37.266666666666652</v>
      </c>
      <c r="BX56" s="1949">
        <f t="shared" si="48"/>
        <v>37.266666666666652</v>
      </c>
      <c r="BY56" s="1948">
        <f t="shared" si="48"/>
        <v>37.266666666666652</v>
      </c>
      <c r="BZ56" s="1950">
        <f>ROUND(SUM(H56:M56)-SUM(Q56:BY56),0)</f>
        <v>0</v>
      </c>
    </row>
    <row r="57" spans="2:78" s="1150" customFormat="1">
      <c r="B57" s="1151"/>
      <c r="D57" s="1152"/>
      <c r="E57" s="1152"/>
      <c r="F57" s="1152" t="s">
        <v>9</v>
      </c>
      <c r="I57" s="1153">
        <f>'2.1 Reimburse'!H57</f>
        <v>0</v>
      </c>
      <c r="J57" s="1153">
        <f>'2.1 Reimburse'!I57</f>
        <v>0</v>
      </c>
      <c r="K57" s="1153">
        <f>'2.1 Reimburse'!J57</f>
        <v>0</v>
      </c>
      <c r="L57" s="1153">
        <f>'2.1 Reimburse'!K57</f>
        <v>0</v>
      </c>
      <c r="M57" s="1153">
        <f>'2.1 Reimburse'!L57</f>
        <v>0</v>
      </c>
      <c r="N57" s="1152"/>
      <c r="O57" s="1151"/>
      <c r="P57" s="1154"/>
      <c r="Q57" s="1152"/>
      <c r="R57" s="1266">
        <f>I57</f>
        <v>0</v>
      </c>
      <c r="S57" s="1257">
        <f>R57</f>
        <v>0</v>
      </c>
      <c r="T57" s="1258">
        <f t="shared" ref="T57:BY57" si="49">S57</f>
        <v>0</v>
      </c>
      <c r="U57" s="1258">
        <f t="shared" si="49"/>
        <v>0</v>
      </c>
      <c r="V57" s="1258">
        <f t="shared" si="49"/>
        <v>0</v>
      </c>
      <c r="W57" s="1258">
        <f t="shared" si="49"/>
        <v>0</v>
      </c>
      <c r="X57" s="1258">
        <f t="shared" si="49"/>
        <v>0</v>
      </c>
      <c r="Y57" s="1258">
        <f t="shared" si="49"/>
        <v>0</v>
      </c>
      <c r="Z57" s="1258">
        <f t="shared" si="49"/>
        <v>0</v>
      </c>
      <c r="AA57" s="1258">
        <f t="shared" si="49"/>
        <v>0</v>
      </c>
      <c r="AB57" s="1258">
        <f t="shared" si="49"/>
        <v>0</v>
      </c>
      <c r="AC57" s="1259">
        <f t="shared" si="49"/>
        <v>0</v>
      </c>
      <c r="AD57" s="1258">
        <f>J57</f>
        <v>0</v>
      </c>
      <c r="AE57" s="1258">
        <f t="shared" si="49"/>
        <v>0</v>
      </c>
      <c r="AF57" s="1258">
        <f t="shared" si="49"/>
        <v>0</v>
      </c>
      <c r="AG57" s="1258">
        <f t="shared" si="49"/>
        <v>0</v>
      </c>
      <c r="AH57" s="1258">
        <f t="shared" si="49"/>
        <v>0</v>
      </c>
      <c r="AI57" s="1258">
        <f t="shared" si="49"/>
        <v>0</v>
      </c>
      <c r="AJ57" s="1258">
        <f t="shared" si="49"/>
        <v>0</v>
      </c>
      <c r="AK57" s="1258">
        <f t="shared" si="49"/>
        <v>0</v>
      </c>
      <c r="AL57" s="1258">
        <f t="shared" si="49"/>
        <v>0</v>
      </c>
      <c r="AM57" s="1258">
        <f t="shared" si="49"/>
        <v>0</v>
      </c>
      <c r="AN57" s="1258">
        <f t="shared" si="49"/>
        <v>0</v>
      </c>
      <c r="AO57" s="1259">
        <f t="shared" si="49"/>
        <v>0</v>
      </c>
      <c r="AP57" s="1258">
        <f>K57</f>
        <v>0</v>
      </c>
      <c r="AQ57" s="1258">
        <f t="shared" si="49"/>
        <v>0</v>
      </c>
      <c r="AR57" s="1258">
        <f t="shared" si="49"/>
        <v>0</v>
      </c>
      <c r="AS57" s="1258">
        <f t="shared" si="49"/>
        <v>0</v>
      </c>
      <c r="AT57" s="1258">
        <f t="shared" si="49"/>
        <v>0</v>
      </c>
      <c r="AU57" s="1258">
        <f t="shared" si="49"/>
        <v>0</v>
      </c>
      <c r="AV57" s="1258">
        <f t="shared" si="49"/>
        <v>0</v>
      </c>
      <c r="AW57" s="1258">
        <f t="shared" si="49"/>
        <v>0</v>
      </c>
      <c r="AX57" s="1258">
        <f t="shared" si="49"/>
        <v>0</v>
      </c>
      <c r="AY57" s="1258">
        <f t="shared" si="49"/>
        <v>0</v>
      </c>
      <c r="AZ57" s="1258">
        <f t="shared" si="49"/>
        <v>0</v>
      </c>
      <c r="BA57" s="1259">
        <f t="shared" si="49"/>
        <v>0</v>
      </c>
      <c r="BB57" s="1258">
        <f>L57</f>
        <v>0</v>
      </c>
      <c r="BC57" s="1258">
        <f t="shared" si="49"/>
        <v>0</v>
      </c>
      <c r="BD57" s="1258">
        <f t="shared" si="49"/>
        <v>0</v>
      </c>
      <c r="BE57" s="1258">
        <f t="shared" si="49"/>
        <v>0</v>
      </c>
      <c r="BF57" s="1258">
        <f t="shared" si="49"/>
        <v>0</v>
      </c>
      <c r="BG57" s="1258">
        <f t="shared" si="49"/>
        <v>0</v>
      </c>
      <c r="BH57" s="1258">
        <f t="shared" si="49"/>
        <v>0</v>
      </c>
      <c r="BI57" s="1258">
        <f t="shared" si="49"/>
        <v>0</v>
      </c>
      <c r="BJ57" s="1258">
        <f t="shared" si="49"/>
        <v>0</v>
      </c>
      <c r="BK57" s="1258">
        <f t="shared" si="49"/>
        <v>0</v>
      </c>
      <c r="BL57" s="1258">
        <f t="shared" si="49"/>
        <v>0</v>
      </c>
      <c r="BM57" s="1259">
        <f t="shared" si="49"/>
        <v>0</v>
      </c>
      <c r="BN57" s="1258">
        <f>M57</f>
        <v>0</v>
      </c>
      <c r="BO57" s="1258">
        <f t="shared" si="49"/>
        <v>0</v>
      </c>
      <c r="BP57" s="1258">
        <f t="shared" si="49"/>
        <v>0</v>
      </c>
      <c r="BQ57" s="1258">
        <f t="shared" si="49"/>
        <v>0</v>
      </c>
      <c r="BR57" s="1258">
        <f t="shared" si="49"/>
        <v>0</v>
      </c>
      <c r="BS57" s="1258">
        <f t="shared" si="49"/>
        <v>0</v>
      </c>
      <c r="BT57" s="1258">
        <f t="shared" si="49"/>
        <v>0</v>
      </c>
      <c r="BU57" s="1258">
        <f t="shared" si="49"/>
        <v>0</v>
      </c>
      <c r="BV57" s="1258">
        <f t="shared" si="49"/>
        <v>0</v>
      </c>
      <c r="BW57" s="1258">
        <f t="shared" si="49"/>
        <v>0</v>
      </c>
      <c r="BX57" s="1258">
        <f t="shared" si="49"/>
        <v>0</v>
      </c>
      <c r="BY57" s="1259">
        <f t="shared" si="49"/>
        <v>0</v>
      </c>
    </row>
    <row r="58" spans="2:78" s="1144" customFormat="1">
      <c r="B58" s="367"/>
      <c r="C58" s="1113"/>
      <c r="D58" s="667"/>
      <c r="E58" s="667"/>
      <c r="F58" s="667" t="s">
        <v>2169</v>
      </c>
      <c r="G58" s="1113"/>
      <c r="I58" s="1858">
        <f>52*I54*I53*(1-I55)*I57-clawback*(52*(I54-3)*I53*(1-I55)*I57)</f>
        <v>0</v>
      </c>
      <c r="J58" s="1858">
        <f>52*J54*J53*(1-J55)*J57-clawback*(52*(J54-3)*J53*(1-J55)*J57)</f>
        <v>0</v>
      </c>
      <c r="K58" s="1858">
        <f>52*K54*K53*(1-K55)*K57-clawback*(52*(K54-3)*K53*(1-K55)*K57)</f>
        <v>0</v>
      </c>
      <c r="L58" s="1858">
        <f>52*L54*L53*(1-L55)*L57-clawback*(52*(L54-3)*L53*(1-L55)*L57)</f>
        <v>0</v>
      </c>
      <c r="M58" s="1858">
        <f>52*M54*M53*(1-M55)*M57-clawback*(52*(M54-3)*M53*(1-M55)*M57)</f>
        <v>0</v>
      </c>
      <c r="N58" s="368"/>
      <c r="O58" s="367"/>
      <c r="P58" s="1145"/>
      <c r="Q58" s="1145"/>
      <c r="R58" s="1951">
        <f t="shared" ref="R58:AC58" si="50">(52*$I54*R53*(1-$I55)*R57-clawback*(52*($I54-3)*R53*(1-$I55)*R57))/12</f>
        <v>0</v>
      </c>
      <c r="S58" s="1952">
        <f t="shared" si="50"/>
        <v>0</v>
      </c>
      <c r="T58" s="1952">
        <f t="shared" si="50"/>
        <v>0</v>
      </c>
      <c r="U58" s="1952">
        <f t="shared" si="50"/>
        <v>0</v>
      </c>
      <c r="V58" s="1952">
        <f t="shared" si="50"/>
        <v>0</v>
      </c>
      <c r="W58" s="1952">
        <f t="shared" si="50"/>
        <v>0</v>
      </c>
      <c r="X58" s="1952">
        <f t="shared" si="50"/>
        <v>0</v>
      </c>
      <c r="Y58" s="1952">
        <f t="shared" si="50"/>
        <v>0</v>
      </c>
      <c r="Z58" s="1952">
        <f t="shared" si="50"/>
        <v>0</v>
      </c>
      <c r="AA58" s="1952">
        <f t="shared" si="50"/>
        <v>0</v>
      </c>
      <c r="AB58" s="1952">
        <f t="shared" si="50"/>
        <v>0</v>
      </c>
      <c r="AC58" s="1953">
        <f t="shared" si="50"/>
        <v>0</v>
      </c>
      <c r="AD58" s="1952">
        <f t="shared" ref="AD58:AO58" si="51">(52*$J54*AD53*(1-$J55)*AD57-clawback*(52*($J54-3)*AD53*(1-$J55)*AD57))/12</f>
        <v>0</v>
      </c>
      <c r="AE58" s="1952">
        <f t="shared" si="51"/>
        <v>0</v>
      </c>
      <c r="AF58" s="1952">
        <f t="shared" si="51"/>
        <v>0</v>
      </c>
      <c r="AG58" s="1952">
        <f t="shared" si="51"/>
        <v>0</v>
      </c>
      <c r="AH58" s="1952">
        <f t="shared" si="51"/>
        <v>0</v>
      </c>
      <c r="AI58" s="1952">
        <f t="shared" si="51"/>
        <v>0</v>
      </c>
      <c r="AJ58" s="1952">
        <f t="shared" si="51"/>
        <v>0</v>
      </c>
      <c r="AK58" s="1952">
        <f t="shared" si="51"/>
        <v>0</v>
      </c>
      <c r="AL58" s="1952">
        <f t="shared" si="51"/>
        <v>0</v>
      </c>
      <c r="AM58" s="1952">
        <f t="shared" si="51"/>
        <v>0</v>
      </c>
      <c r="AN58" s="1952">
        <f t="shared" si="51"/>
        <v>0</v>
      </c>
      <c r="AO58" s="1953">
        <f t="shared" si="51"/>
        <v>0</v>
      </c>
      <c r="AP58" s="1952">
        <f t="shared" ref="AP58:BA58" si="52">(52*$K54*AP53*(1-$K55)*AP57-clawback*(52*($K54-3)*AP53*(1-$K55)*AP57))/12</f>
        <v>0</v>
      </c>
      <c r="AQ58" s="1952">
        <f t="shared" si="52"/>
        <v>0</v>
      </c>
      <c r="AR58" s="1952">
        <f t="shared" si="52"/>
        <v>0</v>
      </c>
      <c r="AS58" s="1952">
        <f t="shared" si="52"/>
        <v>0</v>
      </c>
      <c r="AT58" s="1952">
        <f t="shared" si="52"/>
        <v>0</v>
      </c>
      <c r="AU58" s="1952">
        <f t="shared" si="52"/>
        <v>0</v>
      </c>
      <c r="AV58" s="1952">
        <f t="shared" si="52"/>
        <v>0</v>
      </c>
      <c r="AW58" s="1952">
        <f t="shared" si="52"/>
        <v>0</v>
      </c>
      <c r="AX58" s="1952">
        <f t="shared" si="52"/>
        <v>0</v>
      </c>
      <c r="AY58" s="1952">
        <f t="shared" si="52"/>
        <v>0</v>
      </c>
      <c r="AZ58" s="1952">
        <f t="shared" si="52"/>
        <v>0</v>
      </c>
      <c r="BA58" s="1953">
        <f t="shared" si="52"/>
        <v>0</v>
      </c>
      <c r="BB58" s="1952">
        <f t="shared" ref="BB58:BM58" si="53">(52*$L54*BB53*(1-$L55)*BB57-clawback*(52*($L54-3)*BB53*(1-$L55)*BB57))/12</f>
        <v>0</v>
      </c>
      <c r="BC58" s="1952">
        <f t="shared" si="53"/>
        <v>0</v>
      </c>
      <c r="BD58" s="1952">
        <f t="shared" si="53"/>
        <v>0</v>
      </c>
      <c r="BE58" s="1952">
        <f t="shared" si="53"/>
        <v>0</v>
      </c>
      <c r="BF58" s="1952">
        <f t="shared" si="53"/>
        <v>0</v>
      </c>
      <c r="BG58" s="1952">
        <f t="shared" si="53"/>
        <v>0</v>
      </c>
      <c r="BH58" s="1952">
        <f t="shared" si="53"/>
        <v>0</v>
      </c>
      <c r="BI58" s="1952">
        <f t="shared" si="53"/>
        <v>0</v>
      </c>
      <c r="BJ58" s="1952">
        <f t="shared" si="53"/>
        <v>0</v>
      </c>
      <c r="BK58" s="1952">
        <f t="shared" si="53"/>
        <v>0</v>
      </c>
      <c r="BL58" s="1952">
        <f t="shared" si="53"/>
        <v>0</v>
      </c>
      <c r="BM58" s="1953">
        <f t="shared" si="53"/>
        <v>0</v>
      </c>
      <c r="BN58" s="1952">
        <f t="shared" ref="BN58:BY58" si="54">(52*$M54*BN53*(1-$M55)*BN57-clawback*(52*($M54-3)*BN53*(1-$M55)*BN57))/12</f>
        <v>0</v>
      </c>
      <c r="BO58" s="1952">
        <f t="shared" si="54"/>
        <v>0</v>
      </c>
      <c r="BP58" s="1952">
        <f t="shared" si="54"/>
        <v>0</v>
      </c>
      <c r="BQ58" s="1952">
        <f t="shared" si="54"/>
        <v>0</v>
      </c>
      <c r="BR58" s="1952">
        <f t="shared" si="54"/>
        <v>0</v>
      </c>
      <c r="BS58" s="1952">
        <f t="shared" si="54"/>
        <v>0</v>
      </c>
      <c r="BT58" s="1952">
        <f t="shared" si="54"/>
        <v>0</v>
      </c>
      <c r="BU58" s="1952">
        <f t="shared" si="54"/>
        <v>0</v>
      </c>
      <c r="BV58" s="1952">
        <f t="shared" si="54"/>
        <v>0</v>
      </c>
      <c r="BW58" s="1952">
        <f t="shared" si="54"/>
        <v>0</v>
      </c>
      <c r="BX58" s="1952">
        <f t="shared" si="54"/>
        <v>0</v>
      </c>
      <c r="BY58" s="1953">
        <f t="shared" si="54"/>
        <v>0</v>
      </c>
      <c r="BZ58" s="1148">
        <f>ROUND(SUM(H58:M58)-SUM(Q58:BY58),0)</f>
        <v>0</v>
      </c>
    </row>
    <row r="59" spans="2:78" s="1149" customFormat="1">
      <c r="B59" s="367"/>
      <c r="C59" s="1113"/>
      <c r="D59" s="667"/>
      <c r="E59" s="667"/>
      <c r="F59" s="667" t="s">
        <v>1890</v>
      </c>
      <c r="G59" s="1113"/>
      <c r="H59" s="1144"/>
      <c r="I59" s="646">
        <f>SUM(R59:AC59)</f>
        <v>0</v>
      </c>
      <c r="J59" s="646">
        <f>SUM(AD59:AO59)</f>
        <v>0</v>
      </c>
      <c r="K59" s="646">
        <f>SUM(AP59:BA59)</f>
        <v>0</v>
      </c>
      <c r="L59" s="646">
        <f>SUM(BB59:BM59)</f>
        <v>0</v>
      </c>
      <c r="M59" s="646">
        <f>SUM(BN59:BY59)</f>
        <v>0</v>
      </c>
      <c r="N59" s="368"/>
      <c r="O59" s="367"/>
      <c r="P59" s="1145"/>
      <c r="Q59" s="368"/>
      <c r="R59" s="1268"/>
      <c r="S59" s="368"/>
      <c r="T59" s="1146"/>
      <c r="U59" s="1146">
        <f>IF(U$6&gt;SurveyDelay+3,R58,IF(U$6=SurveyDelay+3,SUM($R58:R58),0))</f>
        <v>0</v>
      </c>
      <c r="V59" s="1146">
        <f>IF(V$6&gt;SurveyDelay+3,S58,IF(V$6=SurveyDelay+3,SUM($R58:S58),0))</f>
        <v>0</v>
      </c>
      <c r="W59" s="1146">
        <f>IF(W$6&gt;SurveyDelay+3,T58,IF(W$6=SurveyDelay+3,SUM($R58:T58),0))</f>
        <v>0</v>
      </c>
      <c r="X59" s="1146">
        <f>IF(X$6&gt;SurveyDelay+3,U58,IF(X$6=SurveyDelay+3,SUM($R58:U58),0))</f>
        <v>0</v>
      </c>
      <c r="Y59" s="1146">
        <f>IF(Y$6&gt;SurveyDelay+3,V58,IF(Y$6=SurveyDelay+3,SUM($R58:V58),0))</f>
        <v>0</v>
      </c>
      <c r="Z59" s="1146">
        <f>IF(Z$6&gt;SurveyDelay+3,W58,IF(Z$6=SurveyDelay+3,SUM($R58:W58),0))</f>
        <v>0</v>
      </c>
      <c r="AA59" s="1146">
        <f>IF(AA$6&gt;SurveyDelay+3,X58,IF(AA$6=SurveyDelay+3,SUM($R58:X58),0))</f>
        <v>0</v>
      </c>
      <c r="AB59" s="1146">
        <f>IF(AB$6&gt;SurveyDelay+3,Y58,IF(AB$6=SurveyDelay+3,SUM($R58:Y58),0))</f>
        <v>0</v>
      </c>
      <c r="AC59" s="1147">
        <f>IF(AC$6&gt;SurveyDelay+3,Z58,IF(AC$6=SurveyDelay+3,SUM($R58:Z58),0))</f>
        <v>0</v>
      </c>
      <c r="AD59" s="1146">
        <f>IF(AD$6&gt;SurveyDelay+3,AA58,IF(AD$6=SurveyDelay+3,SUM($R58:AA58),0))</f>
        <v>0</v>
      </c>
      <c r="AE59" s="1146">
        <f>IF(AE$6&gt;SurveyDelay+3,AB58,IF(AE$6=SurveyDelay+3,SUM($R58:AB58),0))</f>
        <v>0</v>
      </c>
      <c r="AF59" s="1146">
        <f>IF(AF$6&gt;SurveyDelay+3,AC58,IF(AF$6=SurveyDelay+3,SUM($R58:AC58),0))</f>
        <v>0</v>
      </c>
      <c r="AG59" s="1146">
        <f>IF(AG$6&gt;SurveyDelay+3,AD58,IF(AG$6=SurveyDelay+3,SUM($R58:AD58),0))</f>
        <v>0</v>
      </c>
      <c r="AH59" s="1146">
        <f>IF(AH$6&gt;SurveyDelay+3,AE58,IF(AH$6=SurveyDelay+3,SUM($R58:AE58),0))</f>
        <v>0</v>
      </c>
      <c r="AI59" s="1146">
        <f>IF(AI$6&gt;SurveyDelay+3,AF58,IF(AI$6=SurveyDelay+3,SUM($R58:AF58),0))</f>
        <v>0</v>
      </c>
      <c r="AJ59" s="1146">
        <f>IF(AJ$6&gt;SurveyDelay+3,AG58,IF(AJ$6=SurveyDelay+3,SUM($R58:AG58),0))</f>
        <v>0</v>
      </c>
      <c r="AK59" s="1146">
        <f>IF(AK$6&gt;SurveyDelay+3,AH58,IF(AK$6=SurveyDelay+3,SUM($R58:AH58),0))</f>
        <v>0</v>
      </c>
      <c r="AL59" s="1146">
        <f>IF(AL$6&gt;SurveyDelay+3,AI58,IF(AL$6=SurveyDelay+3,SUM($R58:AI58),0))</f>
        <v>0</v>
      </c>
      <c r="AM59" s="1146">
        <f>IF(AM$6&gt;SurveyDelay+3,AJ58,IF(AM$6=SurveyDelay+3,SUM($R58:AJ58),0))</f>
        <v>0</v>
      </c>
      <c r="AN59" s="1146">
        <f>IF(AN$6&gt;SurveyDelay+3,AK58,IF(AN$6=SurveyDelay+3,SUM($R58:AK58),0))</f>
        <v>0</v>
      </c>
      <c r="AO59" s="1147">
        <f>IF(AO$6&gt;SurveyDelay+3,AL58,IF(AO$6=SurveyDelay+3,SUM($R58:AL58),0))</f>
        <v>0</v>
      </c>
      <c r="AP59" s="1146">
        <f>IF(AP$6&gt;SurveyDelay+3,AM58,IF(AP$6=SurveyDelay+3,SUM($R58:AM58),0))</f>
        <v>0</v>
      </c>
      <c r="AQ59" s="1146">
        <f>IF(AQ$6&gt;SurveyDelay+3,AN58,IF(AQ$6=SurveyDelay+3,SUM($R58:AN58),0))</f>
        <v>0</v>
      </c>
      <c r="AR59" s="1146">
        <f>IF(AR$6&gt;SurveyDelay+3,AO58,IF(AR$6=SurveyDelay+3,SUM($R58:AO58),0))</f>
        <v>0</v>
      </c>
      <c r="AS59" s="1146">
        <f>IF(AS$6&gt;SurveyDelay+3,AP58,IF(AS$6=SurveyDelay+3,SUM($R58:AP58),0))</f>
        <v>0</v>
      </c>
      <c r="AT59" s="1146">
        <f>IF(AT$6&gt;SurveyDelay+3,AQ58,IF(AT$6=SurveyDelay+3,SUM($R58:AQ58),0))</f>
        <v>0</v>
      </c>
      <c r="AU59" s="1146">
        <f>IF(AU$6&gt;SurveyDelay+3,AR58,IF(AU$6=SurveyDelay+3,SUM($R58:AR58),0))</f>
        <v>0</v>
      </c>
      <c r="AV59" s="1146">
        <f>IF(AV$6&gt;SurveyDelay+3,AS58,IF(AV$6=SurveyDelay+3,SUM($R58:AS58),0))</f>
        <v>0</v>
      </c>
      <c r="AW59" s="1146">
        <f>IF(AW$6&gt;SurveyDelay+3,AT58,IF(AW$6=SurveyDelay+3,SUM($R58:AT58),0))</f>
        <v>0</v>
      </c>
      <c r="AX59" s="1146">
        <f>IF(AX$6&gt;SurveyDelay+3,AU58,IF(AX$6=SurveyDelay+3,SUM($R58:AU58),0))</f>
        <v>0</v>
      </c>
      <c r="AY59" s="1146">
        <f>IF(AY$6&gt;SurveyDelay+3,AV58,IF(AY$6=SurveyDelay+3,SUM($R58:AV58),0))</f>
        <v>0</v>
      </c>
      <c r="AZ59" s="1146">
        <f>IF(AZ$6&gt;SurveyDelay+3,AW58,IF(AZ$6=SurveyDelay+3,SUM($R58:AW58),0))</f>
        <v>0</v>
      </c>
      <c r="BA59" s="1147">
        <f>IF(BA$6&gt;SurveyDelay+3,AX58,IF(BA$6=SurveyDelay+3,SUM($R58:AX58),0))</f>
        <v>0</v>
      </c>
      <c r="BB59" s="1146">
        <f>IF(BB$6&gt;SurveyDelay+3,AY58,IF(BB$6=SurveyDelay+3,SUM($R58:AY58),0))</f>
        <v>0</v>
      </c>
      <c r="BC59" s="1146">
        <f>IF(BC$6&gt;SurveyDelay+3,AZ58,IF(BC$6=SurveyDelay+3,SUM($R58:AZ58),0))</f>
        <v>0</v>
      </c>
      <c r="BD59" s="1146">
        <f>IF(BD$6&gt;SurveyDelay+3,BA58,IF(BD$6=SurveyDelay+3,SUM($R58:BA58),0))</f>
        <v>0</v>
      </c>
      <c r="BE59" s="1146">
        <f>IF(BE$6&gt;SurveyDelay+3,BB58,IF(BE$6=SurveyDelay+3,SUM($R58:BB58),0))</f>
        <v>0</v>
      </c>
      <c r="BF59" s="1146">
        <f>IF(BF$6&gt;SurveyDelay+3,BC58,IF(BF$6=SurveyDelay+3,SUM($R58:BC58),0))</f>
        <v>0</v>
      </c>
      <c r="BG59" s="1146">
        <f>IF(BG$6&gt;SurveyDelay+3,BD58,IF(BG$6=SurveyDelay+3,SUM($R58:BD58),0))</f>
        <v>0</v>
      </c>
      <c r="BH59" s="1146">
        <f>IF(BH$6&gt;SurveyDelay+3,BE58,IF(BH$6=SurveyDelay+3,SUM($R58:BE58),0))</f>
        <v>0</v>
      </c>
      <c r="BI59" s="1146">
        <f>IF(BI$6&gt;SurveyDelay+3,BF58,IF(BI$6=SurveyDelay+3,SUM($R58:BF58),0))</f>
        <v>0</v>
      </c>
      <c r="BJ59" s="1146">
        <f>IF(BJ$6&gt;SurveyDelay+3,BG58,IF(BJ$6=SurveyDelay+3,SUM($R58:BG58),0))</f>
        <v>0</v>
      </c>
      <c r="BK59" s="1146">
        <f>IF(BK$6&gt;SurveyDelay+3,BH58,IF(BK$6=SurveyDelay+3,SUM($R58:BH58),0))</f>
        <v>0</v>
      </c>
      <c r="BL59" s="1146">
        <f>IF(BL$6&gt;SurveyDelay+3,BI58,IF(BL$6=SurveyDelay+3,SUM($R58:BI58),0))</f>
        <v>0</v>
      </c>
      <c r="BM59" s="1147">
        <f>IF(BM$6&gt;SurveyDelay+3,BJ58,IF(BM$6=SurveyDelay+3,SUM($R58:BJ58),0))</f>
        <v>0</v>
      </c>
      <c r="BN59" s="1146">
        <f>IF(BN$6&gt;SurveyDelay+3,BK58,IF(BN$6=SurveyDelay+3,SUM($R58:BK58),0))</f>
        <v>0</v>
      </c>
      <c r="BO59" s="1146">
        <f>IF(BO$6&gt;SurveyDelay+3,BL58,IF(BO$6=SurveyDelay+3,SUM($R58:BL58),0))</f>
        <v>0</v>
      </c>
      <c r="BP59" s="1146">
        <f>IF(BP$6&gt;SurveyDelay+3,BM58,IF(BP$6=SurveyDelay+3,SUM($R58:BM58),0))</f>
        <v>0</v>
      </c>
      <c r="BQ59" s="1146">
        <f>IF(BQ$6&gt;SurveyDelay+3,BN58,IF(BQ$6=SurveyDelay+3,SUM($R58:BN58),0))</f>
        <v>0</v>
      </c>
      <c r="BR59" s="1146">
        <f>IF(BR$6&gt;SurveyDelay+3,BO58,IF(BR$6=SurveyDelay+3,SUM($R58:BO58),0))</f>
        <v>0</v>
      </c>
      <c r="BS59" s="1146">
        <f>IF(BS$6&gt;SurveyDelay+3,BP58,IF(BS$6=SurveyDelay+3,SUM($R58:BP58),0))</f>
        <v>0</v>
      </c>
      <c r="BT59" s="1146">
        <f>IF(BT$6&gt;SurveyDelay+3,BQ58,IF(BT$6=SurveyDelay+3,SUM($R58:BQ58),0))</f>
        <v>0</v>
      </c>
      <c r="BU59" s="1146">
        <f>IF(BU$6&gt;SurveyDelay+3,BR58,IF(BU$6=SurveyDelay+3,SUM($R58:BR58),0))</f>
        <v>0</v>
      </c>
      <c r="BV59" s="1146">
        <f>IF(BV$6&gt;SurveyDelay+3,BS58,IF(BV$6=SurveyDelay+3,SUM($R58:BS58),0))</f>
        <v>0</v>
      </c>
      <c r="BW59" s="1146">
        <f>IF(BW$6&gt;SurveyDelay+3,BT58,IF(BW$6=SurveyDelay+3,SUM($R58:BT58),0))</f>
        <v>0</v>
      </c>
      <c r="BX59" s="1146">
        <f>IF(BX$6&gt;SurveyDelay+3,BU58,IF(BX$6=SurveyDelay+3,SUM($R58:BU58),0))</f>
        <v>0</v>
      </c>
      <c r="BY59" s="1147">
        <f>IF(BY$6&gt;SurveyDelay+3,BV58,IF(BY$6=SurveyDelay+3,SUM($R58:BV58),0))</f>
        <v>0</v>
      </c>
      <c r="BZ59" s="1148">
        <f>ROUND(SUM(H59:M59)-SUM(Q59:BY59),0)</f>
        <v>0</v>
      </c>
    </row>
    <row r="60" spans="2:78" s="1113" customFormat="1">
      <c r="B60" s="668"/>
      <c r="D60" s="667"/>
      <c r="E60" s="667"/>
      <c r="F60" s="667"/>
      <c r="I60" s="1714"/>
      <c r="J60" s="1714"/>
      <c r="K60" s="1714"/>
      <c r="L60" s="1714"/>
      <c r="M60" s="1714"/>
      <c r="N60" s="667"/>
      <c r="O60" s="668"/>
      <c r="P60" s="1115"/>
      <c r="Q60" s="667"/>
      <c r="R60" s="1955"/>
      <c r="S60" s="1954"/>
      <c r="T60" s="1956"/>
      <c r="U60" s="1956"/>
      <c r="V60" s="1956"/>
      <c r="W60" s="1956"/>
      <c r="X60" s="1956"/>
      <c r="Y60" s="1956"/>
      <c r="Z60" s="1956"/>
      <c r="AA60" s="1956"/>
      <c r="AB60" s="1956"/>
      <c r="AC60" s="1957"/>
      <c r="AD60" s="803"/>
      <c r="AE60" s="803"/>
      <c r="AF60" s="803"/>
      <c r="AG60" s="803"/>
      <c r="AH60" s="803"/>
      <c r="AI60" s="803"/>
      <c r="AJ60" s="803"/>
      <c r="AK60" s="803"/>
      <c r="AL60" s="803"/>
      <c r="AM60" s="803"/>
      <c r="AN60" s="803"/>
      <c r="AO60" s="1119"/>
      <c r="AP60" s="803"/>
      <c r="AQ60" s="803"/>
      <c r="AR60" s="803"/>
      <c r="AS60" s="803"/>
      <c r="AT60" s="803"/>
      <c r="AU60" s="803"/>
      <c r="AV60" s="803"/>
      <c r="AW60" s="803"/>
      <c r="AX60" s="803"/>
      <c r="AY60" s="803"/>
      <c r="AZ60" s="803"/>
      <c r="BA60" s="1119"/>
      <c r="BB60" s="803"/>
      <c r="BC60" s="803"/>
      <c r="BD60" s="803"/>
      <c r="BE60" s="803"/>
      <c r="BF60" s="803"/>
      <c r="BG60" s="803"/>
      <c r="BH60" s="803"/>
      <c r="BI60" s="803"/>
      <c r="BJ60" s="803"/>
      <c r="BK60" s="803"/>
      <c r="BL60" s="803"/>
      <c r="BM60" s="1119"/>
      <c r="BN60" s="803"/>
      <c r="BO60" s="803"/>
      <c r="BP60" s="803"/>
      <c r="BQ60" s="803"/>
      <c r="BR60" s="803"/>
      <c r="BS60" s="803"/>
      <c r="BT60" s="803"/>
      <c r="BU60" s="803"/>
      <c r="BV60" s="803"/>
      <c r="BW60" s="803"/>
      <c r="BX60" s="803"/>
      <c r="BY60" s="1119"/>
    </row>
    <row r="61" spans="2:78" s="1113" customFormat="1">
      <c r="B61" s="668"/>
      <c r="D61" s="667"/>
      <c r="E61" s="667"/>
      <c r="I61" s="1114"/>
      <c r="J61" s="1114"/>
      <c r="K61" s="1114"/>
      <c r="L61" s="1114"/>
      <c r="M61" s="1114"/>
      <c r="N61" s="667"/>
      <c r="O61" s="668"/>
      <c r="P61" s="1115"/>
      <c r="Q61" s="667"/>
      <c r="R61" s="1261"/>
      <c r="S61" s="667"/>
      <c r="T61" s="803"/>
      <c r="U61" s="803"/>
      <c r="V61" s="803"/>
      <c r="W61" s="803"/>
      <c r="X61" s="803"/>
      <c r="Y61" s="803"/>
      <c r="Z61" s="803"/>
      <c r="AA61" s="803"/>
      <c r="AB61" s="803"/>
      <c r="AC61" s="1119"/>
      <c r="AD61" s="803"/>
      <c r="AE61" s="803"/>
      <c r="AF61" s="803"/>
      <c r="AG61" s="803"/>
      <c r="AH61" s="803"/>
      <c r="AI61" s="803"/>
      <c r="AJ61" s="803"/>
      <c r="AK61" s="803"/>
      <c r="AL61" s="803"/>
      <c r="AM61" s="803"/>
      <c r="AN61" s="803"/>
      <c r="AO61" s="1119"/>
      <c r="AP61" s="803"/>
      <c r="AQ61" s="803"/>
      <c r="AR61" s="803"/>
      <c r="AS61" s="803"/>
      <c r="AT61" s="803"/>
      <c r="AU61" s="803"/>
      <c r="AV61" s="803"/>
      <c r="AW61" s="803"/>
      <c r="AX61" s="803"/>
      <c r="AY61" s="803"/>
      <c r="AZ61" s="803"/>
      <c r="BA61" s="1119"/>
      <c r="BB61" s="803"/>
      <c r="BC61" s="803"/>
      <c r="BD61" s="803"/>
      <c r="BE61" s="803"/>
      <c r="BF61" s="803"/>
      <c r="BG61" s="803"/>
      <c r="BH61" s="803"/>
      <c r="BI61" s="803"/>
      <c r="BJ61" s="803"/>
      <c r="BK61" s="803"/>
      <c r="BL61" s="803"/>
      <c r="BM61" s="1119"/>
      <c r="BN61" s="803"/>
      <c r="BO61" s="803"/>
      <c r="BP61" s="803"/>
      <c r="BQ61" s="803"/>
      <c r="BR61" s="803"/>
      <c r="BS61" s="803"/>
      <c r="BT61" s="803"/>
      <c r="BU61" s="803"/>
      <c r="BV61" s="803"/>
      <c r="BW61" s="803"/>
      <c r="BX61" s="803"/>
      <c r="BY61" s="1119"/>
    </row>
    <row r="62" spans="2:78" s="359" customFormat="1">
      <c r="B62" s="358"/>
      <c r="D62" s="656" t="s">
        <v>466</v>
      </c>
      <c r="F62" s="366"/>
      <c r="G62" s="366"/>
      <c r="H62" s="366"/>
      <c r="N62" s="366"/>
      <c r="O62" s="365"/>
      <c r="P62" s="366"/>
      <c r="Q62" s="650"/>
      <c r="R62" s="1269"/>
      <c r="S62" s="651"/>
      <c r="T62" s="651"/>
      <c r="U62" s="651"/>
      <c r="V62" s="651"/>
      <c r="W62" s="651"/>
      <c r="X62" s="651"/>
      <c r="Y62" s="651"/>
      <c r="Z62" s="651"/>
      <c r="AA62" s="651"/>
      <c r="AB62" s="651"/>
      <c r="AC62" s="946"/>
      <c r="AD62" s="651"/>
      <c r="AE62" s="651"/>
      <c r="AF62" s="651"/>
      <c r="AG62" s="651"/>
      <c r="AH62" s="651"/>
      <c r="AI62" s="651"/>
      <c r="AJ62" s="651"/>
      <c r="AK62" s="651"/>
      <c r="AL62" s="651"/>
      <c r="AM62" s="651"/>
      <c r="AN62" s="651"/>
      <c r="AO62" s="946"/>
      <c r="AP62" s="651"/>
      <c r="AQ62" s="651"/>
      <c r="AR62" s="651"/>
      <c r="AS62" s="651"/>
      <c r="AT62" s="651"/>
      <c r="AU62" s="651"/>
      <c r="AV62" s="651"/>
      <c r="AW62" s="651"/>
      <c r="AX62" s="651"/>
      <c r="AY62" s="651"/>
      <c r="AZ62" s="651"/>
      <c r="BA62" s="946"/>
      <c r="BB62" s="651"/>
      <c r="BC62" s="651"/>
      <c r="BD62" s="651"/>
      <c r="BE62" s="651"/>
      <c r="BF62" s="651"/>
      <c r="BG62" s="651"/>
      <c r="BH62" s="651"/>
      <c r="BI62" s="651"/>
      <c r="BJ62" s="651"/>
      <c r="BK62" s="651"/>
      <c r="BL62" s="651"/>
      <c r="BM62" s="946"/>
      <c r="BN62" s="651"/>
      <c r="BO62" s="651"/>
      <c r="BP62" s="651"/>
      <c r="BQ62" s="651"/>
      <c r="BR62" s="651"/>
      <c r="BS62" s="651"/>
      <c r="BT62" s="651"/>
      <c r="BU62" s="651"/>
      <c r="BV62" s="651"/>
      <c r="BW62" s="651"/>
      <c r="BX62" s="651"/>
      <c r="BY62" s="946"/>
    </row>
    <row r="63" spans="2:78" s="359" customFormat="1">
      <c r="B63" s="358"/>
      <c r="D63" s="366"/>
      <c r="F63" s="366"/>
      <c r="G63" s="366"/>
      <c r="H63" s="366"/>
      <c r="N63" s="366"/>
      <c r="O63" s="365"/>
      <c r="P63" s="366"/>
      <c r="Q63" s="650"/>
      <c r="R63" s="1269"/>
      <c r="S63" s="651"/>
      <c r="T63" s="651"/>
      <c r="U63" s="651"/>
      <c r="V63" s="651"/>
      <c r="W63" s="651"/>
      <c r="X63" s="651"/>
      <c r="Y63" s="651"/>
      <c r="Z63" s="651"/>
      <c r="AA63" s="651"/>
      <c r="AB63" s="651"/>
      <c r="AC63" s="946"/>
      <c r="AD63" s="651"/>
      <c r="AE63" s="651"/>
      <c r="AF63" s="651"/>
      <c r="AG63" s="651"/>
      <c r="AH63" s="651"/>
      <c r="AI63" s="651"/>
      <c r="AJ63" s="651"/>
      <c r="AK63" s="651"/>
      <c r="AL63" s="651"/>
      <c r="AM63" s="651"/>
      <c r="AN63" s="651"/>
      <c r="AO63" s="946"/>
      <c r="AP63" s="651"/>
      <c r="AQ63" s="651"/>
      <c r="AR63" s="651"/>
      <c r="AS63" s="651"/>
      <c r="AT63" s="651"/>
      <c r="AU63" s="651"/>
      <c r="AV63" s="651"/>
      <c r="AW63" s="651"/>
      <c r="AX63" s="651"/>
      <c r="AY63" s="651"/>
      <c r="AZ63" s="651"/>
      <c r="BA63" s="946"/>
      <c r="BB63" s="651"/>
      <c r="BC63" s="651"/>
      <c r="BD63" s="651"/>
      <c r="BE63" s="651"/>
      <c r="BF63" s="651"/>
      <c r="BG63" s="651"/>
      <c r="BH63" s="651"/>
      <c r="BI63" s="651"/>
      <c r="BJ63" s="651"/>
      <c r="BK63" s="651"/>
      <c r="BL63" s="651"/>
      <c r="BM63" s="946"/>
      <c r="BN63" s="651"/>
      <c r="BO63" s="651"/>
      <c r="BP63" s="651"/>
      <c r="BQ63" s="651"/>
      <c r="BR63" s="651"/>
      <c r="BS63" s="651"/>
      <c r="BT63" s="651"/>
      <c r="BU63" s="651"/>
      <c r="BV63" s="651"/>
      <c r="BW63" s="651"/>
      <c r="BX63" s="651"/>
      <c r="BY63" s="946"/>
      <c r="BZ63" s="952" t="s">
        <v>1702</v>
      </c>
    </row>
    <row r="64" spans="2:78" s="1124" customFormat="1">
      <c r="B64" s="1123"/>
      <c r="D64" s="393"/>
      <c r="E64" s="393" t="s">
        <v>4119</v>
      </c>
      <c r="H64" s="1125"/>
      <c r="I64" s="1125">
        <f>I14+I22+I31+I39</f>
        <v>2716.8700000000003</v>
      </c>
      <c r="J64" s="1125">
        <f>J14+J22+J31+J39</f>
        <v>6805.369999999999</v>
      </c>
      <c r="K64" s="1125">
        <f>K14+K22+K31+K39</f>
        <v>9860.24</v>
      </c>
      <c r="L64" s="1125">
        <f>L14+L22+L31+L39</f>
        <v>12399.074999999999</v>
      </c>
      <c r="M64" s="1125">
        <f>M14+M22+M31+M39</f>
        <v>14534.325000000003</v>
      </c>
      <c r="N64" s="393"/>
      <c r="O64" s="1123"/>
      <c r="P64" s="1126"/>
      <c r="Q64" s="393">
        <f t="shared" ref="Q64:AV64" si="55">Q14+Q22+Q31+Q39</f>
        <v>0</v>
      </c>
      <c r="R64" s="1265">
        <f t="shared" si="55"/>
        <v>55.401666666666664</v>
      </c>
      <c r="S64" s="393">
        <f t="shared" si="55"/>
        <v>86.493333333333325</v>
      </c>
      <c r="T64" s="1124">
        <f t="shared" si="55"/>
        <v>117.58500000000001</v>
      </c>
      <c r="U64" s="1124">
        <f t="shared" si="55"/>
        <v>148.67666666666665</v>
      </c>
      <c r="V64" s="1124">
        <f t="shared" si="55"/>
        <v>179.76833333333335</v>
      </c>
      <c r="W64" s="1124">
        <f t="shared" si="55"/>
        <v>210.85999999999999</v>
      </c>
      <c r="X64" s="1124">
        <f t="shared" si="55"/>
        <v>241.95166666666665</v>
      </c>
      <c r="Y64" s="1124">
        <f t="shared" si="55"/>
        <v>273.04333333333335</v>
      </c>
      <c r="Z64" s="1124">
        <f t="shared" si="55"/>
        <v>304.13500000000005</v>
      </c>
      <c r="AA64" s="1124">
        <f t="shared" si="55"/>
        <v>335.22666666666669</v>
      </c>
      <c r="AB64" s="1124">
        <f t="shared" si="55"/>
        <v>366.31833333333344</v>
      </c>
      <c r="AC64" s="1128">
        <f t="shared" si="55"/>
        <v>397.41000000000008</v>
      </c>
      <c r="AD64" s="1124">
        <f t="shared" si="55"/>
        <v>423.51833333333343</v>
      </c>
      <c r="AE64" s="1124">
        <f t="shared" si="55"/>
        <v>449.62666666666678</v>
      </c>
      <c r="AF64" s="1124">
        <f t="shared" si="55"/>
        <v>475.73500000000013</v>
      </c>
      <c r="AG64" s="1124">
        <f t="shared" si="55"/>
        <v>501.84333333333336</v>
      </c>
      <c r="AH64" s="1124">
        <f t="shared" si="55"/>
        <v>527.9516666666666</v>
      </c>
      <c r="AI64" s="1124">
        <f t="shared" si="55"/>
        <v>554.05999999999995</v>
      </c>
      <c r="AJ64" s="1124">
        <f t="shared" si="55"/>
        <v>580.16833333333341</v>
      </c>
      <c r="AK64" s="1124">
        <f t="shared" si="55"/>
        <v>606.27666666666664</v>
      </c>
      <c r="AL64" s="1124">
        <f t="shared" si="55"/>
        <v>632.38499999999999</v>
      </c>
      <c r="AM64" s="1124">
        <f t="shared" si="55"/>
        <v>658.49333333333334</v>
      </c>
      <c r="AN64" s="1124">
        <f t="shared" si="55"/>
        <v>684.60166666666669</v>
      </c>
      <c r="AO64" s="1128">
        <f t="shared" si="55"/>
        <v>710.71</v>
      </c>
      <c r="AP64" s="1124">
        <f t="shared" si="55"/>
        <v>727.7833333333333</v>
      </c>
      <c r="AQ64" s="1124">
        <f t="shared" si="55"/>
        <v>744.85666666666657</v>
      </c>
      <c r="AR64" s="1124">
        <f t="shared" si="55"/>
        <v>761.92999999999984</v>
      </c>
      <c r="AS64" s="1124">
        <f t="shared" si="55"/>
        <v>779.00333333333333</v>
      </c>
      <c r="AT64" s="1124">
        <f t="shared" si="55"/>
        <v>796.0766666666666</v>
      </c>
      <c r="AU64" s="1124">
        <f t="shared" si="55"/>
        <v>813.14999999999986</v>
      </c>
      <c r="AV64" s="1124">
        <f t="shared" si="55"/>
        <v>830.22333333333336</v>
      </c>
      <c r="AW64" s="1124">
        <f t="shared" ref="AW64:BY64" si="56">AW14+AW22+AW31+AW39</f>
        <v>847.29666666666662</v>
      </c>
      <c r="AX64" s="1124">
        <f t="shared" si="56"/>
        <v>864.36999999999989</v>
      </c>
      <c r="AY64" s="1124">
        <f t="shared" si="56"/>
        <v>881.44333333333338</v>
      </c>
      <c r="AZ64" s="1124">
        <f t="shared" si="56"/>
        <v>898.51666666666665</v>
      </c>
      <c r="BA64" s="1128">
        <f t="shared" si="56"/>
        <v>915.59000000000015</v>
      </c>
      <c r="BB64" s="1124">
        <f t="shared" si="56"/>
        <v>933.6925</v>
      </c>
      <c r="BC64" s="1124">
        <f t="shared" si="56"/>
        <v>951.79500000000007</v>
      </c>
      <c r="BD64" s="1124">
        <f t="shared" si="56"/>
        <v>969.89750000000015</v>
      </c>
      <c r="BE64" s="1124">
        <f t="shared" si="56"/>
        <v>988</v>
      </c>
      <c r="BF64" s="1124">
        <f t="shared" si="56"/>
        <v>1006.1024999999998</v>
      </c>
      <c r="BG64" s="1124">
        <f t="shared" si="56"/>
        <v>1024.2049999999999</v>
      </c>
      <c r="BH64" s="1124">
        <f t="shared" si="56"/>
        <v>1042.3074999999999</v>
      </c>
      <c r="BI64" s="1124">
        <f t="shared" si="56"/>
        <v>1060.4099999999999</v>
      </c>
      <c r="BJ64" s="1124">
        <f t="shared" si="56"/>
        <v>1078.5124999999998</v>
      </c>
      <c r="BK64" s="1124">
        <f t="shared" si="56"/>
        <v>1096.6149999999998</v>
      </c>
      <c r="BL64" s="1124">
        <f t="shared" si="56"/>
        <v>1114.7174999999997</v>
      </c>
      <c r="BM64" s="1128">
        <f t="shared" si="56"/>
        <v>1132.82</v>
      </c>
      <c r="BN64" s="1124">
        <f t="shared" si="56"/>
        <v>1144.8774999999998</v>
      </c>
      <c r="BO64" s="1124">
        <f t="shared" si="56"/>
        <v>1156.9349999999999</v>
      </c>
      <c r="BP64" s="1124">
        <f t="shared" si="56"/>
        <v>1168.9925000000001</v>
      </c>
      <c r="BQ64" s="1124">
        <f t="shared" si="56"/>
        <v>1181.0500000000002</v>
      </c>
      <c r="BR64" s="1124">
        <f t="shared" si="56"/>
        <v>1193.1075000000003</v>
      </c>
      <c r="BS64" s="1124">
        <f t="shared" si="56"/>
        <v>1205.1650000000002</v>
      </c>
      <c r="BT64" s="1124">
        <f t="shared" si="56"/>
        <v>1217.2225000000003</v>
      </c>
      <c r="BU64" s="1124">
        <f t="shared" si="56"/>
        <v>1229.2800000000002</v>
      </c>
      <c r="BV64" s="1124">
        <f t="shared" si="56"/>
        <v>1241.3375000000005</v>
      </c>
      <c r="BW64" s="1124">
        <f t="shared" si="56"/>
        <v>1253.3950000000007</v>
      </c>
      <c r="BX64" s="1124">
        <f t="shared" si="56"/>
        <v>1265.4525000000008</v>
      </c>
      <c r="BY64" s="1128">
        <f t="shared" si="56"/>
        <v>1277.5100000000007</v>
      </c>
      <c r="BZ64" s="1143">
        <f>ROUND(SUM(H64:M64)-SUM(Q64:BY64),0)</f>
        <v>0</v>
      </c>
    </row>
    <row r="65" spans="2:78" s="1124" customFormat="1">
      <c r="B65" s="1123"/>
      <c r="D65" s="393"/>
      <c r="E65" s="393" t="s">
        <v>104</v>
      </c>
      <c r="H65" s="1125"/>
      <c r="I65" s="1156">
        <f>I48+I56</f>
        <v>392.59999999999991</v>
      </c>
      <c r="J65" s="1156">
        <f>J48+J56</f>
        <v>789.09999999999991</v>
      </c>
      <c r="K65" s="1156">
        <f>K48+K56</f>
        <v>1209.2166666666662</v>
      </c>
      <c r="L65" s="1156">
        <f>L48+L56</f>
        <v>1467.6999999999989</v>
      </c>
      <c r="M65" s="1156">
        <f>M48+M56</f>
        <v>1623.6999999999985</v>
      </c>
      <c r="N65" s="393"/>
      <c r="O65" s="1123"/>
      <c r="P65" s="1126"/>
      <c r="Q65" s="393">
        <f t="shared" ref="Q65:AV65" si="57">Q48+Q56</f>
        <v>0</v>
      </c>
      <c r="R65" s="1265">
        <f t="shared" si="57"/>
        <v>20.8</v>
      </c>
      <c r="S65" s="393">
        <f t="shared" si="57"/>
        <v>22.966666666666665</v>
      </c>
      <c r="T65" s="1124">
        <f t="shared" si="57"/>
        <v>25.133333333333333</v>
      </c>
      <c r="U65" s="1124">
        <f t="shared" si="57"/>
        <v>27.299999999999997</v>
      </c>
      <c r="V65" s="1124">
        <f t="shared" si="57"/>
        <v>29.466666666666669</v>
      </c>
      <c r="W65" s="1124">
        <f t="shared" si="57"/>
        <v>31.633333333333333</v>
      </c>
      <c r="X65" s="1124">
        <f t="shared" si="57"/>
        <v>33.799999999999997</v>
      </c>
      <c r="Y65" s="1124">
        <f t="shared" si="57"/>
        <v>35.966666666666669</v>
      </c>
      <c r="Z65" s="1124">
        <f t="shared" si="57"/>
        <v>38.133333333333333</v>
      </c>
      <c r="AA65" s="1124">
        <f t="shared" si="57"/>
        <v>40.299999999999997</v>
      </c>
      <c r="AB65" s="1124">
        <f t="shared" si="57"/>
        <v>42.466666666666669</v>
      </c>
      <c r="AC65" s="1128">
        <f t="shared" si="57"/>
        <v>44.633333333333333</v>
      </c>
      <c r="AD65" s="1124">
        <f t="shared" si="57"/>
        <v>47.883333333333333</v>
      </c>
      <c r="AE65" s="1124">
        <f t="shared" si="57"/>
        <v>51.133333333333333</v>
      </c>
      <c r="AF65" s="1124">
        <f t="shared" si="57"/>
        <v>54.383333333333333</v>
      </c>
      <c r="AG65" s="1124">
        <f t="shared" si="57"/>
        <v>57.633333333333333</v>
      </c>
      <c r="AH65" s="1124">
        <f t="shared" si="57"/>
        <v>60.883333333333333</v>
      </c>
      <c r="AI65" s="1124">
        <f t="shared" si="57"/>
        <v>64.133333333333326</v>
      </c>
      <c r="AJ65" s="1124">
        <f t="shared" si="57"/>
        <v>67.383333333333326</v>
      </c>
      <c r="AK65" s="1124">
        <f t="shared" si="57"/>
        <v>70.633333333333326</v>
      </c>
      <c r="AL65" s="1124">
        <f t="shared" si="57"/>
        <v>73.883333333333326</v>
      </c>
      <c r="AM65" s="1124">
        <f t="shared" si="57"/>
        <v>77.133333333333326</v>
      </c>
      <c r="AN65" s="1124">
        <f t="shared" si="57"/>
        <v>80.383333333333326</v>
      </c>
      <c r="AO65" s="1128">
        <f t="shared" si="57"/>
        <v>83.633333333333326</v>
      </c>
      <c r="AP65" s="1124">
        <f t="shared" si="57"/>
        <v>86.269444444444446</v>
      </c>
      <c r="AQ65" s="1124">
        <f t="shared" si="57"/>
        <v>88.905555555555537</v>
      </c>
      <c r="AR65" s="1124">
        <f t="shared" si="57"/>
        <v>91.541666666666643</v>
      </c>
      <c r="AS65" s="1124">
        <f t="shared" si="57"/>
        <v>94.177777777777749</v>
      </c>
      <c r="AT65" s="1124">
        <f t="shared" si="57"/>
        <v>96.813888888888854</v>
      </c>
      <c r="AU65" s="1124">
        <f t="shared" si="57"/>
        <v>99.44999999999996</v>
      </c>
      <c r="AV65" s="1124">
        <f t="shared" si="57"/>
        <v>102.08611111111107</v>
      </c>
      <c r="AW65" s="1124">
        <f t="shared" ref="AW65:BY65" si="58">AW48+AW56</f>
        <v>104.72222222222219</v>
      </c>
      <c r="AX65" s="1124">
        <f t="shared" si="58"/>
        <v>107.35833333333329</v>
      </c>
      <c r="AY65" s="1124">
        <f t="shared" si="58"/>
        <v>109.9944444444444</v>
      </c>
      <c r="AZ65" s="1124">
        <f t="shared" si="58"/>
        <v>112.63055555555549</v>
      </c>
      <c r="BA65" s="1128">
        <f t="shared" si="58"/>
        <v>115.26666666666661</v>
      </c>
      <c r="BB65" s="1124">
        <f t="shared" si="58"/>
        <v>116.34999999999994</v>
      </c>
      <c r="BC65" s="1124">
        <f t="shared" si="58"/>
        <v>117.43333333333327</v>
      </c>
      <c r="BD65" s="1124">
        <f t="shared" si="58"/>
        <v>118.51666666666659</v>
      </c>
      <c r="BE65" s="1124">
        <f t="shared" si="58"/>
        <v>119.59999999999992</v>
      </c>
      <c r="BF65" s="1124">
        <f t="shared" si="58"/>
        <v>120.68333333333327</v>
      </c>
      <c r="BG65" s="1124">
        <f t="shared" si="58"/>
        <v>121.76666666666659</v>
      </c>
      <c r="BH65" s="1124">
        <f t="shared" si="58"/>
        <v>122.84999999999991</v>
      </c>
      <c r="BI65" s="1124">
        <f t="shared" si="58"/>
        <v>123.93333333333324</v>
      </c>
      <c r="BJ65" s="1124">
        <f t="shared" si="58"/>
        <v>125.01666666666658</v>
      </c>
      <c r="BK65" s="1124">
        <f t="shared" si="58"/>
        <v>126.09999999999989</v>
      </c>
      <c r="BL65" s="1124">
        <f t="shared" si="58"/>
        <v>127.18333333333322</v>
      </c>
      <c r="BM65" s="1128">
        <f t="shared" si="58"/>
        <v>128.26666666666654</v>
      </c>
      <c r="BN65" s="1124">
        <f t="shared" si="58"/>
        <v>129.34999999999991</v>
      </c>
      <c r="BO65" s="1124">
        <f t="shared" si="58"/>
        <v>130.43333333333322</v>
      </c>
      <c r="BP65" s="1124">
        <f t="shared" si="58"/>
        <v>131.51666666666654</v>
      </c>
      <c r="BQ65" s="1124">
        <f t="shared" si="58"/>
        <v>132.59999999999985</v>
      </c>
      <c r="BR65" s="1124">
        <f t="shared" si="58"/>
        <v>133.68333333333322</v>
      </c>
      <c r="BS65" s="1124">
        <f t="shared" si="58"/>
        <v>134.76666666666654</v>
      </c>
      <c r="BT65" s="1124">
        <f t="shared" si="58"/>
        <v>135.84999999999985</v>
      </c>
      <c r="BU65" s="1124">
        <f t="shared" si="58"/>
        <v>136.93333333333322</v>
      </c>
      <c r="BV65" s="1124">
        <f t="shared" si="58"/>
        <v>138.01666666666654</v>
      </c>
      <c r="BW65" s="1124">
        <f t="shared" si="58"/>
        <v>139.09999999999985</v>
      </c>
      <c r="BX65" s="1124">
        <f t="shared" si="58"/>
        <v>140.18333333333317</v>
      </c>
      <c r="BY65" s="1128">
        <f t="shared" si="58"/>
        <v>141.26666666666654</v>
      </c>
      <c r="BZ65" s="1143">
        <f>ROUND(SUM(H65:M65)-SUM(Q65:BY65),0)</f>
        <v>0</v>
      </c>
    </row>
    <row r="66" spans="2:78" s="1124" customFormat="1">
      <c r="B66" s="1123"/>
      <c r="D66" s="393"/>
      <c r="E66" s="393" t="s">
        <v>1704</v>
      </c>
      <c r="H66" s="1125"/>
      <c r="I66" s="1125">
        <f>I14+I22+I31+I39+I48+I56</f>
        <v>3109.4700000000003</v>
      </c>
      <c r="J66" s="1125">
        <f>J14+J22+J31+J39+J48+J56</f>
        <v>7594.4699999999993</v>
      </c>
      <c r="K66" s="1125">
        <f>K14+K22+K31+K39+K48+K56</f>
        <v>11069.456666666667</v>
      </c>
      <c r="L66" s="1125">
        <f>L14+L22+L31+L39+L48+L56</f>
        <v>13866.774999999998</v>
      </c>
      <c r="M66" s="1125">
        <f>M14+M22+M31+M39+M48+M56</f>
        <v>16158.025000000001</v>
      </c>
      <c r="N66" s="393"/>
      <c r="O66" s="1123"/>
      <c r="P66" s="1126"/>
      <c r="Q66" s="393">
        <f t="shared" ref="Q66:AV66" si="59">Q14+Q22+Q31+Q39+Q48+Q56</f>
        <v>0</v>
      </c>
      <c r="R66" s="1265">
        <f t="shared" si="59"/>
        <v>76.201666666666654</v>
      </c>
      <c r="S66" s="393">
        <f t="shared" si="59"/>
        <v>109.45999999999998</v>
      </c>
      <c r="T66" s="1124">
        <f t="shared" si="59"/>
        <v>142.71833333333333</v>
      </c>
      <c r="U66" s="1124">
        <f t="shared" si="59"/>
        <v>175.97666666666663</v>
      </c>
      <c r="V66" s="1124">
        <f t="shared" si="59"/>
        <v>209.23500000000001</v>
      </c>
      <c r="W66" s="1124">
        <f t="shared" si="59"/>
        <v>242.49333333333331</v>
      </c>
      <c r="X66" s="1124">
        <f t="shared" si="59"/>
        <v>275.75166666666667</v>
      </c>
      <c r="Y66" s="1124">
        <f t="shared" si="59"/>
        <v>309.01</v>
      </c>
      <c r="Z66" s="1124">
        <f t="shared" si="59"/>
        <v>342.26833333333337</v>
      </c>
      <c r="AA66" s="1124">
        <f t="shared" si="59"/>
        <v>375.5266666666667</v>
      </c>
      <c r="AB66" s="1124">
        <f t="shared" si="59"/>
        <v>408.78500000000008</v>
      </c>
      <c r="AC66" s="1128">
        <f t="shared" si="59"/>
        <v>442.04333333333341</v>
      </c>
      <c r="AD66" s="1124">
        <f t="shared" si="59"/>
        <v>471.40166666666676</v>
      </c>
      <c r="AE66" s="1124">
        <f t="shared" si="59"/>
        <v>500.7600000000001</v>
      </c>
      <c r="AF66" s="1124">
        <f t="shared" si="59"/>
        <v>530.11833333333345</v>
      </c>
      <c r="AG66" s="1124">
        <f t="shared" si="59"/>
        <v>559.47666666666669</v>
      </c>
      <c r="AH66" s="1124">
        <f t="shared" si="59"/>
        <v>588.83499999999992</v>
      </c>
      <c r="AI66" s="1124">
        <f t="shared" si="59"/>
        <v>618.19333333333327</v>
      </c>
      <c r="AJ66" s="1124">
        <f t="shared" si="59"/>
        <v>647.55166666666673</v>
      </c>
      <c r="AK66" s="1124">
        <f t="shared" si="59"/>
        <v>676.91</v>
      </c>
      <c r="AL66" s="1124">
        <f t="shared" si="59"/>
        <v>706.26833333333332</v>
      </c>
      <c r="AM66" s="1124">
        <f t="shared" si="59"/>
        <v>735.62666666666667</v>
      </c>
      <c r="AN66" s="1124">
        <f t="shared" si="59"/>
        <v>764.98500000000001</v>
      </c>
      <c r="AO66" s="1128">
        <f t="shared" si="59"/>
        <v>794.34333333333336</v>
      </c>
      <c r="AP66" s="1124">
        <f t="shared" si="59"/>
        <v>814.05277777777781</v>
      </c>
      <c r="AQ66" s="1124">
        <f t="shared" si="59"/>
        <v>833.76222222222214</v>
      </c>
      <c r="AR66" s="1124">
        <f t="shared" si="59"/>
        <v>853.47166666666647</v>
      </c>
      <c r="AS66" s="1124">
        <f t="shared" si="59"/>
        <v>873.18111111111102</v>
      </c>
      <c r="AT66" s="1124">
        <f t="shared" si="59"/>
        <v>892.89055555555547</v>
      </c>
      <c r="AU66" s="1124">
        <f t="shared" si="59"/>
        <v>912.59999999999991</v>
      </c>
      <c r="AV66" s="1124">
        <f t="shared" si="59"/>
        <v>932.30944444444435</v>
      </c>
      <c r="AW66" s="1124">
        <f t="shared" ref="AW66:BY66" si="60">AW14+AW22+AW31+AW39+AW48+AW56</f>
        <v>952.0188888888888</v>
      </c>
      <c r="AX66" s="1124">
        <f t="shared" si="60"/>
        <v>971.72833333333324</v>
      </c>
      <c r="AY66" s="1124">
        <f t="shared" si="60"/>
        <v>991.43777777777768</v>
      </c>
      <c r="AZ66" s="1124">
        <f t="shared" si="60"/>
        <v>1011.1472222222221</v>
      </c>
      <c r="BA66" s="1128">
        <f t="shared" si="60"/>
        <v>1030.8566666666668</v>
      </c>
      <c r="BB66" s="1124">
        <f t="shared" si="60"/>
        <v>1050.0425</v>
      </c>
      <c r="BC66" s="1124">
        <f t="shared" si="60"/>
        <v>1069.2283333333332</v>
      </c>
      <c r="BD66" s="1124">
        <f t="shared" si="60"/>
        <v>1088.4141666666667</v>
      </c>
      <c r="BE66" s="1124">
        <f t="shared" si="60"/>
        <v>1107.5999999999999</v>
      </c>
      <c r="BF66" s="1124">
        <f t="shared" si="60"/>
        <v>1126.7858333333331</v>
      </c>
      <c r="BG66" s="1124">
        <f t="shared" si="60"/>
        <v>1145.9716666666666</v>
      </c>
      <c r="BH66" s="1124">
        <f t="shared" si="60"/>
        <v>1165.1574999999998</v>
      </c>
      <c r="BI66" s="1124">
        <f t="shared" si="60"/>
        <v>1184.343333333333</v>
      </c>
      <c r="BJ66" s="1124">
        <f t="shared" si="60"/>
        <v>1203.5291666666665</v>
      </c>
      <c r="BK66" s="1124">
        <f t="shared" si="60"/>
        <v>1222.7149999999997</v>
      </c>
      <c r="BL66" s="1124">
        <f t="shared" si="60"/>
        <v>1241.9008333333329</v>
      </c>
      <c r="BM66" s="1128">
        <f t="shared" si="60"/>
        <v>1261.0866666666666</v>
      </c>
      <c r="BN66" s="1124">
        <f t="shared" si="60"/>
        <v>1274.2274999999997</v>
      </c>
      <c r="BO66" s="1124">
        <f t="shared" si="60"/>
        <v>1287.3683333333331</v>
      </c>
      <c r="BP66" s="1124">
        <f t="shared" si="60"/>
        <v>1300.5091666666665</v>
      </c>
      <c r="BQ66" s="1124">
        <f t="shared" si="60"/>
        <v>1313.65</v>
      </c>
      <c r="BR66" s="1124">
        <f t="shared" si="60"/>
        <v>1326.7908333333335</v>
      </c>
      <c r="BS66" s="1124">
        <f t="shared" si="60"/>
        <v>1339.9316666666666</v>
      </c>
      <c r="BT66" s="1124">
        <f t="shared" si="60"/>
        <v>1353.0725000000002</v>
      </c>
      <c r="BU66" s="1124">
        <f t="shared" si="60"/>
        <v>1366.2133333333334</v>
      </c>
      <c r="BV66" s="1124">
        <f t="shared" si="60"/>
        <v>1379.3541666666672</v>
      </c>
      <c r="BW66" s="1124">
        <f t="shared" si="60"/>
        <v>1392.4950000000006</v>
      </c>
      <c r="BX66" s="1124">
        <f t="shared" si="60"/>
        <v>1405.6358333333339</v>
      </c>
      <c r="BY66" s="1128">
        <f t="shared" si="60"/>
        <v>1418.7766666666671</v>
      </c>
      <c r="BZ66" s="1143">
        <f>ROUND(SUM(H66:M66)-SUM(Q66:BY66),0)</f>
        <v>0</v>
      </c>
    </row>
    <row r="67" spans="2:78" s="1150" customFormat="1">
      <c r="B67" s="1151"/>
      <c r="D67" s="1152"/>
      <c r="E67" s="1152" t="s">
        <v>1705</v>
      </c>
      <c r="I67" s="1153">
        <f>IF(I66=0,0,I69/I66)</f>
        <v>348.28558424445731</v>
      </c>
      <c r="J67" s="1153">
        <f>IF(J66=0,0,J69/J66)</f>
        <v>333.45861775496024</v>
      </c>
      <c r="K67" s="1153">
        <f>IF(K66=0,0,K69/K66)</f>
        <v>328.60042919337042</v>
      </c>
      <c r="L67" s="1153">
        <f>IF(L66=0,0,L69/L66)</f>
        <v>327.55401839798941</v>
      </c>
      <c r="M67" s="1153">
        <f>IF(M66=0,0,M69/M66)</f>
        <v>339.52374449443681</v>
      </c>
      <c r="N67" s="1152"/>
      <c r="O67" s="1151"/>
      <c r="P67" s="1154"/>
      <c r="Q67" s="1152">
        <f>IF(Q66&gt;0,Q69/Q66,0)</f>
        <v>0</v>
      </c>
      <c r="R67" s="1270">
        <f t="shared" ref="R67:BY67" si="61">IF(R66=0,0,R69/R66)</f>
        <v>456.59543334005781</v>
      </c>
      <c r="S67" s="1152">
        <f t="shared" si="61"/>
        <v>409.97729326020345</v>
      </c>
      <c r="T67" s="1150">
        <f t="shared" si="61"/>
        <v>385.08644785852624</v>
      </c>
      <c r="U67" s="1150">
        <f t="shared" si="61"/>
        <v>369.60398652273796</v>
      </c>
      <c r="V67" s="1150">
        <f t="shared" si="61"/>
        <v>359.0434632941122</v>
      </c>
      <c r="W67" s="1150">
        <f t="shared" si="61"/>
        <v>351.37972404617642</v>
      </c>
      <c r="X67" s="1150">
        <f t="shared" si="61"/>
        <v>345.56462780061059</v>
      </c>
      <c r="Y67" s="1150">
        <f t="shared" si="61"/>
        <v>341.00127363006135</v>
      </c>
      <c r="Z67" s="1150">
        <f t="shared" si="61"/>
        <v>337.32476489241628</v>
      </c>
      <c r="AA67" s="1150">
        <f t="shared" si="61"/>
        <v>334.29947250744658</v>
      </c>
      <c r="AB67" s="1150">
        <f t="shared" si="61"/>
        <v>331.76644956763818</v>
      </c>
      <c r="AC67" s="1155">
        <f t="shared" si="61"/>
        <v>329.61458437830572</v>
      </c>
      <c r="AD67" s="1150">
        <f t="shared" si="61"/>
        <v>331.99865771475254</v>
      </c>
      <c r="AE67" s="1150">
        <f t="shared" si="61"/>
        <v>332.33413635469117</v>
      </c>
      <c r="AF67" s="1150">
        <f t="shared" si="61"/>
        <v>332.63245689947172</v>
      </c>
      <c r="AG67" s="1150">
        <f t="shared" si="61"/>
        <v>332.89946892142859</v>
      </c>
      <c r="AH67" s="1150">
        <f t="shared" si="61"/>
        <v>333.13985539312222</v>
      </c>
      <c r="AI67" s="1150">
        <f t="shared" si="61"/>
        <v>333.35740969958766</v>
      </c>
      <c r="AJ67" s="1150">
        <f t="shared" si="61"/>
        <v>333.55523729642937</v>
      </c>
      <c r="AK67" s="1150">
        <f t="shared" si="61"/>
        <v>333.73590489111251</v>
      </c>
      <c r="AL67" s="1150">
        <f t="shared" si="61"/>
        <v>333.90155241702894</v>
      </c>
      <c r="AM67" s="1150">
        <f t="shared" si="61"/>
        <v>334.05397819473501</v>
      </c>
      <c r="AN67" s="1150">
        <f t="shared" si="61"/>
        <v>334.19470448345641</v>
      </c>
      <c r="AO67" s="1155">
        <f t="shared" si="61"/>
        <v>334.3250284961855</v>
      </c>
      <c r="AP67" s="1150">
        <f t="shared" si="61"/>
        <v>335.42769652466581</v>
      </c>
      <c r="AQ67" s="1150">
        <f t="shared" si="61"/>
        <v>334.05432808116075</v>
      </c>
      <c r="AR67" s="1150">
        <f t="shared" si="61"/>
        <v>332.74439075106261</v>
      </c>
      <c r="AS67" s="1150">
        <f t="shared" si="61"/>
        <v>331.49358923300798</v>
      </c>
      <c r="AT67" s="1150">
        <f t="shared" si="61"/>
        <v>330.29800747929664</v>
      </c>
      <c r="AU67" s="1150">
        <f t="shared" si="61"/>
        <v>329.15406774213943</v>
      </c>
      <c r="AV67" s="1150">
        <f t="shared" si="61"/>
        <v>328.05849481458949</v>
      </c>
      <c r="AW67" s="1150">
        <f t="shared" si="61"/>
        <v>327.00828471334989</v>
      </c>
      <c r="AX67" s="1150">
        <f t="shared" si="61"/>
        <v>326.0006771727958</v>
      </c>
      <c r="AY67" s="1150">
        <f t="shared" si="61"/>
        <v>325.03313141985461</v>
      </c>
      <c r="AZ67" s="1150">
        <f t="shared" si="61"/>
        <v>324.10330478208465</v>
      </c>
      <c r="BA67" s="1155">
        <f t="shared" si="61"/>
        <v>323.20903374976922</v>
      </c>
      <c r="BB67" s="1150">
        <f t="shared" si="61"/>
        <v>325.84647486078092</v>
      </c>
      <c r="BC67" s="1150">
        <f t="shared" si="61"/>
        <v>326.1820060224241</v>
      </c>
      <c r="BD67" s="1150">
        <f t="shared" si="61"/>
        <v>326.50570814849857</v>
      </c>
      <c r="BE67" s="1150">
        <f t="shared" si="61"/>
        <v>326.81819594622266</v>
      </c>
      <c r="BF67" s="1150">
        <f t="shared" si="61"/>
        <v>327.12004225622377</v>
      </c>
      <c r="BG67" s="1150">
        <f t="shared" si="61"/>
        <v>327.41178155718734</v>
      </c>
      <c r="BH67" s="1150">
        <f t="shared" si="61"/>
        <v>327.69391312425211</v>
      </c>
      <c r="BI67" s="1150">
        <f t="shared" si="61"/>
        <v>327.96690388041947</v>
      </c>
      <c r="BJ67" s="1150">
        <f t="shared" si="61"/>
        <v>328.23119097523085</v>
      </c>
      <c r="BK67" s="1150">
        <f t="shared" si="61"/>
        <v>328.48718412067029</v>
      </c>
      <c r="BL67" s="1150">
        <f t="shared" si="61"/>
        <v>328.73526771054605</v>
      </c>
      <c r="BM67" s="1155">
        <f t="shared" si="61"/>
        <v>328.97580274641047</v>
      </c>
      <c r="BN67" s="1150">
        <f t="shared" si="61"/>
        <v>336.46229767316578</v>
      </c>
      <c r="BO67" s="1150">
        <f t="shared" si="61"/>
        <v>337.04449236038084</v>
      </c>
      <c r="BP67" s="1150">
        <f t="shared" si="61"/>
        <v>337.61492161979533</v>
      </c>
      <c r="BQ67" s="1150">
        <f t="shared" si="61"/>
        <v>338.17393853067477</v>
      </c>
      <c r="BR67" s="1150">
        <f t="shared" si="61"/>
        <v>338.72188218438089</v>
      </c>
      <c r="BS67" s="1150">
        <f t="shared" si="61"/>
        <v>339.25907837027444</v>
      </c>
      <c r="BT67" s="1150">
        <f t="shared" si="61"/>
        <v>339.78584022164961</v>
      </c>
      <c r="BU67" s="1150">
        <f t="shared" si="61"/>
        <v>340.30246882439332</v>
      </c>
      <c r="BV67" s="1150">
        <f t="shared" si="61"/>
        <v>340.80925379084965</v>
      </c>
      <c r="BW67" s="1150">
        <f t="shared" si="61"/>
        <v>341.30647380119501</v>
      </c>
      <c r="BX67" s="1150">
        <f t="shared" si="61"/>
        <v>341.7943971144428</v>
      </c>
      <c r="BY67" s="1155">
        <f t="shared" si="61"/>
        <v>342.27328205105329</v>
      </c>
    </row>
    <row r="68" spans="2:78" s="1150" customFormat="1">
      <c r="B68" s="1151"/>
      <c r="D68" s="1152"/>
      <c r="E68" s="1152"/>
      <c r="I68" s="1157"/>
      <c r="J68" s="1157"/>
      <c r="K68" s="1157"/>
      <c r="L68" s="1157"/>
      <c r="M68" s="1157"/>
      <c r="N68" s="1152"/>
      <c r="O68" s="1151"/>
      <c r="P68" s="1154"/>
      <c r="Q68" s="1152"/>
      <c r="R68" s="1270"/>
      <c r="S68" s="1152"/>
      <c r="AC68" s="1155"/>
      <c r="AO68" s="1155"/>
      <c r="BA68" s="1155"/>
      <c r="BM68" s="1155"/>
      <c r="BY68" s="1155"/>
    </row>
    <row r="69" spans="2:78" s="1149" customFormat="1">
      <c r="B69" s="367"/>
      <c r="C69" s="1113"/>
      <c r="D69" s="667"/>
      <c r="E69" s="667" t="s">
        <v>1988</v>
      </c>
      <c r="F69" s="1113"/>
      <c r="G69" s="1113"/>
      <c r="H69" s="1144"/>
      <c r="I69" s="646">
        <f t="shared" ref="I69:M70" si="62">I58+I50+I41+I33+I24+I16</f>
        <v>1082983.5756406127</v>
      </c>
      <c r="J69" s="646">
        <f t="shared" si="62"/>
        <v>2532441.4687815127</v>
      </c>
      <c r="K69" s="646">
        <f t="shared" si="62"/>
        <v>3637428.211604082</v>
      </c>
      <c r="L69" s="646">
        <f t="shared" si="62"/>
        <v>4542117.8734707786</v>
      </c>
      <c r="M69" s="646">
        <f t="shared" si="62"/>
        <v>5486033.1516347229</v>
      </c>
      <c r="N69" s="368"/>
      <c r="O69" s="367"/>
      <c r="P69" s="1145"/>
      <c r="Q69" s="368">
        <f t="shared" ref="Q69:AV69" si="63">Q58+Q50+Q41+Q33+Q24+Q16</f>
        <v>0</v>
      </c>
      <c r="R69" s="1268">
        <f t="shared" si="63"/>
        <v>34793.333012901297</v>
      </c>
      <c r="S69" s="368">
        <f t="shared" si="63"/>
        <v>44876.114520261865</v>
      </c>
      <c r="T69" s="1146">
        <f t="shared" si="63"/>
        <v>54958.896027622432</v>
      </c>
      <c r="U69" s="1146">
        <f t="shared" si="63"/>
        <v>65041.677534982999</v>
      </c>
      <c r="V69" s="1146">
        <f t="shared" si="63"/>
        <v>75124.459042343573</v>
      </c>
      <c r="W69" s="1146">
        <f t="shared" si="63"/>
        <v>85207.240549704133</v>
      </c>
      <c r="X69" s="1146">
        <f t="shared" si="63"/>
        <v>95290.022057064707</v>
      </c>
      <c r="Y69" s="1146">
        <f t="shared" si="63"/>
        <v>105372.80356442525</v>
      </c>
      <c r="Z69" s="1146">
        <f t="shared" si="63"/>
        <v>115455.58507178584</v>
      </c>
      <c r="AA69" s="1146">
        <f t="shared" si="63"/>
        <v>125538.3665791464</v>
      </c>
      <c r="AB69" s="1146">
        <f t="shared" si="63"/>
        <v>135621.14808650699</v>
      </c>
      <c r="AC69" s="1147">
        <f t="shared" si="63"/>
        <v>145703.92959386754</v>
      </c>
      <c r="AD69" s="1146">
        <f t="shared" si="63"/>
        <v>156504.72057783057</v>
      </c>
      <c r="AE69" s="1146">
        <f t="shared" si="63"/>
        <v>166419.64212097519</v>
      </c>
      <c r="AF69" s="1146">
        <f t="shared" si="63"/>
        <v>176334.56366411984</v>
      </c>
      <c r="AG69" s="1146">
        <f t="shared" si="63"/>
        <v>186249.48520726446</v>
      </c>
      <c r="AH69" s="1146">
        <f t="shared" si="63"/>
        <v>196164.40675040911</v>
      </c>
      <c r="AI69" s="1146">
        <f t="shared" si="63"/>
        <v>206079.32829355373</v>
      </c>
      <c r="AJ69" s="1146">
        <f t="shared" si="63"/>
        <v>215994.24983669835</v>
      </c>
      <c r="AK69" s="1146">
        <f t="shared" si="63"/>
        <v>225909.17137984297</v>
      </c>
      <c r="AL69" s="1146">
        <f t="shared" si="63"/>
        <v>235824.09292298765</v>
      </c>
      <c r="AM69" s="1146">
        <f t="shared" si="63"/>
        <v>245739.01446613227</v>
      </c>
      <c r="AN69" s="1146">
        <f t="shared" si="63"/>
        <v>255653.93600927692</v>
      </c>
      <c r="AO69" s="1147">
        <f t="shared" si="63"/>
        <v>265568.85755242163</v>
      </c>
      <c r="AP69" s="1146">
        <f t="shared" si="63"/>
        <v>273055.84809950565</v>
      </c>
      <c r="AQ69" s="1146">
        <f t="shared" si="63"/>
        <v>278521.87892389984</v>
      </c>
      <c r="AR69" s="1146">
        <f t="shared" si="63"/>
        <v>283987.90974829393</v>
      </c>
      <c r="AS69" s="1146">
        <f t="shared" si="63"/>
        <v>289453.94057268812</v>
      </c>
      <c r="AT69" s="1146">
        <f t="shared" si="63"/>
        <v>294919.9713970822</v>
      </c>
      <c r="AU69" s="1146">
        <f t="shared" si="63"/>
        <v>300386.0022214764</v>
      </c>
      <c r="AV69" s="1146">
        <f t="shared" si="63"/>
        <v>305852.03304587054</v>
      </c>
      <c r="AW69" s="1146">
        <f t="shared" ref="AW69:BY69" si="64">AW58+AW50+AW41+AW33+AW24+AW16</f>
        <v>311318.06387026474</v>
      </c>
      <c r="AX69" s="1146">
        <f t="shared" si="64"/>
        <v>316784.09469465888</v>
      </c>
      <c r="AY69" s="1146">
        <f t="shared" si="64"/>
        <v>322250.12551905302</v>
      </c>
      <c r="AZ69" s="1146">
        <f t="shared" si="64"/>
        <v>327716.15634344716</v>
      </c>
      <c r="BA69" s="1147">
        <f t="shared" si="64"/>
        <v>333182.1871678413</v>
      </c>
      <c r="BB69" s="1146">
        <f t="shared" si="64"/>
        <v>342152.64707900153</v>
      </c>
      <c r="BC69" s="1146">
        <f t="shared" si="64"/>
        <v>348763.0426626798</v>
      </c>
      <c r="BD69" s="1146">
        <f t="shared" si="64"/>
        <v>355373.43824635795</v>
      </c>
      <c r="BE69" s="1146">
        <f t="shared" si="64"/>
        <v>361983.83383003616</v>
      </c>
      <c r="BF69" s="1146">
        <f t="shared" si="64"/>
        <v>368594.22941371426</v>
      </c>
      <c r="BG69" s="1146">
        <f t="shared" si="64"/>
        <v>375204.62499739253</v>
      </c>
      <c r="BH69" s="1146">
        <f t="shared" si="64"/>
        <v>381815.02058107068</v>
      </c>
      <c r="BI69" s="1146">
        <f t="shared" si="64"/>
        <v>388425.41616474884</v>
      </c>
      <c r="BJ69" s="1146">
        <f t="shared" si="64"/>
        <v>395035.81174842705</v>
      </c>
      <c r="BK69" s="1146">
        <f t="shared" si="64"/>
        <v>401646.20733210526</v>
      </c>
      <c r="BL69" s="1146">
        <f t="shared" si="64"/>
        <v>408256.60291578341</v>
      </c>
      <c r="BM69" s="1147">
        <f t="shared" si="64"/>
        <v>414866.99849946162</v>
      </c>
      <c r="BN69" s="1146">
        <f t="shared" si="64"/>
        <v>428729.51240833377</v>
      </c>
      <c r="BO69" s="1146">
        <f t="shared" si="64"/>
        <v>433900.40638916282</v>
      </c>
      <c r="BP69" s="1146">
        <f t="shared" si="64"/>
        <v>439071.30036999192</v>
      </c>
      <c r="BQ69" s="1146">
        <f t="shared" si="64"/>
        <v>444242.19435082097</v>
      </c>
      <c r="BR69" s="1146">
        <f t="shared" si="64"/>
        <v>449413.08833164995</v>
      </c>
      <c r="BS69" s="1146">
        <f t="shared" si="64"/>
        <v>454583.98231247906</v>
      </c>
      <c r="BT69" s="1146">
        <f t="shared" si="64"/>
        <v>459754.87629330804</v>
      </c>
      <c r="BU69" s="1146">
        <f t="shared" si="64"/>
        <v>464925.77027413715</v>
      </c>
      <c r="BV69" s="1146">
        <f t="shared" si="64"/>
        <v>470096.66425496613</v>
      </c>
      <c r="BW69" s="1146">
        <f t="shared" si="64"/>
        <v>475267.55823579524</v>
      </c>
      <c r="BX69" s="1146">
        <f t="shared" si="64"/>
        <v>480438.45221662428</v>
      </c>
      <c r="BY69" s="1147">
        <f t="shared" si="64"/>
        <v>485609.34619745333</v>
      </c>
      <c r="BZ69" s="1148">
        <f>ROUND(SUM(H69:M69)-SUM(Q69:BY69),0)</f>
        <v>0</v>
      </c>
    </row>
    <row r="70" spans="2:78" s="1149" customFormat="1" outlineLevel="1">
      <c r="B70" s="367"/>
      <c r="C70" s="1113"/>
      <c r="D70" s="667"/>
      <c r="E70" s="667" t="s">
        <v>1220</v>
      </c>
      <c r="F70" s="1113"/>
      <c r="G70" s="1113"/>
      <c r="H70" s="1144"/>
      <c r="I70" s="646">
        <f t="shared" si="62"/>
        <v>756686.17516673217</v>
      </c>
      <c r="J70" s="646">
        <f t="shared" si="62"/>
        <v>2255934.1898981524</v>
      </c>
      <c r="K70" s="646">
        <f t="shared" si="62"/>
        <v>3478843.5080752363</v>
      </c>
      <c r="L70" s="646">
        <f t="shared" si="62"/>
        <v>4353366.1848999662</v>
      </c>
      <c r="M70" s="646">
        <f t="shared" si="62"/>
        <v>5313123.9897622569</v>
      </c>
      <c r="N70" s="368"/>
      <c r="O70" s="367"/>
      <c r="P70" s="1145"/>
      <c r="Q70" s="368"/>
      <c r="R70" s="1268">
        <f t="shared" ref="R70:AW70" si="65">R17+R25+R34+R42+R51+R59</f>
        <v>0</v>
      </c>
      <c r="S70" s="368">
        <f t="shared" si="65"/>
        <v>0</v>
      </c>
      <c r="T70" s="1146">
        <f t="shared" si="65"/>
        <v>0</v>
      </c>
      <c r="U70" s="1146">
        <f t="shared" si="65"/>
        <v>0</v>
      </c>
      <c r="V70" s="1146">
        <f t="shared" si="65"/>
        <v>0</v>
      </c>
      <c r="W70" s="1146">
        <f t="shared" si="65"/>
        <v>0</v>
      </c>
      <c r="X70" s="1146">
        <f t="shared" si="65"/>
        <v>0</v>
      </c>
      <c r="Y70" s="1146">
        <f t="shared" si="65"/>
        <v>169188.69194984398</v>
      </c>
      <c r="Z70" s="1146">
        <f t="shared" si="65"/>
        <v>247209.25938792032</v>
      </c>
      <c r="AA70" s="1146">
        <f t="shared" si="65"/>
        <v>103346.6264356287</v>
      </c>
      <c r="AB70" s="1146">
        <f t="shared" si="65"/>
        <v>113429.40794298926</v>
      </c>
      <c r="AC70" s="1147">
        <f t="shared" si="65"/>
        <v>123512.18945034985</v>
      </c>
      <c r="AD70" s="1146">
        <f t="shared" si="65"/>
        <v>133594.97095771041</v>
      </c>
      <c r="AE70" s="1146">
        <f t="shared" si="65"/>
        <v>143677.75246507098</v>
      </c>
      <c r="AF70" s="1146">
        <f t="shared" si="65"/>
        <v>152234.18888842844</v>
      </c>
      <c r="AG70" s="1146">
        <f t="shared" si="65"/>
        <v>163276.67800374841</v>
      </c>
      <c r="AH70" s="1146">
        <f t="shared" si="65"/>
        <v>173191.59954689306</v>
      </c>
      <c r="AI70" s="1146">
        <f t="shared" si="65"/>
        <v>183106.52109003766</v>
      </c>
      <c r="AJ70" s="1146">
        <f t="shared" si="65"/>
        <v>193021.44263318231</v>
      </c>
      <c r="AK70" s="1146">
        <f t="shared" si="65"/>
        <v>202936.36417632696</v>
      </c>
      <c r="AL70" s="1146">
        <f t="shared" si="65"/>
        <v>212851.28571947158</v>
      </c>
      <c r="AM70" s="1146">
        <f t="shared" si="65"/>
        <v>222766.20726261617</v>
      </c>
      <c r="AN70" s="1146">
        <f t="shared" si="65"/>
        <v>232681.12880576088</v>
      </c>
      <c r="AO70" s="1147">
        <f t="shared" si="65"/>
        <v>242596.0503489055</v>
      </c>
      <c r="AP70" s="1146">
        <f t="shared" si="65"/>
        <v>252510.97189205012</v>
      </c>
      <c r="AQ70" s="1146">
        <f t="shared" si="65"/>
        <v>262425.8934351948</v>
      </c>
      <c r="AR70" s="1146">
        <f t="shared" si="65"/>
        <v>269974.66181460459</v>
      </c>
      <c r="AS70" s="1146">
        <f t="shared" si="65"/>
        <v>277461.65236168861</v>
      </c>
      <c r="AT70" s="1146">
        <f t="shared" si="65"/>
        <v>282927.68318608281</v>
      </c>
      <c r="AU70" s="1146">
        <f t="shared" si="65"/>
        <v>288393.71401047695</v>
      </c>
      <c r="AV70" s="1146">
        <f t="shared" si="65"/>
        <v>293859.74483487109</v>
      </c>
      <c r="AW70" s="1146">
        <f t="shared" si="65"/>
        <v>299325.77565926523</v>
      </c>
      <c r="AX70" s="1146">
        <f t="shared" ref="AX70:BY70" si="66">AX17+AX25+AX34+AX42+AX51+AX59</f>
        <v>304791.80648365937</v>
      </c>
      <c r="AY70" s="1146">
        <f t="shared" si="66"/>
        <v>310257.83730805357</v>
      </c>
      <c r="AZ70" s="1146">
        <f t="shared" si="66"/>
        <v>315723.86813244771</v>
      </c>
      <c r="BA70" s="1147">
        <f t="shared" si="66"/>
        <v>321189.89895684185</v>
      </c>
      <c r="BB70" s="1146">
        <f t="shared" si="66"/>
        <v>326655.92978123599</v>
      </c>
      <c r="BC70" s="1146">
        <f t="shared" si="66"/>
        <v>332121.96060563019</v>
      </c>
      <c r="BD70" s="1146">
        <f t="shared" si="66"/>
        <v>337587.99143002433</v>
      </c>
      <c r="BE70" s="1146">
        <f t="shared" si="66"/>
        <v>346558.45134118461</v>
      </c>
      <c r="BF70" s="1146">
        <f t="shared" si="66"/>
        <v>353168.84692486277</v>
      </c>
      <c r="BG70" s="1146">
        <f t="shared" si="66"/>
        <v>359779.24250854092</v>
      </c>
      <c r="BH70" s="1146">
        <f t="shared" si="66"/>
        <v>366389.63809221907</v>
      </c>
      <c r="BI70" s="1146">
        <f t="shared" si="66"/>
        <v>373000.03367589728</v>
      </c>
      <c r="BJ70" s="1146">
        <f t="shared" si="66"/>
        <v>379610.4292595755</v>
      </c>
      <c r="BK70" s="1146">
        <f t="shared" si="66"/>
        <v>386220.82484325365</v>
      </c>
      <c r="BL70" s="1146">
        <f t="shared" si="66"/>
        <v>392831.2204269318</v>
      </c>
      <c r="BM70" s="1147">
        <f t="shared" si="66"/>
        <v>399441.61601061001</v>
      </c>
      <c r="BN70" s="1146">
        <f t="shared" si="66"/>
        <v>406052.01159428823</v>
      </c>
      <c r="BO70" s="1146">
        <f t="shared" si="66"/>
        <v>412662.4071779665</v>
      </c>
      <c r="BP70" s="1146">
        <f t="shared" si="66"/>
        <v>423451.40247469739</v>
      </c>
      <c r="BQ70" s="1146">
        <f t="shared" si="66"/>
        <v>431645.10946727323</v>
      </c>
      <c r="BR70" s="1146">
        <f t="shared" si="66"/>
        <v>436816.00344810227</v>
      </c>
      <c r="BS70" s="1146">
        <f t="shared" si="66"/>
        <v>441986.89742893132</v>
      </c>
      <c r="BT70" s="1146">
        <f t="shared" si="66"/>
        <v>447157.79140976036</v>
      </c>
      <c r="BU70" s="1146">
        <f t="shared" si="66"/>
        <v>452328.68539058941</v>
      </c>
      <c r="BV70" s="1146">
        <f t="shared" si="66"/>
        <v>457499.57937141845</v>
      </c>
      <c r="BW70" s="1146">
        <f t="shared" si="66"/>
        <v>462670.47335224756</v>
      </c>
      <c r="BX70" s="1146">
        <f t="shared" si="66"/>
        <v>467841.3673330766</v>
      </c>
      <c r="BY70" s="1147">
        <f t="shared" si="66"/>
        <v>473012.26131390571</v>
      </c>
      <c r="BZ70" s="1148">
        <f>ROUND(SUM(H70:M70)-SUM(Q70:BY70),0)</f>
        <v>0</v>
      </c>
    </row>
    <row r="71" spans="2:78" s="1113" customFormat="1">
      <c r="B71" s="668"/>
      <c r="D71" s="1117"/>
      <c r="E71" s="1115"/>
      <c r="I71" s="1114"/>
      <c r="J71" s="1114"/>
      <c r="K71" s="1114"/>
      <c r="L71" s="1114"/>
      <c r="M71" s="1114"/>
      <c r="N71" s="667"/>
      <c r="O71" s="668"/>
      <c r="P71" s="1115"/>
      <c r="Q71" s="667"/>
      <c r="R71" s="1261"/>
      <c r="S71" s="667"/>
      <c r="AC71" s="1116"/>
      <c r="AO71" s="1116"/>
      <c r="BA71" s="1116"/>
      <c r="BM71" s="1116"/>
      <c r="BY71" s="1116"/>
    </row>
    <row r="72" spans="2:78" s="359" customFormat="1" outlineLevel="1">
      <c r="B72" s="358"/>
      <c r="D72" s="366"/>
      <c r="E72" s="359" t="s">
        <v>1698</v>
      </c>
      <c r="F72" s="366"/>
      <c r="G72" s="366"/>
      <c r="N72" s="366"/>
      <c r="O72" s="365"/>
      <c r="P72" s="366"/>
      <c r="Q72" s="366"/>
      <c r="R72" s="1271"/>
      <c r="AC72" s="947"/>
      <c r="AO72" s="947"/>
      <c r="BA72" s="947"/>
      <c r="BM72" s="947"/>
      <c r="BY72" s="947"/>
      <c r="BZ72" s="652"/>
    </row>
    <row r="73" spans="2:78" s="359" customFormat="1" outlineLevel="1">
      <c r="B73" s="358"/>
      <c r="D73" s="366"/>
      <c r="F73" s="366" t="s">
        <v>2651</v>
      </c>
      <c r="G73" s="366"/>
      <c r="H73" s="359">
        <f>Q73</f>
        <v>72333.333333333314</v>
      </c>
      <c r="I73" s="359">
        <f>SUM(R73:AC73)</f>
        <v>216999.99999999997</v>
      </c>
      <c r="J73" s="359">
        <f>SUM(AD73:AO73)</f>
        <v>340415</v>
      </c>
      <c r="K73" s="359">
        <f>SUM(AP73:BA73)</f>
        <v>456717.4499999999</v>
      </c>
      <c r="L73" s="359">
        <f>SUM(BB73:BM73)</f>
        <v>562208.04150000005</v>
      </c>
      <c r="M73" s="1741">
        <f>SUM(BN73:BY73)</f>
        <v>651782.15187099995</v>
      </c>
      <c r="N73" s="366"/>
      <c r="O73" s="365"/>
      <c r="P73" s="366"/>
      <c r="Q73" s="366">
        <f>I73*'2.3 Expenses'!$S$34</f>
        <v>72333.333333333314</v>
      </c>
      <c r="R73" s="1271">
        <f>'2.2 Staffing'!$R129/3</f>
        <v>17083.333333333332</v>
      </c>
      <c r="S73" s="359">
        <f>'2.2 Staffing'!$R129/3</f>
        <v>17083.333333333332</v>
      </c>
      <c r="T73" s="359">
        <f>'2.2 Staffing'!$R129/3</f>
        <v>17083.333333333332</v>
      </c>
      <c r="U73" s="359">
        <f>'2.2 Staffing'!$S129/3</f>
        <v>17083.333333333332</v>
      </c>
      <c r="V73" s="359">
        <f>'2.2 Staffing'!$S129/3</f>
        <v>17083.333333333332</v>
      </c>
      <c r="W73" s="359">
        <f>'2.2 Staffing'!$S129/3</f>
        <v>17083.333333333332</v>
      </c>
      <c r="X73" s="359">
        <f>'2.2 Staffing'!$T129/3</f>
        <v>18416.666666666668</v>
      </c>
      <c r="Y73" s="359">
        <f>'2.2 Staffing'!$T129/3</f>
        <v>18416.666666666668</v>
      </c>
      <c r="Z73" s="359">
        <f>'2.2 Staffing'!$T129/3</f>
        <v>18416.666666666668</v>
      </c>
      <c r="AA73" s="359">
        <f>'2.2 Staffing'!$U129/3</f>
        <v>19750</v>
      </c>
      <c r="AB73" s="359">
        <f>'2.2 Staffing'!$U129/3</f>
        <v>19750</v>
      </c>
      <c r="AC73" s="947">
        <f>'2.2 Staffing'!$U129/3</f>
        <v>19750</v>
      </c>
      <c r="AD73" s="359">
        <f>'2.2 Staffing'!$W$129/12</f>
        <v>28367.916666666668</v>
      </c>
      <c r="AE73" s="359">
        <f>'2.2 Staffing'!$W$129/12</f>
        <v>28367.916666666668</v>
      </c>
      <c r="AF73" s="359">
        <f>'2.2 Staffing'!$W$129/12</f>
        <v>28367.916666666668</v>
      </c>
      <c r="AG73" s="359">
        <f>'2.2 Staffing'!$W$129/12</f>
        <v>28367.916666666668</v>
      </c>
      <c r="AH73" s="359">
        <f>'2.2 Staffing'!$W$129/12</f>
        <v>28367.916666666668</v>
      </c>
      <c r="AI73" s="359">
        <f>'2.2 Staffing'!$W$129/12</f>
        <v>28367.916666666668</v>
      </c>
      <c r="AJ73" s="359">
        <f>'2.2 Staffing'!$W$129/12</f>
        <v>28367.916666666668</v>
      </c>
      <c r="AK73" s="359">
        <f>'2.2 Staffing'!$W$129/12</f>
        <v>28367.916666666668</v>
      </c>
      <c r="AL73" s="359">
        <f>'2.2 Staffing'!$W$129/12</f>
        <v>28367.916666666668</v>
      </c>
      <c r="AM73" s="359">
        <f>'2.2 Staffing'!$W$129/12</f>
        <v>28367.916666666668</v>
      </c>
      <c r="AN73" s="359">
        <f>'2.2 Staffing'!$W$129/12</f>
        <v>28367.916666666668</v>
      </c>
      <c r="AO73" s="947">
        <f>'2.2 Staffing'!$W$129/12</f>
        <v>28367.916666666668</v>
      </c>
      <c r="AP73" s="359">
        <f>'2.2 Staffing'!$X$129/12</f>
        <v>38059.787499999999</v>
      </c>
      <c r="AQ73" s="359">
        <f>'2.2 Staffing'!$X$129/12</f>
        <v>38059.787499999999</v>
      </c>
      <c r="AR73" s="359">
        <f>'2.2 Staffing'!$X$129/12</f>
        <v>38059.787499999999</v>
      </c>
      <c r="AS73" s="359">
        <f>'2.2 Staffing'!$X$129/12</f>
        <v>38059.787499999999</v>
      </c>
      <c r="AT73" s="359">
        <f>'2.2 Staffing'!$X$129/12</f>
        <v>38059.787499999999</v>
      </c>
      <c r="AU73" s="359">
        <f>'2.2 Staffing'!$X$129/12</f>
        <v>38059.787499999999</v>
      </c>
      <c r="AV73" s="359">
        <f>'2.2 Staffing'!$X$129/12</f>
        <v>38059.787499999999</v>
      </c>
      <c r="AW73" s="359">
        <f>'2.2 Staffing'!$X$129/12</f>
        <v>38059.787499999999</v>
      </c>
      <c r="AX73" s="359">
        <f>'2.2 Staffing'!$X$129/12</f>
        <v>38059.787499999999</v>
      </c>
      <c r="AY73" s="359">
        <f>'2.2 Staffing'!$X$129/12</f>
        <v>38059.787499999999</v>
      </c>
      <c r="AZ73" s="359">
        <f>'2.2 Staffing'!$X$129/12</f>
        <v>38059.787499999999</v>
      </c>
      <c r="BA73" s="947">
        <f>'2.2 Staffing'!$X$129/12</f>
        <v>38059.787499999999</v>
      </c>
      <c r="BB73" s="359">
        <f>'2.2 Staffing'!$Y$129/12</f>
        <v>46850.670125000004</v>
      </c>
      <c r="BC73" s="359">
        <f>'2.2 Staffing'!$Y$129/12</f>
        <v>46850.670125000004</v>
      </c>
      <c r="BD73" s="359">
        <f>'2.2 Staffing'!$Y$129/12</f>
        <v>46850.670125000004</v>
      </c>
      <c r="BE73" s="359">
        <f>'2.2 Staffing'!$Y$129/12</f>
        <v>46850.670125000004</v>
      </c>
      <c r="BF73" s="359">
        <f>'2.2 Staffing'!$Y$129/12</f>
        <v>46850.670125000004</v>
      </c>
      <c r="BG73" s="359">
        <f>'2.2 Staffing'!$Y$129/12</f>
        <v>46850.670125000004</v>
      </c>
      <c r="BH73" s="359">
        <f>'2.2 Staffing'!$Y$129/12</f>
        <v>46850.670125000004</v>
      </c>
      <c r="BI73" s="359">
        <f>'2.2 Staffing'!$Y$129/12</f>
        <v>46850.670125000004</v>
      </c>
      <c r="BJ73" s="359">
        <f>'2.2 Staffing'!$Y$129/12</f>
        <v>46850.670125000004</v>
      </c>
      <c r="BK73" s="359">
        <f>'2.2 Staffing'!$Y$129/12</f>
        <v>46850.670125000004</v>
      </c>
      <c r="BL73" s="359">
        <f>'2.2 Staffing'!$Y$129/12</f>
        <v>46850.670125000004</v>
      </c>
      <c r="BM73" s="947">
        <f>'2.2 Staffing'!$Y$129/12</f>
        <v>46850.670125000004</v>
      </c>
      <c r="BN73" s="359">
        <f>'2.2 Staffing'!$Z$129/12</f>
        <v>54315.179322583332</v>
      </c>
      <c r="BO73" s="359">
        <f>'2.2 Staffing'!$Z$129/12</f>
        <v>54315.179322583332</v>
      </c>
      <c r="BP73" s="359">
        <f>'2.2 Staffing'!$Z$129/12</f>
        <v>54315.179322583332</v>
      </c>
      <c r="BQ73" s="359">
        <f>'2.2 Staffing'!$Z$129/12</f>
        <v>54315.179322583332</v>
      </c>
      <c r="BR73" s="359">
        <f>'2.2 Staffing'!$Z$129/12</f>
        <v>54315.179322583332</v>
      </c>
      <c r="BS73" s="359">
        <f>'2.2 Staffing'!$Z$129/12</f>
        <v>54315.179322583332</v>
      </c>
      <c r="BT73" s="359">
        <f>'2.2 Staffing'!$Z$129/12</f>
        <v>54315.179322583332</v>
      </c>
      <c r="BU73" s="359">
        <f>'2.2 Staffing'!$Z$129/12</f>
        <v>54315.179322583332</v>
      </c>
      <c r="BV73" s="359">
        <f>'2.2 Staffing'!$Z$129/12</f>
        <v>54315.179322583332</v>
      </c>
      <c r="BW73" s="359">
        <f>'2.2 Staffing'!$Z$129/12</f>
        <v>54315.179322583332</v>
      </c>
      <c r="BX73" s="359">
        <f>'2.2 Staffing'!$Z$129/12</f>
        <v>54315.179322583332</v>
      </c>
      <c r="BY73" s="947">
        <f>'2.2 Staffing'!$Z$129/12</f>
        <v>54315.179322583332</v>
      </c>
      <c r="BZ73" s="652">
        <f t="shared" ref="BZ73:BZ80" si="67">ROUND(SUM(H73:M73)-SUM(Q73:BY73),0)</f>
        <v>0</v>
      </c>
    </row>
    <row r="74" spans="2:78" s="359" customFormat="1" outlineLevel="1">
      <c r="B74" s="358"/>
      <c r="D74" s="366"/>
      <c r="F74" s="366" t="s">
        <v>2652</v>
      </c>
      <c r="G74" s="366"/>
      <c r="H74" s="359">
        <f>Q74</f>
        <v>41333.333333333328</v>
      </c>
      <c r="I74" s="359">
        <f>SUM(R74:AC74)</f>
        <v>124000</v>
      </c>
      <c r="J74" s="359">
        <f>SUM(AD74:AO74)</f>
        <v>172525</v>
      </c>
      <c r="K74" s="359">
        <f>SUM(AP74:BA74)</f>
        <v>244325.27000000005</v>
      </c>
      <c r="L74" s="359">
        <f>SUM(BB74:BM74)</f>
        <v>311354.34653333324</v>
      </c>
      <c r="M74" s="954">
        <f>SUM(BN74:BY74)</f>
        <v>356073.47052366659</v>
      </c>
      <c r="N74" s="366"/>
      <c r="O74" s="365"/>
      <c r="P74" s="366"/>
      <c r="Q74" s="366">
        <f>I74*'2.3 Expenses'!$S$34</f>
        <v>41333.333333333328</v>
      </c>
      <c r="R74" s="1271">
        <f>'2.2 Staffing'!$R128/3</f>
        <v>9416.6666666666661</v>
      </c>
      <c r="S74" s="359">
        <f>'2.2 Staffing'!$R128/3</f>
        <v>9416.6666666666661</v>
      </c>
      <c r="T74" s="359">
        <f>'2.2 Staffing'!$R128/3</f>
        <v>9416.6666666666661</v>
      </c>
      <c r="U74" s="359">
        <f>'2.2 Staffing'!$S128/3</f>
        <v>9416.6666666666661</v>
      </c>
      <c r="V74" s="359">
        <f>'2.2 Staffing'!$S128/3</f>
        <v>9416.6666666666661</v>
      </c>
      <c r="W74" s="359">
        <f>'2.2 Staffing'!$S128/3</f>
        <v>9416.6666666666661</v>
      </c>
      <c r="X74" s="359">
        <f>'2.2 Staffing'!$T128/3</f>
        <v>11250</v>
      </c>
      <c r="Y74" s="359">
        <f>'2.2 Staffing'!$T128/3</f>
        <v>11250</v>
      </c>
      <c r="Z74" s="359">
        <f>'2.2 Staffing'!$T128/3</f>
        <v>11250</v>
      </c>
      <c r="AA74" s="359">
        <f>'2.2 Staffing'!$U128/3</f>
        <v>11250</v>
      </c>
      <c r="AB74" s="359">
        <f>'2.2 Staffing'!$U128/3</f>
        <v>11250</v>
      </c>
      <c r="AC74" s="947">
        <f>'2.2 Staffing'!$U128/3</f>
        <v>11250</v>
      </c>
      <c r="AD74" s="359">
        <f>'2.2 Staffing'!$W128/12</f>
        <v>14377.083333333334</v>
      </c>
      <c r="AE74" s="359">
        <f>'2.2 Staffing'!$W128/12</f>
        <v>14377.083333333334</v>
      </c>
      <c r="AF74" s="359">
        <f>'2.2 Staffing'!$W128/12</f>
        <v>14377.083333333334</v>
      </c>
      <c r="AG74" s="359">
        <f>'2.2 Staffing'!$W128/12</f>
        <v>14377.083333333334</v>
      </c>
      <c r="AH74" s="359">
        <f>'2.2 Staffing'!$W128/12</f>
        <v>14377.083333333334</v>
      </c>
      <c r="AI74" s="359">
        <f>'2.2 Staffing'!$W128/12</f>
        <v>14377.083333333334</v>
      </c>
      <c r="AJ74" s="359">
        <f>'2.2 Staffing'!$W128/12</f>
        <v>14377.083333333334</v>
      </c>
      <c r="AK74" s="359">
        <f>'2.2 Staffing'!$W128/12</f>
        <v>14377.083333333334</v>
      </c>
      <c r="AL74" s="359">
        <f>'2.2 Staffing'!$W128/12</f>
        <v>14377.083333333334</v>
      </c>
      <c r="AM74" s="359">
        <f>'2.2 Staffing'!$W128/12</f>
        <v>14377.083333333334</v>
      </c>
      <c r="AN74" s="359">
        <f>'2.2 Staffing'!$W128/12</f>
        <v>14377.083333333334</v>
      </c>
      <c r="AO74" s="947">
        <f>'2.2 Staffing'!$W128/12</f>
        <v>14377.083333333334</v>
      </c>
      <c r="AP74" s="359">
        <f>'2.2 Staffing'!$X128/12</f>
        <v>20360.439166666667</v>
      </c>
      <c r="AQ74" s="359">
        <f>'2.2 Staffing'!$X128/12</f>
        <v>20360.439166666667</v>
      </c>
      <c r="AR74" s="359">
        <f>'2.2 Staffing'!$X128/12</f>
        <v>20360.439166666667</v>
      </c>
      <c r="AS74" s="359">
        <f>'2.2 Staffing'!$X128/12</f>
        <v>20360.439166666667</v>
      </c>
      <c r="AT74" s="359">
        <f>'2.2 Staffing'!$X128/12</f>
        <v>20360.439166666667</v>
      </c>
      <c r="AU74" s="359">
        <f>'2.2 Staffing'!$X128/12</f>
        <v>20360.439166666667</v>
      </c>
      <c r="AV74" s="359">
        <f>'2.2 Staffing'!$X128/12</f>
        <v>20360.439166666667</v>
      </c>
      <c r="AW74" s="359">
        <f>'2.2 Staffing'!$X128/12</f>
        <v>20360.439166666667</v>
      </c>
      <c r="AX74" s="359">
        <f>'2.2 Staffing'!$X128/12</f>
        <v>20360.439166666667</v>
      </c>
      <c r="AY74" s="359">
        <f>'2.2 Staffing'!$X128/12</f>
        <v>20360.439166666667</v>
      </c>
      <c r="AZ74" s="359">
        <f>'2.2 Staffing'!$X128/12</f>
        <v>20360.439166666667</v>
      </c>
      <c r="BA74" s="947">
        <f>'2.2 Staffing'!$X128/12</f>
        <v>20360.439166666667</v>
      </c>
      <c r="BB74" s="359">
        <f>'2.2 Staffing'!$Y128/12</f>
        <v>25946.195544444443</v>
      </c>
      <c r="BC74" s="359">
        <f>'2.2 Staffing'!$Y128/12</f>
        <v>25946.195544444443</v>
      </c>
      <c r="BD74" s="359">
        <f>'2.2 Staffing'!$Y128/12</f>
        <v>25946.195544444443</v>
      </c>
      <c r="BE74" s="359">
        <f>'2.2 Staffing'!$Y128/12</f>
        <v>25946.195544444443</v>
      </c>
      <c r="BF74" s="359">
        <f>'2.2 Staffing'!$Y128/12</f>
        <v>25946.195544444443</v>
      </c>
      <c r="BG74" s="359">
        <f>'2.2 Staffing'!$Y128/12</f>
        <v>25946.195544444443</v>
      </c>
      <c r="BH74" s="359">
        <f>'2.2 Staffing'!$Y128/12</f>
        <v>25946.195544444443</v>
      </c>
      <c r="BI74" s="359">
        <f>'2.2 Staffing'!$Y128/12</f>
        <v>25946.195544444443</v>
      </c>
      <c r="BJ74" s="359">
        <f>'2.2 Staffing'!$Y128/12</f>
        <v>25946.195544444443</v>
      </c>
      <c r="BK74" s="359">
        <f>'2.2 Staffing'!$Y128/12</f>
        <v>25946.195544444443</v>
      </c>
      <c r="BL74" s="359">
        <f>'2.2 Staffing'!$Y128/12</f>
        <v>25946.195544444443</v>
      </c>
      <c r="BM74" s="947">
        <f>'2.2 Staffing'!$Y128/12</f>
        <v>25946.195544444443</v>
      </c>
      <c r="BN74" s="359">
        <f>'2.2 Staffing'!$Z128/12</f>
        <v>29672.789210305549</v>
      </c>
      <c r="BO74" s="359">
        <f>'2.2 Staffing'!$Z128/12</f>
        <v>29672.789210305549</v>
      </c>
      <c r="BP74" s="359">
        <f>'2.2 Staffing'!$Z128/12</f>
        <v>29672.789210305549</v>
      </c>
      <c r="BQ74" s="359">
        <f>'2.2 Staffing'!$Z128/12</f>
        <v>29672.789210305549</v>
      </c>
      <c r="BR74" s="359">
        <f>'2.2 Staffing'!$Z128/12</f>
        <v>29672.789210305549</v>
      </c>
      <c r="BS74" s="359">
        <f>'2.2 Staffing'!$Z128/12</f>
        <v>29672.789210305549</v>
      </c>
      <c r="BT74" s="359">
        <f>'2.2 Staffing'!$Z128/12</f>
        <v>29672.789210305549</v>
      </c>
      <c r="BU74" s="359">
        <f>'2.2 Staffing'!$Z128/12</f>
        <v>29672.789210305549</v>
      </c>
      <c r="BV74" s="359">
        <f>'2.2 Staffing'!$Z128/12</f>
        <v>29672.789210305549</v>
      </c>
      <c r="BW74" s="359">
        <f>'2.2 Staffing'!$Z128/12</f>
        <v>29672.789210305549</v>
      </c>
      <c r="BX74" s="359">
        <f>'2.2 Staffing'!$Z128/12</f>
        <v>29672.789210305549</v>
      </c>
      <c r="BY74" s="947">
        <f>'2.2 Staffing'!$Z128/12</f>
        <v>29672.789210305549</v>
      </c>
      <c r="BZ74" s="652">
        <f t="shared" si="67"/>
        <v>0</v>
      </c>
    </row>
    <row r="75" spans="2:78" s="359" customFormat="1" outlineLevel="1">
      <c r="B75" s="358"/>
      <c r="D75" s="366"/>
      <c r="F75" s="366" t="s">
        <v>2653</v>
      </c>
      <c r="G75" s="366"/>
      <c r="H75" s="359">
        <f>Q75</f>
        <v>44330</v>
      </c>
      <c r="I75" s="359">
        <f>SUM(R75:AC75)</f>
        <v>132990</v>
      </c>
      <c r="J75" s="359">
        <f>SUM(AD75:AO75)</f>
        <v>200046.60000000012</v>
      </c>
      <c r="K75" s="359">
        <f>SUM(AP75:BA75)</f>
        <v>273406.66079999995</v>
      </c>
      <c r="L75" s="359">
        <f>SUM(BB75:BM75)</f>
        <v>340689.33133299975</v>
      </c>
      <c r="M75" s="954">
        <f>SUM(BN75:BY75)</f>
        <v>393063.69273391995</v>
      </c>
      <c r="N75" s="366"/>
      <c r="O75" s="365"/>
      <c r="P75" s="366"/>
      <c r="Q75" s="366">
        <f>I75*'2.3 Expenses'!$S$34</f>
        <v>44330</v>
      </c>
      <c r="R75" s="1271">
        <f>'2.2 Staffing'!$R130/3</f>
        <v>10335</v>
      </c>
      <c r="S75" s="359">
        <f>'2.2 Staffing'!$R130/3</f>
        <v>10335</v>
      </c>
      <c r="T75" s="359">
        <f>'2.2 Staffing'!$R130/3</f>
        <v>10335</v>
      </c>
      <c r="U75" s="359">
        <f>'2.2 Staffing'!$S130/3</f>
        <v>10335</v>
      </c>
      <c r="V75" s="359">
        <f>'2.2 Staffing'!$S130/3</f>
        <v>10335</v>
      </c>
      <c r="W75" s="359">
        <f>'2.2 Staffing'!$S130/3</f>
        <v>10335</v>
      </c>
      <c r="X75" s="359">
        <f>'2.2 Staffing'!$T130/3</f>
        <v>11570</v>
      </c>
      <c r="Y75" s="359">
        <f>'2.2 Staffing'!$T130/3</f>
        <v>11570</v>
      </c>
      <c r="Z75" s="359">
        <f>'2.2 Staffing'!$T130/3</f>
        <v>11570</v>
      </c>
      <c r="AA75" s="359">
        <f>'2.2 Staffing'!$U130/3</f>
        <v>12090</v>
      </c>
      <c r="AB75" s="359">
        <f>'2.2 Staffing'!$U130/3</f>
        <v>12090</v>
      </c>
      <c r="AC75" s="947">
        <f>'2.2 Staffing'!$U130/3</f>
        <v>12090</v>
      </c>
      <c r="AD75" s="359">
        <f>IF(SUM($AD$73:$AO$74)=0,0,('2.2 Staffing'!$W$130*SUM(AD73:AD74)/SUM($AD$73:$AO$74)))</f>
        <v>16670.550000000007</v>
      </c>
      <c r="AE75" s="359">
        <f>IF(SUM($AD$73:$AO$74)=0,0,('2.2 Staffing'!$W$130*SUM(AE73:AE74)/SUM($AD$73:$AO$74)))</f>
        <v>16670.550000000007</v>
      </c>
      <c r="AF75" s="359">
        <f>IF(SUM($AD$73:$AO$74)=0,0,('2.2 Staffing'!$W$130*SUM(AF73:AF74)/SUM($AD$73:$AO$74)))</f>
        <v>16670.550000000007</v>
      </c>
      <c r="AG75" s="359">
        <f>IF(SUM($AD$73:$AO$74)=0,0,('2.2 Staffing'!$W$130*SUM(AG73:AG74)/SUM($AD$73:$AO$74)))</f>
        <v>16670.550000000007</v>
      </c>
      <c r="AH75" s="359">
        <f>IF(SUM($AD$73:$AO$74)=0,0,('2.2 Staffing'!$W$130*SUM(AH73:AH74)/SUM($AD$73:$AO$74)))</f>
        <v>16670.550000000007</v>
      </c>
      <c r="AI75" s="359">
        <f>IF(SUM($AD$73:$AO$74)=0,0,('2.2 Staffing'!$W$130*SUM(AI73:AI74)/SUM($AD$73:$AO$74)))</f>
        <v>16670.550000000007</v>
      </c>
      <c r="AJ75" s="359">
        <f>IF(SUM($AD$73:$AO$74)=0,0,('2.2 Staffing'!$W$130*SUM(AJ73:AJ74)/SUM($AD$73:$AO$74)))</f>
        <v>16670.550000000007</v>
      </c>
      <c r="AK75" s="359">
        <f>IF(SUM($AD$73:$AO$74)=0,0,('2.2 Staffing'!$W$130*SUM(AK73:AK74)/SUM($AD$73:$AO$74)))</f>
        <v>16670.550000000007</v>
      </c>
      <c r="AL75" s="359">
        <f>IF(SUM($AD$73:$AO$74)=0,0,('2.2 Staffing'!$W$130*SUM(AL73:AL74)/SUM($AD$73:$AO$74)))</f>
        <v>16670.550000000007</v>
      </c>
      <c r="AM75" s="359">
        <f>IF(SUM($AD$73:$AO$74)=0,0,('2.2 Staffing'!$W$130*SUM(AM73:AM74)/SUM($AD$73:$AO$74)))</f>
        <v>16670.550000000007</v>
      </c>
      <c r="AN75" s="359">
        <f>IF(SUM($AD$73:$AO$74)=0,0,('2.2 Staffing'!$W$130*SUM(AN73:AN74)/SUM($AD$73:$AO$74)))</f>
        <v>16670.550000000007</v>
      </c>
      <c r="AO75" s="947">
        <f>IF(SUM($AD$73:$AO$74)=0,0,('2.2 Staffing'!$W$130*SUM(AO73:AO74)/SUM($AD$73:$AO$74)))</f>
        <v>16670.550000000007</v>
      </c>
      <c r="AP75" s="359">
        <f>IF(SUM($AP$73:$BA$74)=0,0,('2.2 Staffing'!$X$130*SUM(AP73:AP74)/SUM($AP$73:$BA$74)))</f>
        <v>22783.888399999996</v>
      </c>
      <c r="AQ75" s="359">
        <f>IF(SUM($AP$73:$BA$74)=0,0,('2.2 Staffing'!$X$130*SUM(AQ73:AQ74)/SUM($AP$73:$BA$74)))</f>
        <v>22783.888399999996</v>
      </c>
      <c r="AR75" s="359">
        <f>IF(SUM($AP$73:$BA$74)=0,0,('2.2 Staffing'!$X$130*SUM(AR73:AR74)/SUM($AP$73:$BA$74)))</f>
        <v>22783.888399999996</v>
      </c>
      <c r="AS75" s="359">
        <f>IF(SUM($AP$73:$BA$74)=0,0,('2.2 Staffing'!$X$130*SUM(AS73:AS74)/SUM($AP$73:$BA$74)))</f>
        <v>22783.888399999996</v>
      </c>
      <c r="AT75" s="359">
        <f>IF(SUM($AP$73:$BA$74)=0,0,('2.2 Staffing'!$X$130*SUM(AT73:AT74)/SUM($AP$73:$BA$74)))</f>
        <v>22783.888399999996</v>
      </c>
      <c r="AU75" s="359">
        <f>IF(SUM($AP$73:$BA$74)=0,0,('2.2 Staffing'!$X$130*SUM(AU73:AU74)/SUM($AP$73:$BA$74)))</f>
        <v>22783.888399999996</v>
      </c>
      <c r="AV75" s="359">
        <f>IF(SUM($AP$73:$BA$74)=0,0,('2.2 Staffing'!$X$130*SUM(AV73:AV74)/SUM($AP$73:$BA$74)))</f>
        <v>22783.888399999996</v>
      </c>
      <c r="AW75" s="359">
        <f>IF(SUM($AP$73:$BA$74)=0,0,('2.2 Staffing'!$X$130*SUM(AW73:AW74)/SUM($AP$73:$BA$74)))</f>
        <v>22783.888399999996</v>
      </c>
      <c r="AX75" s="359">
        <f>IF(SUM($AP$73:$BA$74)=0,0,('2.2 Staffing'!$X$130*SUM(AX73:AX74)/SUM($AP$73:$BA$74)))</f>
        <v>22783.888399999996</v>
      </c>
      <c r="AY75" s="359">
        <f>IF(SUM($AP$73:$BA$74)=0,0,('2.2 Staffing'!$X$130*SUM(AY73:AY74)/SUM($AP$73:$BA$74)))</f>
        <v>22783.888399999996</v>
      </c>
      <c r="AZ75" s="359">
        <f>IF(SUM($AP$73:$BA$74)=0,0,('2.2 Staffing'!$X$130*SUM(AZ73:AZ74)/SUM($AP$73:$BA$74)))</f>
        <v>22783.888399999996</v>
      </c>
      <c r="BA75" s="947">
        <f>IF(SUM($AP$73:$BA$74)=0,0,('2.2 Staffing'!$X$130*SUM(BA73:BA74)/SUM($AP$73:$BA$74)))</f>
        <v>22783.888399999996</v>
      </c>
      <c r="BB75" s="359">
        <f>IF(SUM($BB$73:$BM$74)=0,0,('2.2 Staffing'!$Y$130*SUM(BB73:BB74)/SUM($BB$73:$BM$74)))</f>
        <v>28390.777611083315</v>
      </c>
      <c r="BC75" s="359">
        <f>IF(SUM($BB$73:$BM$74)=0,0,('2.2 Staffing'!$Y$130*SUM(BC73:BC74)/SUM($BB$73:$BM$74)))</f>
        <v>28390.777611083315</v>
      </c>
      <c r="BD75" s="359">
        <f>IF(SUM($BB$73:$BM$74)=0,0,('2.2 Staffing'!$Y$130*SUM(BD73:BD74)/SUM($BB$73:$BM$74)))</f>
        <v>28390.777611083315</v>
      </c>
      <c r="BE75" s="359">
        <f>IF(SUM($BB$73:$BM$74)=0,0,('2.2 Staffing'!$Y$130*SUM(BE73:BE74)/SUM($BB$73:$BM$74)))</f>
        <v>28390.777611083315</v>
      </c>
      <c r="BF75" s="359">
        <f>IF(SUM($BB$73:$BM$74)=0,0,('2.2 Staffing'!$Y$130*SUM(BF73:BF74)/SUM($BB$73:$BM$74)))</f>
        <v>28390.777611083315</v>
      </c>
      <c r="BG75" s="359">
        <f>IF(SUM($BB$73:$BM$74)=0,0,('2.2 Staffing'!$Y$130*SUM(BG73:BG74)/SUM($BB$73:$BM$74)))</f>
        <v>28390.777611083315</v>
      </c>
      <c r="BH75" s="359">
        <f>IF(SUM($BB$73:$BM$74)=0,0,('2.2 Staffing'!$Y$130*SUM(BH73:BH74)/SUM($BB$73:$BM$74)))</f>
        <v>28390.777611083315</v>
      </c>
      <c r="BI75" s="359">
        <f>IF(SUM($BB$73:$BM$74)=0,0,('2.2 Staffing'!$Y$130*SUM(BI73:BI74)/SUM($BB$73:$BM$74)))</f>
        <v>28390.777611083315</v>
      </c>
      <c r="BJ75" s="359">
        <f>IF(SUM($BB$73:$BM$74)=0,0,('2.2 Staffing'!$Y$130*SUM(BJ73:BJ74)/SUM($BB$73:$BM$74)))</f>
        <v>28390.777611083315</v>
      </c>
      <c r="BK75" s="359">
        <f>IF(SUM($BB$73:$BM$74)=0,0,('2.2 Staffing'!$Y$130*SUM(BK73:BK74)/SUM($BB$73:$BM$74)))</f>
        <v>28390.777611083315</v>
      </c>
      <c r="BL75" s="359">
        <f>IF(SUM($BB$73:$BM$74)=0,0,('2.2 Staffing'!$Y$130*SUM(BL73:BL74)/SUM($BB$73:$BM$74)))</f>
        <v>28390.777611083315</v>
      </c>
      <c r="BM75" s="947">
        <f>IF(SUM($BB$73:$BM$74)=0,0,('2.2 Staffing'!$Y$130*SUM(BM73:BM74)/SUM($BB$73:$BM$74)))</f>
        <v>28390.777611083315</v>
      </c>
      <c r="BN75" s="359">
        <f>IF(SUM($BN$73:$BY$74)=0,0,('2.2 Staffing'!$Z$130*SUM(BN73:BN74)/SUM($BN$73:$BY$74)))</f>
        <v>32755.307727826668</v>
      </c>
      <c r="BO75" s="359">
        <f>IF(SUM($BN$73:$BY$74)=0,0,('2.2 Staffing'!$Z$130*SUM(BO73:BO74)/SUM($BN$73:$BY$74)))</f>
        <v>32755.307727826668</v>
      </c>
      <c r="BP75" s="359">
        <f>IF(SUM($BN$73:$BY$74)=0,0,('2.2 Staffing'!$Z$130*SUM(BP73:BP74)/SUM($BN$73:$BY$74)))</f>
        <v>32755.307727826668</v>
      </c>
      <c r="BQ75" s="359">
        <f>IF(SUM($BN$73:$BY$74)=0,0,('2.2 Staffing'!$Z$130*SUM(BQ73:BQ74)/SUM($BN$73:$BY$74)))</f>
        <v>32755.307727826668</v>
      </c>
      <c r="BR75" s="359">
        <f>IF(SUM($BN$73:$BY$74)=0,0,('2.2 Staffing'!$Z$130*SUM(BR73:BR74)/SUM($BN$73:$BY$74)))</f>
        <v>32755.307727826668</v>
      </c>
      <c r="BS75" s="359">
        <f>IF(SUM($BN$73:$BY$74)=0,0,('2.2 Staffing'!$Z$130*SUM(BS73:BS74)/SUM($BN$73:$BY$74)))</f>
        <v>32755.307727826668</v>
      </c>
      <c r="BT75" s="359">
        <f>IF(SUM($BN$73:$BY$74)=0,0,('2.2 Staffing'!$Z$130*SUM(BT73:BT74)/SUM($BN$73:$BY$74)))</f>
        <v>32755.307727826668</v>
      </c>
      <c r="BU75" s="359">
        <f>IF(SUM($BN$73:$BY$74)=0,0,('2.2 Staffing'!$Z$130*SUM(BU73:BU74)/SUM($BN$73:$BY$74)))</f>
        <v>32755.307727826668</v>
      </c>
      <c r="BV75" s="359">
        <f>IF(SUM($BN$73:$BY$74)=0,0,('2.2 Staffing'!$Z$130*SUM(BV73:BV74)/SUM($BN$73:$BY$74)))</f>
        <v>32755.307727826668</v>
      </c>
      <c r="BW75" s="359">
        <f>IF(SUM($BN$73:$BY$74)=0,0,('2.2 Staffing'!$Z$130*SUM(BW73:BW74)/SUM($BN$73:$BY$74)))</f>
        <v>32755.307727826668</v>
      </c>
      <c r="BX75" s="359">
        <f>IF(SUM($BN$73:$BY$74)=0,0,('2.2 Staffing'!$Z$130*SUM(BX73:BX74)/SUM($BN$73:$BY$74)))</f>
        <v>32755.307727826668</v>
      </c>
      <c r="BY75" s="947">
        <f>IF(SUM($BN$73:$BY$74)=0,0,('2.2 Staffing'!$Z$130*SUM(BY73:BY74)/SUM($BN$73:$BY$74)))</f>
        <v>32755.307727826668</v>
      </c>
      <c r="BZ75" s="652">
        <f t="shared" si="67"/>
        <v>0</v>
      </c>
    </row>
    <row r="76" spans="2:78" s="359" customFormat="1" outlineLevel="1">
      <c r="B76" s="358"/>
      <c r="D76" s="366"/>
      <c r="F76" s="366" t="s">
        <v>2654</v>
      </c>
      <c r="G76" s="366"/>
      <c r="H76" s="364">
        <f>I76*'2.3 Expenses'!$S$34</f>
        <v>0</v>
      </c>
      <c r="I76" s="364">
        <f>'2.3 Expenses'!T42</f>
        <v>0</v>
      </c>
      <c r="J76" s="364">
        <f>'2.3 Expenses'!U42</f>
        <v>0</v>
      </c>
      <c r="K76" s="364">
        <f>'2.3 Expenses'!V42</f>
        <v>0</v>
      </c>
      <c r="L76" s="364">
        <f>'2.3 Expenses'!W42</f>
        <v>0</v>
      </c>
      <c r="M76" s="955">
        <f>'2.3 Expenses'!X42</f>
        <v>0</v>
      </c>
      <c r="N76" s="366"/>
      <c r="O76" s="365"/>
      <c r="P76" s="366"/>
      <c r="Q76" s="364">
        <f>H76</f>
        <v>0</v>
      </c>
      <c r="R76" s="1272">
        <f>$I76/12</f>
        <v>0</v>
      </c>
      <c r="S76" s="364">
        <f t="shared" ref="S76:AC76" si="68">$I76/12</f>
        <v>0</v>
      </c>
      <c r="T76" s="364">
        <f t="shared" si="68"/>
        <v>0</v>
      </c>
      <c r="U76" s="364">
        <f t="shared" si="68"/>
        <v>0</v>
      </c>
      <c r="V76" s="364">
        <f t="shared" si="68"/>
        <v>0</v>
      </c>
      <c r="W76" s="364">
        <f t="shared" si="68"/>
        <v>0</v>
      </c>
      <c r="X76" s="364">
        <f t="shared" si="68"/>
        <v>0</v>
      </c>
      <c r="Y76" s="364">
        <f t="shared" si="68"/>
        <v>0</v>
      </c>
      <c r="Z76" s="364">
        <f t="shared" si="68"/>
        <v>0</v>
      </c>
      <c r="AA76" s="364">
        <f t="shared" si="68"/>
        <v>0</v>
      </c>
      <c r="AB76" s="364">
        <f t="shared" si="68"/>
        <v>0</v>
      </c>
      <c r="AC76" s="949">
        <f t="shared" si="68"/>
        <v>0</v>
      </c>
      <c r="AD76" s="364">
        <f t="shared" ref="AD76:AO76" si="69">$J76/12</f>
        <v>0</v>
      </c>
      <c r="AE76" s="364">
        <f t="shared" si="69"/>
        <v>0</v>
      </c>
      <c r="AF76" s="364">
        <f t="shared" si="69"/>
        <v>0</v>
      </c>
      <c r="AG76" s="364">
        <f t="shared" si="69"/>
        <v>0</v>
      </c>
      <c r="AH76" s="364">
        <f t="shared" si="69"/>
        <v>0</v>
      </c>
      <c r="AI76" s="364">
        <f t="shared" si="69"/>
        <v>0</v>
      </c>
      <c r="AJ76" s="364">
        <f t="shared" si="69"/>
        <v>0</v>
      </c>
      <c r="AK76" s="364">
        <f t="shared" si="69"/>
        <v>0</v>
      </c>
      <c r="AL76" s="364">
        <f t="shared" si="69"/>
        <v>0</v>
      </c>
      <c r="AM76" s="364">
        <f t="shared" si="69"/>
        <v>0</v>
      </c>
      <c r="AN76" s="364">
        <f t="shared" si="69"/>
        <v>0</v>
      </c>
      <c r="AO76" s="949">
        <f t="shared" si="69"/>
        <v>0</v>
      </c>
      <c r="AP76" s="364">
        <f t="shared" ref="AP76:BA76" si="70">$K76/12</f>
        <v>0</v>
      </c>
      <c r="AQ76" s="364">
        <f t="shared" si="70"/>
        <v>0</v>
      </c>
      <c r="AR76" s="364">
        <f t="shared" si="70"/>
        <v>0</v>
      </c>
      <c r="AS76" s="364">
        <f t="shared" si="70"/>
        <v>0</v>
      </c>
      <c r="AT76" s="364">
        <f t="shared" si="70"/>
        <v>0</v>
      </c>
      <c r="AU76" s="364">
        <f t="shared" si="70"/>
        <v>0</v>
      </c>
      <c r="AV76" s="364">
        <f t="shared" si="70"/>
        <v>0</v>
      </c>
      <c r="AW76" s="364">
        <f t="shared" si="70"/>
        <v>0</v>
      </c>
      <c r="AX76" s="364">
        <f t="shared" si="70"/>
        <v>0</v>
      </c>
      <c r="AY76" s="364">
        <f t="shared" si="70"/>
        <v>0</v>
      </c>
      <c r="AZ76" s="364">
        <f t="shared" si="70"/>
        <v>0</v>
      </c>
      <c r="BA76" s="949">
        <f t="shared" si="70"/>
        <v>0</v>
      </c>
      <c r="BB76" s="364">
        <f>$L76/12</f>
        <v>0</v>
      </c>
      <c r="BC76" s="364">
        <f t="shared" ref="BC76:BM76" si="71">$L76/12</f>
        <v>0</v>
      </c>
      <c r="BD76" s="364">
        <f t="shared" si="71"/>
        <v>0</v>
      </c>
      <c r="BE76" s="364">
        <f t="shared" si="71"/>
        <v>0</v>
      </c>
      <c r="BF76" s="364">
        <f t="shared" si="71"/>
        <v>0</v>
      </c>
      <c r="BG76" s="364">
        <f t="shared" si="71"/>
        <v>0</v>
      </c>
      <c r="BH76" s="364">
        <f t="shared" si="71"/>
        <v>0</v>
      </c>
      <c r="BI76" s="364">
        <f t="shared" si="71"/>
        <v>0</v>
      </c>
      <c r="BJ76" s="364">
        <f t="shared" si="71"/>
        <v>0</v>
      </c>
      <c r="BK76" s="364">
        <f t="shared" si="71"/>
        <v>0</v>
      </c>
      <c r="BL76" s="364">
        <f t="shared" si="71"/>
        <v>0</v>
      </c>
      <c r="BM76" s="949">
        <f t="shared" si="71"/>
        <v>0</v>
      </c>
      <c r="BN76" s="364">
        <f>$M76/12</f>
        <v>0</v>
      </c>
      <c r="BO76" s="364">
        <f t="shared" ref="BO76:BY76" si="72">$M76/12</f>
        <v>0</v>
      </c>
      <c r="BP76" s="364">
        <f t="shared" si="72"/>
        <v>0</v>
      </c>
      <c r="BQ76" s="364">
        <f t="shared" si="72"/>
        <v>0</v>
      </c>
      <c r="BR76" s="364">
        <f t="shared" si="72"/>
        <v>0</v>
      </c>
      <c r="BS76" s="364">
        <f t="shared" si="72"/>
        <v>0</v>
      </c>
      <c r="BT76" s="364">
        <f t="shared" si="72"/>
        <v>0</v>
      </c>
      <c r="BU76" s="364">
        <f t="shared" si="72"/>
        <v>0</v>
      </c>
      <c r="BV76" s="364">
        <f t="shared" si="72"/>
        <v>0</v>
      </c>
      <c r="BW76" s="364">
        <f t="shared" si="72"/>
        <v>0</v>
      </c>
      <c r="BX76" s="364">
        <f t="shared" si="72"/>
        <v>0</v>
      </c>
      <c r="BY76" s="949">
        <f t="shared" si="72"/>
        <v>0</v>
      </c>
      <c r="BZ76" s="652">
        <f t="shared" si="67"/>
        <v>0</v>
      </c>
    </row>
    <row r="77" spans="2:78" s="359" customFormat="1">
      <c r="B77" s="358"/>
      <c r="D77" s="366"/>
      <c r="E77" s="359" t="s">
        <v>3125</v>
      </c>
      <c r="F77" s="366"/>
      <c r="G77" s="366"/>
      <c r="H77" s="359">
        <f>Q77</f>
        <v>157996.66666666663</v>
      </c>
      <c r="I77" s="359">
        <f>SUM(I73:I76)</f>
        <v>473990</v>
      </c>
      <c r="J77" s="359">
        <f>SUM(J73:J76)</f>
        <v>712986.60000000009</v>
      </c>
      <c r="K77" s="359">
        <f>SUM(K73:K76)</f>
        <v>974449.38079999993</v>
      </c>
      <c r="L77" s="359">
        <f>SUM(L73:L76)</f>
        <v>1214251.719366333</v>
      </c>
      <c r="M77" s="954">
        <f>SUM(M73:M76)</f>
        <v>1400919.3151285865</v>
      </c>
      <c r="N77" s="366"/>
      <c r="O77" s="365"/>
      <c r="P77" s="366"/>
      <c r="Q77" s="366">
        <f>SUM(Q73:Q76)</f>
        <v>157996.66666666663</v>
      </c>
      <c r="R77" s="1271">
        <f>SUM(R73:R76)</f>
        <v>36835</v>
      </c>
      <c r="S77" s="359">
        <f t="shared" ref="S77:BY77" si="73">SUM(S73:S76)</f>
        <v>36835</v>
      </c>
      <c r="T77" s="359">
        <f t="shared" si="73"/>
        <v>36835</v>
      </c>
      <c r="U77" s="359">
        <f t="shared" si="73"/>
        <v>36835</v>
      </c>
      <c r="V77" s="359">
        <f t="shared" si="73"/>
        <v>36835</v>
      </c>
      <c r="W77" s="359">
        <f t="shared" si="73"/>
        <v>36835</v>
      </c>
      <c r="X77" s="359">
        <f t="shared" si="73"/>
        <v>41236.666666666672</v>
      </c>
      <c r="Y77" s="359">
        <f t="shared" si="73"/>
        <v>41236.666666666672</v>
      </c>
      <c r="Z77" s="359">
        <f t="shared" si="73"/>
        <v>41236.666666666672</v>
      </c>
      <c r="AA77" s="359">
        <f t="shared" si="73"/>
        <v>43090</v>
      </c>
      <c r="AB77" s="359">
        <f t="shared" si="73"/>
        <v>43090</v>
      </c>
      <c r="AC77" s="947">
        <f t="shared" si="73"/>
        <v>43090</v>
      </c>
      <c r="AD77" s="359">
        <f t="shared" si="73"/>
        <v>59415.55</v>
      </c>
      <c r="AE77" s="359">
        <f t="shared" si="73"/>
        <v>59415.55</v>
      </c>
      <c r="AF77" s="359">
        <f t="shared" si="73"/>
        <v>59415.55</v>
      </c>
      <c r="AG77" s="359">
        <f t="shared" si="73"/>
        <v>59415.55</v>
      </c>
      <c r="AH77" s="359">
        <f t="shared" si="73"/>
        <v>59415.55</v>
      </c>
      <c r="AI77" s="359">
        <f t="shared" si="73"/>
        <v>59415.55</v>
      </c>
      <c r="AJ77" s="359">
        <f t="shared" si="73"/>
        <v>59415.55</v>
      </c>
      <c r="AK77" s="359">
        <f t="shared" si="73"/>
        <v>59415.55</v>
      </c>
      <c r="AL77" s="359">
        <f t="shared" si="73"/>
        <v>59415.55</v>
      </c>
      <c r="AM77" s="359">
        <f t="shared" si="73"/>
        <v>59415.55</v>
      </c>
      <c r="AN77" s="359">
        <f t="shared" si="73"/>
        <v>59415.55</v>
      </c>
      <c r="AO77" s="947">
        <f t="shared" si="73"/>
        <v>59415.55</v>
      </c>
      <c r="AP77" s="359">
        <f t="shared" si="73"/>
        <v>81204.115066666665</v>
      </c>
      <c r="AQ77" s="359">
        <f t="shared" si="73"/>
        <v>81204.115066666665</v>
      </c>
      <c r="AR77" s="359">
        <f t="shared" si="73"/>
        <v>81204.115066666665</v>
      </c>
      <c r="AS77" s="359">
        <f t="shared" si="73"/>
        <v>81204.115066666665</v>
      </c>
      <c r="AT77" s="359">
        <f t="shared" si="73"/>
        <v>81204.115066666665</v>
      </c>
      <c r="AU77" s="359">
        <f t="shared" si="73"/>
        <v>81204.115066666665</v>
      </c>
      <c r="AV77" s="359">
        <f t="shared" si="73"/>
        <v>81204.115066666665</v>
      </c>
      <c r="AW77" s="359">
        <f t="shared" si="73"/>
        <v>81204.115066666665</v>
      </c>
      <c r="AX77" s="359">
        <f t="shared" si="73"/>
        <v>81204.115066666665</v>
      </c>
      <c r="AY77" s="359">
        <f t="shared" si="73"/>
        <v>81204.115066666665</v>
      </c>
      <c r="AZ77" s="359">
        <f t="shared" si="73"/>
        <v>81204.115066666665</v>
      </c>
      <c r="BA77" s="947">
        <f t="shared" si="73"/>
        <v>81204.115066666665</v>
      </c>
      <c r="BB77" s="359">
        <f t="shared" si="73"/>
        <v>101187.64328052776</v>
      </c>
      <c r="BC77" s="359">
        <f t="shared" si="73"/>
        <v>101187.64328052776</v>
      </c>
      <c r="BD77" s="359">
        <f t="shared" si="73"/>
        <v>101187.64328052776</v>
      </c>
      <c r="BE77" s="359">
        <f t="shared" si="73"/>
        <v>101187.64328052776</v>
      </c>
      <c r="BF77" s="359">
        <f t="shared" si="73"/>
        <v>101187.64328052776</v>
      </c>
      <c r="BG77" s="359">
        <f t="shared" si="73"/>
        <v>101187.64328052776</v>
      </c>
      <c r="BH77" s="359">
        <f t="shared" si="73"/>
        <v>101187.64328052776</v>
      </c>
      <c r="BI77" s="359">
        <f t="shared" si="73"/>
        <v>101187.64328052776</v>
      </c>
      <c r="BJ77" s="359">
        <f t="shared" si="73"/>
        <v>101187.64328052776</v>
      </c>
      <c r="BK77" s="359">
        <f t="shared" si="73"/>
        <v>101187.64328052776</v>
      </c>
      <c r="BL77" s="359">
        <f t="shared" si="73"/>
        <v>101187.64328052776</v>
      </c>
      <c r="BM77" s="947">
        <f t="shared" si="73"/>
        <v>101187.64328052776</v>
      </c>
      <c r="BN77" s="359">
        <f t="shared" si="73"/>
        <v>116743.27626071556</v>
      </c>
      <c r="BO77" s="359">
        <f t="shared" si="73"/>
        <v>116743.27626071556</v>
      </c>
      <c r="BP77" s="359">
        <f t="shared" si="73"/>
        <v>116743.27626071556</v>
      </c>
      <c r="BQ77" s="359">
        <f t="shared" si="73"/>
        <v>116743.27626071556</v>
      </c>
      <c r="BR77" s="359">
        <f t="shared" si="73"/>
        <v>116743.27626071556</v>
      </c>
      <c r="BS77" s="359">
        <f t="shared" si="73"/>
        <v>116743.27626071556</v>
      </c>
      <c r="BT77" s="359">
        <f t="shared" si="73"/>
        <v>116743.27626071556</v>
      </c>
      <c r="BU77" s="359">
        <f t="shared" si="73"/>
        <v>116743.27626071556</v>
      </c>
      <c r="BV77" s="359">
        <f t="shared" si="73"/>
        <v>116743.27626071556</v>
      </c>
      <c r="BW77" s="359">
        <f t="shared" si="73"/>
        <v>116743.27626071556</v>
      </c>
      <c r="BX77" s="359">
        <f t="shared" si="73"/>
        <v>116743.27626071556</v>
      </c>
      <c r="BY77" s="947">
        <f t="shared" si="73"/>
        <v>116743.27626071556</v>
      </c>
      <c r="BZ77" s="652">
        <f t="shared" si="67"/>
        <v>0</v>
      </c>
    </row>
    <row r="78" spans="2:78" s="359" customFormat="1">
      <c r="B78" s="358"/>
      <c r="D78" s="366"/>
      <c r="E78" s="359" t="s">
        <v>3697</v>
      </c>
      <c r="F78" s="366"/>
      <c r="G78" s="366"/>
      <c r="H78" s="359">
        <f>'2.3 Expenses'!S26+'2.3 Expenses'!S29</f>
        <v>82367.423999999999</v>
      </c>
      <c r="I78" s="359">
        <f>IF('1.0 Summary'!$O$17="Yes",'2.3 Expenses'!T26,'2.3 Expenses'!T22)</f>
        <v>247102.272</v>
      </c>
      <c r="J78" s="359">
        <f>IF('1.0 Summary'!$O$17="Yes",'2.3 Expenses'!U26,'2.3 Expenses'!U22)</f>
        <v>254515.34015999999</v>
      </c>
      <c r="K78" s="359">
        <f>IF('1.0 Summary'!$O$17="Yes",'2.3 Expenses'!V26,'2.3 Expenses'!V22)</f>
        <v>262150.80036479997</v>
      </c>
      <c r="L78" s="359">
        <f>IF('1.0 Summary'!$O$17="Yes",'2.3 Expenses'!W26,'2.3 Expenses'!W22)</f>
        <v>270015.32437574398</v>
      </c>
      <c r="M78" s="954">
        <f>IF('1.0 Summary'!$O$17="Yes",'2.3 Expenses'!X26,'2.3 Expenses'!X22)</f>
        <v>278115.78410701628</v>
      </c>
      <c r="N78" s="366"/>
      <c r="O78" s="365"/>
      <c r="P78" s="366"/>
      <c r="Q78" s="366">
        <f>H78</f>
        <v>82367.423999999999</v>
      </c>
      <c r="R78" s="1271">
        <f t="shared" ref="R78:AC79" si="74">$I78/12</f>
        <v>20591.856</v>
      </c>
      <c r="S78" s="359">
        <f t="shared" si="74"/>
        <v>20591.856</v>
      </c>
      <c r="T78" s="359">
        <f t="shared" si="74"/>
        <v>20591.856</v>
      </c>
      <c r="U78" s="359">
        <f t="shared" si="74"/>
        <v>20591.856</v>
      </c>
      <c r="V78" s="359">
        <f t="shared" si="74"/>
        <v>20591.856</v>
      </c>
      <c r="W78" s="359">
        <f t="shared" si="74"/>
        <v>20591.856</v>
      </c>
      <c r="X78" s="359">
        <f t="shared" si="74"/>
        <v>20591.856</v>
      </c>
      <c r="Y78" s="359">
        <f t="shared" si="74"/>
        <v>20591.856</v>
      </c>
      <c r="Z78" s="359">
        <f t="shared" si="74"/>
        <v>20591.856</v>
      </c>
      <c r="AA78" s="359">
        <f t="shared" si="74"/>
        <v>20591.856</v>
      </c>
      <c r="AB78" s="359">
        <f t="shared" si="74"/>
        <v>20591.856</v>
      </c>
      <c r="AC78" s="947">
        <f t="shared" si="74"/>
        <v>20591.856</v>
      </c>
      <c r="AD78" s="359">
        <f t="shared" ref="AD78:AO79" si="75">$J78/12</f>
        <v>21209.611679999998</v>
      </c>
      <c r="AE78" s="359">
        <f t="shared" si="75"/>
        <v>21209.611679999998</v>
      </c>
      <c r="AF78" s="359">
        <f t="shared" si="75"/>
        <v>21209.611679999998</v>
      </c>
      <c r="AG78" s="359">
        <f t="shared" si="75"/>
        <v>21209.611679999998</v>
      </c>
      <c r="AH78" s="359">
        <f t="shared" si="75"/>
        <v>21209.611679999998</v>
      </c>
      <c r="AI78" s="359">
        <f t="shared" si="75"/>
        <v>21209.611679999998</v>
      </c>
      <c r="AJ78" s="359">
        <f t="shared" si="75"/>
        <v>21209.611679999998</v>
      </c>
      <c r="AK78" s="359">
        <f t="shared" si="75"/>
        <v>21209.611679999998</v>
      </c>
      <c r="AL78" s="359">
        <f t="shared" si="75"/>
        <v>21209.611679999998</v>
      </c>
      <c r="AM78" s="359">
        <f t="shared" si="75"/>
        <v>21209.611679999998</v>
      </c>
      <c r="AN78" s="359">
        <f t="shared" si="75"/>
        <v>21209.611679999998</v>
      </c>
      <c r="AO78" s="947">
        <f t="shared" si="75"/>
        <v>21209.611679999998</v>
      </c>
      <c r="AP78" s="359">
        <f t="shared" ref="AP78:BA79" si="76">$K78/12</f>
        <v>21845.900030399996</v>
      </c>
      <c r="AQ78" s="359">
        <f t="shared" si="76"/>
        <v>21845.900030399996</v>
      </c>
      <c r="AR78" s="359">
        <f t="shared" si="76"/>
        <v>21845.900030399996</v>
      </c>
      <c r="AS78" s="359">
        <f t="shared" si="76"/>
        <v>21845.900030399996</v>
      </c>
      <c r="AT78" s="359">
        <f t="shared" si="76"/>
        <v>21845.900030399996</v>
      </c>
      <c r="AU78" s="359">
        <f t="shared" si="76"/>
        <v>21845.900030399996</v>
      </c>
      <c r="AV78" s="359">
        <f t="shared" si="76"/>
        <v>21845.900030399996</v>
      </c>
      <c r="AW78" s="359">
        <f t="shared" si="76"/>
        <v>21845.900030399996</v>
      </c>
      <c r="AX78" s="359">
        <f t="shared" si="76"/>
        <v>21845.900030399996</v>
      </c>
      <c r="AY78" s="359">
        <f t="shared" si="76"/>
        <v>21845.900030399996</v>
      </c>
      <c r="AZ78" s="359">
        <f t="shared" si="76"/>
        <v>21845.900030399996</v>
      </c>
      <c r="BA78" s="947">
        <f t="shared" si="76"/>
        <v>21845.900030399996</v>
      </c>
      <c r="BB78" s="359">
        <f t="shared" ref="BB78:BM79" si="77">$L78/12</f>
        <v>22501.277031311998</v>
      </c>
      <c r="BC78" s="359">
        <f t="shared" si="77"/>
        <v>22501.277031311998</v>
      </c>
      <c r="BD78" s="359">
        <f t="shared" si="77"/>
        <v>22501.277031311998</v>
      </c>
      <c r="BE78" s="359">
        <f t="shared" si="77"/>
        <v>22501.277031311998</v>
      </c>
      <c r="BF78" s="359">
        <f t="shared" si="77"/>
        <v>22501.277031311998</v>
      </c>
      <c r="BG78" s="359">
        <f t="shared" si="77"/>
        <v>22501.277031311998</v>
      </c>
      <c r="BH78" s="359">
        <f t="shared" si="77"/>
        <v>22501.277031311998</v>
      </c>
      <c r="BI78" s="359">
        <f t="shared" si="77"/>
        <v>22501.277031311998</v>
      </c>
      <c r="BJ78" s="359">
        <f t="shared" si="77"/>
        <v>22501.277031311998</v>
      </c>
      <c r="BK78" s="359">
        <f t="shared" si="77"/>
        <v>22501.277031311998</v>
      </c>
      <c r="BL78" s="359">
        <f t="shared" si="77"/>
        <v>22501.277031311998</v>
      </c>
      <c r="BM78" s="947">
        <f t="shared" si="77"/>
        <v>22501.277031311998</v>
      </c>
      <c r="BN78" s="359">
        <f>$M78/12</f>
        <v>23176.315342251357</v>
      </c>
      <c r="BO78" s="359">
        <f t="shared" ref="BO78:BY79" si="78">$M78/12</f>
        <v>23176.315342251357</v>
      </c>
      <c r="BP78" s="359">
        <f t="shared" si="78"/>
        <v>23176.315342251357</v>
      </c>
      <c r="BQ78" s="359">
        <f t="shared" si="78"/>
        <v>23176.315342251357</v>
      </c>
      <c r="BR78" s="359">
        <f t="shared" si="78"/>
        <v>23176.315342251357</v>
      </c>
      <c r="BS78" s="359">
        <f t="shared" si="78"/>
        <v>23176.315342251357</v>
      </c>
      <c r="BT78" s="359">
        <f t="shared" si="78"/>
        <v>23176.315342251357</v>
      </c>
      <c r="BU78" s="359">
        <f t="shared" si="78"/>
        <v>23176.315342251357</v>
      </c>
      <c r="BV78" s="359">
        <f t="shared" si="78"/>
        <v>23176.315342251357</v>
      </c>
      <c r="BW78" s="359">
        <f t="shared" si="78"/>
        <v>23176.315342251357</v>
      </c>
      <c r="BX78" s="359">
        <f t="shared" si="78"/>
        <v>23176.315342251357</v>
      </c>
      <c r="BY78" s="947">
        <f t="shared" si="78"/>
        <v>23176.315342251357</v>
      </c>
      <c r="BZ78" s="652">
        <f t="shared" si="67"/>
        <v>0</v>
      </c>
    </row>
    <row r="79" spans="2:78" s="359" customFormat="1">
      <c r="B79" s="358"/>
      <c r="D79" s="366"/>
      <c r="E79" s="359" t="s">
        <v>3698</v>
      </c>
      <c r="F79" s="366"/>
      <c r="G79" s="366"/>
      <c r="I79" s="359">
        <f>'2.3 Expenses'!T10</f>
        <v>169421</v>
      </c>
      <c r="J79" s="359">
        <f>'2.3 Expenses'!U10</f>
        <v>169421</v>
      </c>
      <c r="K79" s="359">
        <f>'2.3 Expenses'!V10</f>
        <v>169421</v>
      </c>
      <c r="L79" s="359">
        <f>'2.3 Expenses'!W10</f>
        <v>169421</v>
      </c>
      <c r="M79" s="954">
        <f>'2.3 Expenses'!X10</f>
        <v>169421</v>
      </c>
      <c r="N79" s="366"/>
      <c r="O79" s="365"/>
      <c r="P79" s="366"/>
      <c r="Q79" s="366"/>
      <c r="R79" s="1271">
        <f t="shared" si="74"/>
        <v>14118.416666666666</v>
      </c>
      <c r="S79" s="359">
        <f t="shared" si="74"/>
        <v>14118.416666666666</v>
      </c>
      <c r="T79" s="359">
        <f t="shared" si="74"/>
        <v>14118.416666666666</v>
      </c>
      <c r="U79" s="359">
        <f t="shared" si="74"/>
        <v>14118.416666666666</v>
      </c>
      <c r="V79" s="359">
        <f t="shared" si="74"/>
        <v>14118.416666666666</v>
      </c>
      <c r="W79" s="359">
        <f t="shared" si="74"/>
        <v>14118.416666666666</v>
      </c>
      <c r="X79" s="359">
        <f t="shared" si="74"/>
        <v>14118.416666666666</v>
      </c>
      <c r="Y79" s="359">
        <f t="shared" si="74"/>
        <v>14118.416666666666</v>
      </c>
      <c r="Z79" s="359">
        <f t="shared" si="74"/>
        <v>14118.416666666666</v>
      </c>
      <c r="AA79" s="359">
        <f t="shared" si="74"/>
        <v>14118.416666666666</v>
      </c>
      <c r="AB79" s="359">
        <f t="shared" si="74"/>
        <v>14118.416666666666</v>
      </c>
      <c r="AC79" s="947">
        <f t="shared" si="74"/>
        <v>14118.416666666666</v>
      </c>
      <c r="AD79" s="359">
        <f t="shared" si="75"/>
        <v>14118.416666666666</v>
      </c>
      <c r="AE79" s="359">
        <f t="shared" si="75"/>
        <v>14118.416666666666</v>
      </c>
      <c r="AF79" s="359">
        <f t="shared" si="75"/>
        <v>14118.416666666666</v>
      </c>
      <c r="AG79" s="359">
        <f t="shared" si="75"/>
        <v>14118.416666666666</v>
      </c>
      <c r="AH79" s="359">
        <f t="shared" si="75"/>
        <v>14118.416666666666</v>
      </c>
      <c r="AI79" s="359">
        <f t="shared" si="75"/>
        <v>14118.416666666666</v>
      </c>
      <c r="AJ79" s="359">
        <f t="shared" si="75"/>
        <v>14118.416666666666</v>
      </c>
      <c r="AK79" s="359">
        <f t="shared" si="75"/>
        <v>14118.416666666666</v>
      </c>
      <c r="AL79" s="359">
        <f t="shared" si="75"/>
        <v>14118.416666666666</v>
      </c>
      <c r="AM79" s="359">
        <f t="shared" si="75"/>
        <v>14118.416666666666</v>
      </c>
      <c r="AN79" s="359">
        <f t="shared" si="75"/>
        <v>14118.416666666666</v>
      </c>
      <c r="AO79" s="947">
        <f t="shared" si="75"/>
        <v>14118.416666666666</v>
      </c>
      <c r="AP79" s="359">
        <f t="shared" si="76"/>
        <v>14118.416666666666</v>
      </c>
      <c r="AQ79" s="359">
        <f t="shared" si="76"/>
        <v>14118.416666666666</v>
      </c>
      <c r="AR79" s="359">
        <f t="shared" si="76"/>
        <v>14118.416666666666</v>
      </c>
      <c r="AS79" s="359">
        <f t="shared" si="76"/>
        <v>14118.416666666666</v>
      </c>
      <c r="AT79" s="359">
        <f t="shared" si="76"/>
        <v>14118.416666666666</v>
      </c>
      <c r="AU79" s="359">
        <f t="shared" si="76"/>
        <v>14118.416666666666</v>
      </c>
      <c r="AV79" s="359">
        <f t="shared" si="76"/>
        <v>14118.416666666666</v>
      </c>
      <c r="AW79" s="359">
        <f t="shared" si="76"/>
        <v>14118.416666666666</v>
      </c>
      <c r="AX79" s="359">
        <f t="shared" si="76"/>
        <v>14118.416666666666</v>
      </c>
      <c r="AY79" s="359">
        <f t="shared" si="76"/>
        <v>14118.416666666666</v>
      </c>
      <c r="AZ79" s="359">
        <f t="shared" si="76"/>
        <v>14118.416666666666</v>
      </c>
      <c r="BA79" s="947">
        <f t="shared" si="76"/>
        <v>14118.416666666666</v>
      </c>
      <c r="BB79" s="359">
        <f t="shared" si="77"/>
        <v>14118.416666666666</v>
      </c>
      <c r="BC79" s="359">
        <f t="shared" si="77"/>
        <v>14118.416666666666</v>
      </c>
      <c r="BD79" s="359">
        <f t="shared" si="77"/>
        <v>14118.416666666666</v>
      </c>
      <c r="BE79" s="359">
        <f t="shared" si="77"/>
        <v>14118.416666666666</v>
      </c>
      <c r="BF79" s="359">
        <f t="shared" si="77"/>
        <v>14118.416666666666</v>
      </c>
      <c r="BG79" s="359">
        <f t="shared" si="77"/>
        <v>14118.416666666666</v>
      </c>
      <c r="BH79" s="359">
        <f t="shared" si="77"/>
        <v>14118.416666666666</v>
      </c>
      <c r="BI79" s="359">
        <f t="shared" si="77"/>
        <v>14118.416666666666</v>
      </c>
      <c r="BJ79" s="359">
        <f t="shared" si="77"/>
        <v>14118.416666666666</v>
      </c>
      <c r="BK79" s="359">
        <f t="shared" si="77"/>
        <v>14118.416666666666</v>
      </c>
      <c r="BL79" s="359">
        <f t="shared" si="77"/>
        <v>14118.416666666666</v>
      </c>
      <c r="BM79" s="947">
        <f t="shared" si="77"/>
        <v>14118.416666666666</v>
      </c>
      <c r="BN79" s="359">
        <f>$M79/12</f>
        <v>14118.416666666666</v>
      </c>
      <c r="BO79" s="359">
        <f t="shared" si="78"/>
        <v>14118.416666666666</v>
      </c>
      <c r="BP79" s="359">
        <f t="shared" si="78"/>
        <v>14118.416666666666</v>
      </c>
      <c r="BQ79" s="359">
        <f t="shared" si="78"/>
        <v>14118.416666666666</v>
      </c>
      <c r="BR79" s="359">
        <f t="shared" si="78"/>
        <v>14118.416666666666</v>
      </c>
      <c r="BS79" s="359">
        <f t="shared" si="78"/>
        <v>14118.416666666666</v>
      </c>
      <c r="BT79" s="359">
        <f t="shared" si="78"/>
        <v>14118.416666666666</v>
      </c>
      <c r="BU79" s="359">
        <f t="shared" si="78"/>
        <v>14118.416666666666</v>
      </c>
      <c r="BV79" s="359">
        <f t="shared" si="78"/>
        <v>14118.416666666666</v>
      </c>
      <c r="BW79" s="359">
        <f t="shared" si="78"/>
        <v>14118.416666666666</v>
      </c>
      <c r="BX79" s="359">
        <f t="shared" si="78"/>
        <v>14118.416666666666</v>
      </c>
      <c r="BY79" s="947">
        <f t="shared" si="78"/>
        <v>14118.416666666666</v>
      </c>
      <c r="BZ79" s="652">
        <f t="shared" si="67"/>
        <v>0</v>
      </c>
    </row>
    <row r="80" spans="2:78" s="359" customFormat="1">
      <c r="B80" s="358"/>
      <c r="D80" s="366"/>
      <c r="E80" s="359" t="s">
        <v>4120</v>
      </c>
      <c r="F80" s="366"/>
      <c r="G80" s="366"/>
      <c r="I80" s="359">
        <f>I$64*I114</f>
        <v>170275.04457642292</v>
      </c>
      <c r="J80" s="359">
        <f>J$64*J114</f>
        <v>435044.87653484783</v>
      </c>
      <c r="K80" s="359">
        <f>K$64*K114</f>
        <v>642939.30106255028</v>
      </c>
      <c r="L80" s="359">
        <f>L$64*L114</f>
        <v>824654.33565598645</v>
      </c>
      <c r="M80" s="954">
        <f>M$64*M114</f>
        <v>986001.77913472278</v>
      </c>
      <c r="N80" s="366"/>
      <c r="O80" s="365"/>
      <c r="P80" s="366"/>
      <c r="Q80" s="366">
        <f t="shared" ref="Q80:AV80" si="79">Q64*Q114</f>
        <v>0</v>
      </c>
      <c r="R80" s="1271">
        <f t="shared" si="79"/>
        <v>3472.201931367636</v>
      </c>
      <c r="S80" s="359">
        <f t="shared" si="79"/>
        <v>5420.8174071253825</v>
      </c>
      <c r="T80" s="359">
        <f t="shared" si="79"/>
        <v>7369.4328828831303</v>
      </c>
      <c r="U80" s="359">
        <f t="shared" si="79"/>
        <v>9318.0483586408754</v>
      </c>
      <c r="V80" s="359">
        <f t="shared" si="79"/>
        <v>11266.663834398623</v>
      </c>
      <c r="W80" s="359">
        <f t="shared" si="79"/>
        <v>13215.279310156368</v>
      </c>
      <c r="X80" s="359">
        <f t="shared" si="79"/>
        <v>15163.894785914115</v>
      </c>
      <c r="Y80" s="359">
        <f t="shared" si="79"/>
        <v>17112.510261671865</v>
      </c>
      <c r="Z80" s="359">
        <f t="shared" si="79"/>
        <v>19061.125737429611</v>
      </c>
      <c r="AA80" s="359">
        <f t="shared" si="79"/>
        <v>21009.741213187357</v>
      </c>
      <c r="AB80" s="359">
        <f t="shared" si="79"/>
        <v>22958.35668894511</v>
      </c>
      <c r="AC80" s="947">
        <f t="shared" si="79"/>
        <v>24906.972164702853</v>
      </c>
      <c r="AD80" s="359">
        <f t="shared" si="79"/>
        <v>27074.131316187748</v>
      </c>
      <c r="AE80" s="359">
        <f t="shared" si="79"/>
        <v>28743.151024378581</v>
      </c>
      <c r="AF80" s="359">
        <f t="shared" si="79"/>
        <v>30412.170732569415</v>
      </c>
      <c r="AG80" s="359">
        <f t="shared" si="79"/>
        <v>32081.190440760245</v>
      </c>
      <c r="AH80" s="359">
        <f t="shared" si="79"/>
        <v>33750.210148951068</v>
      </c>
      <c r="AI80" s="359">
        <f t="shared" si="79"/>
        <v>35419.229857141909</v>
      </c>
      <c r="AJ80" s="359">
        <f t="shared" si="79"/>
        <v>37088.24956533275</v>
      </c>
      <c r="AK80" s="359">
        <f t="shared" si="79"/>
        <v>38757.269273523576</v>
      </c>
      <c r="AL80" s="359">
        <f t="shared" si="79"/>
        <v>40426.28898171441</v>
      </c>
      <c r="AM80" s="359">
        <f t="shared" si="79"/>
        <v>42095.308689905243</v>
      </c>
      <c r="AN80" s="359">
        <f t="shared" si="79"/>
        <v>43764.328398096077</v>
      </c>
      <c r="AO80" s="947">
        <f t="shared" si="79"/>
        <v>45433.34810628691</v>
      </c>
      <c r="AP80" s="359">
        <f t="shared" si="79"/>
        <v>47455.285840740835</v>
      </c>
      <c r="AQ80" s="359">
        <f t="shared" si="79"/>
        <v>48568.556613069013</v>
      </c>
      <c r="AR80" s="359">
        <f t="shared" si="79"/>
        <v>49681.827385397199</v>
      </c>
      <c r="AS80" s="359">
        <f t="shared" si="79"/>
        <v>50795.098157725392</v>
      </c>
      <c r="AT80" s="359">
        <f t="shared" si="79"/>
        <v>51908.368930053577</v>
      </c>
      <c r="AU80" s="359">
        <f t="shared" si="79"/>
        <v>53021.639702381755</v>
      </c>
      <c r="AV80" s="359">
        <f t="shared" si="79"/>
        <v>54134.910474709955</v>
      </c>
      <c r="AW80" s="359">
        <f t="shared" ref="AW80:BY80" si="80">AW64*AW114</f>
        <v>55248.181247038134</v>
      </c>
      <c r="AX80" s="359">
        <f t="shared" si="80"/>
        <v>56361.452019366319</v>
      </c>
      <c r="AY80" s="359">
        <f t="shared" si="80"/>
        <v>57474.722791694512</v>
      </c>
      <c r="AZ80" s="359">
        <f t="shared" si="80"/>
        <v>58587.993564022698</v>
      </c>
      <c r="BA80" s="947">
        <f t="shared" si="80"/>
        <v>59701.264336350891</v>
      </c>
      <c r="BB80" s="359">
        <f t="shared" si="80"/>
        <v>62099.275009988822</v>
      </c>
      <c r="BC80" s="359">
        <f t="shared" si="80"/>
        <v>63303.26039689975</v>
      </c>
      <c r="BD80" s="359">
        <f t="shared" si="80"/>
        <v>64507.245783810671</v>
      </c>
      <c r="BE80" s="359">
        <f t="shared" si="80"/>
        <v>65711.231170721585</v>
      </c>
      <c r="BF80" s="359">
        <f t="shared" si="80"/>
        <v>66915.216557632491</v>
      </c>
      <c r="BG80" s="359">
        <f t="shared" si="80"/>
        <v>68119.201944543413</v>
      </c>
      <c r="BH80" s="359">
        <f t="shared" si="80"/>
        <v>69323.187331454334</v>
      </c>
      <c r="BI80" s="359">
        <f t="shared" si="80"/>
        <v>70527.17271836524</v>
      </c>
      <c r="BJ80" s="359">
        <f t="shared" si="80"/>
        <v>71731.158105276161</v>
      </c>
      <c r="BK80" s="359">
        <f t="shared" si="80"/>
        <v>72935.143492187082</v>
      </c>
      <c r="BL80" s="359">
        <f t="shared" si="80"/>
        <v>74139.128879097989</v>
      </c>
      <c r="BM80" s="947">
        <f t="shared" si="80"/>
        <v>75343.114266008924</v>
      </c>
      <c r="BN80" s="359">
        <f t="shared" si="80"/>
        <v>77667.951686185159</v>
      </c>
      <c r="BO80" s="359">
        <f t="shared" si="80"/>
        <v>78485.926821041241</v>
      </c>
      <c r="BP80" s="359">
        <f t="shared" si="80"/>
        <v>79303.901955897309</v>
      </c>
      <c r="BQ80" s="359">
        <f t="shared" si="80"/>
        <v>80121.877090753391</v>
      </c>
      <c r="BR80" s="359">
        <f t="shared" si="80"/>
        <v>80939.852225609473</v>
      </c>
      <c r="BS80" s="359">
        <f t="shared" si="80"/>
        <v>81757.827360465526</v>
      </c>
      <c r="BT80" s="359">
        <f t="shared" si="80"/>
        <v>82575.802495321608</v>
      </c>
      <c r="BU80" s="359">
        <f t="shared" si="80"/>
        <v>83393.777630177661</v>
      </c>
      <c r="BV80" s="359">
        <f t="shared" si="80"/>
        <v>84211.752765033758</v>
      </c>
      <c r="BW80" s="359">
        <f t="shared" si="80"/>
        <v>85029.727899889825</v>
      </c>
      <c r="BX80" s="359">
        <f t="shared" si="80"/>
        <v>85847.703034745908</v>
      </c>
      <c r="BY80" s="947">
        <f t="shared" si="80"/>
        <v>86665.678169601961</v>
      </c>
      <c r="BZ80" s="652">
        <f t="shared" si="67"/>
        <v>0</v>
      </c>
    </row>
    <row r="81" spans="1:78" s="359" customFormat="1" outlineLevel="1">
      <c r="A81" s="359" t="s">
        <v>3930</v>
      </c>
      <c r="B81" s="358"/>
      <c r="D81" s="366"/>
      <c r="E81" s="359" t="s">
        <v>4121</v>
      </c>
      <c r="F81" s="366"/>
      <c r="G81" s="366"/>
      <c r="M81" s="954"/>
      <c r="N81" s="366"/>
      <c r="O81" s="365"/>
      <c r="P81" s="366"/>
      <c r="Q81" s="366"/>
      <c r="R81" s="1271"/>
      <c r="AC81" s="947"/>
      <c r="AO81" s="947"/>
      <c r="BA81" s="947"/>
      <c r="BM81" s="947"/>
      <c r="BY81" s="947"/>
      <c r="BZ81" s="652"/>
    </row>
    <row r="82" spans="1:78" s="359" customFormat="1" outlineLevel="1">
      <c r="B82" s="358"/>
      <c r="D82" s="366"/>
      <c r="F82" s="366" t="s">
        <v>3925</v>
      </c>
      <c r="G82" s="366"/>
      <c r="I82" s="359">
        <f>'2.3 Expenses'!T53</f>
        <v>15879.515999999998</v>
      </c>
      <c r="J82" s="359">
        <f>'2.3 Expenses'!U53</f>
        <v>16355.901479999999</v>
      </c>
      <c r="K82" s="359">
        <f>'2.3 Expenses'!V53</f>
        <v>16846.5785244</v>
      </c>
      <c r="L82" s="359">
        <f>'2.3 Expenses'!W53</f>
        <v>17351.975880131999</v>
      </c>
      <c r="M82" s="954">
        <f>'2.3 Expenses'!X53</f>
        <v>17872.53515653596</v>
      </c>
      <c r="N82" s="366"/>
      <c r="O82" s="365"/>
      <c r="P82" s="366"/>
      <c r="Q82" s="366"/>
      <c r="R82" s="1271">
        <f t="shared" ref="R82:AC84" si="81">$I82/12</f>
        <v>1323.2929999999999</v>
      </c>
      <c r="S82" s="359">
        <f t="shared" si="81"/>
        <v>1323.2929999999999</v>
      </c>
      <c r="T82" s="359">
        <f t="shared" si="81"/>
        <v>1323.2929999999999</v>
      </c>
      <c r="U82" s="359">
        <f t="shared" si="81"/>
        <v>1323.2929999999999</v>
      </c>
      <c r="V82" s="359">
        <f t="shared" si="81"/>
        <v>1323.2929999999999</v>
      </c>
      <c r="W82" s="359">
        <f t="shared" si="81"/>
        <v>1323.2929999999999</v>
      </c>
      <c r="X82" s="359">
        <f t="shared" si="81"/>
        <v>1323.2929999999999</v>
      </c>
      <c r="Y82" s="359">
        <f t="shared" si="81"/>
        <v>1323.2929999999999</v>
      </c>
      <c r="Z82" s="359">
        <f t="shared" si="81"/>
        <v>1323.2929999999999</v>
      </c>
      <c r="AA82" s="359">
        <f t="shared" si="81"/>
        <v>1323.2929999999999</v>
      </c>
      <c r="AB82" s="359">
        <f t="shared" si="81"/>
        <v>1323.2929999999999</v>
      </c>
      <c r="AC82" s="947">
        <f t="shared" si="81"/>
        <v>1323.2929999999999</v>
      </c>
      <c r="AD82" s="359">
        <f t="shared" ref="AD82:AO84" si="82">$J82/12</f>
        <v>1362.9917899999998</v>
      </c>
      <c r="AE82" s="359">
        <f t="shared" si="82"/>
        <v>1362.9917899999998</v>
      </c>
      <c r="AF82" s="359">
        <f t="shared" si="82"/>
        <v>1362.9917899999998</v>
      </c>
      <c r="AG82" s="359">
        <f t="shared" si="82"/>
        <v>1362.9917899999998</v>
      </c>
      <c r="AH82" s="359">
        <f t="shared" si="82"/>
        <v>1362.9917899999998</v>
      </c>
      <c r="AI82" s="359">
        <f t="shared" si="82"/>
        <v>1362.9917899999998</v>
      </c>
      <c r="AJ82" s="359">
        <f t="shared" si="82"/>
        <v>1362.9917899999998</v>
      </c>
      <c r="AK82" s="359">
        <f t="shared" si="82"/>
        <v>1362.9917899999998</v>
      </c>
      <c r="AL82" s="359">
        <f t="shared" si="82"/>
        <v>1362.9917899999998</v>
      </c>
      <c r="AM82" s="359">
        <f t="shared" si="82"/>
        <v>1362.9917899999998</v>
      </c>
      <c r="AN82" s="359">
        <f t="shared" si="82"/>
        <v>1362.9917899999998</v>
      </c>
      <c r="AO82" s="947">
        <f t="shared" si="82"/>
        <v>1362.9917899999998</v>
      </c>
      <c r="AP82" s="359">
        <f t="shared" ref="AP82:BA84" si="83">$K82/12</f>
        <v>1403.8815437000001</v>
      </c>
      <c r="AQ82" s="359">
        <f t="shared" si="83"/>
        <v>1403.8815437000001</v>
      </c>
      <c r="AR82" s="359">
        <f t="shared" si="83"/>
        <v>1403.8815437000001</v>
      </c>
      <c r="AS82" s="359">
        <f t="shared" si="83"/>
        <v>1403.8815437000001</v>
      </c>
      <c r="AT82" s="359">
        <f t="shared" si="83"/>
        <v>1403.8815437000001</v>
      </c>
      <c r="AU82" s="359">
        <f t="shared" si="83"/>
        <v>1403.8815437000001</v>
      </c>
      <c r="AV82" s="359">
        <f t="shared" si="83"/>
        <v>1403.8815437000001</v>
      </c>
      <c r="AW82" s="359">
        <f t="shared" si="83"/>
        <v>1403.8815437000001</v>
      </c>
      <c r="AX82" s="359">
        <f t="shared" si="83"/>
        <v>1403.8815437000001</v>
      </c>
      <c r="AY82" s="359">
        <f t="shared" si="83"/>
        <v>1403.8815437000001</v>
      </c>
      <c r="AZ82" s="359">
        <f t="shared" si="83"/>
        <v>1403.8815437000001</v>
      </c>
      <c r="BA82" s="947">
        <f t="shared" si="83"/>
        <v>1403.8815437000001</v>
      </c>
      <c r="BB82" s="359">
        <f t="shared" ref="BB82:BM84" si="84">$L82/12</f>
        <v>1445.997990011</v>
      </c>
      <c r="BC82" s="359">
        <f t="shared" si="84"/>
        <v>1445.997990011</v>
      </c>
      <c r="BD82" s="359">
        <f t="shared" si="84"/>
        <v>1445.997990011</v>
      </c>
      <c r="BE82" s="359">
        <f t="shared" si="84"/>
        <v>1445.997990011</v>
      </c>
      <c r="BF82" s="359">
        <f t="shared" si="84"/>
        <v>1445.997990011</v>
      </c>
      <c r="BG82" s="359">
        <f t="shared" si="84"/>
        <v>1445.997990011</v>
      </c>
      <c r="BH82" s="359">
        <f t="shared" si="84"/>
        <v>1445.997990011</v>
      </c>
      <c r="BI82" s="359">
        <f t="shared" si="84"/>
        <v>1445.997990011</v>
      </c>
      <c r="BJ82" s="359">
        <f t="shared" si="84"/>
        <v>1445.997990011</v>
      </c>
      <c r="BK82" s="359">
        <f t="shared" si="84"/>
        <v>1445.997990011</v>
      </c>
      <c r="BL82" s="359">
        <f t="shared" si="84"/>
        <v>1445.997990011</v>
      </c>
      <c r="BM82" s="947">
        <f t="shared" si="84"/>
        <v>1445.997990011</v>
      </c>
      <c r="BN82" s="359">
        <f>$M82/12</f>
        <v>1489.3779297113299</v>
      </c>
      <c r="BO82" s="359">
        <f t="shared" ref="BO82:BY84" si="85">$M82/12</f>
        <v>1489.3779297113299</v>
      </c>
      <c r="BP82" s="359">
        <f t="shared" si="85"/>
        <v>1489.3779297113299</v>
      </c>
      <c r="BQ82" s="359">
        <f t="shared" si="85"/>
        <v>1489.3779297113299</v>
      </c>
      <c r="BR82" s="359">
        <f t="shared" si="85"/>
        <v>1489.3779297113299</v>
      </c>
      <c r="BS82" s="359">
        <f t="shared" si="85"/>
        <v>1489.3779297113299</v>
      </c>
      <c r="BT82" s="359">
        <f t="shared" si="85"/>
        <v>1489.3779297113299</v>
      </c>
      <c r="BU82" s="359">
        <f t="shared" si="85"/>
        <v>1489.3779297113299</v>
      </c>
      <c r="BV82" s="359">
        <f t="shared" si="85"/>
        <v>1489.3779297113299</v>
      </c>
      <c r="BW82" s="359">
        <f t="shared" si="85"/>
        <v>1489.3779297113299</v>
      </c>
      <c r="BX82" s="359">
        <f t="shared" si="85"/>
        <v>1489.3779297113299</v>
      </c>
      <c r="BY82" s="947">
        <f t="shared" si="85"/>
        <v>1489.3779297113299</v>
      </c>
      <c r="BZ82" s="652">
        <f>ROUND(SUM(H82:M82)-SUM(Q82:BY82),0)</f>
        <v>0</v>
      </c>
    </row>
    <row r="83" spans="1:78" s="359" customFormat="1" outlineLevel="1">
      <c r="B83" s="358"/>
      <c r="D83" s="366"/>
      <c r="F83" s="366" t="s">
        <v>3926</v>
      </c>
      <c r="G83" s="366"/>
      <c r="I83" s="359">
        <f>I64*I117</f>
        <v>59690.677580490817</v>
      </c>
      <c r="J83" s="359">
        <f>J64*J117</f>
        <v>154002.09096516322</v>
      </c>
      <c r="K83" s="359">
        <f>K64*K117</f>
        <v>229826.22616270557</v>
      </c>
      <c r="L83" s="359">
        <f>L64*L117</f>
        <v>297672.42923225992</v>
      </c>
      <c r="M83" s="954">
        <f>M64*M117</f>
        <v>359402.76713393559</v>
      </c>
      <c r="N83" s="366"/>
      <c r="O83" s="365"/>
      <c r="P83" s="366"/>
      <c r="Q83" s="366"/>
      <c r="R83" s="1271">
        <f t="shared" si="81"/>
        <v>4974.2231317075684</v>
      </c>
      <c r="S83" s="359">
        <f t="shared" si="81"/>
        <v>4974.2231317075684</v>
      </c>
      <c r="T83" s="359">
        <f t="shared" si="81"/>
        <v>4974.2231317075684</v>
      </c>
      <c r="U83" s="359">
        <f t="shared" si="81"/>
        <v>4974.2231317075684</v>
      </c>
      <c r="V83" s="359">
        <f t="shared" si="81"/>
        <v>4974.2231317075684</v>
      </c>
      <c r="W83" s="359">
        <f t="shared" si="81"/>
        <v>4974.2231317075684</v>
      </c>
      <c r="X83" s="359">
        <f t="shared" si="81"/>
        <v>4974.2231317075684</v>
      </c>
      <c r="Y83" s="359">
        <f t="shared" si="81"/>
        <v>4974.2231317075684</v>
      </c>
      <c r="Z83" s="359">
        <f t="shared" si="81"/>
        <v>4974.2231317075684</v>
      </c>
      <c r="AA83" s="359">
        <f t="shared" si="81"/>
        <v>4974.2231317075684</v>
      </c>
      <c r="AB83" s="359">
        <f t="shared" si="81"/>
        <v>4974.2231317075684</v>
      </c>
      <c r="AC83" s="947">
        <f t="shared" si="81"/>
        <v>4974.2231317075684</v>
      </c>
      <c r="AD83" s="359">
        <f t="shared" si="82"/>
        <v>12833.507580430269</v>
      </c>
      <c r="AE83" s="359">
        <f t="shared" si="82"/>
        <v>12833.507580430269</v>
      </c>
      <c r="AF83" s="359">
        <f t="shared" si="82"/>
        <v>12833.507580430269</v>
      </c>
      <c r="AG83" s="359">
        <f t="shared" si="82"/>
        <v>12833.507580430269</v>
      </c>
      <c r="AH83" s="359">
        <f t="shared" si="82"/>
        <v>12833.507580430269</v>
      </c>
      <c r="AI83" s="359">
        <f t="shared" si="82"/>
        <v>12833.507580430269</v>
      </c>
      <c r="AJ83" s="359">
        <f t="shared" si="82"/>
        <v>12833.507580430269</v>
      </c>
      <c r="AK83" s="359">
        <f t="shared" si="82"/>
        <v>12833.507580430269</v>
      </c>
      <c r="AL83" s="359">
        <f t="shared" si="82"/>
        <v>12833.507580430269</v>
      </c>
      <c r="AM83" s="359">
        <f t="shared" si="82"/>
        <v>12833.507580430269</v>
      </c>
      <c r="AN83" s="359">
        <f t="shared" si="82"/>
        <v>12833.507580430269</v>
      </c>
      <c r="AO83" s="947">
        <f t="shared" si="82"/>
        <v>12833.507580430269</v>
      </c>
      <c r="AP83" s="359">
        <f t="shared" si="83"/>
        <v>19152.185513558798</v>
      </c>
      <c r="AQ83" s="359">
        <f t="shared" si="83"/>
        <v>19152.185513558798</v>
      </c>
      <c r="AR83" s="359">
        <f t="shared" si="83"/>
        <v>19152.185513558798</v>
      </c>
      <c r="AS83" s="359">
        <f t="shared" si="83"/>
        <v>19152.185513558798</v>
      </c>
      <c r="AT83" s="359">
        <f t="shared" si="83"/>
        <v>19152.185513558798</v>
      </c>
      <c r="AU83" s="359">
        <f t="shared" si="83"/>
        <v>19152.185513558798</v>
      </c>
      <c r="AV83" s="359">
        <f t="shared" si="83"/>
        <v>19152.185513558798</v>
      </c>
      <c r="AW83" s="359">
        <f t="shared" si="83"/>
        <v>19152.185513558798</v>
      </c>
      <c r="AX83" s="359">
        <f t="shared" si="83"/>
        <v>19152.185513558798</v>
      </c>
      <c r="AY83" s="359">
        <f t="shared" si="83"/>
        <v>19152.185513558798</v>
      </c>
      <c r="AZ83" s="359">
        <f t="shared" si="83"/>
        <v>19152.185513558798</v>
      </c>
      <c r="BA83" s="947">
        <f t="shared" si="83"/>
        <v>19152.185513558798</v>
      </c>
      <c r="BB83" s="359">
        <f t="shared" si="84"/>
        <v>24806.035769354992</v>
      </c>
      <c r="BC83" s="359">
        <f t="shared" si="84"/>
        <v>24806.035769354992</v>
      </c>
      <c r="BD83" s="359">
        <f t="shared" si="84"/>
        <v>24806.035769354992</v>
      </c>
      <c r="BE83" s="359">
        <f t="shared" si="84"/>
        <v>24806.035769354992</v>
      </c>
      <c r="BF83" s="359">
        <f t="shared" si="84"/>
        <v>24806.035769354992</v>
      </c>
      <c r="BG83" s="359">
        <f t="shared" si="84"/>
        <v>24806.035769354992</v>
      </c>
      <c r="BH83" s="359">
        <f t="shared" si="84"/>
        <v>24806.035769354992</v>
      </c>
      <c r="BI83" s="359">
        <f t="shared" si="84"/>
        <v>24806.035769354992</v>
      </c>
      <c r="BJ83" s="359">
        <f t="shared" si="84"/>
        <v>24806.035769354992</v>
      </c>
      <c r="BK83" s="359">
        <f t="shared" si="84"/>
        <v>24806.035769354992</v>
      </c>
      <c r="BL83" s="359">
        <f t="shared" si="84"/>
        <v>24806.035769354992</v>
      </c>
      <c r="BM83" s="947">
        <f t="shared" si="84"/>
        <v>24806.035769354992</v>
      </c>
      <c r="BN83" s="359">
        <f>$M83/12</f>
        <v>29950.230594494631</v>
      </c>
      <c r="BO83" s="359">
        <f t="shared" si="85"/>
        <v>29950.230594494631</v>
      </c>
      <c r="BP83" s="359">
        <f t="shared" si="85"/>
        <v>29950.230594494631</v>
      </c>
      <c r="BQ83" s="359">
        <f t="shared" si="85"/>
        <v>29950.230594494631</v>
      </c>
      <c r="BR83" s="359">
        <f t="shared" si="85"/>
        <v>29950.230594494631</v>
      </c>
      <c r="BS83" s="359">
        <f t="shared" si="85"/>
        <v>29950.230594494631</v>
      </c>
      <c r="BT83" s="359">
        <f t="shared" si="85"/>
        <v>29950.230594494631</v>
      </c>
      <c r="BU83" s="359">
        <f t="shared" si="85"/>
        <v>29950.230594494631</v>
      </c>
      <c r="BV83" s="359">
        <f t="shared" si="85"/>
        <v>29950.230594494631</v>
      </c>
      <c r="BW83" s="359">
        <f t="shared" si="85"/>
        <v>29950.230594494631</v>
      </c>
      <c r="BX83" s="359">
        <f t="shared" si="85"/>
        <v>29950.230594494631</v>
      </c>
      <c r="BY83" s="947">
        <f t="shared" si="85"/>
        <v>29950.230594494631</v>
      </c>
      <c r="BZ83" s="652">
        <f>ROUND(SUM(H83:M83)-SUM(Q83:BY83),0)</f>
        <v>0</v>
      </c>
    </row>
    <row r="84" spans="1:78" s="359" customFormat="1" outlineLevel="1">
      <c r="B84" s="358"/>
      <c r="D84" s="366"/>
      <c r="F84" s="366" t="s">
        <v>3695</v>
      </c>
      <c r="G84" s="366"/>
      <c r="H84" s="364">
        <f>I84*'2.3 Expenses'!S60</f>
        <v>21367.388707222701</v>
      </c>
      <c r="I84" s="364">
        <f>IF(Openstation+'2.0 Patients'!G12=0,0,(I64*I118)+1000)</f>
        <v>64102.166121668102</v>
      </c>
      <c r="J84" s="364">
        <f>J64*J118</f>
        <v>162803.73956324699</v>
      </c>
      <c r="K84" s="364">
        <f>K64*K118</f>
        <v>242961.43535779009</v>
      </c>
      <c r="L84" s="364">
        <f>L64*L118</f>
        <v>314685.23797414242</v>
      </c>
      <c r="M84" s="955">
        <f>M64*M118</f>
        <v>379943.63668750168</v>
      </c>
      <c r="N84" s="366"/>
      <c r="O84" s="365"/>
      <c r="P84" s="366"/>
      <c r="Q84" s="364">
        <f>H84</f>
        <v>21367.388707222701</v>
      </c>
      <c r="R84" s="1272">
        <f t="shared" si="81"/>
        <v>5341.8471768056752</v>
      </c>
      <c r="S84" s="364">
        <f t="shared" si="81"/>
        <v>5341.8471768056752</v>
      </c>
      <c r="T84" s="364">
        <f t="shared" si="81"/>
        <v>5341.8471768056752</v>
      </c>
      <c r="U84" s="364">
        <f t="shared" si="81"/>
        <v>5341.8471768056752</v>
      </c>
      <c r="V84" s="364">
        <f t="shared" si="81"/>
        <v>5341.8471768056752</v>
      </c>
      <c r="W84" s="364">
        <f t="shared" si="81"/>
        <v>5341.8471768056752</v>
      </c>
      <c r="X84" s="364">
        <f t="shared" si="81"/>
        <v>5341.8471768056752</v>
      </c>
      <c r="Y84" s="364">
        <f t="shared" si="81"/>
        <v>5341.8471768056752</v>
      </c>
      <c r="Z84" s="364">
        <f t="shared" si="81"/>
        <v>5341.8471768056752</v>
      </c>
      <c r="AA84" s="364">
        <f t="shared" si="81"/>
        <v>5341.8471768056752</v>
      </c>
      <c r="AB84" s="364">
        <f t="shared" si="81"/>
        <v>5341.8471768056752</v>
      </c>
      <c r="AC84" s="949">
        <f t="shared" si="81"/>
        <v>5341.8471768056752</v>
      </c>
      <c r="AD84" s="364">
        <f t="shared" si="82"/>
        <v>13566.978296937248</v>
      </c>
      <c r="AE84" s="364">
        <f t="shared" si="82"/>
        <v>13566.978296937248</v>
      </c>
      <c r="AF84" s="364">
        <f t="shared" si="82"/>
        <v>13566.978296937248</v>
      </c>
      <c r="AG84" s="364">
        <f t="shared" si="82"/>
        <v>13566.978296937248</v>
      </c>
      <c r="AH84" s="364">
        <f t="shared" si="82"/>
        <v>13566.978296937248</v>
      </c>
      <c r="AI84" s="364">
        <f t="shared" si="82"/>
        <v>13566.978296937248</v>
      </c>
      <c r="AJ84" s="364">
        <f t="shared" si="82"/>
        <v>13566.978296937248</v>
      </c>
      <c r="AK84" s="364">
        <f t="shared" si="82"/>
        <v>13566.978296937248</v>
      </c>
      <c r="AL84" s="364">
        <f t="shared" si="82"/>
        <v>13566.978296937248</v>
      </c>
      <c r="AM84" s="364">
        <f t="shared" si="82"/>
        <v>13566.978296937248</v>
      </c>
      <c r="AN84" s="364">
        <f t="shared" si="82"/>
        <v>13566.978296937248</v>
      </c>
      <c r="AO84" s="949">
        <f t="shared" si="82"/>
        <v>13566.978296937248</v>
      </c>
      <c r="AP84" s="364">
        <f t="shared" si="83"/>
        <v>20246.786279815842</v>
      </c>
      <c r="AQ84" s="364">
        <f t="shared" si="83"/>
        <v>20246.786279815842</v>
      </c>
      <c r="AR84" s="364">
        <f t="shared" si="83"/>
        <v>20246.786279815842</v>
      </c>
      <c r="AS84" s="364">
        <f t="shared" si="83"/>
        <v>20246.786279815842</v>
      </c>
      <c r="AT84" s="364">
        <f t="shared" si="83"/>
        <v>20246.786279815842</v>
      </c>
      <c r="AU84" s="364">
        <f t="shared" si="83"/>
        <v>20246.786279815842</v>
      </c>
      <c r="AV84" s="364">
        <f t="shared" si="83"/>
        <v>20246.786279815842</v>
      </c>
      <c r="AW84" s="364">
        <f t="shared" si="83"/>
        <v>20246.786279815842</v>
      </c>
      <c r="AX84" s="364">
        <f t="shared" si="83"/>
        <v>20246.786279815842</v>
      </c>
      <c r="AY84" s="364">
        <f t="shared" si="83"/>
        <v>20246.786279815842</v>
      </c>
      <c r="AZ84" s="364">
        <f t="shared" si="83"/>
        <v>20246.786279815842</v>
      </c>
      <c r="BA84" s="949">
        <f t="shared" si="83"/>
        <v>20246.786279815842</v>
      </c>
      <c r="BB84" s="364">
        <f t="shared" si="84"/>
        <v>26223.769831178535</v>
      </c>
      <c r="BC84" s="364">
        <f t="shared" si="84"/>
        <v>26223.769831178535</v>
      </c>
      <c r="BD84" s="364">
        <f t="shared" si="84"/>
        <v>26223.769831178535</v>
      </c>
      <c r="BE84" s="364">
        <f t="shared" si="84"/>
        <v>26223.769831178535</v>
      </c>
      <c r="BF84" s="364">
        <f t="shared" si="84"/>
        <v>26223.769831178535</v>
      </c>
      <c r="BG84" s="364">
        <f t="shared" si="84"/>
        <v>26223.769831178535</v>
      </c>
      <c r="BH84" s="364">
        <f t="shared" si="84"/>
        <v>26223.769831178535</v>
      </c>
      <c r="BI84" s="364">
        <f t="shared" si="84"/>
        <v>26223.769831178535</v>
      </c>
      <c r="BJ84" s="364">
        <f t="shared" si="84"/>
        <v>26223.769831178535</v>
      </c>
      <c r="BK84" s="364">
        <f t="shared" si="84"/>
        <v>26223.769831178535</v>
      </c>
      <c r="BL84" s="364">
        <f t="shared" si="84"/>
        <v>26223.769831178535</v>
      </c>
      <c r="BM84" s="949">
        <f t="shared" si="84"/>
        <v>26223.769831178535</v>
      </c>
      <c r="BN84" s="364">
        <f>$M84/12</f>
        <v>31661.969723958475</v>
      </c>
      <c r="BO84" s="364">
        <f t="shared" si="85"/>
        <v>31661.969723958475</v>
      </c>
      <c r="BP84" s="364">
        <f t="shared" si="85"/>
        <v>31661.969723958475</v>
      </c>
      <c r="BQ84" s="364">
        <f t="shared" si="85"/>
        <v>31661.969723958475</v>
      </c>
      <c r="BR84" s="364">
        <f t="shared" si="85"/>
        <v>31661.969723958475</v>
      </c>
      <c r="BS84" s="364">
        <f t="shared" si="85"/>
        <v>31661.969723958475</v>
      </c>
      <c r="BT84" s="364">
        <f t="shared" si="85"/>
        <v>31661.969723958475</v>
      </c>
      <c r="BU84" s="364">
        <f t="shared" si="85"/>
        <v>31661.969723958475</v>
      </c>
      <c r="BV84" s="364">
        <f t="shared" si="85"/>
        <v>31661.969723958475</v>
      </c>
      <c r="BW84" s="364">
        <f t="shared" si="85"/>
        <v>31661.969723958475</v>
      </c>
      <c r="BX84" s="364">
        <f t="shared" si="85"/>
        <v>31661.969723958475</v>
      </c>
      <c r="BY84" s="949">
        <f t="shared" si="85"/>
        <v>31661.969723958475</v>
      </c>
      <c r="BZ84" s="652">
        <f>ROUND(SUM(H84:M84)-SUM(Q84:BY84),0)</f>
        <v>0</v>
      </c>
    </row>
    <row r="85" spans="1:78" s="359" customFormat="1">
      <c r="B85" s="358"/>
      <c r="D85" s="366"/>
      <c r="E85" s="359" t="s">
        <v>4122</v>
      </c>
      <c r="F85" s="366"/>
      <c r="G85" s="366"/>
      <c r="H85" s="359">
        <f t="shared" ref="H85:M85" si="86">SUM(H82:H84)</f>
        <v>21367.388707222701</v>
      </c>
      <c r="I85" s="359">
        <f t="shared" si="86"/>
        <v>139672.35970215892</v>
      </c>
      <c r="J85" s="359">
        <f t="shared" si="86"/>
        <v>333161.73200841021</v>
      </c>
      <c r="K85" s="359">
        <f t="shared" si="86"/>
        <v>489634.24004489568</v>
      </c>
      <c r="L85" s="359">
        <f t="shared" si="86"/>
        <v>629709.64308653434</v>
      </c>
      <c r="M85" s="954">
        <f t="shared" si="86"/>
        <v>757218.9389779733</v>
      </c>
      <c r="N85" s="366"/>
      <c r="O85" s="365"/>
      <c r="P85" s="366"/>
      <c r="Q85" s="366">
        <f>SUM(Q82:Q84)</f>
        <v>21367.388707222701</v>
      </c>
      <c r="R85" s="1271">
        <f>SUM(R82:R84)</f>
        <v>11639.363308513242</v>
      </c>
      <c r="S85" s="359">
        <f t="shared" ref="S85:BY85" si="87">SUM(S82:S84)</f>
        <v>11639.363308513242</v>
      </c>
      <c r="T85" s="359">
        <f t="shared" si="87"/>
        <v>11639.363308513242</v>
      </c>
      <c r="U85" s="359">
        <f t="shared" si="87"/>
        <v>11639.363308513242</v>
      </c>
      <c r="V85" s="359">
        <f t="shared" si="87"/>
        <v>11639.363308513242</v>
      </c>
      <c r="W85" s="359">
        <f t="shared" si="87"/>
        <v>11639.363308513242</v>
      </c>
      <c r="X85" s="359">
        <f t="shared" si="87"/>
        <v>11639.363308513242</v>
      </c>
      <c r="Y85" s="359">
        <f t="shared" si="87"/>
        <v>11639.363308513242</v>
      </c>
      <c r="Z85" s="359">
        <f t="shared" si="87"/>
        <v>11639.363308513242</v>
      </c>
      <c r="AA85" s="359">
        <f t="shared" si="87"/>
        <v>11639.363308513242</v>
      </c>
      <c r="AB85" s="359">
        <f t="shared" si="87"/>
        <v>11639.363308513242</v>
      </c>
      <c r="AC85" s="947">
        <f t="shared" si="87"/>
        <v>11639.363308513242</v>
      </c>
      <c r="AD85" s="359">
        <f t="shared" si="87"/>
        <v>27763.477667367515</v>
      </c>
      <c r="AE85" s="359">
        <f t="shared" si="87"/>
        <v>27763.477667367515</v>
      </c>
      <c r="AF85" s="359">
        <f t="shared" si="87"/>
        <v>27763.477667367515</v>
      </c>
      <c r="AG85" s="359">
        <f t="shared" si="87"/>
        <v>27763.477667367515</v>
      </c>
      <c r="AH85" s="359">
        <f t="shared" si="87"/>
        <v>27763.477667367515</v>
      </c>
      <c r="AI85" s="359">
        <f t="shared" si="87"/>
        <v>27763.477667367515</v>
      </c>
      <c r="AJ85" s="359">
        <f t="shared" si="87"/>
        <v>27763.477667367515</v>
      </c>
      <c r="AK85" s="359">
        <f t="shared" si="87"/>
        <v>27763.477667367515</v>
      </c>
      <c r="AL85" s="359">
        <f t="shared" si="87"/>
        <v>27763.477667367515</v>
      </c>
      <c r="AM85" s="359">
        <f t="shared" si="87"/>
        <v>27763.477667367515</v>
      </c>
      <c r="AN85" s="359">
        <f t="shared" si="87"/>
        <v>27763.477667367515</v>
      </c>
      <c r="AO85" s="947">
        <f t="shared" si="87"/>
        <v>27763.477667367515</v>
      </c>
      <c r="AP85" s="359">
        <f t="shared" si="87"/>
        <v>40802.853337074645</v>
      </c>
      <c r="AQ85" s="359">
        <f t="shared" si="87"/>
        <v>40802.853337074645</v>
      </c>
      <c r="AR85" s="359">
        <f t="shared" si="87"/>
        <v>40802.853337074645</v>
      </c>
      <c r="AS85" s="359">
        <f t="shared" si="87"/>
        <v>40802.853337074645</v>
      </c>
      <c r="AT85" s="359">
        <f t="shared" si="87"/>
        <v>40802.853337074645</v>
      </c>
      <c r="AU85" s="359">
        <f t="shared" si="87"/>
        <v>40802.853337074645</v>
      </c>
      <c r="AV85" s="359">
        <f t="shared" si="87"/>
        <v>40802.853337074645</v>
      </c>
      <c r="AW85" s="359">
        <f t="shared" si="87"/>
        <v>40802.853337074645</v>
      </c>
      <c r="AX85" s="359">
        <f t="shared" si="87"/>
        <v>40802.853337074645</v>
      </c>
      <c r="AY85" s="359">
        <f t="shared" si="87"/>
        <v>40802.853337074645</v>
      </c>
      <c r="AZ85" s="359">
        <f t="shared" si="87"/>
        <v>40802.853337074645</v>
      </c>
      <c r="BA85" s="947">
        <f t="shared" si="87"/>
        <v>40802.853337074645</v>
      </c>
      <c r="BB85" s="359">
        <f t="shared" si="87"/>
        <v>52475.803590544529</v>
      </c>
      <c r="BC85" s="359">
        <f t="shared" si="87"/>
        <v>52475.803590544529</v>
      </c>
      <c r="BD85" s="359">
        <f t="shared" si="87"/>
        <v>52475.803590544529</v>
      </c>
      <c r="BE85" s="359">
        <f t="shared" si="87"/>
        <v>52475.803590544529</v>
      </c>
      <c r="BF85" s="359">
        <f t="shared" si="87"/>
        <v>52475.803590544529</v>
      </c>
      <c r="BG85" s="359">
        <f t="shared" si="87"/>
        <v>52475.803590544529</v>
      </c>
      <c r="BH85" s="359">
        <f t="shared" si="87"/>
        <v>52475.803590544529</v>
      </c>
      <c r="BI85" s="359">
        <f t="shared" si="87"/>
        <v>52475.803590544529</v>
      </c>
      <c r="BJ85" s="359">
        <f t="shared" si="87"/>
        <v>52475.803590544529</v>
      </c>
      <c r="BK85" s="359">
        <f t="shared" si="87"/>
        <v>52475.803590544529</v>
      </c>
      <c r="BL85" s="359">
        <f t="shared" si="87"/>
        <v>52475.803590544529</v>
      </c>
      <c r="BM85" s="947">
        <f t="shared" si="87"/>
        <v>52475.803590544529</v>
      </c>
      <c r="BN85" s="359">
        <f t="shared" si="87"/>
        <v>63101.578248164435</v>
      </c>
      <c r="BO85" s="359">
        <f t="shared" si="87"/>
        <v>63101.578248164435</v>
      </c>
      <c r="BP85" s="359">
        <f t="shared" si="87"/>
        <v>63101.578248164435</v>
      </c>
      <c r="BQ85" s="359">
        <f t="shared" si="87"/>
        <v>63101.578248164435</v>
      </c>
      <c r="BR85" s="359">
        <f t="shared" si="87"/>
        <v>63101.578248164435</v>
      </c>
      <c r="BS85" s="359">
        <f t="shared" si="87"/>
        <v>63101.578248164435</v>
      </c>
      <c r="BT85" s="359">
        <f t="shared" si="87"/>
        <v>63101.578248164435</v>
      </c>
      <c r="BU85" s="359">
        <f t="shared" si="87"/>
        <v>63101.578248164435</v>
      </c>
      <c r="BV85" s="359">
        <f t="shared" si="87"/>
        <v>63101.578248164435</v>
      </c>
      <c r="BW85" s="359">
        <f t="shared" si="87"/>
        <v>63101.578248164435</v>
      </c>
      <c r="BX85" s="359">
        <f t="shared" si="87"/>
        <v>63101.578248164435</v>
      </c>
      <c r="BY85" s="947">
        <f t="shared" si="87"/>
        <v>63101.578248164435</v>
      </c>
      <c r="BZ85" s="652">
        <f>ROUND(SUM(H85:M85)-SUM(Q85:BY85),0)</f>
        <v>0</v>
      </c>
    </row>
    <row r="86" spans="1:78" s="359" customFormat="1">
      <c r="B86" s="358"/>
      <c r="D86" s="366"/>
      <c r="E86" s="359" t="s">
        <v>3524</v>
      </c>
      <c r="F86" s="366"/>
      <c r="G86" s="366"/>
      <c r="I86" s="954"/>
      <c r="J86" s="954"/>
      <c r="K86" s="954"/>
      <c r="L86" s="954"/>
      <c r="M86" s="954"/>
      <c r="N86" s="366"/>
      <c r="O86" s="365"/>
      <c r="P86" s="366"/>
      <c r="Q86" s="366"/>
      <c r="R86" s="1271"/>
      <c r="AC86" s="947"/>
      <c r="AO86" s="947"/>
      <c r="BA86" s="947"/>
      <c r="BM86" s="947"/>
      <c r="BY86" s="947"/>
      <c r="BZ86" s="652"/>
    </row>
    <row r="87" spans="1:78" s="359" customFormat="1" outlineLevel="1">
      <c r="A87" s="359" t="s">
        <v>3930</v>
      </c>
      <c r="B87" s="358"/>
      <c r="D87" s="366"/>
      <c r="E87" s="359" t="s">
        <v>3518</v>
      </c>
      <c r="F87" s="366"/>
      <c r="G87" s="366"/>
      <c r="M87" s="954"/>
      <c r="N87" s="366"/>
      <c r="O87" s="365"/>
      <c r="P87" s="366"/>
      <c r="Q87" s="366"/>
      <c r="R87" s="1271"/>
      <c r="AC87" s="947"/>
      <c r="AO87" s="947"/>
      <c r="BA87" s="947"/>
      <c r="BM87" s="947"/>
      <c r="BY87" s="947"/>
      <c r="BZ87" s="652"/>
    </row>
    <row r="88" spans="1:78" s="359" customFormat="1" outlineLevel="1">
      <c r="B88" s="358"/>
      <c r="D88" s="366"/>
      <c r="F88" s="663" t="s">
        <v>3925</v>
      </c>
      <c r="G88" s="663"/>
      <c r="I88" s="359">
        <f>IF(I65=0,0,'2.3 Expenses'!T83)</f>
        <v>10000</v>
      </c>
      <c r="J88" s="359">
        <f>IF(J65=0,0,'2.3 Expenses'!U83)</f>
        <v>10300</v>
      </c>
      <c r="K88" s="359">
        <f>IF(K65=0,0,'2.3 Expenses'!V83)</f>
        <v>10609</v>
      </c>
      <c r="L88" s="359">
        <f>IF(L65=0,0,'2.3 Expenses'!W83)</f>
        <v>10927.27</v>
      </c>
      <c r="M88" s="954">
        <f>IF(M65=0,0,'2.3 Expenses'!X83)</f>
        <v>11255.088100000001</v>
      </c>
      <c r="N88" s="366"/>
      <c r="O88" s="365"/>
      <c r="P88" s="366"/>
      <c r="Q88" s="366"/>
      <c r="R88" s="1451">
        <f t="shared" ref="R88:AC89" si="88">$I88/12</f>
        <v>833.33333333333337</v>
      </c>
      <c r="S88" s="954">
        <f t="shared" si="88"/>
        <v>833.33333333333337</v>
      </c>
      <c r="T88" s="954">
        <f t="shared" si="88"/>
        <v>833.33333333333337</v>
      </c>
      <c r="U88" s="359">
        <f t="shared" si="88"/>
        <v>833.33333333333337</v>
      </c>
      <c r="V88" s="359">
        <f t="shared" si="88"/>
        <v>833.33333333333337</v>
      </c>
      <c r="W88" s="359">
        <f t="shared" si="88"/>
        <v>833.33333333333337</v>
      </c>
      <c r="X88" s="359">
        <f t="shared" si="88"/>
        <v>833.33333333333337</v>
      </c>
      <c r="Y88" s="359">
        <f t="shared" si="88"/>
        <v>833.33333333333337</v>
      </c>
      <c r="Z88" s="359">
        <f t="shared" si="88"/>
        <v>833.33333333333337</v>
      </c>
      <c r="AA88" s="359">
        <f t="shared" si="88"/>
        <v>833.33333333333337</v>
      </c>
      <c r="AB88" s="359">
        <f t="shared" si="88"/>
        <v>833.33333333333337</v>
      </c>
      <c r="AC88" s="947">
        <f t="shared" si="88"/>
        <v>833.33333333333337</v>
      </c>
      <c r="AD88" s="359">
        <f t="shared" ref="AD88:AO89" si="89">$J88/12</f>
        <v>858.33333333333337</v>
      </c>
      <c r="AE88" s="359">
        <f t="shared" si="89"/>
        <v>858.33333333333337</v>
      </c>
      <c r="AF88" s="359">
        <f t="shared" si="89"/>
        <v>858.33333333333337</v>
      </c>
      <c r="AG88" s="359">
        <f t="shared" si="89"/>
        <v>858.33333333333337</v>
      </c>
      <c r="AH88" s="359">
        <f t="shared" si="89"/>
        <v>858.33333333333337</v>
      </c>
      <c r="AI88" s="359">
        <f t="shared" si="89"/>
        <v>858.33333333333337</v>
      </c>
      <c r="AJ88" s="359">
        <f t="shared" si="89"/>
        <v>858.33333333333337</v>
      </c>
      <c r="AK88" s="359">
        <f t="shared" si="89"/>
        <v>858.33333333333337</v>
      </c>
      <c r="AL88" s="359">
        <f t="shared" si="89"/>
        <v>858.33333333333337</v>
      </c>
      <c r="AM88" s="359">
        <f t="shared" si="89"/>
        <v>858.33333333333337</v>
      </c>
      <c r="AN88" s="359">
        <f t="shared" si="89"/>
        <v>858.33333333333337</v>
      </c>
      <c r="AO88" s="947">
        <f t="shared" si="89"/>
        <v>858.33333333333337</v>
      </c>
      <c r="AP88" s="359">
        <f t="shared" ref="AP88:BA89" si="90">$K88/12</f>
        <v>884.08333333333337</v>
      </c>
      <c r="AQ88" s="359">
        <f t="shared" si="90"/>
        <v>884.08333333333337</v>
      </c>
      <c r="AR88" s="359">
        <f t="shared" si="90"/>
        <v>884.08333333333337</v>
      </c>
      <c r="AS88" s="359">
        <f t="shared" si="90"/>
        <v>884.08333333333337</v>
      </c>
      <c r="AT88" s="359">
        <f t="shared" si="90"/>
        <v>884.08333333333337</v>
      </c>
      <c r="AU88" s="359">
        <f t="shared" si="90"/>
        <v>884.08333333333337</v>
      </c>
      <c r="AV88" s="359">
        <f t="shared" si="90"/>
        <v>884.08333333333337</v>
      </c>
      <c r="AW88" s="359">
        <f t="shared" si="90"/>
        <v>884.08333333333337</v>
      </c>
      <c r="AX88" s="359">
        <f t="shared" si="90"/>
        <v>884.08333333333337</v>
      </c>
      <c r="AY88" s="359">
        <f t="shared" si="90"/>
        <v>884.08333333333337</v>
      </c>
      <c r="AZ88" s="359">
        <f t="shared" si="90"/>
        <v>884.08333333333337</v>
      </c>
      <c r="BA88" s="947">
        <f t="shared" si="90"/>
        <v>884.08333333333337</v>
      </c>
      <c r="BB88" s="359">
        <f t="shared" ref="BB88:BM89" si="91">$L88/12</f>
        <v>910.60583333333341</v>
      </c>
      <c r="BC88" s="359">
        <f t="shared" si="91"/>
        <v>910.60583333333341</v>
      </c>
      <c r="BD88" s="359">
        <f t="shared" si="91"/>
        <v>910.60583333333341</v>
      </c>
      <c r="BE88" s="359">
        <f t="shared" si="91"/>
        <v>910.60583333333341</v>
      </c>
      <c r="BF88" s="359">
        <f t="shared" si="91"/>
        <v>910.60583333333341</v>
      </c>
      <c r="BG88" s="359">
        <f t="shared" si="91"/>
        <v>910.60583333333341</v>
      </c>
      <c r="BH88" s="359">
        <f t="shared" si="91"/>
        <v>910.60583333333341</v>
      </c>
      <c r="BI88" s="359">
        <f t="shared" si="91"/>
        <v>910.60583333333341</v>
      </c>
      <c r="BJ88" s="359">
        <f t="shared" si="91"/>
        <v>910.60583333333341</v>
      </c>
      <c r="BK88" s="359">
        <f t="shared" si="91"/>
        <v>910.60583333333341</v>
      </c>
      <c r="BL88" s="359">
        <f t="shared" si="91"/>
        <v>910.60583333333341</v>
      </c>
      <c r="BM88" s="947">
        <f t="shared" si="91"/>
        <v>910.60583333333341</v>
      </c>
      <c r="BN88" s="359">
        <f>$M88/12</f>
        <v>937.9240083333334</v>
      </c>
      <c r="BO88" s="359">
        <f t="shared" ref="BO88:BY89" si="92">$M88/12</f>
        <v>937.9240083333334</v>
      </c>
      <c r="BP88" s="359">
        <f t="shared" si="92"/>
        <v>937.9240083333334</v>
      </c>
      <c r="BQ88" s="359">
        <f t="shared" si="92"/>
        <v>937.9240083333334</v>
      </c>
      <c r="BR88" s="359">
        <f t="shared" si="92"/>
        <v>937.9240083333334</v>
      </c>
      <c r="BS88" s="359">
        <f t="shared" si="92"/>
        <v>937.9240083333334</v>
      </c>
      <c r="BT88" s="359">
        <f t="shared" si="92"/>
        <v>937.9240083333334</v>
      </c>
      <c r="BU88" s="359">
        <f t="shared" si="92"/>
        <v>937.9240083333334</v>
      </c>
      <c r="BV88" s="359">
        <f t="shared" si="92"/>
        <v>937.9240083333334</v>
      </c>
      <c r="BW88" s="359">
        <f t="shared" si="92"/>
        <v>937.9240083333334</v>
      </c>
      <c r="BX88" s="359">
        <f t="shared" si="92"/>
        <v>937.9240083333334</v>
      </c>
      <c r="BY88" s="947">
        <f t="shared" si="92"/>
        <v>937.9240083333334</v>
      </c>
      <c r="BZ88" s="652">
        <f t="shared" ref="BZ88:BZ94" si="93">ROUND(SUM(H88:M88)-SUM(Q88:BY88),0)</f>
        <v>0</v>
      </c>
    </row>
    <row r="89" spans="1:78" s="359" customFormat="1" outlineLevel="1">
      <c r="B89" s="358"/>
      <c r="D89" s="366"/>
      <c r="F89" s="663" t="s">
        <v>722</v>
      </c>
      <c r="G89" s="663"/>
      <c r="I89" s="1938">
        <f>SUM(I45+I53-H45-H53)*'2.4 HHD'!G44</f>
        <v>591.66666666666663</v>
      </c>
      <c r="J89" s="359">
        <f>SUM(J45+J53-I45-I53)*'2.4 HHD'!H44</f>
        <v>736.2700000000001</v>
      </c>
      <c r="K89" s="359">
        <f>SUM(K45+K53-J45-J53)*'2.4 HHD'!I44</f>
        <v>726.37259999999924</v>
      </c>
      <c r="L89" s="359">
        <f>SUM(L45+L53-K45-K53)*'2.4 HHD'!J44</f>
        <v>439.51697999999863</v>
      </c>
      <c r="M89" s="954">
        <f>SUM(M45+M53-L45-L53)*'2.4 HHD'!K44</f>
        <v>307.41073343999932</v>
      </c>
      <c r="N89" s="366"/>
      <c r="O89" s="365"/>
      <c r="P89" s="366"/>
      <c r="Q89" s="366"/>
      <c r="R89" s="1451">
        <f t="shared" si="88"/>
        <v>49.30555555555555</v>
      </c>
      <c r="S89" s="954">
        <f t="shared" si="88"/>
        <v>49.30555555555555</v>
      </c>
      <c r="T89" s="954">
        <f t="shared" si="88"/>
        <v>49.30555555555555</v>
      </c>
      <c r="U89" s="359">
        <f t="shared" si="88"/>
        <v>49.30555555555555</v>
      </c>
      <c r="V89" s="359">
        <f t="shared" si="88"/>
        <v>49.30555555555555</v>
      </c>
      <c r="W89" s="359">
        <f t="shared" si="88"/>
        <v>49.30555555555555</v>
      </c>
      <c r="X89" s="359">
        <f t="shared" si="88"/>
        <v>49.30555555555555</v>
      </c>
      <c r="Y89" s="359">
        <f t="shared" si="88"/>
        <v>49.30555555555555</v>
      </c>
      <c r="Z89" s="359">
        <f t="shared" si="88"/>
        <v>49.30555555555555</v>
      </c>
      <c r="AA89" s="359">
        <f t="shared" si="88"/>
        <v>49.30555555555555</v>
      </c>
      <c r="AB89" s="359">
        <f t="shared" si="88"/>
        <v>49.30555555555555</v>
      </c>
      <c r="AC89" s="947">
        <f t="shared" si="88"/>
        <v>49.30555555555555</v>
      </c>
      <c r="AD89" s="359">
        <f t="shared" si="89"/>
        <v>61.355833333333344</v>
      </c>
      <c r="AE89" s="359">
        <f t="shared" si="89"/>
        <v>61.355833333333344</v>
      </c>
      <c r="AF89" s="359">
        <f t="shared" si="89"/>
        <v>61.355833333333344</v>
      </c>
      <c r="AG89" s="359">
        <f t="shared" si="89"/>
        <v>61.355833333333344</v>
      </c>
      <c r="AH89" s="359">
        <f t="shared" si="89"/>
        <v>61.355833333333344</v>
      </c>
      <c r="AI89" s="359">
        <f t="shared" si="89"/>
        <v>61.355833333333344</v>
      </c>
      <c r="AJ89" s="359">
        <f t="shared" si="89"/>
        <v>61.355833333333344</v>
      </c>
      <c r="AK89" s="359">
        <f t="shared" si="89"/>
        <v>61.355833333333344</v>
      </c>
      <c r="AL89" s="359">
        <f t="shared" si="89"/>
        <v>61.355833333333344</v>
      </c>
      <c r="AM89" s="359">
        <f t="shared" si="89"/>
        <v>61.355833333333344</v>
      </c>
      <c r="AN89" s="359">
        <f t="shared" si="89"/>
        <v>61.355833333333344</v>
      </c>
      <c r="AO89" s="947">
        <f t="shared" si="89"/>
        <v>61.355833333333344</v>
      </c>
      <c r="AP89" s="359">
        <f t="shared" si="90"/>
        <v>60.531049999999937</v>
      </c>
      <c r="AQ89" s="359">
        <f t="shared" si="90"/>
        <v>60.531049999999937</v>
      </c>
      <c r="AR89" s="359">
        <f t="shared" si="90"/>
        <v>60.531049999999937</v>
      </c>
      <c r="AS89" s="359">
        <f t="shared" si="90"/>
        <v>60.531049999999937</v>
      </c>
      <c r="AT89" s="359">
        <f t="shared" si="90"/>
        <v>60.531049999999937</v>
      </c>
      <c r="AU89" s="359">
        <f t="shared" si="90"/>
        <v>60.531049999999937</v>
      </c>
      <c r="AV89" s="359">
        <f t="shared" si="90"/>
        <v>60.531049999999937</v>
      </c>
      <c r="AW89" s="359">
        <f t="shared" si="90"/>
        <v>60.531049999999937</v>
      </c>
      <c r="AX89" s="359">
        <f t="shared" si="90"/>
        <v>60.531049999999937</v>
      </c>
      <c r="AY89" s="359">
        <f t="shared" si="90"/>
        <v>60.531049999999937</v>
      </c>
      <c r="AZ89" s="359">
        <f t="shared" si="90"/>
        <v>60.531049999999937</v>
      </c>
      <c r="BA89" s="947">
        <f t="shared" si="90"/>
        <v>60.531049999999937</v>
      </c>
      <c r="BB89" s="359">
        <f t="shared" si="91"/>
        <v>36.626414999999888</v>
      </c>
      <c r="BC89" s="359">
        <f t="shared" si="91"/>
        <v>36.626414999999888</v>
      </c>
      <c r="BD89" s="359">
        <f t="shared" si="91"/>
        <v>36.626414999999888</v>
      </c>
      <c r="BE89" s="359">
        <f t="shared" si="91"/>
        <v>36.626414999999888</v>
      </c>
      <c r="BF89" s="359">
        <f t="shared" si="91"/>
        <v>36.626414999999888</v>
      </c>
      <c r="BG89" s="359">
        <f t="shared" si="91"/>
        <v>36.626414999999888</v>
      </c>
      <c r="BH89" s="359">
        <f t="shared" si="91"/>
        <v>36.626414999999888</v>
      </c>
      <c r="BI89" s="359">
        <f t="shared" si="91"/>
        <v>36.626414999999888</v>
      </c>
      <c r="BJ89" s="359">
        <f t="shared" si="91"/>
        <v>36.626414999999888</v>
      </c>
      <c r="BK89" s="359">
        <f t="shared" si="91"/>
        <v>36.626414999999888</v>
      </c>
      <c r="BL89" s="359">
        <f t="shared" si="91"/>
        <v>36.626414999999888</v>
      </c>
      <c r="BM89" s="947">
        <f t="shared" si="91"/>
        <v>36.626414999999888</v>
      </c>
      <c r="BN89" s="359">
        <f>$M89/12</f>
        <v>25.617561119999944</v>
      </c>
      <c r="BO89" s="359">
        <f t="shared" si="92"/>
        <v>25.617561119999944</v>
      </c>
      <c r="BP89" s="359">
        <f t="shared" si="92"/>
        <v>25.617561119999944</v>
      </c>
      <c r="BQ89" s="359">
        <f t="shared" si="92"/>
        <v>25.617561119999944</v>
      </c>
      <c r="BR89" s="359">
        <f t="shared" si="92"/>
        <v>25.617561119999944</v>
      </c>
      <c r="BS89" s="359">
        <f t="shared" si="92"/>
        <v>25.617561119999944</v>
      </c>
      <c r="BT89" s="359">
        <f t="shared" si="92"/>
        <v>25.617561119999944</v>
      </c>
      <c r="BU89" s="359">
        <f t="shared" si="92"/>
        <v>25.617561119999944</v>
      </c>
      <c r="BV89" s="359">
        <f t="shared" si="92"/>
        <v>25.617561119999944</v>
      </c>
      <c r="BW89" s="359">
        <f t="shared" si="92"/>
        <v>25.617561119999944</v>
      </c>
      <c r="BX89" s="359">
        <f t="shared" si="92"/>
        <v>25.617561119999944</v>
      </c>
      <c r="BY89" s="947">
        <f t="shared" si="92"/>
        <v>25.617561119999944</v>
      </c>
      <c r="BZ89" s="652">
        <f>ROUND(SUM(H89:M89)-SUM(Q89:BY89),0)</f>
        <v>0</v>
      </c>
    </row>
    <row r="90" spans="1:78" s="359" customFormat="1" outlineLevel="1">
      <c r="B90" s="358"/>
      <c r="D90" s="366"/>
      <c r="F90" s="663" t="s">
        <v>721</v>
      </c>
      <c r="G90" s="663"/>
      <c r="I90" s="359">
        <f>SUM(R90:AC90)</f>
        <v>48200</v>
      </c>
      <c r="J90" s="359">
        <f>SUM(AD90:AO90)</f>
        <v>109144.08</v>
      </c>
      <c r="K90" s="359">
        <f>SUM(AP90:BA90)</f>
        <v>170500.75199999995</v>
      </c>
      <c r="L90" s="359">
        <f>SUM(BB90:BM90)</f>
        <v>209715.92495999983</v>
      </c>
      <c r="M90" s="954">
        <f>SUM(BN90:BY90)</f>
        <v>238953.39391295976</v>
      </c>
      <c r="N90" s="366"/>
      <c r="O90" s="365"/>
      <c r="P90" s="366"/>
      <c r="Q90" s="366"/>
      <c r="R90" s="1451">
        <f>SUM(R45,R53)*'2.4 HHD'!$G$45</f>
        <v>2249.3333333333335</v>
      </c>
      <c r="S90" s="954">
        <f>SUM(S45,S53)*'2.4 HHD'!$G$45</f>
        <v>2570.6666666666665</v>
      </c>
      <c r="T90" s="954">
        <f>SUM(T45,T53)*'2.4 HHD'!$G$45</f>
        <v>2892</v>
      </c>
      <c r="U90" s="359">
        <f>SUM(U45,U53)*'2.4 HHD'!$G$45</f>
        <v>3213.333333333333</v>
      </c>
      <c r="V90" s="359">
        <f>SUM(V45,V53)*'2.4 HHD'!$G$45</f>
        <v>3534.6666666666665</v>
      </c>
      <c r="W90" s="359">
        <f>SUM(W45,W53)*'2.4 HHD'!$G$45</f>
        <v>3856</v>
      </c>
      <c r="X90" s="359">
        <f>SUM(X45,X53)*'2.4 HHD'!$G$45</f>
        <v>4177.333333333333</v>
      </c>
      <c r="Y90" s="359">
        <f>SUM(Y45,Y53)*'2.4 HHD'!$G$45</f>
        <v>4498.6666666666661</v>
      </c>
      <c r="Z90" s="359">
        <f>SUM(Z45,Z53)*'2.4 HHD'!$G$45</f>
        <v>4820</v>
      </c>
      <c r="AA90" s="359">
        <f>SUM(AA45,AA53)*'2.4 HHD'!$G$45</f>
        <v>5141.3333333333339</v>
      </c>
      <c r="AB90" s="359">
        <f>SUM(AB45,AB53)*'2.4 HHD'!$G$45</f>
        <v>5462.666666666667</v>
      </c>
      <c r="AC90" s="947">
        <f>SUM(AC45,AC53)*'2.4 HHD'!$G$45</f>
        <v>5784</v>
      </c>
      <c r="AD90" s="359">
        <f>SUM(AD45,AD53)*'2.4 HHD'!$H$45</f>
        <v>6391.32</v>
      </c>
      <c r="AE90" s="359">
        <f>SUM(AE45,AE53)*'2.4 HHD'!$H$45</f>
        <v>6882.96</v>
      </c>
      <c r="AF90" s="359">
        <f>SUM(AF45,AF53)*'2.4 HHD'!$H$45</f>
        <v>7374.5999999999995</v>
      </c>
      <c r="AG90" s="359">
        <f>SUM(AG45,AG53)*'2.4 HHD'!$H$45</f>
        <v>7866.24</v>
      </c>
      <c r="AH90" s="359">
        <f>SUM(AH45,AH53)*'2.4 HHD'!$H$45</f>
        <v>8357.8799999999992</v>
      </c>
      <c r="AI90" s="359">
        <f>SUM(AI45,AI53)*'2.4 HHD'!$H$45</f>
        <v>8849.52</v>
      </c>
      <c r="AJ90" s="359">
        <f>SUM(AJ45,AJ53)*'2.4 HHD'!$H$45</f>
        <v>9341.16</v>
      </c>
      <c r="AK90" s="359">
        <f>SUM(AK45,AK53)*'2.4 HHD'!$H$45</f>
        <v>9832.7999999999993</v>
      </c>
      <c r="AL90" s="359">
        <f>SUM(AL45,AL53)*'2.4 HHD'!$H$45</f>
        <v>10324.44</v>
      </c>
      <c r="AM90" s="359">
        <f>SUM(AM45,AM53)*'2.4 HHD'!$H$45</f>
        <v>10816.08</v>
      </c>
      <c r="AN90" s="359">
        <f>SUM(AN45,AN53)*'2.4 HHD'!$H$45</f>
        <v>11307.72</v>
      </c>
      <c r="AO90" s="947">
        <f>SUM(AO45,AO53)*'2.4 HHD'!$H$45</f>
        <v>11799.36</v>
      </c>
      <c r="AP90" s="359">
        <f>SUM(AP45,AP53)*'2.4 HHD'!$I$45</f>
        <v>12369.662399999999</v>
      </c>
      <c r="AQ90" s="359">
        <f>SUM(AQ45,AQ53)*'2.4 HHD'!$I$45</f>
        <v>12703.977599999998</v>
      </c>
      <c r="AR90" s="359">
        <f>SUM(AR45,AR53)*'2.4 HHD'!$I$45</f>
        <v>13038.292799999999</v>
      </c>
      <c r="AS90" s="359">
        <f>SUM(AS45,AS53)*'2.4 HHD'!$I$45</f>
        <v>13372.607999999997</v>
      </c>
      <c r="AT90" s="359">
        <f>SUM(AT45,AT53)*'2.4 HHD'!$I$45</f>
        <v>13706.923199999996</v>
      </c>
      <c r="AU90" s="359">
        <f>SUM(AU45,AU53)*'2.4 HHD'!$I$45</f>
        <v>14041.238399999997</v>
      </c>
      <c r="AV90" s="359">
        <f>SUM(AV45,AV53)*'2.4 HHD'!$I$45</f>
        <v>14375.553599999996</v>
      </c>
      <c r="AW90" s="359">
        <f>SUM(AW45,AW53)*'2.4 HHD'!$I$45</f>
        <v>14709.868799999995</v>
      </c>
      <c r="AX90" s="359">
        <f>SUM(AX45,AX53)*'2.4 HHD'!$I$45</f>
        <v>15044.183999999994</v>
      </c>
      <c r="AY90" s="359">
        <f>SUM(AY45,AY53)*'2.4 HHD'!$I$45</f>
        <v>15378.499199999991</v>
      </c>
      <c r="AZ90" s="359">
        <f>SUM(AZ45,AZ53)*'2.4 HHD'!$I$45</f>
        <v>15712.814399999992</v>
      </c>
      <c r="BA90" s="947">
        <f>SUM(BA45,BA53)*'2.4 HHD'!$I$45</f>
        <v>16047.129599999991</v>
      </c>
      <c r="BB90" s="359">
        <f>SUM(BB45,BB53)*'2.4 HHD'!$J$45</f>
        <v>16538.572943999989</v>
      </c>
      <c r="BC90" s="359">
        <f>SUM(BC45,BC53)*'2.4 HHD'!$J$45</f>
        <v>16709.073695999989</v>
      </c>
      <c r="BD90" s="359">
        <f>SUM(BD45,BD53)*'2.4 HHD'!$J$45</f>
        <v>16879.574447999988</v>
      </c>
      <c r="BE90" s="359">
        <f>SUM(BE45,BE53)*'2.4 HHD'!$J$45</f>
        <v>17050.075199999988</v>
      </c>
      <c r="BF90" s="359">
        <f>SUM(BF45,BF53)*'2.4 HHD'!$J$45</f>
        <v>17220.575951999988</v>
      </c>
      <c r="BG90" s="359">
        <f>SUM(BG45,BG53)*'2.4 HHD'!$J$45</f>
        <v>17391.076703999985</v>
      </c>
      <c r="BH90" s="359">
        <f>SUM(BH45,BH53)*'2.4 HHD'!$J$45</f>
        <v>17561.577455999985</v>
      </c>
      <c r="BI90" s="359">
        <f>SUM(BI45,BI53)*'2.4 HHD'!$J$45</f>
        <v>17732.078207999988</v>
      </c>
      <c r="BJ90" s="359">
        <f>SUM(BJ45,BJ53)*'2.4 HHD'!$J$45</f>
        <v>17902.578959999984</v>
      </c>
      <c r="BK90" s="359">
        <f>SUM(BK45,BK53)*'2.4 HHD'!$J$45</f>
        <v>18073.079711999984</v>
      </c>
      <c r="BL90" s="359">
        <f>SUM(BL45,BL53)*'2.4 HHD'!$J$45</f>
        <v>18243.580463999984</v>
      </c>
      <c r="BM90" s="947">
        <f>SUM(BM45,BM53)*'2.4 HHD'!$J$45</f>
        <v>18414.081215999984</v>
      </c>
      <c r="BN90" s="359">
        <f>SUM(BN45,BN53)*'2.4 HHD'!$K$45</f>
        <v>18956.273607359981</v>
      </c>
      <c r="BO90" s="359">
        <f>SUM(BO45,BO53)*'2.4 HHD'!$K$45</f>
        <v>19130.184374399982</v>
      </c>
      <c r="BP90" s="359">
        <f>SUM(BP45,BP53)*'2.4 HHD'!$K$45</f>
        <v>19304.095141439982</v>
      </c>
      <c r="BQ90" s="359">
        <f>SUM(BQ45,BQ53)*'2.4 HHD'!$K$45</f>
        <v>19478.005908479983</v>
      </c>
      <c r="BR90" s="359">
        <f>SUM(BR45,BR53)*'2.4 HHD'!$K$45</f>
        <v>19651.91667551998</v>
      </c>
      <c r="BS90" s="359">
        <f>SUM(BS45,BS53)*'2.4 HHD'!$K$45</f>
        <v>19825.827442559977</v>
      </c>
      <c r="BT90" s="359">
        <f>SUM(BT45,BT53)*'2.4 HHD'!$K$45</f>
        <v>19999.738209599978</v>
      </c>
      <c r="BU90" s="359">
        <f>SUM(BU45,BU53)*'2.4 HHD'!$K$45</f>
        <v>20173.648976639979</v>
      </c>
      <c r="BV90" s="359">
        <f>SUM(BV45,BV53)*'2.4 HHD'!$K$45</f>
        <v>20347.559743679976</v>
      </c>
      <c r="BW90" s="359">
        <f>SUM(BW45,BW53)*'2.4 HHD'!$K$45</f>
        <v>20521.470510719973</v>
      </c>
      <c r="BX90" s="359">
        <f>SUM(BX45,BX53)*'2.4 HHD'!$K$45</f>
        <v>20695.381277759978</v>
      </c>
      <c r="BY90" s="947">
        <f>SUM(BY45,BY53)*'2.4 HHD'!$K$45</f>
        <v>20869.292044799979</v>
      </c>
      <c r="BZ90" s="652"/>
    </row>
    <row r="91" spans="1:78" s="359" customFormat="1" outlineLevel="1">
      <c r="B91" s="358"/>
      <c r="D91" s="366"/>
      <c r="F91" s="663" t="s">
        <v>3695</v>
      </c>
      <c r="G91" s="663"/>
      <c r="H91" s="364">
        <f>I91*'2.3 Expenses'!S86</f>
        <v>2916.6666666666661</v>
      </c>
      <c r="I91" s="364">
        <f>(I45+I53)*'2.3 Expenses'!T80*12</f>
        <v>8749.9999999999982</v>
      </c>
      <c r="J91" s="364">
        <f>(J45+J53)*'2.3 Expenses'!U80*12</f>
        <v>20007.75</v>
      </c>
      <c r="K91" s="364">
        <f>(K45+K53)*'2.3 Expenses'!V80*12</f>
        <v>31561.774999999987</v>
      </c>
      <c r="L91" s="364">
        <f>(L45+L53)*'2.3 Expenses'!W80*12</f>
        <v>39201.581124999968</v>
      </c>
      <c r="M91" s="955">
        <f>(M45+M53)*'2.3 Expenses'!X80*12</f>
        <v>45104.765560749955</v>
      </c>
      <c r="N91" s="366"/>
      <c r="O91" s="365"/>
      <c r="P91" s="366"/>
      <c r="Q91" s="364">
        <f>H91</f>
        <v>2916.6666666666661</v>
      </c>
      <c r="R91" s="1452">
        <f t="shared" ref="R91:AC91" si="94">$I91/12</f>
        <v>729.16666666666652</v>
      </c>
      <c r="S91" s="955">
        <f t="shared" si="94"/>
        <v>729.16666666666652</v>
      </c>
      <c r="T91" s="955">
        <f t="shared" si="94"/>
        <v>729.16666666666652</v>
      </c>
      <c r="U91" s="364">
        <f t="shared" si="94"/>
        <v>729.16666666666652</v>
      </c>
      <c r="V91" s="364">
        <f t="shared" si="94"/>
        <v>729.16666666666652</v>
      </c>
      <c r="W91" s="364">
        <f t="shared" si="94"/>
        <v>729.16666666666652</v>
      </c>
      <c r="X91" s="364">
        <f t="shared" si="94"/>
        <v>729.16666666666652</v>
      </c>
      <c r="Y91" s="364">
        <f t="shared" si="94"/>
        <v>729.16666666666652</v>
      </c>
      <c r="Z91" s="364">
        <f t="shared" si="94"/>
        <v>729.16666666666652</v>
      </c>
      <c r="AA91" s="364">
        <f t="shared" si="94"/>
        <v>729.16666666666652</v>
      </c>
      <c r="AB91" s="364">
        <f t="shared" si="94"/>
        <v>729.16666666666652</v>
      </c>
      <c r="AC91" s="949">
        <f t="shared" si="94"/>
        <v>729.16666666666652</v>
      </c>
      <c r="AD91" s="364">
        <f t="shared" ref="AD91:AO91" si="95">$J91/12</f>
        <v>1667.3125</v>
      </c>
      <c r="AE91" s="364">
        <f t="shared" si="95"/>
        <v>1667.3125</v>
      </c>
      <c r="AF91" s="364">
        <f t="shared" si="95"/>
        <v>1667.3125</v>
      </c>
      <c r="AG91" s="364">
        <f t="shared" si="95"/>
        <v>1667.3125</v>
      </c>
      <c r="AH91" s="364">
        <f t="shared" si="95"/>
        <v>1667.3125</v>
      </c>
      <c r="AI91" s="364">
        <f t="shared" si="95"/>
        <v>1667.3125</v>
      </c>
      <c r="AJ91" s="364">
        <f t="shared" si="95"/>
        <v>1667.3125</v>
      </c>
      <c r="AK91" s="364">
        <f t="shared" si="95"/>
        <v>1667.3125</v>
      </c>
      <c r="AL91" s="364">
        <f t="shared" si="95"/>
        <v>1667.3125</v>
      </c>
      <c r="AM91" s="364">
        <f t="shared" si="95"/>
        <v>1667.3125</v>
      </c>
      <c r="AN91" s="364">
        <f t="shared" si="95"/>
        <v>1667.3125</v>
      </c>
      <c r="AO91" s="949">
        <f t="shared" si="95"/>
        <v>1667.3125</v>
      </c>
      <c r="AP91" s="364">
        <f t="shared" ref="AP91:BA91" si="96">$K91/12</f>
        <v>2630.1479166666654</v>
      </c>
      <c r="AQ91" s="364">
        <f t="shared" si="96"/>
        <v>2630.1479166666654</v>
      </c>
      <c r="AR91" s="364">
        <f t="shared" si="96"/>
        <v>2630.1479166666654</v>
      </c>
      <c r="AS91" s="364">
        <f t="shared" si="96"/>
        <v>2630.1479166666654</v>
      </c>
      <c r="AT91" s="364">
        <f t="shared" si="96"/>
        <v>2630.1479166666654</v>
      </c>
      <c r="AU91" s="364">
        <f t="shared" si="96"/>
        <v>2630.1479166666654</v>
      </c>
      <c r="AV91" s="364">
        <f t="shared" si="96"/>
        <v>2630.1479166666654</v>
      </c>
      <c r="AW91" s="364">
        <f t="shared" si="96"/>
        <v>2630.1479166666654</v>
      </c>
      <c r="AX91" s="364">
        <f t="shared" si="96"/>
        <v>2630.1479166666654</v>
      </c>
      <c r="AY91" s="364">
        <f t="shared" si="96"/>
        <v>2630.1479166666654</v>
      </c>
      <c r="AZ91" s="364">
        <f t="shared" si="96"/>
        <v>2630.1479166666654</v>
      </c>
      <c r="BA91" s="949">
        <f t="shared" si="96"/>
        <v>2630.1479166666654</v>
      </c>
      <c r="BB91" s="364">
        <f t="shared" ref="BB91:BM91" si="97">$L91/12</f>
        <v>3266.7984270833308</v>
      </c>
      <c r="BC91" s="364">
        <f t="shared" si="97"/>
        <v>3266.7984270833308</v>
      </c>
      <c r="BD91" s="364">
        <f t="shared" si="97"/>
        <v>3266.7984270833308</v>
      </c>
      <c r="BE91" s="364">
        <f t="shared" si="97"/>
        <v>3266.7984270833308</v>
      </c>
      <c r="BF91" s="364">
        <f t="shared" si="97"/>
        <v>3266.7984270833308</v>
      </c>
      <c r="BG91" s="364">
        <f t="shared" si="97"/>
        <v>3266.7984270833308</v>
      </c>
      <c r="BH91" s="364">
        <f t="shared" si="97"/>
        <v>3266.7984270833308</v>
      </c>
      <c r="BI91" s="364">
        <f t="shared" si="97"/>
        <v>3266.7984270833308</v>
      </c>
      <c r="BJ91" s="364">
        <f t="shared" si="97"/>
        <v>3266.7984270833308</v>
      </c>
      <c r="BK91" s="364">
        <f t="shared" si="97"/>
        <v>3266.7984270833308</v>
      </c>
      <c r="BL91" s="364">
        <f t="shared" si="97"/>
        <v>3266.7984270833308</v>
      </c>
      <c r="BM91" s="949">
        <f t="shared" si="97"/>
        <v>3266.7984270833308</v>
      </c>
      <c r="BN91" s="364">
        <f>$M91/12</f>
        <v>3758.7304633958297</v>
      </c>
      <c r="BO91" s="364">
        <f t="shared" ref="BO91:BY91" si="98">$M91/12</f>
        <v>3758.7304633958297</v>
      </c>
      <c r="BP91" s="364">
        <f t="shared" si="98"/>
        <v>3758.7304633958297</v>
      </c>
      <c r="BQ91" s="364">
        <f t="shared" si="98"/>
        <v>3758.7304633958297</v>
      </c>
      <c r="BR91" s="364">
        <f t="shared" si="98"/>
        <v>3758.7304633958297</v>
      </c>
      <c r="BS91" s="364">
        <f t="shared" si="98"/>
        <v>3758.7304633958297</v>
      </c>
      <c r="BT91" s="364">
        <f t="shared" si="98"/>
        <v>3758.7304633958297</v>
      </c>
      <c r="BU91" s="364">
        <f t="shared" si="98"/>
        <v>3758.7304633958297</v>
      </c>
      <c r="BV91" s="364">
        <f t="shared" si="98"/>
        <v>3758.7304633958297</v>
      </c>
      <c r="BW91" s="364">
        <f t="shared" si="98"/>
        <v>3758.7304633958297</v>
      </c>
      <c r="BX91" s="364">
        <f t="shared" si="98"/>
        <v>3758.7304633958297</v>
      </c>
      <c r="BY91" s="949">
        <f t="shared" si="98"/>
        <v>3758.7304633958297</v>
      </c>
      <c r="BZ91" s="652">
        <f t="shared" si="93"/>
        <v>0</v>
      </c>
    </row>
    <row r="92" spans="1:78" s="359" customFormat="1">
      <c r="B92" s="358"/>
      <c r="D92" s="366"/>
      <c r="E92" s="359" t="s">
        <v>3518</v>
      </c>
      <c r="F92" s="366"/>
      <c r="G92" s="366"/>
      <c r="H92" s="359">
        <f t="shared" ref="H92:M92" si="99">SUM(H88:H91)</f>
        <v>2916.6666666666661</v>
      </c>
      <c r="I92" s="359">
        <f t="shared" si="99"/>
        <v>67541.666666666657</v>
      </c>
      <c r="J92" s="359">
        <f t="shared" si="99"/>
        <v>140188.1</v>
      </c>
      <c r="K92" s="359">
        <f t="shared" si="99"/>
        <v>213397.89959999995</v>
      </c>
      <c r="L92" s="359">
        <f t="shared" si="99"/>
        <v>260284.2930649998</v>
      </c>
      <c r="M92" s="359">
        <f t="shared" si="99"/>
        <v>295620.65830714972</v>
      </c>
      <c r="N92" s="366"/>
      <c r="O92" s="365"/>
      <c r="P92" s="366"/>
      <c r="Q92" s="366">
        <f>SUM(Q88:Q91)</f>
        <v>2916.6666666666661</v>
      </c>
      <c r="R92" s="1271">
        <f>SUM(R88:R91)</f>
        <v>3861.1388888888891</v>
      </c>
      <c r="S92" s="359">
        <f t="shared" ref="S92:BY92" si="100">SUM(S88:S91)</f>
        <v>4182.4722222222226</v>
      </c>
      <c r="T92" s="359">
        <f t="shared" si="100"/>
        <v>4503.8055555555547</v>
      </c>
      <c r="U92" s="359">
        <f t="shared" si="100"/>
        <v>4825.1388888888887</v>
      </c>
      <c r="V92" s="359">
        <f t="shared" si="100"/>
        <v>5146.4722222222226</v>
      </c>
      <c r="W92" s="359">
        <f t="shared" si="100"/>
        <v>5467.8055555555547</v>
      </c>
      <c r="X92" s="359">
        <f t="shared" si="100"/>
        <v>5789.1388888888887</v>
      </c>
      <c r="Y92" s="359">
        <f t="shared" si="100"/>
        <v>6110.4722222222208</v>
      </c>
      <c r="Z92" s="359">
        <f t="shared" si="100"/>
        <v>6431.8055555555547</v>
      </c>
      <c r="AA92" s="359">
        <f t="shared" si="100"/>
        <v>6753.1388888888887</v>
      </c>
      <c r="AB92" s="359">
        <f t="shared" si="100"/>
        <v>7074.4722222222226</v>
      </c>
      <c r="AC92" s="947">
        <f t="shared" si="100"/>
        <v>7395.8055555555547</v>
      </c>
      <c r="AD92" s="359">
        <f t="shared" si="100"/>
        <v>8978.3216666666667</v>
      </c>
      <c r="AE92" s="359">
        <f t="shared" si="100"/>
        <v>9469.9616666666661</v>
      </c>
      <c r="AF92" s="359">
        <f t="shared" si="100"/>
        <v>9961.6016666666656</v>
      </c>
      <c r="AG92" s="359">
        <f t="shared" si="100"/>
        <v>10453.241666666667</v>
      </c>
      <c r="AH92" s="359">
        <f t="shared" si="100"/>
        <v>10944.881666666666</v>
      </c>
      <c r="AI92" s="359">
        <f t="shared" si="100"/>
        <v>11436.521666666667</v>
      </c>
      <c r="AJ92" s="359">
        <f t="shared" si="100"/>
        <v>11928.161666666667</v>
      </c>
      <c r="AK92" s="359">
        <f t="shared" si="100"/>
        <v>12419.801666666666</v>
      </c>
      <c r="AL92" s="359">
        <f t="shared" si="100"/>
        <v>12911.441666666668</v>
      </c>
      <c r="AM92" s="359">
        <f t="shared" si="100"/>
        <v>13403.081666666667</v>
      </c>
      <c r="AN92" s="359">
        <f t="shared" si="100"/>
        <v>13894.721666666666</v>
      </c>
      <c r="AO92" s="947">
        <f t="shared" si="100"/>
        <v>14386.361666666668</v>
      </c>
      <c r="AP92" s="359">
        <f t="shared" si="100"/>
        <v>15944.424699999998</v>
      </c>
      <c r="AQ92" s="359">
        <f t="shared" si="100"/>
        <v>16278.739899999997</v>
      </c>
      <c r="AR92" s="359">
        <f t="shared" si="100"/>
        <v>16613.055099999998</v>
      </c>
      <c r="AS92" s="359">
        <f t="shared" si="100"/>
        <v>16947.370299999995</v>
      </c>
      <c r="AT92" s="359">
        <f t="shared" si="100"/>
        <v>17281.685499999996</v>
      </c>
      <c r="AU92" s="359">
        <f t="shared" si="100"/>
        <v>17616.000699999997</v>
      </c>
      <c r="AV92" s="359">
        <f t="shared" si="100"/>
        <v>17950.315899999994</v>
      </c>
      <c r="AW92" s="359">
        <f t="shared" si="100"/>
        <v>18284.631099999995</v>
      </c>
      <c r="AX92" s="359">
        <f t="shared" si="100"/>
        <v>18618.946299999992</v>
      </c>
      <c r="AY92" s="359">
        <f t="shared" si="100"/>
        <v>18953.26149999999</v>
      </c>
      <c r="AZ92" s="359">
        <f t="shared" si="100"/>
        <v>19287.576699999991</v>
      </c>
      <c r="BA92" s="947">
        <f t="shared" si="100"/>
        <v>19621.891899999988</v>
      </c>
      <c r="BB92" s="359">
        <f t="shared" si="100"/>
        <v>20752.603619416652</v>
      </c>
      <c r="BC92" s="359">
        <f t="shared" si="100"/>
        <v>20923.104371416652</v>
      </c>
      <c r="BD92" s="359">
        <f t="shared" si="100"/>
        <v>21093.605123416652</v>
      </c>
      <c r="BE92" s="359">
        <f t="shared" si="100"/>
        <v>21264.105875416652</v>
      </c>
      <c r="BF92" s="359">
        <f t="shared" si="100"/>
        <v>21434.606627416651</v>
      </c>
      <c r="BG92" s="359">
        <f t="shared" si="100"/>
        <v>21605.107379416648</v>
      </c>
      <c r="BH92" s="359">
        <f t="shared" si="100"/>
        <v>21775.608131416648</v>
      </c>
      <c r="BI92" s="359">
        <f t="shared" si="100"/>
        <v>21946.108883416651</v>
      </c>
      <c r="BJ92" s="359">
        <f t="shared" si="100"/>
        <v>22116.609635416648</v>
      </c>
      <c r="BK92" s="359">
        <f t="shared" si="100"/>
        <v>22287.110387416647</v>
      </c>
      <c r="BL92" s="359">
        <f t="shared" si="100"/>
        <v>22457.611139416647</v>
      </c>
      <c r="BM92" s="947">
        <f t="shared" si="100"/>
        <v>22628.111891416647</v>
      </c>
      <c r="BN92" s="359">
        <f t="shared" si="100"/>
        <v>23678.545640209144</v>
      </c>
      <c r="BO92" s="359">
        <f t="shared" si="100"/>
        <v>23852.456407249145</v>
      </c>
      <c r="BP92" s="359">
        <f t="shared" si="100"/>
        <v>24026.367174289146</v>
      </c>
      <c r="BQ92" s="359">
        <f t="shared" si="100"/>
        <v>24200.277941329146</v>
      </c>
      <c r="BR92" s="359">
        <f t="shared" si="100"/>
        <v>24374.188708369144</v>
      </c>
      <c r="BS92" s="359">
        <f t="shared" si="100"/>
        <v>24548.099475409141</v>
      </c>
      <c r="BT92" s="359">
        <f t="shared" si="100"/>
        <v>24722.010242449142</v>
      </c>
      <c r="BU92" s="359">
        <f t="shared" si="100"/>
        <v>24895.921009489142</v>
      </c>
      <c r="BV92" s="359">
        <f t="shared" si="100"/>
        <v>25069.831776529139</v>
      </c>
      <c r="BW92" s="359">
        <f t="shared" si="100"/>
        <v>25243.742543569137</v>
      </c>
      <c r="BX92" s="359">
        <f t="shared" si="100"/>
        <v>25417.653310609141</v>
      </c>
      <c r="BY92" s="947">
        <f t="shared" si="100"/>
        <v>25591.564077649142</v>
      </c>
      <c r="BZ92" s="652">
        <f t="shared" si="93"/>
        <v>0</v>
      </c>
    </row>
    <row r="93" spans="1:78" s="359" customFormat="1">
      <c r="B93" s="358"/>
      <c r="D93" s="366"/>
      <c r="E93" s="359" t="str">
        <f>IF(DVAOwnership&lt;1,"Management Fee","G&amp;A")</f>
        <v>Management Fee</v>
      </c>
      <c r="F93" s="366"/>
      <c r="G93" s="366"/>
      <c r="H93" s="955">
        <f>IF(DVAOwnership&lt;1,MgtFee*H69,H230)</f>
        <v>0</v>
      </c>
      <c r="I93" s="955">
        <f>IF(DVAOwnership&lt;1,PtrIS!H47*I69,I230)</f>
        <v>86638.686051249024</v>
      </c>
      <c r="J93" s="955">
        <f>IF(DVAOwnership&lt;1,PtrIS!I47*J69,J230)</f>
        <v>202595.31750252101</v>
      </c>
      <c r="K93" s="955">
        <f>IF(DVAOwnership&lt;1,PtrIS!J47*K69,K230)</f>
        <v>290994.25692832656</v>
      </c>
      <c r="L93" s="955">
        <f>IF(DVAOwnership&lt;1,PtrIS!K47*L69,L230)</f>
        <v>363369.42987766227</v>
      </c>
      <c r="M93" s="955">
        <f>IF(DVAOwnership&lt;1,PtrIS!L47*M69,M230)</f>
        <v>438882.65213077783</v>
      </c>
      <c r="N93" s="366" t="s">
        <v>2933</v>
      </c>
      <c r="O93" s="365"/>
      <c r="P93" s="366"/>
      <c r="Q93" s="2234">
        <f t="shared" ref="Q93:AC93" si="101">IF(DVAOwnership&lt;1,MgtFee*Q69,(Q64*($I$237+$I$238)+Q65*($I$239+$I$240)))</f>
        <v>0</v>
      </c>
      <c r="R93" s="2235">
        <f t="shared" si="101"/>
        <v>2783.4666410321038</v>
      </c>
      <c r="S93" s="2234">
        <f t="shared" si="101"/>
        <v>3590.0891616209492</v>
      </c>
      <c r="T93" s="2234">
        <f t="shared" si="101"/>
        <v>4396.7116822097951</v>
      </c>
      <c r="U93" s="2234">
        <f t="shared" si="101"/>
        <v>5203.33420279864</v>
      </c>
      <c r="V93" s="2234">
        <f t="shared" si="101"/>
        <v>6009.9567233874859</v>
      </c>
      <c r="W93" s="2234">
        <f t="shared" si="101"/>
        <v>6816.5792439763309</v>
      </c>
      <c r="X93" s="2234">
        <f t="shared" si="101"/>
        <v>7623.2017645651767</v>
      </c>
      <c r="Y93" s="2234">
        <f t="shared" si="101"/>
        <v>8429.8242851540199</v>
      </c>
      <c r="Z93" s="2234">
        <f t="shared" si="101"/>
        <v>9236.4468057428676</v>
      </c>
      <c r="AA93" s="2234">
        <f t="shared" si="101"/>
        <v>10043.069326331712</v>
      </c>
      <c r="AB93" s="2234">
        <f t="shared" si="101"/>
        <v>10849.691846920559</v>
      </c>
      <c r="AC93" s="2236">
        <f t="shared" si="101"/>
        <v>11656.314367509403</v>
      </c>
      <c r="AD93" s="2234">
        <f t="shared" ref="AD93:AO93" si="102">IF(DVAOwnership&lt;1,MgtFee*AD69,(AD64*($J$237+$J$238)+AD65*($J$239+$J$240)))</f>
        <v>12520.377646226445</v>
      </c>
      <c r="AE93" s="2234">
        <f t="shared" si="102"/>
        <v>13313.571369678015</v>
      </c>
      <c r="AF93" s="2234">
        <f t="shared" si="102"/>
        <v>14106.765093129587</v>
      </c>
      <c r="AG93" s="2234">
        <f t="shared" si="102"/>
        <v>14899.958816581156</v>
      </c>
      <c r="AH93" s="2234">
        <f t="shared" si="102"/>
        <v>15693.152540032728</v>
      </c>
      <c r="AI93" s="2234">
        <f t="shared" si="102"/>
        <v>16486.346263484298</v>
      </c>
      <c r="AJ93" s="2234">
        <f t="shared" si="102"/>
        <v>17279.53998693587</v>
      </c>
      <c r="AK93" s="2234">
        <f t="shared" si="102"/>
        <v>18072.733710387438</v>
      </c>
      <c r="AL93" s="2234">
        <f t="shared" si="102"/>
        <v>18865.927433839013</v>
      </c>
      <c r="AM93" s="2234">
        <f t="shared" si="102"/>
        <v>19659.121157290581</v>
      </c>
      <c r="AN93" s="2234">
        <f t="shared" si="102"/>
        <v>20452.314880742153</v>
      </c>
      <c r="AO93" s="2236">
        <f t="shared" si="102"/>
        <v>21245.508604193732</v>
      </c>
      <c r="AP93" s="2234">
        <f t="shared" ref="AP93:BA93" si="103">IF(DVAOwnership&lt;1,MgtFee*AP69,(AP64*($K$237+$K$238)+AP65*($K$239+$K$240)))</f>
        <v>21844.467847960452</v>
      </c>
      <c r="AQ93" s="2234">
        <f t="shared" si="103"/>
        <v>22281.750313911987</v>
      </c>
      <c r="AR93" s="2234">
        <f t="shared" si="103"/>
        <v>22719.032779863515</v>
      </c>
      <c r="AS93" s="2234">
        <f t="shared" si="103"/>
        <v>23156.315245815051</v>
      </c>
      <c r="AT93" s="2234">
        <f t="shared" si="103"/>
        <v>23593.597711766575</v>
      </c>
      <c r="AU93" s="2234">
        <f t="shared" si="103"/>
        <v>24030.880177718114</v>
      </c>
      <c r="AV93" s="2234">
        <f t="shared" si="103"/>
        <v>24468.162643669642</v>
      </c>
      <c r="AW93" s="2234">
        <f t="shared" si="103"/>
        <v>24905.445109621181</v>
      </c>
      <c r="AX93" s="2234">
        <f t="shared" si="103"/>
        <v>25342.72757557271</v>
      </c>
      <c r="AY93" s="2234">
        <f t="shared" si="103"/>
        <v>25780.010041524241</v>
      </c>
      <c r="AZ93" s="2234">
        <f t="shared" si="103"/>
        <v>26217.292507475773</v>
      </c>
      <c r="BA93" s="2236">
        <f t="shared" si="103"/>
        <v>26654.574973427305</v>
      </c>
      <c r="BB93" s="2234">
        <f t="shared" ref="BB93:BM93" si="104">IF(DVAOwnership&lt;1,MgtFee*BB69,(BB64*($L$237+$L$238)+BB65*($L$239+$L$240)))</f>
        <v>27372.211766320124</v>
      </c>
      <c r="BC93" s="2234">
        <f t="shared" si="104"/>
        <v>27901.043413014384</v>
      </c>
      <c r="BD93" s="2234">
        <f t="shared" si="104"/>
        <v>28429.875059708636</v>
      </c>
      <c r="BE93" s="2234">
        <f t="shared" si="104"/>
        <v>28958.706706402892</v>
      </c>
      <c r="BF93" s="2234">
        <f t="shared" si="104"/>
        <v>29487.538353097141</v>
      </c>
      <c r="BG93" s="2234">
        <f t="shared" si="104"/>
        <v>30016.369999791405</v>
      </c>
      <c r="BH93" s="2234">
        <f t="shared" si="104"/>
        <v>30545.201646485657</v>
      </c>
      <c r="BI93" s="2234">
        <f t="shared" si="104"/>
        <v>31074.033293179906</v>
      </c>
      <c r="BJ93" s="2234">
        <f t="shared" si="104"/>
        <v>31602.864939874165</v>
      </c>
      <c r="BK93" s="2234">
        <f t="shared" si="104"/>
        <v>32131.696586568421</v>
      </c>
      <c r="BL93" s="2234">
        <f t="shared" si="104"/>
        <v>32660.528233262674</v>
      </c>
      <c r="BM93" s="2236">
        <f t="shared" si="104"/>
        <v>33189.35987995693</v>
      </c>
      <c r="BN93" s="2234">
        <f t="shared" ref="BN93:BY93" si="105">IF(DVAOwnership&lt;1,MgtFee*BN69,(BN64*($M$237+$M$238)+BN65*($M$239+$M$240)))</f>
        <v>34298.360992666705</v>
      </c>
      <c r="BO93" s="2234">
        <f t="shared" si="105"/>
        <v>34712.032511133024</v>
      </c>
      <c r="BP93" s="2234">
        <f t="shared" si="105"/>
        <v>35125.704029599357</v>
      </c>
      <c r="BQ93" s="2234">
        <f t="shared" si="105"/>
        <v>35539.375548065676</v>
      </c>
      <c r="BR93" s="2234">
        <f t="shared" si="105"/>
        <v>35953.047066531995</v>
      </c>
      <c r="BS93" s="2234">
        <f t="shared" si="105"/>
        <v>36366.718584998329</v>
      </c>
      <c r="BT93" s="2234">
        <f t="shared" si="105"/>
        <v>36780.390103464648</v>
      </c>
      <c r="BU93" s="2234">
        <f t="shared" si="105"/>
        <v>37194.061621930974</v>
      </c>
      <c r="BV93" s="2234">
        <f t="shared" si="105"/>
        <v>37607.733140397293</v>
      </c>
      <c r="BW93" s="2234">
        <f t="shared" si="105"/>
        <v>38021.404658863619</v>
      </c>
      <c r="BX93" s="2234">
        <f t="shared" si="105"/>
        <v>38435.076177329945</v>
      </c>
      <c r="BY93" s="2236">
        <f t="shared" si="105"/>
        <v>38848.747695796264</v>
      </c>
      <c r="BZ93" s="652">
        <f t="shared" si="93"/>
        <v>0</v>
      </c>
    </row>
    <row r="94" spans="1:78" s="359" customFormat="1">
      <c r="B94" s="358"/>
      <c r="D94" s="366"/>
      <c r="E94" s="359" t="s">
        <v>3513</v>
      </c>
      <c r="F94" s="366"/>
      <c r="G94" s="366"/>
      <c r="H94" s="359">
        <f t="shared" ref="H94:M94" si="106">SUM(H77:H80,H85:H86,H92:H93)</f>
        <v>264648.14604055602</v>
      </c>
      <c r="I94" s="359">
        <f t="shared" si="106"/>
        <v>1354641.0289964976</v>
      </c>
      <c r="J94" s="359">
        <f t="shared" si="106"/>
        <v>2247912.9662057795</v>
      </c>
      <c r="K94" s="359">
        <f t="shared" si="106"/>
        <v>3042986.8788005724</v>
      </c>
      <c r="L94" s="359">
        <f t="shared" si="106"/>
        <v>3731705.7454272597</v>
      </c>
      <c r="M94" s="359">
        <f t="shared" si="106"/>
        <v>4326180.1277862256</v>
      </c>
      <c r="N94" s="366"/>
      <c r="O94" s="365"/>
      <c r="P94" s="366"/>
      <c r="Q94" s="366">
        <f t="shared" ref="Q94:AV94" si="107">SUM(Q77:Q80,Q85:Q86,Q92:Q93)</f>
        <v>264648.14604055602</v>
      </c>
      <c r="R94" s="1271">
        <f t="shared" si="107"/>
        <v>93301.443436468559</v>
      </c>
      <c r="S94" s="359">
        <f t="shared" si="107"/>
        <v>96378.014766148481</v>
      </c>
      <c r="T94" s="359">
        <f t="shared" si="107"/>
        <v>99454.586095828403</v>
      </c>
      <c r="U94" s="359">
        <f t="shared" si="107"/>
        <v>102531.15742550833</v>
      </c>
      <c r="V94" s="359">
        <f t="shared" si="107"/>
        <v>105607.72875518825</v>
      </c>
      <c r="W94" s="359">
        <f t="shared" si="107"/>
        <v>108684.30008486818</v>
      </c>
      <c r="X94" s="359">
        <f t="shared" si="107"/>
        <v>116162.53808121478</v>
      </c>
      <c r="Y94" s="359">
        <f t="shared" si="107"/>
        <v>119239.10941089469</v>
      </c>
      <c r="Z94" s="359">
        <f t="shared" si="107"/>
        <v>122315.68074057461</v>
      </c>
      <c r="AA94" s="359">
        <f t="shared" si="107"/>
        <v>127245.58540358787</v>
      </c>
      <c r="AB94" s="359">
        <f t="shared" si="107"/>
        <v>130322.1567332678</v>
      </c>
      <c r="AC94" s="947">
        <f t="shared" si="107"/>
        <v>133398.72806294775</v>
      </c>
      <c r="AD94" s="359">
        <f t="shared" si="107"/>
        <v>171079.88664311502</v>
      </c>
      <c r="AE94" s="359">
        <f t="shared" si="107"/>
        <v>174033.74007475746</v>
      </c>
      <c r="AF94" s="359">
        <f t="shared" si="107"/>
        <v>176987.59350639986</v>
      </c>
      <c r="AG94" s="359">
        <f t="shared" si="107"/>
        <v>179941.44693804224</v>
      </c>
      <c r="AH94" s="359">
        <f t="shared" si="107"/>
        <v>182895.30036968464</v>
      </c>
      <c r="AI94" s="359">
        <f t="shared" si="107"/>
        <v>185849.15380132708</v>
      </c>
      <c r="AJ94" s="359">
        <f t="shared" si="107"/>
        <v>188803.00723296948</v>
      </c>
      <c r="AK94" s="359">
        <f t="shared" si="107"/>
        <v>191756.86066461186</v>
      </c>
      <c r="AL94" s="359">
        <f t="shared" si="107"/>
        <v>194710.71409625429</v>
      </c>
      <c r="AM94" s="359">
        <f t="shared" si="107"/>
        <v>197664.5675278967</v>
      </c>
      <c r="AN94" s="359">
        <f t="shared" si="107"/>
        <v>200618.42095953913</v>
      </c>
      <c r="AO94" s="947">
        <f t="shared" si="107"/>
        <v>203572.27439118153</v>
      </c>
      <c r="AP94" s="359">
        <f t="shared" si="107"/>
        <v>243215.46348950925</v>
      </c>
      <c r="AQ94" s="359">
        <f t="shared" si="107"/>
        <v>245100.33192778897</v>
      </c>
      <c r="AR94" s="359">
        <f t="shared" si="107"/>
        <v>246985.20036606869</v>
      </c>
      <c r="AS94" s="359">
        <f t="shared" si="107"/>
        <v>248870.06880434844</v>
      </c>
      <c r="AT94" s="359">
        <f t="shared" si="107"/>
        <v>250754.93724262813</v>
      </c>
      <c r="AU94" s="359">
        <f t="shared" si="107"/>
        <v>252639.80568090783</v>
      </c>
      <c r="AV94" s="359">
        <f t="shared" si="107"/>
        <v>254524.67411918758</v>
      </c>
      <c r="AW94" s="359">
        <f t="shared" ref="AW94:BY94" si="108">SUM(AW77:AW80,AW85:AW86,AW92:AW93)</f>
        <v>256409.54255746727</v>
      </c>
      <c r="AX94" s="359">
        <f t="shared" si="108"/>
        <v>258294.41099574696</v>
      </c>
      <c r="AY94" s="359">
        <f t="shared" si="108"/>
        <v>260179.27943402671</v>
      </c>
      <c r="AZ94" s="359">
        <f t="shared" si="108"/>
        <v>262064.14787230641</v>
      </c>
      <c r="BA94" s="947">
        <f t="shared" si="108"/>
        <v>263949.01631058613</v>
      </c>
      <c r="BB94" s="359">
        <f t="shared" si="108"/>
        <v>300507.23096477654</v>
      </c>
      <c r="BC94" s="359">
        <f t="shared" si="108"/>
        <v>302410.54875038174</v>
      </c>
      <c r="BD94" s="359">
        <f t="shared" si="108"/>
        <v>304313.86653598695</v>
      </c>
      <c r="BE94" s="359">
        <f t="shared" si="108"/>
        <v>306217.18432159204</v>
      </c>
      <c r="BF94" s="359">
        <f t="shared" si="108"/>
        <v>308120.50210719724</v>
      </c>
      <c r="BG94" s="359">
        <f t="shared" si="108"/>
        <v>310023.81989280239</v>
      </c>
      <c r="BH94" s="359">
        <f t="shared" si="108"/>
        <v>311927.1376784076</v>
      </c>
      <c r="BI94" s="359">
        <f t="shared" si="108"/>
        <v>313830.45546401269</v>
      </c>
      <c r="BJ94" s="359">
        <f t="shared" si="108"/>
        <v>315733.77324961789</v>
      </c>
      <c r="BK94" s="359">
        <f t="shared" si="108"/>
        <v>317637.09103522316</v>
      </c>
      <c r="BL94" s="359">
        <f t="shared" si="108"/>
        <v>319540.40882082819</v>
      </c>
      <c r="BM94" s="947">
        <f t="shared" si="108"/>
        <v>321443.72660643345</v>
      </c>
      <c r="BN94" s="359">
        <f t="shared" si="108"/>
        <v>352784.44483685901</v>
      </c>
      <c r="BO94" s="359">
        <f t="shared" si="108"/>
        <v>354190.00225722138</v>
      </c>
      <c r="BP94" s="359">
        <f t="shared" si="108"/>
        <v>355595.55967758381</v>
      </c>
      <c r="BQ94" s="359">
        <f t="shared" si="108"/>
        <v>357001.11709794629</v>
      </c>
      <c r="BR94" s="359">
        <f t="shared" si="108"/>
        <v>358406.67451830866</v>
      </c>
      <c r="BS94" s="359">
        <f t="shared" si="108"/>
        <v>359812.23193867103</v>
      </c>
      <c r="BT94" s="359">
        <f t="shared" si="108"/>
        <v>361217.7893590334</v>
      </c>
      <c r="BU94" s="359">
        <f t="shared" si="108"/>
        <v>362623.34677939583</v>
      </c>
      <c r="BV94" s="359">
        <f t="shared" si="108"/>
        <v>364028.9041997582</v>
      </c>
      <c r="BW94" s="359">
        <f t="shared" si="108"/>
        <v>365434.46162012056</v>
      </c>
      <c r="BX94" s="359">
        <f t="shared" si="108"/>
        <v>366840.01904048299</v>
      </c>
      <c r="BY94" s="947">
        <f t="shared" si="108"/>
        <v>368245.57646084536</v>
      </c>
      <c r="BZ94" s="652">
        <f t="shared" si="93"/>
        <v>0</v>
      </c>
    </row>
    <row r="95" spans="1:78" s="359" customFormat="1">
      <c r="B95" s="358"/>
      <c r="D95" s="366"/>
      <c r="F95" s="366"/>
      <c r="G95" s="366"/>
      <c r="N95" s="366"/>
      <c r="O95" s="365"/>
      <c r="P95" s="366"/>
      <c r="Q95" s="366"/>
      <c r="R95" s="1271"/>
      <c r="AC95" s="947"/>
      <c r="AO95" s="947"/>
      <c r="BA95" s="947"/>
      <c r="BM95" s="947"/>
      <c r="BY95" s="947"/>
      <c r="BZ95" s="652"/>
    </row>
    <row r="96" spans="1:78" s="359" customFormat="1">
      <c r="B96" s="358"/>
      <c r="D96" s="366"/>
      <c r="E96" s="359" t="s">
        <v>3528</v>
      </c>
      <c r="F96" s="366"/>
      <c r="G96" s="366"/>
      <c r="H96" s="359">
        <f t="shared" ref="H96:M96" si="109">H69-H94</f>
        <v>-264648.14604055602</v>
      </c>
      <c r="I96" s="359">
        <f t="shared" si="109"/>
        <v>-271657.45335588488</v>
      </c>
      <c r="J96" s="359">
        <f t="shared" si="109"/>
        <v>284528.50257573323</v>
      </c>
      <c r="K96" s="359">
        <f t="shared" si="109"/>
        <v>594441.33280350966</v>
      </c>
      <c r="L96" s="359">
        <f t="shared" si="109"/>
        <v>810412.12804351887</v>
      </c>
      <c r="M96" s="359">
        <f t="shared" si="109"/>
        <v>1159853.0238484973</v>
      </c>
      <c r="N96" s="366"/>
      <c r="O96" s="365"/>
      <c r="P96" s="366"/>
      <c r="Q96" s="366">
        <f t="shared" ref="Q96:AV96" si="110">Q69-Q94</f>
        <v>-264648.14604055602</v>
      </c>
      <c r="R96" s="1271">
        <f t="shared" si="110"/>
        <v>-58508.110423567261</v>
      </c>
      <c r="S96" s="359">
        <f t="shared" si="110"/>
        <v>-51501.900245886616</v>
      </c>
      <c r="T96" s="359">
        <f t="shared" si="110"/>
        <v>-44495.690068205971</v>
      </c>
      <c r="U96" s="359">
        <f t="shared" si="110"/>
        <v>-37489.479890525326</v>
      </c>
      <c r="V96" s="359">
        <f t="shared" si="110"/>
        <v>-30483.269712844674</v>
      </c>
      <c r="W96" s="359">
        <f t="shared" si="110"/>
        <v>-23477.059535164051</v>
      </c>
      <c r="X96" s="359">
        <f t="shared" si="110"/>
        <v>-20872.516024150071</v>
      </c>
      <c r="Y96" s="359">
        <f t="shared" si="110"/>
        <v>-13866.305846469433</v>
      </c>
      <c r="Z96" s="359">
        <f t="shared" si="110"/>
        <v>-6860.0956687887665</v>
      </c>
      <c r="AA96" s="359">
        <f t="shared" si="110"/>
        <v>-1707.218824441472</v>
      </c>
      <c r="AB96" s="359">
        <f t="shared" si="110"/>
        <v>5298.9913532391947</v>
      </c>
      <c r="AC96" s="947">
        <f t="shared" si="110"/>
        <v>12305.201530919789</v>
      </c>
      <c r="AD96" s="359">
        <f t="shared" si="110"/>
        <v>-14575.166065284458</v>
      </c>
      <c r="AE96" s="359">
        <f t="shared" si="110"/>
        <v>-7614.0979537822714</v>
      </c>
      <c r="AF96" s="359">
        <f t="shared" si="110"/>
        <v>-653.02984228002606</v>
      </c>
      <c r="AG96" s="359">
        <f t="shared" si="110"/>
        <v>6308.0382692222192</v>
      </c>
      <c r="AH96" s="359">
        <f t="shared" si="110"/>
        <v>13269.106380724465</v>
      </c>
      <c r="AI96" s="359">
        <f t="shared" si="110"/>
        <v>20230.174492226652</v>
      </c>
      <c r="AJ96" s="359">
        <f t="shared" si="110"/>
        <v>27191.242603728868</v>
      </c>
      <c r="AK96" s="359">
        <f t="shared" si="110"/>
        <v>34152.310715231113</v>
      </c>
      <c r="AL96" s="359">
        <f t="shared" si="110"/>
        <v>41113.378826733358</v>
      </c>
      <c r="AM96" s="359">
        <f t="shared" si="110"/>
        <v>48074.446938235575</v>
      </c>
      <c r="AN96" s="359">
        <f t="shared" si="110"/>
        <v>55035.515049737791</v>
      </c>
      <c r="AO96" s="947">
        <f t="shared" si="110"/>
        <v>61996.583161240094</v>
      </c>
      <c r="AP96" s="359">
        <f t="shared" si="110"/>
        <v>29840.384609996399</v>
      </c>
      <c r="AQ96" s="359">
        <f t="shared" si="110"/>
        <v>33421.546996110876</v>
      </c>
      <c r="AR96" s="359">
        <f t="shared" si="110"/>
        <v>37002.709382225235</v>
      </c>
      <c r="AS96" s="359">
        <f t="shared" si="110"/>
        <v>40583.871768339683</v>
      </c>
      <c r="AT96" s="359">
        <f t="shared" si="110"/>
        <v>44165.034154454072</v>
      </c>
      <c r="AU96" s="359">
        <f t="shared" si="110"/>
        <v>47746.196540568577</v>
      </c>
      <c r="AV96" s="359">
        <f t="shared" si="110"/>
        <v>51327.358926682966</v>
      </c>
      <c r="AW96" s="359">
        <f t="shared" ref="AW96:BY96" si="111">AW69-AW94</f>
        <v>54908.521312797471</v>
      </c>
      <c r="AX96" s="359">
        <f t="shared" si="111"/>
        <v>58489.683698911918</v>
      </c>
      <c r="AY96" s="359">
        <f t="shared" si="111"/>
        <v>62070.846085026307</v>
      </c>
      <c r="AZ96" s="359">
        <f t="shared" si="111"/>
        <v>65652.008471140754</v>
      </c>
      <c r="BA96" s="947">
        <f t="shared" si="111"/>
        <v>69233.170857255172</v>
      </c>
      <c r="BB96" s="359">
        <f t="shared" si="111"/>
        <v>41645.416114224994</v>
      </c>
      <c r="BC96" s="359">
        <f t="shared" si="111"/>
        <v>46352.493912298058</v>
      </c>
      <c r="BD96" s="359">
        <f t="shared" si="111"/>
        <v>51059.571710371005</v>
      </c>
      <c r="BE96" s="359">
        <f t="shared" si="111"/>
        <v>55766.649508444127</v>
      </c>
      <c r="BF96" s="359">
        <f t="shared" si="111"/>
        <v>60473.727306517016</v>
      </c>
      <c r="BG96" s="359">
        <f t="shared" si="111"/>
        <v>65180.805104590137</v>
      </c>
      <c r="BH96" s="359">
        <f t="shared" si="111"/>
        <v>69887.882902663085</v>
      </c>
      <c r="BI96" s="359">
        <f t="shared" si="111"/>
        <v>74594.960700736148</v>
      </c>
      <c r="BJ96" s="359">
        <f t="shared" si="111"/>
        <v>79302.038498809154</v>
      </c>
      <c r="BK96" s="359">
        <f t="shared" si="111"/>
        <v>84009.116296882101</v>
      </c>
      <c r="BL96" s="359">
        <f t="shared" si="111"/>
        <v>88716.194094955223</v>
      </c>
      <c r="BM96" s="947">
        <f t="shared" si="111"/>
        <v>93423.27189302817</v>
      </c>
      <c r="BN96" s="359">
        <f t="shared" si="111"/>
        <v>75945.067571474763</v>
      </c>
      <c r="BO96" s="359">
        <f t="shared" si="111"/>
        <v>79710.404131941439</v>
      </c>
      <c r="BP96" s="359">
        <f t="shared" si="111"/>
        <v>83475.740692408115</v>
      </c>
      <c r="BQ96" s="359">
        <f t="shared" si="111"/>
        <v>87241.077252874675</v>
      </c>
      <c r="BR96" s="359">
        <f t="shared" si="111"/>
        <v>91006.413813341293</v>
      </c>
      <c r="BS96" s="359">
        <f t="shared" si="111"/>
        <v>94771.750373808027</v>
      </c>
      <c r="BT96" s="359">
        <f t="shared" si="111"/>
        <v>98537.086934274645</v>
      </c>
      <c r="BU96" s="359">
        <f t="shared" si="111"/>
        <v>102302.42349474132</v>
      </c>
      <c r="BV96" s="359">
        <f t="shared" si="111"/>
        <v>106067.76005520794</v>
      </c>
      <c r="BW96" s="359">
        <f t="shared" si="111"/>
        <v>109833.09661567467</v>
      </c>
      <c r="BX96" s="359">
        <f t="shared" si="111"/>
        <v>113598.43317614129</v>
      </c>
      <c r="BY96" s="947">
        <f t="shared" si="111"/>
        <v>117363.76973660797</v>
      </c>
      <c r="BZ96" s="652">
        <f>ROUND(SUM(H96:M96)-SUM(Q96:BY96),0)</f>
        <v>0</v>
      </c>
    </row>
    <row r="97" spans="2:78" s="359" customFormat="1">
      <c r="B97" s="358"/>
      <c r="D97" s="366"/>
      <c r="E97" s="359" t="s">
        <v>3927</v>
      </c>
      <c r="F97" s="366"/>
      <c r="G97" s="366"/>
      <c r="H97" s="366">
        <f t="shared" ref="H97:M97" si="112">H266</f>
        <v>0</v>
      </c>
      <c r="I97" s="366">
        <f t="shared" si="112"/>
        <v>157913.01833333334</v>
      </c>
      <c r="J97" s="366">
        <f t="shared" si="112"/>
        <v>171012.69988095236</v>
      </c>
      <c r="K97" s="366">
        <f t="shared" si="112"/>
        <v>184107.86119047616</v>
      </c>
      <c r="L97" s="366">
        <f t="shared" si="112"/>
        <v>194921.24278571428</v>
      </c>
      <c r="M97" s="366">
        <f t="shared" si="112"/>
        <v>204808.37210857141</v>
      </c>
      <c r="N97" s="366"/>
      <c r="O97" s="365"/>
      <c r="P97" s="366"/>
      <c r="Q97" s="2086">
        <v>0</v>
      </c>
      <c r="R97" s="1271">
        <f t="shared" ref="R97:AC98" si="113">$I97/12</f>
        <v>13159.418194444444</v>
      </c>
      <c r="S97" s="366">
        <f t="shared" si="113"/>
        <v>13159.418194444444</v>
      </c>
      <c r="T97" s="366">
        <f t="shared" si="113"/>
        <v>13159.418194444444</v>
      </c>
      <c r="U97" s="366">
        <f t="shared" si="113"/>
        <v>13159.418194444444</v>
      </c>
      <c r="V97" s="366">
        <f t="shared" si="113"/>
        <v>13159.418194444444</v>
      </c>
      <c r="W97" s="366">
        <f t="shared" si="113"/>
        <v>13159.418194444444</v>
      </c>
      <c r="X97" s="366">
        <f t="shared" si="113"/>
        <v>13159.418194444444</v>
      </c>
      <c r="Y97" s="366">
        <f t="shared" si="113"/>
        <v>13159.418194444444</v>
      </c>
      <c r="Z97" s="366">
        <f t="shared" si="113"/>
        <v>13159.418194444444</v>
      </c>
      <c r="AA97" s="366">
        <f t="shared" si="113"/>
        <v>13159.418194444444</v>
      </c>
      <c r="AB97" s="366">
        <f t="shared" si="113"/>
        <v>13159.418194444444</v>
      </c>
      <c r="AC97" s="947">
        <f t="shared" si="113"/>
        <v>13159.418194444444</v>
      </c>
      <c r="AD97" s="366">
        <f t="shared" ref="AD97:AO98" si="114">$J97/12</f>
        <v>14251.058323412697</v>
      </c>
      <c r="AE97" s="366">
        <f t="shared" si="114"/>
        <v>14251.058323412697</v>
      </c>
      <c r="AF97" s="366">
        <f t="shared" si="114"/>
        <v>14251.058323412697</v>
      </c>
      <c r="AG97" s="366">
        <f t="shared" si="114"/>
        <v>14251.058323412697</v>
      </c>
      <c r="AH97" s="366">
        <f t="shared" si="114"/>
        <v>14251.058323412697</v>
      </c>
      <c r="AI97" s="366">
        <f t="shared" si="114"/>
        <v>14251.058323412697</v>
      </c>
      <c r="AJ97" s="366">
        <f t="shared" si="114"/>
        <v>14251.058323412697</v>
      </c>
      <c r="AK97" s="366">
        <f t="shared" si="114"/>
        <v>14251.058323412697</v>
      </c>
      <c r="AL97" s="366">
        <f t="shared" si="114"/>
        <v>14251.058323412697</v>
      </c>
      <c r="AM97" s="366">
        <f t="shared" si="114"/>
        <v>14251.058323412697</v>
      </c>
      <c r="AN97" s="366">
        <f t="shared" si="114"/>
        <v>14251.058323412697</v>
      </c>
      <c r="AO97" s="947">
        <f t="shared" si="114"/>
        <v>14251.058323412697</v>
      </c>
      <c r="AP97" s="366">
        <f t="shared" ref="AP97:BA98" si="115">$K97/12</f>
        <v>15342.321765873014</v>
      </c>
      <c r="AQ97" s="366">
        <f t="shared" si="115"/>
        <v>15342.321765873014</v>
      </c>
      <c r="AR97" s="366">
        <f t="shared" si="115"/>
        <v>15342.321765873014</v>
      </c>
      <c r="AS97" s="366">
        <f t="shared" si="115"/>
        <v>15342.321765873014</v>
      </c>
      <c r="AT97" s="366">
        <f t="shared" si="115"/>
        <v>15342.321765873014</v>
      </c>
      <c r="AU97" s="366">
        <f t="shared" si="115"/>
        <v>15342.321765873014</v>
      </c>
      <c r="AV97" s="366">
        <f t="shared" si="115"/>
        <v>15342.321765873014</v>
      </c>
      <c r="AW97" s="366">
        <f t="shared" si="115"/>
        <v>15342.321765873014</v>
      </c>
      <c r="AX97" s="366">
        <f t="shared" si="115"/>
        <v>15342.321765873014</v>
      </c>
      <c r="AY97" s="366">
        <f t="shared" si="115"/>
        <v>15342.321765873014</v>
      </c>
      <c r="AZ97" s="366">
        <f t="shared" si="115"/>
        <v>15342.321765873014</v>
      </c>
      <c r="BA97" s="947">
        <f t="shared" si="115"/>
        <v>15342.321765873014</v>
      </c>
      <c r="BB97" s="366">
        <f t="shared" ref="BB97:BM98" si="116">$L97/12</f>
        <v>16243.436898809523</v>
      </c>
      <c r="BC97" s="366">
        <f t="shared" si="116"/>
        <v>16243.436898809523</v>
      </c>
      <c r="BD97" s="366">
        <f t="shared" si="116"/>
        <v>16243.436898809523</v>
      </c>
      <c r="BE97" s="366">
        <f t="shared" si="116"/>
        <v>16243.436898809523</v>
      </c>
      <c r="BF97" s="366">
        <f t="shared" si="116"/>
        <v>16243.436898809523</v>
      </c>
      <c r="BG97" s="366">
        <f t="shared" si="116"/>
        <v>16243.436898809523</v>
      </c>
      <c r="BH97" s="366">
        <f t="shared" si="116"/>
        <v>16243.436898809523</v>
      </c>
      <c r="BI97" s="366">
        <f t="shared" si="116"/>
        <v>16243.436898809523</v>
      </c>
      <c r="BJ97" s="366">
        <f t="shared" si="116"/>
        <v>16243.436898809523</v>
      </c>
      <c r="BK97" s="366">
        <f t="shared" si="116"/>
        <v>16243.436898809523</v>
      </c>
      <c r="BL97" s="366">
        <f t="shared" si="116"/>
        <v>16243.436898809523</v>
      </c>
      <c r="BM97" s="947">
        <f t="shared" si="116"/>
        <v>16243.436898809523</v>
      </c>
      <c r="BN97" s="366">
        <f>$M97/12</f>
        <v>17067.364342380952</v>
      </c>
      <c r="BO97" s="366">
        <f t="shared" ref="BO97:BY98" si="117">$M97/12</f>
        <v>17067.364342380952</v>
      </c>
      <c r="BP97" s="366">
        <f t="shared" si="117"/>
        <v>17067.364342380952</v>
      </c>
      <c r="BQ97" s="366">
        <f t="shared" si="117"/>
        <v>17067.364342380952</v>
      </c>
      <c r="BR97" s="366">
        <f t="shared" si="117"/>
        <v>17067.364342380952</v>
      </c>
      <c r="BS97" s="366">
        <f t="shared" si="117"/>
        <v>17067.364342380952</v>
      </c>
      <c r="BT97" s="366">
        <f t="shared" si="117"/>
        <v>17067.364342380952</v>
      </c>
      <c r="BU97" s="366">
        <f t="shared" si="117"/>
        <v>17067.364342380952</v>
      </c>
      <c r="BV97" s="366">
        <f t="shared" si="117"/>
        <v>17067.364342380952</v>
      </c>
      <c r="BW97" s="366">
        <f t="shared" si="117"/>
        <v>17067.364342380952</v>
      </c>
      <c r="BX97" s="366">
        <f t="shared" si="117"/>
        <v>17067.364342380952</v>
      </c>
      <c r="BY97" s="947">
        <f t="shared" si="117"/>
        <v>17067.364342380952</v>
      </c>
      <c r="BZ97" s="652">
        <f>ROUND(SUM(H97:M97)-SUM(Q97:BY97),0)</f>
        <v>0</v>
      </c>
    </row>
    <row r="98" spans="2:78" s="359" customFormat="1">
      <c r="B98" s="358"/>
      <c r="D98" s="366"/>
      <c r="E98" s="359" t="s">
        <v>1701</v>
      </c>
      <c r="F98" s="366"/>
      <c r="G98" s="366"/>
      <c r="H98" s="2085">
        <v>0</v>
      </c>
      <c r="I98" s="364">
        <f>I289</f>
        <v>6525</v>
      </c>
      <c r="J98" s="364">
        <f>J289</f>
        <v>6525</v>
      </c>
      <c r="K98" s="364">
        <f>K289</f>
        <v>6525</v>
      </c>
      <c r="L98" s="364">
        <f>L289</f>
        <v>6525</v>
      </c>
      <c r="M98" s="364">
        <f>M289</f>
        <v>6525</v>
      </c>
      <c r="N98" s="366" t="s">
        <v>710</v>
      </c>
      <c r="O98" s="365"/>
      <c r="P98" s="366"/>
      <c r="Q98" s="955">
        <f>PtrIS!U32</f>
        <v>0</v>
      </c>
      <c r="R98" s="1272">
        <f t="shared" si="113"/>
        <v>543.75</v>
      </c>
      <c r="S98" s="364">
        <f t="shared" si="113"/>
        <v>543.75</v>
      </c>
      <c r="T98" s="364">
        <f t="shared" si="113"/>
        <v>543.75</v>
      </c>
      <c r="U98" s="364">
        <f t="shared" si="113"/>
        <v>543.75</v>
      </c>
      <c r="V98" s="364">
        <f t="shared" si="113"/>
        <v>543.75</v>
      </c>
      <c r="W98" s="364">
        <f t="shared" si="113"/>
        <v>543.75</v>
      </c>
      <c r="X98" s="364">
        <f t="shared" si="113"/>
        <v>543.75</v>
      </c>
      <c r="Y98" s="364">
        <f t="shared" si="113"/>
        <v>543.75</v>
      </c>
      <c r="Z98" s="364">
        <f t="shared" si="113"/>
        <v>543.75</v>
      </c>
      <c r="AA98" s="364">
        <f t="shared" si="113"/>
        <v>543.75</v>
      </c>
      <c r="AB98" s="364">
        <f t="shared" si="113"/>
        <v>543.75</v>
      </c>
      <c r="AC98" s="949">
        <f t="shared" si="113"/>
        <v>543.75</v>
      </c>
      <c r="AD98" s="364">
        <f t="shared" si="114"/>
        <v>543.75</v>
      </c>
      <c r="AE98" s="364">
        <f t="shared" si="114"/>
        <v>543.75</v>
      </c>
      <c r="AF98" s="364">
        <f t="shared" si="114"/>
        <v>543.75</v>
      </c>
      <c r="AG98" s="364">
        <f t="shared" si="114"/>
        <v>543.75</v>
      </c>
      <c r="AH98" s="364">
        <f t="shared" si="114"/>
        <v>543.75</v>
      </c>
      <c r="AI98" s="364">
        <f t="shared" si="114"/>
        <v>543.75</v>
      </c>
      <c r="AJ98" s="364">
        <f t="shared" si="114"/>
        <v>543.75</v>
      </c>
      <c r="AK98" s="364">
        <f t="shared" si="114"/>
        <v>543.75</v>
      </c>
      <c r="AL98" s="364">
        <f t="shared" si="114"/>
        <v>543.75</v>
      </c>
      <c r="AM98" s="364">
        <f t="shared" si="114"/>
        <v>543.75</v>
      </c>
      <c r="AN98" s="364">
        <f t="shared" si="114"/>
        <v>543.75</v>
      </c>
      <c r="AO98" s="949">
        <f t="shared" si="114"/>
        <v>543.75</v>
      </c>
      <c r="AP98" s="364">
        <f t="shared" si="115"/>
        <v>543.75</v>
      </c>
      <c r="AQ98" s="364">
        <f t="shared" si="115"/>
        <v>543.75</v>
      </c>
      <c r="AR98" s="364">
        <f t="shared" si="115"/>
        <v>543.75</v>
      </c>
      <c r="AS98" s="364">
        <f t="shared" si="115"/>
        <v>543.75</v>
      </c>
      <c r="AT98" s="364">
        <f t="shared" si="115"/>
        <v>543.75</v>
      </c>
      <c r="AU98" s="364">
        <f t="shared" si="115"/>
        <v>543.75</v>
      </c>
      <c r="AV98" s="364">
        <f t="shared" si="115"/>
        <v>543.75</v>
      </c>
      <c r="AW98" s="364">
        <f t="shared" si="115"/>
        <v>543.75</v>
      </c>
      <c r="AX98" s="364">
        <f t="shared" si="115"/>
        <v>543.75</v>
      </c>
      <c r="AY98" s="364">
        <f t="shared" si="115"/>
        <v>543.75</v>
      </c>
      <c r="AZ98" s="364">
        <f t="shared" si="115"/>
        <v>543.75</v>
      </c>
      <c r="BA98" s="949">
        <f t="shared" si="115"/>
        <v>543.75</v>
      </c>
      <c r="BB98" s="364">
        <f t="shared" si="116"/>
        <v>543.75</v>
      </c>
      <c r="BC98" s="364">
        <f t="shared" si="116"/>
        <v>543.75</v>
      </c>
      <c r="BD98" s="364">
        <f t="shared" si="116"/>
        <v>543.75</v>
      </c>
      <c r="BE98" s="364">
        <f t="shared" si="116"/>
        <v>543.75</v>
      </c>
      <c r="BF98" s="364">
        <f t="shared" si="116"/>
        <v>543.75</v>
      </c>
      <c r="BG98" s="364">
        <f t="shared" si="116"/>
        <v>543.75</v>
      </c>
      <c r="BH98" s="364">
        <f t="shared" si="116"/>
        <v>543.75</v>
      </c>
      <c r="BI98" s="364">
        <f t="shared" si="116"/>
        <v>543.75</v>
      </c>
      <c r="BJ98" s="364">
        <f t="shared" si="116"/>
        <v>543.75</v>
      </c>
      <c r="BK98" s="364">
        <f t="shared" si="116"/>
        <v>543.75</v>
      </c>
      <c r="BL98" s="364">
        <f t="shared" si="116"/>
        <v>543.75</v>
      </c>
      <c r="BM98" s="949">
        <f t="shared" si="116"/>
        <v>543.75</v>
      </c>
      <c r="BN98" s="364">
        <f>$M98/12</f>
        <v>543.75</v>
      </c>
      <c r="BO98" s="364">
        <f t="shared" si="117"/>
        <v>543.75</v>
      </c>
      <c r="BP98" s="364">
        <f t="shared" si="117"/>
        <v>543.75</v>
      </c>
      <c r="BQ98" s="364">
        <f t="shared" si="117"/>
        <v>543.75</v>
      </c>
      <c r="BR98" s="364">
        <f t="shared" si="117"/>
        <v>543.75</v>
      </c>
      <c r="BS98" s="364">
        <f t="shared" si="117"/>
        <v>543.75</v>
      </c>
      <c r="BT98" s="364">
        <f t="shared" si="117"/>
        <v>543.75</v>
      </c>
      <c r="BU98" s="364">
        <f t="shared" si="117"/>
        <v>543.75</v>
      </c>
      <c r="BV98" s="364">
        <f t="shared" si="117"/>
        <v>543.75</v>
      </c>
      <c r="BW98" s="364">
        <f t="shared" si="117"/>
        <v>543.75</v>
      </c>
      <c r="BX98" s="364">
        <f t="shared" si="117"/>
        <v>543.75</v>
      </c>
      <c r="BY98" s="949">
        <f t="shared" si="117"/>
        <v>543.75</v>
      </c>
      <c r="BZ98" s="652">
        <f>ROUND(SUM(H98:M98)-SUM(Q98:BY98),0)</f>
        <v>0</v>
      </c>
    </row>
    <row r="99" spans="2:78" s="363" customFormat="1" ht="12" thickBot="1">
      <c r="B99" s="362"/>
      <c r="D99" s="368"/>
      <c r="E99" s="363" t="s">
        <v>3527</v>
      </c>
      <c r="F99" s="368"/>
      <c r="G99" s="368"/>
      <c r="H99" s="369">
        <f t="shared" ref="H99:M99" si="118">H96-H97-H98</f>
        <v>-264648.14604055602</v>
      </c>
      <c r="I99" s="369">
        <f t="shared" si="118"/>
        <v>-436095.47168921819</v>
      </c>
      <c r="J99" s="369">
        <f t="shared" si="118"/>
        <v>106990.80269478087</v>
      </c>
      <c r="K99" s="369">
        <f t="shared" si="118"/>
        <v>403808.4716130335</v>
      </c>
      <c r="L99" s="369">
        <f t="shared" si="118"/>
        <v>608965.88525780453</v>
      </c>
      <c r="M99" s="369">
        <f t="shared" si="118"/>
        <v>948519.65173992584</v>
      </c>
      <c r="N99" s="368"/>
      <c r="O99" s="367"/>
      <c r="P99" s="368"/>
      <c r="Q99" s="369">
        <f t="shared" ref="Q99:AV99" si="119">Q96-Q97-Q98</f>
        <v>-264648.14604055602</v>
      </c>
      <c r="R99" s="1273">
        <f t="shared" si="119"/>
        <v>-72211.278618011711</v>
      </c>
      <c r="S99" s="369">
        <f t="shared" si="119"/>
        <v>-65205.068440331059</v>
      </c>
      <c r="T99" s="369">
        <f t="shared" si="119"/>
        <v>-58198.858262650414</v>
      </c>
      <c r="U99" s="369">
        <f t="shared" si="119"/>
        <v>-51192.648084969769</v>
      </c>
      <c r="V99" s="369">
        <f t="shared" si="119"/>
        <v>-44186.437907289117</v>
      </c>
      <c r="W99" s="369">
        <f t="shared" si="119"/>
        <v>-37180.227729608494</v>
      </c>
      <c r="X99" s="369">
        <f t="shared" si="119"/>
        <v>-34575.684218594513</v>
      </c>
      <c r="Y99" s="369">
        <f t="shared" si="119"/>
        <v>-27569.474040913876</v>
      </c>
      <c r="Z99" s="369">
        <f t="shared" si="119"/>
        <v>-20563.263863233209</v>
      </c>
      <c r="AA99" s="369">
        <f t="shared" si="119"/>
        <v>-15410.387018885916</v>
      </c>
      <c r="AB99" s="369">
        <f t="shared" si="119"/>
        <v>-8404.1768412052497</v>
      </c>
      <c r="AC99" s="950">
        <f t="shared" si="119"/>
        <v>-1397.9666635246558</v>
      </c>
      <c r="AD99" s="369">
        <f t="shared" si="119"/>
        <v>-29369.974388697156</v>
      </c>
      <c r="AE99" s="369">
        <f t="shared" si="119"/>
        <v>-22408.906277194968</v>
      </c>
      <c r="AF99" s="369">
        <f t="shared" si="119"/>
        <v>-15447.838165692723</v>
      </c>
      <c r="AG99" s="369">
        <f t="shared" si="119"/>
        <v>-8486.7700541904778</v>
      </c>
      <c r="AH99" s="369">
        <f t="shared" si="119"/>
        <v>-1525.7019426882325</v>
      </c>
      <c r="AI99" s="369">
        <f t="shared" si="119"/>
        <v>5435.3661688139546</v>
      </c>
      <c r="AJ99" s="369">
        <f t="shared" si="119"/>
        <v>12396.434280316171</v>
      </c>
      <c r="AK99" s="369">
        <f t="shared" si="119"/>
        <v>19357.502391818416</v>
      </c>
      <c r="AL99" s="369">
        <f t="shared" si="119"/>
        <v>26318.570503320661</v>
      </c>
      <c r="AM99" s="369">
        <f t="shared" si="119"/>
        <v>33279.638614822878</v>
      </c>
      <c r="AN99" s="369">
        <f t="shared" si="119"/>
        <v>40240.706726325094</v>
      </c>
      <c r="AO99" s="950">
        <f t="shared" si="119"/>
        <v>47201.774837827397</v>
      </c>
      <c r="AP99" s="369">
        <f t="shared" si="119"/>
        <v>13954.312844123386</v>
      </c>
      <c r="AQ99" s="369">
        <f t="shared" si="119"/>
        <v>17535.475230237862</v>
      </c>
      <c r="AR99" s="369">
        <f t="shared" si="119"/>
        <v>21116.637616352222</v>
      </c>
      <c r="AS99" s="369">
        <f t="shared" si="119"/>
        <v>24697.800002466669</v>
      </c>
      <c r="AT99" s="369">
        <f t="shared" si="119"/>
        <v>28278.962388581058</v>
      </c>
      <c r="AU99" s="369">
        <f t="shared" si="119"/>
        <v>31860.124774695563</v>
      </c>
      <c r="AV99" s="369">
        <f t="shared" si="119"/>
        <v>35441.287160809952</v>
      </c>
      <c r="AW99" s="369">
        <f t="shared" ref="AW99:BY99" si="120">AW96-AW97-AW98</f>
        <v>39022.449546924458</v>
      </c>
      <c r="AX99" s="369">
        <f t="shared" si="120"/>
        <v>42603.611933038905</v>
      </c>
      <c r="AY99" s="369">
        <f t="shared" si="120"/>
        <v>46184.774319153294</v>
      </c>
      <c r="AZ99" s="369">
        <f t="shared" si="120"/>
        <v>49765.936705267741</v>
      </c>
      <c r="BA99" s="950">
        <f t="shared" si="120"/>
        <v>53347.099091382159</v>
      </c>
      <c r="BB99" s="369">
        <f t="shared" si="120"/>
        <v>24858.229215415471</v>
      </c>
      <c r="BC99" s="369">
        <f t="shared" si="120"/>
        <v>29565.307013488535</v>
      </c>
      <c r="BD99" s="369">
        <f t="shared" si="120"/>
        <v>34272.384811561482</v>
      </c>
      <c r="BE99" s="369">
        <f t="shared" si="120"/>
        <v>38979.462609634604</v>
      </c>
      <c r="BF99" s="369">
        <f t="shared" si="120"/>
        <v>43686.540407707493</v>
      </c>
      <c r="BG99" s="369">
        <f t="shared" si="120"/>
        <v>48393.618205780615</v>
      </c>
      <c r="BH99" s="369">
        <f t="shared" si="120"/>
        <v>53100.696003853562</v>
      </c>
      <c r="BI99" s="369">
        <f t="shared" si="120"/>
        <v>57807.773801926625</v>
      </c>
      <c r="BJ99" s="369">
        <f t="shared" si="120"/>
        <v>62514.851599999631</v>
      </c>
      <c r="BK99" s="369">
        <f t="shared" si="120"/>
        <v>67221.929398072578</v>
      </c>
      <c r="BL99" s="369">
        <f t="shared" si="120"/>
        <v>71929.0071961457</v>
      </c>
      <c r="BM99" s="950">
        <f t="shared" si="120"/>
        <v>76636.084994218647</v>
      </c>
      <c r="BN99" s="369">
        <f t="shared" si="120"/>
        <v>58333.953229093808</v>
      </c>
      <c r="BO99" s="369">
        <f t="shared" si="120"/>
        <v>62099.289789560484</v>
      </c>
      <c r="BP99" s="369">
        <f t="shared" si="120"/>
        <v>65864.62635002716</v>
      </c>
      <c r="BQ99" s="369">
        <f t="shared" si="120"/>
        <v>69629.962910493719</v>
      </c>
      <c r="BR99" s="369">
        <f t="shared" si="120"/>
        <v>73395.299470960337</v>
      </c>
      <c r="BS99" s="369">
        <f t="shared" si="120"/>
        <v>77160.636031427071</v>
      </c>
      <c r="BT99" s="369">
        <f t="shared" si="120"/>
        <v>80925.972591893689</v>
      </c>
      <c r="BU99" s="369">
        <f t="shared" si="120"/>
        <v>84691.309152360365</v>
      </c>
      <c r="BV99" s="369">
        <f t="shared" si="120"/>
        <v>88456.645712826983</v>
      </c>
      <c r="BW99" s="369">
        <f t="shared" si="120"/>
        <v>92221.982273293717</v>
      </c>
      <c r="BX99" s="369">
        <f t="shared" si="120"/>
        <v>95987.318833760335</v>
      </c>
      <c r="BY99" s="950">
        <f t="shared" si="120"/>
        <v>99752.655394227011</v>
      </c>
      <c r="BZ99" s="653">
        <f>ROUND(SUM(H99:M99)-SUM(Q99:BY99),0)</f>
        <v>0</v>
      </c>
    </row>
    <row r="100" spans="2:78" s="359" customFormat="1" ht="12" thickTop="1">
      <c r="B100" s="358"/>
      <c r="D100" s="366"/>
      <c r="F100" s="366"/>
      <c r="G100" s="366"/>
      <c r="H100" s="366"/>
      <c r="N100" s="366"/>
      <c r="O100" s="365"/>
      <c r="P100" s="366"/>
      <c r="Q100" s="650"/>
      <c r="R100" s="1269"/>
      <c r="S100" s="651"/>
      <c r="T100" s="651"/>
      <c r="U100" s="651"/>
      <c r="V100" s="651"/>
      <c r="W100" s="651"/>
      <c r="X100" s="651"/>
      <c r="Y100" s="651"/>
      <c r="Z100" s="651"/>
      <c r="AA100" s="651"/>
      <c r="AB100" s="651"/>
      <c r="AC100" s="946"/>
      <c r="AD100" s="651"/>
      <c r="AE100" s="651"/>
      <c r="AF100" s="651"/>
      <c r="AG100" s="651"/>
      <c r="AH100" s="651"/>
      <c r="AI100" s="651"/>
      <c r="AJ100" s="651"/>
      <c r="AK100" s="651"/>
      <c r="AL100" s="651"/>
      <c r="AM100" s="651"/>
      <c r="AN100" s="651"/>
      <c r="AO100" s="946"/>
      <c r="AP100" s="651"/>
      <c r="AQ100" s="651"/>
      <c r="AR100" s="651"/>
      <c r="AS100" s="651"/>
      <c r="AT100" s="651"/>
      <c r="AU100" s="651"/>
      <c r="AV100" s="651"/>
      <c r="AW100" s="651"/>
      <c r="AX100" s="651"/>
      <c r="AY100" s="651"/>
      <c r="AZ100" s="651"/>
      <c r="BA100" s="946"/>
      <c r="BB100" s="651"/>
      <c r="BC100" s="651"/>
      <c r="BD100" s="651"/>
      <c r="BE100" s="651"/>
      <c r="BF100" s="651"/>
      <c r="BG100" s="651"/>
      <c r="BH100" s="651"/>
      <c r="BI100" s="651"/>
      <c r="BJ100" s="651"/>
      <c r="BK100" s="651"/>
      <c r="BL100" s="651"/>
      <c r="BM100" s="946"/>
      <c r="BN100" s="651"/>
      <c r="BO100" s="651"/>
      <c r="BP100" s="651"/>
      <c r="BQ100" s="651"/>
      <c r="BR100" s="651"/>
      <c r="BS100" s="651"/>
      <c r="BT100" s="651"/>
      <c r="BU100" s="651"/>
      <c r="BV100" s="651"/>
      <c r="BW100" s="651"/>
      <c r="BX100" s="651"/>
      <c r="BY100" s="946"/>
      <c r="BZ100" s="652"/>
    </row>
    <row r="101" spans="2:78" s="359" customFormat="1">
      <c r="B101" s="358"/>
      <c r="D101" s="366"/>
      <c r="F101" s="366"/>
      <c r="G101" s="366"/>
      <c r="H101" s="366"/>
      <c r="N101" s="366"/>
      <c r="O101" s="365"/>
      <c r="P101" s="366"/>
      <c r="Q101" s="650"/>
      <c r="R101" s="1269"/>
      <c r="S101" s="651"/>
      <c r="T101" s="651"/>
      <c r="U101" s="651"/>
      <c r="V101" s="651"/>
      <c r="W101" s="651"/>
      <c r="X101" s="651"/>
      <c r="Y101" s="651"/>
      <c r="Z101" s="651"/>
      <c r="AA101" s="651"/>
      <c r="AB101" s="651"/>
      <c r="AC101" s="946"/>
      <c r="AD101" s="651"/>
      <c r="AE101" s="651"/>
      <c r="AF101" s="651"/>
      <c r="AG101" s="651"/>
      <c r="AH101" s="651"/>
      <c r="AI101" s="651"/>
      <c r="AJ101" s="651"/>
      <c r="AK101" s="651"/>
      <c r="AL101" s="651"/>
      <c r="AM101" s="651"/>
      <c r="AN101" s="651"/>
      <c r="AO101" s="946"/>
      <c r="AP101" s="651"/>
      <c r="AQ101" s="651"/>
      <c r="AR101" s="651"/>
      <c r="AS101" s="651"/>
      <c r="AT101" s="651"/>
      <c r="AU101" s="651"/>
      <c r="AV101" s="651"/>
      <c r="AW101" s="651"/>
      <c r="AX101" s="651"/>
      <c r="AY101" s="651"/>
      <c r="AZ101" s="651"/>
      <c r="BA101" s="946"/>
      <c r="BB101" s="651"/>
      <c r="BC101" s="651"/>
      <c r="BD101" s="651"/>
      <c r="BE101" s="651"/>
      <c r="BF101" s="651"/>
      <c r="BG101" s="651"/>
      <c r="BH101" s="651"/>
      <c r="BI101" s="651"/>
      <c r="BJ101" s="651"/>
      <c r="BK101" s="651"/>
      <c r="BL101" s="651"/>
      <c r="BM101" s="946"/>
      <c r="BN101" s="651"/>
      <c r="BO101" s="651"/>
      <c r="BP101" s="651"/>
      <c r="BQ101" s="651"/>
      <c r="BR101" s="651"/>
      <c r="BS101" s="651"/>
      <c r="BT101" s="651"/>
      <c r="BU101" s="651"/>
      <c r="BV101" s="651"/>
      <c r="BW101" s="651"/>
      <c r="BX101" s="651"/>
      <c r="BY101" s="946"/>
      <c r="BZ101" s="652"/>
    </row>
    <row r="102" spans="2:78" s="359" customFormat="1">
      <c r="B102" s="358"/>
      <c r="D102" s="656" t="s">
        <v>103</v>
      </c>
      <c r="F102" s="366"/>
      <c r="G102" s="366"/>
      <c r="H102" s="366"/>
      <c r="N102" s="366"/>
      <c r="O102" s="365"/>
      <c r="P102" s="366"/>
      <c r="Q102" s="650"/>
      <c r="R102" s="1269"/>
      <c r="S102" s="651"/>
      <c r="T102" s="651"/>
      <c r="U102" s="651"/>
      <c r="V102" s="651"/>
      <c r="W102" s="651"/>
      <c r="X102" s="651"/>
      <c r="Y102" s="651"/>
      <c r="Z102" s="651"/>
      <c r="AA102" s="651"/>
      <c r="AB102" s="651"/>
      <c r="AC102" s="946"/>
      <c r="AD102" s="651"/>
      <c r="AE102" s="651"/>
      <c r="AF102" s="651"/>
      <c r="AG102" s="651"/>
      <c r="AH102" s="651"/>
      <c r="AI102" s="651"/>
      <c r="AJ102" s="651"/>
      <c r="AK102" s="651"/>
      <c r="AL102" s="651"/>
      <c r="AM102" s="651"/>
      <c r="AN102" s="651"/>
      <c r="AO102" s="946"/>
      <c r="AP102" s="651"/>
      <c r="AQ102" s="651"/>
      <c r="AR102" s="651"/>
      <c r="AS102" s="651"/>
      <c r="AT102" s="651"/>
      <c r="AU102" s="651"/>
      <c r="AV102" s="651"/>
      <c r="AW102" s="651"/>
      <c r="AX102" s="651"/>
      <c r="AY102" s="651"/>
      <c r="AZ102" s="651"/>
      <c r="BA102" s="946"/>
      <c r="BB102" s="651"/>
      <c r="BC102" s="651"/>
      <c r="BD102" s="651"/>
      <c r="BE102" s="651"/>
      <c r="BF102" s="651"/>
      <c r="BG102" s="651"/>
      <c r="BH102" s="651"/>
      <c r="BI102" s="651"/>
      <c r="BJ102" s="651"/>
      <c r="BK102" s="651"/>
      <c r="BL102" s="651"/>
      <c r="BM102" s="946"/>
      <c r="BN102" s="651"/>
      <c r="BO102" s="651"/>
      <c r="BP102" s="651"/>
      <c r="BQ102" s="651"/>
      <c r="BR102" s="651"/>
      <c r="BS102" s="651"/>
      <c r="BT102" s="651"/>
      <c r="BU102" s="651"/>
      <c r="BV102" s="651"/>
      <c r="BW102" s="651"/>
      <c r="BX102" s="651"/>
      <c r="BY102" s="946"/>
      <c r="BZ102" s="652"/>
    </row>
    <row r="103" spans="2:78" s="359" customFormat="1">
      <c r="B103" s="358"/>
      <c r="D103" s="366"/>
      <c r="F103" s="366"/>
      <c r="G103" s="366"/>
      <c r="H103" s="366"/>
      <c r="N103" s="366"/>
      <c r="O103" s="365"/>
      <c r="P103" s="366"/>
      <c r="Q103" s="650"/>
      <c r="R103" s="1269"/>
      <c r="S103" s="651"/>
      <c r="T103" s="651"/>
      <c r="U103" s="651"/>
      <c r="V103" s="651"/>
      <c r="W103" s="651"/>
      <c r="X103" s="651"/>
      <c r="Y103" s="651"/>
      <c r="Z103" s="651"/>
      <c r="AA103" s="651"/>
      <c r="AB103" s="651"/>
      <c r="AC103" s="946"/>
      <c r="AD103" s="651"/>
      <c r="AE103" s="651"/>
      <c r="AF103" s="651"/>
      <c r="AG103" s="651"/>
      <c r="AH103" s="651"/>
      <c r="AI103" s="651"/>
      <c r="AJ103" s="651"/>
      <c r="AK103" s="651"/>
      <c r="AL103" s="651"/>
      <c r="AM103" s="651"/>
      <c r="AN103" s="651"/>
      <c r="AO103" s="946"/>
      <c r="AP103" s="651"/>
      <c r="AQ103" s="651"/>
      <c r="AR103" s="651"/>
      <c r="AS103" s="651"/>
      <c r="AT103" s="651"/>
      <c r="AU103" s="651"/>
      <c r="AV103" s="651"/>
      <c r="AW103" s="651"/>
      <c r="AX103" s="651"/>
      <c r="AY103" s="651"/>
      <c r="AZ103" s="651"/>
      <c r="BA103" s="946"/>
      <c r="BB103" s="651"/>
      <c r="BC103" s="651"/>
      <c r="BD103" s="651"/>
      <c r="BE103" s="651"/>
      <c r="BF103" s="651"/>
      <c r="BG103" s="651"/>
      <c r="BH103" s="651"/>
      <c r="BI103" s="651"/>
      <c r="BJ103" s="651"/>
      <c r="BK103" s="651"/>
      <c r="BL103" s="651"/>
      <c r="BM103" s="946"/>
      <c r="BN103" s="651"/>
      <c r="BO103" s="651"/>
      <c r="BP103" s="651"/>
      <c r="BQ103" s="651"/>
      <c r="BR103" s="651"/>
      <c r="BS103" s="651"/>
      <c r="BT103" s="651"/>
      <c r="BU103" s="651"/>
      <c r="BV103" s="651"/>
      <c r="BW103" s="651"/>
      <c r="BX103" s="651"/>
      <c r="BY103" s="946"/>
      <c r="BZ103" s="652"/>
    </row>
    <row r="104" spans="2:78" s="363" customFormat="1">
      <c r="B104" s="362"/>
      <c r="D104" s="368"/>
      <c r="E104" s="363" t="s">
        <v>2169</v>
      </c>
      <c r="F104" s="368"/>
      <c r="G104" s="368"/>
      <c r="I104" s="363">
        <f>IF(I$66=0,0,I69/I$66)</f>
        <v>348.28558424445731</v>
      </c>
      <c r="J104" s="363">
        <f>IF(J$66=0,0,J69/J$66)</f>
        <v>333.45861775496024</v>
      </c>
      <c r="K104" s="363">
        <f>IF(K$66=0,0,K69/K$66)</f>
        <v>328.60042919337042</v>
      </c>
      <c r="L104" s="363">
        <f>IF(L$66=0,0,L69/L$66)</f>
        <v>327.55401839798941</v>
      </c>
      <c r="M104" s="363">
        <f>IF(M$66=0,0,M69/M$66)</f>
        <v>339.52374449443681</v>
      </c>
      <c r="N104" s="368"/>
      <c r="O104" s="367"/>
      <c r="P104" s="368"/>
      <c r="Q104" s="368"/>
      <c r="R104" s="1268">
        <f>IF(R$66=0,0,R69/R$66)</f>
        <v>456.59543334005781</v>
      </c>
      <c r="S104" s="363">
        <f t="shared" ref="S104:BY104" si="121">IF(S$66=0,0,S69/S$66)</f>
        <v>409.97729326020345</v>
      </c>
      <c r="T104" s="363">
        <f t="shared" si="121"/>
        <v>385.08644785852624</v>
      </c>
      <c r="U104" s="363">
        <f t="shared" si="121"/>
        <v>369.60398652273796</v>
      </c>
      <c r="V104" s="363">
        <f t="shared" si="121"/>
        <v>359.0434632941122</v>
      </c>
      <c r="W104" s="363">
        <f t="shared" si="121"/>
        <v>351.37972404617642</v>
      </c>
      <c r="X104" s="363">
        <f t="shared" si="121"/>
        <v>345.56462780061059</v>
      </c>
      <c r="Y104" s="363">
        <f t="shared" si="121"/>
        <v>341.00127363006135</v>
      </c>
      <c r="Z104" s="363">
        <f t="shared" si="121"/>
        <v>337.32476489241628</v>
      </c>
      <c r="AA104" s="363">
        <f t="shared" si="121"/>
        <v>334.29947250744658</v>
      </c>
      <c r="AB104" s="363">
        <f t="shared" si="121"/>
        <v>331.76644956763818</v>
      </c>
      <c r="AC104" s="948">
        <f t="shared" si="121"/>
        <v>329.61458437830572</v>
      </c>
      <c r="AD104" s="363">
        <f t="shared" si="121"/>
        <v>331.99865771475254</v>
      </c>
      <c r="AE104" s="363">
        <f t="shared" si="121"/>
        <v>332.33413635469117</v>
      </c>
      <c r="AF104" s="363">
        <f t="shared" si="121"/>
        <v>332.63245689947172</v>
      </c>
      <c r="AG104" s="363">
        <f t="shared" si="121"/>
        <v>332.89946892142859</v>
      </c>
      <c r="AH104" s="363">
        <f t="shared" si="121"/>
        <v>333.13985539312222</v>
      </c>
      <c r="AI104" s="363">
        <f t="shared" si="121"/>
        <v>333.35740969958766</v>
      </c>
      <c r="AJ104" s="363">
        <f t="shared" si="121"/>
        <v>333.55523729642937</v>
      </c>
      <c r="AK104" s="363">
        <f t="shared" si="121"/>
        <v>333.73590489111251</v>
      </c>
      <c r="AL104" s="363">
        <f t="shared" si="121"/>
        <v>333.90155241702894</v>
      </c>
      <c r="AM104" s="363">
        <f t="shared" si="121"/>
        <v>334.05397819473501</v>
      </c>
      <c r="AN104" s="363">
        <f t="shared" si="121"/>
        <v>334.19470448345641</v>
      </c>
      <c r="AO104" s="948">
        <f t="shared" si="121"/>
        <v>334.3250284961855</v>
      </c>
      <c r="AP104" s="363">
        <f t="shared" si="121"/>
        <v>335.42769652466581</v>
      </c>
      <c r="AQ104" s="363">
        <f t="shared" si="121"/>
        <v>334.05432808116075</v>
      </c>
      <c r="AR104" s="363">
        <f t="shared" si="121"/>
        <v>332.74439075106261</v>
      </c>
      <c r="AS104" s="363">
        <f t="shared" si="121"/>
        <v>331.49358923300798</v>
      </c>
      <c r="AT104" s="363">
        <f t="shared" si="121"/>
        <v>330.29800747929664</v>
      </c>
      <c r="AU104" s="363">
        <f t="shared" si="121"/>
        <v>329.15406774213943</v>
      </c>
      <c r="AV104" s="363">
        <f t="shared" si="121"/>
        <v>328.05849481458949</v>
      </c>
      <c r="AW104" s="363">
        <f t="shared" si="121"/>
        <v>327.00828471334989</v>
      </c>
      <c r="AX104" s="363">
        <f t="shared" si="121"/>
        <v>326.0006771727958</v>
      </c>
      <c r="AY104" s="363">
        <f t="shared" si="121"/>
        <v>325.03313141985461</v>
      </c>
      <c r="AZ104" s="363">
        <f t="shared" si="121"/>
        <v>324.10330478208465</v>
      </c>
      <c r="BA104" s="948">
        <f t="shared" si="121"/>
        <v>323.20903374976922</v>
      </c>
      <c r="BB104" s="363">
        <f t="shared" si="121"/>
        <v>325.84647486078092</v>
      </c>
      <c r="BC104" s="363">
        <f t="shared" si="121"/>
        <v>326.1820060224241</v>
      </c>
      <c r="BD104" s="363">
        <f t="shared" si="121"/>
        <v>326.50570814849857</v>
      </c>
      <c r="BE104" s="363">
        <f t="shared" si="121"/>
        <v>326.81819594622266</v>
      </c>
      <c r="BF104" s="363">
        <f t="shared" si="121"/>
        <v>327.12004225622377</v>
      </c>
      <c r="BG104" s="363">
        <f t="shared" si="121"/>
        <v>327.41178155718734</v>
      </c>
      <c r="BH104" s="363">
        <f t="shared" si="121"/>
        <v>327.69391312425211</v>
      </c>
      <c r="BI104" s="363">
        <f t="shared" si="121"/>
        <v>327.96690388041947</v>
      </c>
      <c r="BJ104" s="363">
        <f t="shared" si="121"/>
        <v>328.23119097523085</v>
      </c>
      <c r="BK104" s="363">
        <f t="shared" si="121"/>
        <v>328.48718412067029</v>
      </c>
      <c r="BL104" s="363">
        <f t="shared" si="121"/>
        <v>328.73526771054605</v>
      </c>
      <c r="BM104" s="948">
        <f t="shared" si="121"/>
        <v>328.97580274641047</v>
      </c>
      <c r="BN104" s="363">
        <f t="shared" si="121"/>
        <v>336.46229767316578</v>
      </c>
      <c r="BO104" s="363">
        <f t="shared" si="121"/>
        <v>337.04449236038084</v>
      </c>
      <c r="BP104" s="363">
        <f t="shared" si="121"/>
        <v>337.61492161979533</v>
      </c>
      <c r="BQ104" s="363">
        <f t="shared" si="121"/>
        <v>338.17393853067477</v>
      </c>
      <c r="BR104" s="363">
        <f t="shared" si="121"/>
        <v>338.72188218438089</v>
      </c>
      <c r="BS104" s="363">
        <f t="shared" si="121"/>
        <v>339.25907837027444</v>
      </c>
      <c r="BT104" s="363">
        <f t="shared" si="121"/>
        <v>339.78584022164961</v>
      </c>
      <c r="BU104" s="363">
        <f t="shared" si="121"/>
        <v>340.30246882439332</v>
      </c>
      <c r="BV104" s="363">
        <f t="shared" si="121"/>
        <v>340.80925379084965</v>
      </c>
      <c r="BW104" s="363">
        <f t="shared" si="121"/>
        <v>341.30647380119501</v>
      </c>
      <c r="BX104" s="363">
        <f t="shared" si="121"/>
        <v>341.7943971144428</v>
      </c>
      <c r="BY104" s="948">
        <f t="shared" si="121"/>
        <v>342.27328205105329</v>
      </c>
      <c r="BZ104" s="653"/>
    </row>
    <row r="105" spans="2:78" s="359" customFormat="1">
      <c r="B105" s="358"/>
      <c r="D105" s="366"/>
      <c r="F105" s="366"/>
      <c r="G105" s="366"/>
      <c r="N105" s="366"/>
      <c r="O105" s="365"/>
      <c r="P105" s="366"/>
      <c r="Q105" s="366"/>
      <c r="R105" s="1271"/>
      <c r="AC105" s="947"/>
      <c r="AO105" s="947"/>
      <c r="BA105" s="947"/>
      <c r="BM105" s="947"/>
      <c r="BY105" s="947"/>
      <c r="BZ105" s="652"/>
    </row>
    <row r="106" spans="2:78" s="359" customFormat="1" outlineLevel="1">
      <c r="B106" s="358"/>
      <c r="D106" s="366"/>
      <c r="E106" s="359" t="s">
        <v>1698</v>
      </c>
      <c r="F106" s="366"/>
      <c r="G106" s="366"/>
      <c r="N106" s="366"/>
      <c r="O106" s="365"/>
      <c r="P106" s="366"/>
      <c r="Q106" s="366"/>
      <c r="R106" s="1271"/>
      <c r="AC106" s="947"/>
      <c r="AO106" s="947"/>
      <c r="BA106" s="947"/>
      <c r="BM106" s="947"/>
      <c r="BY106" s="947"/>
      <c r="BZ106" s="652"/>
    </row>
    <row r="107" spans="2:78" s="359" customFormat="1" outlineLevel="1">
      <c r="B107" s="358"/>
      <c r="D107" s="366"/>
      <c r="F107" s="366" t="s">
        <v>2651</v>
      </c>
      <c r="G107" s="366"/>
      <c r="I107" s="359">
        <f t="shared" ref="I107:M113" si="122">IF(I$66=0,0,I73/I$66)</f>
        <v>69.786812543616747</v>
      </c>
      <c r="J107" s="359">
        <f t="shared" si="122"/>
        <v>44.824062771990675</v>
      </c>
      <c r="K107" s="359">
        <f t="shared" si="122"/>
        <v>41.259247292173619</v>
      </c>
      <c r="L107" s="359">
        <f t="shared" si="122"/>
        <v>40.543532400287745</v>
      </c>
      <c r="M107" s="359">
        <f t="shared" si="122"/>
        <v>40.33798387309092</v>
      </c>
      <c r="N107" s="366"/>
      <c r="O107" s="365"/>
      <c r="P107" s="366"/>
      <c r="Q107" s="366"/>
      <c r="R107" s="1271">
        <f t="shared" ref="R107:R113" si="123">IF(R$66=0,0,R73/R$66)</f>
        <v>224.1858227072899</v>
      </c>
      <c r="S107" s="359">
        <f t="shared" ref="S107:BY107" si="124">IF(S$66=0,0,S73/S$66)</f>
        <v>156.06918813569646</v>
      </c>
      <c r="T107" s="359">
        <f t="shared" si="124"/>
        <v>119.69964148497623</v>
      </c>
      <c r="U107" s="359">
        <f t="shared" si="124"/>
        <v>97.077264031216274</v>
      </c>
      <c r="V107" s="359">
        <f t="shared" si="124"/>
        <v>81.646633370771298</v>
      </c>
      <c r="W107" s="359">
        <f t="shared" si="124"/>
        <v>70.448672128443391</v>
      </c>
      <c r="X107" s="359">
        <f t="shared" si="124"/>
        <v>66.787145438830834</v>
      </c>
      <c r="Y107" s="359">
        <f t="shared" si="124"/>
        <v>59.598934230823176</v>
      </c>
      <c r="Z107" s="359">
        <f t="shared" si="124"/>
        <v>53.807685003481673</v>
      </c>
      <c r="AA107" s="359">
        <f t="shared" si="124"/>
        <v>52.592802996680213</v>
      </c>
      <c r="AB107" s="359">
        <f t="shared" si="124"/>
        <v>48.313905842924754</v>
      </c>
      <c r="AC107" s="947">
        <f t="shared" si="124"/>
        <v>44.678877636430812</v>
      </c>
      <c r="AD107" s="359">
        <f t="shared" si="124"/>
        <v>60.177803076640224</v>
      </c>
      <c r="AE107" s="359">
        <f t="shared" si="124"/>
        <v>56.649725750193028</v>
      </c>
      <c r="AF107" s="359">
        <f t="shared" si="124"/>
        <v>53.512423326867264</v>
      </c>
      <c r="AG107" s="359">
        <f t="shared" si="124"/>
        <v>50.704378496571202</v>
      </c>
      <c r="AH107" s="359">
        <f t="shared" si="124"/>
        <v>48.176342552101474</v>
      </c>
      <c r="AI107" s="359">
        <f t="shared" si="124"/>
        <v>45.888422176449659</v>
      </c>
      <c r="AJ107" s="359">
        <f t="shared" si="124"/>
        <v>43.807958695702531</v>
      </c>
      <c r="AK107" s="359">
        <f t="shared" si="124"/>
        <v>41.907959206787709</v>
      </c>
      <c r="AL107" s="359">
        <f t="shared" si="124"/>
        <v>40.165918996793003</v>
      </c>
      <c r="AM107" s="359">
        <f t="shared" si="124"/>
        <v>38.562925940694555</v>
      </c>
      <c r="AN107" s="359">
        <f t="shared" si="124"/>
        <v>37.082971125795495</v>
      </c>
      <c r="AO107" s="947">
        <f t="shared" si="124"/>
        <v>35.712412348984273</v>
      </c>
      <c r="AP107" s="359">
        <f t="shared" si="124"/>
        <v>46.753464319471504</v>
      </c>
      <c r="AQ107" s="359">
        <f t="shared" si="124"/>
        <v>45.648251366629978</v>
      </c>
      <c r="AR107" s="359">
        <f t="shared" si="124"/>
        <v>44.59408435741863</v>
      </c>
      <c r="AS107" s="359">
        <f t="shared" si="124"/>
        <v>43.587506664647655</v>
      </c>
      <c r="AT107" s="359">
        <f t="shared" si="124"/>
        <v>42.625366864048914</v>
      </c>
      <c r="AU107" s="359">
        <f t="shared" si="124"/>
        <v>41.704785776901161</v>
      </c>
      <c r="AV107" s="359">
        <f t="shared" si="124"/>
        <v>40.823127693058517</v>
      </c>
      <c r="AW107" s="359">
        <f t="shared" si="124"/>
        <v>39.977975168559915</v>
      </c>
      <c r="AX107" s="359">
        <f t="shared" si="124"/>
        <v>39.167106890300275</v>
      </c>
      <c r="AY107" s="359">
        <f t="shared" si="124"/>
        <v>38.388478180958295</v>
      </c>
      <c r="AZ107" s="359">
        <f t="shared" si="124"/>
        <v>37.640203783930794</v>
      </c>
      <c r="BA107" s="947">
        <f t="shared" si="124"/>
        <v>36.920542623125741</v>
      </c>
      <c r="BB107" s="359">
        <f t="shared" si="124"/>
        <v>44.617879871529013</v>
      </c>
      <c r="BC107" s="359">
        <f t="shared" si="124"/>
        <v>43.8172733217258</v>
      </c>
      <c r="BD107" s="359">
        <f t="shared" si="124"/>
        <v>43.044891880158978</v>
      </c>
      <c r="BE107" s="359">
        <f t="shared" si="124"/>
        <v>42.299268801914053</v>
      </c>
      <c r="BF107" s="359">
        <f t="shared" si="124"/>
        <v>41.579037239404421</v>
      </c>
      <c r="BG107" s="359">
        <f t="shared" si="124"/>
        <v>40.882921879976678</v>
      </c>
      <c r="BH107" s="359">
        <f t="shared" si="124"/>
        <v>40.20973140970213</v>
      </c>
      <c r="BI107" s="359">
        <f t="shared" si="124"/>
        <v>39.558351709667534</v>
      </c>
      <c r="BJ107" s="359">
        <f t="shared" si="124"/>
        <v>38.927739703026177</v>
      </c>
      <c r="BK107" s="359">
        <f t="shared" si="124"/>
        <v>38.316917781330901</v>
      </c>
      <c r="BL107" s="359">
        <f t="shared" si="124"/>
        <v>37.724968747504683</v>
      </c>
      <c r="BM107" s="947">
        <f t="shared" si="124"/>
        <v>37.151031220428948</v>
      </c>
      <c r="BN107" s="359">
        <f t="shared" si="124"/>
        <v>42.625966966325358</v>
      </c>
      <c r="BO107" s="359">
        <f t="shared" si="124"/>
        <v>42.190861710841631</v>
      </c>
      <c r="BP107" s="359">
        <f t="shared" si="124"/>
        <v>41.764549389373784</v>
      </c>
      <c r="BQ107" s="359">
        <f t="shared" si="124"/>
        <v>41.346766126885647</v>
      </c>
      <c r="BR107" s="359">
        <f t="shared" si="124"/>
        <v>40.937258502250728</v>
      </c>
      <c r="BS107" s="359">
        <f t="shared" si="124"/>
        <v>40.535783035639881</v>
      </c>
      <c r="BT107" s="359">
        <f t="shared" si="124"/>
        <v>40.142105705779493</v>
      </c>
      <c r="BU107" s="359">
        <f t="shared" si="124"/>
        <v>39.756001495069093</v>
      </c>
      <c r="BV107" s="359">
        <f t="shared" si="124"/>
        <v>39.377253960700187</v>
      </c>
      <c r="BW107" s="359">
        <f t="shared" si="124"/>
        <v>39.005654830059214</v>
      </c>
      <c r="BX107" s="359">
        <f t="shared" si="124"/>
        <v>38.641003618824918</v>
      </c>
      <c r="BY107" s="947">
        <f t="shared" si="124"/>
        <v>38.283107270289179</v>
      </c>
      <c r="BZ107" s="652"/>
    </row>
    <row r="108" spans="2:78" s="359" customFormat="1" outlineLevel="1">
      <c r="B108" s="358"/>
      <c r="D108" s="366"/>
      <c r="F108" s="366" t="s">
        <v>2652</v>
      </c>
      <c r="G108" s="366"/>
      <c r="I108" s="359">
        <f t="shared" si="122"/>
        <v>39.878178596352427</v>
      </c>
      <c r="J108" s="359">
        <f t="shared" si="122"/>
        <v>22.717187637847015</v>
      </c>
      <c r="K108" s="359">
        <f t="shared" si="122"/>
        <v>22.072020096138417</v>
      </c>
      <c r="L108" s="359">
        <f t="shared" si="122"/>
        <v>22.453263035805605</v>
      </c>
      <c r="M108" s="359">
        <f t="shared" si="122"/>
        <v>22.03694266617774</v>
      </c>
      <c r="N108" s="366"/>
      <c r="O108" s="365"/>
      <c r="P108" s="366"/>
      <c r="Q108" s="366"/>
      <c r="R108" s="1271">
        <f t="shared" si="123"/>
        <v>123.57559983377443</v>
      </c>
      <c r="S108" s="359">
        <f t="shared" ref="S108:BY108" si="125">IF(S$66=0,0,S74/S$66)</f>
        <v>86.028381752847324</v>
      </c>
      <c r="T108" s="359">
        <f t="shared" si="125"/>
        <v>65.980777989279574</v>
      </c>
      <c r="U108" s="359">
        <f t="shared" si="125"/>
        <v>53.510882124524095</v>
      </c>
      <c r="V108" s="359">
        <f t="shared" si="125"/>
        <v>45.005217419010513</v>
      </c>
      <c r="W108" s="359">
        <f t="shared" si="125"/>
        <v>38.832682685434655</v>
      </c>
      <c r="X108" s="359">
        <f t="shared" si="125"/>
        <v>40.797577530507525</v>
      </c>
      <c r="Y108" s="359">
        <f t="shared" si="125"/>
        <v>36.406588783534517</v>
      </c>
      <c r="Z108" s="359">
        <f t="shared" si="125"/>
        <v>32.86894785280554</v>
      </c>
      <c r="AA108" s="359">
        <f t="shared" si="125"/>
        <v>29.957925757602652</v>
      </c>
      <c r="AB108" s="359">
        <f t="shared" si="125"/>
        <v>27.520579277615369</v>
      </c>
      <c r="AC108" s="947">
        <f t="shared" si="125"/>
        <v>25.449993590371982</v>
      </c>
      <c r="AD108" s="359">
        <f t="shared" si="125"/>
        <v>30.498584010097542</v>
      </c>
      <c r="AE108" s="359">
        <f t="shared" si="125"/>
        <v>28.71052666613414</v>
      </c>
      <c r="AF108" s="359">
        <f t="shared" si="125"/>
        <v>27.120517117247402</v>
      </c>
      <c r="AG108" s="359">
        <f t="shared" si="125"/>
        <v>25.697377906734271</v>
      </c>
      <c r="AH108" s="359">
        <f t="shared" si="125"/>
        <v>24.416149402350975</v>
      </c>
      <c r="AI108" s="359">
        <f t="shared" si="125"/>
        <v>23.256613357202173</v>
      </c>
      <c r="AJ108" s="359">
        <f t="shared" si="125"/>
        <v>22.202218098427153</v>
      </c>
      <c r="AK108" s="359">
        <f t="shared" si="125"/>
        <v>21.239283410399217</v>
      </c>
      <c r="AL108" s="359">
        <f t="shared" si="125"/>
        <v>20.356403727572854</v>
      </c>
      <c r="AM108" s="359">
        <f t="shared" si="125"/>
        <v>19.543994236206771</v>
      </c>
      <c r="AN108" s="359">
        <f t="shared" si="125"/>
        <v>18.793941493406191</v>
      </c>
      <c r="AO108" s="947">
        <f t="shared" si="125"/>
        <v>18.099331523312756</v>
      </c>
      <c r="AP108" s="359">
        <f t="shared" si="125"/>
        <v>25.011202863587194</v>
      </c>
      <c r="AQ108" s="359">
        <f t="shared" si="125"/>
        <v>24.419958861172788</v>
      </c>
      <c r="AR108" s="359">
        <f t="shared" si="125"/>
        <v>23.856022363562165</v>
      </c>
      <c r="AS108" s="359">
        <f t="shared" si="125"/>
        <v>23.31754421572208</v>
      </c>
      <c r="AT108" s="359">
        <f t="shared" si="125"/>
        <v>22.802838533775763</v>
      </c>
      <c r="AU108" s="359">
        <f t="shared" si="125"/>
        <v>22.310365074147128</v>
      </c>
      <c r="AV108" s="359">
        <f t="shared" si="125"/>
        <v>21.838713839050818</v>
      </c>
      <c r="AW108" s="359">
        <f t="shared" si="125"/>
        <v>21.386591594237746</v>
      </c>
      <c r="AX108" s="359">
        <f t="shared" si="125"/>
        <v>20.952810027493971</v>
      </c>
      <c r="AY108" s="359">
        <f t="shared" si="125"/>
        <v>20.536275319569562</v>
      </c>
      <c r="AZ108" s="359">
        <f t="shared" si="125"/>
        <v>20.135978934818265</v>
      </c>
      <c r="BA108" s="947">
        <f t="shared" si="125"/>
        <v>19.750989468306294</v>
      </c>
      <c r="BB108" s="359">
        <f t="shared" si="125"/>
        <v>24.709662270283768</v>
      </c>
      <c r="BC108" s="359">
        <f t="shared" si="125"/>
        <v>24.266281331656113</v>
      </c>
      <c r="BD108" s="359">
        <f t="shared" si="125"/>
        <v>23.838531635348165</v>
      </c>
      <c r="BE108" s="359">
        <f t="shared" si="125"/>
        <v>23.425600888808635</v>
      </c>
      <c r="BF108" s="359">
        <f t="shared" si="125"/>
        <v>23.026732123254224</v>
      </c>
      <c r="BG108" s="359">
        <f t="shared" si="125"/>
        <v>22.641219062522875</v>
      </c>
      <c r="BH108" s="359">
        <f t="shared" si="125"/>
        <v>22.268401949474168</v>
      </c>
      <c r="BI108" s="359">
        <f t="shared" si="125"/>
        <v>21.907663778052353</v>
      </c>
      <c r="BJ108" s="359">
        <f t="shared" si="125"/>
        <v>21.558426885744588</v>
      </c>
      <c r="BK108" s="359">
        <f t="shared" si="125"/>
        <v>21.220149866849141</v>
      </c>
      <c r="BL108" s="359">
        <f t="shared" si="125"/>
        <v>20.892324771860704</v>
      </c>
      <c r="BM108" s="947">
        <f t="shared" si="125"/>
        <v>20.574474562502534</v>
      </c>
      <c r="BN108" s="359">
        <f t="shared" si="125"/>
        <v>23.286884963874627</v>
      </c>
      <c r="BO108" s="359">
        <f t="shared" si="125"/>
        <v>23.049183704460823</v>
      </c>
      <c r="BP108" s="359">
        <f t="shared" si="125"/>
        <v>22.816286090746935</v>
      </c>
      <c r="BQ108" s="359">
        <f t="shared" si="125"/>
        <v>22.588047965824646</v>
      </c>
      <c r="BR108" s="359">
        <f t="shared" si="125"/>
        <v>22.364330883834775</v>
      </c>
      <c r="BS108" s="359">
        <f t="shared" si="125"/>
        <v>22.145001829923331</v>
      </c>
      <c r="BT108" s="359">
        <f t="shared" si="125"/>
        <v>21.929932956516037</v>
      </c>
      <c r="BU108" s="359">
        <f t="shared" si="125"/>
        <v>21.719001334812681</v>
      </c>
      <c r="BV108" s="359">
        <f t="shared" si="125"/>
        <v>21.512088720486126</v>
      </c>
      <c r="BW108" s="359">
        <f t="shared" si="125"/>
        <v>21.309081332647899</v>
      </c>
      <c r="BX108" s="359">
        <f t="shared" si="125"/>
        <v>21.109869645211951</v>
      </c>
      <c r="BY108" s="947">
        <f t="shared" si="125"/>
        <v>20.914348189852905</v>
      </c>
      <c r="BZ108" s="652"/>
    </row>
    <row r="109" spans="2:78" s="359" customFormat="1" outlineLevel="1">
      <c r="B109" s="358"/>
      <c r="D109" s="366"/>
      <c r="F109" s="366" t="s">
        <v>2653</v>
      </c>
      <c r="G109" s="366"/>
      <c r="I109" s="359">
        <f t="shared" si="122"/>
        <v>42.769346544587982</v>
      </c>
      <c r="J109" s="359">
        <f t="shared" si="122"/>
        <v>26.341087659836717</v>
      </c>
      <c r="K109" s="359">
        <f t="shared" si="122"/>
        <v>24.699194281441692</v>
      </c>
      <c r="L109" s="359">
        <f t="shared" si="122"/>
        <v>24.568750220076392</v>
      </c>
      <c r="M109" s="359">
        <f t="shared" si="122"/>
        <v>24.326221350314775</v>
      </c>
      <c r="N109" s="366"/>
      <c r="O109" s="365"/>
      <c r="P109" s="366"/>
      <c r="Q109" s="366"/>
      <c r="R109" s="1271">
        <f t="shared" si="123"/>
        <v>135.62695479101509</v>
      </c>
      <c r="S109" s="359">
        <f t="shared" ref="S109:BY109" si="126">IF(S$66=0,0,S75/S$66)</f>
        <v>94.418052256532079</v>
      </c>
      <c r="T109" s="359">
        <f t="shared" si="126"/>
        <v>72.415363594959771</v>
      </c>
      <c r="U109" s="359">
        <f t="shared" si="126"/>
        <v>58.729377000738744</v>
      </c>
      <c r="V109" s="359">
        <f t="shared" si="126"/>
        <v>49.394221808014905</v>
      </c>
      <c r="W109" s="359">
        <f t="shared" si="126"/>
        <v>42.619728377412443</v>
      </c>
      <c r="X109" s="359">
        <f t="shared" si="126"/>
        <v>41.95804195804196</v>
      </c>
      <c r="Y109" s="359">
        <f t="shared" si="126"/>
        <v>37.442153975599496</v>
      </c>
      <c r="Z109" s="359">
        <f t="shared" si="126"/>
        <v>33.803886813952012</v>
      </c>
      <c r="AA109" s="359">
        <f t="shared" si="126"/>
        <v>32.194784214170319</v>
      </c>
      <c r="AB109" s="359">
        <f t="shared" si="126"/>
        <v>29.575449197010649</v>
      </c>
      <c r="AC109" s="947">
        <f t="shared" si="126"/>
        <v>27.35025977845309</v>
      </c>
      <c r="AD109" s="359">
        <f t="shared" si="126"/>
        <v>35.363790963827739</v>
      </c>
      <c r="AE109" s="359">
        <f t="shared" si="126"/>
        <v>33.290498442367607</v>
      </c>
      <c r="AF109" s="359">
        <f t="shared" si="126"/>
        <v>31.446846773204729</v>
      </c>
      <c r="AG109" s="359">
        <f t="shared" si="126"/>
        <v>29.796684997289145</v>
      </c>
      <c r="AH109" s="359">
        <f t="shared" si="126"/>
        <v>28.311071862236464</v>
      </c>
      <c r="AI109" s="359">
        <f t="shared" si="126"/>
        <v>26.966563858124225</v>
      </c>
      <c r="AJ109" s="359">
        <f t="shared" si="126"/>
        <v>25.743968949710585</v>
      </c>
      <c r="AK109" s="359">
        <f t="shared" si="126"/>
        <v>24.627424620702911</v>
      </c>
      <c r="AL109" s="359">
        <f t="shared" si="126"/>
        <v>23.603705862502693</v>
      </c>
      <c r="AM109" s="359">
        <f t="shared" si="126"/>
        <v>22.661698868991525</v>
      </c>
      <c r="AN109" s="359">
        <f t="shared" si="126"/>
        <v>21.791995921488663</v>
      </c>
      <c r="AO109" s="947">
        <f t="shared" si="126"/>
        <v>20.986580110195849</v>
      </c>
      <c r="AP109" s="359">
        <f t="shared" si="126"/>
        <v>27.988220201392888</v>
      </c>
      <c r="AQ109" s="359">
        <f t="shared" si="126"/>
        <v>27.326601988843073</v>
      </c>
      <c r="AR109" s="359">
        <f t="shared" si="126"/>
        <v>26.695541621182507</v>
      </c>
      <c r="AS109" s="359">
        <f t="shared" si="126"/>
        <v>26.092969843344193</v>
      </c>
      <c r="AT109" s="359">
        <f t="shared" si="126"/>
        <v>25.51700010515162</v>
      </c>
      <c r="AU109" s="359">
        <f t="shared" si="126"/>
        <v>24.96590883190883</v>
      </c>
      <c r="AV109" s="359">
        <f t="shared" si="126"/>
        <v>24.438118197522638</v>
      </c>
      <c r="AW109" s="359">
        <f t="shared" si="126"/>
        <v>23.932181037491084</v>
      </c>
      <c r="AX109" s="359">
        <f t="shared" si="126"/>
        <v>23.446767597939751</v>
      </c>
      <c r="AY109" s="359">
        <f t="shared" si="126"/>
        <v>22.980653865205863</v>
      </c>
      <c r="AZ109" s="359">
        <f t="shared" si="126"/>
        <v>22.53271126031213</v>
      </c>
      <c r="BA109" s="947">
        <f t="shared" si="126"/>
        <v>22.101897515658489</v>
      </c>
      <c r="BB109" s="359">
        <f t="shared" si="126"/>
        <v>27.037741435306966</v>
      </c>
      <c r="BC109" s="359">
        <f t="shared" si="126"/>
        <v>26.552586314818928</v>
      </c>
      <c r="BD109" s="359">
        <f t="shared" si="126"/>
        <v>26.084535171047769</v>
      </c>
      <c r="BE109" s="359">
        <f t="shared" si="126"/>
        <v>25.632699179381831</v>
      </c>
      <c r="BF109" s="359">
        <f t="shared" si="126"/>
        <v>25.196250051436856</v>
      </c>
      <c r="BG109" s="359">
        <f t="shared" si="126"/>
        <v>24.77441496757481</v>
      </c>
      <c r="BH109" s="359">
        <f t="shared" si="126"/>
        <v>24.366472010078741</v>
      </c>
      <c r="BI109" s="359">
        <f t="shared" si="126"/>
        <v>23.971746040210739</v>
      </c>
      <c r="BJ109" s="359">
        <f t="shared" si="126"/>
        <v>23.589604969620584</v>
      </c>
      <c r="BK109" s="359">
        <f t="shared" si="126"/>
        <v>23.219456382790202</v>
      </c>
      <c r="BL109" s="359">
        <f t="shared" si="126"/>
        <v>22.860744472552483</v>
      </c>
      <c r="BM109" s="947">
        <f t="shared" si="126"/>
        <v>22.512947255343263</v>
      </c>
      <c r="BN109" s="359">
        <f t="shared" si="126"/>
        <v>25.706012252777995</v>
      </c>
      <c r="BO109" s="359">
        <f t="shared" si="126"/>
        <v>25.44361771196796</v>
      </c>
      <c r="BP109" s="359">
        <f t="shared" si="126"/>
        <v>25.186525837247082</v>
      </c>
      <c r="BQ109" s="359">
        <f t="shared" si="126"/>
        <v>24.934577496157019</v>
      </c>
      <c r="BR109" s="359">
        <f t="shared" si="126"/>
        <v>24.687619860573349</v>
      </c>
      <c r="BS109" s="359">
        <f t="shared" si="126"/>
        <v>24.445506097569655</v>
      </c>
      <c r="BT109" s="359">
        <f t="shared" si="126"/>
        <v>24.208095078295258</v>
      </c>
      <c r="BU109" s="359">
        <f t="shared" si="126"/>
        <v>23.975251103653896</v>
      </c>
      <c r="BV109" s="359">
        <f t="shared" si="126"/>
        <v>23.746843645662665</v>
      </c>
      <c r="BW109" s="359">
        <f t="shared" si="126"/>
        <v>23.522747103455778</v>
      </c>
      <c r="BX109" s="359">
        <f t="shared" si="126"/>
        <v>23.302840572974379</v>
      </c>
      <c r="BY109" s="947">
        <f t="shared" si="126"/>
        <v>23.087007629455417</v>
      </c>
      <c r="BZ109" s="652"/>
    </row>
    <row r="110" spans="2:78" s="359" customFormat="1" outlineLevel="1">
      <c r="B110" s="358"/>
      <c r="D110" s="366"/>
      <c r="F110" s="366" t="s">
        <v>2654</v>
      </c>
      <c r="G110" s="366"/>
      <c r="I110" s="364">
        <f t="shared" si="122"/>
        <v>0</v>
      </c>
      <c r="J110" s="364">
        <f t="shared" si="122"/>
        <v>0</v>
      </c>
      <c r="K110" s="364">
        <f t="shared" si="122"/>
        <v>0</v>
      </c>
      <c r="L110" s="364">
        <f t="shared" si="122"/>
        <v>0</v>
      </c>
      <c r="M110" s="364">
        <f t="shared" si="122"/>
        <v>0</v>
      </c>
      <c r="N110" s="366"/>
      <c r="O110" s="365"/>
      <c r="P110" s="366"/>
      <c r="Q110" s="366"/>
      <c r="R110" s="1271">
        <f t="shared" si="123"/>
        <v>0</v>
      </c>
      <c r="S110" s="359">
        <f t="shared" ref="S110:BY110" si="127">IF(S$66=0,0,S76/S$66)</f>
        <v>0</v>
      </c>
      <c r="T110" s="359">
        <f t="shared" si="127"/>
        <v>0</v>
      </c>
      <c r="U110" s="359">
        <f t="shared" si="127"/>
        <v>0</v>
      </c>
      <c r="V110" s="359">
        <f t="shared" si="127"/>
        <v>0</v>
      </c>
      <c r="W110" s="359">
        <f t="shared" si="127"/>
        <v>0</v>
      </c>
      <c r="X110" s="359">
        <f t="shared" si="127"/>
        <v>0</v>
      </c>
      <c r="Y110" s="359">
        <f t="shared" si="127"/>
        <v>0</v>
      </c>
      <c r="Z110" s="359">
        <f t="shared" si="127"/>
        <v>0</v>
      </c>
      <c r="AA110" s="359">
        <f t="shared" si="127"/>
        <v>0</v>
      </c>
      <c r="AB110" s="359">
        <f t="shared" si="127"/>
        <v>0</v>
      </c>
      <c r="AC110" s="947">
        <f t="shared" si="127"/>
        <v>0</v>
      </c>
      <c r="AD110" s="359">
        <f t="shared" si="127"/>
        <v>0</v>
      </c>
      <c r="AE110" s="359">
        <f t="shared" si="127"/>
        <v>0</v>
      </c>
      <c r="AF110" s="359">
        <f t="shared" si="127"/>
        <v>0</v>
      </c>
      <c r="AG110" s="359">
        <f t="shared" si="127"/>
        <v>0</v>
      </c>
      <c r="AH110" s="359">
        <f t="shared" si="127"/>
        <v>0</v>
      </c>
      <c r="AI110" s="359">
        <f t="shared" si="127"/>
        <v>0</v>
      </c>
      <c r="AJ110" s="359">
        <f t="shared" si="127"/>
        <v>0</v>
      </c>
      <c r="AK110" s="359">
        <f t="shared" si="127"/>
        <v>0</v>
      </c>
      <c r="AL110" s="359">
        <f t="shared" si="127"/>
        <v>0</v>
      </c>
      <c r="AM110" s="359">
        <f t="shared" si="127"/>
        <v>0</v>
      </c>
      <c r="AN110" s="359">
        <f t="shared" si="127"/>
        <v>0</v>
      </c>
      <c r="AO110" s="947">
        <f t="shared" si="127"/>
        <v>0</v>
      </c>
      <c r="AP110" s="359">
        <f t="shared" si="127"/>
        <v>0</v>
      </c>
      <c r="AQ110" s="359">
        <f t="shared" si="127"/>
        <v>0</v>
      </c>
      <c r="AR110" s="359">
        <f t="shared" si="127"/>
        <v>0</v>
      </c>
      <c r="AS110" s="359">
        <f t="shared" si="127"/>
        <v>0</v>
      </c>
      <c r="AT110" s="359">
        <f t="shared" si="127"/>
        <v>0</v>
      </c>
      <c r="AU110" s="359">
        <f t="shared" si="127"/>
        <v>0</v>
      </c>
      <c r="AV110" s="359">
        <f t="shared" si="127"/>
        <v>0</v>
      </c>
      <c r="AW110" s="359">
        <f t="shared" si="127"/>
        <v>0</v>
      </c>
      <c r="AX110" s="359">
        <f t="shared" si="127"/>
        <v>0</v>
      </c>
      <c r="AY110" s="359">
        <f t="shared" si="127"/>
        <v>0</v>
      </c>
      <c r="AZ110" s="359">
        <f t="shared" si="127"/>
        <v>0</v>
      </c>
      <c r="BA110" s="947">
        <f t="shared" si="127"/>
        <v>0</v>
      </c>
      <c r="BB110" s="359">
        <f t="shared" si="127"/>
        <v>0</v>
      </c>
      <c r="BC110" s="359">
        <f t="shared" si="127"/>
        <v>0</v>
      </c>
      <c r="BD110" s="359">
        <f t="shared" si="127"/>
        <v>0</v>
      </c>
      <c r="BE110" s="359">
        <f t="shared" si="127"/>
        <v>0</v>
      </c>
      <c r="BF110" s="359">
        <f t="shared" si="127"/>
        <v>0</v>
      </c>
      <c r="BG110" s="359">
        <f t="shared" si="127"/>
        <v>0</v>
      </c>
      <c r="BH110" s="359">
        <f t="shared" si="127"/>
        <v>0</v>
      </c>
      <c r="BI110" s="359">
        <f t="shared" si="127"/>
        <v>0</v>
      </c>
      <c r="BJ110" s="359">
        <f t="shared" si="127"/>
        <v>0</v>
      </c>
      <c r="BK110" s="359">
        <f t="shared" si="127"/>
        <v>0</v>
      </c>
      <c r="BL110" s="359">
        <f t="shared" si="127"/>
        <v>0</v>
      </c>
      <c r="BM110" s="947">
        <f t="shared" si="127"/>
        <v>0</v>
      </c>
      <c r="BN110" s="359">
        <f t="shared" si="127"/>
        <v>0</v>
      </c>
      <c r="BO110" s="359">
        <f t="shared" si="127"/>
        <v>0</v>
      </c>
      <c r="BP110" s="359">
        <f t="shared" si="127"/>
        <v>0</v>
      </c>
      <c r="BQ110" s="359">
        <f t="shared" si="127"/>
        <v>0</v>
      </c>
      <c r="BR110" s="359">
        <f t="shared" si="127"/>
        <v>0</v>
      </c>
      <c r="BS110" s="359">
        <f t="shared" si="127"/>
        <v>0</v>
      </c>
      <c r="BT110" s="359">
        <f t="shared" si="127"/>
        <v>0</v>
      </c>
      <c r="BU110" s="359">
        <f t="shared" si="127"/>
        <v>0</v>
      </c>
      <c r="BV110" s="359">
        <f t="shared" si="127"/>
        <v>0</v>
      </c>
      <c r="BW110" s="359">
        <f t="shared" si="127"/>
        <v>0</v>
      </c>
      <c r="BX110" s="359">
        <f t="shared" si="127"/>
        <v>0</v>
      </c>
      <c r="BY110" s="947">
        <f t="shared" si="127"/>
        <v>0</v>
      </c>
      <c r="BZ110" s="652"/>
    </row>
    <row r="111" spans="2:78" s="359" customFormat="1">
      <c r="B111" s="358"/>
      <c r="D111" s="366"/>
      <c r="E111" s="359" t="s">
        <v>1698</v>
      </c>
      <c r="F111" s="366"/>
      <c r="G111" s="366"/>
      <c r="I111" s="359">
        <f t="shared" si="122"/>
        <v>152.43433768455716</v>
      </c>
      <c r="J111" s="359">
        <f t="shared" si="122"/>
        <v>93.882338069674404</v>
      </c>
      <c r="K111" s="359">
        <f t="shared" si="122"/>
        <v>88.030461669753734</v>
      </c>
      <c r="L111" s="359">
        <f t="shared" si="122"/>
        <v>87.565545656169746</v>
      </c>
      <c r="M111" s="359">
        <f t="shared" si="122"/>
        <v>86.701147889583439</v>
      </c>
      <c r="N111" s="366"/>
      <c r="O111" s="365"/>
      <c r="P111" s="366"/>
      <c r="Q111" s="366"/>
      <c r="R111" s="1271">
        <f t="shared" si="123"/>
        <v>483.38837733207941</v>
      </c>
      <c r="S111" s="359">
        <f t="shared" ref="S111:BY111" si="128">IF(S$66=0,0,S77/S$66)</f>
        <v>336.51562214507589</v>
      </c>
      <c r="T111" s="359">
        <f t="shared" si="128"/>
        <v>258.0957830692156</v>
      </c>
      <c r="U111" s="359">
        <f t="shared" si="128"/>
        <v>209.31752315647913</v>
      </c>
      <c r="V111" s="359">
        <f t="shared" si="128"/>
        <v>176.04607259779672</v>
      </c>
      <c r="W111" s="359">
        <f t="shared" si="128"/>
        <v>151.9010831912905</v>
      </c>
      <c r="X111" s="359">
        <f t="shared" si="128"/>
        <v>149.54276492738032</v>
      </c>
      <c r="Y111" s="359">
        <f t="shared" si="128"/>
        <v>133.44767698995719</v>
      </c>
      <c r="Z111" s="359">
        <f t="shared" si="128"/>
        <v>120.48051967023923</v>
      </c>
      <c r="AA111" s="359">
        <f t="shared" si="128"/>
        <v>114.74551296845318</v>
      </c>
      <c r="AB111" s="359">
        <f t="shared" si="128"/>
        <v>105.40993431755076</v>
      </c>
      <c r="AC111" s="947">
        <f t="shared" si="128"/>
        <v>97.47913100525588</v>
      </c>
      <c r="AD111" s="359">
        <f t="shared" si="128"/>
        <v>126.0401780505655</v>
      </c>
      <c r="AE111" s="359">
        <f t="shared" si="128"/>
        <v>118.65075085869476</v>
      </c>
      <c r="AF111" s="359">
        <f t="shared" si="128"/>
        <v>112.07978721731938</v>
      </c>
      <c r="AG111" s="359">
        <f t="shared" si="128"/>
        <v>106.1984414005946</v>
      </c>
      <c r="AH111" s="359">
        <f t="shared" si="128"/>
        <v>100.9035638166889</v>
      </c>
      <c r="AI111" s="359">
        <f t="shared" si="128"/>
        <v>96.111599391776053</v>
      </c>
      <c r="AJ111" s="359">
        <f t="shared" si="128"/>
        <v>91.754145743840255</v>
      </c>
      <c r="AK111" s="359">
        <f t="shared" si="128"/>
        <v>87.77466723788983</v>
      </c>
      <c r="AL111" s="359">
        <f t="shared" si="128"/>
        <v>84.126028586868543</v>
      </c>
      <c r="AM111" s="359">
        <f t="shared" si="128"/>
        <v>80.768619045892848</v>
      </c>
      <c r="AN111" s="359">
        <f t="shared" si="128"/>
        <v>77.668908540690339</v>
      </c>
      <c r="AO111" s="947">
        <f t="shared" si="128"/>
        <v>74.798323982492875</v>
      </c>
      <c r="AP111" s="359">
        <f t="shared" si="128"/>
        <v>99.752887384451597</v>
      </c>
      <c r="AQ111" s="359">
        <f t="shared" si="128"/>
        <v>97.394812216645846</v>
      </c>
      <c r="AR111" s="359">
        <f t="shared" si="128"/>
        <v>95.145648342163298</v>
      </c>
      <c r="AS111" s="359">
        <f t="shared" si="128"/>
        <v>92.998020723713935</v>
      </c>
      <c r="AT111" s="359">
        <f t="shared" si="128"/>
        <v>90.945205502976293</v>
      </c>
      <c r="AU111" s="359">
        <f t="shared" si="128"/>
        <v>88.981059682957124</v>
      </c>
      <c r="AV111" s="359">
        <f t="shared" si="128"/>
        <v>87.099959729631976</v>
      </c>
      <c r="AW111" s="359">
        <f t="shared" si="128"/>
        <v>85.296747800288756</v>
      </c>
      <c r="AX111" s="359">
        <f t="shared" si="128"/>
        <v>83.566684515733996</v>
      </c>
      <c r="AY111" s="359">
        <f t="shared" si="128"/>
        <v>81.905407365733723</v>
      </c>
      <c r="AZ111" s="359">
        <f t="shared" si="128"/>
        <v>80.308893979061196</v>
      </c>
      <c r="BA111" s="947">
        <f t="shared" si="128"/>
        <v>78.773429607090534</v>
      </c>
      <c r="BB111" s="359">
        <f t="shared" si="128"/>
        <v>96.36528357711974</v>
      </c>
      <c r="BC111" s="359">
        <f t="shared" si="128"/>
        <v>94.636140968200834</v>
      </c>
      <c r="BD111" s="359">
        <f t="shared" si="128"/>
        <v>92.967958686554908</v>
      </c>
      <c r="BE111" s="359">
        <f t="shared" si="128"/>
        <v>91.357568870104515</v>
      </c>
      <c r="BF111" s="359">
        <f t="shared" si="128"/>
        <v>89.802019414095497</v>
      </c>
      <c r="BG111" s="359">
        <f t="shared" si="128"/>
        <v>88.298555910074356</v>
      </c>
      <c r="BH111" s="359">
        <f t="shared" si="128"/>
        <v>86.844605369255035</v>
      </c>
      <c r="BI111" s="359">
        <f t="shared" si="128"/>
        <v>85.437761527930633</v>
      </c>
      <c r="BJ111" s="359">
        <f t="shared" si="128"/>
        <v>84.075771558391352</v>
      </c>
      <c r="BK111" s="359">
        <f t="shared" si="128"/>
        <v>82.75652403097024</v>
      </c>
      <c r="BL111" s="359">
        <f t="shared" si="128"/>
        <v>81.478037991917873</v>
      </c>
      <c r="BM111" s="947">
        <f t="shared" si="128"/>
        <v>80.238453038274741</v>
      </c>
      <c r="BN111" s="359">
        <f t="shared" si="128"/>
        <v>91.618864182977987</v>
      </c>
      <c r="BO111" s="359">
        <f t="shared" si="128"/>
        <v>90.683663127270421</v>
      </c>
      <c r="BP111" s="359">
        <f t="shared" si="128"/>
        <v>89.767361317367801</v>
      </c>
      <c r="BQ111" s="359">
        <f t="shared" si="128"/>
        <v>88.869391588867316</v>
      </c>
      <c r="BR111" s="359">
        <f t="shared" si="128"/>
        <v>87.989209246658859</v>
      </c>
      <c r="BS111" s="359">
        <f t="shared" si="128"/>
        <v>87.126290963132874</v>
      </c>
      <c r="BT111" s="359">
        <f t="shared" si="128"/>
        <v>86.280133740590799</v>
      </c>
      <c r="BU111" s="359">
        <f t="shared" si="128"/>
        <v>85.450253933535677</v>
      </c>
      <c r="BV111" s="359">
        <f t="shared" si="128"/>
        <v>84.636186326848986</v>
      </c>
      <c r="BW111" s="359">
        <f t="shared" si="128"/>
        <v>83.837483266162906</v>
      </c>
      <c r="BX111" s="359">
        <f t="shared" si="128"/>
        <v>83.053713837011259</v>
      </c>
      <c r="BY111" s="947">
        <f t="shared" si="128"/>
        <v>82.284463089597509</v>
      </c>
      <c r="BZ111" s="652"/>
    </row>
    <row r="112" spans="2:78" s="359" customFormat="1">
      <c r="B112" s="358"/>
      <c r="D112" s="366"/>
      <c r="E112" s="359" t="s">
        <v>3697</v>
      </c>
      <c r="F112" s="366"/>
      <c r="G112" s="366"/>
      <c r="I112" s="359">
        <f t="shared" si="122"/>
        <v>79.46764947081013</v>
      </c>
      <c r="J112" s="359">
        <f t="shared" si="122"/>
        <v>33.513245843357076</v>
      </c>
      <c r="K112" s="359">
        <f t="shared" si="122"/>
        <v>23.682354812789665</v>
      </c>
      <c r="L112" s="359">
        <f t="shared" si="122"/>
        <v>19.4721068435699</v>
      </c>
      <c r="M112" s="359">
        <f t="shared" si="122"/>
        <v>17.212238754861207</v>
      </c>
      <c r="N112" s="366"/>
      <c r="O112" s="365"/>
      <c r="P112" s="366"/>
      <c r="Q112" s="366"/>
      <c r="R112" s="1271">
        <f t="shared" si="123"/>
        <v>270.22842020078303</v>
      </c>
      <c r="S112" s="359">
        <f t="shared" ref="S112:BY112" si="129">IF(S$66=0,0,S78/S$66)</f>
        <v>188.12219989037095</v>
      </c>
      <c r="T112" s="359">
        <f t="shared" si="129"/>
        <v>144.28318716352723</v>
      </c>
      <c r="U112" s="359">
        <f t="shared" si="129"/>
        <v>117.0146951300362</v>
      </c>
      <c r="V112" s="359">
        <f t="shared" si="129"/>
        <v>98.414968814968802</v>
      </c>
      <c r="W112" s="359">
        <f t="shared" si="129"/>
        <v>84.917204596689956</v>
      </c>
      <c r="X112" s="359">
        <f t="shared" si="129"/>
        <v>74.675363702848571</v>
      </c>
      <c r="Y112" s="359">
        <f t="shared" si="129"/>
        <v>66.638154105045146</v>
      </c>
      <c r="Z112" s="359">
        <f t="shared" si="129"/>
        <v>60.162901427242751</v>
      </c>
      <c r="AA112" s="359">
        <f t="shared" si="129"/>
        <v>54.834603845266201</v>
      </c>
      <c r="AB112" s="359">
        <f t="shared" si="129"/>
        <v>50.373316046332413</v>
      </c>
      <c r="AC112" s="947">
        <f t="shared" si="129"/>
        <v>46.583342507898912</v>
      </c>
      <c r="AD112" s="359">
        <f t="shared" si="129"/>
        <v>44.992653144346107</v>
      </c>
      <c r="AE112" s="359">
        <f t="shared" si="129"/>
        <v>42.354843997124355</v>
      </c>
      <c r="AF112" s="359">
        <f t="shared" si="129"/>
        <v>40.009202373055061</v>
      </c>
      <c r="AG112" s="359">
        <f t="shared" si="129"/>
        <v>37.909734120576964</v>
      </c>
      <c r="AH112" s="359">
        <f t="shared" si="129"/>
        <v>36.019617855596223</v>
      </c>
      <c r="AI112" s="359">
        <f t="shared" si="129"/>
        <v>34.3090268632251</v>
      </c>
      <c r="AJ112" s="359">
        <f t="shared" si="129"/>
        <v>32.753543495885779</v>
      </c>
      <c r="AK112" s="359">
        <f t="shared" si="129"/>
        <v>31.332986187233161</v>
      </c>
      <c r="AL112" s="359">
        <f t="shared" si="129"/>
        <v>30.030529019895646</v>
      </c>
      <c r="AM112" s="359">
        <f t="shared" si="129"/>
        <v>28.83203211774088</v>
      </c>
      <c r="AN112" s="359">
        <f t="shared" si="129"/>
        <v>27.72552622600443</v>
      </c>
      <c r="AO112" s="947">
        <f t="shared" si="129"/>
        <v>26.700811588607777</v>
      </c>
      <c r="AP112" s="359">
        <f t="shared" si="129"/>
        <v>26.835975045789411</v>
      </c>
      <c r="AQ112" s="359">
        <f t="shared" si="129"/>
        <v>26.201594948946273</v>
      </c>
      <c r="AR112" s="359">
        <f t="shared" si="129"/>
        <v>25.596514663130783</v>
      </c>
      <c r="AS112" s="359">
        <f t="shared" si="129"/>
        <v>25.01875012229867</v>
      </c>
      <c r="AT112" s="359">
        <f t="shared" si="129"/>
        <v>24.466492443530779</v>
      </c>
      <c r="AU112" s="359">
        <f t="shared" si="129"/>
        <v>23.938089009861933</v>
      </c>
      <c r="AV112" s="359">
        <f t="shared" si="129"/>
        <v>23.432026952615278</v>
      </c>
      <c r="AW112" s="359">
        <f t="shared" si="129"/>
        <v>22.94691868550694</v>
      </c>
      <c r="AX112" s="359">
        <f t="shared" si="129"/>
        <v>22.481489199210341</v>
      </c>
      <c r="AY112" s="359">
        <f t="shared" si="129"/>
        <v>22.034564871398889</v>
      </c>
      <c r="AZ112" s="359">
        <f t="shared" si="129"/>
        <v>21.605063585487329</v>
      </c>
      <c r="BA112" s="947">
        <f t="shared" si="129"/>
        <v>21.191985982920347</v>
      </c>
      <c r="BB112" s="359">
        <f t="shared" si="129"/>
        <v>21.428920287809301</v>
      </c>
      <c r="BC112" s="359">
        <f t="shared" si="129"/>
        <v>21.044407756352633</v>
      </c>
      <c r="BD112" s="359">
        <f t="shared" si="129"/>
        <v>20.67345108179132</v>
      </c>
      <c r="BE112" s="359">
        <f t="shared" si="129"/>
        <v>20.315345820975082</v>
      </c>
      <c r="BF112" s="359">
        <f t="shared" si="129"/>
        <v>19.969435509095121</v>
      </c>
      <c r="BG112" s="359">
        <f t="shared" si="129"/>
        <v>19.635107643422248</v>
      </c>
      <c r="BH112" s="359">
        <f t="shared" si="129"/>
        <v>19.311790063842874</v>
      </c>
      <c r="BI112" s="359">
        <f t="shared" si="129"/>
        <v>18.998947685197145</v>
      </c>
      <c r="BJ112" s="359">
        <f t="shared" si="129"/>
        <v>18.696079542162046</v>
      </c>
      <c r="BK112" s="359">
        <f t="shared" si="129"/>
        <v>18.402716112349978</v>
      </c>
      <c r="BL112" s="359">
        <f t="shared" si="129"/>
        <v>18.118416887536249</v>
      </c>
      <c r="BM112" s="947">
        <f t="shared" si="129"/>
        <v>17.842768166590719</v>
      </c>
      <c r="BN112" s="359">
        <f t="shared" si="129"/>
        <v>18.188522333924954</v>
      </c>
      <c r="BO112" s="359">
        <f t="shared" si="129"/>
        <v>18.002862694503147</v>
      </c>
      <c r="BP112" s="359">
        <f t="shared" si="129"/>
        <v>17.82095500461142</v>
      </c>
      <c r="BQ112" s="359">
        <f t="shared" si="129"/>
        <v>17.64268666863423</v>
      </c>
      <c r="BR112" s="359">
        <f t="shared" si="129"/>
        <v>17.467949551644743</v>
      </c>
      <c r="BS112" s="359">
        <f t="shared" si="129"/>
        <v>17.296639760672889</v>
      </c>
      <c r="BT112" s="359">
        <f t="shared" si="129"/>
        <v>17.128657438719177</v>
      </c>
      <c r="BU112" s="359">
        <f t="shared" si="129"/>
        <v>16.963906570656135</v>
      </c>
      <c r="BV112" s="359">
        <f t="shared" si="129"/>
        <v>16.802294800224512</v>
      </c>
      <c r="BW112" s="359">
        <f t="shared" si="129"/>
        <v>16.643733257391478</v>
      </c>
      <c r="BX112" s="359">
        <f t="shared" si="129"/>
        <v>16.488136395392605</v>
      </c>
      <c r="BY112" s="947">
        <f t="shared" si="129"/>
        <v>16.335421836829862</v>
      </c>
      <c r="BZ112" s="652"/>
    </row>
    <row r="113" spans="2:78" s="359" customFormat="1">
      <c r="B113" s="358"/>
      <c r="D113" s="366"/>
      <c r="E113" s="359" t="s">
        <v>3698</v>
      </c>
      <c r="F113" s="366"/>
      <c r="G113" s="366"/>
      <c r="I113" s="359">
        <f t="shared" si="122"/>
        <v>54.485491096553424</v>
      </c>
      <c r="J113" s="359">
        <f t="shared" si="122"/>
        <v>22.308469188764985</v>
      </c>
      <c r="K113" s="359">
        <f t="shared" si="122"/>
        <v>15.305267918901167</v>
      </c>
      <c r="L113" s="359">
        <f t="shared" si="122"/>
        <v>12.217765125633035</v>
      </c>
      <c r="M113" s="359">
        <f t="shared" si="122"/>
        <v>10.485254231256604</v>
      </c>
      <c r="N113" s="366"/>
      <c r="O113" s="365"/>
      <c r="P113" s="366"/>
      <c r="Q113" s="366"/>
      <c r="R113" s="1271">
        <f t="shared" si="123"/>
        <v>185.27700618971591</v>
      </c>
      <c r="S113" s="359">
        <f t="shared" ref="S113:BY113" si="130">IF(S$66=0,0,S79/S$66)</f>
        <v>128.98242889335529</v>
      </c>
      <c r="T113" s="359">
        <f t="shared" si="130"/>
        <v>98.925038829395888</v>
      </c>
      <c r="U113" s="359">
        <f t="shared" si="130"/>
        <v>80.228912924061916</v>
      </c>
      <c r="V113" s="359">
        <f t="shared" si="130"/>
        <v>67.476362303948505</v>
      </c>
      <c r="W113" s="359">
        <f t="shared" si="130"/>
        <v>58.221875515478089</v>
      </c>
      <c r="X113" s="359">
        <f t="shared" si="130"/>
        <v>51.199750983674924</v>
      </c>
      <c r="Y113" s="359">
        <f t="shared" si="130"/>
        <v>45.689190209594081</v>
      </c>
      <c r="Z113" s="359">
        <f t="shared" si="130"/>
        <v>41.249555660519761</v>
      </c>
      <c r="AA113" s="359">
        <f t="shared" si="130"/>
        <v>37.596309183546659</v>
      </c>
      <c r="AB113" s="359">
        <f t="shared" si="130"/>
        <v>34.537511568836095</v>
      </c>
      <c r="AC113" s="947">
        <f t="shared" si="130"/>
        <v>31.938987882032674</v>
      </c>
      <c r="AD113" s="359">
        <f t="shared" si="130"/>
        <v>29.949865825675904</v>
      </c>
      <c r="AE113" s="359">
        <f t="shared" si="130"/>
        <v>28.193978486034553</v>
      </c>
      <c r="AF113" s="359">
        <f t="shared" si="130"/>
        <v>26.632575745666841</v>
      </c>
      <c r="AG113" s="359">
        <f t="shared" si="130"/>
        <v>25.235041080056956</v>
      </c>
      <c r="AH113" s="359">
        <f t="shared" si="130"/>
        <v>23.976863920566316</v>
      </c>
      <c r="AI113" s="359">
        <f t="shared" si="130"/>
        <v>22.838189778817846</v>
      </c>
      <c r="AJ113" s="359">
        <f t="shared" si="130"/>
        <v>21.802764772952475</v>
      </c>
      <c r="AK113" s="359">
        <f t="shared" si="130"/>
        <v>20.857154816248343</v>
      </c>
      <c r="AL113" s="359">
        <f t="shared" si="130"/>
        <v>19.990159547480772</v>
      </c>
      <c r="AM113" s="359">
        <f t="shared" si="130"/>
        <v>19.192366598999492</v>
      </c>
      <c r="AN113" s="359">
        <f t="shared" si="130"/>
        <v>18.455808501691752</v>
      </c>
      <c r="AO113" s="947">
        <f t="shared" si="130"/>
        <v>17.773695673155604</v>
      </c>
      <c r="AP113" s="359">
        <f t="shared" si="130"/>
        <v>17.343367717763314</v>
      </c>
      <c r="AQ113" s="359">
        <f t="shared" si="130"/>
        <v>16.933384951211778</v>
      </c>
      <c r="AR113" s="359">
        <f t="shared" si="130"/>
        <v>16.542337863197961</v>
      </c>
      <c r="AS113" s="359">
        <f t="shared" si="130"/>
        <v>16.168944205287691</v>
      </c>
      <c r="AT113" s="359">
        <f t="shared" si="130"/>
        <v>15.812034945181164</v>
      </c>
      <c r="AU113" s="359">
        <f t="shared" si="130"/>
        <v>15.470542041054863</v>
      </c>
      <c r="AV113" s="359">
        <f t="shared" si="130"/>
        <v>15.143487766639236</v>
      </c>
      <c r="AW113" s="359">
        <f t="shared" si="130"/>
        <v>14.829975362300235</v>
      </c>
      <c r="AX113" s="359">
        <f t="shared" si="130"/>
        <v>14.529180823858521</v>
      </c>
      <c r="AY113" s="359">
        <f t="shared" si="130"/>
        <v>14.240345670821501</v>
      </c>
      <c r="AZ113" s="359">
        <f t="shared" si="130"/>
        <v>13.962770560392075</v>
      </c>
      <c r="BA113" s="947">
        <f t="shared" si="130"/>
        <v>13.695809634058403</v>
      </c>
      <c r="BB113" s="359">
        <f t="shared" si="130"/>
        <v>13.44556688578478</v>
      </c>
      <c r="BC113" s="359">
        <f t="shared" si="130"/>
        <v>13.204304662084962</v>
      </c>
      <c r="BD113" s="359">
        <f t="shared" si="130"/>
        <v>12.971548055006634</v>
      </c>
      <c r="BE113" s="359">
        <f t="shared" si="130"/>
        <v>12.746855061995907</v>
      </c>
      <c r="BF113" s="359">
        <f t="shared" si="130"/>
        <v>12.529813784488773</v>
      </c>
      <c r="BG113" s="359">
        <f t="shared" si="130"/>
        <v>12.320039907909299</v>
      </c>
      <c r="BH113" s="359">
        <f t="shared" si="130"/>
        <v>12.117174430638492</v>
      </c>
      <c r="BI113" s="359">
        <f t="shared" si="130"/>
        <v>11.920881613721249</v>
      </c>
      <c r="BJ113" s="359">
        <f t="shared" si="130"/>
        <v>11.730847126679524</v>
      </c>
      <c r="BK113" s="359">
        <f t="shared" si="130"/>
        <v>11.546776367891676</v>
      </c>
      <c r="BL113" s="359">
        <f t="shared" si="130"/>
        <v>11.368392940660188</v>
      </c>
      <c r="BM113" s="947">
        <f t="shared" si="130"/>
        <v>11.195437268387581</v>
      </c>
      <c r="BN113" s="359">
        <f t="shared" si="130"/>
        <v>11.079981138899191</v>
      </c>
      <c r="BO113" s="359">
        <f t="shared" si="130"/>
        <v>10.96688205007373</v>
      </c>
      <c r="BP113" s="359">
        <f t="shared" si="130"/>
        <v>10.856068552637398</v>
      </c>
      <c r="BQ113" s="359">
        <f t="shared" si="130"/>
        <v>10.747472056230096</v>
      </c>
      <c r="BR113" s="359">
        <f t="shared" si="130"/>
        <v>10.641026687828839</v>
      </c>
      <c r="BS113" s="359">
        <f t="shared" si="130"/>
        <v>10.536669158501864</v>
      </c>
      <c r="BT113" s="359">
        <f t="shared" si="130"/>
        <v>10.434338637927135</v>
      </c>
      <c r="BU113" s="359">
        <f t="shared" si="130"/>
        <v>10.33397663615248</v>
      </c>
      <c r="BV113" s="359">
        <f t="shared" si="130"/>
        <v>10.235526892114361</v>
      </c>
      <c r="BW113" s="359">
        <f t="shared" si="130"/>
        <v>10.138935268468943</v>
      </c>
      <c r="BX113" s="359">
        <f t="shared" si="130"/>
        <v>10.044149652322224</v>
      </c>
      <c r="BY113" s="947">
        <f t="shared" si="130"/>
        <v>9.9511198614769025</v>
      </c>
      <c r="BZ113" s="652"/>
    </row>
    <row r="114" spans="2:78" s="359" customFormat="1">
      <c r="B114" s="358"/>
      <c r="D114" s="366"/>
      <c r="E114" s="2100" t="s">
        <v>4120</v>
      </c>
      <c r="F114" s="366"/>
      <c r="G114" s="366"/>
      <c r="I114" s="645">
        <f>'2.3 Expenses'!T47</f>
        <v>62.673239638415865</v>
      </c>
      <c r="J114" s="645">
        <f>'2.3 Expenses'!U47</f>
        <v>63.926704431184184</v>
      </c>
      <c r="K114" s="645">
        <f>'2.3 Expenses'!V47</f>
        <v>65.205238519807864</v>
      </c>
      <c r="L114" s="645">
        <f>'2.3 Expenses'!W47</f>
        <v>66.509343290204029</v>
      </c>
      <c r="M114" s="645">
        <f>'2.3 Expenses'!X47</f>
        <v>67.839530156008109</v>
      </c>
      <c r="N114" s="366"/>
      <c r="O114" s="365"/>
      <c r="P114" s="366"/>
      <c r="Q114" s="366"/>
      <c r="R114" s="1271">
        <f t="shared" ref="R114:AC114" si="131">$I114</f>
        <v>62.673239638415865</v>
      </c>
      <c r="S114" s="359">
        <f t="shared" si="131"/>
        <v>62.673239638415865</v>
      </c>
      <c r="T114" s="359">
        <f t="shared" si="131"/>
        <v>62.673239638415865</v>
      </c>
      <c r="U114" s="359">
        <f t="shared" si="131"/>
        <v>62.673239638415865</v>
      </c>
      <c r="V114" s="359">
        <f t="shared" si="131"/>
        <v>62.673239638415865</v>
      </c>
      <c r="W114" s="359">
        <f t="shared" si="131"/>
        <v>62.673239638415865</v>
      </c>
      <c r="X114" s="359">
        <f t="shared" si="131"/>
        <v>62.673239638415865</v>
      </c>
      <c r="Y114" s="359">
        <f t="shared" si="131"/>
        <v>62.673239638415865</v>
      </c>
      <c r="Z114" s="359">
        <f t="shared" si="131"/>
        <v>62.673239638415865</v>
      </c>
      <c r="AA114" s="359">
        <f t="shared" si="131"/>
        <v>62.673239638415865</v>
      </c>
      <c r="AB114" s="359">
        <f t="shared" si="131"/>
        <v>62.673239638415865</v>
      </c>
      <c r="AC114" s="947">
        <f t="shared" si="131"/>
        <v>62.673239638415865</v>
      </c>
      <c r="AD114" s="359">
        <f t="shared" ref="AD114:AO114" si="132">$J114</f>
        <v>63.926704431184184</v>
      </c>
      <c r="AE114" s="359">
        <f t="shared" si="132"/>
        <v>63.926704431184184</v>
      </c>
      <c r="AF114" s="359">
        <f t="shared" si="132"/>
        <v>63.926704431184184</v>
      </c>
      <c r="AG114" s="359">
        <f t="shared" si="132"/>
        <v>63.926704431184184</v>
      </c>
      <c r="AH114" s="359">
        <f t="shared" si="132"/>
        <v>63.926704431184184</v>
      </c>
      <c r="AI114" s="359">
        <f t="shared" si="132"/>
        <v>63.926704431184184</v>
      </c>
      <c r="AJ114" s="359">
        <f t="shared" si="132"/>
        <v>63.926704431184184</v>
      </c>
      <c r="AK114" s="359">
        <f t="shared" si="132"/>
        <v>63.926704431184184</v>
      </c>
      <c r="AL114" s="359">
        <f t="shared" si="132"/>
        <v>63.926704431184184</v>
      </c>
      <c r="AM114" s="359">
        <f t="shared" si="132"/>
        <v>63.926704431184184</v>
      </c>
      <c r="AN114" s="359">
        <f t="shared" si="132"/>
        <v>63.926704431184184</v>
      </c>
      <c r="AO114" s="947">
        <f t="shared" si="132"/>
        <v>63.926704431184184</v>
      </c>
      <c r="AP114" s="359">
        <f t="shared" ref="AP114:BA114" si="133">$K114</f>
        <v>65.205238519807864</v>
      </c>
      <c r="AQ114" s="359">
        <f t="shared" si="133"/>
        <v>65.205238519807864</v>
      </c>
      <c r="AR114" s="359">
        <f t="shared" si="133"/>
        <v>65.205238519807864</v>
      </c>
      <c r="AS114" s="359">
        <f t="shared" si="133"/>
        <v>65.205238519807864</v>
      </c>
      <c r="AT114" s="359">
        <f t="shared" si="133"/>
        <v>65.205238519807864</v>
      </c>
      <c r="AU114" s="359">
        <f t="shared" si="133"/>
        <v>65.205238519807864</v>
      </c>
      <c r="AV114" s="359">
        <f t="shared" si="133"/>
        <v>65.205238519807864</v>
      </c>
      <c r="AW114" s="359">
        <f t="shared" si="133"/>
        <v>65.205238519807864</v>
      </c>
      <c r="AX114" s="359">
        <f t="shared" si="133"/>
        <v>65.205238519807864</v>
      </c>
      <c r="AY114" s="359">
        <f t="shared" si="133"/>
        <v>65.205238519807864</v>
      </c>
      <c r="AZ114" s="359">
        <f t="shared" si="133"/>
        <v>65.205238519807864</v>
      </c>
      <c r="BA114" s="947">
        <f t="shared" si="133"/>
        <v>65.205238519807864</v>
      </c>
      <c r="BB114" s="359">
        <f>$L114</f>
        <v>66.509343290204029</v>
      </c>
      <c r="BC114" s="359">
        <f t="shared" ref="BC114:BM114" si="134">$L114</f>
        <v>66.509343290204029</v>
      </c>
      <c r="BD114" s="359">
        <f t="shared" si="134"/>
        <v>66.509343290204029</v>
      </c>
      <c r="BE114" s="359">
        <f t="shared" si="134"/>
        <v>66.509343290204029</v>
      </c>
      <c r="BF114" s="359">
        <f t="shared" si="134"/>
        <v>66.509343290204029</v>
      </c>
      <c r="BG114" s="359">
        <f t="shared" si="134"/>
        <v>66.509343290204029</v>
      </c>
      <c r="BH114" s="359">
        <f t="shared" si="134"/>
        <v>66.509343290204029</v>
      </c>
      <c r="BI114" s="359">
        <f t="shared" si="134"/>
        <v>66.509343290204029</v>
      </c>
      <c r="BJ114" s="359">
        <f t="shared" si="134"/>
        <v>66.509343290204029</v>
      </c>
      <c r="BK114" s="359">
        <f t="shared" si="134"/>
        <v>66.509343290204029</v>
      </c>
      <c r="BL114" s="359">
        <f t="shared" si="134"/>
        <v>66.509343290204029</v>
      </c>
      <c r="BM114" s="947">
        <f t="shared" si="134"/>
        <v>66.509343290204029</v>
      </c>
      <c r="BN114" s="359">
        <f>$M114</f>
        <v>67.839530156008109</v>
      </c>
      <c r="BO114" s="359">
        <f t="shared" ref="BO114:BY114" si="135">$M114</f>
        <v>67.839530156008109</v>
      </c>
      <c r="BP114" s="359">
        <f t="shared" si="135"/>
        <v>67.839530156008109</v>
      </c>
      <c r="BQ114" s="359">
        <f t="shared" si="135"/>
        <v>67.839530156008109</v>
      </c>
      <c r="BR114" s="359">
        <f t="shared" si="135"/>
        <v>67.839530156008109</v>
      </c>
      <c r="BS114" s="359">
        <f t="shared" si="135"/>
        <v>67.839530156008109</v>
      </c>
      <c r="BT114" s="359">
        <f t="shared" si="135"/>
        <v>67.839530156008109</v>
      </c>
      <c r="BU114" s="359">
        <f t="shared" si="135"/>
        <v>67.839530156008109</v>
      </c>
      <c r="BV114" s="359">
        <f t="shared" si="135"/>
        <v>67.839530156008109</v>
      </c>
      <c r="BW114" s="359">
        <f t="shared" si="135"/>
        <v>67.839530156008109</v>
      </c>
      <c r="BX114" s="359">
        <f t="shared" si="135"/>
        <v>67.839530156008109</v>
      </c>
      <c r="BY114" s="947">
        <f t="shared" si="135"/>
        <v>67.839530156008109</v>
      </c>
      <c r="BZ114" s="652"/>
    </row>
    <row r="115" spans="2:78" s="359" customFormat="1" outlineLevel="1">
      <c r="B115" s="358"/>
      <c r="D115" s="366"/>
      <c r="E115" s="359" t="s">
        <v>4121</v>
      </c>
      <c r="F115" s="366"/>
      <c r="G115" s="366"/>
      <c r="N115" s="366"/>
      <c r="O115" s="365"/>
      <c r="P115" s="366"/>
      <c r="Q115" s="366"/>
      <c r="R115" s="1271"/>
      <c r="AC115" s="947"/>
      <c r="AO115" s="947"/>
      <c r="BA115" s="947"/>
      <c r="BM115" s="947"/>
      <c r="BY115" s="947"/>
      <c r="BZ115" s="652"/>
    </row>
    <row r="116" spans="2:78" s="359" customFormat="1" outlineLevel="1">
      <c r="B116" s="358"/>
      <c r="D116" s="366"/>
      <c r="F116" s="366" t="s">
        <v>3925</v>
      </c>
      <c r="G116" s="366"/>
      <c r="I116" s="359">
        <f>IF(I$66=0,0,I82/I$66)</f>
        <v>5.1068239925131929</v>
      </c>
      <c r="J116" s="359">
        <f>IF(J$66=0,0,J82/J$66)</f>
        <v>2.1536593705683216</v>
      </c>
      <c r="K116" s="359">
        <f>IF(K$66=0,0,K82/K$66)</f>
        <v>1.5218975087666151</v>
      </c>
      <c r="L116" s="359">
        <f>IF(L$66=0,0,L82/L$66)</f>
        <v>1.251334638380734</v>
      </c>
      <c r="M116" s="359">
        <f>IF(M$66=0,0,M82/M$66)</f>
        <v>1.1061088936634247</v>
      </c>
      <c r="N116" s="366"/>
      <c r="O116" s="365"/>
      <c r="P116" s="366"/>
      <c r="Q116" s="366"/>
      <c r="R116" s="1271">
        <f>IF(R$64=0,0,R82/R$64)</f>
        <v>23.885436659546944</v>
      </c>
      <c r="S116" s="359">
        <f t="shared" ref="S116:BY116" si="136">IF(S$64=0,0,S82/S$64)</f>
        <v>15.299364112841067</v>
      </c>
      <c r="T116" s="359">
        <f t="shared" si="136"/>
        <v>11.253926946464258</v>
      </c>
      <c r="U116" s="359">
        <f t="shared" si="136"/>
        <v>8.9004753043517262</v>
      </c>
      <c r="V116" s="359">
        <f t="shared" si="136"/>
        <v>7.3611017884128636</v>
      </c>
      <c r="W116" s="359">
        <f t="shared" si="136"/>
        <v>6.2756947737835533</v>
      </c>
      <c r="X116" s="359">
        <f t="shared" si="136"/>
        <v>5.4692452349298408</v>
      </c>
      <c r="Y116" s="359">
        <f t="shared" si="136"/>
        <v>4.8464578272069136</v>
      </c>
      <c r="Z116" s="359">
        <f t="shared" si="136"/>
        <v>4.3510053101418764</v>
      </c>
      <c r="AA116" s="359">
        <f t="shared" si="136"/>
        <v>3.9474574417309674</v>
      </c>
      <c r="AB116" s="359">
        <f t="shared" si="136"/>
        <v>3.6124127011570071</v>
      </c>
      <c r="AC116" s="947">
        <f t="shared" si="136"/>
        <v>3.3297929090863332</v>
      </c>
      <c r="AD116" s="359">
        <f t="shared" si="136"/>
        <v>3.2182592410403315</v>
      </c>
      <c r="AE116" s="359">
        <f t="shared" si="136"/>
        <v>3.0313855717335851</v>
      </c>
      <c r="AF116" s="359">
        <f t="shared" si="136"/>
        <v>2.8650231536464617</v>
      </c>
      <c r="AG116" s="359">
        <f t="shared" si="136"/>
        <v>2.7159707013476977</v>
      </c>
      <c r="AH116" s="359">
        <f t="shared" si="136"/>
        <v>2.5816601709121101</v>
      </c>
      <c r="AI116" s="359">
        <f t="shared" si="136"/>
        <v>2.4600075623578674</v>
      </c>
      <c r="AJ116" s="359">
        <f t="shared" si="136"/>
        <v>2.3493040065957862</v>
      </c>
      <c r="AK116" s="359">
        <f t="shared" si="136"/>
        <v>2.2481349933748618</v>
      </c>
      <c r="AL116" s="359">
        <f t="shared" si="136"/>
        <v>2.1553196075175722</v>
      </c>
      <c r="AM116" s="359">
        <f t="shared" si="136"/>
        <v>2.0698642203413851</v>
      </c>
      <c r="AN116" s="359">
        <f t="shared" si="136"/>
        <v>1.9909267773717561</v>
      </c>
      <c r="AO116" s="947">
        <f t="shared" si="136"/>
        <v>1.9177889575213516</v>
      </c>
      <c r="AP116" s="359">
        <f t="shared" si="136"/>
        <v>1.9289828159021689</v>
      </c>
      <c r="AQ116" s="359">
        <f t="shared" si="136"/>
        <v>1.8847673740809197</v>
      </c>
      <c r="AR116" s="359">
        <f t="shared" si="136"/>
        <v>1.8425334921843219</v>
      </c>
      <c r="AS116" s="359">
        <f t="shared" si="136"/>
        <v>1.8021508812970419</v>
      </c>
      <c r="AT116" s="359">
        <f t="shared" si="136"/>
        <v>1.763500429648736</v>
      </c>
      <c r="AU116" s="359">
        <f t="shared" si="136"/>
        <v>1.7264730292074038</v>
      </c>
      <c r="AV116" s="359">
        <f t="shared" si="136"/>
        <v>1.690968547057619</v>
      </c>
      <c r="AW116" s="359">
        <f t="shared" si="136"/>
        <v>1.6568949211413555</v>
      </c>
      <c r="AX116" s="359">
        <f t="shared" si="136"/>
        <v>1.624167363166237</v>
      </c>
      <c r="AY116" s="359">
        <f t="shared" si="136"/>
        <v>1.5927076541505787</v>
      </c>
      <c r="AZ116" s="359">
        <f t="shared" si="136"/>
        <v>1.5624435202834301</v>
      </c>
      <c r="BA116" s="947">
        <f t="shared" si="136"/>
        <v>1.5333080786159743</v>
      </c>
      <c r="BB116" s="359">
        <f t="shared" si="136"/>
        <v>1.5486875925542938</v>
      </c>
      <c r="BC116" s="359">
        <f t="shared" si="136"/>
        <v>1.5192325973670799</v>
      </c>
      <c r="BD116" s="359">
        <f t="shared" si="136"/>
        <v>1.4908771184697349</v>
      </c>
      <c r="BE116" s="359">
        <f t="shared" si="136"/>
        <v>1.4635607186346153</v>
      </c>
      <c r="BF116" s="359">
        <f t="shared" si="136"/>
        <v>1.4372273103495918</v>
      </c>
      <c r="BG116" s="359">
        <f t="shared" si="136"/>
        <v>1.4118247714188079</v>
      </c>
      <c r="BH116" s="359">
        <f t="shared" si="136"/>
        <v>1.3873046006202585</v>
      </c>
      <c r="BI116" s="359">
        <f t="shared" si="136"/>
        <v>1.3636216086334532</v>
      </c>
      <c r="BJ116" s="359">
        <f t="shared" si="136"/>
        <v>1.3407336400931842</v>
      </c>
      <c r="BK116" s="359">
        <f t="shared" si="136"/>
        <v>1.3186013231726725</v>
      </c>
      <c r="BL116" s="359">
        <f t="shared" si="136"/>
        <v>1.2971878435666437</v>
      </c>
      <c r="BM116" s="947">
        <f t="shared" si="136"/>
        <v>1.2764587401449481</v>
      </c>
      <c r="BN116" s="359">
        <f t="shared" si="136"/>
        <v>1.3009059307317421</v>
      </c>
      <c r="BO116" s="359">
        <f t="shared" si="136"/>
        <v>1.2873479752201549</v>
      </c>
      <c r="BP116" s="359">
        <f t="shared" si="136"/>
        <v>1.2740697050762342</v>
      </c>
      <c r="BQ116" s="359">
        <f t="shared" si="136"/>
        <v>1.2610625542621647</v>
      </c>
      <c r="BR116" s="359">
        <f t="shared" si="136"/>
        <v>1.2483183030123686</v>
      </c>
      <c r="BS116" s="359">
        <f t="shared" si="136"/>
        <v>1.2358290605114899</v>
      </c>
      <c r="BT116" s="359">
        <f t="shared" si="136"/>
        <v>1.2235872486019026</v>
      </c>
      <c r="BU116" s="359">
        <f t="shared" si="136"/>
        <v>1.21158558645006</v>
      </c>
      <c r="BV116" s="359">
        <f t="shared" si="136"/>
        <v>1.1998170761064813</v>
      </c>
      <c r="BW116" s="359">
        <f t="shared" si="136"/>
        <v>1.188274988899213</v>
      </c>
      <c r="BX116" s="359">
        <f t="shared" si="136"/>
        <v>1.1769528526051583</v>
      </c>
      <c r="BY116" s="947">
        <f t="shared" si="136"/>
        <v>1.1658444393478948</v>
      </c>
      <c r="BZ116" s="652"/>
    </row>
    <row r="117" spans="2:78" s="359" customFormat="1" outlineLevel="1">
      <c r="B117" s="358"/>
      <c r="D117" s="366"/>
      <c r="F117" s="366" t="s">
        <v>3926</v>
      </c>
      <c r="G117" s="366"/>
      <c r="I117" s="359">
        <f>'2.3 Expenses'!T57</f>
        <v>21.970384148115592</v>
      </c>
      <c r="J117" s="359">
        <f>'2.3 Expenses'!U57</f>
        <v>22.629495672559059</v>
      </c>
      <c r="K117" s="359">
        <f>'2.3 Expenses'!V57</f>
        <v>23.308380542735833</v>
      </c>
      <c r="L117" s="359">
        <f>'2.3 Expenses'!W57</f>
        <v>24.007631959017907</v>
      </c>
      <c r="M117" s="359">
        <f>'2.3 Expenses'!X57</f>
        <v>24.727860917788444</v>
      </c>
      <c r="N117" s="366"/>
      <c r="O117" s="365"/>
      <c r="P117" s="366"/>
      <c r="Q117" s="366"/>
      <c r="R117" s="1271">
        <f>IF(R$64=0,0,R83/R$64)</f>
        <v>89.784720045261608</v>
      </c>
      <c r="S117" s="359">
        <f t="shared" ref="S117:BY117" si="137">IF(S$64=0,0,S83/S$64)</f>
        <v>57.509902093119727</v>
      </c>
      <c r="T117" s="359">
        <f t="shared" si="137"/>
        <v>42.303211563614134</v>
      </c>
      <c r="U117" s="359">
        <f t="shared" si="137"/>
        <v>33.456649541785772</v>
      </c>
      <c r="V117" s="359">
        <f t="shared" si="137"/>
        <v>27.670185507500772</v>
      </c>
      <c r="W117" s="359">
        <f t="shared" si="137"/>
        <v>23.590169457021574</v>
      </c>
      <c r="X117" s="359">
        <f t="shared" si="137"/>
        <v>20.558747125972413</v>
      </c>
      <c r="Y117" s="359">
        <f t="shared" si="137"/>
        <v>18.217705852700675</v>
      </c>
      <c r="Z117" s="359">
        <f t="shared" si="137"/>
        <v>16.35531304094421</v>
      </c>
      <c r="AA117" s="359">
        <f t="shared" si="137"/>
        <v>14.838387354946608</v>
      </c>
      <c r="AB117" s="359">
        <f t="shared" si="137"/>
        <v>13.578963101421532</v>
      </c>
      <c r="AC117" s="947">
        <f t="shared" si="137"/>
        <v>12.516602832610069</v>
      </c>
      <c r="AD117" s="359">
        <f t="shared" si="137"/>
        <v>30.302129967841452</v>
      </c>
      <c r="AE117" s="359">
        <f t="shared" si="137"/>
        <v>28.542585508933929</v>
      </c>
      <c r="AF117" s="359">
        <f t="shared" si="137"/>
        <v>26.976168624192596</v>
      </c>
      <c r="AG117" s="359">
        <f t="shared" si="137"/>
        <v>25.572737003773291</v>
      </c>
      <c r="AH117" s="359">
        <f t="shared" si="137"/>
        <v>24.308110743275623</v>
      </c>
      <c r="AI117" s="359">
        <f t="shared" si="137"/>
        <v>23.1626675458078</v>
      </c>
      <c r="AJ117" s="359">
        <f t="shared" si="137"/>
        <v>22.120317230511144</v>
      </c>
      <c r="AK117" s="359">
        <f t="shared" si="137"/>
        <v>21.167741207969303</v>
      </c>
      <c r="AL117" s="359">
        <f t="shared" si="137"/>
        <v>20.293820347462809</v>
      </c>
      <c r="AM117" s="359">
        <f t="shared" si="137"/>
        <v>19.489198949769577</v>
      </c>
      <c r="AN117" s="359">
        <f t="shared" si="137"/>
        <v>18.745948491356678</v>
      </c>
      <c r="AO117" s="947">
        <f t="shared" si="137"/>
        <v>18.057305483854552</v>
      </c>
      <c r="AP117" s="359">
        <f t="shared" si="137"/>
        <v>26.315779211155515</v>
      </c>
      <c r="AQ117" s="359">
        <f t="shared" si="137"/>
        <v>25.712578500864328</v>
      </c>
      <c r="AR117" s="359">
        <f t="shared" si="137"/>
        <v>25.136410842936755</v>
      </c>
      <c r="AS117" s="359">
        <f t="shared" si="137"/>
        <v>24.585498795758852</v>
      </c>
      <c r="AT117" s="359">
        <f t="shared" si="137"/>
        <v>24.05821739977992</v>
      </c>
      <c r="AU117" s="359">
        <f t="shared" si="137"/>
        <v>23.553078169536739</v>
      </c>
      <c r="AV117" s="359">
        <f t="shared" si="137"/>
        <v>23.068715060877754</v>
      </c>
      <c r="AW117" s="359">
        <f t="shared" si="137"/>
        <v>22.603872134780183</v>
      </c>
      <c r="AX117" s="359">
        <f t="shared" si="137"/>
        <v>22.157392683178269</v>
      </c>
      <c r="AY117" s="359">
        <f t="shared" si="137"/>
        <v>21.728209618571203</v>
      </c>
      <c r="AZ117" s="359">
        <f t="shared" si="137"/>
        <v>21.315336959313086</v>
      </c>
      <c r="BA117" s="947">
        <f t="shared" si="137"/>
        <v>20.917862267563859</v>
      </c>
      <c r="BB117" s="359">
        <f t="shared" si="137"/>
        <v>26.56767165780489</v>
      </c>
      <c r="BC117" s="359">
        <f t="shared" si="137"/>
        <v>26.06237243246181</v>
      </c>
      <c r="BD117" s="359">
        <f t="shared" si="137"/>
        <v>25.57593536363893</v>
      </c>
      <c r="BE117" s="359">
        <f t="shared" si="137"/>
        <v>25.107323653193312</v>
      </c>
      <c r="BF117" s="359">
        <f t="shared" si="137"/>
        <v>24.655575122171943</v>
      </c>
      <c r="BG117" s="359">
        <f t="shared" si="137"/>
        <v>24.219795616458612</v>
      </c>
      <c r="BH117" s="359">
        <f t="shared" si="137"/>
        <v>23.799153099593926</v>
      </c>
      <c r="BI117" s="359">
        <f t="shared" si="137"/>
        <v>23.392872350652102</v>
      </c>
      <c r="BJ117" s="359">
        <f t="shared" si="137"/>
        <v>23.000230196084882</v>
      </c>
      <c r="BK117" s="359">
        <f t="shared" si="137"/>
        <v>22.620551213830741</v>
      </c>
      <c r="BL117" s="359">
        <f t="shared" si="137"/>
        <v>22.253203856003875</v>
      </c>
      <c r="BM117" s="947">
        <f t="shared" si="137"/>
        <v>21.897596943340506</v>
      </c>
      <c r="BN117" s="359">
        <f t="shared" si="137"/>
        <v>26.160205432017516</v>
      </c>
      <c r="BO117" s="359">
        <f t="shared" si="137"/>
        <v>25.887565502378813</v>
      </c>
      <c r="BP117" s="359">
        <f t="shared" si="137"/>
        <v>25.620549827731683</v>
      </c>
      <c r="BQ117" s="359">
        <f t="shared" si="137"/>
        <v>25.358986151724842</v>
      </c>
      <c r="BR117" s="359">
        <f t="shared" si="137"/>
        <v>25.102709181272118</v>
      </c>
      <c r="BS117" s="359">
        <f t="shared" si="137"/>
        <v>24.851560238220184</v>
      </c>
      <c r="BT117" s="359">
        <f t="shared" si="137"/>
        <v>24.605386931719242</v>
      </c>
      <c r="BU117" s="359">
        <f t="shared" si="137"/>
        <v>24.364042849875233</v>
      </c>
      <c r="BV117" s="359">
        <f t="shared" si="137"/>
        <v>24.127387269372445</v>
      </c>
      <c r="BW117" s="359">
        <f t="shared" si="137"/>
        <v>23.895284881856568</v>
      </c>
      <c r="BX117" s="359">
        <f t="shared" si="137"/>
        <v>23.667605535960149</v>
      </c>
      <c r="BY117" s="947">
        <f t="shared" si="137"/>
        <v>23.444223993937126</v>
      </c>
      <c r="BZ117" s="652"/>
    </row>
    <row r="118" spans="2:78" s="359" customFormat="1" outlineLevel="1">
      <c r="B118" s="358"/>
      <c r="D118" s="366"/>
      <c r="F118" s="366" t="s">
        <v>3695</v>
      </c>
      <c r="G118" s="366"/>
      <c r="H118" s="364"/>
      <c r="I118" s="364">
        <f>'2.3 Expenses'!T50</f>
        <v>23.226052818746606</v>
      </c>
      <c r="J118" s="364">
        <f>'2.3 Expenses'!U50</f>
        <v>23.922834403309004</v>
      </c>
      <c r="K118" s="364">
        <f>'2.3 Expenses'!V50</f>
        <v>24.640519435408276</v>
      </c>
      <c r="L118" s="364">
        <f>'2.3 Expenses'!W50</f>
        <v>25.379735018470527</v>
      </c>
      <c r="M118" s="364">
        <f>'2.3 Expenses'!X50</f>
        <v>26.141127069024645</v>
      </c>
      <c r="N118" s="366"/>
      <c r="O118" s="365"/>
      <c r="P118" s="366"/>
      <c r="Q118" s="366"/>
      <c r="R118" s="1272">
        <f>IF(R$64=0,0,R84/R$64)</f>
        <v>96.420333506314648</v>
      </c>
      <c r="S118" s="364">
        <f t="shared" ref="S118:BY118" si="138">IF(S$64=0,0,S84/S$64)</f>
        <v>61.760218631173991</v>
      </c>
      <c r="T118" s="364">
        <f t="shared" si="138"/>
        <v>45.429665151215502</v>
      </c>
      <c r="U118" s="364">
        <f t="shared" si="138"/>
        <v>35.929290698870091</v>
      </c>
      <c r="V118" s="364">
        <f t="shared" si="138"/>
        <v>29.715173288615951</v>
      </c>
      <c r="W118" s="364">
        <f t="shared" si="138"/>
        <v>25.333620301648846</v>
      </c>
      <c r="X118" s="364">
        <f t="shared" si="138"/>
        <v>22.078158213991813</v>
      </c>
      <c r="Y118" s="364">
        <f t="shared" si="138"/>
        <v>19.564100363088915</v>
      </c>
      <c r="Z118" s="364">
        <f t="shared" si="138"/>
        <v>17.564065881288489</v>
      </c>
      <c r="AA118" s="364">
        <f t="shared" si="138"/>
        <v>15.935030556854093</v>
      </c>
      <c r="AB118" s="364">
        <f t="shared" si="138"/>
        <v>14.582527519704648</v>
      </c>
      <c r="AC118" s="949">
        <f t="shared" si="138"/>
        <v>13.441652642876813</v>
      </c>
      <c r="AD118" s="364">
        <f t="shared" si="138"/>
        <v>32.033981126997048</v>
      </c>
      <c r="AE118" s="364">
        <f t="shared" si="138"/>
        <v>30.173873799605403</v>
      </c>
      <c r="AF118" s="364">
        <f t="shared" si="138"/>
        <v>28.51793182535917</v>
      </c>
      <c r="AG118" s="364">
        <f t="shared" si="138"/>
        <v>27.034290177420406</v>
      </c>
      <c r="AH118" s="364">
        <f t="shared" si="138"/>
        <v>25.697387002479235</v>
      </c>
      <c r="AI118" s="364">
        <f t="shared" si="138"/>
        <v>24.486478534702467</v>
      </c>
      <c r="AJ118" s="364">
        <f t="shared" si="138"/>
        <v>23.384554994562922</v>
      </c>
      <c r="AK118" s="364">
        <f t="shared" si="138"/>
        <v>22.37753659814922</v>
      </c>
      <c r="AL118" s="364">
        <f t="shared" si="138"/>
        <v>21.453668725439801</v>
      </c>
      <c r="AM118" s="364">
        <f t="shared" si="138"/>
        <v>20.603060972934042</v>
      </c>
      <c r="AN118" s="364">
        <f t="shared" si="138"/>
        <v>19.817331679887694</v>
      </c>
      <c r="AO118" s="949">
        <f t="shared" si="138"/>
        <v>19.089330805725609</v>
      </c>
      <c r="AP118" s="364">
        <f t="shared" si="138"/>
        <v>27.819799317309425</v>
      </c>
      <c r="AQ118" s="364">
        <f t="shared" si="138"/>
        <v>27.182124005713643</v>
      </c>
      <c r="AR118" s="364">
        <f t="shared" si="138"/>
        <v>26.573026760746849</v>
      </c>
      <c r="AS118" s="364">
        <f t="shared" si="138"/>
        <v>25.990628555054332</v>
      </c>
      <c r="AT118" s="364">
        <f t="shared" si="138"/>
        <v>25.433211558119414</v>
      </c>
      <c r="AU118" s="364">
        <f t="shared" si="138"/>
        <v>24.899202213387255</v>
      </c>
      <c r="AV118" s="364">
        <f t="shared" si="138"/>
        <v>24.387156403476784</v>
      </c>
      <c r="AW118" s="364">
        <f t="shared" si="138"/>
        <v>23.895746408950636</v>
      </c>
      <c r="AX118" s="364">
        <f t="shared" si="138"/>
        <v>23.423749412654125</v>
      </c>
      <c r="AY118" s="364">
        <f t="shared" si="138"/>
        <v>22.970037340062518</v>
      </c>
      <c r="AZ118" s="364">
        <f t="shared" si="138"/>
        <v>22.533567857931601</v>
      </c>
      <c r="BA118" s="949">
        <f t="shared" si="138"/>
        <v>22.113376380056401</v>
      </c>
      <c r="BB118" s="364">
        <f t="shared" si="138"/>
        <v>28.086088119138299</v>
      </c>
      <c r="BC118" s="364">
        <f t="shared" si="138"/>
        <v>27.551909635140479</v>
      </c>
      <c r="BD118" s="364">
        <f t="shared" si="138"/>
        <v>27.037671332464029</v>
      </c>
      <c r="BE118" s="364">
        <f t="shared" si="138"/>
        <v>26.542277157063296</v>
      </c>
      <c r="BF118" s="364">
        <f t="shared" si="138"/>
        <v>26.064709938777153</v>
      </c>
      <c r="BG118" s="364">
        <f t="shared" si="138"/>
        <v>25.604024420090251</v>
      </c>
      <c r="BH118" s="364">
        <f t="shared" si="138"/>
        <v>25.159341011341219</v>
      </c>
      <c r="BI118" s="364">
        <f t="shared" si="138"/>
        <v>24.729840185568353</v>
      </c>
      <c r="BJ118" s="364">
        <f t="shared" si="138"/>
        <v>24.314757437840118</v>
      </c>
      <c r="BK118" s="364">
        <f t="shared" si="138"/>
        <v>23.913378743842223</v>
      </c>
      <c r="BL118" s="364">
        <f t="shared" si="138"/>
        <v>23.525036460967502</v>
      </c>
      <c r="BM118" s="949">
        <f t="shared" si="138"/>
        <v>23.149105622410037</v>
      </c>
      <c r="BN118" s="364">
        <f t="shared" si="138"/>
        <v>27.655334063215044</v>
      </c>
      <c r="BO118" s="364">
        <f t="shared" si="138"/>
        <v>27.367112001934832</v>
      </c>
      <c r="BP118" s="364">
        <f t="shared" si="138"/>
        <v>27.084835637489952</v>
      </c>
      <c r="BQ118" s="364">
        <f t="shared" si="138"/>
        <v>26.80832286859868</v>
      </c>
      <c r="BR118" s="364">
        <f t="shared" si="138"/>
        <v>26.537398955214403</v>
      </c>
      <c r="BS118" s="364">
        <f t="shared" si="138"/>
        <v>26.271896150285205</v>
      </c>
      <c r="BT118" s="364">
        <f t="shared" si="138"/>
        <v>26.01165335339962</v>
      </c>
      <c r="BU118" s="364">
        <f t="shared" si="138"/>
        <v>25.756515784815885</v>
      </c>
      <c r="BV118" s="364">
        <f t="shared" si="138"/>
        <v>25.506334678488695</v>
      </c>
      <c r="BW118" s="364">
        <f t="shared" si="138"/>
        <v>25.260966992814282</v>
      </c>
      <c r="BX118" s="364">
        <f t="shared" si="138"/>
        <v>25.020275137911899</v>
      </c>
      <c r="BY118" s="949">
        <f t="shared" si="138"/>
        <v>24.784126718349334</v>
      </c>
      <c r="BZ118" s="652"/>
    </row>
    <row r="119" spans="2:78" s="359" customFormat="1">
      <c r="B119" s="358"/>
      <c r="D119" s="366"/>
      <c r="E119" s="359" t="s">
        <v>4122</v>
      </c>
      <c r="F119" s="366"/>
      <c r="G119" s="366"/>
      <c r="I119" s="359">
        <f t="shared" ref="I119:M120" si="139">IF(I$66=0,0,I85/I$66)</f>
        <v>44.918381493360258</v>
      </c>
      <c r="J119" s="359">
        <f t="shared" si="139"/>
        <v>43.868990463904687</v>
      </c>
      <c r="K119" s="359">
        <f t="shared" si="139"/>
        <v>44.232906346643539</v>
      </c>
      <c r="L119" s="359">
        <f t="shared" si="139"/>
        <v>45.411398330652545</v>
      </c>
      <c r="M119" s="359">
        <f t="shared" si="139"/>
        <v>46.863335028753404</v>
      </c>
      <c r="N119" s="366"/>
      <c r="O119" s="365"/>
      <c r="P119" s="366"/>
      <c r="Q119" s="366"/>
      <c r="R119" s="1271">
        <f>IF(R$64=0,0,R85/R$64)</f>
        <v>210.09049021112318</v>
      </c>
      <c r="S119" s="359">
        <f t="shared" ref="S119:BY119" si="140">IF(S$64=0,0,S85/S$64)</f>
        <v>134.56948483713478</v>
      </c>
      <c r="T119" s="359">
        <f t="shared" si="140"/>
        <v>98.986803661293891</v>
      </c>
      <c r="U119" s="359">
        <f t="shared" si="140"/>
        <v>78.286415545007586</v>
      </c>
      <c r="V119" s="359">
        <f t="shared" si="140"/>
        <v>64.746460584529586</v>
      </c>
      <c r="W119" s="359">
        <f t="shared" si="140"/>
        <v>55.199484532453965</v>
      </c>
      <c r="X119" s="359">
        <f t="shared" si="140"/>
        <v>48.106150574894059</v>
      </c>
      <c r="Y119" s="359">
        <f t="shared" si="140"/>
        <v>42.628264042996506</v>
      </c>
      <c r="Z119" s="359">
        <f t="shared" si="140"/>
        <v>38.270384232374575</v>
      </c>
      <c r="AA119" s="359">
        <f t="shared" si="140"/>
        <v>34.720875353531667</v>
      </c>
      <c r="AB119" s="359">
        <f t="shared" si="140"/>
        <v>31.773903322283186</v>
      </c>
      <c r="AC119" s="947">
        <f t="shared" si="140"/>
        <v>29.288048384573212</v>
      </c>
      <c r="AD119" s="359">
        <f t="shared" si="140"/>
        <v>65.554370335878829</v>
      </c>
      <c r="AE119" s="359">
        <f t="shared" si="140"/>
        <v>61.747844880272915</v>
      </c>
      <c r="AF119" s="359">
        <f t="shared" si="140"/>
        <v>58.359123603198228</v>
      </c>
      <c r="AG119" s="359">
        <f t="shared" si="140"/>
        <v>55.322997882541394</v>
      </c>
      <c r="AH119" s="359">
        <f t="shared" si="140"/>
        <v>52.587157916666968</v>
      </c>
      <c r="AI119" s="359">
        <f t="shared" si="140"/>
        <v>50.109153642868137</v>
      </c>
      <c r="AJ119" s="359">
        <f t="shared" si="140"/>
        <v>47.854176231669854</v>
      </c>
      <c r="AK119" s="359">
        <f t="shared" si="140"/>
        <v>45.793412799493382</v>
      </c>
      <c r="AL119" s="359">
        <f t="shared" si="140"/>
        <v>43.902808680420179</v>
      </c>
      <c r="AM119" s="359">
        <f t="shared" si="140"/>
        <v>42.162124143045006</v>
      </c>
      <c r="AN119" s="359">
        <f t="shared" si="140"/>
        <v>40.554206948616127</v>
      </c>
      <c r="AO119" s="947">
        <f t="shared" si="140"/>
        <v>39.064425247101511</v>
      </c>
      <c r="AP119" s="359">
        <f t="shared" si="140"/>
        <v>56.064561344367114</v>
      </c>
      <c r="AQ119" s="359">
        <f t="shared" si="140"/>
        <v>54.779469880658894</v>
      </c>
      <c r="AR119" s="359">
        <f t="shared" si="140"/>
        <v>53.551971095867934</v>
      </c>
      <c r="AS119" s="359">
        <f t="shared" si="140"/>
        <v>52.378278232110233</v>
      </c>
      <c r="AT119" s="359">
        <f t="shared" si="140"/>
        <v>51.254929387548074</v>
      </c>
      <c r="AU119" s="359">
        <f t="shared" si="140"/>
        <v>50.178753412131407</v>
      </c>
      <c r="AV119" s="359">
        <f t="shared" si="140"/>
        <v>49.146840011412159</v>
      </c>
      <c r="AW119" s="359">
        <f t="shared" si="140"/>
        <v>48.156513464872177</v>
      </c>
      <c r="AX119" s="359">
        <f t="shared" si="140"/>
        <v>47.205309458998634</v>
      </c>
      <c r="AY119" s="359">
        <f t="shared" si="140"/>
        <v>46.290954612784304</v>
      </c>
      <c r="AZ119" s="359">
        <f t="shared" si="140"/>
        <v>45.411348337528125</v>
      </c>
      <c r="BA119" s="947">
        <f t="shared" si="140"/>
        <v>44.564546726236237</v>
      </c>
      <c r="BB119" s="359">
        <f t="shared" si="140"/>
        <v>56.202447369497484</v>
      </c>
      <c r="BC119" s="359">
        <f t="shared" si="140"/>
        <v>55.133514664969375</v>
      </c>
      <c r="BD119" s="359">
        <f t="shared" si="140"/>
        <v>54.104483814572696</v>
      </c>
      <c r="BE119" s="359">
        <f t="shared" si="140"/>
        <v>53.113161528891226</v>
      </c>
      <c r="BF119" s="359">
        <f t="shared" si="140"/>
        <v>52.157512371298687</v>
      </c>
      <c r="BG119" s="359">
        <f t="shared" si="140"/>
        <v>51.235644807967674</v>
      </c>
      <c r="BH119" s="359">
        <f t="shared" si="140"/>
        <v>50.345798711555403</v>
      </c>
      <c r="BI119" s="359">
        <f t="shared" si="140"/>
        <v>49.486334144853913</v>
      </c>
      <c r="BJ119" s="359">
        <f t="shared" si="140"/>
        <v>48.655721274018184</v>
      </c>
      <c r="BK119" s="359">
        <f t="shared" si="140"/>
        <v>47.852531280845639</v>
      </c>
      <c r="BL119" s="359">
        <f t="shared" si="140"/>
        <v>47.075428160538017</v>
      </c>
      <c r="BM119" s="947">
        <f t="shared" si="140"/>
        <v>46.323161305895489</v>
      </c>
      <c r="BN119" s="359">
        <f t="shared" si="140"/>
        <v>55.116445425964301</v>
      </c>
      <c r="BO119" s="359">
        <f t="shared" si="140"/>
        <v>54.542025479533798</v>
      </c>
      <c r="BP119" s="359">
        <f t="shared" si="140"/>
        <v>53.979455170297868</v>
      </c>
      <c r="BQ119" s="359">
        <f t="shared" si="140"/>
        <v>53.42837157458569</v>
      </c>
      <c r="BR119" s="359">
        <f t="shared" si="140"/>
        <v>52.888426439498886</v>
      </c>
      <c r="BS119" s="359">
        <f t="shared" si="140"/>
        <v>52.35928544901688</v>
      </c>
      <c r="BT119" s="359">
        <f t="shared" si="140"/>
        <v>51.840627533720763</v>
      </c>
      <c r="BU119" s="359">
        <f t="shared" si="140"/>
        <v>51.332144221141178</v>
      </c>
      <c r="BV119" s="359">
        <f t="shared" si="140"/>
        <v>50.833539023967624</v>
      </c>
      <c r="BW119" s="359">
        <f t="shared" si="140"/>
        <v>50.344526863570067</v>
      </c>
      <c r="BX119" s="359">
        <f t="shared" si="140"/>
        <v>49.864833526477206</v>
      </c>
      <c r="BY119" s="947">
        <f t="shared" si="140"/>
        <v>49.394195151634349</v>
      </c>
      <c r="BZ119" s="652"/>
    </row>
    <row r="120" spans="2:78" s="359" customFormat="1">
      <c r="B120" s="358"/>
      <c r="D120" s="366"/>
      <c r="E120" s="359" t="s">
        <v>3524</v>
      </c>
      <c r="F120" s="366"/>
      <c r="G120" s="366"/>
      <c r="I120" s="359">
        <f t="shared" si="139"/>
        <v>0</v>
      </c>
      <c r="J120" s="359">
        <f t="shared" si="139"/>
        <v>0</v>
      </c>
      <c r="K120" s="359">
        <f t="shared" si="139"/>
        <v>0</v>
      </c>
      <c r="L120" s="359">
        <f t="shared" si="139"/>
        <v>0</v>
      </c>
      <c r="M120" s="359">
        <f t="shared" si="139"/>
        <v>0</v>
      </c>
      <c r="N120" s="366"/>
      <c r="O120" s="365"/>
      <c r="P120" s="366"/>
      <c r="Q120" s="366"/>
      <c r="R120" s="1271">
        <f>IF(R$65=0,0,R86/R$65)</f>
        <v>0</v>
      </c>
      <c r="S120" s="359">
        <f t="shared" ref="S120:BY120" si="141">IF(S$65=0,0,S86/S$65)</f>
        <v>0</v>
      </c>
      <c r="T120" s="359">
        <f t="shared" si="141"/>
        <v>0</v>
      </c>
      <c r="U120" s="359">
        <f t="shared" si="141"/>
        <v>0</v>
      </c>
      <c r="V120" s="359">
        <f t="shared" si="141"/>
        <v>0</v>
      </c>
      <c r="W120" s="359">
        <f t="shared" si="141"/>
        <v>0</v>
      </c>
      <c r="X120" s="359">
        <f t="shared" si="141"/>
        <v>0</v>
      </c>
      <c r="Y120" s="359">
        <f t="shared" si="141"/>
        <v>0</v>
      </c>
      <c r="Z120" s="359">
        <f t="shared" si="141"/>
        <v>0</v>
      </c>
      <c r="AA120" s="359">
        <f t="shared" si="141"/>
        <v>0</v>
      </c>
      <c r="AB120" s="359">
        <f t="shared" si="141"/>
        <v>0</v>
      </c>
      <c r="AC120" s="947">
        <f t="shared" si="141"/>
        <v>0</v>
      </c>
      <c r="AD120" s="359">
        <f t="shared" si="141"/>
        <v>0</v>
      </c>
      <c r="AE120" s="359">
        <f t="shared" si="141"/>
        <v>0</v>
      </c>
      <c r="AF120" s="359">
        <f t="shared" si="141"/>
        <v>0</v>
      </c>
      <c r="AG120" s="359">
        <f t="shared" si="141"/>
        <v>0</v>
      </c>
      <c r="AH120" s="359">
        <f t="shared" si="141"/>
        <v>0</v>
      </c>
      <c r="AI120" s="359">
        <f t="shared" si="141"/>
        <v>0</v>
      </c>
      <c r="AJ120" s="359">
        <f t="shared" si="141"/>
        <v>0</v>
      </c>
      <c r="AK120" s="359">
        <f t="shared" si="141"/>
        <v>0</v>
      </c>
      <c r="AL120" s="359">
        <f t="shared" si="141"/>
        <v>0</v>
      </c>
      <c r="AM120" s="359">
        <f t="shared" si="141"/>
        <v>0</v>
      </c>
      <c r="AN120" s="359">
        <f t="shared" si="141"/>
        <v>0</v>
      </c>
      <c r="AO120" s="947">
        <f t="shared" si="141"/>
        <v>0</v>
      </c>
      <c r="AP120" s="359">
        <f t="shared" si="141"/>
        <v>0</v>
      </c>
      <c r="AQ120" s="359">
        <f t="shared" si="141"/>
        <v>0</v>
      </c>
      <c r="AR120" s="359">
        <f t="shared" si="141"/>
        <v>0</v>
      </c>
      <c r="AS120" s="359">
        <f t="shared" si="141"/>
        <v>0</v>
      </c>
      <c r="AT120" s="359">
        <f t="shared" si="141"/>
        <v>0</v>
      </c>
      <c r="AU120" s="359">
        <f t="shared" si="141"/>
        <v>0</v>
      </c>
      <c r="AV120" s="359">
        <f t="shared" si="141"/>
        <v>0</v>
      </c>
      <c r="AW120" s="359">
        <f t="shared" si="141"/>
        <v>0</v>
      </c>
      <c r="AX120" s="359">
        <f t="shared" si="141"/>
        <v>0</v>
      </c>
      <c r="AY120" s="359">
        <f t="shared" si="141"/>
        <v>0</v>
      </c>
      <c r="AZ120" s="359">
        <f t="shared" si="141"/>
        <v>0</v>
      </c>
      <c r="BA120" s="947">
        <f t="shared" si="141"/>
        <v>0</v>
      </c>
      <c r="BB120" s="359">
        <f t="shared" si="141"/>
        <v>0</v>
      </c>
      <c r="BC120" s="359">
        <f t="shared" si="141"/>
        <v>0</v>
      </c>
      <c r="BD120" s="359">
        <f t="shared" si="141"/>
        <v>0</v>
      </c>
      <c r="BE120" s="359">
        <f t="shared" si="141"/>
        <v>0</v>
      </c>
      <c r="BF120" s="359">
        <f t="shared" si="141"/>
        <v>0</v>
      </c>
      <c r="BG120" s="359">
        <f t="shared" si="141"/>
        <v>0</v>
      </c>
      <c r="BH120" s="359">
        <f t="shared" si="141"/>
        <v>0</v>
      </c>
      <c r="BI120" s="359">
        <f t="shared" si="141"/>
        <v>0</v>
      </c>
      <c r="BJ120" s="359">
        <f t="shared" si="141"/>
        <v>0</v>
      </c>
      <c r="BK120" s="359">
        <f t="shared" si="141"/>
        <v>0</v>
      </c>
      <c r="BL120" s="359">
        <f t="shared" si="141"/>
        <v>0</v>
      </c>
      <c r="BM120" s="947">
        <f t="shared" si="141"/>
        <v>0</v>
      </c>
      <c r="BN120" s="359">
        <f t="shared" si="141"/>
        <v>0</v>
      </c>
      <c r="BO120" s="359">
        <f t="shared" si="141"/>
        <v>0</v>
      </c>
      <c r="BP120" s="359">
        <f t="shared" si="141"/>
        <v>0</v>
      </c>
      <c r="BQ120" s="359">
        <f t="shared" si="141"/>
        <v>0</v>
      </c>
      <c r="BR120" s="359">
        <f t="shared" si="141"/>
        <v>0</v>
      </c>
      <c r="BS120" s="359">
        <f t="shared" si="141"/>
        <v>0</v>
      </c>
      <c r="BT120" s="359">
        <f t="shared" si="141"/>
        <v>0</v>
      </c>
      <c r="BU120" s="359">
        <f t="shared" si="141"/>
        <v>0</v>
      </c>
      <c r="BV120" s="359">
        <f t="shared" si="141"/>
        <v>0</v>
      </c>
      <c r="BW120" s="359">
        <f t="shared" si="141"/>
        <v>0</v>
      </c>
      <c r="BX120" s="359">
        <f t="shared" si="141"/>
        <v>0</v>
      </c>
      <c r="BY120" s="947">
        <f t="shared" si="141"/>
        <v>0</v>
      </c>
      <c r="BZ120" s="652"/>
    </row>
    <row r="121" spans="2:78" s="359" customFormat="1" outlineLevel="1">
      <c r="B121" s="358"/>
      <c r="D121" s="366"/>
      <c r="E121" s="359" t="s">
        <v>3518</v>
      </c>
      <c r="F121" s="366"/>
      <c r="G121" s="366"/>
      <c r="N121" s="366"/>
      <c r="O121" s="365"/>
      <c r="P121" s="366"/>
      <c r="Q121" s="366"/>
      <c r="R121" s="1271"/>
      <c r="AC121" s="947"/>
      <c r="AO121" s="947"/>
      <c r="BA121" s="947"/>
      <c r="BM121" s="947"/>
      <c r="BY121" s="947"/>
      <c r="BZ121" s="652"/>
    </row>
    <row r="122" spans="2:78" s="359" customFormat="1" outlineLevel="1">
      <c r="B122" s="358"/>
      <c r="D122" s="366"/>
      <c r="F122" s="366" t="s">
        <v>3925</v>
      </c>
      <c r="G122" s="366"/>
      <c r="I122" s="359">
        <f>IF(I$66=0,0,I88/I$66)</f>
        <v>3.2159821448671315</v>
      </c>
      <c r="J122" s="359">
        <f>IF(J$66=0,0,J88/J$66)</f>
        <v>1.3562500082296725</v>
      </c>
      <c r="K122" s="359">
        <f>IF(K$66=0,0,K88/K$66)</f>
        <v>0.95840295684491583</v>
      </c>
      <c r="L122" s="359">
        <f>IF(L$66=0,0,L88/L$66)</f>
        <v>0.78801812245457237</v>
      </c>
      <c r="M122" s="359">
        <f>IF(M$66=0,0,M88/M$66)</f>
        <v>0.69656335474168407</v>
      </c>
      <c r="N122" s="366"/>
      <c r="O122" s="365"/>
      <c r="P122" s="366"/>
      <c r="Q122" s="366"/>
      <c r="R122" s="1271">
        <f>IF(R$65=0,0,R88/R$65)</f>
        <v>40.064102564102562</v>
      </c>
      <c r="S122" s="359">
        <f t="shared" ref="S122:BY123" si="142">IF(S$65=0,0,S88/S$65)</f>
        <v>36.284470246734401</v>
      </c>
      <c r="T122" s="359">
        <f t="shared" si="142"/>
        <v>33.156498673740053</v>
      </c>
      <c r="U122" s="359">
        <f t="shared" si="142"/>
        <v>30.52503052503053</v>
      </c>
      <c r="V122" s="359">
        <f t="shared" si="142"/>
        <v>28.280542986425338</v>
      </c>
      <c r="W122" s="359">
        <f t="shared" si="142"/>
        <v>26.343519494204429</v>
      </c>
      <c r="X122" s="359">
        <f t="shared" si="142"/>
        <v>24.654832347140044</v>
      </c>
      <c r="Y122" s="359">
        <f t="shared" si="142"/>
        <v>23.169601482854496</v>
      </c>
      <c r="Z122" s="359">
        <f t="shared" si="142"/>
        <v>21.853146853146853</v>
      </c>
      <c r="AA122" s="359">
        <f t="shared" si="142"/>
        <v>20.6782464846981</v>
      </c>
      <c r="AB122" s="359">
        <f t="shared" si="142"/>
        <v>19.623233908948194</v>
      </c>
      <c r="AC122" s="947">
        <f t="shared" si="142"/>
        <v>18.670649738610905</v>
      </c>
      <c r="AD122" s="359">
        <f t="shared" si="142"/>
        <v>17.925513400626524</v>
      </c>
      <c r="AE122" s="359">
        <f t="shared" si="142"/>
        <v>16.786179921773144</v>
      </c>
      <c r="AF122" s="359">
        <f t="shared" si="142"/>
        <v>15.783021759117377</v>
      </c>
      <c r="AG122" s="359">
        <f t="shared" si="142"/>
        <v>14.893001735106999</v>
      </c>
      <c r="AH122" s="359">
        <f t="shared" si="142"/>
        <v>14.098001642485629</v>
      </c>
      <c r="AI122" s="359">
        <f t="shared" si="142"/>
        <v>13.383575883575885</v>
      </c>
      <c r="AJ122" s="359">
        <f t="shared" si="142"/>
        <v>12.738065792728174</v>
      </c>
      <c r="AK122" s="359">
        <f t="shared" si="142"/>
        <v>12.151958470976878</v>
      </c>
      <c r="AL122" s="359">
        <f t="shared" si="142"/>
        <v>11.617414843221297</v>
      </c>
      <c r="AM122" s="359">
        <f t="shared" si="142"/>
        <v>11.127917026793433</v>
      </c>
      <c r="AN122" s="359">
        <f t="shared" si="142"/>
        <v>10.678001244038981</v>
      </c>
      <c r="AO122" s="947">
        <f t="shared" si="142"/>
        <v>10.263053009167001</v>
      </c>
      <c r="AP122" s="359">
        <f t="shared" si="142"/>
        <v>10.247931223234698</v>
      </c>
      <c r="AQ122" s="359">
        <f t="shared" si="142"/>
        <v>9.944072986315069</v>
      </c>
      <c r="AR122" s="359">
        <f t="shared" si="142"/>
        <v>9.657715065999092</v>
      </c>
      <c r="AS122" s="359">
        <f t="shared" si="142"/>
        <v>9.3873879188296403</v>
      </c>
      <c r="AT122" s="359">
        <f t="shared" si="142"/>
        <v>9.1317820560640435</v>
      </c>
      <c r="AU122" s="359">
        <f t="shared" si="142"/>
        <v>8.8897268309033048</v>
      </c>
      <c r="AV122" s="359">
        <f t="shared" si="142"/>
        <v>8.6601725123125952</v>
      </c>
      <c r="AW122" s="359">
        <f t="shared" si="142"/>
        <v>8.4421750663130002</v>
      </c>
      <c r="AX122" s="359">
        <f t="shared" si="142"/>
        <v>8.2348831793836883</v>
      </c>
      <c r="AY122" s="359">
        <f t="shared" si="142"/>
        <v>8.0375271478357533</v>
      </c>
      <c r="AZ122" s="359">
        <f t="shared" si="142"/>
        <v>7.849409327447165</v>
      </c>
      <c r="BA122" s="947">
        <f t="shared" si="142"/>
        <v>7.669895893580108</v>
      </c>
      <c r="BB122" s="359">
        <f t="shared" si="142"/>
        <v>7.8264360406818554</v>
      </c>
      <c r="BC122" s="359">
        <f t="shared" si="142"/>
        <v>7.754236446210621</v>
      </c>
      <c r="BD122" s="359">
        <f t="shared" si="142"/>
        <v>7.6833567711995556</v>
      </c>
      <c r="BE122" s="359">
        <f t="shared" si="142"/>
        <v>7.6137611482720233</v>
      </c>
      <c r="BF122" s="359">
        <f t="shared" si="142"/>
        <v>7.5454149979284679</v>
      </c>
      <c r="BG122" s="359">
        <f t="shared" si="142"/>
        <v>7.4782849712565067</v>
      </c>
      <c r="BH122" s="359">
        <f t="shared" si="142"/>
        <v>7.4123388956722351</v>
      </c>
      <c r="BI122" s="359">
        <f t="shared" si="142"/>
        <v>7.3475457235072685</v>
      </c>
      <c r="BJ122" s="359">
        <f t="shared" si="142"/>
        <v>7.2838754832689032</v>
      </c>
      <c r="BK122" s="359">
        <f t="shared" si="142"/>
        <v>7.2212992334126422</v>
      </c>
      <c r="BL122" s="359">
        <f t="shared" si="142"/>
        <v>7.1597890184772703</v>
      </c>
      <c r="BM122" s="947">
        <f t="shared" si="142"/>
        <v>7.0993178274428352</v>
      </c>
      <c r="BN122" s="359">
        <f t="shared" si="142"/>
        <v>7.2510553408066025</v>
      </c>
      <c r="BO122" s="359">
        <f t="shared" si="142"/>
        <v>7.190830628673659</v>
      </c>
      <c r="BP122" s="359">
        <f t="shared" si="142"/>
        <v>7.1315980864275836</v>
      </c>
      <c r="BQ122" s="359">
        <f t="shared" si="142"/>
        <v>7.0733333961789926</v>
      </c>
      <c r="BR122" s="359">
        <f t="shared" si="142"/>
        <v>7.0160130283007165</v>
      </c>
      <c r="BS122" s="359">
        <f t="shared" si="142"/>
        <v>6.9596142097452462</v>
      </c>
      <c r="BT122" s="359">
        <f t="shared" si="142"/>
        <v>6.9041148938780594</v>
      </c>
      <c r="BU122" s="359">
        <f t="shared" si="142"/>
        <v>6.849493731742947</v>
      </c>
      <c r="BV122" s="359">
        <f t="shared" si="142"/>
        <v>6.7957300446806013</v>
      </c>
      <c r="BW122" s="359">
        <f t="shared" si="142"/>
        <v>6.7428037982267028</v>
      </c>
      <c r="BX122" s="359">
        <f t="shared" si="142"/>
        <v>6.6906955772203149</v>
      </c>
      <c r="BY122" s="947">
        <f t="shared" si="142"/>
        <v>6.6393865620575809</v>
      </c>
      <c r="BZ122" s="652"/>
    </row>
    <row r="123" spans="2:78" s="359" customFormat="1" outlineLevel="1">
      <c r="B123" s="358"/>
      <c r="D123" s="366"/>
      <c r="F123" s="366" t="s">
        <v>3926</v>
      </c>
      <c r="G123" s="366"/>
      <c r="I123" s="359">
        <f t="shared" ref="I123:M127" si="143">IF(I$66=0,0,I90/I$66)</f>
        <v>15.501033938259573</v>
      </c>
      <c r="J123" s="359">
        <f t="shared" si="143"/>
        <v>14.371520329924275</v>
      </c>
      <c r="K123" s="359">
        <f t="shared" si="143"/>
        <v>15.402811279204606</v>
      </c>
      <c r="L123" s="359">
        <f t="shared" si="143"/>
        <v>15.123626435130005</v>
      </c>
      <c r="M123" s="359">
        <f t="shared" si="143"/>
        <v>14.788527305345779</v>
      </c>
      <c r="N123" s="366"/>
      <c r="O123" s="365"/>
      <c r="P123" s="366"/>
      <c r="Q123" s="366"/>
      <c r="R123" s="1271">
        <f>IF(R$65=0,0,R89/R$65)</f>
        <v>2.3704594017094012</v>
      </c>
      <c r="S123" s="359">
        <f t="shared" ref="S123:AG123" si="144">IF(S$65=0,0,S89/S$65)</f>
        <v>2.1468311562651183</v>
      </c>
      <c r="T123" s="359">
        <f t="shared" si="144"/>
        <v>1.961759504862953</v>
      </c>
      <c r="U123" s="359">
        <f t="shared" si="144"/>
        <v>1.806064306064306</v>
      </c>
      <c r="V123" s="359">
        <f t="shared" si="144"/>
        <v>1.6732654600301655</v>
      </c>
      <c r="W123" s="359">
        <f t="shared" si="144"/>
        <v>1.5586582367404285</v>
      </c>
      <c r="X123" s="359">
        <f t="shared" si="144"/>
        <v>1.4587442472057857</v>
      </c>
      <c r="Y123" s="359">
        <f t="shared" si="144"/>
        <v>1.3708680877355575</v>
      </c>
      <c r="Z123" s="359">
        <f t="shared" si="144"/>
        <v>1.2929778554778553</v>
      </c>
      <c r="AA123" s="359">
        <f t="shared" si="144"/>
        <v>1.2234629170113041</v>
      </c>
      <c r="AB123" s="359">
        <f t="shared" si="144"/>
        <v>1.1610413396127679</v>
      </c>
      <c r="AC123" s="947">
        <f t="shared" si="144"/>
        <v>1.1046801095344783</v>
      </c>
      <c r="AD123" s="359">
        <f t="shared" si="144"/>
        <v>1.2813609467455624</v>
      </c>
      <c r="AE123" s="359">
        <f t="shared" si="144"/>
        <v>1.1999185136897004</v>
      </c>
      <c r="AF123" s="359">
        <f t="shared" si="144"/>
        <v>1.1282102359791606</v>
      </c>
      <c r="AG123" s="359">
        <f t="shared" si="144"/>
        <v>1.0645893580104109</v>
      </c>
      <c r="AH123" s="359">
        <f t="shared" si="142"/>
        <v>1.0077607445934851</v>
      </c>
      <c r="AI123" s="359">
        <f t="shared" si="142"/>
        <v>0.95669178794178822</v>
      </c>
      <c r="AJ123" s="359">
        <f t="shared" si="142"/>
        <v>0.91054909720504607</v>
      </c>
      <c r="AK123" s="359">
        <f t="shared" si="142"/>
        <v>0.86865266635205307</v>
      </c>
      <c r="AL123" s="359">
        <f t="shared" si="142"/>
        <v>0.83044213850665483</v>
      </c>
      <c r="AM123" s="359">
        <f t="shared" si="142"/>
        <v>0.79545159896283513</v>
      </c>
      <c r="AN123" s="359">
        <f t="shared" si="142"/>
        <v>0.76329048310180403</v>
      </c>
      <c r="AO123" s="947">
        <f t="shared" si="142"/>
        <v>0.73362893583100852</v>
      </c>
      <c r="AP123" s="359">
        <f t="shared" si="142"/>
        <v>0.7016510931513017</v>
      </c>
      <c r="AQ123" s="359">
        <f t="shared" si="142"/>
        <v>0.68084665375242082</v>
      </c>
      <c r="AR123" s="359">
        <f t="shared" si="142"/>
        <v>0.66124041875284423</v>
      </c>
      <c r="AS123" s="359">
        <f t="shared" si="142"/>
        <v>0.64273177206229304</v>
      </c>
      <c r="AT123" s="359">
        <f t="shared" si="142"/>
        <v>0.62523105615011576</v>
      </c>
      <c r="AU123" s="359">
        <f t="shared" si="142"/>
        <v>0.60865811965811922</v>
      </c>
      <c r="AV123" s="359">
        <f t="shared" si="142"/>
        <v>0.59294109003836593</v>
      </c>
      <c r="AW123" s="359">
        <f t="shared" si="142"/>
        <v>0.5780153315649863</v>
      </c>
      <c r="AX123" s="359">
        <f t="shared" si="142"/>
        <v>0.5638225568578743</v>
      </c>
      <c r="AY123" s="359">
        <f t="shared" si="142"/>
        <v>0.55031006616495748</v>
      </c>
      <c r="AZ123" s="359">
        <f t="shared" si="142"/>
        <v>0.53743009347177328</v>
      </c>
      <c r="BA123" s="947">
        <f t="shared" si="142"/>
        <v>0.52513924233661047</v>
      </c>
      <c r="BB123" s="359">
        <f t="shared" si="142"/>
        <v>0.31479514396218228</v>
      </c>
      <c r="BC123" s="359">
        <f t="shared" si="142"/>
        <v>0.31189112971898875</v>
      </c>
      <c r="BD123" s="359">
        <f t="shared" si="142"/>
        <v>0.30904020531570731</v>
      </c>
      <c r="BE123" s="359">
        <f t="shared" si="142"/>
        <v>0.30624092809364473</v>
      </c>
      <c r="BF123" s="359">
        <f t="shared" si="142"/>
        <v>0.30349190719513802</v>
      </c>
      <c r="BG123" s="359">
        <f t="shared" si="142"/>
        <v>0.30079180125923821</v>
      </c>
      <c r="BH123" s="359">
        <f t="shared" si="142"/>
        <v>0.29813931623931555</v>
      </c>
      <c r="BI123" s="359">
        <f t="shared" si="142"/>
        <v>0.29553320333512573</v>
      </c>
      <c r="BJ123" s="359">
        <f t="shared" si="142"/>
        <v>0.29297225703239499</v>
      </c>
      <c r="BK123" s="359">
        <f t="shared" si="142"/>
        <v>0.29045531324345691</v>
      </c>
      <c r="BL123" s="359">
        <f t="shared" si="142"/>
        <v>0.28798124754291643</v>
      </c>
      <c r="BM123" s="947">
        <f t="shared" si="142"/>
        <v>0.2855489734927229</v>
      </c>
      <c r="BN123" s="359">
        <f t="shared" si="142"/>
        <v>0.19804840448395797</v>
      </c>
      <c r="BO123" s="359">
        <f t="shared" si="142"/>
        <v>0.19640348418093509</v>
      </c>
      <c r="BP123" s="359">
        <f t="shared" si="142"/>
        <v>0.1947856630591811</v>
      </c>
      <c r="BQ123" s="359">
        <f t="shared" si="142"/>
        <v>0.19319427692307672</v>
      </c>
      <c r="BR123" s="359">
        <f t="shared" si="142"/>
        <v>0.19162868310684428</v>
      </c>
      <c r="BS123" s="359">
        <f t="shared" si="142"/>
        <v>0.19008825960920087</v>
      </c>
      <c r="BT123" s="359">
        <f t="shared" si="142"/>
        <v>0.1885724042694146</v>
      </c>
      <c r="BU123" s="359">
        <f t="shared" si="142"/>
        <v>0.18708053398247296</v>
      </c>
      <c r="BV123" s="359">
        <f t="shared" si="142"/>
        <v>0.1856120839512134</v>
      </c>
      <c r="BW123" s="359">
        <f t="shared" si="142"/>
        <v>0.18416650697340023</v>
      </c>
      <c r="BX123" s="359">
        <f t="shared" si="142"/>
        <v>0.18274327276185928</v>
      </c>
      <c r="BY123" s="947">
        <f t="shared" si="142"/>
        <v>0.18134186729589405</v>
      </c>
      <c r="BZ123" s="652"/>
    </row>
    <row r="124" spans="2:78" s="359" customFormat="1" outlineLevel="1">
      <c r="B124" s="358"/>
      <c r="D124" s="366"/>
      <c r="F124" s="366" t="s">
        <v>3695</v>
      </c>
      <c r="G124" s="366"/>
      <c r="H124" s="364"/>
      <c r="I124" s="364">
        <f t="shared" si="143"/>
        <v>2.8139843767587394</v>
      </c>
      <c r="J124" s="364">
        <f t="shared" si="143"/>
        <v>2.6345156409861388</v>
      </c>
      <c r="K124" s="364">
        <f t="shared" si="143"/>
        <v>2.8512487966136235</v>
      </c>
      <c r="L124" s="364">
        <f t="shared" si="143"/>
        <v>2.827015014305776</v>
      </c>
      <c r="M124" s="364">
        <f t="shared" si="143"/>
        <v>2.7914776441272959</v>
      </c>
      <c r="N124" s="366"/>
      <c r="O124" s="365"/>
      <c r="P124" s="366"/>
      <c r="Q124" s="366"/>
      <c r="R124" s="1272">
        <f>IF(R$65=0,0,R91/R$65)</f>
        <v>35.056089743589737</v>
      </c>
      <c r="S124" s="364">
        <f t="shared" ref="S124:BY124" si="145">IF(S$65=0,0,S91/S$65)</f>
        <v>31.748911465892593</v>
      </c>
      <c r="T124" s="364">
        <f t="shared" si="145"/>
        <v>29.011936339522542</v>
      </c>
      <c r="U124" s="364">
        <f t="shared" si="145"/>
        <v>26.709401709401707</v>
      </c>
      <c r="V124" s="364">
        <f t="shared" si="145"/>
        <v>24.745475113122165</v>
      </c>
      <c r="W124" s="364">
        <f t="shared" si="145"/>
        <v>23.050579557428868</v>
      </c>
      <c r="X124" s="364">
        <f t="shared" si="145"/>
        <v>21.572978303747533</v>
      </c>
      <c r="Y124" s="364">
        <f t="shared" si="145"/>
        <v>20.273401297497678</v>
      </c>
      <c r="Z124" s="364">
        <f t="shared" si="145"/>
        <v>19.121503496503493</v>
      </c>
      <c r="AA124" s="364">
        <f t="shared" si="145"/>
        <v>18.093465674110831</v>
      </c>
      <c r="AB124" s="364">
        <f t="shared" si="145"/>
        <v>17.170329670329664</v>
      </c>
      <c r="AC124" s="949">
        <f t="shared" si="145"/>
        <v>16.336818521284538</v>
      </c>
      <c r="AD124" s="364">
        <f t="shared" si="145"/>
        <v>34.820309780717018</v>
      </c>
      <c r="AE124" s="364">
        <f t="shared" si="145"/>
        <v>32.607154498044331</v>
      </c>
      <c r="AF124" s="364">
        <f t="shared" si="145"/>
        <v>30.658519767085505</v>
      </c>
      <c r="AG124" s="364">
        <f t="shared" si="145"/>
        <v>28.929655870445345</v>
      </c>
      <c r="AH124" s="364">
        <f t="shared" si="145"/>
        <v>27.385368190528332</v>
      </c>
      <c r="AI124" s="364">
        <f t="shared" si="145"/>
        <v>25.997596153846157</v>
      </c>
      <c r="AJ124" s="364">
        <f t="shared" si="145"/>
        <v>24.743692802374476</v>
      </c>
      <c r="AK124" s="364">
        <f t="shared" si="145"/>
        <v>23.605179329872584</v>
      </c>
      <c r="AL124" s="364">
        <f t="shared" si="145"/>
        <v>22.566828332957368</v>
      </c>
      <c r="AM124" s="364">
        <f t="shared" si="145"/>
        <v>21.615978824546243</v>
      </c>
      <c r="AN124" s="364">
        <f t="shared" si="145"/>
        <v>20.742017416545721</v>
      </c>
      <c r="AO124" s="949">
        <f t="shared" si="145"/>
        <v>19.935980470306898</v>
      </c>
      <c r="AP124" s="364">
        <f t="shared" si="145"/>
        <v>30.487595389123211</v>
      </c>
      <c r="AQ124" s="364">
        <f t="shared" si="145"/>
        <v>29.583617134287312</v>
      </c>
      <c r="AR124" s="364">
        <f t="shared" si="145"/>
        <v>28.731702321347285</v>
      </c>
      <c r="AS124" s="364">
        <f t="shared" si="145"/>
        <v>27.927479058518163</v>
      </c>
      <c r="AT124" s="364">
        <f t="shared" si="145"/>
        <v>27.167051616790516</v>
      </c>
      <c r="AU124" s="364">
        <f t="shared" si="145"/>
        <v>26.44693732193732</v>
      </c>
      <c r="AV124" s="364">
        <f t="shared" si="145"/>
        <v>25.764013224129954</v>
      </c>
      <c r="AW124" s="364">
        <f t="shared" si="145"/>
        <v>25.115470822281164</v>
      </c>
      <c r="AX124" s="364">
        <f t="shared" si="145"/>
        <v>24.498777458666456</v>
      </c>
      <c r="AY124" s="364">
        <f t="shared" si="145"/>
        <v>23.911643264811353</v>
      </c>
      <c r="AZ124" s="364">
        <f t="shared" si="145"/>
        <v>23.351992749155304</v>
      </c>
      <c r="BA124" s="949">
        <f t="shared" si="145"/>
        <v>22.817940283400809</v>
      </c>
      <c r="BB124" s="364">
        <f t="shared" si="145"/>
        <v>28.077339295946132</v>
      </c>
      <c r="BC124" s="364">
        <f t="shared" si="145"/>
        <v>27.81832325078058</v>
      </c>
      <c r="BD124" s="364">
        <f t="shared" si="145"/>
        <v>27.56404241667838</v>
      </c>
      <c r="BE124" s="364">
        <f t="shared" si="145"/>
        <v>27.314368119425861</v>
      </c>
      <c r="BF124" s="364">
        <f t="shared" si="145"/>
        <v>27.069176305068353</v>
      </c>
      <c r="BG124" s="364">
        <f t="shared" si="145"/>
        <v>26.828347334382695</v>
      </c>
      <c r="BH124" s="364">
        <f t="shared" si="145"/>
        <v>26.591765788224119</v>
      </c>
      <c r="BI124" s="364">
        <f t="shared" si="145"/>
        <v>26.359320283082301</v>
      </c>
      <c r="BJ124" s="364">
        <f t="shared" si="145"/>
        <v>26.130903296227167</v>
      </c>
      <c r="BK124" s="364">
        <f t="shared" si="145"/>
        <v>25.90641099986783</v>
      </c>
      <c r="BL124" s="364">
        <f t="shared" si="145"/>
        <v>25.685743103787186</v>
      </c>
      <c r="BM124" s="949">
        <f t="shared" si="145"/>
        <v>25.468802705951148</v>
      </c>
      <c r="BN124" s="364">
        <f t="shared" si="145"/>
        <v>29.058604278282431</v>
      </c>
      <c r="BO124" s="364">
        <f t="shared" si="145"/>
        <v>28.817253744409655</v>
      </c>
      <c r="BP124" s="364">
        <f t="shared" si="145"/>
        <v>28.579879331358509</v>
      </c>
      <c r="BQ124" s="364">
        <f t="shared" si="145"/>
        <v>28.346383585187283</v>
      </c>
      <c r="BR124" s="364">
        <f t="shared" si="145"/>
        <v>28.116672210915095</v>
      </c>
      <c r="BS124" s="364">
        <f t="shared" si="145"/>
        <v>27.890653945554043</v>
      </c>
      <c r="BT124" s="364">
        <f t="shared" si="145"/>
        <v>27.668240437216294</v>
      </c>
      <c r="BU124" s="364">
        <f t="shared" si="145"/>
        <v>27.449346129959832</v>
      </c>
      <c r="BV124" s="364">
        <f t="shared" si="145"/>
        <v>27.233888154057482</v>
      </c>
      <c r="BW124" s="364">
        <f t="shared" si="145"/>
        <v>27.021786221393484</v>
      </c>
      <c r="BX124" s="364">
        <f t="shared" si="145"/>
        <v>26.812962525710386</v>
      </c>
      <c r="BY124" s="949">
        <f t="shared" si="145"/>
        <v>26.607341647445729</v>
      </c>
      <c r="BZ124" s="652"/>
    </row>
    <row r="125" spans="2:78" s="359" customFormat="1">
      <c r="B125" s="358"/>
      <c r="D125" s="366"/>
      <c r="E125" s="359" t="s">
        <v>3518</v>
      </c>
      <c r="F125" s="366"/>
      <c r="G125" s="366"/>
      <c r="I125" s="359">
        <f t="shared" si="143"/>
        <v>21.721279403456748</v>
      </c>
      <c r="J125" s="359">
        <f t="shared" si="143"/>
        <v>18.459234153272053</v>
      </c>
      <c r="K125" s="359">
        <f t="shared" si="143"/>
        <v>19.278082567738188</v>
      </c>
      <c r="L125" s="359">
        <f t="shared" si="143"/>
        <v>18.770355260325481</v>
      </c>
      <c r="M125" s="359">
        <f t="shared" si="143"/>
        <v>18.295593570820053</v>
      </c>
      <c r="N125" s="366"/>
      <c r="O125" s="365"/>
      <c r="P125" s="366"/>
      <c r="Q125" s="366"/>
      <c r="R125" s="1271">
        <f>IF(R$65=0,0,R92/R$65)</f>
        <v>185.63167735042737</v>
      </c>
      <c r="S125" s="359">
        <f t="shared" ref="S125:BY125" si="146">IF(S$65=0,0,S92/S$65)</f>
        <v>182.11054668601841</v>
      </c>
      <c r="T125" s="359">
        <f t="shared" si="146"/>
        <v>179.196507515473</v>
      </c>
      <c r="U125" s="359">
        <f t="shared" si="146"/>
        <v>176.74501424501426</v>
      </c>
      <c r="V125" s="359">
        <f t="shared" si="146"/>
        <v>174.65403469079939</v>
      </c>
      <c r="W125" s="359">
        <f t="shared" si="146"/>
        <v>172.84949069195642</v>
      </c>
      <c r="X125" s="359">
        <f t="shared" si="146"/>
        <v>171.27629848783695</v>
      </c>
      <c r="Y125" s="359">
        <f t="shared" si="146"/>
        <v>169.89264751312939</v>
      </c>
      <c r="Z125" s="359">
        <f t="shared" si="146"/>
        <v>168.66622960372959</v>
      </c>
      <c r="AA125" s="359">
        <f t="shared" si="146"/>
        <v>167.57168458781362</v>
      </c>
      <c r="AB125" s="359">
        <f t="shared" si="146"/>
        <v>166.58882783882785</v>
      </c>
      <c r="AC125" s="947">
        <f t="shared" si="146"/>
        <v>165.70139407518047</v>
      </c>
      <c r="AD125" s="359">
        <f t="shared" si="146"/>
        <v>187.50410720501219</v>
      </c>
      <c r="AE125" s="359">
        <f t="shared" si="146"/>
        <v>185.20133637548892</v>
      </c>
      <c r="AF125" s="359">
        <f t="shared" si="146"/>
        <v>183.17379711921544</v>
      </c>
      <c r="AG125" s="359">
        <f t="shared" si="146"/>
        <v>181.37492770387507</v>
      </c>
      <c r="AH125" s="359">
        <f t="shared" si="146"/>
        <v>179.76810840405145</v>
      </c>
      <c r="AI125" s="359">
        <f t="shared" si="146"/>
        <v>178.32414241164244</v>
      </c>
      <c r="AJ125" s="359">
        <f t="shared" si="146"/>
        <v>177.01946574325999</v>
      </c>
      <c r="AK125" s="359">
        <f t="shared" si="146"/>
        <v>175.83485134497406</v>
      </c>
      <c r="AL125" s="359">
        <f t="shared" si="146"/>
        <v>174.75445522219718</v>
      </c>
      <c r="AM125" s="359">
        <f t="shared" si="146"/>
        <v>173.76510371650824</v>
      </c>
      <c r="AN125" s="359">
        <f t="shared" si="146"/>
        <v>172.85575368028199</v>
      </c>
      <c r="AO125" s="947">
        <f t="shared" si="146"/>
        <v>172.01707851733761</v>
      </c>
      <c r="AP125" s="359">
        <f t="shared" si="146"/>
        <v>184.8212284509128</v>
      </c>
      <c r="AQ125" s="359">
        <f t="shared" si="146"/>
        <v>183.10149234518528</v>
      </c>
      <c r="AR125" s="359">
        <f t="shared" si="146"/>
        <v>181.48080218479748</v>
      </c>
      <c r="AS125" s="359">
        <f t="shared" si="146"/>
        <v>179.95084084473808</v>
      </c>
      <c r="AT125" s="359">
        <f t="shared" si="146"/>
        <v>178.50419705620752</v>
      </c>
      <c r="AU125" s="359">
        <f t="shared" si="146"/>
        <v>177.13424534942186</v>
      </c>
      <c r="AV125" s="359">
        <f t="shared" si="146"/>
        <v>175.83504459742593</v>
      </c>
      <c r="AW125" s="359">
        <f t="shared" si="146"/>
        <v>174.60125188328914</v>
      </c>
      <c r="AX125" s="359">
        <f t="shared" si="146"/>
        <v>173.42804905689667</v>
      </c>
      <c r="AY125" s="359">
        <f t="shared" si="146"/>
        <v>172.31107985251779</v>
      </c>
      <c r="AZ125" s="359">
        <f t="shared" si="146"/>
        <v>171.24639583692999</v>
      </c>
      <c r="BA125" s="947">
        <f t="shared" si="146"/>
        <v>170.23040977443608</v>
      </c>
      <c r="BB125" s="359">
        <f t="shared" si="146"/>
        <v>178.36358933748744</v>
      </c>
      <c r="BC125" s="359">
        <f t="shared" si="146"/>
        <v>178.17006277107575</v>
      </c>
      <c r="BD125" s="359">
        <f t="shared" si="146"/>
        <v>177.98007416748698</v>
      </c>
      <c r="BE125" s="359">
        <f t="shared" si="146"/>
        <v>177.79352738642697</v>
      </c>
      <c r="BF125" s="359">
        <f t="shared" si="146"/>
        <v>177.61032973967681</v>
      </c>
      <c r="BG125" s="359">
        <f t="shared" si="146"/>
        <v>177.43039183753075</v>
      </c>
      <c r="BH125" s="359">
        <f t="shared" si="146"/>
        <v>177.25362744335908</v>
      </c>
      <c r="BI125" s="359">
        <f t="shared" si="146"/>
        <v>177.07995333579882</v>
      </c>
      <c r="BJ125" s="359">
        <f t="shared" si="146"/>
        <v>176.90928917810956</v>
      </c>
      <c r="BK125" s="359">
        <f t="shared" si="146"/>
        <v>176.74155739426379</v>
      </c>
      <c r="BL125" s="359">
        <f t="shared" si="146"/>
        <v>176.57668305136943</v>
      </c>
      <c r="BM125" s="947">
        <f t="shared" si="146"/>
        <v>176.41459374805095</v>
      </c>
      <c r="BN125" s="359">
        <f t="shared" si="146"/>
        <v>183.05794851340673</v>
      </c>
      <c r="BO125" s="359">
        <f t="shared" si="146"/>
        <v>182.87086435406977</v>
      </c>
      <c r="BP125" s="359">
        <f t="shared" si="146"/>
        <v>182.68686230608924</v>
      </c>
      <c r="BQ125" s="359">
        <f t="shared" si="146"/>
        <v>182.50586682752015</v>
      </c>
      <c r="BR125" s="359">
        <f t="shared" si="146"/>
        <v>182.32780482510285</v>
      </c>
      <c r="BS125" s="359">
        <f t="shared" si="146"/>
        <v>182.15260555584342</v>
      </c>
      <c r="BT125" s="359">
        <f t="shared" si="146"/>
        <v>181.98020053330268</v>
      </c>
      <c r="BU125" s="359">
        <f t="shared" si="146"/>
        <v>181.81052343833372</v>
      </c>
      <c r="BV125" s="359">
        <f t="shared" si="146"/>
        <v>181.64351003402365</v>
      </c>
      <c r="BW125" s="359">
        <f t="shared" si="146"/>
        <v>181.47909808460938</v>
      </c>
      <c r="BX125" s="359">
        <f t="shared" si="146"/>
        <v>181.31722727815364</v>
      </c>
      <c r="BY125" s="947">
        <f t="shared" si="146"/>
        <v>181.15783915277842</v>
      </c>
      <c r="BZ125" s="652"/>
    </row>
    <row r="126" spans="2:78" s="359" customFormat="1">
      <c r="B126" s="358"/>
      <c r="D126" s="366"/>
      <c r="E126" s="359" t="s">
        <v>1699</v>
      </c>
      <c r="F126" s="366"/>
      <c r="G126" s="366"/>
      <c r="H126" s="364"/>
      <c r="I126" s="364">
        <f t="shared" si="143"/>
        <v>27.862846739556584</v>
      </c>
      <c r="J126" s="364">
        <f t="shared" si="143"/>
        <v>26.676689420396819</v>
      </c>
      <c r="K126" s="364">
        <f t="shared" si="143"/>
        <v>26.288034335469632</v>
      </c>
      <c r="L126" s="364">
        <f t="shared" si="143"/>
        <v>26.204321471839151</v>
      </c>
      <c r="M126" s="364">
        <f t="shared" si="143"/>
        <v>27.161899559554946</v>
      </c>
      <c r="N126" s="366"/>
      <c r="O126" s="365"/>
      <c r="P126" s="366"/>
      <c r="Q126" s="366"/>
      <c r="R126" s="1272">
        <f>IF(R$66=0,0,R93/R$66)</f>
        <v>36.527634667204623</v>
      </c>
      <c r="S126" s="364">
        <f t="shared" ref="S126:BY126" si="147">IF(S$66=0,0,S93/S$66)</f>
        <v>32.798183460816276</v>
      </c>
      <c r="T126" s="364">
        <f t="shared" si="147"/>
        <v>30.806915828682101</v>
      </c>
      <c r="U126" s="364">
        <f t="shared" si="147"/>
        <v>29.568318921819035</v>
      </c>
      <c r="V126" s="364">
        <f t="shared" si="147"/>
        <v>28.723477063528978</v>
      </c>
      <c r="W126" s="364">
        <f t="shared" si="147"/>
        <v>28.110377923694113</v>
      </c>
      <c r="X126" s="364">
        <f t="shared" si="147"/>
        <v>27.645170224048847</v>
      </c>
      <c r="Y126" s="364">
        <f t="shared" si="147"/>
        <v>27.280101890404907</v>
      </c>
      <c r="Z126" s="364">
        <f t="shared" si="147"/>
        <v>26.985981191393304</v>
      </c>
      <c r="AA126" s="364">
        <f t="shared" si="147"/>
        <v>26.743957800595727</v>
      </c>
      <c r="AB126" s="364">
        <f t="shared" si="147"/>
        <v>26.541315965411052</v>
      </c>
      <c r="AC126" s="949">
        <f t="shared" si="147"/>
        <v>26.369166750264458</v>
      </c>
      <c r="AD126" s="364">
        <f t="shared" si="147"/>
        <v>26.559892617180203</v>
      </c>
      <c r="AE126" s="364">
        <f t="shared" si="147"/>
        <v>26.586730908375294</v>
      </c>
      <c r="AF126" s="364">
        <f t="shared" si="147"/>
        <v>26.610596551957737</v>
      </c>
      <c r="AG126" s="364">
        <f t="shared" si="147"/>
        <v>26.631957513714287</v>
      </c>
      <c r="AH126" s="364">
        <f t="shared" si="147"/>
        <v>26.651188431449778</v>
      </c>
      <c r="AI126" s="364">
        <f t="shared" si="147"/>
        <v>26.66859277596701</v>
      </c>
      <c r="AJ126" s="364">
        <f t="shared" si="147"/>
        <v>26.684418983714352</v>
      </c>
      <c r="AK126" s="364">
        <f t="shared" si="147"/>
        <v>26.698872391289001</v>
      </c>
      <c r="AL126" s="364">
        <f t="shared" si="147"/>
        <v>26.712124193362314</v>
      </c>
      <c r="AM126" s="364">
        <f t="shared" si="147"/>
        <v>26.724318255578801</v>
      </c>
      <c r="AN126" s="364">
        <f t="shared" si="147"/>
        <v>26.735576358676514</v>
      </c>
      <c r="AO126" s="949">
        <f t="shared" si="147"/>
        <v>26.746002279694839</v>
      </c>
      <c r="AP126" s="364">
        <f t="shared" si="147"/>
        <v>26.834215721973262</v>
      </c>
      <c r="AQ126" s="364">
        <f t="shared" si="147"/>
        <v>26.724346246492861</v>
      </c>
      <c r="AR126" s="364">
        <f t="shared" si="147"/>
        <v>26.619551260085011</v>
      </c>
      <c r="AS126" s="364">
        <f t="shared" si="147"/>
        <v>26.519487138640638</v>
      </c>
      <c r="AT126" s="364">
        <f t="shared" si="147"/>
        <v>26.42384059834373</v>
      </c>
      <c r="AU126" s="364">
        <f t="shared" si="147"/>
        <v>26.332325419371156</v>
      </c>
      <c r="AV126" s="364">
        <f t="shared" si="147"/>
        <v>26.244679585167155</v>
      </c>
      <c r="AW126" s="364">
        <f t="shared" si="147"/>
        <v>26.160662777067991</v>
      </c>
      <c r="AX126" s="364">
        <f t="shared" si="147"/>
        <v>26.080054173823662</v>
      </c>
      <c r="AY126" s="364">
        <f t="shared" si="147"/>
        <v>26.002650513588367</v>
      </c>
      <c r="AZ126" s="364">
        <f t="shared" si="147"/>
        <v>25.928264382566773</v>
      </c>
      <c r="BA126" s="949">
        <f t="shared" si="147"/>
        <v>25.856722699981539</v>
      </c>
      <c r="BB126" s="364">
        <f t="shared" si="147"/>
        <v>26.067717988862473</v>
      </c>
      <c r="BC126" s="364">
        <f t="shared" si="147"/>
        <v>26.094560481793931</v>
      </c>
      <c r="BD126" s="364">
        <f t="shared" si="147"/>
        <v>26.120456651879884</v>
      </c>
      <c r="BE126" s="364">
        <f t="shared" si="147"/>
        <v>26.145455675697811</v>
      </c>
      <c r="BF126" s="364">
        <f t="shared" si="147"/>
        <v>26.169603380497904</v>
      </c>
      <c r="BG126" s="364">
        <f t="shared" si="147"/>
        <v>26.192942524574988</v>
      </c>
      <c r="BH126" s="364">
        <f t="shared" si="147"/>
        <v>26.215513049940167</v>
      </c>
      <c r="BI126" s="364">
        <f t="shared" si="147"/>
        <v>26.237352310433558</v>
      </c>
      <c r="BJ126" s="364">
        <f t="shared" si="147"/>
        <v>26.258495278018469</v>
      </c>
      <c r="BK126" s="364">
        <f t="shared" si="147"/>
        <v>26.278974729653623</v>
      </c>
      <c r="BL126" s="364">
        <f t="shared" si="147"/>
        <v>26.298821416843683</v>
      </c>
      <c r="BM126" s="949">
        <f t="shared" si="147"/>
        <v>26.318064219712838</v>
      </c>
      <c r="BN126" s="364">
        <f t="shared" si="147"/>
        <v>26.916983813853264</v>
      </c>
      <c r="BO126" s="364">
        <f t="shared" si="147"/>
        <v>26.963559388830468</v>
      </c>
      <c r="BP126" s="364">
        <f t="shared" si="147"/>
        <v>27.009193729583629</v>
      </c>
      <c r="BQ126" s="364">
        <f t="shared" si="147"/>
        <v>27.053915082453983</v>
      </c>
      <c r="BR126" s="364">
        <f t="shared" si="147"/>
        <v>27.097750574750471</v>
      </c>
      <c r="BS126" s="364">
        <f t="shared" si="147"/>
        <v>27.140726269621958</v>
      </c>
      <c r="BT126" s="364">
        <f t="shared" si="147"/>
        <v>27.182867217731971</v>
      </c>
      <c r="BU126" s="364">
        <f t="shared" si="147"/>
        <v>27.224197505951466</v>
      </c>
      <c r="BV126" s="364">
        <f t="shared" si="147"/>
        <v>27.264740303267974</v>
      </c>
      <c r="BW126" s="364">
        <f t="shared" si="147"/>
        <v>27.304517904095601</v>
      </c>
      <c r="BX126" s="364">
        <f t="shared" si="147"/>
        <v>27.343551769155425</v>
      </c>
      <c r="BY126" s="949">
        <f t="shared" si="147"/>
        <v>27.381862564084258</v>
      </c>
      <c r="BZ126" s="652"/>
    </row>
    <row r="127" spans="2:78" s="359" customFormat="1">
      <c r="B127" s="358"/>
      <c r="D127" s="366"/>
      <c r="E127" s="359" t="s">
        <v>3513</v>
      </c>
      <c r="F127" s="366"/>
      <c r="G127" s="366"/>
      <c r="I127" s="359">
        <f t="shared" si="143"/>
        <v>435.65013619571744</v>
      </c>
      <c r="J127" s="359">
        <f t="shared" si="143"/>
        <v>295.99339601127923</v>
      </c>
      <c r="K127" s="359">
        <f t="shared" si="143"/>
        <v>274.89938941302199</v>
      </c>
      <c r="L127" s="359">
        <f t="shared" si="143"/>
        <v>269.11129267095345</v>
      </c>
      <c r="M127" s="359">
        <f t="shared" si="143"/>
        <v>267.74188849108879</v>
      </c>
      <c r="N127" s="366"/>
      <c r="O127" s="365"/>
      <c r="P127" s="366"/>
      <c r="Q127" s="366"/>
      <c r="R127" s="1271">
        <f>IF(R$66=0,0,R94/R$66)</f>
        <v>1224.4016111170172</v>
      </c>
      <c r="S127" s="359">
        <f t="shared" ref="S127:BY127" si="148">IF(S$66=0,0,S94/S$66)</f>
        <v>880.48615719119766</v>
      </c>
      <c r="T127" s="359">
        <f t="shared" si="148"/>
        <v>696.8592175438456</v>
      </c>
      <c r="U127" s="359">
        <f t="shared" si="148"/>
        <v>582.6406384871575</v>
      </c>
      <c r="V127" s="359">
        <f t="shared" si="148"/>
        <v>504.73261526603216</v>
      </c>
      <c r="W127" s="359">
        <f t="shared" si="148"/>
        <v>448.19500227443308</v>
      </c>
      <c r="X127" s="359">
        <f t="shared" si="148"/>
        <v>421.25779142301263</v>
      </c>
      <c r="Y127" s="359">
        <f t="shared" si="148"/>
        <v>385.8745976210954</v>
      </c>
      <c r="Z127" s="359">
        <f t="shared" si="148"/>
        <v>357.36779838598738</v>
      </c>
      <c r="AA127" s="359">
        <f t="shared" si="148"/>
        <v>338.84567115585543</v>
      </c>
      <c r="AB127" s="359">
        <f t="shared" si="148"/>
        <v>318.80366631179658</v>
      </c>
      <c r="AC127" s="947">
        <f t="shared" si="148"/>
        <v>301.77749103695953</v>
      </c>
      <c r="AD127" s="359">
        <f t="shared" si="148"/>
        <v>362.91744119794868</v>
      </c>
      <c r="AE127" s="359">
        <f t="shared" si="148"/>
        <v>347.53922053430273</v>
      </c>
      <c r="AF127" s="359">
        <f t="shared" si="148"/>
        <v>333.86431364016175</v>
      </c>
      <c r="AG127" s="359">
        <f t="shared" si="148"/>
        <v>321.62457821543148</v>
      </c>
      <c r="AH127" s="359">
        <f t="shared" si="148"/>
        <v>310.60534847569295</v>
      </c>
      <c r="AI127" s="359">
        <f t="shared" si="148"/>
        <v>300.63273700998678</v>
      </c>
      <c r="AJ127" s="359">
        <f t="shared" si="148"/>
        <v>291.56439084598571</v>
      </c>
      <c r="AK127" s="359">
        <f t="shared" si="148"/>
        <v>283.28265303306478</v>
      </c>
      <c r="AL127" s="359">
        <f t="shared" si="148"/>
        <v>275.68942979120914</v>
      </c>
      <c r="AM127" s="359">
        <f t="shared" si="148"/>
        <v>268.70228675038521</v>
      </c>
      <c r="AN127" s="359">
        <f t="shared" si="148"/>
        <v>262.25144409307256</v>
      </c>
      <c r="AO127" s="947">
        <f t="shared" si="148"/>
        <v>256.27743804045463</v>
      </c>
      <c r="AP127" s="359">
        <f t="shared" si="148"/>
        <v>298.77112409522766</v>
      </c>
      <c r="AQ127" s="359">
        <f t="shared" si="148"/>
        <v>293.96910221540662</v>
      </c>
      <c r="AR127" s="359">
        <f t="shared" si="148"/>
        <v>289.38886903029635</v>
      </c>
      <c r="AS127" s="359">
        <f t="shared" si="148"/>
        <v>285.01540589633765</v>
      </c>
      <c r="AT127" s="359">
        <f t="shared" si="148"/>
        <v>280.83502024120827</v>
      </c>
      <c r="AU127" s="359">
        <f t="shared" si="148"/>
        <v>276.8352023678587</v>
      </c>
      <c r="AV127" s="359">
        <f t="shared" si="148"/>
        <v>273.00450042191386</v>
      </c>
      <c r="AW127" s="359">
        <f t="shared" si="148"/>
        <v>269.33241089021408</v>
      </c>
      <c r="AX127" s="359">
        <f t="shared" si="148"/>
        <v>265.80928242538329</v>
      </c>
      <c r="AY127" s="359">
        <f t="shared" si="148"/>
        <v>262.42623114200484</v>
      </c>
      <c r="AZ127" s="359">
        <f t="shared" si="148"/>
        <v>259.17506581916115</v>
      </c>
      <c r="BA127" s="947">
        <f t="shared" si="148"/>
        <v>256.0482216835054</v>
      </c>
      <c r="BB127" s="359">
        <f t="shared" si="148"/>
        <v>286.18577911348973</v>
      </c>
      <c r="BC127" s="359">
        <f t="shared" si="148"/>
        <v>282.83065396107952</v>
      </c>
      <c r="BD127" s="359">
        <f t="shared" si="148"/>
        <v>279.59381259063019</v>
      </c>
      <c r="BE127" s="359">
        <f t="shared" si="148"/>
        <v>276.46910827157103</v>
      </c>
      <c r="BF127" s="359">
        <f t="shared" si="148"/>
        <v>273.45081291596875</v>
      </c>
      <c r="BG127" s="359">
        <f t="shared" si="148"/>
        <v>270.53358203399654</v>
      </c>
      <c r="BH127" s="359">
        <f t="shared" si="148"/>
        <v>267.7124231517264</v>
      </c>
      <c r="BI127" s="359">
        <f t="shared" si="148"/>
        <v>264.98266729862632</v>
      </c>
      <c r="BJ127" s="359">
        <f t="shared" si="148"/>
        <v>262.33994322221906</v>
      </c>
      <c r="BK127" s="359">
        <f t="shared" si="148"/>
        <v>259.78015403035312</v>
      </c>
      <c r="BL127" s="359">
        <f t="shared" si="148"/>
        <v>257.29945599856268</v>
      </c>
      <c r="BM127" s="947">
        <f t="shared" si="148"/>
        <v>254.89423931194273</v>
      </c>
      <c r="BN127" s="359">
        <f t="shared" si="148"/>
        <v>276.86142767822787</v>
      </c>
      <c r="BO127" s="359">
        <f t="shared" si="148"/>
        <v>275.12716686150799</v>
      </c>
      <c r="BP127" s="359">
        <f t="shared" si="148"/>
        <v>273.42795329079485</v>
      </c>
      <c r="BQ127" s="359">
        <f t="shared" si="148"/>
        <v>271.76273520187743</v>
      </c>
      <c r="BR127" s="359">
        <f t="shared" si="148"/>
        <v>270.13050249817724</v>
      </c>
      <c r="BS127" s="359">
        <f t="shared" si="148"/>
        <v>268.53028470755675</v>
      </c>
      <c r="BT127" s="359">
        <f t="shared" si="148"/>
        <v>266.96114905818672</v>
      </c>
      <c r="BU127" s="359">
        <f t="shared" si="148"/>
        <v>265.42219866545668</v>
      </c>
      <c r="BV127" s="359">
        <f t="shared" si="148"/>
        <v>263.91257082252241</v>
      </c>
      <c r="BW127" s="359">
        <f t="shared" si="148"/>
        <v>262.43143538764622</v>
      </c>
      <c r="BX127" s="359">
        <f t="shared" si="148"/>
        <v>260.97799326199316</v>
      </c>
      <c r="BY127" s="947">
        <f t="shared" si="148"/>
        <v>259.55147495202107</v>
      </c>
      <c r="BZ127" s="652"/>
    </row>
    <row r="128" spans="2:78" s="359" customFormat="1">
      <c r="B128" s="358"/>
      <c r="D128" s="366"/>
      <c r="F128" s="366"/>
      <c r="G128" s="366"/>
      <c r="N128" s="366"/>
      <c r="O128" s="365"/>
      <c r="P128" s="366"/>
      <c r="Q128" s="366"/>
      <c r="R128" s="1271"/>
      <c r="AC128" s="947"/>
      <c r="AO128" s="947"/>
      <c r="BA128" s="947"/>
      <c r="BM128" s="947"/>
      <c r="BY128" s="947"/>
      <c r="BZ128" s="652"/>
    </row>
    <row r="129" spans="2:78" s="359" customFormat="1">
      <c r="B129" s="358"/>
      <c r="D129" s="366"/>
      <c r="E129" s="359" t="s">
        <v>3528</v>
      </c>
      <c r="F129" s="366"/>
      <c r="G129" s="366"/>
      <c r="I129" s="359">
        <f t="shared" ref="I129:M132" si="149">IF(I$66=0,0,I96/I$66)</f>
        <v>-87.36455195126014</v>
      </c>
      <c r="J129" s="359">
        <f t="shared" si="149"/>
        <v>37.465221743681028</v>
      </c>
      <c r="K129" s="359">
        <f t="shared" si="149"/>
        <v>53.701039780348417</v>
      </c>
      <c r="L129" s="359">
        <f t="shared" si="149"/>
        <v>58.442725727035956</v>
      </c>
      <c r="M129" s="359">
        <f t="shared" si="149"/>
        <v>71.781856003348011</v>
      </c>
      <c r="N129" s="366"/>
      <c r="O129" s="365"/>
      <c r="P129" s="366"/>
      <c r="Q129" s="366"/>
      <c r="R129" s="1271">
        <f>IF(R$66=0,0,R96/R$66)</f>
        <v>-767.80617777695943</v>
      </c>
      <c r="S129" s="359">
        <f t="shared" ref="S129:BY129" si="150">IF(S$66=0,0,S96/S$66)</f>
        <v>-470.50886393099421</v>
      </c>
      <c r="T129" s="359">
        <f t="shared" si="150"/>
        <v>-311.77276968531936</v>
      </c>
      <c r="U129" s="359">
        <f t="shared" si="150"/>
        <v>-213.03665196441952</v>
      </c>
      <c r="V129" s="359">
        <f t="shared" si="150"/>
        <v>-145.68915197191996</v>
      </c>
      <c r="W129" s="359">
        <f t="shared" si="150"/>
        <v>-96.815278228256673</v>
      </c>
      <c r="X129" s="359">
        <f t="shared" si="150"/>
        <v>-75.693163622402054</v>
      </c>
      <c r="Y129" s="359">
        <f t="shared" si="150"/>
        <v>-44.873323991034056</v>
      </c>
      <c r="Z129" s="359">
        <f t="shared" si="150"/>
        <v>-20.043033493571123</v>
      </c>
      <c r="AA129" s="359">
        <f t="shared" si="150"/>
        <v>-4.5461986484088266</v>
      </c>
      <c r="AB129" s="359">
        <f t="shared" si="150"/>
        <v>12.962783255841563</v>
      </c>
      <c r="AC129" s="947">
        <f t="shared" si="150"/>
        <v>27.837093341346144</v>
      </c>
      <c r="AD129" s="359">
        <f t="shared" si="150"/>
        <v>-30.918783483196119</v>
      </c>
      <c r="AE129" s="359">
        <f t="shared" si="150"/>
        <v>-15.20508417961153</v>
      </c>
      <c r="AF129" s="359">
        <f t="shared" si="150"/>
        <v>-1.2318567406900207</v>
      </c>
      <c r="AG129" s="359">
        <f t="shared" si="150"/>
        <v>11.274890705997066</v>
      </c>
      <c r="AH129" s="359">
        <f t="shared" si="150"/>
        <v>22.534506917429272</v>
      </c>
      <c r="AI129" s="359">
        <f t="shared" si="150"/>
        <v>32.724672689600858</v>
      </c>
      <c r="AJ129" s="359">
        <f t="shared" si="150"/>
        <v>41.990846450443641</v>
      </c>
      <c r="AK129" s="359">
        <f t="shared" si="150"/>
        <v>50.453251858047771</v>
      </c>
      <c r="AL129" s="359">
        <f t="shared" si="150"/>
        <v>58.212122625819781</v>
      </c>
      <c r="AM129" s="359">
        <f t="shared" si="150"/>
        <v>65.351691444349811</v>
      </c>
      <c r="AN129" s="359">
        <f t="shared" si="150"/>
        <v>71.943260390383855</v>
      </c>
      <c r="AO129" s="947">
        <f t="shared" si="150"/>
        <v>78.047590455730841</v>
      </c>
      <c r="AP129" s="359">
        <f t="shared" si="150"/>
        <v>36.656572429438114</v>
      </c>
      <c r="AQ129" s="359">
        <f t="shared" si="150"/>
        <v>40.085225865754147</v>
      </c>
      <c r="AR129" s="359">
        <f t="shared" si="150"/>
        <v>43.355521720766255</v>
      </c>
      <c r="AS129" s="359">
        <f t="shared" si="150"/>
        <v>46.478183336670284</v>
      </c>
      <c r="AT129" s="359">
        <f t="shared" si="150"/>
        <v>49.462987238088367</v>
      </c>
      <c r="AU129" s="359">
        <f t="shared" si="150"/>
        <v>52.318865374280719</v>
      </c>
      <c r="AV129" s="359">
        <f t="shared" si="150"/>
        <v>55.053994392675627</v>
      </c>
      <c r="AW129" s="359">
        <f t="shared" si="150"/>
        <v>57.675873823135781</v>
      </c>
      <c r="AX129" s="359">
        <f t="shared" si="150"/>
        <v>60.191394747412524</v>
      </c>
      <c r="AY129" s="359">
        <f t="shared" si="150"/>
        <v>62.606900277849768</v>
      </c>
      <c r="AZ129" s="359">
        <f t="shared" si="150"/>
        <v>64.928238962923501</v>
      </c>
      <c r="BA129" s="947">
        <f t="shared" si="150"/>
        <v>67.160812066263816</v>
      </c>
      <c r="BB129" s="359">
        <f t="shared" si="150"/>
        <v>39.660695747291172</v>
      </c>
      <c r="BC129" s="359">
        <f t="shared" si="150"/>
        <v>43.351352061344613</v>
      </c>
      <c r="BD129" s="359">
        <f t="shared" si="150"/>
        <v>46.91189555786837</v>
      </c>
      <c r="BE129" s="359">
        <f t="shared" si="150"/>
        <v>50.349087674651621</v>
      </c>
      <c r="BF129" s="359">
        <f t="shared" si="150"/>
        <v>53.669229340255015</v>
      </c>
      <c r="BG129" s="359">
        <f t="shared" si="150"/>
        <v>56.87819952319078</v>
      </c>
      <c r="BH129" s="359">
        <f t="shared" si="150"/>
        <v>59.981489972525686</v>
      </c>
      <c r="BI129" s="359">
        <f t="shared" si="150"/>
        <v>62.984236581793148</v>
      </c>
      <c r="BJ129" s="359">
        <f t="shared" si="150"/>
        <v>65.891247753011797</v>
      </c>
      <c r="BK129" s="359">
        <f t="shared" si="150"/>
        <v>68.707030090317147</v>
      </c>
      <c r="BL129" s="359">
        <f t="shared" si="150"/>
        <v>71.435811711983376</v>
      </c>
      <c r="BM129" s="947">
        <f t="shared" si="150"/>
        <v>74.081563434467768</v>
      </c>
      <c r="BN129" s="359">
        <f t="shared" si="150"/>
        <v>59.600869994937938</v>
      </c>
      <c r="BO129" s="359">
        <f t="shared" si="150"/>
        <v>61.917325498872856</v>
      </c>
      <c r="BP129" s="359">
        <f t="shared" si="150"/>
        <v>64.186968329000464</v>
      </c>
      <c r="BQ129" s="359">
        <f t="shared" si="150"/>
        <v>66.41120332879737</v>
      </c>
      <c r="BR129" s="359">
        <f t="shared" si="150"/>
        <v>68.591379686203709</v>
      </c>
      <c r="BS129" s="359">
        <f t="shared" si="150"/>
        <v>70.728793662717649</v>
      </c>
      <c r="BT129" s="359">
        <f t="shared" si="150"/>
        <v>72.824691163462887</v>
      </c>
      <c r="BU129" s="359">
        <f t="shared" si="150"/>
        <v>74.880270158936611</v>
      </c>
      <c r="BV129" s="359">
        <f t="shared" si="150"/>
        <v>76.896682968327255</v>
      </c>
      <c r="BW129" s="359">
        <f t="shared" si="150"/>
        <v>78.875038413548793</v>
      </c>
      <c r="BX129" s="359">
        <f t="shared" si="150"/>
        <v>80.816403852449625</v>
      </c>
      <c r="BY129" s="947">
        <f t="shared" si="150"/>
        <v>82.721807099032219</v>
      </c>
      <c r="BZ129" s="652"/>
    </row>
    <row r="130" spans="2:78" s="359" customFormat="1">
      <c r="B130" s="358"/>
      <c r="D130" s="366"/>
      <c r="E130" s="359" t="s">
        <v>3927</v>
      </c>
      <c r="F130" s="366"/>
      <c r="G130" s="366"/>
      <c r="H130" s="366"/>
      <c r="I130" s="366">
        <f t="shared" si="149"/>
        <v>50.7845447402076</v>
      </c>
      <c r="J130" s="366">
        <f t="shared" si="149"/>
        <v>22.51805588552623</v>
      </c>
      <c r="K130" s="366">
        <f t="shared" si="149"/>
        <v>16.632059434757817</v>
      </c>
      <c r="L130" s="366">
        <f t="shared" si="149"/>
        <v>14.056710575149182</v>
      </c>
      <c r="M130" s="366">
        <f t="shared" si="149"/>
        <v>12.675334523159322</v>
      </c>
      <c r="N130" s="366"/>
      <c r="O130" s="365"/>
      <c r="P130" s="366"/>
      <c r="Q130" s="366"/>
      <c r="R130" s="1271">
        <f>IF(R$66=0,0,R97/R$66)</f>
        <v>172.69199966463262</v>
      </c>
      <c r="S130" s="366">
        <f t="shared" ref="S130:BY130" si="151">IF(S$66=0,0,S97/S$66)</f>
        <v>120.22125154800335</v>
      </c>
      <c r="T130" s="366">
        <f t="shared" si="151"/>
        <v>92.205520391758441</v>
      </c>
      <c r="U130" s="366">
        <f t="shared" si="151"/>
        <v>74.779335486396576</v>
      </c>
      <c r="V130" s="366">
        <f t="shared" si="151"/>
        <v>62.89300640162709</v>
      </c>
      <c r="W130" s="366">
        <f t="shared" si="151"/>
        <v>54.26713391891645</v>
      </c>
      <c r="X130" s="366">
        <f t="shared" si="151"/>
        <v>47.721989692819427</v>
      </c>
      <c r="Y130" s="366">
        <f t="shared" si="151"/>
        <v>42.585735718728991</v>
      </c>
      <c r="Z130" s="366">
        <f t="shared" si="151"/>
        <v>38.447664925018216</v>
      </c>
      <c r="AA130" s="366">
        <f t="shared" si="151"/>
        <v>35.042566513992199</v>
      </c>
      <c r="AB130" s="366">
        <f t="shared" si="151"/>
        <v>32.1915388148891</v>
      </c>
      <c r="AC130" s="947">
        <f t="shared" si="151"/>
        <v>29.769520773478714</v>
      </c>
      <c r="AD130" s="366">
        <f t="shared" si="151"/>
        <v>30.231242974136059</v>
      </c>
      <c r="AE130" s="366">
        <f t="shared" si="151"/>
        <v>28.458859180870466</v>
      </c>
      <c r="AF130" s="366">
        <f t="shared" si="151"/>
        <v>26.882787157734015</v>
      </c>
      <c r="AG130" s="366">
        <f t="shared" si="151"/>
        <v>25.472122739845027</v>
      </c>
      <c r="AH130" s="366">
        <f t="shared" si="151"/>
        <v>24.202125083279185</v>
      </c>
      <c r="AI130" s="366">
        <f t="shared" si="151"/>
        <v>23.05275316796153</v>
      </c>
      <c r="AJ130" s="366">
        <f t="shared" si="151"/>
        <v>22.007600407812035</v>
      </c>
      <c r="AK130" s="366">
        <f t="shared" si="151"/>
        <v>21.05310650368985</v>
      </c>
      <c r="AL130" s="366">
        <f t="shared" si="151"/>
        <v>20.177965867665073</v>
      </c>
      <c r="AM130" s="366">
        <f t="shared" si="151"/>
        <v>19.372677703471911</v>
      </c>
      <c r="AN130" s="366">
        <f t="shared" si="151"/>
        <v>18.629199688115058</v>
      </c>
      <c r="AO130" s="947">
        <f t="shared" si="151"/>
        <v>17.940678451483233</v>
      </c>
      <c r="AP130" s="366">
        <f t="shared" si="151"/>
        <v>18.846839154280485</v>
      </c>
      <c r="AQ130" s="366">
        <f t="shared" si="151"/>
        <v>18.401315575298199</v>
      </c>
      <c r="AR130" s="366">
        <f t="shared" si="151"/>
        <v>17.976369181409673</v>
      </c>
      <c r="AS130" s="366">
        <f t="shared" si="151"/>
        <v>17.570606567920507</v>
      </c>
      <c r="AT130" s="366">
        <f t="shared" si="151"/>
        <v>17.182757360813429</v>
      </c>
      <c r="AU130" s="366">
        <f t="shared" si="151"/>
        <v>16.811660931265632</v>
      </c>
      <c r="AV130" s="366">
        <f t="shared" si="151"/>
        <v>16.456254795332871</v>
      </c>
      <c r="AW130" s="366">
        <f t="shared" si="151"/>
        <v>16.115564454586817</v>
      </c>
      <c r="AX130" s="366">
        <f t="shared" si="151"/>
        <v>15.788694473118873</v>
      </c>
      <c r="AY130" s="366">
        <f t="shared" si="151"/>
        <v>15.474820618860727</v>
      </c>
      <c r="AZ130" s="366">
        <f t="shared" si="151"/>
        <v>15.17318292400075</v>
      </c>
      <c r="BA130" s="947">
        <f t="shared" si="151"/>
        <v>14.883079541487835</v>
      </c>
      <c r="BB130" s="366">
        <f t="shared" si="151"/>
        <v>15.46931376473764</v>
      </c>
      <c r="BC130" s="366">
        <f t="shared" si="151"/>
        <v>15.191738183901652</v>
      </c>
      <c r="BD130" s="366">
        <f t="shared" si="151"/>
        <v>14.923948434589029</v>
      </c>
      <c r="BE130" s="366">
        <f t="shared" si="151"/>
        <v>14.665435986646374</v>
      </c>
      <c r="BF130" s="366">
        <f t="shared" si="151"/>
        <v>14.415726944983948</v>
      </c>
      <c r="BG130" s="366">
        <f t="shared" si="151"/>
        <v>14.174379150278169</v>
      </c>
      <c r="BH130" s="366">
        <f t="shared" si="151"/>
        <v>13.940979566118337</v>
      </c>
      <c r="BI130" s="366">
        <f t="shared" si="151"/>
        <v>13.71514192011567</v>
      </c>
      <c r="BJ130" s="366">
        <f t="shared" si="151"/>
        <v>13.49650457063527</v>
      </c>
      <c r="BK130" s="366">
        <f t="shared" si="151"/>
        <v>13.284728574368946</v>
      </c>
      <c r="BL130" s="366">
        <f t="shared" si="151"/>
        <v>13.079495933029699</v>
      </c>
      <c r="BM130" s="947">
        <f t="shared" si="151"/>
        <v>12.880508000092135</v>
      </c>
      <c r="BN130" s="366">
        <f t="shared" si="151"/>
        <v>13.394283471657106</v>
      </c>
      <c r="BO130" s="366">
        <f t="shared" si="151"/>
        <v>13.257561103890978</v>
      </c>
      <c r="BP130" s="366">
        <f t="shared" si="151"/>
        <v>13.123601724489411</v>
      </c>
      <c r="BQ130" s="366">
        <f t="shared" si="151"/>
        <v>12.992322416458684</v>
      </c>
      <c r="BR130" s="366">
        <f t="shared" si="151"/>
        <v>12.863643547718926</v>
      </c>
      <c r="BS130" s="366">
        <f t="shared" si="151"/>
        <v>12.737488610026844</v>
      </c>
      <c r="BT130" s="366">
        <f t="shared" si="151"/>
        <v>12.613784067284605</v>
      </c>
      <c r="BU130" s="366">
        <f t="shared" si="151"/>
        <v>12.492459212602926</v>
      </c>
      <c r="BV130" s="366">
        <f t="shared" si="151"/>
        <v>12.373446033534496</v>
      </c>
      <c r="BW130" s="366">
        <f t="shared" si="151"/>
        <v>12.256679084938147</v>
      </c>
      <c r="BX130" s="366">
        <f t="shared" si="151"/>
        <v>12.142095368974262</v>
      </c>
      <c r="BY130" s="947">
        <f t="shared" si="151"/>
        <v>12.029634221769186</v>
      </c>
      <c r="BZ130" s="652"/>
    </row>
    <row r="131" spans="2:78" s="359" customFormat="1">
      <c r="B131" s="358"/>
      <c r="D131" s="366"/>
      <c r="E131" s="359" t="s">
        <v>1701</v>
      </c>
      <c r="F131" s="366"/>
      <c r="G131" s="366"/>
      <c r="H131" s="364"/>
      <c r="I131" s="364">
        <f t="shared" si="149"/>
        <v>2.0984283495258031</v>
      </c>
      <c r="J131" s="364">
        <f t="shared" si="149"/>
        <v>0.85917779647559345</v>
      </c>
      <c r="K131" s="364">
        <f t="shared" si="149"/>
        <v>0.58945982594147195</v>
      </c>
      <c r="L131" s="364">
        <f t="shared" si="149"/>
        <v>0.47054920844969367</v>
      </c>
      <c r="M131" s="364">
        <f t="shared" si="149"/>
        <v>0.40382410597829865</v>
      </c>
      <c r="N131" s="366"/>
      <c r="O131" s="365"/>
      <c r="P131" s="366"/>
      <c r="Q131" s="364"/>
      <c r="R131" s="1272">
        <f>IF(R$66=0,0,R98/R$66)</f>
        <v>7.1356706983661784</v>
      </c>
      <c r="S131" s="364">
        <f t="shared" ref="S131:BY131" si="152">IF(S$66=0,0,S98/S$66)</f>
        <v>4.9675680613922903</v>
      </c>
      <c r="T131" s="364">
        <f t="shared" si="152"/>
        <v>3.8099520033632679</v>
      </c>
      <c r="U131" s="364">
        <f t="shared" si="152"/>
        <v>3.0898982819692011</v>
      </c>
      <c r="V131" s="364">
        <f t="shared" si="152"/>
        <v>2.5987525987525988</v>
      </c>
      <c r="W131" s="364">
        <f t="shared" si="152"/>
        <v>2.2423296860394788</v>
      </c>
      <c r="X131" s="364">
        <f t="shared" si="152"/>
        <v>1.9718829139745302</v>
      </c>
      <c r="Y131" s="364">
        <f t="shared" si="152"/>
        <v>1.7596517912041683</v>
      </c>
      <c r="Z131" s="364">
        <f t="shared" si="152"/>
        <v>1.5886658128856013</v>
      </c>
      <c r="AA131" s="364">
        <f t="shared" si="152"/>
        <v>1.4479664116174615</v>
      </c>
      <c r="AB131" s="364">
        <f t="shared" si="152"/>
        <v>1.3301613317514094</v>
      </c>
      <c r="AC131" s="949">
        <f t="shared" si="152"/>
        <v>1.2300830235346458</v>
      </c>
      <c r="AD131" s="364">
        <f t="shared" si="152"/>
        <v>1.1534749205383941</v>
      </c>
      <c r="AE131" s="364">
        <f t="shared" si="152"/>
        <v>1.0858495087467048</v>
      </c>
      <c r="AF131" s="364">
        <f t="shared" si="152"/>
        <v>1.0257143845242098</v>
      </c>
      <c r="AG131" s="364">
        <f t="shared" si="152"/>
        <v>0.97189039757392326</v>
      </c>
      <c r="AH131" s="364">
        <f t="shared" si="152"/>
        <v>0.92343355948610406</v>
      </c>
      <c r="AI131" s="364">
        <f t="shared" si="152"/>
        <v>0.8795792039167899</v>
      </c>
      <c r="AJ131" s="364">
        <f t="shared" si="152"/>
        <v>0.83970133657288604</v>
      </c>
      <c r="AK131" s="364">
        <f t="shared" si="152"/>
        <v>0.80328256341315685</v>
      </c>
      <c r="AL131" s="364">
        <f t="shared" si="152"/>
        <v>0.76989151904021369</v>
      </c>
      <c r="AM131" s="364">
        <f t="shared" si="152"/>
        <v>0.73916569999274995</v>
      </c>
      <c r="AN131" s="364">
        <f t="shared" si="152"/>
        <v>0.71079825094609694</v>
      </c>
      <c r="AO131" s="949">
        <f t="shared" si="152"/>
        <v>0.6845276811454325</v>
      </c>
      <c r="AP131" s="364">
        <f t="shared" si="152"/>
        <v>0.66795423447155688</v>
      </c>
      <c r="AQ131" s="364">
        <f t="shared" si="152"/>
        <v>0.65216435274645324</v>
      </c>
      <c r="AR131" s="364">
        <f t="shared" si="152"/>
        <v>0.63710375075915437</v>
      </c>
      <c r="AS131" s="364">
        <f t="shared" si="152"/>
        <v>0.62272304460192174</v>
      </c>
      <c r="AT131" s="364">
        <f t="shared" si="152"/>
        <v>0.60897721071949229</v>
      </c>
      <c r="AU131" s="364">
        <f t="shared" si="152"/>
        <v>0.59582511505588431</v>
      </c>
      <c r="AV131" s="364">
        <f t="shared" si="152"/>
        <v>0.58322910192550526</v>
      </c>
      <c r="AW131" s="364">
        <f t="shared" si="152"/>
        <v>0.57115463395334132</v>
      </c>
      <c r="AX131" s="364">
        <f t="shared" si="152"/>
        <v>0.5595699758334377</v>
      </c>
      <c r="AY131" s="364">
        <f t="shared" si="152"/>
        <v>0.54844591580801849</v>
      </c>
      <c r="AZ131" s="364">
        <f t="shared" si="152"/>
        <v>0.53775551972044955</v>
      </c>
      <c r="BA131" s="949">
        <f t="shared" si="152"/>
        <v>0.52747391328248017</v>
      </c>
      <c r="BB131" s="364">
        <f t="shared" si="152"/>
        <v>0.5178361828211715</v>
      </c>
      <c r="BC131" s="364">
        <f t="shared" si="152"/>
        <v>0.50854432402184135</v>
      </c>
      <c r="BD131" s="364">
        <f t="shared" si="152"/>
        <v>0.49958004650496862</v>
      </c>
      <c r="BE131" s="364">
        <f t="shared" si="152"/>
        <v>0.49092632719393287</v>
      </c>
      <c r="BF131" s="364">
        <f t="shared" si="152"/>
        <v>0.4825673024228947</v>
      </c>
      <c r="BG131" s="364">
        <f t="shared" si="152"/>
        <v>0.47448817088264256</v>
      </c>
      <c r="BH131" s="364">
        <f t="shared" si="152"/>
        <v>0.46667510615517654</v>
      </c>
      <c r="BI131" s="364">
        <f t="shared" si="152"/>
        <v>0.45911517774969546</v>
      </c>
      <c r="BJ131" s="364">
        <f t="shared" si="152"/>
        <v>0.45179627969132452</v>
      </c>
      <c r="BK131" s="364">
        <f t="shared" si="152"/>
        <v>0.4447070658330029</v>
      </c>
      <c r="BL131" s="364">
        <f t="shared" si="152"/>
        <v>0.43783689116347874</v>
      </c>
      <c r="BM131" s="949">
        <f t="shared" si="152"/>
        <v>0.4311757584728515</v>
      </c>
      <c r="BN131" s="364">
        <f t="shared" si="152"/>
        <v>0.42672913588821471</v>
      </c>
      <c r="BO131" s="364">
        <f t="shared" si="152"/>
        <v>0.42237329124920225</v>
      </c>
      <c r="BP131" s="364">
        <f t="shared" si="152"/>
        <v>0.41810547279238713</v>
      </c>
      <c r="BQ131" s="364">
        <f t="shared" si="152"/>
        <v>0.41392303886118825</v>
      </c>
      <c r="BR131" s="364">
        <f t="shared" si="152"/>
        <v>0.40982345245325652</v>
      </c>
      <c r="BS131" s="364">
        <f t="shared" si="152"/>
        <v>0.40580427608870601</v>
      </c>
      <c r="BT131" s="364">
        <f t="shared" si="152"/>
        <v>0.40186316697737917</v>
      </c>
      <c r="BU131" s="364">
        <f t="shared" si="152"/>
        <v>0.39799787246501278</v>
      </c>
      <c r="BV131" s="364">
        <f t="shared" si="152"/>
        <v>0.39420622573970293</v>
      </c>
      <c r="BW131" s="364">
        <f t="shared" si="152"/>
        <v>0.39048614178147839</v>
      </c>
      <c r="BX131" s="364">
        <f t="shared" si="152"/>
        <v>0.38683561353906842</v>
      </c>
      <c r="BY131" s="949">
        <f t="shared" si="152"/>
        <v>0.38325270831913866</v>
      </c>
      <c r="BZ131" s="652"/>
    </row>
    <row r="132" spans="2:78" s="363" customFormat="1" ht="12" thickBot="1">
      <c r="B132" s="362"/>
      <c r="D132" s="368"/>
      <c r="E132" s="363" t="s">
        <v>3527</v>
      </c>
      <c r="F132" s="368"/>
      <c r="G132" s="368"/>
      <c r="H132" s="369"/>
      <c r="I132" s="369">
        <f t="shared" si="149"/>
        <v>-140.24752504099354</v>
      </c>
      <c r="J132" s="369">
        <f t="shared" si="149"/>
        <v>14.087988061679205</v>
      </c>
      <c r="K132" s="369">
        <f t="shared" si="149"/>
        <v>36.479520519649128</v>
      </c>
      <c r="L132" s="369">
        <f t="shared" si="149"/>
        <v>43.915465943437077</v>
      </c>
      <c r="M132" s="369">
        <f t="shared" si="149"/>
        <v>58.702697374210388</v>
      </c>
      <c r="N132" s="368"/>
      <c r="O132" s="367"/>
      <c r="P132" s="368"/>
      <c r="Q132" s="369"/>
      <c r="R132" s="1273">
        <f>IF(R$66=0,0,R99/R$66)</f>
        <v>-947.63384813995833</v>
      </c>
      <c r="S132" s="369">
        <f t="shared" ref="S132:BY132" si="153">IF(S$66=0,0,S99/S$66)</f>
        <v>-595.69768354038979</v>
      </c>
      <c r="T132" s="369">
        <f t="shared" si="153"/>
        <v>-407.78824208044108</v>
      </c>
      <c r="U132" s="369">
        <f t="shared" si="153"/>
        <v>-290.90588573278529</v>
      </c>
      <c r="V132" s="369">
        <f t="shared" si="153"/>
        <v>-211.18091097229964</v>
      </c>
      <c r="W132" s="369">
        <f t="shared" si="153"/>
        <v>-153.32474183321258</v>
      </c>
      <c r="X132" s="369">
        <f t="shared" si="153"/>
        <v>-125.387036229196</v>
      </c>
      <c r="Y132" s="369">
        <f t="shared" si="153"/>
        <v>-89.218711500967203</v>
      </c>
      <c r="Z132" s="369">
        <f t="shared" si="153"/>
        <v>-60.079364231474933</v>
      </c>
      <c r="AA132" s="369">
        <f t="shared" si="153"/>
        <v>-41.036731574018482</v>
      </c>
      <c r="AB132" s="369">
        <f t="shared" si="153"/>
        <v>-20.558916890798947</v>
      </c>
      <c r="AC132" s="950">
        <f t="shared" si="153"/>
        <v>-3.162510455667217</v>
      </c>
      <c r="AD132" s="369">
        <f t="shared" si="153"/>
        <v>-62.303501377870568</v>
      </c>
      <c r="AE132" s="369">
        <f t="shared" si="153"/>
        <v>-44.749792869228699</v>
      </c>
      <c r="AF132" s="369">
        <f t="shared" si="153"/>
        <v>-29.140358282948245</v>
      </c>
      <c r="AG132" s="369">
        <f t="shared" si="153"/>
        <v>-15.169122431421885</v>
      </c>
      <c r="AH132" s="369">
        <f t="shared" si="153"/>
        <v>-2.5910517253360155</v>
      </c>
      <c r="AI132" s="369">
        <f t="shared" si="153"/>
        <v>8.7923403177225392</v>
      </c>
      <c r="AJ132" s="369">
        <f t="shared" si="153"/>
        <v>19.143544706058723</v>
      </c>
      <c r="AK132" s="369">
        <f t="shared" si="153"/>
        <v>28.596862790944758</v>
      </c>
      <c r="AL132" s="369">
        <f t="shared" si="153"/>
        <v>37.264265239114494</v>
      </c>
      <c r="AM132" s="369">
        <f t="shared" si="153"/>
        <v>45.239848040885157</v>
      </c>
      <c r="AN132" s="369">
        <f t="shared" si="153"/>
        <v>52.603262451322699</v>
      </c>
      <c r="AO132" s="950">
        <f t="shared" si="153"/>
        <v>59.422384323102179</v>
      </c>
      <c r="AP132" s="369">
        <f t="shared" si="153"/>
        <v>17.141779040686068</v>
      </c>
      <c r="AQ132" s="369">
        <f t="shared" si="153"/>
        <v>21.031745937709495</v>
      </c>
      <c r="AR132" s="369">
        <f t="shared" si="153"/>
        <v>24.742048788597426</v>
      </c>
      <c r="AS132" s="369">
        <f t="shared" si="153"/>
        <v>28.284853724147855</v>
      </c>
      <c r="AT132" s="369">
        <f t="shared" si="153"/>
        <v>31.671252666555443</v>
      </c>
      <c r="AU132" s="369">
        <f t="shared" si="153"/>
        <v>34.911379327959203</v>
      </c>
      <c r="AV132" s="369">
        <f t="shared" si="153"/>
        <v>38.014510495417248</v>
      </c>
      <c r="AW132" s="369">
        <f t="shared" si="153"/>
        <v>40.989154734595623</v>
      </c>
      <c r="AX132" s="369">
        <f t="shared" si="153"/>
        <v>43.84313029846021</v>
      </c>
      <c r="AY132" s="369">
        <f t="shared" si="153"/>
        <v>46.583633743181025</v>
      </c>
      <c r="AZ132" s="369">
        <f t="shared" si="153"/>
        <v>49.217300519202304</v>
      </c>
      <c r="BA132" s="950">
        <f t="shared" si="153"/>
        <v>51.7502586114935</v>
      </c>
      <c r="BB132" s="369">
        <f t="shared" si="153"/>
        <v>23.673545799732363</v>
      </c>
      <c r="BC132" s="369">
        <f t="shared" si="153"/>
        <v>27.651069553421117</v>
      </c>
      <c r="BD132" s="369">
        <f t="shared" si="153"/>
        <v>31.488367076774374</v>
      </c>
      <c r="BE132" s="369">
        <f t="shared" si="153"/>
        <v>35.192725360811309</v>
      </c>
      <c r="BF132" s="369">
        <f t="shared" si="153"/>
        <v>38.77093509284817</v>
      </c>
      <c r="BG132" s="369">
        <f t="shared" si="153"/>
        <v>42.229332202029966</v>
      </c>
      <c r="BH132" s="369">
        <f t="shared" si="153"/>
        <v>45.573835300252171</v>
      </c>
      <c r="BI132" s="369">
        <f t="shared" si="153"/>
        <v>48.809979483927783</v>
      </c>
      <c r="BJ132" s="369">
        <f t="shared" si="153"/>
        <v>51.942946902685208</v>
      </c>
      <c r="BK132" s="369">
        <f t="shared" si="153"/>
        <v>54.977594450115191</v>
      </c>
      <c r="BL132" s="369">
        <f t="shared" si="153"/>
        <v>57.918478887790201</v>
      </c>
      <c r="BM132" s="950">
        <f t="shared" si="153"/>
        <v>60.769879675902779</v>
      </c>
      <c r="BN132" s="369">
        <f t="shared" si="153"/>
        <v>45.77985738739261</v>
      </c>
      <c r="BO132" s="369">
        <f t="shared" si="153"/>
        <v>48.237391103732676</v>
      </c>
      <c r="BP132" s="369">
        <f t="shared" si="153"/>
        <v>50.645261131718669</v>
      </c>
      <c r="BQ132" s="369">
        <f t="shared" si="153"/>
        <v>53.004957873477494</v>
      </c>
      <c r="BR132" s="369">
        <f t="shared" si="153"/>
        <v>55.317912686031519</v>
      </c>
      <c r="BS132" s="369">
        <f t="shared" si="153"/>
        <v>57.585500776602096</v>
      </c>
      <c r="BT132" s="369">
        <f t="shared" si="153"/>
        <v>59.809043929200897</v>
      </c>
      <c r="BU132" s="369">
        <f t="shared" si="153"/>
        <v>61.989813073868667</v>
      </c>
      <c r="BV132" s="369">
        <f t="shared" si="153"/>
        <v>64.129030709053055</v>
      </c>
      <c r="BW132" s="369">
        <f t="shared" si="153"/>
        <v>66.227873186829171</v>
      </c>
      <c r="BX132" s="369">
        <f t="shared" si="153"/>
        <v>68.287472869936295</v>
      </c>
      <c r="BY132" s="950">
        <f t="shared" si="153"/>
        <v>70.308920168943885</v>
      </c>
      <c r="BZ132" s="653"/>
    </row>
    <row r="133" spans="2:78" s="359" customFormat="1" ht="12" thickTop="1">
      <c r="B133" s="358"/>
      <c r="D133" s="366"/>
      <c r="F133" s="366"/>
      <c r="G133" s="366"/>
      <c r="H133" s="366"/>
      <c r="N133" s="366"/>
      <c r="O133" s="365"/>
      <c r="P133" s="366"/>
      <c r="Q133" s="650"/>
      <c r="R133" s="1271"/>
      <c r="AC133" s="947"/>
      <c r="AO133" s="947"/>
      <c r="BA133" s="947"/>
      <c r="BM133" s="947"/>
      <c r="BY133" s="947"/>
      <c r="BZ133" s="652"/>
    </row>
    <row r="134" spans="2:78" s="359" customFormat="1">
      <c r="B134" s="358"/>
      <c r="D134" s="366"/>
      <c r="F134" s="366"/>
      <c r="G134" s="366"/>
      <c r="H134" s="654"/>
      <c r="N134" s="366"/>
      <c r="O134" s="365"/>
      <c r="P134" s="366"/>
      <c r="Q134" s="650"/>
      <c r="R134" s="1269"/>
      <c r="S134" s="651"/>
      <c r="T134" s="651"/>
      <c r="U134" s="651"/>
      <c r="V134" s="651"/>
      <c r="W134" s="651"/>
      <c r="X134" s="651"/>
      <c r="Y134" s="651"/>
      <c r="Z134" s="651"/>
      <c r="AA134" s="651"/>
      <c r="AB134" s="651"/>
      <c r="AC134" s="946"/>
      <c r="AD134" s="651"/>
      <c r="AE134" s="651"/>
      <c r="AF134" s="651"/>
      <c r="AG134" s="651"/>
      <c r="AH134" s="651"/>
      <c r="AI134" s="651"/>
      <c r="AJ134" s="651"/>
      <c r="AK134" s="651"/>
      <c r="AL134" s="651"/>
      <c r="AM134" s="651"/>
      <c r="AN134" s="651"/>
      <c r="AO134" s="946"/>
      <c r="AP134" s="651"/>
      <c r="AQ134" s="651"/>
      <c r="AR134" s="651"/>
      <c r="AS134" s="651"/>
      <c r="AT134" s="651"/>
      <c r="AU134" s="651"/>
      <c r="AV134" s="651"/>
      <c r="AW134" s="651"/>
      <c r="AX134" s="651"/>
      <c r="AY134" s="651"/>
      <c r="AZ134" s="651"/>
      <c r="BA134" s="946"/>
      <c r="BB134" s="651"/>
      <c r="BC134" s="651"/>
      <c r="BD134" s="651"/>
      <c r="BE134" s="651"/>
      <c r="BF134" s="651"/>
      <c r="BG134" s="651"/>
      <c r="BH134" s="651"/>
      <c r="BI134" s="651"/>
      <c r="BJ134" s="651"/>
      <c r="BK134" s="651"/>
      <c r="BL134" s="651"/>
      <c r="BM134" s="946"/>
      <c r="BN134" s="651"/>
      <c r="BO134" s="651"/>
      <c r="BP134" s="651"/>
      <c r="BQ134" s="651"/>
      <c r="BR134" s="651"/>
      <c r="BS134" s="651"/>
      <c r="BT134" s="651"/>
      <c r="BU134" s="651"/>
      <c r="BV134" s="651"/>
      <c r="BW134" s="651"/>
      <c r="BX134" s="651"/>
      <c r="BY134" s="946"/>
      <c r="BZ134" s="652"/>
    </row>
    <row r="135" spans="2:78" s="359" customFormat="1">
      <c r="B135" s="358"/>
      <c r="D135" s="656" t="s">
        <v>1756</v>
      </c>
      <c r="F135" s="366"/>
      <c r="G135" s="366"/>
      <c r="H135" s="366"/>
      <c r="N135" s="366"/>
      <c r="O135" s="365"/>
      <c r="P135" s="366"/>
      <c r="Q135" s="366"/>
      <c r="R135" s="1271"/>
      <c r="AC135" s="947"/>
      <c r="AO135" s="947"/>
      <c r="BA135" s="947"/>
      <c r="BM135" s="947"/>
      <c r="BY135" s="947"/>
      <c r="BZ135" s="652"/>
    </row>
    <row r="136" spans="2:78" s="359" customFormat="1">
      <c r="B136" s="358"/>
      <c r="D136" s="366"/>
      <c r="F136" s="366"/>
      <c r="G136" s="366"/>
      <c r="H136" s="366"/>
      <c r="N136" s="366"/>
      <c r="O136" s="365"/>
      <c r="P136" s="366"/>
      <c r="Q136" s="366"/>
      <c r="R136" s="1271"/>
      <c r="AC136" s="947"/>
      <c r="AO136" s="947"/>
      <c r="BA136" s="947"/>
      <c r="BM136" s="947"/>
      <c r="BY136" s="947"/>
      <c r="BZ136" s="652"/>
    </row>
    <row r="137" spans="2:78" s="359" customFormat="1">
      <c r="B137" s="358"/>
      <c r="D137" s="366"/>
      <c r="E137" s="359" t="s">
        <v>1413</v>
      </c>
      <c r="F137" s="366"/>
      <c r="G137" s="366"/>
      <c r="H137" s="366"/>
      <c r="N137" s="366"/>
      <c r="O137" s="365"/>
      <c r="P137" s="366"/>
      <c r="Q137" s="366"/>
      <c r="R137" s="1271"/>
      <c r="AC137" s="947"/>
      <c r="AO137" s="947"/>
      <c r="BA137" s="947"/>
      <c r="BM137" s="947"/>
      <c r="BY137" s="947"/>
      <c r="BZ137" s="652"/>
    </row>
    <row r="138" spans="2:78" s="359" customFormat="1">
      <c r="B138" s="358"/>
      <c r="D138" s="366"/>
      <c r="F138" s="366"/>
      <c r="G138" s="366"/>
      <c r="H138" s="366"/>
      <c r="N138" s="366"/>
      <c r="O138" s="365"/>
      <c r="P138" s="366"/>
      <c r="Q138" s="366"/>
      <c r="R138" s="1271"/>
      <c r="AC138" s="947"/>
      <c r="AO138" s="947"/>
      <c r="BA138" s="947"/>
      <c r="BM138" s="947"/>
      <c r="BY138" s="947"/>
      <c r="BZ138" s="652"/>
    </row>
    <row r="139" spans="2:78" s="363" customFormat="1">
      <c r="B139" s="362"/>
      <c r="D139" s="368"/>
      <c r="E139" s="363" t="s">
        <v>1404</v>
      </c>
      <c r="F139" s="368"/>
      <c r="G139" s="368"/>
      <c r="H139" s="2093">
        <f t="shared" ref="H139:M139" ca="1" si="154">H194</f>
        <v>1142652.855904141</v>
      </c>
      <c r="I139" s="363">
        <f t="shared" ca="1" si="154"/>
        <v>514799.51442628563</v>
      </c>
      <c r="J139" s="363">
        <f t="shared" ca="1" si="154"/>
        <v>407144.54878236272</v>
      </c>
      <c r="K139" s="363">
        <f t="shared" ca="1" si="154"/>
        <v>527898.03262117214</v>
      </c>
      <c r="L139" s="363">
        <f t="shared" ca="1" si="154"/>
        <v>642887.45321286656</v>
      </c>
      <c r="M139" s="363">
        <f t="shared" ca="1" si="154"/>
        <v>736491.15292169154</v>
      </c>
      <c r="N139" s="368"/>
      <c r="O139" s="367"/>
      <c r="P139" s="368"/>
      <c r="Q139" s="368">
        <f ca="1">H139</f>
        <v>1142652.855904141</v>
      </c>
      <c r="R139" s="1268">
        <f t="shared" ref="R139:BY139" ca="1" si="155">R194</f>
        <v>1077032.9188895817</v>
      </c>
      <c r="S139" s="363">
        <f t="shared" ca="1" si="155"/>
        <v>975154.99557161517</v>
      </c>
      <c r="T139" s="363">
        <f t="shared" ca="1" si="155"/>
        <v>870200.50092396874</v>
      </c>
      <c r="U139" s="363">
        <f t="shared" ca="1" si="155"/>
        <v>762169.43494664226</v>
      </c>
      <c r="V139" s="363">
        <f t="shared" ca="1" si="155"/>
        <v>651061.79763963586</v>
      </c>
      <c r="W139" s="363">
        <f t="shared" ca="1" si="155"/>
        <v>536877.58900294965</v>
      </c>
      <c r="X139" s="363">
        <f t="shared" ca="1" si="155"/>
        <v>417269.2534810279</v>
      </c>
      <c r="Y139" s="363">
        <f t="shared" ca="1" si="155"/>
        <v>461718.92746815918</v>
      </c>
      <c r="Z139" s="363">
        <f t="shared" ca="1" si="155"/>
        <v>581112.59756368678</v>
      </c>
      <c r="AA139" s="363">
        <f t="shared" ca="1" si="155"/>
        <v>552578.61893279839</v>
      </c>
      <c r="AB139" s="363">
        <f t="shared" ca="1" si="155"/>
        <v>530185.96159070183</v>
      </c>
      <c r="AC139" s="948">
        <f t="shared" ca="1" si="155"/>
        <v>514799.51442628581</v>
      </c>
      <c r="AD139" s="363">
        <f t="shared" ca="1" si="155"/>
        <v>496154.15652219392</v>
      </c>
      <c r="AE139" s="363">
        <f t="shared" ca="1" si="155"/>
        <v>459538.4718540982</v>
      </c>
      <c r="AF139" s="363">
        <f t="shared" ca="1" si="155"/>
        <v>428525.37017771741</v>
      </c>
      <c r="AG139" s="363">
        <f t="shared" ca="1" si="155"/>
        <v>405600.90418501419</v>
      </c>
      <c r="AH139" s="363">
        <f t="shared" ca="1" si="155"/>
        <v>389637.50630381319</v>
      </c>
      <c r="AI139" s="363">
        <f t="shared" ca="1" si="155"/>
        <v>380635.17653411441</v>
      </c>
      <c r="AJ139" s="363">
        <f t="shared" ca="1" si="155"/>
        <v>378593.91487591801</v>
      </c>
      <c r="AK139" s="363">
        <f t="shared" ca="1" si="155"/>
        <v>383513.72132922371</v>
      </c>
      <c r="AL139" s="363">
        <f t="shared" ca="1" si="155"/>
        <v>389421.42819250858</v>
      </c>
      <c r="AM139" s="363">
        <f t="shared" ca="1" si="155"/>
        <v>395329.13505579339</v>
      </c>
      <c r="AN139" s="363">
        <f t="shared" ca="1" si="155"/>
        <v>401236.84191907826</v>
      </c>
      <c r="AO139" s="948">
        <f t="shared" ca="1" si="155"/>
        <v>407144.54878236307</v>
      </c>
      <c r="AP139" s="363">
        <f t="shared" ca="1" si="155"/>
        <v>486430.92697901849</v>
      </c>
      <c r="AQ139" s="363">
        <f t="shared" ca="1" si="155"/>
        <v>490200.66385557794</v>
      </c>
      <c r="AR139" s="363">
        <f t="shared" ca="1" si="155"/>
        <v>493970.40073213738</v>
      </c>
      <c r="AS139" s="363">
        <f t="shared" ca="1" si="155"/>
        <v>497740.13760869694</v>
      </c>
      <c r="AT139" s="363">
        <f t="shared" ca="1" si="155"/>
        <v>501509.87448525627</v>
      </c>
      <c r="AU139" s="363">
        <f t="shared" ca="1" si="155"/>
        <v>505279.61136181571</v>
      </c>
      <c r="AV139" s="363">
        <f t="shared" ca="1" si="155"/>
        <v>509049.34823837515</v>
      </c>
      <c r="AW139" s="363">
        <f t="shared" ca="1" si="155"/>
        <v>512819.0851149346</v>
      </c>
      <c r="AX139" s="363">
        <f t="shared" ca="1" si="155"/>
        <v>516588.82199149393</v>
      </c>
      <c r="AY139" s="363">
        <f t="shared" ca="1" si="155"/>
        <v>520358.55886805349</v>
      </c>
      <c r="AZ139" s="363">
        <f t="shared" ca="1" si="155"/>
        <v>524128.29574461281</v>
      </c>
      <c r="BA139" s="948">
        <f t="shared" ca="1" si="155"/>
        <v>527898.03262117226</v>
      </c>
      <c r="BB139" s="363">
        <f t="shared" ca="1" si="155"/>
        <v>601014.46192955307</v>
      </c>
      <c r="BC139" s="363">
        <f t="shared" ca="1" si="155"/>
        <v>604821.09750076348</v>
      </c>
      <c r="BD139" s="363">
        <f t="shared" ca="1" si="155"/>
        <v>608627.7330719739</v>
      </c>
      <c r="BE139" s="363">
        <f t="shared" ca="1" si="155"/>
        <v>612434.36864318408</v>
      </c>
      <c r="BF139" s="363">
        <f t="shared" ca="1" si="155"/>
        <v>616241.00421439449</v>
      </c>
      <c r="BG139" s="363">
        <f t="shared" ca="1" si="155"/>
        <v>620047.63978560478</v>
      </c>
      <c r="BH139" s="363">
        <f t="shared" ca="1" si="155"/>
        <v>623854.2753568152</v>
      </c>
      <c r="BI139" s="363">
        <f t="shared" ca="1" si="155"/>
        <v>627660.91092802538</v>
      </c>
      <c r="BJ139" s="363">
        <f t="shared" ca="1" si="155"/>
        <v>631467.54649923579</v>
      </c>
      <c r="BK139" s="363">
        <f t="shared" ca="1" si="155"/>
        <v>635274.18207044632</v>
      </c>
      <c r="BL139" s="363">
        <f t="shared" ca="1" si="155"/>
        <v>639080.81764165638</v>
      </c>
      <c r="BM139" s="948">
        <f t="shared" ca="1" si="155"/>
        <v>642887.45321286691</v>
      </c>
      <c r="BN139" s="363">
        <f t="shared" ca="1" si="155"/>
        <v>705568.88967371802</v>
      </c>
      <c r="BO139" s="363">
        <f t="shared" ca="1" si="155"/>
        <v>708380.00451444276</v>
      </c>
      <c r="BP139" s="363">
        <f t="shared" ca="1" si="155"/>
        <v>711191.1193551675</v>
      </c>
      <c r="BQ139" s="363">
        <f t="shared" ca="1" si="155"/>
        <v>714002.23419589247</v>
      </c>
      <c r="BR139" s="363">
        <f t="shared" ca="1" si="155"/>
        <v>716813.3490366172</v>
      </c>
      <c r="BS139" s="363">
        <f t="shared" ca="1" si="155"/>
        <v>719624.46387734194</v>
      </c>
      <c r="BT139" s="363">
        <f t="shared" ca="1" si="155"/>
        <v>722435.57871806668</v>
      </c>
      <c r="BU139" s="363">
        <f t="shared" ca="1" si="155"/>
        <v>725246.69355879165</v>
      </c>
      <c r="BV139" s="363">
        <f t="shared" ca="1" si="155"/>
        <v>728057.80839951639</v>
      </c>
      <c r="BW139" s="363">
        <f t="shared" ca="1" si="155"/>
        <v>730868.92324024113</v>
      </c>
      <c r="BX139" s="363">
        <f t="shared" ca="1" si="155"/>
        <v>733680.03808096587</v>
      </c>
      <c r="BY139" s="948">
        <f t="shared" ca="1" si="155"/>
        <v>736491.15292169061</v>
      </c>
      <c r="BZ139" s="653">
        <f ca="1">ROUND(M139-BY139,0)</f>
        <v>0</v>
      </c>
    </row>
    <row r="140" spans="2:78" s="359" customFormat="1">
      <c r="B140" s="358"/>
      <c r="D140" s="366"/>
      <c r="E140" s="359" t="s">
        <v>1405</v>
      </c>
      <c r="F140" s="366"/>
      <c r="G140" s="366"/>
      <c r="H140" s="2084">
        <f>IF(Type="DeNovo", 0, '1.3 EssBS'!D10)</f>
        <v>0</v>
      </c>
      <c r="I140" s="359">
        <f>AC140</f>
        <v>326297.40047388081</v>
      </c>
      <c r="J140" s="359">
        <f>AO140</f>
        <v>602804.67935724137</v>
      </c>
      <c r="K140" s="359">
        <f>BA140</f>
        <v>761389.38288608752</v>
      </c>
      <c r="L140" s="359">
        <f>BM140</f>
        <v>950141.071456898</v>
      </c>
      <c r="M140" s="359">
        <f>BY140</f>
        <v>1123050.2333293594</v>
      </c>
      <c r="N140" s="366"/>
      <c r="O140" s="365"/>
      <c r="P140" s="366"/>
      <c r="Q140" s="1941">
        <f>H140</f>
        <v>0</v>
      </c>
      <c r="R140" s="1451">
        <f>SUM($R69:R69)-SUM($R70:R70)</f>
        <v>34793.333012901297</v>
      </c>
      <c r="S140" s="954">
        <f>SUM($R69:S69)-SUM($R70:S70)</f>
        <v>79669.447533163155</v>
      </c>
      <c r="T140" s="954">
        <f>SUM($R69:T69)-SUM($R70:T70)</f>
        <v>134628.34356078558</v>
      </c>
      <c r="U140" s="954">
        <f>SUM($R69:U69)-SUM($R70:U70)</f>
        <v>199670.02109576858</v>
      </c>
      <c r="V140" s="954">
        <f>SUM($R69:V69)-SUM($R70:V70)</f>
        <v>274794.48013811215</v>
      </c>
      <c r="W140" s="954">
        <f>SUM($R69:W69)-SUM($R70:W70)</f>
        <v>360001.72068781627</v>
      </c>
      <c r="X140" s="954">
        <f>SUM($R69:X69)-SUM($R70:X70)</f>
        <v>455291.74274488096</v>
      </c>
      <c r="Y140" s="954">
        <f>SUM($R69:Y69)-SUM($R70:Y70)</f>
        <v>391475.85435946216</v>
      </c>
      <c r="Z140" s="954">
        <f>SUM($R69:Z69)-SUM($R70:Z70)</f>
        <v>259722.18004332774</v>
      </c>
      <c r="AA140" s="954">
        <f>SUM($R69:AA69)-SUM($R70:AA70)</f>
        <v>281913.92018684541</v>
      </c>
      <c r="AB140" s="954">
        <f>SUM($R69:AB69)-SUM($R70:AB70)</f>
        <v>304105.66033036308</v>
      </c>
      <c r="AC140" s="2094">
        <f>SUM($R69:AC69)-SUM($R70:AC70)</f>
        <v>326297.40047388081</v>
      </c>
      <c r="AD140" s="954">
        <f>SUM($R69:AD69)-SUM($R70:AD70)</f>
        <v>349207.15009400109</v>
      </c>
      <c r="AE140" s="954">
        <f>SUM($R69:AE69)-SUM($R70:AE70)</f>
        <v>371949.03974990523</v>
      </c>
      <c r="AF140" s="954">
        <f>SUM($R69:AF69)-SUM($R70:AF70)</f>
        <v>396049.41452559666</v>
      </c>
      <c r="AG140" s="954">
        <f>SUM($R69:AG69)-SUM($R70:AG70)</f>
        <v>419022.22172911279</v>
      </c>
      <c r="AH140" s="954">
        <f>SUM($R69:AH69)-SUM($R70:AH70)</f>
        <v>441995.02893262892</v>
      </c>
      <c r="AI140" s="954">
        <f>SUM($R69:AI69)-SUM($R70:AI70)</f>
        <v>464967.83613614505</v>
      </c>
      <c r="AJ140" s="954">
        <f>SUM($R69:AJ69)-SUM($R70:AJ70)</f>
        <v>487940.64333966095</v>
      </c>
      <c r="AK140" s="954">
        <f>SUM($R69:AK69)-SUM($R70:AK70)</f>
        <v>510913.45054317685</v>
      </c>
      <c r="AL140" s="954">
        <f>SUM($R69:AL69)-SUM($R70:AL70)</f>
        <v>533886.25774669275</v>
      </c>
      <c r="AM140" s="954">
        <f>SUM($R69:AM69)-SUM($R70:AM70)</f>
        <v>556859.06495020865</v>
      </c>
      <c r="AN140" s="954">
        <f>SUM($R69:AN69)-SUM($R70:AN70)</f>
        <v>579831.87215372501</v>
      </c>
      <c r="AO140" s="2094">
        <f>SUM($R69:AO69)-SUM($R70:AO70)</f>
        <v>602804.67935724137</v>
      </c>
      <c r="AP140" s="954">
        <f>SUM($R69:AP69)-SUM($R70:AP70)</f>
        <v>623349.5555646969</v>
      </c>
      <c r="AQ140" s="954">
        <f>SUM($R69:AQ69)-SUM($R70:AQ70)</f>
        <v>639445.54105340224</v>
      </c>
      <c r="AR140" s="954">
        <f>SUM($R69:AR69)-SUM($R70:AR70)</f>
        <v>653458.78898709174</v>
      </c>
      <c r="AS140" s="954">
        <f>SUM($R69:AS69)-SUM($R70:AS70)</f>
        <v>665451.07719809143</v>
      </c>
      <c r="AT140" s="954">
        <f>SUM($R69:AT69)-SUM($R70:AT70)</f>
        <v>677443.36540909111</v>
      </c>
      <c r="AU140" s="954">
        <f>SUM($R69:AU69)-SUM($R70:AU70)</f>
        <v>689435.65362009034</v>
      </c>
      <c r="AV140" s="954">
        <f>SUM($R69:AV69)-SUM($R70:AV70)</f>
        <v>701427.94183108956</v>
      </c>
      <c r="AW140" s="954">
        <f>SUM($R69:AW69)-SUM($R70:AW70)</f>
        <v>713420.23004208971</v>
      </c>
      <c r="AX140" s="954">
        <f>SUM($R69:AX69)-SUM($R70:AX70)</f>
        <v>725412.51825308986</v>
      </c>
      <c r="AY140" s="954">
        <f>SUM($R69:AY69)-SUM($R70:AY70)</f>
        <v>737404.80646408908</v>
      </c>
      <c r="AZ140" s="954">
        <f>SUM($R69:AZ69)-SUM($R70:AZ70)</f>
        <v>749397.0946750883</v>
      </c>
      <c r="BA140" s="2094">
        <f>SUM($R69:BA69)-SUM($R70:BA70)</f>
        <v>761389.38288608752</v>
      </c>
      <c r="BB140" s="954">
        <f>SUM($R69:BB69)-SUM($R70:BB70)</f>
        <v>776886.10018385295</v>
      </c>
      <c r="BC140" s="954">
        <f>SUM($R69:BC69)-SUM($R70:BC70)</f>
        <v>793527.18224090338</v>
      </c>
      <c r="BD140" s="954">
        <f>SUM($R69:BD69)-SUM($R70:BD70)</f>
        <v>811312.62905723695</v>
      </c>
      <c r="BE140" s="954">
        <f>SUM($R69:BE69)-SUM($R70:BE70)</f>
        <v>826738.01154608838</v>
      </c>
      <c r="BF140" s="954">
        <f>SUM($R69:BF69)-SUM($R70:BF70)</f>
        <v>842163.39403493982</v>
      </c>
      <c r="BG140" s="954">
        <f>SUM($R69:BG69)-SUM($R70:BG70)</f>
        <v>857588.77652379125</v>
      </c>
      <c r="BH140" s="954">
        <f>SUM($R69:BH69)-SUM($R70:BH70)</f>
        <v>873014.15901264176</v>
      </c>
      <c r="BI140" s="954">
        <f>SUM($R69:BI69)-SUM($R70:BI70)</f>
        <v>888439.54150149226</v>
      </c>
      <c r="BJ140" s="954">
        <f>SUM($R69:BJ69)-SUM($R70:BJ70)</f>
        <v>903864.92399034277</v>
      </c>
      <c r="BK140" s="954">
        <f>SUM($R69:BK69)-SUM($R70:BK70)</f>
        <v>919290.30647919327</v>
      </c>
      <c r="BL140" s="954">
        <f>SUM($R69:BL69)-SUM($R70:BL70)</f>
        <v>934715.68896804564</v>
      </c>
      <c r="BM140" s="2094">
        <f>SUM($R69:BM69)-SUM($R70:BM70)</f>
        <v>950141.071456898</v>
      </c>
      <c r="BN140" s="954">
        <f>SUM($R69:BN69)-SUM($R70:BN70)</f>
        <v>972818.57227094285</v>
      </c>
      <c r="BO140" s="954">
        <f>SUM($R69:BO69)-SUM($R70:BO70)</f>
        <v>994056.57148213871</v>
      </c>
      <c r="BP140" s="954">
        <f>SUM($R69:BP69)-SUM($R70:BP70)</f>
        <v>1009676.4693774339</v>
      </c>
      <c r="BQ140" s="954">
        <f>SUM($R69:BQ69)-SUM($R70:BQ70)</f>
        <v>1022273.5542609803</v>
      </c>
      <c r="BR140" s="954">
        <f>SUM($R69:BR69)-SUM($R70:BR70)</f>
        <v>1034870.6391445268</v>
      </c>
      <c r="BS140" s="954">
        <f>SUM($R69:BS69)-SUM($R70:BS70)</f>
        <v>1047467.7240280751</v>
      </c>
      <c r="BT140" s="954">
        <f>SUM($R69:BT69)-SUM($R70:BT70)</f>
        <v>1060064.8089116216</v>
      </c>
      <c r="BU140" s="954">
        <f>SUM($R69:BU69)-SUM($R70:BU70)</f>
        <v>1072661.8937951699</v>
      </c>
      <c r="BV140" s="954">
        <f>SUM($R69:BV69)-SUM($R70:BV70)</f>
        <v>1085258.9786787163</v>
      </c>
      <c r="BW140" s="954">
        <f>SUM($R69:BW69)-SUM($R70:BW70)</f>
        <v>1097856.0635622647</v>
      </c>
      <c r="BX140" s="954">
        <f>SUM($R69:BX69)-SUM($R70:BX70)</f>
        <v>1110453.148445813</v>
      </c>
      <c r="BY140" s="2094">
        <f>SUM($R69:BY69)-SUM($R70:BY70)</f>
        <v>1123050.2333293594</v>
      </c>
      <c r="BZ140" s="652">
        <f>ROUND(M140-BY140,0)</f>
        <v>0</v>
      </c>
    </row>
    <row r="141" spans="2:78" s="359" customFormat="1">
      <c r="B141" s="358"/>
      <c r="D141" s="366"/>
      <c r="E141" s="359" t="s">
        <v>1406</v>
      </c>
      <c r="F141" s="366"/>
      <c r="G141" s="366"/>
      <c r="H141" s="2084">
        <f>IF(Type="DeNovo", 0, '1.3 EssBS'!D11)</f>
        <v>0</v>
      </c>
      <c r="I141" s="366">
        <f>AC141</f>
        <v>11623.25367686133</v>
      </c>
      <c r="J141" s="366">
        <f>AO141</f>
        <v>21202.229116267226</v>
      </c>
      <c r="K141" s="366">
        <f>BA141</f>
        <v>27860.590023630415</v>
      </c>
      <c r="L141" s="366">
        <f>BM141</f>
        <v>35160.11999080416</v>
      </c>
      <c r="M141" s="366">
        <f>BY141</f>
        <v>40443.983145814251</v>
      </c>
      <c r="N141" s="366"/>
      <c r="O141" s="365"/>
      <c r="P141" s="366"/>
      <c r="Q141" s="1941">
        <f>H141</f>
        <v>0</v>
      </c>
      <c r="R141" s="1271">
        <f t="shared" ref="R141:AW141" si="156">(R80+R86)*R172/30</f>
        <v>1620.3609013048967</v>
      </c>
      <c r="S141" s="366">
        <f t="shared" si="156"/>
        <v>2529.714789991845</v>
      </c>
      <c r="T141" s="366">
        <f t="shared" si="156"/>
        <v>3439.0686786787942</v>
      </c>
      <c r="U141" s="366">
        <f t="shared" si="156"/>
        <v>4348.422567365742</v>
      </c>
      <c r="V141" s="366">
        <f t="shared" si="156"/>
        <v>5257.7764560526903</v>
      </c>
      <c r="W141" s="366">
        <f t="shared" si="156"/>
        <v>6167.1303447396376</v>
      </c>
      <c r="X141" s="366">
        <f t="shared" si="156"/>
        <v>7076.4842334265868</v>
      </c>
      <c r="Y141" s="366">
        <f t="shared" si="156"/>
        <v>7985.8381221135369</v>
      </c>
      <c r="Z141" s="366">
        <f t="shared" si="156"/>
        <v>8895.192010800487</v>
      </c>
      <c r="AA141" s="366">
        <f t="shared" si="156"/>
        <v>9804.5458994874334</v>
      </c>
      <c r="AB141" s="366">
        <f t="shared" si="156"/>
        <v>10713.899788174384</v>
      </c>
      <c r="AC141" s="947">
        <f t="shared" si="156"/>
        <v>11623.25367686133</v>
      </c>
      <c r="AD141" s="366">
        <f t="shared" si="156"/>
        <v>12634.59461422095</v>
      </c>
      <c r="AE141" s="366">
        <f t="shared" si="156"/>
        <v>13413.470478043339</v>
      </c>
      <c r="AF141" s="366">
        <f t="shared" si="156"/>
        <v>14192.346341865727</v>
      </c>
      <c r="AG141" s="366">
        <f t="shared" si="156"/>
        <v>14971.222205688113</v>
      </c>
      <c r="AH141" s="366">
        <f t="shared" si="156"/>
        <v>15750.098069510499</v>
      </c>
      <c r="AI141" s="366">
        <f t="shared" si="156"/>
        <v>16528.973933332891</v>
      </c>
      <c r="AJ141" s="366">
        <f t="shared" si="156"/>
        <v>17307.849797155282</v>
      </c>
      <c r="AK141" s="366">
        <f t="shared" si="156"/>
        <v>18086.725660977667</v>
      </c>
      <c r="AL141" s="366">
        <f t="shared" si="156"/>
        <v>18865.601524800059</v>
      </c>
      <c r="AM141" s="366">
        <f t="shared" si="156"/>
        <v>19644.47738862245</v>
      </c>
      <c r="AN141" s="366">
        <f t="shared" si="156"/>
        <v>20423.353252444835</v>
      </c>
      <c r="AO141" s="947">
        <f t="shared" si="156"/>
        <v>21202.229116267226</v>
      </c>
      <c r="AP141" s="366">
        <f t="shared" si="156"/>
        <v>22145.800059012388</v>
      </c>
      <c r="AQ141" s="366">
        <f t="shared" si="156"/>
        <v>22665.326419432204</v>
      </c>
      <c r="AR141" s="366">
        <f t="shared" si="156"/>
        <v>23184.852779852026</v>
      </c>
      <c r="AS141" s="366">
        <f t="shared" si="156"/>
        <v>23704.379140271849</v>
      </c>
      <c r="AT141" s="366">
        <f t="shared" si="156"/>
        <v>24223.905500691671</v>
      </c>
      <c r="AU141" s="366">
        <f t="shared" si="156"/>
        <v>24743.431861111487</v>
      </c>
      <c r="AV141" s="366">
        <f t="shared" si="156"/>
        <v>25262.958221531313</v>
      </c>
      <c r="AW141" s="366">
        <f t="shared" si="156"/>
        <v>25782.484581951128</v>
      </c>
      <c r="AX141" s="366">
        <f t="shared" ref="AX141:BY141" si="157">(AX80+AX86)*AX172/30</f>
        <v>26302.010942370947</v>
      </c>
      <c r="AY141" s="366">
        <f t="shared" si="157"/>
        <v>26821.537302790774</v>
      </c>
      <c r="AZ141" s="366">
        <f t="shared" si="157"/>
        <v>27341.063663210592</v>
      </c>
      <c r="BA141" s="947">
        <f t="shared" si="157"/>
        <v>27860.590023630415</v>
      </c>
      <c r="BB141" s="366">
        <f t="shared" si="157"/>
        <v>28979.661671328118</v>
      </c>
      <c r="BC141" s="366">
        <f t="shared" si="157"/>
        <v>29541.521518553214</v>
      </c>
      <c r="BD141" s="366">
        <f t="shared" si="157"/>
        <v>30103.381365778314</v>
      </c>
      <c r="BE141" s="366">
        <f t="shared" si="157"/>
        <v>30665.241213003406</v>
      </c>
      <c r="BF141" s="366">
        <f t="shared" si="157"/>
        <v>31227.101060228495</v>
      </c>
      <c r="BG141" s="366">
        <f t="shared" si="157"/>
        <v>31788.960907453595</v>
      </c>
      <c r="BH141" s="366">
        <f t="shared" si="157"/>
        <v>32350.820754678687</v>
      </c>
      <c r="BI141" s="366">
        <f t="shared" si="157"/>
        <v>32912.680601903783</v>
      </c>
      <c r="BJ141" s="366">
        <f t="shared" si="157"/>
        <v>33474.540449128872</v>
      </c>
      <c r="BK141" s="366">
        <f t="shared" si="157"/>
        <v>34036.400296353975</v>
      </c>
      <c r="BL141" s="366">
        <f t="shared" si="157"/>
        <v>34598.260143579064</v>
      </c>
      <c r="BM141" s="947">
        <f t="shared" si="157"/>
        <v>35160.11999080416</v>
      </c>
      <c r="BN141" s="366">
        <f t="shared" si="157"/>
        <v>36245.04412021974</v>
      </c>
      <c r="BO141" s="366">
        <f t="shared" si="157"/>
        <v>36626.765849819247</v>
      </c>
      <c r="BP141" s="366">
        <f t="shared" si="157"/>
        <v>37008.487579418739</v>
      </c>
      <c r="BQ141" s="366">
        <f t="shared" si="157"/>
        <v>37390.209309018246</v>
      </c>
      <c r="BR141" s="366">
        <f t="shared" si="157"/>
        <v>37771.931038617753</v>
      </c>
      <c r="BS141" s="366">
        <f t="shared" si="157"/>
        <v>38153.652768217245</v>
      </c>
      <c r="BT141" s="366">
        <f t="shared" si="157"/>
        <v>38535.374497816752</v>
      </c>
      <c r="BU141" s="366">
        <f t="shared" si="157"/>
        <v>38917.096227416238</v>
      </c>
      <c r="BV141" s="366">
        <f t="shared" si="157"/>
        <v>39298.817957015752</v>
      </c>
      <c r="BW141" s="366">
        <f t="shared" si="157"/>
        <v>39680.539686615251</v>
      </c>
      <c r="BX141" s="366">
        <f t="shared" si="157"/>
        <v>40062.261416214758</v>
      </c>
      <c r="BY141" s="947">
        <f t="shared" si="157"/>
        <v>40443.983145814251</v>
      </c>
      <c r="BZ141" s="652">
        <f>ROUND(M141-BY141,0)</f>
        <v>0</v>
      </c>
    </row>
    <row r="142" spans="2:78" s="359" customFormat="1">
      <c r="B142" s="358"/>
      <c r="D142" s="366"/>
      <c r="E142" s="359" t="s">
        <v>693</v>
      </c>
      <c r="F142" s="366"/>
      <c r="G142" s="366"/>
      <c r="H142" s="2083">
        <f>IF(Type="DeNovo", 0, '1.3 EssBS'!D12)</f>
        <v>0</v>
      </c>
      <c r="I142" s="1942">
        <f>H142</f>
        <v>0</v>
      </c>
      <c r="J142" s="1942">
        <f>I142</f>
        <v>0</v>
      </c>
      <c r="K142" s="1942">
        <f>J142</f>
        <v>0</v>
      </c>
      <c r="L142" s="1942">
        <f>K142</f>
        <v>0</v>
      </c>
      <c r="M142" s="1942">
        <f>L142</f>
        <v>0</v>
      </c>
      <c r="N142" s="366"/>
      <c r="O142" s="365"/>
      <c r="P142" s="366"/>
      <c r="Q142" s="1942">
        <f>H142</f>
        <v>0</v>
      </c>
      <c r="R142" s="2089">
        <f>Q142</f>
        <v>0</v>
      </c>
      <c r="S142" s="1942">
        <f t="shared" ref="S142:BY142" si="158">R142</f>
        <v>0</v>
      </c>
      <c r="T142" s="1942">
        <f t="shared" si="158"/>
        <v>0</v>
      </c>
      <c r="U142" s="1942">
        <f t="shared" si="158"/>
        <v>0</v>
      </c>
      <c r="V142" s="1942">
        <f t="shared" si="158"/>
        <v>0</v>
      </c>
      <c r="W142" s="1942">
        <f t="shared" si="158"/>
        <v>0</v>
      </c>
      <c r="X142" s="1942">
        <f t="shared" si="158"/>
        <v>0</v>
      </c>
      <c r="Y142" s="1942">
        <f t="shared" si="158"/>
        <v>0</v>
      </c>
      <c r="Z142" s="1942">
        <f t="shared" si="158"/>
        <v>0</v>
      </c>
      <c r="AA142" s="1942">
        <f t="shared" si="158"/>
        <v>0</v>
      </c>
      <c r="AB142" s="1942">
        <f t="shared" si="158"/>
        <v>0</v>
      </c>
      <c r="AC142" s="2090">
        <f t="shared" si="158"/>
        <v>0</v>
      </c>
      <c r="AD142" s="1942">
        <f t="shared" si="158"/>
        <v>0</v>
      </c>
      <c r="AE142" s="1942">
        <f t="shared" si="158"/>
        <v>0</v>
      </c>
      <c r="AF142" s="1942">
        <f t="shared" si="158"/>
        <v>0</v>
      </c>
      <c r="AG142" s="1942">
        <f t="shared" si="158"/>
        <v>0</v>
      </c>
      <c r="AH142" s="1942">
        <f t="shared" si="158"/>
        <v>0</v>
      </c>
      <c r="AI142" s="1942">
        <f t="shared" si="158"/>
        <v>0</v>
      </c>
      <c r="AJ142" s="1942">
        <f t="shared" si="158"/>
        <v>0</v>
      </c>
      <c r="AK142" s="1942">
        <f t="shared" si="158"/>
        <v>0</v>
      </c>
      <c r="AL142" s="1942">
        <f t="shared" si="158"/>
        <v>0</v>
      </c>
      <c r="AM142" s="1942">
        <f t="shared" si="158"/>
        <v>0</v>
      </c>
      <c r="AN142" s="1942">
        <f t="shared" si="158"/>
        <v>0</v>
      </c>
      <c r="AO142" s="2090">
        <f t="shared" si="158"/>
        <v>0</v>
      </c>
      <c r="AP142" s="1942">
        <f t="shared" si="158"/>
        <v>0</v>
      </c>
      <c r="AQ142" s="1942">
        <f t="shared" si="158"/>
        <v>0</v>
      </c>
      <c r="AR142" s="1942">
        <f t="shared" si="158"/>
        <v>0</v>
      </c>
      <c r="AS142" s="1942">
        <f t="shared" si="158"/>
        <v>0</v>
      </c>
      <c r="AT142" s="1942">
        <f t="shared" si="158"/>
        <v>0</v>
      </c>
      <c r="AU142" s="1942">
        <f t="shared" si="158"/>
        <v>0</v>
      </c>
      <c r="AV142" s="1942">
        <f t="shared" si="158"/>
        <v>0</v>
      </c>
      <c r="AW142" s="1942">
        <f t="shared" si="158"/>
        <v>0</v>
      </c>
      <c r="AX142" s="1942">
        <f t="shared" si="158"/>
        <v>0</v>
      </c>
      <c r="AY142" s="1942">
        <f t="shared" si="158"/>
        <v>0</v>
      </c>
      <c r="AZ142" s="1942">
        <f t="shared" si="158"/>
        <v>0</v>
      </c>
      <c r="BA142" s="2090">
        <f t="shared" si="158"/>
        <v>0</v>
      </c>
      <c r="BB142" s="1942">
        <f t="shared" si="158"/>
        <v>0</v>
      </c>
      <c r="BC142" s="1942">
        <f t="shared" si="158"/>
        <v>0</v>
      </c>
      <c r="BD142" s="1942">
        <f t="shared" si="158"/>
        <v>0</v>
      </c>
      <c r="BE142" s="1942">
        <f t="shared" si="158"/>
        <v>0</v>
      </c>
      <c r="BF142" s="1942">
        <f t="shared" si="158"/>
        <v>0</v>
      </c>
      <c r="BG142" s="1942">
        <f t="shared" si="158"/>
        <v>0</v>
      </c>
      <c r="BH142" s="1942">
        <f t="shared" si="158"/>
        <v>0</v>
      </c>
      <c r="BI142" s="1942">
        <f t="shared" si="158"/>
        <v>0</v>
      </c>
      <c r="BJ142" s="1942">
        <f t="shared" si="158"/>
        <v>0</v>
      </c>
      <c r="BK142" s="1942">
        <f t="shared" si="158"/>
        <v>0</v>
      </c>
      <c r="BL142" s="1942">
        <f t="shared" si="158"/>
        <v>0</v>
      </c>
      <c r="BM142" s="2090">
        <f t="shared" si="158"/>
        <v>0</v>
      </c>
      <c r="BN142" s="1942">
        <f t="shared" si="158"/>
        <v>0</v>
      </c>
      <c r="BO142" s="1942">
        <f t="shared" si="158"/>
        <v>0</v>
      </c>
      <c r="BP142" s="1942">
        <f t="shared" si="158"/>
        <v>0</v>
      </c>
      <c r="BQ142" s="1942">
        <f t="shared" si="158"/>
        <v>0</v>
      </c>
      <c r="BR142" s="1942">
        <f t="shared" si="158"/>
        <v>0</v>
      </c>
      <c r="BS142" s="1942">
        <f t="shared" si="158"/>
        <v>0</v>
      </c>
      <c r="BT142" s="1942">
        <f t="shared" si="158"/>
        <v>0</v>
      </c>
      <c r="BU142" s="1942">
        <f t="shared" si="158"/>
        <v>0</v>
      </c>
      <c r="BV142" s="1942">
        <f t="shared" si="158"/>
        <v>0</v>
      </c>
      <c r="BW142" s="1942">
        <f t="shared" si="158"/>
        <v>0</v>
      </c>
      <c r="BX142" s="1942">
        <f t="shared" si="158"/>
        <v>0</v>
      </c>
      <c r="BY142" s="2090">
        <f t="shared" si="158"/>
        <v>0</v>
      </c>
      <c r="BZ142" s="652"/>
    </row>
    <row r="143" spans="2:78" s="359" customFormat="1">
      <c r="B143" s="358"/>
      <c r="D143" s="366"/>
      <c r="E143" s="359" t="s">
        <v>1407</v>
      </c>
      <c r="F143" s="366"/>
      <c r="G143" s="366"/>
      <c r="H143" s="366">
        <f t="shared" ref="H143:M143" ca="1" si="159">SUM(H139:H142)</f>
        <v>1142652.855904141</v>
      </c>
      <c r="I143" s="366">
        <f t="shared" ca="1" si="159"/>
        <v>852720.16857702774</v>
      </c>
      <c r="J143" s="366">
        <f t="shared" ca="1" si="159"/>
        <v>1031151.4572558713</v>
      </c>
      <c r="K143" s="366">
        <f t="shared" ca="1" si="159"/>
        <v>1317148.0055308901</v>
      </c>
      <c r="L143" s="366">
        <f t="shared" ca="1" si="159"/>
        <v>1628188.6446605688</v>
      </c>
      <c r="M143" s="366">
        <f t="shared" ca="1" si="159"/>
        <v>1899985.3693968651</v>
      </c>
      <c r="N143" s="366"/>
      <c r="O143" s="365"/>
      <c r="P143" s="366"/>
      <c r="Q143" s="366">
        <f ca="1">SUM(Q139:Q142)</f>
        <v>1142652.855904141</v>
      </c>
      <c r="R143" s="1271">
        <f t="shared" ref="R143:BY143" ca="1" si="160">SUM(R139:R142)</f>
        <v>1113446.6128037879</v>
      </c>
      <c r="S143" s="359">
        <f t="shared" ca="1" si="160"/>
        <v>1057354.1578947701</v>
      </c>
      <c r="T143" s="359">
        <f t="shared" ca="1" si="160"/>
        <v>1008267.9131634332</v>
      </c>
      <c r="U143" s="359">
        <f t="shared" ca="1" si="160"/>
        <v>966187.8786097765</v>
      </c>
      <c r="V143" s="359">
        <f t="shared" ca="1" si="160"/>
        <v>931114.05423380062</v>
      </c>
      <c r="W143" s="359">
        <f t="shared" ca="1" si="160"/>
        <v>903046.44003550557</v>
      </c>
      <c r="X143" s="359">
        <f t="shared" ca="1" si="160"/>
        <v>879637.48045933549</v>
      </c>
      <c r="Y143" s="359">
        <f t="shared" ca="1" si="160"/>
        <v>861180.61994973489</v>
      </c>
      <c r="Z143" s="359">
        <f t="shared" ca="1" si="160"/>
        <v>849729.96961781499</v>
      </c>
      <c r="AA143" s="359">
        <f t="shared" ca="1" si="160"/>
        <v>844297.08501913131</v>
      </c>
      <c r="AB143" s="359">
        <f t="shared" ca="1" si="160"/>
        <v>845005.52170923934</v>
      </c>
      <c r="AC143" s="947">
        <f t="shared" ca="1" si="160"/>
        <v>852720.16857702797</v>
      </c>
      <c r="AD143" s="359">
        <f t="shared" ca="1" si="160"/>
        <v>857995.90123041591</v>
      </c>
      <c r="AE143" s="359">
        <f t="shared" ca="1" si="160"/>
        <v>844900.98208204668</v>
      </c>
      <c r="AF143" s="359">
        <f t="shared" ca="1" si="160"/>
        <v>838767.13104517979</v>
      </c>
      <c r="AG143" s="359">
        <f t="shared" ca="1" si="160"/>
        <v>839594.34811981511</v>
      </c>
      <c r="AH143" s="359">
        <f t="shared" ca="1" si="160"/>
        <v>847382.63330595265</v>
      </c>
      <c r="AI143" s="359">
        <f t="shared" ca="1" si="160"/>
        <v>862131.98660359229</v>
      </c>
      <c r="AJ143" s="359">
        <f t="shared" ca="1" si="160"/>
        <v>883842.40801273426</v>
      </c>
      <c r="AK143" s="359">
        <f t="shared" ca="1" si="160"/>
        <v>912513.89753337821</v>
      </c>
      <c r="AL143" s="359">
        <f t="shared" ca="1" si="160"/>
        <v>942173.28746400145</v>
      </c>
      <c r="AM143" s="359">
        <f t="shared" ca="1" si="160"/>
        <v>971832.67739462457</v>
      </c>
      <c r="AN143" s="359">
        <f t="shared" ca="1" si="160"/>
        <v>1001492.0673252482</v>
      </c>
      <c r="AO143" s="947">
        <f t="shared" ca="1" si="160"/>
        <v>1031151.4572558716</v>
      </c>
      <c r="AP143" s="359">
        <f t="shared" ca="1" si="160"/>
        <v>1131926.2826027276</v>
      </c>
      <c r="AQ143" s="359">
        <f t="shared" ca="1" si="160"/>
        <v>1152311.5313284122</v>
      </c>
      <c r="AR143" s="359">
        <f t="shared" ca="1" si="160"/>
        <v>1170614.042499081</v>
      </c>
      <c r="AS143" s="359">
        <f t="shared" ca="1" si="160"/>
        <v>1186895.5939470602</v>
      </c>
      <c r="AT143" s="359">
        <f t="shared" ca="1" si="160"/>
        <v>1203177.1453950389</v>
      </c>
      <c r="AU143" s="359">
        <f t="shared" ca="1" si="160"/>
        <v>1219458.6968430174</v>
      </c>
      <c r="AV143" s="359">
        <f t="shared" ca="1" si="160"/>
        <v>1235740.2482909958</v>
      </c>
      <c r="AW143" s="359">
        <f t="shared" ca="1" si="160"/>
        <v>1252021.7997389752</v>
      </c>
      <c r="AX143" s="359">
        <f t="shared" ca="1" si="160"/>
        <v>1268303.3511869546</v>
      </c>
      <c r="AY143" s="359">
        <f t="shared" ca="1" si="160"/>
        <v>1284584.9026349331</v>
      </c>
      <c r="AZ143" s="359">
        <f t="shared" ca="1" si="160"/>
        <v>1300866.4540829116</v>
      </c>
      <c r="BA143" s="947">
        <f t="shared" ca="1" si="160"/>
        <v>1317148.0055308901</v>
      </c>
      <c r="BB143" s="359">
        <f t="shared" ca="1" si="160"/>
        <v>1406880.2237847343</v>
      </c>
      <c r="BC143" s="359">
        <f t="shared" ca="1" si="160"/>
        <v>1427889.8012602199</v>
      </c>
      <c r="BD143" s="359">
        <f t="shared" ca="1" si="160"/>
        <v>1450043.7434949894</v>
      </c>
      <c r="BE143" s="359">
        <f t="shared" ca="1" si="160"/>
        <v>1469837.621402276</v>
      </c>
      <c r="BF143" s="359">
        <f t="shared" ca="1" si="160"/>
        <v>1489631.4993095626</v>
      </c>
      <c r="BG143" s="359">
        <f t="shared" ca="1" si="160"/>
        <v>1509425.3772168497</v>
      </c>
      <c r="BH143" s="359">
        <f t="shared" ca="1" si="160"/>
        <v>1529219.2551241356</v>
      </c>
      <c r="BI143" s="359">
        <f t="shared" ca="1" si="160"/>
        <v>1549013.1330314213</v>
      </c>
      <c r="BJ143" s="359">
        <f t="shared" ca="1" si="160"/>
        <v>1568807.0109387075</v>
      </c>
      <c r="BK143" s="359">
        <f t="shared" ca="1" si="160"/>
        <v>1588600.8888459934</v>
      </c>
      <c r="BL143" s="359">
        <f t="shared" ca="1" si="160"/>
        <v>1608394.766753281</v>
      </c>
      <c r="BM143" s="947">
        <f t="shared" ca="1" si="160"/>
        <v>1628188.6446605693</v>
      </c>
      <c r="BN143" s="359">
        <f t="shared" ca="1" si="160"/>
        <v>1714632.5060648806</v>
      </c>
      <c r="BO143" s="359">
        <f t="shared" ca="1" si="160"/>
        <v>1739063.3418464006</v>
      </c>
      <c r="BP143" s="359">
        <f t="shared" ca="1" si="160"/>
        <v>1757876.0763120202</v>
      </c>
      <c r="BQ143" s="359">
        <f t="shared" ca="1" si="160"/>
        <v>1773665.997765891</v>
      </c>
      <c r="BR143" s="359">
        <f t="shared" ca="1" si="160"/>
        <v>1789455.9192197619</v>
      </c>
      <c r="BS143" s="359">
        <f t="shared" ca="1" si="160"/>
        <v>1805245.8406736343</v>
      </c>
      <c r="BT143" s="359">
        <f t="shared" ca="1" si="160"/>
        <v>1821035.7621275049</v>
      </c>
      <c r="BU143" s="359">
        <f t="shared" ca="1" si="160"/>
        <v>1836825.6835813778</v>
      </c>
      <c r="BV143" s="359">
        <f t="shared" ca="1" si="160"/>
        <v>1852615.6050352484</v>
      </c>
      <c r="BW143" s="359">
        <f t="shared" ca="1" si="160"/>
        <v>1868405.5264891211</v>
      </c>
      <c r="BX143" s="359">
        <f t="shared" ca="1" si="160"/>
        <v>1884195.4479429936</v>
      </c>
      <c r="BY143" s="947">
        <f t="shared" ca="1" si="160"/>
        <v>1899985.3693968642</v>
      </c>
      <c r="BZ143" s="652">
        <f ca="1">ROUND(M143-BY143,0)</f>
        <v>0</v>
      </c>
    </row>
    <row r="144" spans="2:78" s="359" customFormat="1">
      <c r="B144" s="358"/>
      <c r="D144" s="366"/>
      <c r="F144" s="366"/>
      <c r="G144" s="366"/>
      <c r="H144" s="366"/>
      <c r="N144" s="366"/>
      <c r="O144" s="365"/>
      <c r="P144" s="366"/>
      <c r="Q144" s="366"/>
      <c r="R144" s="1271"/>
      <c r="AC144" s="947"/>
      <c r="AO144" s="947"/>
      <c r="BA144" s="947"/>
      <c r="BM144" s="947"/>
      <c r="BY144" s="947"/>
      <c r="BZ144" s="652"/>
    </row>
    <row r="145" spans="2:78" s="359" customFormat="1">
      <c r="B145" s="358"/>
      <c r="D145" s="366"/>
      <c r="E145" s="359" t="s">
        <v>1408</v>
      </c>
      <c r="F145" s="366"/>
      <c r="G145" s="366"/>
      <c r="H145" s="1941">
        <f>IF(Type="DeNovo", H249, H249+'1.3 EssBS'!D15)</f>
        <v>2100398.42</v>
      </c>
      <c r="I145" s="359">
        <f>H145-I186</f>
        <v>2182724.4616666664</v>
      </c>
      <c r="J145" s="359">
        <f>I145-J186</f>
        <v>2274422.2324999999</v>
      </c>
      <c r="K145" s="359">
        <f>J145-K186</f>
        <v>2366088.3616666663</v>
      </c>
      <c r="L145" s="359">
        <f>K145-L186</f>
        <v>2441782.0328333331</v>
      </c>
      <c r="M145" s="359">
        <f>L145-M186</f>
        <v>2510991.938093333</v>
      </c>
      <c r="N145" s="366"/>
      <c r="O145" s="365"/>
      <c r="P145" s="366"/>
      <c r="Q145" s="366">
        <f>H145</f>
        <v>2100398.42</v>
      </c>
      <c r="R145" s="1271">
        <f t="shared" ref="R145:AW145" si="161">Q145-R186</f>
        <v>2107258.9234722219</v>
      </c>
      <c r="S145" s="359">
        <f t="shared" si="161"/>
        <v>2114119.426944444</v>
      </c>
      <c r="T145" s="359">
        <f t="shared" si="161"/>
        <v>2120979.930416666</v>
      </c>
      <c r="U145" s="359">
        <f t="shared" si="161"/>
        <v>2127840.433888888</v>
      </c>
      <c r="V145" s="359">
        <f t="shared" si="161"/>
        <v>2134700.93736111</v>
      </c>
      <c r="W145" s="359">
        <f t="shared" si="161"/>
        <v>2141561.440833332</v>
      </c>
      <c r="X145" s="359">
        <f t="shared" si="161"/>
        <v>2148421.944305554</v>
      </c>
      <c r="Y145" s="359">
        <f t="shared" si="161"/>
        <v>2155282.447777776</v>
      </c>
      <c r="Z145" s="359">
        <f t="shared" si="161"/>
        <v>2162142.9512499981</v>
      </c>
      <c r="AA145" s="359">
        <f t="shared" si="161"/>
        <v>2169003.4547222201</v>
      </c>
      <c r="AB145" s="359">
        <f t="shared" si="161"/>
        <v>2175863.9581944421</v>
      </c>
      <c r="AC145" s="947">
        <f t="shared" si="161"/>
        <v>2182724.4616666641</v>
      </c>
      <c r="AD145" s="359">
        <f t="shared" si="161"/>
        <v>2190365.9425694421</v>
      </c>
      <c r="AE145" s="359">
        <f t="shared" si="161"/>
        <v>2198007.4234722201</v>
      </c>
      <c r="AF145" s="359">
        <f t="shared" si="161"/>
        <v>2205648.9043749981</v>
      </c>
      <c r="AG145" s="359">
        <f t="shared" si="161"/>
        <v>2213290.385277776</v>
      </c>
      <c r="AH145" s="359">
        <f t="shared" si="161"/>
        <v>2220931.866180554</v>
      </c>
      <c r="AI145" s="359">
        <f t="shared" si="161"/>
        <v>2228573.347083332</v>
      </c>
      <c r="AJ145" s="359">
        <f t="shared" si="161"/>
        <v>2236214.82798611</v>
      </c>
      <c r="AK145" s="359">
        <f t="shared" si="161"/>
        <v>2243856.308888888</v>
      </c>
      <c r="AL145" s="359">
        <f t="shared" si="161"/>
        <v>2251497.789791666</v>
      </c>
      <c r="AM145" s="359">
        <f t="shared" si="161"/>
        <v>2259139.270694444</v>
      </c>
      <c r="AN145" s="359">
        <f t="shared" si="161"/>
        <v>2266780.7515972219</v>
      </c>
      <c r="AO145" s="947">
        <f t="shared" si="161"/>
        <v>2274422.2324999999</v>
      </c>
      <c r="AP145" s="359">
        <f t="shared" si="161"/>
        <v>2282061.0765972221</v>
      </c>
      <c r="AQ145" s="359">
        <f t="shared" si="161"/>
        <v>2289699.9206944443</v>
      </c>
      <c r="AR145" s="359">
        <f t="shared" si="161"/>
        <v>2297338.7647916665</v>
      </c>
      <c r="AS145" s="359">
        <f t="shared" si="161"/>
        <v>2304977.6088888887</v>
      </c>
      <c r="AT145" s="359">
        <f t="shared" si="161"/>
        <v>2312616.4529861109</v>
      </c>
      <c r="AU145" s="359">
        <f t="shared" si="161"/>
        <v>2320255.2970833331</v>
      </c>
      <c r="AV145" s="359">
        <f t="shared" si="161"/>
        <v>2327894.1411805553</v>
      </c>
      <c r="AW145" s="359">
        <f t="shared" si="161"/>
        <v>2335532.9852777775</v>
      </c>
      <c r="AX145" s="359">
        <f t="shared" ref="AX145:BY145" si="162">AW145-AX186</f>
        <v>2343171.8293749997</v>
      </c>
      <c r="AY145" s="359">
        <f t="shared" si="162"/>
        <v>2350810.6734722219</v>
      </c>
      <c r="AZ145" s="359">
        <f t="shared" si="162"/>
        <v>2358449.5175694441</v>
      </c>
      <c r="BA145" s="947">
        <f t="shared" si="162"/>
        <v>2366088.3616666663</v>
      </c>
      <c r="BB145" s="359">
        <f t="shared" si="162"/>
        <v>2372396.1675972217</v>
      </c>
      <c r="BC145" s="359">
        <f t="shared" si="162"/>
        <v>2378703.973527777</v>
      </c>
      <c r="BD145" s="359">
        <f t="shared" si="162"/>
        <v>2385011.7794583323</v>
      </c>
      <c r="BE145" s="359">
        <f t="shared" si="162"/>
        <v>2391319.5853888877</v>
      </c>
      <c r="BF145" s="359">
        <f t="shared" si="162"/>
        <v>2397627.391319443</v>
      </c>
      <c r="BG145" s="359">
        <f t="shared" si="162"/>
        <v>2403935.1972499983</v>
      </c>
      <c r="BH145" s="359">
        <f t="shared" si="162"/>
        <v>2410243.0031805537</v>
      </c>
      <c r="BI145" s="359">
        <f t="shared" si="162"/>
        <v>2416550.809111109</v>
      </c>
      <c r="BJ145" s="359">
        <f t="shared" si="162"/>
        <v>2422858.6150416643</v>
      </c>
      <c r="BK145" s="359">
        <f t="shared" si="162"/>
        <v>2429166.4209722197</v>
      </c>
      <c r="BL145" s="359">
        <f t="shared" si="162"/>
        <v>2435474.226902775</v>
      </c>
      <c r="BM145" s="947">
        <f t="shared" si="162"/>
        <v>2441782.0328333303</v>
      </c>
      <c r="BN145" s="359">
        <f t="shared" si="162"/>
        <v>2447549.5249383305</v>
      </c>
      <c r="BO145" s="359">
        <f t="shared" si="162"/>
        <v>2453317.0170433307</v>
      </c>
      <c r="BP145" s="359">
        <f t="shared" si="162"/>
        <v>2459084.5091483309</v>
      </c>
      <c r="BQ145" s="359">
        <f t="shared" si="162"/>
        <v>2464852.0012533311</v>
      </c>
      <c r="BR145" s="359">
        <f t="shared" si="162"/>
        <v>2470619.4933583313</v>
      </c>
      <c r="BS145" s="359">
        <f t="shared" si="162"/>
        <v>2476386.9854633315</v>
      </c>
      <c r="BT145" s="359">
        <f t="shared" si="162"/>
        <v>2482154.4775683316</v>
      </c>
      <c r="BU145" s="359">
        <f t="shared" si="162"/>
        <v>2487921.9696733318</v>
      </c>
      <c r="BV145" s="359">
        <f t="shared" si="162"/>
        <v>2493689.461778332</v>
      </c>
      <c r="BW145" s="359">
        <f t="shared" si="162"/>
        <v>2499456.9538833322</v>
      </c>
      <c r="BX145" s="359">
        <f t="shared" si="162"/>
        <v>2505224.4459883324</v>
      </c>
      <c r="BY145" s="947">
        <f t="shared" si="162"/>
        <v>2510991.9380933326</v>
      </c>
      <c r="BZ145" s="652">
        <f>ROUND(M145-BY145,0)</f>
        <v>0</v>
      </c>
    </row>
    <row r="146" spans="2:78" s="359" customFormat="1">
      <c r="B146" s="358"/>
      <c r="D146" s="366"/>
      <c r="E146" s="359" t="s">
        <v>1409</v>
      </c>
      <c r="F146" s="366"/>
      <c r="G146" s="366"/>
      <c r="H146" s="1942">
        <f>IF(Type="DeNovo", 0,'1.3 EssBS'!D16)</f>
        <v>0</v>
      </c>
      <c r="I146" s="364">
        <f>H146-I97</f>
        <v>-157913.01833333334</v>
      </c>
      <c r="J146" s="364">
        <f>I146-J97</f>
        <v>-328925.71821428568</v>
      </c>
      <c r="K146" s="364">
        <f>J146-K97</f>
        <v>-513033.57940476184</v>
      </c>
      <c r="L146" s="364">
        <f>K146-L97</f>
        <v>-707954.82219047612</v>
      </c>
      <c r="M146" s="364">
        <f>L146-M97</f>
        <v>-912763.19429904758</v>
      </c>
      <c r="N146" s="366"/>
      <c r="O146" s="365"/>
      <c r="P146" s="366"/>
      <c r="Q146" s="364">
        <f>H146</f>
        <v>0</v>
      </c>
      <c r="R146" s="1272">
        <f t="shared" ref="R146:AW146" si="163">Q146-R97</f>
        <v>-13159.418194444444</v>
      </c>
      <c r="S146" s="364">
        <f t="shared" si="163"/>
        <v>-26318.836388888889</v>
      </c>
      <c r="T146" s="364">
        <f t="shared" si="163"/>
        <v>-39478.254583333335</v>
      </c>
      <c r="U146" s="364">
        <f t="shared" si="163"/>
        <v>-52637.672777777778</v>
      </c>
      <c r="V146" s="364">
        <f t="shared" si="163"/>
        <v>-65797.090972222228</v>
      </c>
      <c r="W146" s="364">
        <f t="shared" si="163"/>
        <v>-78956.50916666667</v>
      </c>
      <c r="X146" s="364">
        <f t="shared" si="163"/>
        <v>-92115.927361111113</v>
      </c>
      <c r="Y146" s="364">
        <f t="shared" si="163"/>
        <v>-105275.34555555556</v>
      </c>
      <c r="Z146" s="364">
        <f t="shared" si="163"/>
        <v>-118434.76375</v>
      </c>
      <c r="AA146" s="364">
        <f t="shared" si="163"/>
        <v>-131594.18194444446</v>
      </c>
      <c r="AB146" s="364">
        <f t="shared" si="163"/>
        <v>-144753.6001388889</v>
      </c>
      <c r="AC146" s="949">
        <f t="shared" si="163"/>
        <v>-157913.01833333334</v>
      </c>
      <c r="AD146" s="364">
        <f t="shared" si="163"/>
        <v>-172164.07665674604</v>
      </c>
      <c r="AE146" s="364">
        <f t="shared" si="163"/>
        <v>-186415.13498015873</v>
      </c>
      <c r="AF146" s="364">
        <f t="shared" si="163"/>
        <v>-200666.19330357143</v>
      </c>
      <c r="AG146" s="364">
        <f t="shared" si="163"/>
        <v>-214917.25162698413</v>
      </c>
      <c r="AH146" s="364">
        <f t="shared" si="163"/>
        <v>-229168.30995039683</v>
      </c>
      <c r="AI146" s="364">
        <f t="shared" si="163"/>
        <v>-243419.36827380952</v>
      </c>
      <c r="AJ146" s="364">
        <f t="shared" si="163"/>
        <v>-257670.42659722222</v>
      </c>
      <c r="AK146" s="364">
        <f t="shared" si="163"/>
        <v>-271921.48492063489</v>
      </c>
      <c r="AL146" s="364">
        <f t="shared" si="163"/>
        <v>-286172.54324404756</v>
      </c>
      <c r="AM146" s="364">
        <f t="shared" si="163"/>
        <v>-300423.60156746022</v>
      </c>
      <c r="AN146" s="364">
        <f t="shared" si="163"/>
        <v>-314674.65989087289</v>
      </c>
      <c r="AO146" s="949">
        <f t="shared" si="163"/>
        <v>-328925.71821428556</v>
      </c>
      <c r="AP146" s="364">
        <f t="shared" si="163"/>
        <v>-344268.03998015856</v>
      </c>
      <c r="AQ146" s="364">
        <f t="shared" si="163"/>
        <v>-359610.36174603156</v>
      </c>
      <c r="AR146" s="364">
        <f t="shared" si="163"/>
        <v>-374952.68351190456</v>
      </c>
      <c r="AS146" s="364">
        <f t="shared" si="163"/>
        <v>-390295.00527777756</v>
      </c>
      <c r="AT146" s="364">
        <f t="shared" si="163"/>
        <v>-405637.32704365056</v>
      </c>
      <c r="AU146" s="364">
        <f t="shared" si="163"/>
        <v>-420979.64880952355</v>
      </c>
      <c r="AV146" s="364">
        <f t="shared" si="163"/>
        <v>-436321.97057539655</v>
      </c>
      <c r="AW146" s="364">
        <f t="shared" si="163"/>
        <v>-451664.29234126955</v>
      </c>
      <c r="AX146" s="364">
        <f t="shared" ref="AX146:BY146" si="164">AW146-AX97</f>
        <v>-467006.61410714255</v>
      </c>
      <c r="AY146" s="364">
        <f t="shared" si="164"/>
        <v>-482348.93587301555</v>
      </c>
      <c r="AZ146" s="364">
        <f t="shared" si="164"/>
        <v>-497691.25763888855</v>
      </c>
      <c r="BA146" s="949">
        <f t="shared" si="164"/>
        <v>-513033.57940476155</v>
      </c>
      <c r="BB146" s="364">
        <f t="shared" si="164"/>
        <v>-529277.01630357106</v>
      </c>
      <c r="BC146" s="364">
        <f t="shared" si="164"/>
        <v>-545520.45320238057</v>
      </c>
      <c r="BD146" s="364">
        <f t="shared" si="164"/>
        <v>-561763.89010119007</v>
      </c>
      <c r="BE146" s="364">
        <f t="shared" si="164"/>
        <v>-578007.32699999958</v>
      </c>
      <c r="BF146" s="364">
        <f t="shared" si="164"/>
        <v>-594250.76389880909</v>
      </c>
      <c r="BG146" s="364">
        <f t="shared" si="164"/>
        <v>-610494.2007976186</v>
      </c>
      <c r="BH146" s="364">
        <f t="shared" si="164"/>
        <v>-626737.63769642811</v>
      </c>
      <c r="BI146" s="364">
        <f t="shared" si="164"/>
        <v>-642981.07459523762</v>
      </c>
      <c r="BJ146" s="364">
        <f t="shared" si="164"/>
        <v>-659224.51149404712</v>
      </c>
      <c r="BK146" s="364">
        <f t="shared" si="164"/>
        <v>-675467.94839285663</v>
      </c>
      <c r="BL146" s="364">
        <f t="shared" si="164"/>
        <v>-691711.38529166614</v>
      </c>
      <c r="BM146" s="949">
        <f t="shared" si="164"/>
        <v>-707954.82219047565</v>
      </c>
      <c r="BN146" s="364">
        <f t="shared" si="164"/>
        <v>-725022.18653285655</v>
      </c>
      <c r="BO146" s="364">
        <f t="shared" si="164"/>
        <v>-742089.55087523744</v>
      </c>
      <c r="BP146" s="364">
        <f t="shared" si="164"/>
        <v>-759156.91521761834</v>
      </c>
      <c r="BQ146" s="364">
        <f t="shared" si="164"/>
        <v>-776224.27955999924</v>
      </c>
      <c r="BR146" s="364">
        <f t="shared" si="164"/>
        <v>-793291.64390238014</v>
      </c>
      <c r="BS146" s="364">
        <f t="shared" si="164"/>
        <v>-810359.00824476103</v>
      </c>
      <c r="BT146" s="364">
        <f t="shared" si="164"/>
        <v>-827426.37258714193</v>
      </c>
      <c r="BU146" s="364">
        <f t="shared" si="164"/>
        <v>-844493.73692952283</v>
      </c>
      <c r="BV146" s="364">
        <f t="shared" si="164"/>
        <v>-861561.10127190372</v>
      </c>
      <c r="BW146" s="364">
        <f t="shared" si="164"/>
        <v>-878628.46561428462</v>
      </c>
      <c r="BX146" s="364">
        <f t="shared" si="164"/>
        <v>-895695.82995666552</v>
      </c>
      <c r="BY146" s="949">
        <f t="shared" si="164"/>
        <v>-912763.19429904642</v>
      </c>
      <c r="BZ146" s="652">
        <f>ROUND(M146-BY146,0)</f>
        <v>0</v>
      </c>
    </row>
    <row r="147" spans="2:78" s="359" customFormat="1">
      <c r="B147" s="358"/>
      <c r="D147" s="366"/>
      <c r="E147" s="359" t="s">
        <v>1410</v>
      </c>
      <c r="F147" s="366"/>
      <c r="G147" s="366"/>
      <c r="H147" s="366">
        <f t="shared" ref="H147:M147" si="165">SUM(H145:H146)</f>
        <v>2100398.42</v>
      </c>
      <c r="I147" s="359">
        <f t="shared" si="165"/>
        <v>2024811.4433333331</v>
      </c>
      <c r="J147" s="359">
        <f t="shared" si="165"/>
        <v>1945496.5142857144</v>
      </c>
      <c r="K147" s="359">
        <f t="shared" si="165"/>
        <v>1853054.7822619046</v>
      </c>
      <c r="L147" s="359">
        <f t="shared" si="165"/>
        <v>1733827.210642857</v>
      </c>
      <c r="M147" s="359">
        <f t="shared" si="165"/>
        <v>1598228.7437942855</v>
      </c>
      <c r="N147" s="366"/>
      <c r="O147" s="365"/>
      <c r="P147" s="366"/>
      <c r="Q147" s="366">
        <f>H147</f>
        <v>2100398.42</v>
      </c>
      <c r="R147" s="1271">
        <f t="shared" ref="R147:AW147" si="166">SUM(R145:R146)</f>
        <v>2094099.5052777776</v>
      </c>
      <c r="S147" s="359">
        <f t="shared" si="166"/>
        <v>2087800.590555555</v>
      </c>
      <c r="T147" s="359">
        <f t="shared" si="166"/>
        <v>2081501.6758333326</v>
      </c>
      <c r="U147" s="359">
        <f t="shared" si="166"/>
        <v>2075202.7611111102</v>
      </c>
      <c r="V147" s="359">
        <f t="shared" si="166"/>
        <v>2068903.8463888878</v>
      </c>
      <c r="W147" s="359">
        <f t="shared" si="166"/>
        <v>2062604.9316666652</v>
      </c>
      <c r="X147" s="359">
        <f t="shared" si="166"/>
        <v>2056306.0169444429</v>
      </c>
      <c r="Y147" s="359">
        <f t="shared" si="166"/>
        <v>2050007.1022222205</v>
      </c>
      <c r="Z147" s="359">
        <f t="shared" si="166"/>
        <v>2043708.1874999981</v>
      </c>
      <c r="AA147" s="359">
        <f t="shared" si="166"/>
        <v>2037409.2727777755</v>
      </c>
      <c r="AB147" s="359">
        <f t="shared" si="166"/>
        <v>2031110.3580555532</v>
      </c>
      <c r="AC147" s="947">
        <f t="shared" si="166"/>
        <v>2024811.4433333308</v>
      </c>
      <c r="AD147" s="359">
        <f t="shared" si="166"/>
        <v>2018201.8659126961</v>
      </c>
      <c r="AE147" s="359">
        <f t="shared" si="166"/>
        <v>2011592.2884920614</v>
      </c>
      <c r="AF147" s="359">
        <f t="shared" si="166"/>
        <v>2004982.7110714265</v>
      </c>
      <c r="AG147" s="359">
        <f t="shared" si="166"/>
        <v>1998373.1336507918</v>
      </c>
      <c r="AH147" s="359">
        <f t="shared" si="166"/>
        <v>1991763.5562301571</v>
      </c>
      <c r="AI147" s="359">
        <f t="shared" si="166"/>
        <v>1985153.9788095225</v>
      </c>
      <c r="AJ147" s="359">
        <f t="shared" si="166"/>
        <v>1978544.4013888878</v>
      </c>
      <c r="AK147" s="359">
        <f t="shared" si="166"/>
        <v>1971934.8239682531</v>
      </c>
      <c r="AL147" s="359">
        <f t="shared" si="166"/>
        <v>1965325.2465476184</v>
      </c>
      <c r="AM147" s="359">
        <f t="shared" si="166"/>
        <v>1958715.6691269837</v>
      </c>
      <c r="AN147" s="359">
        <f t="shared" si="166"/>
        <v>1952106.091706349</v>
      </c>
      <c r="AO147" s="947">
        <f t="shared" si="166"/>
        <v>1945496.5142857144</v>
      </c>
      <c r="AP147" s="359">
        <f t="shared" si="166"/>
        <v>1937793.0366170635</v>
      </c>
      <c r="AQ147" s="359">
        <f t="shared" si="166"/>
        <v>1930089.5589484128</v>
      </c>
      <c r="AR147" s="359">
        <f t="shared" si="166"/>
        <v>1922386.0812797621</v>
      </c>
      <c r="AS147" s="359">
        <f t="shared" si="166"/>
        <v>1914682.6036111112</v>
      </c>
      <c r="AT147" s="359">
        <f t="shared" si="166"/>
        <v>1906979.1259424603</v>
      </c>
      <c r="AU147" s="359">
        <f t="shared" si="166"/>
        <v>1899275.6482738096</v>
      </c>
      <c r="AV147" s="359">
        <f t="shared" si="166"/>
        <v>1891572.1706051589</v>
      </c>
      <c r="AW147" s="359">
        <f t="shared" si="166"/>
        <v>1883868.692936508</v>
      </c>
      <c r="AX147" s="359">
        <f t="shared" ref="AX147:BY147" si="167">SUM(AX145:AX146)</f>
        <v>1876165.2152678571</v>
      </c>
      <c r="AY147" s="359">
        <f t="shared" si="167"/>
        <v>1868461.7375992064</v>
      </c>
      <c r="AZ147" s="359">
        <f t="shared" si="167"/>
        <v>1860758.2599305557</v>
      </c>
      <c r="BA147" s="947">
        <f t="shared" si="167"/>
        <v>1853054.7822619048</v>
      </c>
      <c r="BB147" s="359">
        <f t="shared" si="167"/>
        <v>1843119.1512936507</v>
      </c>
      <c r="BC147" s="359">
        <f t="shared" si="167"/>
        <v>1833183.5203253964</v>
      </c>
      <c r="BD147" s="359">
        <f t="shared" si="167"/>
        <v>1823247.8893571422</v>
      </c>
      <c r="BE147" s="359">
        <f t="shared" si="167"/>
        <v>1813312.2583888881</v>
      </c>
      <c r="BF147" s="359">
        <f t="shared" si="167"/>
        <v>1803376.627420634</v>
      </c>
      <c r="BG147" s="359">
        <f t="shared" si="167"/>
        <v>1793440.9964523797</v>
      </c>
      <c r="BH147" s="359">
        <f t="shared" si="167"/>
        <v>1783505.3654841254</v>
      </c>
      <c r="BI147" s="359">
        <f t="shared" si="167"/>
        <v>1773569.7345158714</v>
      </c>
      <c r="BJ147" s="359">
        <f t="shared" si="167"/>
        <v>1763634.1035476173</v>
      </c>
      <c r="BK147" s="359">
        <f t="shared" si="167"/>
        <v>1753698.472579363</v>
      </c>
      <c r="BL147" s="359">
        <f t="shared" si="167"/>
        <v>1743762.8416111087</v>
      </c>
      <c r="BM147" s="947">
        <f t="shared" si="167"/>
        <v>1733827.2106428547</v>
      </c>
      <c r="BN147" s="359">
        <f t="shared" si="167"/>
        <v>1722527.3384054741</v>
      </c>
      <c r="BO147" s="359">
        <f t="shared" si="167"/>
        <v>1711227.4661680933</v>
      </c>
      <c r="BP147" s="359">
        <f t="shared" si="167"/>
        <v>1699927.5939307124</v>
      </c>
      <c r="BQ147" s="359">
        <f t="shared" si="167"/>
        <v>1688627.7216933318</v>
      </c>
      <c r="BR147" s="359">
        <f t="shared" si="167"/>
        <v>1677327.8494559512</v>
      </c>
      <c r="BS147" s="359">
        <f t="shared" si="167"/>
        <v>1666027.9772185704</v>
      </c>
      <c r="BT147" s="359">
        <f t="shared" si="167"/>
        <v>1654728.1049811896</v>
      </c>
      <c r="BU147" s="359">
        <f t="shared" si="167"/>
        <v>1643428.232743809</v>
      </c>
      <c r="BV147" s="359">
        <f t="shared" si="167"/>
        <v>1632128.3605064284</v>
      </c>
      <c r="BW147" s="359">
        <f t="shared" si="167"/>
        <v>1620828.4882690476</v>
      </c>
      <c r="BX147" s="359">
        <f t="shared" si="167"/>
        <v>1609528.6160316668</v>
      </c>
      <c r="BY147" s="947">
        <f t="shared" si="167"/>
        <v>1598228.7437942862</v>
      </c>
      <c r="BZ147" s="652">
        <f>ROUND(M147-BY147,0)</f>
        <v>0</v>
      </c>
    </row>
    <row r="148" spans="2:78" s="359" customFormat="1">
      <c r="B148" s="358"/>
      <c r="D148" s="366"/>
      <c r="F148" s="366"/>
      <c r="G148" s="366"/>
      <c r="H148" s="366"/>
      <c r="N148" s="366"/>
      <c r="O148" s="365"/>
      <c r="P148" s="366"/>
      <c r="Q148" s="366"/>
      <c r="R148" s="1271"/>
      <c r="AC148" s="947"/>
      <c r="AO148" s="947"/>
      <c r="BA148" s="947"/>
      <c r="BM148" s="947"/>
      <c r="BY148" s="947"/>
      <c r="BZ148" s="652"/>
    </row>
    <row r="149" spans="2:78" s="359" customFormat="1">
      <c r="B149" s="358"/>
      <c r="D149" s="366"/>
      <c r="E149" s="359" t="s">
        <v>1411</v>
      </c>
      <c r="F149" s="366"/>
      <c r="G149" s="366"/>
      <c r="H149" s="1938">
        <f>IF(Type="DeNovo", PtrIS!P32, PtrIS!P32+SUM('1.3 EssBS'!D17:D21))</f>
        <v>65250</v>
      </c>
      <c r="I149" s="359">
        <f>H149-I98</f>
        <v>58725</v>
      </c>
      <c r="J149" s="359">
        <f>I149-J98</f>
        <v>52200</v>
      </c>
      <c r="K149" s="359">
        <f>J149-K98</f>
        <v>45675</v>
      </c>
      <c r="L149" s="359">
        <f>K149-L98</f>
        <v>39150</v>
      </c>
      <c r="M149" s="359">
        <f>L149-M98</f>
        <v>32625</v>
      </c>
      <c r="N149" s="366"/>
      <c r="O149" s="365"/>
      <c r="P149" s="366"/>
      <c r="Q149" s="366">
        <f>H149</f>
        <v>65250</v>
      </c>
      <c r="R149" s="1271">
        <f t="shared" ref="R149:AW149" si="168">Q149-R98</f>
        <v>64706.25</v>
      </c>
      <c r="S149" s="359">
        <f t="shared" si="168"/>
        <v>64162.5</v>
      </c>
      <c r="T149" s="359">
        <f t="shared" si="168"/>
        <v>63618.75</v>
      </c>
      <c r="U149" s="359">
        <f t="shared" si="168"/>
        <v>63075</v>
      </c>
      <c r="V149" s="359">
        <f t="shared" si="168"/>
        <v>62531.25</v>
      </c>
      <c r="W149" s="359">
        <f t="shared" si="168"/>
        <v>61987.5</v>
      </c>
      <c r="X149" s="359">
        <f t="shared" si="168"/>
        <v>61443.75</v>
      </c>
      <c r="Y149" s="359">
        <f t="shared" si="168"/>
        <v>60900</v>
      </c>
      <c r="Z149" s="359">
        <f t="shared" si="168"/>
        <v>60356.25</v>
      </c>
      <c r="AA149" s="359">
        <f t="shared" si="168"/>
        <v>59812.5</v>
      </c>
      <c r="AB149" s="359">
        <f t="shared" si="168"/>
        <v>59268.75</v>
      </c>
      <c r="AC149" s="947">
        <f t="shared" si="168"/>
        <v>58725</v>
      </c>
      <c r="AD149" s="359">
        <f t="shared" si="168"/>
        <v>58181.25</v>
      </c>
      <c r="AE149" s="359">
        <f t="shared" si="168"/>
        <v>57637.5</v>
      </c>
      <c r="AF149" s="359">
        <f t="shared" si="168"/>
        <v>57093.75</v>
      </c>
      <c r="AG149" s="359">
        <f t="shared" si="168"/>
        <v>56550</v>
      </c>
      <c r="AH149" s="359">
        <f t="shared" si="168"/>
        <v>56006.25</v>
      </c>
      <c r="AI149" s="359">
        <f t="shared" si="168"/>
        <v>55462.5</v>
      </c>
      <c r="AJ149" s="359">
        <f t="shared" si="168"/>
        <v>54918.75</v>
      </c>
      <c r="AK149" s="359">
        <f t="shared" si="168"/>
        <v>54375</v>
      </c>
      <c r="AL149" s="359">
        <f t="shared" si="168"/>
        <v>53831.25</v>
      </c>
      <c r="AM149" s="359">
        <f t="shared" si="168"/>
        <v>53287.5</v>
      </c>
      <c r="AN149" s="359">
        <f t="shared" si="168"/>
        <v>52743.75</v>
      </c>
      <c r="AO149" s="947">
        <f t="shared" si="168"/>
        <v>52200</v>
      </c>
      <c r="AP149" s="359">
        <f t="shared" si="168"/>
        <v>51656.25</v>
      </c>
      <c r="AQ149" s="359">
        <f t="shared" si="168"/>
        <v>51112.5</v>
      </c>
      <c r="AR149" s="359">
        <f t="shared" si="168"/>
        <v>50568.75</v>
      </c>
      <c r="AS149" s="359">
        <f t="shared" si="168"/>
        <v>50025</v>
      </c>
      <c r="AT149" s="359">
        <f t="shared" si="168"/>
        <v>49481.25</v>
      </c>
      <c r="AU149" s="359">
        <f t="shared" si="168"/>
        <v>48937.5</v>
      </c>
      <c r="AV149" s="359">
        <f t="shared" si="168"/>
        <v>48393.75</v>
      </c>
      <c r="AW149" s="359">
        <f t="shared" si="168"/>
        <v>47850</v>
      </c>
      <c r="AX149" s="359">
        <f t="shared" ref="AX149:BY149" si="169">AW149-AX98</f>
        <v>47306.25</v>
      </c>
      <c r="AY149" s="359">
        <f t="shared" si="169"/>
        <v>46762.5</v>
      </c>
      <c r="AZ149" s="359">
        <f t="shared" si="169"/>
        <v>46218.75</v>
      </c>
      <c r="BA149" s="947">
        <f t="shared" si="169"/>
        <v>45675</v>
      </c>
      <c r="BB149" s="359">
        <f t="shared" si="169"/>
        <v>45131.25</v>
      </c>
      <c r="BC149" s="359">
        <f t="shared" si="169"/>
        <v>44587.5</v>
      </c>
      <c r="BD149" s="359">
        <f t="shared" si="169"/>
        <v>44043.75</v>
      </c>
      <c r="BE149" s="359">
        <f t="shared" si="169"/>
        <v>43500</v>
      </c>
      <c r="BF149" s="359">
        <f t="shared" si="169"/>
        <v>42956.25</v>
      </c>
      <c r="BG149" s="359">
        <f t="shared" si="169"/>
        <v>42412.5</v>
      </c>
      <c r="BH149" s="359">
        <f t="shared" si="169"/>
        <v>41868.75</v>
      </c>
      <c r="BI149" s="359">
        <f t="shared" si="169"/>
        <v>41325</v>
      </c>
      <c r="BJ149" s="359">
        <f t="shared" si="169"/>
        <v>40781.25</v>
      </c>
      <c r="BK149" s="359">
        <f t="shared" si="169"/>
        <v>40237.5</v>
      </c>
      <c r="BL149" s="359">
        <f t="shared" si="169"/>
        <v>39693.75</v>
      </c>
      <c r="BM149" s="947">
        <f t="shared" si="169"/>
        <v>39150</v>
      </c>
      <c r="BN149" s="359">
        <f t="shared" si="169"/>
        <v>38606.25</v>
      </c>
      <c r="BO149" s="359">
        <f t="shared" si="169"/>
        <v>38062.5</v>
      </c>
      <c r="BP149" s="359">
        <f t="shared" si="169"/>
        <v>37518.75</v>
      </c>
      <c r="BQ149" s="359">
        <f t="shared" si="169"/>
        <v>36975</v>
      </c>
      <c r="BR149" s="359">
        <f t="shared" si="169"/>
        <v>36431.25</v>
      </c>
      <c r="BS149" s="359">
        <f t="shared" si="169"/>
        <v>35887.5</v>
      </c>
      <c r="BT149" s="359">
        <f t="shared" si="169"/>
        <v>35343.75</v>
      </c>
      <c r="BU149" s="359">
        <f t="shared" si="169"/>
        <v>34800</v>
      </c>
      <c r="BV149" s="359">
        <f t="shared" si="169"/>
        <v>34256.25</v>
      </c>
      <c r="BW149" s="359">
        <f t="shared" si="169"/>
        <v>33712.5</v>
      </c>
      <c r="BX149" s="359">
        <f t="shared" si="169"/>
        <v>33168.75</v>
      </c>
      <c r="BY149" s="947">
        <f t="shared" si="169"/>
        <v>32625</v>
      </c>
      <c r="BZ149" s="652">
        <f>ROUND(M149-BY149,0)</f>
        <v>0</v>
      </c>
    </row>
    <row r="150" spans="2:78" s="359" customFormat="1">
      <c r="B150" s="358"/>
      <c r="D150" s="366"/>
      <c r="F150" s="366"/>
      <c r="G150" s="366"/>
      <c r="H150" s="366"/>
      <c r="N150" s="366"/>
      <c r="O150" s="365"/>
      <c r="P150" s="366"/>
      <c r="Q150" s="366"/>
      <c r="R150" s="1271"/>
      <c r="AC150" s="947"/>
      <c r="AO150" s="947"/>
      <c r="BA150" s="947"/>
      <c r="BM150" s="947"/>
      <c r="BY150" s="947"/>
      <c r="BZ150" s="652"/>
    </row>
    <row r="151" spans="2:78" s="363" customFormat="1" ht="12" thickBot="1">
      <c r="B151" s="362"/>
      <c r="D151" s="368"/>
      <c r="E151" s="363" t="s">
        <v>1412</v>
      </c>
      <c r="F151" s="368"/>
      <c r="G151" s="368"/>
      <c r="H151" s="369">
        <f t="shared" ref="H151:M151" ca="1" si="170">H143+H147+H149</f>
        <v>3308301.2759041409</v>
      </c>
      <c r="I151" s="369">
        <f t="shared" ca="1" si="170"/>
        <v>2936256.6119103609</v>
      </c>
      <c r="J151" s="369">
        <f t="shared" ca="1" si="170"/>
        <v>3028847.9715415854</v>
      </c>
      <c r="K151" s="369">
        <f t="shared" ca="1" si="170"/>
        <v>3215877.7877927944</v>
      </c>
      <c r="L151" s="369">
        <f t="shared" ca="1" si="170"/>
        <v>3401165.8553034258</v>
      </c>
      <c r="M151" s="369">
        <f t="shared" ca="1" si="170"/>
        <v>3530839.1131911506</v>
      </c>
      <c r="N151" s="368"/>
      <c r="O151" s="367"/>
      <c r="P151" s="368"/>
      <c r="Q151" s="369">
        <f t="shared" ref="Q151:BY151" ca="1" si="171">Q143+Q147+Q149</f>
        <v>3308301.2759041409</v>
      </c>
      <c r="R151" s="1273">
        <f t="shared" ca="1" si="171"/>
        <v>3272252.3680815655</v>
      </c>
      <c r="S151" s="369">
        <f t="shared" ca="1" si="171"/>
        <v>3209317.2484503249</v>
      </c>
      <c r="T151" s="369">
        <f t="shared" ca="1" si="171"/>
        <v>3153388.3389967657</v>
      </c>
      <c r="U151" s="369">
        <f t="shared" ca="1" si="171"/>
        <v>3104465.6397208869</v>
      </c>
      <c r="V151" s="369">
        <f t="shared" ca="1" si="171"/>
        <v>3062549.1506226882</v>
      </c>
      <c r="W151" s="369">
        <f t="shared" ca="1" si="171"/>
        <v>3027638.8717021709</v>
      </c>
      <c r="X151" s="369">
        <f t="shared" ca="1" si="171"/>
        <v>2997387.2474037781</v>
      </c>
      <c r="Y151" s="369">
        <f t="shared" ca="1" si="171"/>
        <v>2972087.7221719553</v>
      </c>
      <c r="Z151" s="369">
        <f t="shared" ca="1" si="171"/>
        <v>2953794.4071178129</v>
      </c>
      <c r="AA151" s="369">
        <f t="shared" ca="1" si="171"/>
        <v>2941518.857796907</v>
      </c>
      <c r="AB151" s="369">
        <f t="shared" ca="1" si="171"/>
        <v>2935384.6297647925</v>
      </c>
      <c r="AC151" s="950">
        <f t="shared" ca="1" si="171"/>
        <v>2936256.611910359</v>
      </c>
      <c r="AD151" s="369">
        <f t="shared" ca="1" si="171"/>
        <v>2934379.0171431121</v>
      </c>
      <c r="AE151" s="369">
        <f t="shared" ca="1" si="171"/>
        <v>2914130.7705741082</v>
      </c>
      <c r="AF151" s="369">
        <f t="shared" ca="1" si="171"/>
        <v>2900843.5921166064</v>
      </c>
      <c r="AG151" s="369">
        <f t="shared" ca="1" si="171"/>
        <v>2894517.4817706067</v>
      </c>
      <c r="AH151" s="369">
        <f t="shared" ca="1" si="171"/>
        <v>2895152.4395361096</v>
      </c>
      <c r="AI151" s="369">
        <f t="shared" ca="1" si="171"/>
        <v>2902748.465413115</v>
      </c>
      <c r="AJ151" s="369">
        <f t="shared" ca="1" si="171"/>
        <v>2917305.559401622</v>
      </c>
      <c r="AK151" s="369">
        <f t="shared" ca="1" si="171"/>
        <v>2938823.7215016312</v>
      </c>
      <c r="AL151" s="369">
        <f t="shared" ca="1" si="171"/>
        <v>2961329.7840116201</v>
      </c>
      <c r="AM151" s="369">
        <f t="shared" ca="1" si="171"/>
        <v>2983835.8465216085</v>
      </c>
      <c r="AN151" s="369">
        <f t="shared" ca="1" si="171"/>
        <v>3006341.909031597</v>
      </c>
      <c r="AO151" s="950">
        <f t="shared" ca="1" si="171"/>
        <v>3028847.9715415859</v>
      </c>
      <c r="AP151" s="369">
        <f t="shared" ca="1" si="171"/>
        <v>3121375.5692197913</v>
      </c>
      <c r="AQ151" s="369">
        <f t="shared" ca="1" si="171"/>
        <v>3133513.5902768252</v>
      </c>
      <c r="AR151" s="369">
        <f t="shared" ca="1" si="171"/>
        <v>3143568.8737788433</v>
      </c>
      <c r="AS151" s="369">
        <f t="shared" ca="1" si="171"/>
        <v>3151603.1975581711</v>
      </c>
      <c r="AT151" s="369">
        <f t="shared" ca="1" si="171"/>
        <v>3159637.5213374989</v>
      </c>
      <c r="AU151" s="369">
        <f t="shared" ca="1" si="171"/>
        <v>3167671.8451168267</v>
      </c>
      <c r="AV151" s="369">
        <f t="shared" ca="1" si="171"/>
        <v>3175706.1688961545</v>
      </c>
      <c r="AW151" s="369">
        <f t="shared" ca="1" si="171"/>
        <v>3183740.4926754832</v>
      </c>
      <c r="AX151" s="369">
        <f t="shared" ca="1" si="171"/>
        <v>3191774.816454812</v>
      </c>
      <c r="AY151" s="369">
        <f t="shared" ca="1" si="171"/>
        <v>3199809.1402341397</v>
      </c>
      <c r="AZ151" s="369">
        <f t="shared" ca="1" si="171"/>
        <v>3207843.4640134675</v>
      </c>
      <c r="BA151" s="950">
        <f t="shared" ca="1" si="171"/>
        <v>3215877.7877927949</v>
      </c>
      <c r="BB151" s="369">
        <f t="shared" ca="1" si="171"/>
        <v>3295130.6250783848</v>
      </c>
      <c r="BC151" s="369">
        <f t="shared" ca="1" si="171"/>
        <v>3305660.8215856161</v>
      </c>
      <c r="BD151" s="369">
        <f t="shared" ca="1" si="171"/>
        <v>3317335.3828521315</v>
      </c>
      <c r="BE151" s="369">
        <f t="shared" ca="1" si="171"/>
        <v>3326649.8797911638</v>
      </c>
      <c r="BF151" s="369">
        <f t="shared" ca="1" si="171"/>
        <v>3335964.3767301966</v>
      </c>
      <c r="BG151" s="369">
        <f t="shared" ca="1" si="171"/>
        <v>3345278.8736692294</v>
      </c>
      <c r="BH151" s="369">
        <f t="shared" ca="1" si="171"/>
        <v>3354593.3706082609</v>
      </c>
      <c r="BI151" s="369">
        <f t="shared" ca="1" si="171"/>
        <v>3363907.8675472927</v>
      </c>
      <c r="BJ151" s="369">
        <f t="shared" ca="1" si="171"/>
        <v>3373222.3644863246</v>
      </c>
      <c r="BK151" s="369">
        <f t="shared" ca="1" si="171"/>
        <v>3382536.8614253565</v>
      </c>
      <c r="BL151" s="369">
        <f t="shared" ca="1" si="171"/>
        <v>3391851.3583643897</v>
      </c>
      <c r="BM151" s="950">
        <f t="shared" ca="1" si="171"/>
        <v>3401165.8553034239</v>
      </c>
      <c r="BN151" s="369">
        <f t="shared" ca="1" si="171"/>
        <v>3475766.0944703547</v>
      </c>
      <c r="BO151" s="369">
        <f t="shared" ca="1" si="171"/>
        <v>3488353.3080144939</v>
      </c>
      <c r="BP151" s="369">
        <f t="shared" ca="1" si="171"/>
        <v>3495322.4202427324</v>
      </c>
      <c r="BQ151" s="369">
        <f t="shared" ca="1" si="171"/>
        <v>3499268.7194592226</v>
      </c>
      <c r="BR151" s="369">
        <f t="shared" ca="1" si="171"/>
        <v>3503215.0186757129</v>
      </c>
      <c r="BS151" s="369">
        <f t="shared" ca="1" si="171"/>
        <v>3507161.317892205</v>
      </c>
      <c r="BT151" s="369">
        <f t="shared" ca="1" si="171"/>
        <v>3511107.6171086943</v>
      </c>
      <c r="BU151" s="369">
        <f t="shared" ca="1" si="171"/>
        <v>3515053.9163251868</v>
      </c>
      <c r="BV151" s="369">
        <f t="shared" ca="1" si="171"/>
        <v>3519000.2155416766</v>
      </c>
      <c r="BW151" s="369">
        <f t="shared" ca="1" si="171"/>
        <v>3522946.5147581687</v>
      </c>
      <c r="BX151" s="369">
        <f t="shared" ca="1" si="171"/>
        <v>3526892.8139746604</v>
      </c>
      <c r="BY151" s="950">
        <f t="shared" ca="1" si="171"/>
        <v>3530839.1131911501</v>
      </c>
      <c r="BZ151" s="653">
        <f ca="1">ROUND(M151-BY151,0)</f>
        <v>0</v>
      </c>
    </row>
    <row r="152" spans="2:78" s="359" customFormat="1" ht="12" thickTop="1">
      <c r="B152" s="358"/>
      <c r="D152" s="366"/>
      <c r="F152" s="366"/>
      <c r="G152" s="366"/>
      <c r="H152" s="366"/>
      <c r="N152" s="366"/>
      <c r="O152" s="365"/>
      <c r="P152" s="366"/>
      <c r="Q152" s="366"/>
      <c r="R152" s="1271"/>
      <c r="AC152" s="947"/>
      <c r="AO152" s="947"/>
      <c r="BA152" s="947"/>
      <c r="BM152" s="947"/>
      <c r="BY152" s="947"/>
      <c r="BZ152" s="652"/>
    </row>
    <row r="153" spans="2:78" s="359" customFormat="1">
      <c r="B153" s="358"/>
      <c r="D153" s="366"/>
      <c r="E153" s="359" t="s">
        <v>1414</v>
      </c>
      <c r="F153" s="366"/>
      <c r="G153" s="366"/>
      <c r="H153" s="366"/>
      <c r="N153" s="366"/>
      <c r="O153" s="365"/>
      <c r="P153" s="366"/>
      <c r="Q153" s="366"/>
      <c r="R153" s="1271"/>
      <c r="AC153" s="947"/>
      <c r="AO153" s="947"/>
      <c r="BA153" s="947"/>
      <c r="BM153" s="947"/>
      <c r="BY153" s="947"/>
      <c r="BZ153" s="652"/>
    </row>
    <row r="154" spans="2:78" s="359" customFormat="1">
      <c r="B154" s="358"/>
      <c r="D154" s="366"/>
      <c r="F154" s="366"/>
      <c r="G154" s="366"/>
      <c r="H154" s="366"/>
      <c r="N154" s="366"/>
      <c r="O154" s="365"/>
      <c r="P154" s="366"/>
      <c r="Q154" s="366"/>
      <c r="R154" s="1271"/>
      <c r="AC154" s="947"/>
      <c r="AO154" s="947"/>
      <c r="BA154" s="947"/>
      <c r="BM154" s="947"/>
      <c r="BY154" s="947"/>
      <c r="BZ154" s="652"/>
    </row>
    <row r="155" spans="2:78" s="363" customFormat="1">
      <c r="B155" s="362"/>
      <c r="D155" s="368"/>
      <c r="E155" s="363" t="s">
        <v>1274</v>
      </c>
      <c r="F155" s="368"/>
      <c r="G155" s="368"/>
      <c r="H155" s="2081">
        <f>IF(Type="DeNovo", 0, '1.3 EssBS'!D26)</f>
        <v>0</v>
      </c>
      <c r="I155" s="363">
        <f>AC155</f>
        <v>43942.14102877165</v>
      </c>
      <c r="J155" s="363">
        <f>AO155</f>
        <v>87583.187440321082</v>
      </c>
      <c r="K155" s="363">
        <f>BA155</f>
        <v>120126.0095734255</v>
      </c>
      <c r="L155" s="363">
        <f>BM155</f>
        <v>150447.02974797011</v>
      </c>
      <c r="M155" s="363">
        <f>BY155</f>
        <v>175358.82049541554</v>
      </c>
      <c r="N155" s="368"/>
      <c r="O155" s="367"/>
      <c r="P155" s="368"/>
      <c r="Q155" s="2081">
        <f>H155</f>
        <v>0</v>
      </c>
      <c r="R155" s="1268">
        <f t="shared" ref="R155:AW155" si="172">SUM(R80,R85,R86,R92)*R173/30</f>
        <v>18972.704128769768</v>
      </c>
      <c r="S155" s="363">
        <f t="shared" si="172"/>
        <v>21242.652937860847</v>
      </c>
      <c r="T155" s="363">
        <f t="shared" si="172"/>
        <v>23512.601746951928</v>
      </c>
      <c r="U155" s="363">
        <f t="shared" si="172"/>
        <v>25782.55055604301</v>
      </c>
      <c r="V155" s="363">
        <f t="shared" si="172"/>
        <v>28052.499365134088</v>
      </c>
      <c r="W155" s="363">
        <f t="shared" si="172"/>
        <v>30322.448174225166</v>
      </c>
      <c r="X155" s="363">
        <f t="shared" si="172"/>
        <v>32592.396983316248</v>
      </c>
      <c r="Y155" s="363">
        <f t="shared" si="172"/>
        <v>34862.34579240733</v>
      </c>
      <c r="Z155" s="363">
        <f t="shared" si="172"/>
        <v>37132.294601498405</v>
      </c>
      <c r="AA155" s="363">
        <f t="shared" si="172"/>
        <v>39402.243410589486</v>
      </c>
      <c r="AB155" s="363">
        <f t="shared" si="172"/>
        <v>41672.192219680568</v>
      </c>
      <c r="AC155" s="948">
        <f t="shared" si="172"/>
        <v>43942.14102877165</v>
      </c>
      <c r="AD155" s="363">
        <f t="shared" si="172"/>
        <v>63815.930650221926</v>
      </c>
      <c r="AE155" s="363">
        <f t="shared" si="172"/>
        <v>65976.590358412766</v>
      </c>
      <c r="AF155" s="363">
        <f t="shared" si="172"/>
        <v>68137.250066603592</v>
      </c>
      <c r="AG155" s="363">
        <f t="shared" si="172"/>
        <v>70297.909774794432</v>
      </c>
      <c r="AH155" s="363">
        <f t="shared" si="172"/>
        <v>72458.569482985244</v>
      </c>
      <c r="AI155" s="363">
        <f t="shared" si="172"/>
        <v>74619.229191176099</v>
      </c>
      <c r="AJ155" s="363">
        <f t="shared" si="172"/>
        <v>76779.888899366924</v>
      </c>
      <c r="AK155" s="363">
        <f t="shared" si="172"/>
        <v>78940.54860755775</v>
      </c>
      <c r="AL155" s="363">
        <f t="shared" si="172"/>
        <v>81101.20831574859</v>
      </c>
      <c r="AM155" s="363">
        <f t="shared" si="172"/>
        <v>83261.868023939431</v>
      </c>
      <c r="AN155" s="363">
        <f t="shared" si="172"/>
        <v>85422.527732130271</v>
      </c>
      <c r="AO155" s="948">
        <f t="shared" si="172"/>
        <v>87583.187440321082</v>
      </c>
      <c r="AP155" s="363">
        <f t="shared" si="172"/>
        <v>104202.56387781548</v>
      </c>
      <c r="AQ155" s="363">
        <f t="shared" si="172"/>
        <v>105650.14985014366</v>
      </c>
      <c r="AR155" s="363">
        <f t="shared" si="172"/>
        <v>107097.73582247185</v>
      </c>
      <c r="AS155" s="363">
        <f t="shared" si="172"/>
        <v>108545.32179480004</v>
      </c>
      <c r="AT155" s="363">
        <f t="shared" si="172"/>
        <v>109992.90776712821</v>
      </c>
      <c r="AU155" s="363">
        <f t="shared" si="172"/>
        <v>111440.4937394564</v>
      </c>
      <c r="AV155" s="363">
        <f t="shared" si="172"/>
        <v>112888.07971178458</v>
      </c>
      <c r="AW155" s="363">
        <f t="shared" si="172"/>
        <v>114335.66568411278</v>
      </c>
      <c r="AX155" s="363">
        <f t="shared" ref="AX155:BY155" si="173">SUM(AX80,AX85,AX86,AX92)*AX173/30</f>
        <v>115783.25165644096</v>
      </c>
      <c r="AY155" s="363">
        <f t="shared" si="173"/>
        <v>117230.83762876915</v>
      </c>
      <c r="AZ155" s="363">
        <f t="shared" si="173"/>
        <v>118678.42360109733</v>
      </c>
      <c r="BA155" s="948">
        <f t="shared" si="173"/>
        <v>120126.0095734255</v>
      </c>
      <c r="BB155" s="363">
        <f t="shared" si="173"/>
        <v>135327.68221995002</v>
      </c>
      <c r="BC155" s="363">
        <f t="shared" si="173"/>
        <v>136702.16835886092</v>
      </c>
      <c r="BD155" s="363">
        <f t="shared" si="173"/>
        <v>138076.65449777187</v>
      </c>
      <c r="BE155" s="363">
        <f t="shared" si="173"/>
        <v>139451.14063668277</v>
      </c>
      <c r="BF155" s="363">
        <f t="shared" si="173"/>
        <v>140825.62677559367</v>
      </c>
      <c r="BG155" s="363">
        <f t="shared" si="173"/>
        <v>142200.1129145046</v>
      </c>
      <c r="BH155" s="363">
        <f t="shared" si="173"/>
        <v>143574.5990534155</v>
      </c>
      <c r="BI155" s="363">
        <f t="shared" si="173"/>
        <v>144949.08519232643</v>
      </c>
      <c r="BJ155" s="363">
        <f t="shared" si="173"/>
        <v>146323.57133123733</v>
      </c>
      <c r="BK155" s="363">
        <f t="shared" si="173"/>
        <v>147698.05747014825</v>
      </c>
      <c r="BL155" s="363">
        <f t="shared" si="173"/>
        <v>149072.54360905915</v>
      </c>
      <c r="BM155" s="948">
        <f t="shared" si="173"/>
        <v>150447.02974797011</v>
      </c>
      <c r="BN155" s="363">
        <f t="shared" si="173"/>
        <v>164448.07557455872</v>
      </c>
      <c r="BO155" s="363">
        <f t="shared" si="173"/>
        <v>165439.96147645483</v>
      </c>
      <c r="BP155" s="363">
        <f t="shared" si="173"/>
        <v>166431.84737835091</v>
      </c>
      <c r="BQ155" s="363">
        <f t="shared" si="173"/>
        <v>167423.73328024696</v>
      </c>
      <c r="BR155" s="363">
        <f t="shared" si="173"/>
        <v>168415.61918214307</v>
      </c>
      <c r="BS155" s="363">
        <f t="shared" si="173"/>
        <v>169407.50508403909</v>
      </c>
      <c r="BT155" s="363">
        <f t="shared" si="173"/>
        <v>170399.3909859352</v>
      </c>
      <c r="BU155" s="363">
        <f t="shared" si="173"/>
        <v>171391.27688783122</v>
      </c>
      <c r="BV155" s="363">
        <f t="shared" si="173"/>
        <v>172383.1627897273</v>
      </c>
      <c r="BW155" s="363">
        <f t="shared" si="173"/>
        <v>173375.04869162338</v>
      </c>
      <c r="BX155" s="363">
        <f t="shared" si="173"/>
        <v>174366.93459351949</v>
      </c>
      <c r="BY155" s="948">
        <f t="shared" si="173"/>
        <v>175358.82049541554</v>
      </c>
      <c r="BZ155" s="653">
        <f>ROUND(M155-BY155,0)</f>
        <v>0</v>
      </c>
    </row>
    <row r="156" spans="2:78" s="359" customFormat="1">
      <c r="B156" s="358"/>
      <c r="D156" s="366"/>
      <c r="E156" s="359" t="s">
        <v>1415</v>
      </c>
      <c r="F156" s="366"/>
      <c r="G156" s="366"/>
      <c r="H156" s="1941">
        <f>IF(Type="DeNovo", 0, '1.3 EssBS'!D27)</f>
        <v>0</v>
      </c>
      <c r="I156" s="359">
        <f>AC156</f>
        <v>20108.666666666668</v>
      </c>
      <c r="J156" s="359">
        <f>AO156</f>
        <v>27727.256666666668</v>
      </c>
      <c r="K156" s="359">
        <f>BA156</f>
        <v>37895.253697777778</v>
      </c>
      <c r="L156" s="359">
        <f>BM156</f>
        <v>47220.90019757962</v>
      </c>
      <c r="M156" s="359">
        <f>BY156</f>
        <v>54480.195588333925</v>
      </c>
      <c r="N156" s="366"/>
      <c r="O156" s="365"/>
      <c r="P156" s="366"/>
      <c r="Q156" s="1941">
        <f>H156</f>
        <v>0</v>
      </c>
      <c r="R156" s="1271">
        <f t="shared" ref="R156:AW156" si="174">R77*R174/30</f>
        <v>17189.666666666668</v>
      </c>
      <c r="S156" s="359">
        <f t="shared" si="174"/>
        <v>17189.666666666668</v>
      </c>
      <c r="T156" s="359">
        <f t="shared" si="174"/>
        <v>17189.666666666668</v>
      </c>
      <c r="U156" s="359">
        <f t="shared" si="174"/>
        <v>17189.666666666668</v>
      </c>
      <c r="V156" s="359">
        <f t="shared" si="174"/>
        <v>17189.666666666668</v>
      </c>
      <c r="W156" s="359">
        <f t="shared" si="174"/>
        <v>17189.666666666668</v>
      </c>
      <c r="X156" s="359">
        <f t="shared" si="174"/>
        <v>19243.777777777777</v>
      </c>
      <c r="Y156" s="359">
        <f t="shared" si="174"/>
        <v>19243.777777777777</v>
      </c>
      <c r="Z156" s="359">
        <f t="shared" si="174"/>
        <v>19243.777777777777</v>
      </c>
      <c r="AA156" s="359">
        <f t="shared" si="174"/>
        <v>20108.666666666668</v>
      </c>
      <c r="AB156" s="359">
        <f t="shared" si="174"/>
        <v>20108.666666666668</v>
      </c>
      <c r="AC156" s="947">
        <f t="shared" si="174"/>
        <v>20108.666666666668</v>
      </c>
      <c r="AD156" s="359">
        <f t="shared" si="174"/>
        <v>27727.256666666668</v>
      </c>
      <c r="AE156" s="359">
        <f t="shared" si="174"/>
        <v>27727.256666666668</v>
      </c>
      <c r="AF156" s="359">
        <f t="shared" si="174"/>
        <v>27727.256666666668</v>
      </c>
      <c r="AG156" s="359">
        <f t="shared" si="174"/>
        <v>27727.256666666668</v>
      </c>
      <c r="AH156" s="359">
        <f t="shared" si="174"/>
        <v>27727.256666666668</v>
      </c>
      <c r="AI156" s="359">
        <f t="shared" si="174"/>
        <v>27727.256666666668</v>
      </c>
      <c r="AJ156" s="359">
        <f t="shared" si="174"/>
        <v>27727.256666666668</v>
      </c>
      <c r="AK156" s="359">
        <f t="shared" si="174"/>
        <v>27727.256666666668</v>
      </c>
      <c r="AL156" s="359">
        <f t="shared" si="174"/>
        <v>27727.256666666668</v>
      </c>
      <c r="AM156" s="359">
        <f t="shared" si="174"/>
        <v>27727.256666666668</v>
      </c>
      <c r="AN156" s="359">
        <f t="shared" si="174"/>
        <v>27727.256666666668</v>
      </c>
      <c r="AO156" s="947">
        <f t="shared" si="174"/>
        <v>27727.256666666668</v>
      </c>
      <c r="AP156" s="359">
        <f t="shared" si="174"/>
        <v>37895.253697777778</v>
      </c>
      <c r="AQ156" s="359">
        <f t="shared" si="174"/>
        <v>37895.253697777778</v>
      </c>
      <c r="AR156" s="359">
        <f t="shared" si="174"/>
        <v>37895.253697777778</v>
      </c>
      <c r="AS156" s="359">
        <f t="shared" si="174"/>
        <v>37895.253697777778</v>
      </c>
      <c r="AT156" s="359">
        <f t="shared" si="174"/>
        <v>37895.253697777778</v>
      </c>
      <c r="AU156" s="359">
        <f t="shared" si="174"/>
        <v>37895.253697777778</v>
      </c>
      <c r="AV156" s="359">
        <f t="shared" si="174"/>
        <v>37895.253697777778</v>
      </c>
      <c r="AW156" s="359">
        <f t="shared" si="174"/>
        <v>37895.253697777778</v>
      </c>
      <c r="AX156" s="359">
        <f t="shared" ref="AX156:BY156" si="175">AX77*AX174/30</f>
        <v>37895.253697777778</v>
      </c>
      <c r="AY156" s="359">
        <f t="shared" si="175"/>
        <v>37895.253697777778</v>
      </c>
      <c r="AZ156" s="359">
        <f t="shared" si="175"/>
        <v>37895.253697777778</v>
      </c>
      <c r="BA156" s="947">
        <f t="shared" si="175"/>
        <v>37895.253697777778</v>
      </c>
      <c r="BB156" s="359">
        <f t="shared" si="175"/>
        <v>47220.90019757962</v>
      </c>
      <c r="BC156" s="359">
        <f t="shared" si="175"/>
        <v>47220.90019757962</v>
      </c>
      <c r="BD156" s="359">
        <f t="shared" si="175"/>
        <v>47220.90019757962</v>
      </c>
      <c r="BE156" s="359">
        <f t="shared" si="175"/>
        <v>47220.90019757962</v>
      </c>
      <c r="BF156" s="359">
        <f t="shared" si="175"/>
        <v>47220.90019757962</v>
      </c>
      <c r="BG156" s="359">
        <f t="shared" si="175"/>
        <v>47220.90019757962</v>
      </c>
      <c r="BH156" s="359">
        <f t="shared" si="175"/>
        <v>47220.90019757962</v>
      </c>
      <c r="BI156" s="359">
        <f t="shared" si="175"/>
        <v>47220.90019757962</v>
      </c>
      <c r="BJ156" s="359">
        <f t="shared" si="175"/>
        <v>47220.90019757962</v>
      </c>
      <c r="BK156" s="359">
        <f t="shared" si="175"/>
        <v>47220.90019757962</v>
      </c>
      <c r="BL156" s="359">
        <f t="shared" si="175"/>
        <v>47220.90019757962</v>
      </c>
      <c r="BM156" s="947">
        <f t="shared" si="175"/>
        <v>47220.90019757962</v>
      </c>
      <c r="BN156" s="359">
        <f t="shared" si="175"/>
        <v>54480.195588333925</v>
      </c>
      <c r="BO156" s="359">
        <f t="shared" si="175"/>
        <v>54480.195588333925</v>
      </c>
      <c r="BP156" s="359">
        <f t="shared" si="175"/>
        <v>54480.195588333925</v>
      </c>
      <c r="BQ156" s="359">
        <f t="shared" si="175"/>
        <v>54480.195588333925</v>
      </c>
      <c r="BR156" s="359">
        <f t="shared" si="175"/>
        <v>54480.195588333925</v>
      </c>
      <c r="BS156" s="359">
        <f t="shared" si="175"/>
        <v>54480.195588333925</v>
      </c>
      <c r="BT156" s="359">
        <f t="shared" si="175"/>
        <v>54480.195588333925</v>
      </c>
      <c r="BU156" s="359">
        <f t="shared" si="175"/>
        <v>54480.195588333925</v>
      </c>
      <c r="BV156" s="359">
        <f t="shared" si="175"/>
        <v>54480.195588333925</v>
      </c>
      <c r="BW156" s="359">
        <f t="shared" si="175"/>
        <v>54480.195588333925</v>
      </c>
      <c r="BX156" s="359">
        <f t="shared" si="175"/>
        <v>54480.195588333925</v>
      </c>
      <c r="BY156" s="947">
        <f t="shared" si="175"/>
        <v>54480.195588333925</v>
      </c>
      <c r="BZ156" s="652">
        <f>ROUND(M156-BY156,0)</f>
        <v>0</v>
      </c>
    </row>
    <row r="157" spans="2:78" s="359" customFormat="1">
      <c r="B157" s="358"/>
      <c r="D157" s="366"/>
      <c r="E157" s="359" t="s">
        <v>1417</v>
      </c>
      <c r="F157" s="366"/>
      <c r="G157" s="366"/>
      <c r="H157" s="366"/>
      <c r="I157" s="366"/>
      <c r="J157" s="366"/>
      <c r="K157" s="366"/>
      <c r="L157" s="366"/>
      <c r="M157" s="366"/>
      <c r="N157" s="366"/>
      <c r="O157" s="365"/>
      <c r="P157" s="366"/>
      <c r="Q157" s="366"/>
      <c r="R157" s="1271"/>
      <c r="S157" s="366"/>
      <c r="T157" s="366"/>
      <c r="U157" s="366"/>
      <c r="V157" s="366"/>
      <c r="W157" s="366"/>
      <c r="X157" s="366"/>
      <c r="Y157" s="366"/>
      <c r="Z157" s="366"/>
      <c r="AA157" s="366"/>
      <c r="AB157" s="366"/>
      <c r="AC157" s="947"/>
      <c r="AD157" s="366"/>
      <c r="AE157" s="366"/>
      <c r="AF157" s="366"/>
      <c r="AG157" s="366"/>
      <c r="AH157" s="366"/>
      <c r="AI157" s="366"/>
      <c r="AJ157" s="366"/>
      <c r="AK157" s="366"/>
      <c r="AL157" s="366"/>
      <c r="AM157" s="366"/>
      <c r="AN157" s="366"/>
      <c r="AO157" s="947"/>
      <c r="AP157" s="366"/>
      <c r="AQ157" s="366"/>
      <c r="AR157" s="366"/>
      <c r="AS157" s="366"/>
      <c r="AT157" s="366"/>
      <c r="AU157" s="366"/>
      <c r="AV157" s="366"/>
      <c r="AW157" s="366"/>
      <c r="AX157" s="366"/>
      <c r="AY157" s="366"/>
      <c r="AZ157" s="366"/>
      <c r="BA157" s="947"/>
      <c r="BB157" s="366"/>
      <c r="BC157" s="366"/>
      <c r="BD157" s="366"/>
      <c r="BE157" s="366"/>
      <c r="BF157" s="366"/>
      <c r="BG157" s="366"/>
      <c r="BH157" s="366"/>
      <c r="BI157" s="366"/>
      <c r="BJ157" s="366"/>
      <c r="BK157" s="366"/>
      <c r="BL157" s="366"/>
      <c r="BM157" s="947"/>
      <c r="BN157" s="366"/>
      <c r="BO157" s="366"/>
      <c r="BP157" s="366"/>
      <c r="BQ157" s="366"/>
      <c r="BR157" s="366"/>
      <c r="BS157" s="366"/>
      <c r="BT157" s="366"/>
      <c r="BU157" s="366"/>
      <c r="BV157" s="366"/>
      <c r="BW157" s="366"/>
      <c r="BX157" s="366"/>
      <c r="BY157" s="947"/>
      <c r="BZ157" s="652">
        <f>ROUND(M157-BY157,0)</f>
        <v>0</v>
      </c>
    </row>
    <row r="158" spans="2:78" s="359" customFormat="1">
      <c r="B158" s="358"/>
      <c r="D158" s="366"/>
      <c r="E158" s="359" t="s">
        <v>521</v>
      </c>
      <c r="F158" s="366"/>
      <c r="G158" s="366"/>
      <c r="H158" s="1942">
        <f>IF(Type="DeNovo", 0, '1.3 EssBS'!D28+'1.3 EssBS'!D31)</f>
        <v>0</v>
      </c>
      <c r="I158" s="1942">
        <f>H158</f>
        <v>0</v>
      </c>
      <c r="J158" s="1942">
        <f>I158</f>
        <v>0</v>
      </c>
      <c r="K158" s="1942">
        <f>J158</f>
        <v>0</v>
      </c>
      <c r="L158" s="1942">
        <f>K158</f>
        <v>0</v>
      </c>
      <c r="M158" s="1942">
        <f>L158</f>
        <v>0</v>
      </c>
      <c r="N158" s="366"/>
      <c r="O158" s="365"/>
      <c r="P158" s="366"/>
      <c r="Q158" s="1942">
        <f>H158</f>
        <v>0</v>
      </c>
      <c r="R158" s="2089">
        <f>Q158</f>
        <v>0</v>
      </c>
      <c r="S158" s="1942">
        <f t="shared" ref="S158:BY158" si="176">R158</f>
        <v>0</v>
      </c>
      <c r="T158" s="1942">
        <f t="shared" si="176"/>
        <v>0</v>
      </c>
      <c r="U158" s="1942">
        <f t="shared" si="176"/>
        <v>0</v>
      </c>
      <c r="V158" s="1942">
        <f t="shared" si="176"/>
        <v>0</v>
      </c>
      <c r="W158" s="1942">
        <f t="shared" si="176"/>
        <v>0</v>
      </c>
      <c r="X158" s="1942">
        <f t="shared" si="176"/>
        <v>0</v>
      </c>
      <c r="Y158" s="1942">
        <f t="shared" si="176"/>
        <v>0</v>
      </c>
      <c r="Z158" s="1942">
        <f t="shared" si="176"/>
        <v>0</v>
      </c>
      <c r="AA158" s="1942">
        <f t="shared" si="176"/>
        <v>0</v>
      </c>
      <c r="AB158" s="1942">
        <f t="shared" si="176"/>
        <v>0</v>
      </c>
      <c r="AC158" s="2090">
        <f t="shared" si="176"/>
        <v>0</v>
      </c>
      <c r="AD158" s="1942">
        <f t="shared" si="176"/>
        <v>0</v>
      </c>
      <c r="AE158" s="1942">
        <f t="shared" si="176"/>
        <v>0</v>
      </c>
      <c r="AF158" s="1942">
        <f t="shared" si="176"/>
        <v>0</v>
      </c>
      <c r="AG158" s="1942">
        <f t="shared" si="176"/>
        <v>0</v>
      </c>
      <c r="AH158" s="1942">
        <f t="shared" si="176"/>
        <v>0</v>
      </c>
      <c r="AI158" s="1942">
        <f t="shared" si="176"/>
        <v>0</v>
      </c>
      <c r="AJ158" s="1942">
        <f t="shared" si="176"/>
        <v>0</v>
      </c>
      <c r="AK158" s="1942">
        <f t="shared" si="176"/>
        <v>0</v>
      </c>
      <c r="AL158" s="1942">
        <f t="shared" si="176"/>
        <v>0</v>
      </c>
      <c r="AM158" s="1942">
        <f t="shared" si="176"/>
        <v>0</v>
      </c>
      <c r="AN158" s="1942">
        <f t="shared" si="176"/>
        <v>0</v>
      </c>
      <c r="AO158" s="2090">
        <f t="shared" si="176"/>
        <v>0</v>
      </c>
      <c r="AP158" s="1942">
        <f t="shared" si="176"/>
        <v>0</v>
      </c>
      <c r="AQ158" s="1942">
        <f t="shared" si="176"/>
        <v>0</v>
      </c>
      <c r="AR158" s="1942">
        <f t="shared" si="176"/>
        <v>0</v>
      </c>
      <c r="AS158" s="1942">
        <f t="shared" si="176"/>
        <v>0</v>
      </c>
      <c r="AT158" s="1942">
        <f t="shared" si="176"/>
        <v>0</v>
      </c>
      <c r="AU158" s="1942">
        <f t="shared" si="176"/>
        <v>0</v>
      </c>
      <c r="AV158" s="1942">
        <f t="shared" si="176"/>
        <v>0</v>
      </c>
      <c r="AW158" s="1942">
        <f t="shared" si="176"/>
        <v>0</v>
      </c>
      <c r="AX158" s="1942">
        <f t="shared" si="176"/>
        <v>0</v>
      </c>
      <c r="AY158" s="1942">
        <f t="shared" si="176"/>
        <v>0</v>
      </c>
      <c r="AZ158" s="1942">
        <f t="shared" si="176"/>
        <v>0</v>
      </c>
      <c r="BA158" s="2090">
        <f t="shared" si="176"/>
        <v>0</v>
      </c>
      <c r="BB158" s="1942">
        <f t="shared" si="176"/>
        <v>0</v>
      </c>
      <c r="BC158" s="1942">
        <f t="shared" si="176"/>
        <v>0</v>
      </c>
      <c r="BD158" s="1942">
        <f t="shared" si="176"/>
        <v>0</v>
      </c>
      <c r="BE158" s="1942">
        <f t="shared" si="176"/>
        <v>0</v>
      </c>
      <c r="BF158" s="1942">
        <f t="shared" si="176"/>
        <v>0</v>
      </c>
      <c r="BG158" s="1942">
        <f t="shared" si="176"/>
        <v>0</v>
      </c>
      <c r="BH158" s="1942">
        <f t="shared" si="176"/>
        <v>0</v>
      </c>
      <c r="BI158" s="1942">
        <f t="shared" si="176"/>
        <v>0</v>
      </c>
      <c r="BJ158" s="1942">
        <f t="shared" si="176"/>
        <v>0</v>
      </c>
      <c r="BK158" s="1942">
        <f t="shared" si="176"/>
        <v>0</v>
      </c>
      <c r="BL158" s="1942">
        <f t="shared" si="176"/>
        <v>0</v>
      </c>
      <c r="BM158" s="2090">
        <f t="shared" si="176"/>
        <v>0</v>
      </c>
      <c r="BN158" s="1942">
        <f t="shared" si="176"/>
        <v>0</v>
      </c>
      <c r="BO158" s="1942">
        <f t="shared" si="176"/>
        <v>0</v>
      </c>
      <c r="BP158" s="1942">
        <f t="shared" si="176"/>
        <v>0</v>
      </c>
      <c r="BQ158" s="1942">
        <f t="shared" si="176"/>
        <v>0</v>
      </c>
      <c r="BR158" s="1942">
        <f t="shared" si="176"/>
        <v>0</v>
      </c>
      <c r="BS158" s="1942">
        <f t="shared" si="176"/>
        <v>0</v>
      </c>
      <c r="BT158" s="1942">
        <f t="shared" si="176"/>
        <v>0</v>
      </c>
      <c r="BU158" s="1942">
        <f t="shared" si="176"/>
        <v>0</v>
      </c>
      <c r="BV158" s="1942">
        <f t="shared" si="176"/>
        <v>0</v>
      </c>
      <c r="BW158" s="1942">
        <f t="shared" si="176"/>
        <v>0</v>
      </c>
      <c r="BX158" s="1942">
        <f t="shared" si="176"/>
        <v>0</v>
      </c>
      <c r="BY158" s="2090">
        <f t="shared" si="176"/>
        <v>0</v>
      </c>
      <c r="BZ158" s="652"/>
    </row>
    <row r="159" spans="2:78" s="359" customFormat="1">
      <c r="B159" s="358"/>
      <c r="D159" s="366"/>
      <c r="E159" s="359" t="s">
        <v>1418</v>
      </c>
      <c r="F159" s="366"/>
      <c r="G159" s="366"/>
      <c r="H159" s="366">
        <f t="shared" ref="H159:M159" si="177">SUM(H155:H158)</f>
        <v>0</v>
      </c>
      <c r="I159" s="366">
        <f t="shared" si="177"/>
        <v>64050.807695438314</v>
      </c>
      <c r="J159" s="366">
        <f t="shared" si="177"/>
        <v>115310.44410698775</v>
      </c>
      <c r="K159" s="366">
        <f t="shared" si="177"/>
        <v>158021.26327120326</v>
      </c>
      <c r="L159" s="366">
        <f t="shared" si="177"/>
        <v>197667.92994554972</v>
      </c>
      <c r="M159" s="366">
        <f t="shared" si="177"/>
        <v>229839.01608374948</v>
      </c>
      <c r="N159" s="366"/>
      <c r="O159" s="365"/>
      <c r="P159" s="366"/>
      <c r="Q159" s="366">
        <f>SUM(Q155:Q158)</f>
        <v>0</v>
      </c>
      <c r="R159" s="1271">
        <f t="shared" ref="R159:BY159" si="178">SUM(R155:R158)</f>
        <v>36162.370795436436</v>
      </c>
      <c r="S159" s="359">
        <f t="shared" si="178"/>
        <v>38432.319604527511</v>
      </c>
      <c r="T159" s="359">
        <f t="shared" si="178"/>
        <v>40702.2684136186</v>
      </c>
      <c r="U159" s="359">
        <f t="shared" si="178"/>
        <v>42972.217222709674</v>
      </c>
      <c r="V159" s="359">
        <f t="shared" si="178"/>
        <v>45242.166031800756</v>
      </c>
      <c r="W159" s="359">
        <f t="shared" si="178"/>
        <v>47512.114840891838</v>
      </c>
      <c r="X159" s="359">
        <f t="shared" si="178"/>
        <v>51836.174761094022</v>
      </c>
      <c r="Y159" s="359">
        <f t="shared" si="178"/>
        <v>54106.123570185111</v>
      </c>
      <c r="Z159" s="359">
        <f t="shared" si="178"/>
        <v>56376.072379276186</v>
      </c>
      <c r="AA159" s="359">
        <f t="shared" si="178"/>
        <v>59510.910077256151</v>
      </c>
      <c r="AB159" s="359">
        <f t="shared" si="178"/>
        <v>61780.85888634724</v>
      </c>
      <c r="AC159" s="947">
        <f t="shared" si="178"/>
        <v>64050.807695438314</v>
      </c>
      <c r="AD159" s="359">
        <f t="shared" si="178"/>
        <v>91543.187316888594</v>
      </c>
      <c r="AE159" s="359">
        <f t="shared" si="178"/>
        <v>93703.847025079434</v>
      </c>
      <c r="AF159" s="359">
        <f t="shared" si="178"/>
        <v>95864.50673327026</v>
      </c>
      <c r="AG159" s="359">
        <f t="shared" si="178"/>
        <v>98025.1664414611</v>
      </c>
      <c r="AH159" s="359">
        <f t="shared" si="178"/>
        <v>100185.82614965191</v>
      </c>
      <c r="AI159" s="359">
        <f t="shared" si="178"/>
        <v>102346.48585784277</v>
      </c>
      <c r="AJ159" s="359">
        <f t="shared" si="178"/>
        <v>104507.14556603359</v>
      </c>
      <c r="AK159" s="359">
        <f t="shared" si="178"/>
        <v>106667.80527422442</v>
      </c>
      <c r="AL159" s="359">
        <f t="shared" si="178"/>
        <v>108828.46498241526</v>
      </c>
      <c r="AM159" s="359">
        <f t="shared" si="178"/>
        <v>110989.1246906061</v>
      </c>
      <c r="AN159" s="359">
        <f t="shared" si="178"/>
        <v>113149.78439879694</v>
      </c>
      <c r="AO159" s="947">
        <f t="shared" si="178"/>
        <v>115310.44410698775</v>
      </c>
      <c r="AP159" s="359">
        <f t="shared" si="178"/>
        <v>142097.81757559325</v>
      </c>
      <c r="AQ159" s="359">
        <f t="shared" si="178"/>
        <v>143545.40354792145</v>
      </c>
      <c r="AR159" s="359">
        <f t="shared" si="178"/>
        <v>144992.98952024963</v>
      </c>
      <c r="AS159" s="359">
        <f t="shared" si="178"/>
        <v>146440.5754925778</v>
      </c>
      <c r="AT159" s="359">
        <f t="shared" si="178"/>
        <v>147888.16146490601</v>
      </c>
      <c r="AU159" s="359">
        <f t="shared" si="178"/>
        <v>149335.74743723418</v>
      </c>
      <c r="AV159" s="359">
        <f t="shared" si="178"/>
        <v>150783.33340956236</v>
      </c>
      <c r="AW159" s="359">
        <f t="shared" si="178"/>
        <v>152230.91938189056</v>
      </c>
      <c r="AX159" s="359">
        <f t="shared" si="178"/>
        <v>153678.50535421874</v>
      </c>
      <c r="AY159" s="359">
        <f t="shared" si="178"/>
        <v>155126.09132654691</v>
      </c>
      <c r="AZ159" s="359">
        <f t="shared" si="178"/>
        <v>156573.67729887512</v>
      </c>
      <c r="BA159" s="947">
        <f t="shared" si="178"/>
        <v>158021.26327120326</v>
      </c>
      <c r="BB159" s="359">
        <f t="shared" si="178"/>
        <v>182548.58241752963</v>
      </c>
      <c r="BC159" s="359">
        <f t="shared" si="178"/>
        <v>183923.06855644053</v>
      </c>
      <c r="BD159" s="359">
        <f t="shared" si="178"/>
        <v>185297.55469535149</v>
      </c>
      <c r="BE159" s="359">
        <f t="shared" si="178"/>
        <v>186672.04083426239</v>
      </c>
      <c r="BF159" s="359">
        <f t="shared" si="178"/>
        <v>188046.52697317328</v>
      </c>
      <c r="BG159" s="359">
        <f t="shared" si="178"/>
        <v>189421.01311208421</v>
      </c>
      <c r="BH159" s="359">
        <f t="shared" si="178"/>
        <v>190795.49925099511</v>
      </c>
      <c r="BI159" s="359">
        <f t="shared" si="178"/>
        <v>192169.98538990604</v>
      </c>
      <c r="BJ159" s="359">
        <f t="shared" si="178"/>
        <v>193544.47152881694</v>
      </c>
      <c r="BK159" s="359">
        <f t="shared" si="178"/>
        <v>194918.95766772787</v>
      </c>
      <c r="BL159" s="359">
        <f t="shared" si="178"/>
        <v>196293.44380663877</v>
      </c>
      <c r="BM159" s="947">
        <f t="shared" si="178"/>
        <v>197667.92994554972</v>
      </c>
      <c r="BN159" s="359">
        <f t="shared" si="178"/>
        <v>218928.27116289263</v>
      </c>
      <c r="BO159" s="359">
        <f t="shared" si="178"/>
        <v>219920.15706478874</v>
      </c>
      <c r="BP159" s="359">
        <f t="shared" si="178"/>
        <v>220912.04296668485</v>
      </c>
      <c r="BQ159" s="359">
        <f t="shared" si="178"/>
        <v>221903.9288685809</v>
      </c>
      <c r="BR159" s="359">
        <f t="shared" si="178"/>
        <v>222895.81477047701</v>
      </c>
      <c r="BS159" s="359">
        <f t="shared" si="178"/>
        <v>223887.700672373</v>
      </c>
      <c r="BT159" s="359">
        <f t="shared" si="178"/>
        <v>224879.58657426911</v>
      </c>
      <c r="BU159" s="359">
        <f t="shared" si="178"/>
        <v>225871.47247616516</v>
      </c>
      <c r="BV159" s="359">
        <f t="shared" si="178"/>
        <v>226863.35837806121</v>
      </c>
      <c r="BW159" s="359">
        <f t="shared" si="178"/>
        <v>227855.24427995732</v>
      </c>
      <c r="BX159" s="359">
        <f t="shared" si="178"/>
        <v>228847.13018185343</v>
      </c>
      <c r="BY159" s="947">
        <f t="shared" si="178"/>
        <v>229839.01608374948</v>
      </c>
      <c r="BZ159" s="652">
        <f>ROUND(M159-BY159,0)</f>
        <v>0</v>
      </c>
    </row>
    <row r="160" spans="2:78" s="359" customFormat="1">
      <c r="B160" s="358"/>
      <c r="D160" s="366"/>
      <c r="F160" s="366"/>
      <c r="G160" s="366"/>
      <c r="H160" s="366"/>
      <c r="N160" s="366"/>
      <c r="O160" s="365"/>
      <c r="P160" s="366"/>
      <c r="Q160" s="366"/>
      <c r="R160" s="1271"/>
      <c r="AC160" s="947"/>
      <c r="AO160" s="947"/>
      <c r="BA160" s="947"/>
      <c r="BM160" s="947"/>
      <c r="BY160" s="947"/>
      <c r="BZ160" s="652"/>
    </row>
    <row r="161" spans="2:78" s="359" customFormat="1">
      <c r="B161" s="358"/>
      <c r="D161" s="366"/>
      <c r="E161" s="359" t="s">
        <v>1419</v>
      </c>
      <c r="F161" s="366"/>
      <c r="G161" s="366"/>
      <c r="H161" s="1941">
        <f ca="1">IF(Type="DeNovo", -PtrCF!G15+Q99,  -PtrCF!G15+Q99+'1.3 EssBS'!D36)</f>
        <v>3308301.2759041409</v>
      </c>
      <c r="I161" s="359">
        <f ca="1">H161+I189+I99</f>
        <v>2872205.8042149227</v>
      </c>
      <c r="J161" s="359">
        <f ca="1">I161+J189+J99</f>
        <v>2913537.5274345977</v>
      </c>
      <c r="K161" s="359">
        <f ca="1">J161+K189+K99</f>
        <v>3057856.5245215916</v>
      </c>
      <c r="L161" s="359">
        <f ca="1">K161+L189+L99</f>
        <v>3203497.9253578763</v>
      </c>
      <c r="M161" s="359">
        <f ca="1">L161+M189+M99</f>
        <v>3301000.097107402</v>
      </c>
      <c r="N161" s="366"/>
      <c r="O161" s="365"/>
      <c r="P161" s="366"/>
      <c r="Q161" s="366">
        <f ca="1">H161</f>
        <v>3308301.2759041409</v>
      </c>
      <c r="R161" s="1271">
        <f t="shared" ref="R161:AW161" ca="1" si="179">Q161+R189+R99</f>
        <v>3236089.9972861293</v>
      </c>
      <c r="S161" s="359">
        <f t="shared" ca="1" si="179"/>
        <v>3170884.9288457981</v>
      </c>
      <c r="T161" s="359">
        <f t="shared" ca="1" si="179"/>
        <v>3112686.0705831479</v>
      </c>
      <c r="U161" s="359">
        <f t="shared" ca="1" si="179"/>
        <v>3061493.4224981782</v>
      </c>
      <c r="V161" s="359">
        <f t="shared" ca="1" si="179"/>
        <v>3017306.984590889</v>
      </c>
      <c r="W161" s="359">
        <f t="shared" ca="1" si="179"/>
        <v>2980126.7568612806</v>
      </c>
      <c r="X161" s="359">
        <f t="shared" ca="1" si="179"/>
        <v>2945551.0726426863</v>
      </c>
      <c r="Y161" s="359">
        <f t="shared" ca="1" si="179"/>
        <v>2917981.5986017724</v>
      </c>
      <c r="Z161" s="359">
        <f t="shared" ca="1" si="179"/>
        <v>2897418.3347385391</v>
      </c>
      <c r="AA161" s="359">
        <f t="shared" ca="1" si="179"/>
        <v>2882007.9477196531</v>
      </c>
      <c r="AB161" s="359">
        <f t="shared" ca="1" si="179"/>
        <v>2873603.7708784477</v>
      </c>
      <c r="AC161" s="947">
        <f t="shared" ca="1" si="179"/>
        <v>2872205.8042149232</v>
      </c>
      <c r="AD161" s="359">
        <f t="shared" ca="1" si="179"/>
        <v>2842835.829826226</v>
      </c>
      <c r="AE161" s="359">
        <f t="shared" ca="1" si="179"/>
        <v>2820426.9235490309</v>
      </c>
      <c r="AF161" s="359">
        <f t="shared" ca="1" si="179"/>
        <v>2804979.0853833384</v>
      </c>
      <c r="AG161" s="359">
        <f t="shared" ca="1" si="179"/>
        <v>2796492.315329148</v>
      </c>
      <c r="AH161" s="359">
        <f t="shared" ca="1" si="179"/>
        <v>2794966.6133864596</v>
      </c>
      <c r="AI161" s="359">
        <f t="shared" ca="1" si="179"/>
        <v>2800401.9795552734</v>
      </c>
      <c r="AJ161" s="359">
        <f t="shared" ca="1" si="179"/>
        <v>2812798.4138355898</v>
      </c>
      <c r="AK161" s="359">
        <f t="shared" ca="1" si="179"/>
        <v>2832155.9162274082</v>
      </c>
      <c r="AL161" s="359">
        <f t="shared" ca="1" si="179"/>
        <v>2852501.3190292055</v>
      </c>
      <c r="AM161" s="359">
        <f t="shared" ca="1" si="179"/>
        <v>2872846.7218310032</v>
      </c>
      <c r="AN161" s="359">
        <f t="shared" ca="1" si="179"/>
        <v>2893192.1246328014</v>
      </c>
      <c r="AO161" s="947">
        <f t="shared" ca="1" si="179"/>
        <v>2913537.5274345991</v>
      </c>
      <c r="AP161" s="359">
        <f t="shared" ca="1" si="179"/>
        <v>2979277.7516441988</v>
      </c>
      <c r="AQ161" s="359">
        <f t="shared" ca="1" si="179"/>
        <v>2989968.1867289045</v>
      </c>
      <c r="AR161" s="359">
        <f t="shared" ca="1" si="179"/>
        <v>2998575.8842585944</v>
      </c>
      <c r="AS161" s="359">
        <f t="shared" ca="1" si="179"/>
        <v>3005162.6220655949</v>
      </c>
      <c r="AT161" s="359">
        <f t="shared" ca="1" si="179"/>
        <v>3011749.3598725949</v>
      </c>
      <c r="AU161" s="359">
        <f t="shared" ca="1" si="179"/>
        <v>3018336.0976795941</v>
      </c>
      <c r="AV161" s="359">
        <f t="shared" ca="1" si="179"/>
        <v>3024922.8354865937</v>
      </c>
      <c r="AW161" s="359">
        <f t="shared" ca="1" si="179"/>
        <v>3031509.5732935937</v>
      </c>
      <c r="AX161" s="359">
        <f t="shared" ref="AX161:BY161" ca="1" si="180">AW161+AX189+AX99</f>
        <v>3038096.3111005942</v>
      </c>
      <c r="AY161" s="359">
        <f t="shared" ca="1" si="180"/>
        <v>3044683.0489075938</v>
      </c>
      <c r="AZ161" s="359">
        <f t="shared" ca="1" si="180"/>
        <v>3051269.7867145929</v>
      </c>
      <c r="BA161" s="947">
        <f t="shared" ca="1" si="180"/>
        <v>3057856.5245215925</v>
      </c>
      <c r="BB161" s="359">
        <f t="shared" ca="1" si="180"/>
        <v>3112582.0426608562</v>
      </c>
      <c r="BC161" s="359">
        <f t="shared" ca="1" si="180"/>
        <v>3121737.753029177</v>
      </c>
      <c r="BD161" s="359">
        <f t="shared" ca="1" si="180"/>
        <v>3132037.8281567814</v>
      </c>
      <c r="BE161" s="359">
        <f t="shared" ca="1" si="180"/>
        <v>3139977.8389569032</v>
      </c>
      <c r="BF161" s="359">
        <f t="shared" ca="1" si="180"/>
        <v>3147917.849757025</v>
      </c>
      <c r="BG161" s="359">
        <f t="shared" ca="1" si="180"/>
        <v>3155857.8605571468</v>
      </c>
      <c r="BH161" s="359">
        <f t="shared" ca="1" si="180"/>
        <v>3163797.8713572677</v>
      </c>
      <c r="BI161" s="359">
        <f t="shared" ca="1" si="180"/>
        <v>3171737.8821573886</v>
      </c>
      <c r="BJ161" s="359">
        <f t="shared" ca="1" si="180"/>
        <v>3179677.89295751</v>
      </c>
      <c r="BK161" s="359">
        <f t="shared" ca="1" si="180"/>
        <v>3187617.9037576308</v>
      </c>
      <c r="BL161" s="359">
        <f t="shared" ca="1" si="180"/>
        <v>3195557.9145577536</v>
      </c>
      <c r="BM161" s="947">
        <f t="shared" ca="1" si="180"/>
        <v>3203497.9253578768</v>
      </c>
      <c r="BN161" s="359">
        <f t="shared" ca="1" si="180"/>
        <v>3256837.8233074644</v>
      </c>
      <c r="BO161" s="359">
        <f t="shared" ca="1" si="180"/>
        <v>3268433.1509497073</v>
      </c>
      <c r="BP161" s="359">
        <f t="shared" ca="1" si="180"/>
        <v>3274410.3772760495</v>
      </c>
      <c r="BQ161" s="359">
        <f t="shared" ca="1" si="180"/>
        <v>3277364.7905906434</v>
      </c>
      <c r="BR161" s="359">
        <f t="shared" ca="1" si="180"/>
        <v>3280319.2039052369</v>
      </c>
      <c r="BS161" s="359">
        <f t="shared" ca="1" si="180"/>
        <v>3283273.6172198323</v>
      </c>
      <c r="BT161" s="359">
        <f t="shared" ca="1" si="180"/>
        <v>3286228.0305344258</v>
      </c>
      <c r="BU161" s="359">
        <f t="shared" ca="1" si="180"/>
        <v>3289182.4438490216</v>
      </c>
      <c r="BV161" s="359">
        <f t="shared" ca="1" si="180"/>
        <v>3292136.8571636151</v>
      </c>
      <c r="BW161" s="359">
        <f t="shared" ca="1" si="180"/>
        <v>3295091.2704782104</v>
      </c>
      <c r="BX161" s="359">
        <f t="shared" ca="1" si="180"/>
        <v>3298045.6837928062</v>
      </c>
      <c r="BY161" s="947">
        <f t="shared" ca="1" si="180"/>
        <v>3301000.0971074002</v>
      </c>
      <c r="BZ161" s="652">
        <f ca="1">ROUND(M161-BY161,0)</f>
        <v>0</v>
      </c>
    </row>
    <row r="162" spans="2:78" s="359" customFormat="1">
      <c r="B162" s="358"/>
      <c r="D162" s="366"/>
      <c r="F162" s="366"/>
      <c r="G162" s="366"/>
      <c r="H162" s="366"/>
      <c r="N162" s="366"/>
      <c r="O162" s="365"/>
      <c r="P162" s="366"/>
      <c r="Q162" s="366"/>
      <c r="R162" s="1271"/>
      <c r="AC162" s="947"/>
      <c r="AO162" s="947"/>
      <c r="BA162" s="947"/>
      <c r="BM162" s="947"/>
      <c r="BY162" s="947"/>
      <c r="BZ162" s="652"/>
    </row>
    <row r="163" spans="2:78" s="363" customFormat="1" ht="12" thickBot="1">
      <c r="B163" s="362"/>
      <c r="D163" s="368"/>
      <c r="E163" s="363" t="s">
        <v>1420</v>
      </c>
      <c r="F163" s="368"/>
      <c r="G163" s="368"/>
      <c r="H163" s="369">
        <f t="shared" ref="H163:M163" ca="1" si="181">H159+H161</f>
        <v>3308301.2759041409</v>
      </c>
      <c r="I163" s="369">
        <f t="shared" ca="1" si="181"/>
        <v>2936256.6119103609</v>
      </c>
      <c r="J163" s="369">
        <f t="shared" ca="1" si="181"/>
        <v>3028847.9715415854</v>
      </c>
      <c r="K163" s="369">
        <f t="shared" ca="1" si="181"/>
        <v>3215877.7877927949</v>
      </c>
      <c r="L163" s="369">
        <f t="shared" ca="1" si="181"/>
        <v>3401165.8553034263</v>
      </c>
      <c r="M163" s="369">
        <f t="shared" ca="1" si="181"/>
        <v>3530839.1131911515</v>
      </c>
      <c r="N163" s="368"/>
      <c r="O163" s="367"/>
      <c r="P163" s="368"/>
      <c r="Q163" s="369">
        <f t="shared" ref="Q163:BY163" ca="1" si="182">Q159+Q161</f>
        <v>3308301.2759041409</v>
      </c>
      <c r="R163" s="1273">
        <f t="shared" ca="1" si="182"/>
        <v>3272252.3680815659</v>
      </c>
      <c r="S163" s="369">
        <f t="shared" ca="1" si="182"/>
        <v>3209317.2484503258</v>
      </c>
      <c r="T163" s="369">
        <f t="shared" ca="1" si="182"/>
        <v>3153388.3389967666</v>
      </c>
      <c r="U163" s="369">
        <f t="shared" ca="1" si="182"/>
        <v>3104465.6397208879</v>
      </c>
      <c r="V163" s="369">
        <f t="shared" ca="1" si="182"/>
        <v>3062549.1506226896</v>
      </c>
      <c r="W163" s="369">
        <f t="shared" ca="1" si="182"/>
        <v>3027638.8717021723</v>
      </c>
      <c r="X163" s="369">
        <f t="shared" ca="1" si="182"/>
        <v>2997387.2474037805</v>
      </c>
      <c r="Y163" s="369">
        <f t="shared" ca="1" si="182"/>
        <v>2972087.7221719576</v>
      </c>
      <c r="Z163" s="369">
        <f t="shared" ca="1" si="182"/>
        <v>2953794.4071178152</v>
      </c>
      <c r="AA163" s="369">
        <f t="shared" ca="1" si="182"/>
        <v>2941518.8577969093</v>
      </c>
      <c r="AB163" s="369">
        <f t="shared" ca="1" si="182"/>
        <v>2935384.6297647948</v>
      </c>
      <c r="AC163" s="950">
        <f t="shared" ca="1" si="182"/>
        <v>2936256.6119103613</v>
      </c>
      <c r="AD163" s="369">
        <f t="shared" ca="1" si="182"/>
        <v>2934379.0171431145</v>
      </c>
      <c r="AE163" s="369">
        <f t="shared" ca="1" si="182"/>
        <v>2914130.7705741106</v>
      </c>
      <c r="AF163" s="369">
        <f t="shared" ca="1" si="182"/>
        <v>2900843.5921166088</v>
      </c>
      <c r="AG163" s="369">
        <f t="shared" ca="1" si="182"/>
        <v>2894517.481770609</v>
      </c>
      <c r="AH163" s="369">
        <f t="shared" ca="1" si="182"/>
        <v>2895152.4395361114</v>
      </c>
      <c r="AI163" s="369">
        <f t="shared" ca="1" si="182"/>
        <v>2902748.4654131164</v>
      </c>
      <c r="AJ163" s="369">
        <f t="shared" ca="1" si="182"/>
        <v>2917305.5594016234</v>
      </c>
      <c r="AK163" s="369">
        <f t="shared" ca="1" si="182"/>
        <v>2938823.7215016326</v>
      </c>
      <c r="AL163" s="369">
        <f t="shared" ca="1" si="182"/>
        <v>2961329.7840116206</v>
      </c>
      <c r="AM163" s="369">
        <f t="shared" ca="1" si="182"/>
        <v>2983835.8465216095</v>
      </c>
      <c r="AN163" s="369">
        <f t="shared" ca="1" si="182"/>
        <v>3006341.9090315984</v>
      </c>
      <c r="AO163" s="950">
        <f t="shared" ca="1" si="182"/>
        <v>3028847.9715415868</v>
      </c>
      <c r="AP163" s="369">
        <f t="shared" ca="1" si="182"/>
        <v>3121375.5692197923</v>
      </c>
      <c r="AQ163" s="369">
        <f t="shared" ca="1" si="182"/>
        <v>3133513.5902768262</v>
      </c>
      <c r="AR163" s="369">
        <f t="shared" ca="1" si="182"/>
        <v>3143568.8737788438</v>
      </c>
      <c r="AS163" s="369">
        <f t="shared" ca="1" si="182"/>
        <v>3151603.1975581725</v>
      </c>
      <c r="AT163" s="369">
        <f t="shared" ca="1" si="182"/>
        <v>3159637.5213375008</v>
      </c>
      <c r="AU163" s="369">
        <f t="shared" ca="1" si="182"/>
        <v>3167671.8451168281</v>
      </c>
      <c r="AV163" s="369">
        <f t="shared" ca="1" si="182"/>
        <v>3175706.1688961559</v>
      </c>
      <c r="AW163" s="369">
        <f t="shared" ca="1" si="182"/>
        <v>3183740.4926754842</v>
      </c>
      <c r="AX163" s="369">
        <f t="shared" ca="1" si="182"/>
        <v>3191774.8164548129</v>
      </c>
      <c r="AY163" s="369">
        <f t="shared" ca="1" si="182"/>
        <v>3199809.1402341407</v>
      </c>
      <c r="AZ163" s="369">
        <f t="shared" ca="1" si="182"/>
        <v>3207843.464013468</v>
      </c>
      <c r="BA163" s="950">
        <f t="shared" ca="1" si="182"/>
        <v>3215877.7877927958</v>
      </c>
      <c r="BB163" s="369">
        <f t="shared" ca="1" si="182"/>
        <v>3295130.6250783857</v>
      </c>
      <c r="BC163" s="369">
        <f t="shared" ca="1" si="182"/>
        <v>3305660.8215856175</v>
      </c>
      <c r="BD163" s="369">
        <f t="shared" ca="1" si="182"/>
        <v>3317335.3828521329</v>
      </c>
      <c r="BE163" s="369">
        <f t="shared" ca="1" si="182"/>
        <v>3326649.8797911657</v>
      </c>
      <c r="BF163" s="369">
        <f t="shared" ca="1" si="182"/>
        <v>3335964.3767301985</v>
      </c>
      <c r="BG163" s="369">
        <f t="shared" ca="1" si="182"/>
        <v>3345278.8736692308</v>
      </c>
      <c r="BH163" s="369">
        <f t="shared" ca="1" si="182"/>
        <v>3354593.3706082627</v>
      </c>
      <c r="BI163" s="369">
        <f t="shared" ca="1" si="182"/>
        <v>3363907.8675472946</v>
      </c>
      <c r="BJ163" s="369">
        <f t="shared" ca="1" si="182"/>
        <v>3373222.3644863269</v>
      </c>
      <c r="BK163" s="369">
        <f t="shared" ca="1" si="182"/>
        <v>3382536.8614253588</v>
      </c>
      <c r="BL163" s="369">
        <f t="shared" ca="1" si="182"/>
        <v>3391851.3583643925</v>
      </c>
      <c r="BM163" s="950">
        <f t="shared" ca="1" si="182"/>
        <v>3401165.8553034267</v>
      </c>
      <c r="BN163" s="369">
        <f t="shared" ca="1" si="182"/>
        <v>3475766.0944703571</v>
      </c>
      <c r="BO163" s="369">
        <f t="shared" ca="1" si="182"/>
        <v>3488353.3080144962</v>
      </c>
      <c r="BP163" s="369">
        <f t="shared" ca="1" si="182"/>
        <v>3495322.4202427343</v>
      </c>
      <c r="BQ163" s="369">
        <f t="shared" ca="1" si="182"/>
        <v>3499268.7194592245</v>
      </c>
      <c r="BR163" s="369">
        <f t="shared" ca="1" si="182"/>
        <v>3503215.0186757138</v>
      </c>
      <c r="BS163" s="369">
        <f t="shared" ca="1" si="182"/>
        <v>3507161.3178922054</v>
      </c>
      <c r="BT163" s="369">
        <f t="shared" ca="1" si="182"/>
        <v>3511107.6171086947</v>
      </c>
      <c r="BU163" s="369">
        <f t="shared" ca="1" si="182"/>
        <v>3515053.9163251868</v>
      </c>
      <c r="BV163" s="369">
        <f t="shared" ca="1" si="182"/>
        <v>3519000.2155416762</v>
      </c>
      <c r="BW163" s="369">
        <f t="shared" ca="1" si="182"/>
        <v>3522946.5147581678</v>
      </c>
      <c r="BX163" s="369">
        <f t="shared" ca="1" si="182"/>
        <v>3526892.8139746599</v>
      </c>
      <c r="BY163" s="950">
        <f t="shared" ca="1" si="182"/>
        <v>3530839.1131911497</v>
      </c>
      <c r="BZ163" s="653">
        <f ca="1">ROUND(M163-BY163,0)</f>
        <v>0</v>
      </c>
    </row>
    <row r="164" spans="2:78" s="652" customFormat="1" ht="12" outlineLevel="1" thickTop="1">
      <c r="B164" s="1032"/>
      <c r="D164" s="655"/>
      <c r="E164" s="652" t="s">
        <v>1694</v>
      </c>
      <c r="F164" s="655"/>
      <c r="G164" s="655"/>
      <c r="H164" s="655">
        <f t="shared" ref="H164:M164" ca="1" si="183">H151-H163</f>
        <v>0</v>
      </c>
      <c r="I164" s="652">
        <f t="shared" ca="1" si="183"/>
        <v>0</v>
      </c>
      <c r="J164" s="652">
        <f t="shared" ca="1" si="183"/>
        <v>0</v>
      </c>
      <c r="K164" s="652">
        <f t="shared" ca="1" si="183"/>
        <v>0</v>
      </c>
      <c r="L164" s="652">
        <f t="shared" ca="1" si="183"/>
        <v>0</v>
      </c>
      <c r="M164" s="652">
        <f t="shared" ca="1" si="183"/>
        <v>0</v>
      </c>
      <c r="N164" s="655"/>
      <c r="O164" s="1110"/>
      <c r="P164" s="655"/>
      <c r="Q164" s="655">
        <f ca="1">ROUND(Q151-Q163,0)</f>
        <v>0</v>
      </c>
      <c r="R164" s="1274">
        <f t="shared" ref="R164:BY164" ca="1" si="184">ROUND(R151-R163,0)</f>
        <v>0</v>
      </c>
      <c r="S164" s="652">
        <f t="shared" ca="1" si="184"/>
        <v>0</v>
      </c>
      <c r="T164" s="652">
        <f t="shared" ca="1" si="184"/>
        <v>0</v>
      </c>
      <c r="U164" s="652">
        <f t="shared" ca="1" si="184"/>
        <v>0</v>
      </c>
      <c r="V164" s="652">
        <f t="shared" ca="1" si="184"/>
        <v>0</v>
      </c>
      <c r="W164" s="652">
        <f t="shared" ca="1" si="184"/>
        <v>0</v>
      </c>
      <c r="X164" s="652">
        <f t="shared" ca="1" si="184"/>
        <v>0</v>
      </c>
      <c r="Y164" s="652">
        <f t="shared" ca="1" si="184"/>
        <v>0</v>
      </c>
      <c r="Z164" s="652">
        <f t="shared" ca="1" si="184"/>
        <v>0</v>
      </c>
      <c r="AA164" s="652">
        <f t="shared" ca="1" si="184"/>
        <v>0</v>
      </c>
      <c r="AB164" s="652">
        <f t="shared" ca="1" si="184"/>
        <v>0</v>
      </c>
      <c r="AC164" s="951">
        <f t="shared" ca="1" si="184"/>
        <v>0</v>
      </c>
      <c r="AD164" s="652">
        <f t="shared" ca="1" si="184"/>
        <v>0</v>
      </c>
      <c r="AE164" s="652">
        <f t="shared" ca="1" si="184"/>
        <v>0</v>
      </c>
      <c r="AF164" s="652">
        <f t="shared" ca="1" si="184"/>
        <v>0</v>
      </c>
      <c r="AG164" s="652">
        <f t="shared" ca="1" si="184"/>
        <v>0</v>
      </c>
      <c r="AH164" s="652">
        <f t="shared" ca="1" si="184"/>
        <v>0</v>
      </c>
      <c r="AI164" s="652">
        <f t="shared" ca="1" si="184"/>
        <v>0</v>
      </c>
      <c r="AJ164" s="652">
        <f t="shared" ca="1" si="184"/>
        <v>0</v>
      </c>
      <c r="AK164" s="652">
        <f t="shared" ca="1" si="184"/>
        <v>0</v>
      </c>
      <c r="AL164" s="652">
        <f t="shared" ca="1" si="184"/>
        <v>0</v>
      </c>
      <c r="AM164" s="652">
        <f t="shared" ca="1" si="184"/>
        <v>0</v>
      </c>
      <c r="AN164" s="652">
        <f t="shared" ca="1" si="184"/>
        <v>0</v>
      </c>
      <c r="AO164" s="951">
        <f t="shared" ca="1" si="184"/>
        <v>0</v>
      </c>
      <c r="AP164" s="652">
        <f t="shared" ca="1" si="184"/>
        <v>0</v>
      </c>
      <c r="AQ164" s="652">
        <f t="shared" ca="1" si="184"/>
        <v>0</v>
      </c>
      <c r="AR164" s="652">
        <f t="shared" ca="1" si="184"/>
        <v>0</v>
      </c>
      <c r="AS164" s="652">
        <f t="shared" ca="1" si="184"/>
        <v>0</v>
      </c>
      <c r="AT164" s="652">
        <f t="shared" ca="1" si="184"/>
        <v>0</v>
      </c>
      <c r="AU164" s="652">
        <f t="shared" ca="1" si="184"/>
        <v>0</v>
      </c>
      <c r="AV164" s="652">
        <f t="shared" ca="1" si="184"/>
        <v>0</v>
      </c>
      <c r="AW164" s="652">
        <f t="shared" ca="1" si="184"/>
        <v>0</v>
      </c>
      <c r="AX164" s="652">
        <f t="shared" ca="1" si="184"/>
        <v>0</v>
      </c>
      <c r="AY164" s="652">
        <f t="shared" ca="1" si="184"/>
        <v>0</v>
      </c>
      <c r="AZ164" s="652">
        <f t="shared" ca="1" si="184"/>
        <v>0</v>
      </c>
      <c r="BA164" s="951">
        <f t="shared" ca="1" si="184"/>
        <v>0</v>
      </c>
      <c r="BB164" s="652">
        <f t="shared" ca="1" si="184"/>
        <v>0</v>
      </c>
      <c r="BC164" s="652">
        <f t="shared" ca="1" si="184"/>
        <v>0</v>
      </c>
      <c r="BD164" s="652">
        <f t="shared" ca="1" si="184"/>
        <v>0</v>
      </c>
      <c r="BE164" s="652">
        <f t="shared" ca="1" si="184"/>
        <v>0</v>
      </c>
      <c r="BF164" s="652">
        <f t="shared" ca="1" si="184"/>
        <v>0</v>
      </c>
      <c r="BG164" s="652">
        <f t="shared" ca="1" si="184"/>
        <v>0</v>
      </c>
      <c r="BH164" s="652">
        <f t="shared" ca="1" si="184"/>
        <v>0</v>
      </c>
      <c r="BI164" s="652">
        <f t="shared" ca="1" si="184"/>
        <v>0</v>
      </c>
      <c r="BJ164" s="652">
        <f t="shared" ca="1" si="184"/>
        <v>0</v>
      </c>
      <c r="BK164" s="652">
        <f t="shared" ca="1" si="184"/>
        <v>0</v>
      </c>
      <c r="BL164" s="652">
        <f t="shared" ca="1" si="184"/>
        <v>0</v>
      </c>
      <c r="BM164" s="951">
        <f t="shared" ca="1" si="184"/>
        <v>0</v>
      </c>
      <c r="BN164" s="652">
        <f t="shared" ca="1" si="184"/>
        <v>0</v>
      </c>
      <c r="BO164" s="652">
        <f t="shared" ca="1" si="184"/>
        <v>0</v>
      </c>
      <c r="BP164" s="652">
        <f t="shared" ca="1" si="184"/>
        <v>0</v>
      </c>
      <c r="BQ164" s="652">
        <f t="shared" ca="1" si="184"/>
        <v>0</v>
      </c>
      <c r="BR164" s="652">
        <f t="shared" ca="1" si="184"/>
        <v>0</v>
      </c>
      <c r="BS164" s="652">
        <f t="shared" ca="1" si="184"/>
        <v>0</v>
      </c>
      <c r="BT164" s="652">
        <f t="shared" ca="1" si="184"/>
        <v>0</v>
      </c>
      <c r="BU164" s="652">
        <f t="shared" ca="1" si="184"/>
        <v>0</v>
      </c>
      <c r="BV164" s="652">
        <f t="shared" ca="1" si="184"/>
        <v>0</v>
      </c>
      <c r="BW164" s="652">
        <f t="shared" ca="1" si="184"/>
        <v>0</v>
      </c>
      <c r="BX164" s="652">
        <f t="shared" ca="1" si="184"/>
        <v>0</v>
      </c>
      <c r="BY164" s="951">
        <f t="shared" ca="1" si="184"/>
        <v>0</v>
      </c>
      <c r="BZ164" s="652">
        <f ca="1">M164-BY164</f>
        <v>0</v>
      </c>
    </row>
    <row r="165" spans="2:78" s="359" customFormat="1">
      <c r="B165" s="358"/>
      <c r="D165" s="366"/>
      <c r="F165" s="366"/>
      <c r="G165" s="366"/>
      <c r="H165" s="366"/>
      <c r="N165" s="366"/>
      <c r="O165" s="365"/>
      <c r="P165" s="366"/>
      <c r="Q165" s="366"/>
      <c r="R165" s="1271"/>
      <c r="AC165" s="947"/>
      <c r="AO165" s="947"/>
      <c r="BA165" s="947"/>
      <c r="BM165" s="947"/>
      <c r="BY165" s="947"/>
      <c r="BZ165" s="652"/>
    </row>
    <row r="166" spans="2:78" s="359" customFormat="1">
      <c r="B166" s="358"/>
      <c r="D166" s="366"/>
      <c r="E166" s="359" t="s">
        <v>1696</v>
      </c>
      <c r="F166" s="366"/>
      <c r="G166" s="366"/>
      <c r="H166" s="1850">
        <f t="shared" ref="H166:M166" si="185">H167-G167</f>
        <v>0</v>
      </c>
      <c r="I166" s="1850">
        <f t="shared" si="185"/>
        <v>266797.45612589549</v>
      </c>
      <c r="J166" s="1850">
        <f>J167-I167</f>
        <v>140347.09265646758</v>
      </c>
      <c r="K166" s="1850">
        <f t="shared" si="185"/>
        <v>120753.48383880919</v>
      </c>
      <c r="L166" s="1850">
        <f t="shared" si="185"/>
        <v>114989.42059169465</v>
      </c>
      <c r="M166" s="1850">
        <f t="shared" si="185"/>
        <v>93603.699708823697</v>
      </c>
      <c r="N166" s="366" t="s">
        <v>1233</v>
      </c>
      <c r="O166" s="365"/>
      <c r="P166" s="366"/>
      <c r="Q166" s="366"/>
      <c r="R166" s="1271"/>
      <c r="AC166" s="947"/>
      <c r="AO166" s="947"/>
      <c r="BA166" s="947"/>
      <c r="BM166" s="947"/>
      <c r="BY166" s="947"/>
      <c r="BZ166" s="652"/>
    </row>
    <row r="167" spans="2:78" s="359" customFormat="1">
      <c r="B167" s="358"/>
      <c r="D167" s="366"/>
      <c r="F167" s="366" t="s">
        <v>3393</v>
      </c>
      <c r="G167" s="366"/>
      <c r="H167" s="366"/>
      <c r="I167" s="359">
        <f>AC167</f>
        <v>266797.45612589549</v>
      </c>
      <c r="J167" s="359">
        <f>AO167</f>
        <v>407144.54878236307</v>
      </c>
      <c r="K167" s="359">
        <f>BA167</f>
        <v>527898.03262117226</v>
      </c>
      <c r="L167" s="359">
        <f>BM167</f>
        <v>642887.45321286691</v>
      </c>
      <c r="M167" s="359">
        <f>BY167</f>
        <v>736491.15292169061</v>
      </c>
      <c r="N167" s="366"/>
      <c r="O167" s="365"/>
      <c r="P167" s="366"/>
      <c r="Q167" s="366"/>
      <c r="R167" s="1854">
        <f>(R$94-R$78-R$79)*2+SUM(R$78+R$79)*2</f>
        <v>186602.88687293712</v>
      </c>
      <c r="S167" s="1850">
        <f t="shared" ref="S167:BY167" si="186">(S$94-S$78-S$79)*2+SUM(S$78+S$79)*2</f>
        <v>192756.02953229696</v>
      </c>
      <c r="T167" s="1850">
        <f t="shared" si="186"/>
        <v>198909.17219165681</v>
      </c>
      <c r="U167" s="1850">
        <f t="shared" si="186"/>
        <v>205062.31485101662</v>
      </c>
      <c r="V167" s="1850">
        <f t="shared" si="186"/>
        <v>211215.45751037647</v>
      </c>
      <c r="W167" s="1850">
        <f t="shared" si="186"/>
        <v>217368.60016973637</v>
      </c>
      <c r="X167" s="1850">
        <f t="shared" si="186"/>
        <v>232325.07616242953</v>
      </c>
      <c r="Y167" s="1850">
        <f t="shared" si="186"/>
        <v>238478.21882178937</v>
      </c>
      <c r="Z167" s="1850">
        <f t="shared" si="186"/>
        <v>244631.36148114922</v>
      </c>
      <c r="AA167" s="1850">
        <f t="shared" si="186"/>
        <v>254491.17080717575</v>
      </c>
      <c r="AB167" s="1850">
        <f t="shared" si="186"/>
        <v>260644.31346653559</v>
      </c>
      <c r="AC167" s="1855">
        <f t="shared" si="186"/>
        <v>266797.45612589549</v>
      </c>
      <c r="AD167" s="1850">
        <f t="shared" si="186"/>
        <v>342159.77328623005</v>
      </c>
      <c r="AE167" s="1850">
        <f t="shared" si="186"/>
        <v>348067.48014951491</v>
      </c>
      <c r="AF167" s="1850">
        <f t="shared" si="186"/>
        <v>353975.18701279972</v>
      </c>
      <c r="AG167" s="1850">
        <f t="shared" si="186"/>
        <v>359882.89387608448</v>
      </c>
      <c r="AH167" s="1850">
        <f t="shared" si="186"/>
        <v>365790.60073936929</v>
      </c>
      <c r="AI167" s="1850">
        <f t="shared" si="186"/>
        <v>371698.30760265415</v>
      </c>
      <c r="AJ167" s="1850">
        <f t="shared" si="186"/>
        <v>377606.01446593896</v>
      </c>
      <c r="AK167" s="1850">
        <f t="shared" si="186"/>
        <v>383513.72132922371</v>
      </c>
      <c r="AL167" s="1850">
        <f t="shared" si="186"/>
        <v>389421.42819250858</v>
      </c>
      <c r="AM167" s="1850">
        <f t="shared" si="186"/>
        <v>395329.13505579339</v>
      </c>
      <c r="AN167" s="1850">
        <f t="shared" si="186"/>
        <v>401236.84191907826</v>
      </c>
      <c r="AO167" s="1855">
        <f t="shared" si="186"/>
        <v>407144.54878236307</v>
      </c>
      <c r="AP167" s="1850">
        <f t="shared" si="186"/>
        <v>486430.92697901849</v>
      </c>
      <c r="AQ167" s="1850">
        <f t="shared" si="186"/>
        <v>490200.66385557794</v>
      </c>
      <c r="AR167" s="1850">
        <f t="shared" si="186"/>
        <v>493970.40073213738</v>
      </c>
      <c r="AS167" s="1850">
        <f t="shared" si="186"/>
        <v>497740.13760869694</v>
      </c>
      <c r="AT167" s="1850">
        <f t="shared" si="186"/>
        <v>501509.87448525627</v>
      </c>
      <c r="AU167" s="1850">
        <f t="shared" si="186"/>
        <v>505279.61136181571</v>
      </c>
      <c r="AV167" s="1850">
        <f t="shared" si="186"/>
        <v>509049.34823837515</v>
      </c>
      <c r="AW167" s="1850">
        <f t="shared" si="186"/>
        <v>512819.0851149346</v>
      </c>
      <c r="AX167" s="1850">
        <f t="shared" si="186"/>
        <v>516588.82199149393</v>
      </c>
      <c r="AY167" s="1850">
        <f t="shared" si="186"/>
        <v>520358.55886805349</v>
      </c>
      <c r="AZ167" s="1850">
        <f t="shared" si="186"/>
        <v>524128.29574461281</v>
      </c>
      <c r="BA167" s="1855">
        <f t="shared" si="186"/>
        <v>527898.03262117226</v>
      </c>
      <c r="BB167" s="1850">
        <f t="shared" si="186"/>
        <v>601014.46192955307</v>
      </c>
      <c r="BC167" s="1850">
        <f t="shared" si="186"/>
        <v>604821.09750076348</v>
      </c>
      <c r="BD167" s="1850">
        <f t="shared" si="186"/>
        <v>608627.7330719739</v>
      </c>
      <c r="BE167" s="1850">
        <f t="shared" si="186"/>
        <v>612434.36864318408</v>
      </c>
      <c r="BF167" s="1850">
        <f t="shared" si="186"/>
        <v>616241.00421439449</v>
      </c>
      <c r="BG167" s="1850">
        <f t="shared" si="186"/>
        <v>620047.63978560478</v>
      </c>
      <c r="BH167" s="1850">
        <f t="shared" si="186"/>
        <v>623854.2753568152</v>
      </c>
      <c r="BI167" s="1850">
        <f t="shared" si="186"/>
        <v>627660.91092802538</v>
      </c>
      <c r="BJ167" s="1850">
        <f t="shared" si="186"/>
        <v>631467.54649923579</v>
      </c>
      <c r="BK167" s="1850">
        <f t="shared" si="186"/>
        <v>635274.18207044632</v>
      </c>
      <c r="BL167" s="1850">
        <f t="shared" si="186"/>
        <v>639080.81764165638</v>
      </c>
      <c r="BM167" s="1855">
        <f t="shared" si="186"/>
        <v>642887.45321286691</v>
      </c>
      <c r="BN167" s="1850">
        <f t="shared" si="186"/>
        <v>705568.88967371802</v>
      </c>
      <c r="BO167" s="1850">
        <f t="shared" si="186"/>
        <v>708380.00451444276</v>
      </c>
      <c r="BP167" s="1850">
        <f t="shared" si="186"/>
        <v>711191.1193551675</v>
      </c>
      <c r="BQ167" s="1850">
        <f t="shared" si="186"/>
        <v>714002.23419589247</v>
      </c>
      <c r="BR167" s="1850">
        <f t="shared" si="186"/>
        <v>716813.3490366172</v>
      </c>
      <c r="BS167" s="1850">
        <f t="shared" si="186"/>
        <v>719624.46387734194</v>
      </c>
      <c r="BT167" s="1850">
        <f t="shared" si="186"/>
        <v>722435.57871806668</v>
      </c>
      <c r="BU167" s="1850">
        <f t="shared" si="186"/>
        <v>725246.69355879165</v>
      </c>
      <c r="BV167" s="1850">
        <f t="shared" si="186"/>
        <v>728057.80839951639</v>
      </c>
      <c r="BW167" s="1850">
        <f t="shared" si="186"/>
        <v>730868.92324024113</v>
      </c>
      <c r="BX167" s="1850">
        <f t="shared" si="186"/>
        <v>733680.03808096587</v>
      </c>
      <c r="BY167" s="1855">
        <f t="shared" si="186"/>
        <v>736491.15292169061</v>
      </c>
      <c r="BZ167" s="652"/>
    </row>
    <row r="168" spans="2:78" s="359" customFormat="1">
      <c r="B168" s="358"/>
      <c r="D168" s="366"/>
      <c r="F168" s="366" t="s">
        <v>571</v>
      </c>
      <c r="G168" s="366"/>
      <c r="H168" s="366"/>
      <c r="I168" s="359">
        <f>AC168</f>
        <v>-892501.48751841125</v>
      </c>
      <c r="J168" s="359">
        <f>AO168</f>
        <v>-934497.37368722807</v>
      </c>
      <c r="K168" s="359">
        <f>BA168</f>
        <v>-554254.41532237933</v>
      </c>
      <c r="L168" s="359">
        <f>BM168</f>
        <v>24059.489690835355</v>
      </c>
      <c r="M168" s="359">
        <f>BY168</f>
        <v>968680.66939005966</v>
      </c>
      <c r="N168" s="366"/>
      <c r="O168" s="365"/>
      <c r="P168" s="366"/>
      <c r="Q168" s="366">
        <f>SUM($Q184:Q184)</f>
        <v>-264648.14604055602</v>
      </c>
      <c r="R168" s="1271">
        <f>SUM($Q184:R184)+SUM($R186:R186)</f>
        <v>-330268.0830551153</v>
      </c>
      <c r="S168" s="359">
        <f>SUM($Q184:S184)+SUM($R186:S186)</f>
        <v>-432146.00637308182</v>
      </c>
      <c r="T168" s="359">
        <f>SUM($Q184:T184)+SUM($R186:T186)</f>
        <v>-537100.50102072826</v>
      </c>
      <c r="U168" s="359">
        <f>SUM($Q184:U184)+SUM($R186:U186)</f>
        <v>-645131.56699805474</v>
      </c>
      <c r="V168" s="359">
        <f>SUM($Q184:V184)+SUM($R186:V186)</f>
        <v>-756239.20430506114</v>
      </c>
      <c r="W168" s="359">
        <f>SUM($Q184:W184)+SUM($R186:W186)</f>
        <v>-870423.41294174746</v>
      </c>
      <c r="X168" s="359">
        <f>SUM($Q184:X184)+SUM($R186:X186)</f>
        <v>-990031.74846366909</v>
      </c>
      <c r="Y168" s="359">
        <f>SUM($Q184:Y184)+SUM($R186:Y186)</f>
        <v>-945582.07447653788</v>
      </c>
      <c r="Z168" s="359">
        <f>SUM($Q184:Z184)+SUM($R186:Z186)</f>
        <v>-826188.40438101033</v>
      </c>
      <c r="AA168" s="359">
        <f>SUM($Q184:AA184)+SUM($R186:AA186)</f>
        <v>-854722.38301189872</v>
      </c>
      <c r="AB168" s="359">
        <f>SUM($Q184:AB184)+SUM($R186:AB186)</f>
        <v>-877115.04035399517</v>
      </c>
      <c r="AC168" s="947">
        <f>SUM($Q184:AC184)+SUM($R186:AC186)</f>
        <v>-892501.48751841125</v>
      </c>
      <c r="AD168" s="359">
        <f>SUM($Q184:AD184)+SUM($R186:AD186)</f>
        <v>-911146.84542250307</v>
      </c>
      <c r="AE168" s="359">
        <f>SUM($Q184:AE184)+SUM($R186:AE186)</f>
        <v>-947762.53009059886</v>
      </c>
      <c r="AF168" s="359">
        <f>SUM($Q184:AF184)+SUM($R186:AF186)</f>
        <v>-978775.63176697958</v>
      </c>
      <c r="AG168" s="359">
        <f>SUM($Q184:AG184)+SUM($R186:AG186)</f>
        <v>-1001700.0977596828</v>
      </c>
      <c r="AH168" s="359">
        <f>SUM($Q184:AH184)+SUM($R186:AH186)</f>
        <v>-1017663.4956408838</v>
      </c>
      <c r="AI168" s="359">
        <f>SUM($Q184:AI184)+SUM($R186:AI186)</f>
        <v>-1026665.8254105827</v>
      </c>
      <c r="AJ168" s="359">
        <f>SUM($Q184:AJ184)+SUM($R186:AJ186)</f>
        <v>-1028707.087068779</v>
      </c>
      <c r="AK168" s="359">
        <f>SUM($Q184:AK184)+SUM($R186:AK186)</f>
        <v>-1023787.2806154732</v>
      </c>
      <c r="AL168" s="359">
        <f>SUM($Q184:AL184)+SUM($R186:AL186)</f>
        <v>-1011906.406050665</v>
      </c>
      <c r="AM168" s="359">
        <f>SUM($Q184:AM184)+SUM($R186:AM186)</f>
        <v>-993064.46337435464</v>
      </c>
      <c r="AN168" s="359">
        <f>SUM($Q184:AN184)+SUM($R186:AN186)</f>
        <v>-967261.45258654247</v>
      </c>
      <c r="AO168" s="947">
        <f>SUM($Q184:AO184)+SUM($R186:AO186)</f>
        <v>-934497.37368722807</v>
      </c>
      <c r="AP168" s="359">
        <f>SUM($Q184:AP184)+SUM($R186:AP186)</f>
        <v>-906996.90685604909</v>
      </c>
      <c r="AQ168" s="359">
        <f>SUM($Q184:AQ184)+SUM($R186:AQ186)</f>
        <v>-896382.12983395741</v>
      </c>
      <c r="AR168" s="359">
        <f>SUM($Q184:AR184)+SUM($R186:AR186)</f>
        <v>-880103.45287073567</v>
      </c>
      <c r="AS168" s="359">
        <f>SUM($Q184:AS184)+SUM($R186:AS186)</f>
        <v>-858222.65379870951</v>
      </c>
      <c r="AT168" s="359">
        <f>SUM($Q184:AT184)+SUM($R186:AT186)</f>
        <v>-832760.69234056899</v>
      </c>
      <c r="AU168" s="359">
        <f>SUM($Q184:AU184)+SUM($R186:AU186)</f>
        <v>-803717.56849631341</v>
      </c>
      <c r="AV168" s="359">
        <f>SUM($Q184:AV184)+SUM($R186:AV186)</f>
        <v>-771093.28226594359</v>
      </c>
      <c r="AW168" s="359">
        <f>SUM($Q184:AW184)+SUM($R186:AW186)</f>
        <v>-734887.83364946011</v>
      </c>
      <c r="AX168" s="359">
        <f>SUM($Q184:AX184)+SUM($R186:AX186)</f>
        <v>-695101.22264686227</v>
      </c>
      <c r="AY168" s="359">
        <f>SUM($Q184:AY184)+SUM($R186:AY186)</f>
        <v>-651733.44925814902</v>
      </c>
      <c r="AZ168" s="359">
        <f>SUM($Q184:AZ184)+SUM($R186:AZ186)</f>
        <v>-604784.51348332141</v>
      </c>
      <c r="BA168" s="947">
        <f>SUM($Q184:BA184)+SUM($R186:BA186)</f>
        <v>-554254.41532237933</v>
      </c>
      <c r="BB168" s="359">
        <f>SUM($Q184:BB184)+SUM($R186:BB186)</f>
        <v>-511005.2749378467</v>
      </c>
      <c r="BC168" s="359">
        <f>SUM($Q184:BC184)+SUM($R186:BC186)</f>
        <v>-486789.04272146884</v>
      </c>
      <c r="BD168" s="359">
        <f>SUM($Q184:BD184)+SUM($R186:BD186)</f>
        <v>-459010.09746630106</v>
      </c>
      <c r="BE168" s="359">
        <f>SUM($Q184:BE184)+SUM($R186:BE186)</f>
        <v>-424164.01008557813</v>
      </c>
      <c r="BF168" s="359">
        <f>SUM($Q184:BF184)+SUM($R186:BF186)</f>
        <v>-384610.84490678232</v>
      </c>
      <c r="BG168" s="359">
        <f>SUM($Q184:BG184)+SUM($R186:BG186)</f>
        <v>-340350.60192991333</v>
      </c>
      <c r="BH168" s="359">
        <f>SUM($Q184:BH184)+SUM($R186:BH186)</f>
        <v>-291383.28115497052</v>
      </c>
      <c r="BI168" s="359">
        <f>SUM($Q184:BI184)+SUM($R186:BI186)</f>
        <v>-237708.88258195462</v>
      </c>
      <c r="BJ168" s="359">
        <f>SUM($Q184:BJ184)+SUM($R186:BJ186)</f>
        <v>-179327.40621086571</v>
      </c>
      <c r="BK168" s="359">
        <f>SUM($Q184:BK184)+SUM($R186:BK186)</f>
        <v>-116238.85204170385</v>
      </c>
      <c r="BL168" s="359">
        <f>SUM($Q184:BL184)+SUM($R186:BL186)</f>
        <v>-48443.220074470737</v>
      </c>
      <c r="BM168" s="947">
        <f>SUM($Q184:BM184)+SUM($R186:BM186)</f>
        <v>24059.489690835355</v>
      </c>
      <c r="BN168" s="359">
        <f>SUM($Q184:BN184)+SUM($R186:BN186)</f>
        <v>91734.981431192602</v>
      </c>
      <c r="BO168" s="359">
        <f>SUM($Q184:BO184)+SUM($R186:BO186)</f>
        <v>145050.05841923476</v>
      </c>
      <c r="BP168" s="359">
        <f>SUM($Q184:BP184)+SUM($R186:BP186)</f>
        <v>207748.57328364433</v>
      </c>
      <c r="BQ168" s="359">
        <f>SUM($Q184:BQ184)+SUM($R186:BQ186)</f>
        <v>277235.23772026913</v>
      </c>
      <c r="BR168" s="359">
        <f>SUM($Q184:BR184)+SUM($R186:BR186)</f>
        <v>350487.2387173606</v>
      </c>
      <c r="BS168" s="359">
        <f>SUM($Q184:BS184)+SUM($R186:BS186)</f>
        <v>427504.57627491676</v>
      </c>
      <c r="BT168" s="359">
        <f>SUM($Q184:BT184)+SUM($R186:BT186)</f>
        <v>508287.25039294158</v>
      </c>
      <c r="BU168" s="359">
        <f>SUM($Q184:BU184)+SUM($R186:BU186)</f>
        <v>592835.2610714311</v>
      </c>
      <c r="BV168" s="359">
        <f>SUM($Q184:BV184)+SUM($R186:BV186)</f>
        <v>681148.6083103891</v>
      </c>
      <c r="BW168" s="359">
        <f>SUM($Q184:BW184)+SUM($R186:BW186)</f>
        <v>773227.29210981214</v>
      </c>
      <c r="BX168" s="359">
        <f>SUM($Q184:BX184)+SUM($R186:BX186)</f>
        <v>869071.31246970175</v>
      </c>
      <c r="BY168" s="947">
        <f>SUM($Q184:BY184)+SUM($R186:BY186)</f>
        <v>968680.66939005966</v>
      </c>
      <c r="BZ168" s="652"/>
    </row>
    <row r="169" spans="2:78" s="359" customFormat="1">
      <c r="B169" s="358"/>
      <c r="D169" s="366"/>
      <c r="F169" s="366" t="s">
        <v>572</v>
      </c>
      <c r="G169" s="366"/>
      <c r="H169" s="366">
        <f>MAX(R169:BY169)</f>
        <v>1407301.001944697</v>
      </c>
      <c r="N169" s="366"/>
      <c r="O169" s="365"/>
      <c r="P169" s="366"/>
      <c r="Q169" s="366"/>
      <c r="R169" s="1271">
        <f>R167+-R168</f>
        <v>516870.96992805239</v>
      </c>
      <c r="S169" s="359">
        <f t="shared" ref="S169:BY169" si="187">S167+-S168</f>
        <v>624902.03590537875</v>
      </c>
      <c r="T169" s="359">
        <f t="shared" si="187"/>
        <v>736009.67321238504</v>
      </c>
      <c r="U169" s="359">
        <f t="shared" si="187"/>
        <v>850193.88184907136</v>
      </c>
      <c r="V169" s="359">
        <f t="shared" si="187"/>
        <v>967454.6618154376</v>
      </c>
      <c r="W169" s="359">
        <f t="shared" si="187"/>
        <v>1087792.0131114838</v>
      </c>
      <c r="X169" s="359">
        <f t="shared" si="187"/>
        <v>1222356.8246260986</v>
      </c>
      <c r="Y169" s="359">
        <f t="shared" si="187"/>
        <v>1184060.2932983274</v>
      </c>
      <c r="Z169" s="359">
        <f t="shared" si="187"/>
        <v>1070819.7658621594</v>
      </c>
      <c r="AA169" s="359">
        <f t="shared" si="187"/>
        <v>1109213.5538190745</v>
      </c>
      <c r="AB169" s="359">
        <f t="shared" si="187"/>
        <v>1137759.3538205307</v>
      </c>
      <c r="AC169" s="947">
        <f t="shared" si="187"/>
        <v>1159298.9436443066</v>
      </c>
      <c r="AD169" s="359">
        <f t="shared" si="187"/>
        <v>1253306.618708733</v>
      </c>
      <c r="AE169" s="359">
        <f t="shared" si="187"/>
        <v>1295830.0102401138</v>
      </c>
      <c r="AF169" s="359">
        <f t="shared" si="187"/>
        <v>1332750.8187797794</v>
      </c>
      <c r="AG169" s="359">
        <f t="shared" si="187"/>
        <v>1361582.9916357673</v>
      </c>
      <c r="AH169" s="359">
        <f t="shared" si="187"/>
        <v>1383454.0963802531</v>
      </c>
      <c r="AI169" s="359">
        <f t="shared" si="187"/>
        <v>1398364.1330132368</v>
      </c>
      <c r="AJ169" s="359">
        <f t="shared" si="187"/>
        <v>1406313.1015347179</v>
      </c>
      <c r="AK169" s="359">
        <f t="shared" si="187"/>
        <v>1407301.001944697</v>
      </c>
      <c r="AL169" s="359">
        <f t="shared" si="187"/>
        <v>1401327.8342431735</v>
      </c>
      <c r="AM169" s="359">
        <f t="shared" si="187"/>
        <v>1388393.5984301481</v>
      </c>
      <c r="AN169" s="359">
        <f t="shared" si="187"/>
        <v>1368498.2945056208</v>
      </c>
      <c r="AO169" s="947">
        <f t="shared" si="187"/>
        <v>1341641.9224695913</v>
      </c>
      <c r="AP169" s="359">
        <f t="shared" si="187"/>
        <v>1393427.8338350677</v>
      </c>
      <c r="AQ169" s="359">
        <f t="shared" si="187"/>
        <v>1386582.7936895355</v>
      </c>
      <c r="AR169" s="359">
        <f t="shared" si="187"/>
        <v>1374073.8536028732</v>
      </c>
      <c r="AS169" s="359">
        <f t="shared" si="187"/>
        <v>1355962.7914074063</v>
      </c>
      <c r="AT169" s="359">
        <f t="shared" si="187"/>
        <v>1334270.5668258253</v>
      </c>
      <c r="AU169" s="359">
        <f t="shared" si="187"/>
        <v>1308997.179858129</v>
      </c>
      <c r="AV169" s="359">
        <f t="shared" si="187"/>
        <v>1280142.6305043187</v>
      </c>
      <c r="AW169" s="359">
        <f t="shared" si="187"/>
        <v>1247706.9187643947</v>
      </c>
      <c r="AX169" s="359">
        <f t="shared" si="187"/>
        <v>1211690.0446383562</v>
      </c>
      <c r="AY169" s="359">
        <f t="shared" si="187"/>
        <v>1172092.0081262025</v>
      </c>
      <c r="AZ169" s="359">
        <f t="shared" si="187"/>
        <v>1128912.8092279341</v>
      </c>
      <c r="BA169" s="947">
        <f t="shared" si="187"/>
        <v>1082152.4479435515</v>
      </c>
      <c r="BB169" s="359">
        <f t="shared" si="187"/>
        <v>1112019.7368673999</v>
      </c>
      <c r="BC169" s="359">
        <f t="shared" si="187"/>
        <v>1091610.1402222323</v>
      </c>
      <c r="BD169" s="359">
        <f t="shared" si="187"/>
        <v>1067637.830538275</v>
      </c>
      <c r="BE169" s="359">
        <f t="shared" si="187"/>
        <v>1036598.3787287623</v>
      </c>
      <c r="BF169" s="359">
        <f t="shared" si="187"/>
        <v>1000851.8491211769</v>
      </c>
      <c r="BG169" s="359">
        <f t="shared" si="187"/>
        <v>960398.24171551806</v>
      </c>
      <c r="BH169" s="359">
        <f t="shared" si="187"/>
        <v>915237.55651178572</v>
      </c>
      <c r="BI169" s="359">
        <f t="shared" si="187"/>
        <v>865369.79350997997</v>
      </c>
      <c r="BJ169" s="359">
        <f t="shared" si="187"/>
        <v>810794.9527101015</v>
      </c>
      <c r="BK169" s="359">
        <f t="shared" si="187"/>
        <v>751513.0341121502</v>
      </c>
      <c r="BL169" s="359">
        <f t="shared" si="187"/>
        <v>687524.03771612712</v>
      </c>
      <c r="BM169" s="947">
        <f t="shared" si="187"/>
        <v>618827.96352203155</v>
      </c>
      <c r="BN169" s="359">
        <f t="shared" si="187"/>
        <v>613833.90824252542</v>
      </c>
      <c r="BO169" s="359">
        <f t="shared" si="187"/>
        <v>563329.94609520794</v>
      </c>
      <c r="BP169" s="359">
        <f t="shared" si="187"/>
        <v>503442.54607152316</v>
      </c>
      <c r="BQ169" s="359">
        <f t="shared" si="187"/>
        <v>436766.99647562334</v>
      </c>
      <c r="BR169" s="359">
        <f t="shared" si="187"/>
        <v>366326.11031925661</v>
      </c>
      <c r="BS169" s="359">
        <f t="shared" si="187"/>
        <v>292119.88760242518</v>
      </c>
      <c r="BT169" s="359">
        <f t="shared" si="187"/>
        <v>214148.3283251251</v>
      </c>
      <c r="BU169" s="359">
        <f t="shared" si="187"/>
        <v>132411.43248736055</v>
      </c>
      <c r="BV169" s="359">
        <f t="shared" si="187"/>
        <v>46909.200089127291</v>
      </c>
      <c r="BW169" s="359">
        <f t="shared" si="187"/>
        <v>-42358.368869571015</v>
      </c>
      <c r="BX169" s="359">
        <f t="shared" si="187"/>
        <v>-135391.27438873588</v>
      </c>
      <c r="BY169" s="947">
        <f t="shared" si="187"/>
        <v>-232189.51646836905</v>
      </c>
      <c r="BZ169" s="652"/>
    </row>
    <row r="170" spans="2:78" s="359" customFormat="1">
      <c r="B170" s="358"/>
      <c r="D170" s="366"/>
      <c r="F170" s="366" t="s">
        <v>93</v>
      </c>
      <c r="G170" s="366"/>
      <c r="H170" s="366"/>
      <c r="N170" s="366"/>
      <c r="O170" s="365"/>
      <c r="P170" s="366"/>
      <c r="Q170" s="366"/>
      <c r="R170" s="2231">
        <v>1</v>
      </c>
      <c r="S170" s="2232">
        <f>IF(SUM(T170:$BY$170)&gt;0, 1, IF(S168&gt;R168, 0, 1))</f>
        <v>1</v>
      </c>
      <c r="T170" s="2232">
        <f>IF(SUM(U170:$BY$170)&gt;0, 1, IF(T168&gt;S168, 0, 1))</f>
        <v>1</v>
      </c>
      <c r="U170" s="2232">
        <f>IF(SUM(V170:$BY$170)&gt;0, 1, IF(U168&gt;T168, 0, 1))</f>
        <v>1</v>
      </c>
      <c r="V170" s="2232">
        <f>IF(SUM(W170:$BY$170)&gt;0, 1, IF(V168&gt;U168, 0, 1))</f>
        <v>1</v>
      </c>
      <c r="W170" s="2232">
        <f>IF(SUM(X170:$BY$170)&gt;0, 1, IF(W168&gt;V168, 0, 1))</f>
        <v>1</v>
      </c>
      <c r="X170" s="2232">
        <f>IF(SUM(Y170:$BY$170)&gt;0, 1, IF(X168&gt;W168, 0, 1))</f>
        <v>1</v>
      </c>
      <c r="Y170" s="2232">
        <f>IF(SUM(Z170:$BY$170)&gt;0, 1, IF(Y168&gt;X168, 0, 1))</f>
        <v>1</v>
      </c>
      <c r="Z170" s="2232">
        <f>IF(SUM(AA170:$BY$170)&gt;0, 1, IF(Z168&gt;Y168, 0, 1))</f>
        <v>1</v>
      </c>
      <c r="AA170" s="2232">
        <f>IF(SUM(AB170:$BY$170)&gt;0, 1, IF(AA168&gt;Z168, 0, 1))</f>
        <v>1</v>
      </c>
      <c r="AB170" s="2232">
        <f>IF(SUM(AC170:$BY$170)&gt;0, 1, IF(AB168&gt;AA168, 0, 1))</f>
        <v>1</v>
      </c>
      <c r="AC170" s="2232">
        <f>IF(SUM(AD170:$BY$170)&gt;0, 1, IF(AC168&gt;AB168, 0, 1))</f>
        <v>1</v>
      </c>
      <c r="AD170" s="2232">
        <f>IF(SUM(AE170:$BY$170)&gt;0, 1, IF(AD168&gt;AC168, 0, 1))</f>
        <v>1</v>
      </c>
      <c r="AE170" s="2232">
        <f>IF(SUM(AF170:$BY$170)&gt;0, 1, IF(AE168&gt;AD168, 0, 1))</f>
        <v>1</v>
      </c>
      <c r="AF170" s="2232">
        <f>IF(SUM(AG170:$BY$170)&gt;0, 1, IF(AF168&gt;AE168, 0, 1))</f>
        <v>1</v>
      </c>
      <c r="AG170" s="2232">
        <f>IF(SUM(AH170:$BY$170)&gt;0, 1, IF(AG168&gt;AF168, 0, 1))</f>
        <v>1</v>
      </c>
      <c r="AH170" s="2232">
        <f>IF(SUM(AI170:$BY$170)&gt;0, 1, IF(AH168&gt;AG168, 0, 1))</f>
        <v>1</v>
      </c>
      <c r="AI170" s="2232">
        <f>IF(SUM(AJ170:$BY$170)&gt;0, 1, IF(AI168&gt;AH168, 0, 1))</f>
        <v>1</v>
      </c>
      <c r="AJ170" s="2232">
        <f>IF(SUM(AK170:$BY$170)&gt;0, 1, IF(AJ168&gt;AI168, 0, 1))</f>
        <v>1</v>
      </c>
      <c r="AK170" s="2232">
        <f>IF(SUM(AL170:$BY$170)&gt;0, 1, IF(AK168&gt;AJ168, 0, 1))</f>
        <v>0</v>
      </c>
      <c r="AL170" s="2232">
        <f>IF(SUM(AM170:$BY$170)&gt;0, 1, IF(AL168&gt;AK168, 0, 1))</f>
        <v>0</v>
      </c>
      <c r="AM170" s="2232">
        <f>IF(SUM(AN170:$BY$170)&gt;0, 1, IF(AM168&gt;AL168, 0, 1))</f>
        <v>0</v>
      </c>
      <c r="AN170" s="2232">
        <f>IF(SUM(AO170:$BY$170)&gt;0, 1, IF(AN168&gt;AM168, 0, 1))</f>
        <v>0</v>
      </c>
      <c r="AO170" s="2232">
        <f>IF(SUM(AP170:$BY$170)&gt;0, 1, IF(AO168&gt;AN168, 0, 1))</f>
        <v>0</v>
      </c>
      <c r="AP170" s="2232">
        <f>IF(SUM(AQ170:$BY$170)&gt;0, 1, IF(AP168&gt;AO168, 0, 1))</f>
        <v>0</v>
      </c>
      <c r="AQ170" s="2232">
        <f>IF(SUM(AR170:$BY$170)&gt;0, 1, IF(AQ168&gt;AP168, 0, 1))</f>
        <v>0</v>
      </c>
      <c r="AR170" s="2232">
        <f>IF(SUM(AS170:$BY$170)&gt;0, 1, IF(AR168&gt;AQ168, 0, 1))</f>
        <v>0</v>
      </c>
      <c r="AS170" s="2232">
        <f>IF(SUM(AT170:$BY$170)&gt;0, 1, IF(AS168&gt;AR168, 0, 1))</f>
        <v>0</v>
      </c>
      <c r="AT170" s="2232">
        <f>IF(SUM(AU170:$BY$170)&gt;0, 1, IF(AT168&gt;AS168, 0, 1))</f>
        <v>0</v>
      </c>
      <c r="AU170" s="2232">
        <f>IF(SUM(AV170:$BY$170)&gt;0, 1, IF(AU168&gt;AT168, 0, 1))</f>
        <v>0</v>
      </c>
      <c r="AV170" s="2232">
        <f>IF(SUM(AW170:$BY$170)&gt;0, 1, IF(AV168&gt;AU168, 0, 1))</f>
        <v>0</v>
      </c>
      <c r="AW170" s="2232">
        <f>IF(SUM(AX170:$BY$170)&gt;0, 1, IF(AW168&gt;AV168, 0, 1))</f>
        <v>0</v>
      </c>
      <c r="AX170" s="2232">
        <f>IF(SUM(AY170:$BY$170)&gt;0, 1, IF(AX168&gt;AW168, 0, 1))</f>
        <v>0</v>
      </c>
      <c r="AY170" s="2232">
        <f>IF(SUM(AZ170:$BY$170)&gt;0, 1, IF(AY168&gt;AX168, 0, 1))</f>
        <v>0</v>
      </c>
      <c r="AZ170" s="2232">
        <f>IF(SUM(BA170:$BY$170)&gt;0, 1, IF(AZ168&gt;AY168, 0, 1))</f>
        <v>0</v>
      </c>
      <c r="BA170" s="2232">
        <f>IF(SUM(BB170:$BY$170)&gt;0, 1, IF(BA168&gt;AZ168, 0, 1))</f>
        <v>0</v>
      </c>
      <c r="BB170" s="2232">
        <f>IF(SUM(BC170:$BY$170)&gt;0, 1, IF(BB168&gt;BA168, 0, 1))</f>
        <v>0</v>
      </c>
      <c r="BC170" s="2232">
        <f>IF(SUM(BD170:$BY$170)&gt;0, 1, IF(BC168&gt;BB168, 0, 1))</f>
        <v>0</v>
      </c>
      <c r="BD170" s="2232">
        <f>IF(SUM(BE170:$BY$170)&gt;0, 1, IF(BD168&gt;BC168, 0, 1))</f>
        <v>0</v>
      </c>
      <c r="BE170" s="2232">
        <f>IF(SUM(BF170:$BY$170)&gt;0, 1, IF(BE168&gt;BD168, 0, 1))</f>
        <v>0</v>
      </c>
      <c r="BF170" s="2232">
        <f>IF(SUM(BG170:$BY$170)&gt;0, 1, IF(BF168&gt;BE168, 0, 1))</f>
        <v>0</v>
      </c>
      <c r="BG170" s="2232">
        <f>IF(SUM(BH170:$BY$170)&gt;0, 1, IF(BG168&gt;BF168, 0, 1))</f>
        <v>0</v>
      </c>
      <c r="BH170" s="2232">
        <f>IF(SUM(BI170:$BY$170)&gt;0, 1, IF(BH168&gt;BG168, 0, 1))</f>
        <v>0</v>
      </c>
      <c r="BI170" s="2232">
        <f>IF(SUM(BJ170:$BY$170)&gt;0, 1, IF(BI168&gt;BH168, 0, 1))</f>
        <v>0</v>
      </c>
      <c r="BJ170" s="2232">
        <f>IF(SUM(BK170:$BY$170)&gt;0, 1, IF(BJ168&gt;BI168, 0, 1))</f>
        <v>0</v>
      </c>
      <c r="BK170" s="2232">
        <f>IF(SUM(BL170:$BY$170)&gt;0, 1, IF(BK168&gt;BJ168, 0, 1))</f>
        <v>0</v>
      </c>
      <c r="BL170" s="2232">
        <f>IF(SUM(BM170:$BY$170)&gt;0, 1, IF(BL168&gt;BK168, 0, 1))</f>
        <v>0</v>
      </c>
      <c r="BM170" s="2232">
        <f>IF(SUM(BN170:$BY$170)&gt;0, 1, IF(BM168&gt;BL168, 0, 1))</f>
        <v>0</v>
      </c>
      <c r="BN170" s="2232">
        <f>IF(SUM(BO170:$BY$170)&gt;0, 1, IF(BN168&gt;BM168, 0, 1))</f>
        <v>0</v>
      </c>
      <c r="BO170" s="2232">
        <f>IF(SUM(BP170:$BY$170)&gt;0, 1, IF(BO168&gt;BN168, 0, 1))</f>
        <v>0</v>
      </c>
      <c r="BP170" s="2232">
        <f>IF(SUM(BQ170:$BY$170)&gt;0, 1, IF(BP168&gt;BO168, 0, 1))</f>
        <v>0</v>
      </c>
      <c r="BQ170" s="2232">
        <f>IF(SUM(BR170:$BY$170)&gt;0, 1, IF(BQ168&gt;BP168, 0, 1))</f>
        <v>0</v>
      </c>
      <c r="BR170" s="2232">
        <f>IF(SUM(BS170:$BY$170)&gt;0, 1, IF(BR168&gt;BQ168, 0, 1))</f>
        <v>0</v>
      </c>
      <c r="BS170" s="2232">
        <f>IF(SUM(BT170:$BY$170)&gt;0, 1, IF(BS168&gt;BR168, 0, 1))</f>
        <v>0</v>
      </c>
      <c r="BT170" s="2232">
        <f>IF(SUM(BU170:$BY$170)&gt;0, 1, IF(BT168&gt;BS168, 0, 1))</f>
        <v>0</v>
      </c>
      <c r="BU170" s="2232">
        <f>IF(SUM(BV170:$BY$170)&gt;0, 1, IF(BU168&gt;BT168, 0, 1))</f>
        <v>0</v>
      </c>
      <c r="BV170" s="2232">
        <f>IF(SUM(BW170:$BY$170)&gt;0, 1, IF(BV168&gt;BU168, 0, 1))</f>
        <v>0</v>
      </c>
      <c r="BW170" s="2232">
        <f>IF(SUM(BX170:$BY$170)&gt;0, 1, IF(BW168&gt;BV168, 0, 1))</f>
        <v>0</v>
      </c>
      <c r="BX170" s="2232">
        <f>IF(SUM(BY170:$BY$170)&gt;0, 1, IF(BX168&gt;BW168, 0, 1))</f>
        <v>0</v>
      </c>
      <c r="BY170" s="2232">
        <f>IF(BY168&gt;BX168, 0, 1)</f>
        <v>0</v>
      </c>
      <c r="BZ170" s="652"/>
    </row>
    <row r="171" spans="2:78" s="359" customFormat="1">
      <c r="B171" s="358"/>
      <c r="D171" s="366"/>
      <c r="F171" s="366" t="s">
        <v>1421</v>
      </c>
      <c r="G171" s="366"/>
      <c r="H171" s="366"/>
      <c r="I171" s="359">
        <f>I140/I69*365</f>
        <v>109.97262918093345</v>
      </c>
      <c r="J171" s="359">
        <f>J140/J69*365</f>
        <v>86.882050652589328</v>
      </c>
      <c r="K171" s="359">
        <f>K140/K69*365</f>
        <v>76.402091968948227</v>
      </c>
      <c r="L171" s="359">
        <f>L140/L69*365</f>
        <v>76.352375861343646</v>
      </c>
      <c r="M171" s="359">
        <f>M140/M69*365</f>
        <v>74.719441869043507</v>
      </c>
      <c r="N171" s="366"/>
      <c r="O171" s="365"/>
      <c r="P171" s="366"/>
      <c r="Q171" s="366"/>
      <c r="R171" s="1271">
        <f t="shared" ref="R171:AW171" si="188">R140/(12*R69)*365</f>
        <v>30.416666666666671</v>
      </c>
      <c r="S171" s="359">
        <f t="shared" si="188"/>
        <v>53.999305756285708</v>
      </c>
      <c r="T171" s="359">
        <f t="shared" si="188"/>
        <v>74.509237738614118</v>
      </c>
      <c r="U171" s="359">
        <f t="shared" si="188"/>
        <v>93.375458708452598</v>
      </c>
      <c r="V171" s="359">
        <f t="shared" si="188"/>
        <v>111.25979755128452</v>
      </c>
      <c r="W171" s="359">
        <f t="shared" si="188"/>
        <v>128.51081981935826</v>
      </c>
      <c r="X171" s="359">
        <f t="shared" si="188"/>
        <v>145.32956206961109</v>
      </c>
      <c r="Y171" s="359">
        <f t="shared" si="188"/>
        <v>113.00250318214313</v>
      </c>
      <c r="Z171" s="359">
        <f t="shared" si="188"/>
        <v>68.423567135414388</v>
      </c>
      <c r="AA171" s="359">
        <f t="shared" si="188"/>
        <v>68.304869440932734</v>
      </c>
      <c r="AB171" s="359">
        <f t="shared" si="188"/>
        <v>68.20382095434779</v>
      </c>
      <c r="AC171" s="947">
        <f t="shared" si="188"/>
        <v>68.116757674815631</v>
      </c>
      <c r="AD171" s="359">
        <f t="shared" si="188"/>
        <v>67.868352103434702</v>
      </c>
      <c r="AE171" s="359">
        <f t="shared" si="188"/>
        <v>67.981458287451119</v>
      </c>
      <c r="AF171" s="359">
        <f t="shared" si="188"/>
        <v>68.316175654023297</v>
      </c>
      <c r="AG171" s="359">
        <f t="shared" si="188"/>
        <v>68.431111259594488</v>
      </c>
      <c r="AH171" s="359">
        <f t="shared" si="188"/>
        <v>68.534428269003115</v>
      </c>
      <c r="AI171" s="359">
        <f t="shared" si="188"/>
        <v>68.627803669509561</v>
      </c>
      <c r="AJ171" s="359">
        <f t="shared" si="188"/>
        <v>68.712606529119356</v>
      </c>
      <c r="AK171" s="359">
        <f t="shared" si="188"/>
        <v>68.789965567882646</v>
      </c>
      <c r="AL171" s="359">
        <f t="shared" si="188"/>
        <v>68.860819683501859</v>
      </c>
      <c r="AM171" s="359">
        <f t="shared" si="188"/>
        <v>68.925956245488834</v>
      </c>
      <c r="AN171" s="359">
        <f t="shared" si="188"/>
        <v>68.986040478442533</v>
      </c>
      <c r="AO171" s="947">
        <f t="shared" si="188"/>
        <v>69.041638263239562</v>
      </c>
      <c r="AP171" s="359">
        <f t="shared" si="188"/>
        <v>69.437134492416405</v>
      </c>
      <c r="AQ171" s="359">
        <f t="shared" si="188"/>
        <v>69.832222692357661</v>
      </c>
      <c r="AR171" s="359">
        <f t="shared" si="188"/>
        <v>69.989029401430173</v>
      </c>
      <c r="AS171" s="359">
        <f t="shared" si="188"/>
        <v>69.927545495017057</v>
      </c>
      <c r="AT171" s="359">
        <f t="shared" si="188"/>
        <v>69.868340667406727</v>
      </c>
      <c r="AU171" s="359">
        <f t="shared" si="188"/>
        <v>69.811290503530827</v>
      </c>
      <c r="AV171" s="359">
        <f t="shared" si="188"/>
        <v>69.756279482250648</v>
      </c>
      <c r="AW171" s="359">
        <f t="shared" si="188"/>
        <v>69.703200195571867</v>
      </c>
      <c r="AX171" s="359">
        <f t="shared" ref="AX171:BY171" si="189">AX140/(12*AX69)*365</f>
        <v>69.651952648693069</v>
      </c>
      <c r="AY171" s="359">
        <f t="shared" si="189"/>
        <v>69.602443631290086</v>
      </c>
      <c r="AZ171" s="359">
        <f t="shared" si="189"/>
        <v>69.554586151719292</v>
      </c>
      <c r="BA171" s="947">
        <f t="shared" si="189"/>
        <v>69.508298926913511</v>
      </c>
      <c r="BB171" s="359">
        <f t="shared" si="189"/>
        <v>69.063576590721894</v>
      </c>
      <c r="BC171" s="359">
        <f t="shared" si="189"/>
        <v>69.20587573983677</v>
      </c>
      <c r="BD171" s="359">
        <f t="shared" si="189"/>
        <v>69.440827998472017</v>
      </c>
      <c r="BE171" s="359">
        <f t="shared" si="189"/>
        <v>69.46888829755693</v>
      </c>
      <c r="BF171" s="359">
        <f t="shared" si="189"/>
        <v>69.495942125773098</v>
      </c>
      <c r="BG171" s="359">
        <f t="shared" si="189"/>
        <v>69.522042679457712</v>
      </c>
      <c r="BH171" s="359">
        <f t="shared" si="189"/>
        <v>69.547239470977317</v>
      </c>
      <c r="BI171" s="359">
        <f t="shared" si="189"/>
        <v>69.571578642205068</v>
      </c>
      <c r="BJ171" s="359">
        <f t="shared" si="189"/>
        <v>69.595103246524147</v>
      </c>
      <c r="BK171" s="359">
        <f t="shared" si="189"/>
        <v>69.61785350298355</v>
      </c>
      <c r="BL171" s="359">
        <f t="shared" si="189"/>
        <v>69.639867025762598</v>
      </c>
      <c r="BM171" s="947">
        <f t="shared" si="189"/>
        <v>69.661179031697529</v>
      </c>
      <c r="BN171" s="359">
        <f t="shared" si="189"/>
        <v>69.01763788942435</v>
      </c>
      <c r="BO171" s="359">
        <f t="shared" si="189"/>
        <v>69.683934233201256</v>
      </c>
      <c r="BP171" s="359">
        <f t="shared" si="189"/>
        <v>69.945342782256702</v>
      </c>
      <c r="BQ171" s="359">
        <f t="shared" si="189"/>
        <v>69.993697891627022</v>
      </c>
      <c r="BR171" s="359">
        <f t="shared" si="189"/>
        <v>70.040940264628617</v>
      </c>
      <c r="BS171" s="359">
        <f t="shared" si="189"/>
        <v>70.087107873398836</v>
      </c>
      <c r="BT171" s="359">
        <f t="shared" si="189"/>
        <v>70.132236981774057</v>
      </c>
      <c r="BU171" s="359">
        <f t="shared" si="189"/>
        <v>70.176362240288682</v>
      </c>
      <c r="BV171" s="359">
        <f t="shared" si="189"/>
        <v>70.219516774903184</v>
      </c>
      <c r="BW171" s="359">
        <f t="shared" si="189"/>
        <v>70.261732269941376</v>
      </c>
      <c r="BX171" s="359">
        <f t="shared" si="189"/>
        <v>70.303039045670445</v>
      </c>
      <c r="BY171" s="947">
        <f t="shared" si="189"/>
        <v>70.343466130925336</v>
      </c>
      <c r="BZ171" s="652"/>
    </row>
    <row r="172" spans="2:78" s="359" customFormat="1">
      <c r="B172" s="358"/>
      <c r="D172" s="366"/>
      <c r="F172" s="366" t="s">
        <v>2699</v>
      </c>
      <c r="G172" s="366"/>
      <c r="H172" s="366"/>
      <c r="I172" s="359">
        <f>AC172</f>
        <v>14</v>
      </c>
      <c r="J172" s="359">
        <f>AO172</f>
        <v>14</v>
      </c>
      <c r="K172" s="359">
        <f>BA172</f>
        <v>14</v>
      </c>
      <c r="L172" s="359">
        <f>BM172</f>
        <v>14</v>
      </c>
      <c r="M172" s="359">
        <f>BY172</f>
        <v>14</v>
      </c>
      <c r="N172" s="366"/>
      <c r="O172" s="365"/>
      <c r="P172" s="366"/>
      <c r="Q172" s="366"/>
      <c r="R172" s="1717">
        <v>14</v>
      </c>
      <c r="S172" s="359">
        <f t="shared" ref="S172:T174" si="190">R172</f>
        <v>14</v>
      </c>
      <c r="T172" s="359">
        <f t="shared" si="190"/>
        <v>14</v>
      </c>
      <c r="U172" s="359">
        <f t="shared" ref="U172:BY174" si="191">T172</f>
        <v>14</v>
      </c>
      <c r="V172" s="359">
        <f t="shared" si="191"/>
        <v>14</v>
      </c>
      <c r="W172" s="359">
        <f t="shared" si="191"/>
        <v>14</v>
      </c>
      <c r="X172" s="359">
        <f t="shared" si="191"/>
        <v>14</v>
      </c>
      <c r="Y172" s="359">
        <f t="shared" si="191"/>
        <v>14</v>
      </c>
      <c r="Z172" s="359">
        <f t="shared" si="191"/>
        <v>14</v>
      </c>
      <c r="AA172" s="359">
        <f t="shared" si="191"/>
        <v>14</v>
      </c>
      <c r="AB172" s="359">
        <f t="shared" si="191"/>
        <v>14</v>
      </c>
      <c r="AC172" s="947">
        <f t="shared" si="191"/>
        <v>14</v>
      </c>
      <c r="AD172" s="359">
        <f t="shared" si="191"/>
        <v>14</v>
      </c>
      <c r="AE172" s="359">
        <f t="shared" si="191"/>
        <v>14</v>
      </c>
      <c r="AF172" s="359">
        <f t="shared" si="191"/>
        <v>14</v>
      </c>
      <c r="AG172" s="359">
        <f t="shared" si="191"/>
        <v>14</v>
      </c>
      <c r="AH172" s="359">
        <f t="shared" si="191"/>
        <v>14</v>
      </c>
      <c r="AI172" s="359">
        <f t="shared" si="191"/>
        <v>14</v>
      </c>
      <c r="AJ172" s="359">
        <f t="shared" si="191"/>
        <v>14</v>
      </c>
      <c r="AK172" s="359">
        <f t="shared" si="191"/>
        <v>14</v>
      </c>
      <c r="AL172" s="359">
        <f t="shared" si="191"/>
        <v>14</v>
      </c>
      <c r="AM172" s="359">
        <f t="shared" si="191"/>
        <v>14</v>
      </c>
      <c r="AN172" s="359">
        <f t="shared" si="191"/>
        <v>14</v>
      </c>
      <c r="AO172" s="947">
        <f t="shared" si="191"/>
        <v>14</v>
      </c>
      <c r="AP172" s="359">
        <f t="shared" si="191"/>
        <v>14</v>
      </c>
      <c r="AQ172" s="359">
        <f t="shared" si="191"/>
        <v>14</v>
      </c>
      <c r="AR172" s="359">
        <f t="shared" si="191"/>
        <v>14</v>
      </c>
      <c r="AS172" s="359">
        <f t="shared" si="191"/>
        <v>14</v>
      </c>
      <c r="AT172" s="359">
        <f t="shared" si="191"/>
        <v>14</v>
      </c>
      <c r="AU172" s="359">
        <f t="shared" si="191"/>
        <v>14</v>
      </c>
      <c r="AV172" s="359">
        <f t="shared" si="191"/>
        <v>14</v>
      </c>
      <c r="AW172" s="359">
        <f t="shared" si="191"/>
        <v>14</v>
      </c>
      <c r="AX172" s="359">
        <f t="shared" si="191"/>
        <v>14</v>
      </c>
      <c r="AY172" s="359">
        <f t="shared" si="191"/>
        <v>14</v>
      </c>
      <c r="AZ172" s="359">
        <f t="shared" si="191"/>
        <v>14</v>
      </c>
      <c r="BA172" s="947">
        <f t="shared" si="191"/>
        <v>14</v>
      </c>
      <c r="BB172" s="359">
        <f t="shared" si="191"/>
        <v>14</v>
      </c>
      <c r="BC172" s="359">
        <f t="shared" si="191"/>
        <v>14</v>
      </c>
      <c r="BD172" s="359">
        <f t="shared" si="191"/>
        <v>14</v>
      </c>
      <c r="BE172" s="359">
        <f t="shared" si="191"/>
        <v>14</v>
      </c>
      <c r="BF172" s="359">
        <f t="shared" si="191"/>
        <v>14</v>
      </c>
      <c r="BG172" s="359">
        <f t="shared" si="191"/>
        <v>14</v>
      </c>
      <c r="BH172" s="359">
        <f t="shared" si="191"/>
        <v>14</v>
      </c>
      <c r="BI172" s="359">
        <f t="shared" si="191"/>
        <v>14</v>
      </c>
      <c r="BJ172" s="359">
        <f t="shared" si="191"/>
        <v>14</v>
      </c>
      <c r="BK172" s="359">
        <f t="shared" si="191"/>
        <v>14</v>
      </c>
      <c r="BL172" s="359">
        <f t="shared" si="191"/>
        <v>14</v>
      </c>
      <c r="BM172" s="947">
        <f t="shared" si="191"/>
        <v>14</v>
      </c>
      <c r="BN172" s="359">
        <f t="shared" si="191"/>
        <v>14</v>
      </c>
      <c r="BO172" s="359">
        <f t="shared" si="191"/>
        <v>14</v>
      </c>
      <c r="BP172" s="359">
        <f t="shared" si="191"/>
        <v>14</v>
      </c>
      <c r="BQ172" s="359">
        <f t="shared" si="191"/>
        <v>14</v>
      </c>
      <c r="BR172" s="359">
        <f t="shared" si="191"/>
        <v>14</v>
      </c>
      <c r="BS172" s="359">
        <f t="shared" si="191"/>
        <v>14</v>
      </c>
      <c r="BT172" s="359">
        <f t="shared" si="191"/>
        <v>14</v>
      </c>
      <c r="BU172" s="359">
        <f t="shared" si="191"/>
        <v>14</v>
      </c>
      <c r="BV172" s="359">
        <f t="shared" si="191"/>
        <v>14</v>
      </c>
      <c r="BW172" s="359">
        <f t="shared" si="191"/>
        <v>14</v>
      </c>
      <c r="BX172" s="359">
        <f t="shared" si="191"/>
        <v>14</v>
      </c>
      <c r="BY172" s="947">
        <f t="shared" si="191"/>
        <v>14</v>
      </c>
      <c r="BZ172" s="652"/>
    </row>
    <row r="173" spans="2:78" s="359" customFormat="1">
      <c r="B173" s="358"/>
      <c r="D173" s="366"/>
      <c r="F173" s="366" t="s">
        <v>3391</v>
      </c>
      <c r="G173" s="366"/>
      <c r="H173" s="366"/>
      <c r="I173" s="359">
        <f>AC173</f>
        <v>30</v>
      </c>
      <c r="J173" s="359">
        <f>AO173</f>
        <v>30</v>
      </c>
      <c r="K173" s="359">
        <f>BA173</f>
        <v>30</v>
      </c>
      <c r="L173" s="359">
        <f>BM173</f>
        <v>30</v>
      </c>
      <c r="M173" s="359">
        <f>BY173</f>
        <v>30</v>
      </c>
      <c r="N173" s="366"/>
      <c r="O173" s="365"/>
      <c r="P173" s="366"/>
      <c r="Q173" s="366"/>
      <c r="R173" s="1717">
        <v>30</v>
      </c>
      <c r="S173" s="359">
        <f t="shared" si="190"/>
        <v>30</v>
      </c>
      <c r="T173" s="359">
        <f t="shared" si="190"/>
        <v>30</v>
      </c>
      <c r="U173" s="359">
        <f t="shared" si="191"/>
        <v>30</v>
      </c>
      <c r="V173" s="359">
        <f t="shared" si="191"/>
        <v>30</v>
      </c>
      <c r="W173" s="359">
        <f t="shared" si="191"/>
        <v>30</v>
      </c>
      <c r="X173" s="359">
        <f t="shared" si="191"/>
        <v>30</v>
      </c>
      <c r="Y173" s="359">
        <f t="shared" si="191"/>
        <v>30</v>
      </c>
      <c r="Z173" s="359">
        <f t="shared" si="191"/>
        <v>30</v>
      </c>
      <c r="AA173" s="359">
        <f t="shared" si="191"/>
        <v>30</v>
      </c>
      <c r="AB173" s="359">
        <f t="shared" si="191"/>
        <v>30</v>
      </c>
      <c r="AC173" s="947">
        <f t="shared" si="191"/>
        <v>30</v>
      </c>
      <c r="AD173" s="359">
        <f t="shared" si="191"/>
        <v>30</v>
      </c>
      <c r="AE173" s="359">
        <f t="shared" si="191"/>
        <v>30</v>
      </c>
      <c r="AF173" s="359">
        <f t="shared" si="191"/>
        <v>30</v>
      </c>
      <c r="AG173" s="359">
        <f t="shared" si="191"/>
        <v>30</v>
      </c>
      <c r="AH173" s="359">
        <f t="shared" si="191"/>
        <v>30</v>
      </c>
      <c r="AI173" s="359">
        <f t="shared" si="191"/>
        <v>30</v>
      </c>
      <c r="AJ173" s="359">
        <f t="shared" si="191"/>
        <v>30</v>
      </c>
      <c r="AK173" s="359">
        <f t="shared" si="191"/>
        <v>30</v>
      </c>
      <c r="AL173" s="359">
        <f t="shared" si="191"/>
        <v>30</v>
      </c>
      <c r="AM173" s="359">
        <f t="shared" si="191"/>
        <v>30</v>
      </c>
      <c r="AN173" s="359">
        <f t="shared" si="191"/>
        <v>30</v>
      </c>
      <c r="AO173" s="947">
        <f t="shared" si="191"/>
        <v>30</v>
      </c>
      <c r="AP173" s="359">
        <f t="shared" si="191"/>
        <v>30</v>
      </c>
      <c r="AQ173" s="359">
        <f t="shared" si="191"/>
        <v>30</v>
      </c>
      <c r="AR173" s="359">
        <f t="shared" si="191"/>
        <v>30</v>
      </c>
      <c r="AS173" s="359">
        <f t="shared" si="191"/>
        <v>30</v>
      </c>
      <c r="AT173" s="359">
        <f t="shared" si="191"/>
        <v>30</v>
      </c>
      <c r="AU173" s="359">
        <f t="shared" si="191"/>
        <v>30</v>
      </c>
      <c r="AV173" s="359">
        <f t="shared" si="191"/>
        <v>30</v>
      </c>
      <c r="AW173" s="359">
        <f t="shared" si="191"/>
        <v>30</v>
      </c>
      <c r="AX173" s="359">
        <f t="shared" si="191"/>
        <v>30</v>
      </c>
      <c r="AY173" s="359">
        <f t="shared" si="191"/>
        <v>30</v>
      </c>
      <c r="AZ173" s="359">
        <f t="shared" si="191"/>
        <v>30</v>
      </c>
      <c r="BA173" s="947">
        <f t="shared" si="191"/>
        <v>30</v>
      </c>
      <c r="BB173" s="359">
        <f t="shared" si="191"/>
        <v>30</v>
      </c>
      <c r="BC173" s="359">
        <f t="shared" si="191"/>
        <v>30</v>
      </c>
      <c r="BD173" s="359">
        <f t="shared" si="191"/>
        <v>30</v>
      </c>
      <c r="BE173" s="359">
        <f t="shared" si="191"/>
        <v>30</v>
      </c>
      <c r="BF173" s="359">
        <f t="shared" si="191"/>
        <v>30</v>
      </c>
      <c r="BG173" s="359">
        <f t="shared" si="191"/>
        <v>30</v>
      </c>
      <c r="BH173" s="359">
        <f t="shared" si="191"/>
        <v>30</v>
      </c>
      <c r="BI173" s="359">
        <f t="shared" si="191"/>
        <v>30</v>
      </c>
      <c r="BJ173" s="359">
        <f t="shared" si="191"/>
        <v>30</v>
      </c>
      <c r="BK173" s="359">
        <f t="shared" si="191"/>
        <v>30</v>
      </c>
      <c r="BL173" s="359">
        <f t="shared" si="191"/>
        <v>30</v>
      </c>
      <c r="BM173" s="947">
        <f t="shared" si="191"/>
        <v>30</v>
      </c>
      <c r="BN173" s="359">
        <f t="shared" si="191"/>
        <v>30</v>
      </c>
      <c r="BO173" s="359">
        <f t="shared" si="191"/>
        <v>30</v>
      </c>
      <c r="BP173" s="359">
        <f t="shared" si="191"/>
        <v>30</v>
      </c>
      <c r="BQ173" s="359">
        <f t="shared" si="191"/>
        <v>30</v>
      </c>
      <c r="BR173" s="359">
        <f t="shared" si="191"/>
        <v>30</v>
      </c>
      <c r="BS173" s="359">
        <f t="shared" si="191"/>
        <v>30</v>
      </c>
      <c r="BT173" s="359">
        <f t="shared" si="191"/>
        <v>30</v>
      </c>
      <c r="BU173" s="359">
        <f t="shared" si="191"/>
        <v>30</v>
      </c>
      <c r="BV173" s="359">
        <f t="shared" si="191"/>
        <v>30</v>
      </c>
      <c r="BW173" s="359">
        <f t="shared" si="191"/>
        <v>30</v>
      </c>
      <c r="BX173" s="359">
        <f t="shared" si="191"/>
        <v>30</v>
      </c>
      <c r="BY173" s="947">
        <f t="shared" si="191"/>
        <v>30</v>
      </c>
      <c r="BZ173" s="652"/>
    </row>
    <row r="174" spans="2:78" s="359" customFormat="1">
      <c r="B174" s="358"/>
      <c r="D174" s="366"/>
      <c r="F174" s="366" t="s">
        <v>3392</v>
      </c>
      <c r="G174" s="366"/>
      <c r="H174" s="366"/>
      <c r="I174" s="359">
        <f>AC174</f>
        <v>14</v>
      </c>
      <c r="J174" s="359">
        <f>AO174</f>
        <v>14</v>
      </c>
      <c r="K174" s="359">
        <f>BA174</f>
        <v>14</v>
      </c>
      <c r="L174" s="359">
        <f>BM174</f>
        <v>14</v>
      </c>
      <c r="M174" s="359">
        <f>BY174</f>
        <v>14</v>
      </c>
      <c r="N174" s="366"/>
      <c r="O174" s="365"/>
      <c r="P174" s="366"/>
      <c r="Q174" s="366"/>
      <c r="R174" s="1717">
        <v>14</v>
      </c>
      <c r="S174" s="359">
        <f t="shared" si="190"/>
        <v>14</v>
      </c>
      <c r="T174" s="359">
        <f t="shared" si="190"/>
        <v>14</v>
      </c>
      <c r="U174" s="359">
        <f t="shared" si="191"/>
        <v>14</v>
      </c>
      <c r="V174" s="359">
        <f t="shared" si="191"/>
        <v>14</v>
      </c>
      <c r="W174" s="359">
        <f t="shared" si="191"/>
        <v>14</v>
      </c>
      <c r="X174" s="359">
        <f t="shared" si="191"/>
        <v>14</v>
      </c>
      <c r="Y174" s="359">
        <f t="shared" si="191"/>
        <v>14</v>
      </c>
      <c r="Z174" s="359">
        <f t="shared" si="191"/>
        <v>14</v>
      </c>
      <c r="AA174" s="359">
        <f t="shared" si="191"/>
        <v>14</v>
      </c>
      <c r="AB174" s="359">
        <f t="shared" si="191"/>
        <v>14</v>
      </c>
      <c r="AC174" s="947">
        <f t="shared" si="191"/>
        <v>14</v>
      </c>
      <c r="AD174" s="359">
        <f t="shared" si="191"/>
        <v>14</v>
      </c>
      <c r="AE174" s="359">
        <f t="shared" si="191"/>
        <v>14</v>
      </c>
      <c r="AF174" s="359">
        <f t="shared" si="191"/>
        <v>14</v>
      </c>
      <c r="AG174" s="359">
        <f t="shared" si="191"/>
        <v>14</v>
      </c>
      <c r="AH174" s="359">
        <f t="shared" si="191"/>
        <v>14</v>
      </c>
      <c r="AI174" s="359">
        <f t="shared" si="191"/>
        <v>14</v>
      </c>
      <c r="AJ174" s="359">
        <f t="shared" si="191"/>
        <v>14</v>
      </c>
      <c r="AK174" s="359">
        <f t="shared" si="191"/>
        <v>14</v>
      </c>
      <c r="AL174" s="359">
        <f t="shared" si="191"/>
        <v>14</v>
      </c>
      <c r="AM174" s="359">
        <f t="shared" si="191"/>
        <v>14</v>
      </c>
      <c r="AN174" s="359">
        <f t="shared" si="191"/>
        <v>14</v>
      </c>
      <c r="AO174" s="947">
        <f t="shared" si="191"/>
        <v>14</v>
      </c>
      <c r="AP174" s="359">
        <f t="shared" si="191"/>
        <v>14</v>
      </c>
      <c r="AQ174" s="359">
        <f t="shared" si="191"/>
        <v>14</v>
      </c>
      <c r="AR174" s="359">
        <f t="shared" si="191"/>
        <v>14</v>
      </c>
      <c r="AS174" s="359">
        <f t="shared" si="191"/>
        <v>14</v>
      </c>
      <c r="AT174" s="359">
        <f t="shared" si="191"/>
        <v>14</v>
      </c>
      <c r="AU174" s="359">
        <f t="shared" si="191"/>
        <v>14</v>
      </c>
      <c r="AV174" s="359">
        <f t="shared" si="191"/>
        <v>14</v>
      </c>
      <c r="AW174" s="359">
        <f t="shared" si="191"/>
        <v>14</v>
      </c>
      <c r="AX174" s="359">
        <f t="shared" si="191"/>
        <v>14</v>
      </c>
      <c r="AY174" s="359">
        <f t="shared" si="191"/>
        <v>14</v>
      </c>
      <c r="AZ174" s="359">
        <f t="shared" si="191"/>
        <v>14</v>
      </c>
      <c r="BA174" s="947">
        <f t="shared" si="191"/>
        <v>14</v>
      </c>
      <c r="BB174" s="359">
        <f t="shared" si="191"/>
        <v>14</v>
      </c>
      <c r="BC174" s="359">
        <f t="shared" si="191"/>
        <v>14</v>
      </c>
      <c r="BD174" s="359">
        <f t="shared" si="191"/>
        <v>14</v>
      </c>
      <c r="BE174" s="359">
        <f t="shared" si="191"/>
        <v>14</v>
      </c>
      <c r="BF174" s="359">
        <f t="shared" si="191"/>
        <v>14</v>
      </c>
      <c r="BG174" s="359">
        <f t="shared" si="191"/>
        <v>14</v>
      </c>
      <c r="BH174" s="359">
        <f t="shared" si="191"/>
        <v>14</v>
      </c>
      <c r="BI174" s="359">
        <f t="shared" si="191"/>
        <v>14</v>
      </c>
      <c r="BJ174" s="359">
        <f t="shared" si="191"/>
        <v>14</v>
      </c>
      <c r="BK174" s="359">
        <f t="shared" si="191"/>
        <v>14</v>
      </c>
      <c r="BL174" s="359">
        <f t="shared" si="191"/>
        <v>14</v>
      </c>
      <c r="BM174" s="947">
        <f t="shared" si="191"/>
        <v>14</v>
      </c>
      <c r="BN174" s="359">
        <f t="shared" si="191"/>
        <v>14</v>
      </c>
      <c r="BO174" s="359">
        <f t="shared" si="191"/>
        <v>14</v>
      </c>
      <c r="BP174" s="359">
        <f t="shared" si="191"/>
        <v>14</v>
      </c>
      <c r="BQ174" s="359">
        <f t="shared" si="191"/>
        <v>14</v>
      </c>
      <c r="BR174" s="359">
        <f t="shared" si="191"/>
        <v>14</v>
      </c>
      <c r="BS174" s="359">
        <f t="shared" si="191"/>
        <v>14</v>
      </c>
      <c r="BT174" s="359">
        <f t="shared" si="191"/>
        <v>14</v>
      </c>
      <c r="BU174" s="359">
        <f t="shared" si="191"/>
        <v>14</v>
      </c>
      <c r="BV174" s="359">
        <f t="shared" si="191"/>
        <v>14</v>
      </c>
      <c r="BW174" s="359">
        <f t="shared" si="191"/>
        <v>14</v>
      </c>
      <c r="BX174" s="359">
        <f t="shared" si="191"/>
        <v>14</v>
      </c>
      <c r="BY174" s="947">
        <f t="shared" si="191"/>
        <v>14</v>
      </c>
      <c r="BZ174" s="652"/>
    </row>
    <row r="175" spans="2:78" s="359" customFormat="1">
      <c r="B175" s="358"/>
      <c r="D175" s="366"/>
      <c r="E175" s="1870" t="s">
        <v>2537</v>
      </c>
      <c r="F175" s="1716"/>
      <c r="G175" s="1716"/>
      <c r="H175" s="1850">
        <f>-I167</f>
        <v>-266797.45612589549</v>
      </c>
      <c r="I175" s="1850">
        <f>-I167-H175</f>
        <v>0</v>
      </c>
      <c r="J175" s="1871">
        <f>I167-J167</f>
        <v>-140347.09265646758</v>
      </c>
      <c r="K175" s="1850">
        <f>J167-K167</f>
        <v>-120753.48383880919</v>
      </c>
      <c r="L175" s="1850">
        <f>K167-L167</f>
        <v>-114989.42059169465</v>
      </c>
      <c r="M175" s="1850">
        <f>L167-M167</f>
        <v>-93603.699708823697</v>
      </c>
      <c r="N175" s="366"/>
      <c r="O175" s="365"/>
      <c r="P175" s="366"/>
      <c r="Q175" s="366"/>
      <c r="R175" s="1271"/>
      <c r="AC175" s="947"/>
      <c r="AO175" s="947"/>
      <c r="BA175" s="947"/>
      <c r="BM175" s="947"/>
      <c r="BY175" s="947"/>
      <c r="BZ175" s="652"/>
    </row>
    <row r="176" spans="2:78" s="359" customFormat="1">
      <c r="B176" s="358"/>
      <c r="D176" s="656" t="s">
        <v>1757</v>
      </c>
      <c r="F176" s="366"/>
      <c r="G176" s="366"/>
      <c r="H176" s="366"/>
      <c r="N176" s="366"/>
      <c r="O176" s="365"/>
      <c r="P176" s="366"/>
      <c r="Q176" s="366"/>
      <c r="R176" s="1271"/>
      <c r="AC176" s="947"/>
      <c r="AO176" s="947"/>
      <c r="BA176" s="947"/>
      <c r="BM176" s="947"/>
      <c r="BY176" s="947"/>
      <c r="BZ176" s="652"/>
    </row>
    <row r="177" spans="2:78" s="359" customFormat="1">
      <c r="B177" s="358"/>
      <c r="D177" s="366"/>
      <c r="F177" s="366"/>
      <c r="G177" s="366"/>
      <c r="H177" s="366"/>
      <c r="N177" s="366"/>
      <c r="O177" s="365"/>
      <c r="P177" s="366"/>
      <c r="Q177" s="366"/>
      <c r="R177" s="1271"/>
      <c r="AC177" s="947"/>
      <c r="AO177" s="947"/>
      <c r="BA177" s="947"/>
      <c r="BM177" s="947"/>
      <c r="BY177" s="947"/>
      <c r="BZ177" s="652"/>
    </row>
    <row r="178" spans="2:78" s="363" customFormat="1">
      <c r="B178" s="362"/>
      <c r="D178" s="368"/>
      <c r="E178" s="363" t="s">
        <v>3527</v>
      </c>
      <c r="F178" s="368"/>
      <c r="G178" s="368"/>
      <c r="H178" s="363">
        <f t="shared" ref="H178:M178" si="192">H99</f>
        <v>-264648.14604055602</v>
      </c>
      <c r="I178" s="363">
        <f t="shared" si="192"/>
        <v>-436095.47168921819</v>
      </c>
      <c r="J178" s="363">
        <f t="shared" si="192"/>
        <v>106990.80269478087</v>
      </c>
      <c r="K178" s="363">
        <f t="shared" si="192"/>
        <v>403808.4716130335</v>
      </c>
      <c r="L178" s="363">
        <f t="shared" si="192"/>
        <v>608965.88525780453</v>
      </c>
      <c r="M178" s="363">
        <f t="shared" si="192"/>
        <v>948519.65173992584</v>
      </c>
      <c r="N178" s="368"/>
      <c r="O178" s="367"/>
      <c r="P178" s="368"/>
      <c r="Q178" s="368">
        <f t="shared" ref="Q178:BY178" si="193">Q99</f>
        <v>-264648.14604055602</v>
      </c>
      <c r="R178" s="1268">
        <f t="shared" si="193"/>
        <v>-72211.278618011711</v>
      </c>
      <c r="S178" s="363">
        <f t="shared" si="193"/>
        <v>-65205.068440331059</v>
      </c>
      <c r="T178" s="363">
        <f t="shared" si="193"/>
        <v>-58198.858262650414</v>
      </c>
      <c r="U178" s="363">
        <f t="shared" si="193"/>
        <v>-51192.648084969769</v>
      </c>
      <c r="V178" s="363">
        <f t="shared" si="193"/>
        <v>-44186.437907289117</v>
      </c>
      <c r="W178" s="363">
        <f t="shared" si="193"/>
        <v>-37180.227729608494</v>
      </c>
      <c r="X178" s="363">
        <f t="shared" si="193"/>
        <v>-34575.684218594513</v>
      </c>
      <c r="Y178" s="363">
        <f t="shared" si="193"/>
        <v>-27569.474040913876</v>
      </c>
      <c r="Z178" s="363">
        <f t="shared" si="193"/>
        <v>-20563.263863233209</v>
      </c>
      <c r="AA178" s="363">
        <f t="shared" si="193"/>
        <v>-15410.387018885916</v>
      </c>
      <c r="AB178" s="363">
        <f t="shared" si="193"/>
        <v>-8404.1768412052497</v>
      </c>
      <c r="AC178" s="948">
        <f t="shared" si="193"/>
        <v>-1397.9666635246558</v>
      </c>
      <c r="AD178" s="363">
        <f t="shared" si="193"/>
        <v>-29369.974388697156</v>
      </c>
      <c r="AE178" s="363">
        <f t="shared" si="193"/>
        <v>-22408.906277194968</v>
      </c>
      <c r="AF178" s="363">
        <f t="shared" si="193"/>
        <v>-15447.838165692723</v>
      </c>
      <c r="AG178" s="363">
        <f t="shared" si="193"/>
        <v>-8486.7700541904778</v>
      </c>
      <c r="AH178" s="363">
        <f t="shared" si="193"/>
        <v>-1525.7019426882325</v>
      </c>
      <c r="AI178" s="363">
        <f t="shared" si="193"/>
        <v>5435.3661688139546</v>
      </c>
      <c r="AJ178" s="363">
        <f t="shared" si="193"/>
        <v>12396.434280316171</v>
      </c>
      <c r="AK178" s="363">
        <f t="shared" si="193"/>
        <v>19357.502391818416</v>
      </c>
      <c r="AL178" s="363">
        <f t="shared" si="193"/>
        <v>26318.570503320661</v>
      </c>
      <c r="AM178" s="363">
        <f t="shared" si="193"/>
        <v>33279.638614822878</v>
      </c>
      <c r="AN178" s="363">
        <f t="shared" si="193"/>
        <v>40240.706726325094</v>
      </c>
      <c r="AO178" s="948">
        <f t="shared" si="193"/>
        <v>47201.774837827397</v>
      </c>
      <c r="AP178" s="363">
        <f t="shared" si="193"/>
        <v>13954.312844123386</v>
      </c>
      <c r="AQ178" s="363">
        <f t="shared" si="193"/>
        <v>17535.475230237862</v>
      </c>
      <c r="AR178" s="363">
        <f t="shared" si="193"/>
        <v>21116.637616352222</v>
      </c>
      <c r="AS178" s="363">
        <f t="shared" si="193"/>
        <v>24697.800002466669</v>
      </c>
      <c r="AT178" s="363">
        <f t="shared" si="193"/>
        <v>28278.962388581058</v>
      </c>
      <c r="AU178" s="363">
        <f t="shared" si="193"/>
        <v>31860.124774695563</v>
      </c>
      <c r="AV178" s="363">
        <f t="shared" si="193"/>
        <v>35441.287160809952</v>
      </c>
      <c r="AW178" s="363">
        <f t="shared" si="193"/>
        <v>39022.449546924458</v>
      </c>
      <c r="AX178" s="363">
        <f t="shared" si="193"/>
        <v>42603.611933038905</v>
      </c>
      <c r="AY178" s="363">
        <f t="shared" si="193"/>
        <v>46184.774319153294</v>
      </c>
      <c r="AZ178" s="363">
        <f t="shared" si="193"/>
        <v>49765.936705267741</v>
      </c>
      <c r="BA178" s="948">
        <f t="shared" si="193"/>
        <v>53347.099091382159</v>
      </c>
      <c r="BB178" s="363">
        <f t="shared" si="193"/>
        <v>24858.229215415471</v>
      </c>
      <c r="BC178" s="363">
        <f t="shared" si="193"/>
        <v>29565.307013488535</v>
      </c>
      <c r="BD178" s="363">
        <f t="shared" si="193"/>
        <v>34272.384811561482</v>
      </c>
      <c r="BE178" s="363">
        <f t="shared" si="193"/>
        <v>38979.462609634604</v>
      </c>
      <c r="BF178" s="363">
        <f t="shared" si="193"/>
        <v>43686.540407707493</v>
      </c>
      <c r="BG178" s="363">
        <f t="shared" si="193"/>
        <v>48393.618205780615</v>
      </c>
      <c r="BH178" s="363">
        <f t="shared" si="193"/>
        <v>53100.696003853562</v>
      </c>
      <c r="BI178" s="363">
        <f t="shared" si="193"/>
        <v>57807.773801926625</v>
      </c>
      <c r="BJ178" s="363">
        <f t="shared" si="193"/>
        <v>62514.851599999631</v>
      </c>
      <c r="BK178" s="363">
        <f t="shared" si="193"/>
        <v>67221.929398072578</v>
      </c>
      <c r="BL178" s="363">
        <f t="shared" si="193"/>
        <v>71929.0071961457</v>
      </c>
      <c r="BM178" s="948">
        <f t="shared" si="193"/>
        <v>76636.084994218647</v>
      </c>
      <c r="BN178" s="363">
        <f t="shared" si="193"/>
        <v>58333.953229093808</v>
      </c>
      <c r="BO178" s="363">
        <f t="shared" si="193"/>
        <v>62099.289789560484</v>
      </c>
      <c r="BP178" s="363">
        <f t="shared" si="193"/>
        <v>65864.62635002716</v>
      </c>
      <c r="BQ178" s="363">
        <f t="shared" si="193"/>
        <v>69629.962910493719</v>
      </c>
      <c r="BR178" s="363">
        <f t="shared" si="193"/>
        <v>73395.299470960337</v>
      </c>
      <c r="BS178" s="363">
        <f t="shared" si="193"/>
        <v>77160.636031427071</v>
      </c>
      <c r="BT178" s="363">
        <f t="shared" si="193"/>
        <v>80925.972591893689</v>
      </c>
      <c r="BU178" s="363">
        <f t="shared" si="193"/>
        <v>84691.309152360365</v>
      </c>
      <c r="BV178" s="363">
        <f t="shared" si="193"/>
        <v>88456.645712826983</v>
      </c>
      <c r="BW178" s="363">
        <f t="shared" si="193"/>
        <v>92221.982273293717</v>
      </c>
      <c r="BX178" s="363">
        <f t="shared" si="193"/>
        <v>95987.318833760335</v>
      </c>
      <c r="BY178" s="948">
        <f t="shared" si="193"/>
        <v>99752.655394227011</v>
      </c>
      <c r="BZ178" s="653">
        <f>ROUND(SUM(H178:M178)-SUM(Q178:BY178),0)</f>
        <v>0</v>
      </c>
    </row>
    <row r="179" spans="2:78" s="359" customFormat="1">
      <c r="B179" s="358"/>
      <c r="D179" s="366"/>
      <c r="E179" s="359" t="s">
        <v>3847</v>
      </c>
      <c r="F179" s="366"/>
      <c r="G179" s="366"/>
      <c r="H179" s="359">
        <f t="shared" ref="H179:M179" si="194">H97+H98</f>
        <v>0</v>
      </c>
      <c r="I179" s="359">
        <f t="shared" si="194"/>
        <v>164438.01833333334</v>
      </c>
      <c r="J179" s="359">
        <f t="shared" si="194"/>
        <v>177537.69988095236</v>
      </c>
      <c r="K179" s="359">
        <f t="shared" si="194"/>
        <v>190632.86119047616</v>
      </c>
      <c r="L179" s="359">
        <f t="shared" si="194"/>
        <v>201446.24278571428</v>
      </c>
      <c r="M179" s="359">
        <f t="shared" si="194"/>
        <v>211333.37210857141</v>
      </c>
      <c r="N179" s="366"/>
      <c r="O179" s="365"/>
      <c r="P179" s="366"/>
      <c r="Q179" s="366">
        <f>Q97+Q98</f>
        <v>0</v>
      </c>
      <c r="R179" s="1271">
        <f t="shared" ref="R179:BY179" si="195">R97+R98</f>
        <v>13703.168194444444</v>
      </c>
      <c r="S179" s="359">
        <f t="shared" si="195"/>
        <v>13703.168194444444</v>
      </c>
      <c r="T179" s="359">
        <f t="shared" si="195"/>
        <v>13703.168194444444</v>
      </c>
      <c r="U179" s="359">
        <f t="shared" si="195"/>
        <v>13703.168194444444</v>
      </c>
      <c r="V179" s="359">
        <f t="shared" si="195"/>
        <v>13703.168194444444</v>
      </c>
      <c r="W179" s="359">
        <f t="shared" si="195"/>
        <v>13703.168194444444</v>
      </c>
      <c r="X179" s="359">
        <f t="shared" si="195"/>
        <v>13703.168194444444</v>
      </c>
      <c r="Y179" s="359">
        <f t="shared" si="195"/>
        <v>13703.168194444444</v>
      </c>
      <c r="Z179" s="359">
        <f t="shared" si="195"/>
        <v>13703.168194444444</v>
      </c>
      <c r="AA179" s="359">
        <f t="shared" si="195"/>
        <v>13703.168194444444</v>
      </c>
      <c r="AB179" s="359">
        <f t="shared" si="195"/>
        <v>13703.168194444444</v>
      </c>
      <c r="AC179" s="947">
        <f t="shared" si="195"/>
        <v>13703.168194444444</v>
      </c>
      <c r="AD179" s="359">
        <f t="shared" si="195"/>
        <v>14794.808323412697</v>
      </c>
      <c r="AE179" s="359">
        <f t="shared" si="195"/>
        <v>14794.808323412697</v>
      </c>
      <c r="AF179" s="359">
        <f t="shared" si="195"/>
        <v>14794.808323412697</v>
      </c>
      <c r="AG179" s="359">
        <f t="shared" si="195"/>
        <v>14794.808323412697</v>
      </c>
      <c r="AH179" s="359">
        <f t="shared" si="195"/>
        <v>14794.808323412697</v>
      </c>
      <c r="AI179" s="359">
        <f t="shared" si="195"/>
        <v>14794.808323412697</v>
      </c>
      <c r="AJ179" s="359">
        <f t="shared" si="195"/>
        <v>14794.808323412697</v>
      </c>
      <c r="AK179" s="359">
        <f t="shared" si="195"/>
        <v>14794.808323412697</v>
      </c>
      <c r="AL179" s="359">
        <f t="shared" si="195"/>
        <v>14794.808323412697</v>
      </c>
      <c r="AM179" s="359">
        <f t="shared" si="195"/>
        <v>14794.808323412697</v>
      </c>
      <c r="AN179" s="359">
        <f t="shared" si="195"/>
        <v>14794.808323412697</v>
      </c>
      <c r="AO179" s="947">
        <f t="shared" si="195"/>
        <v>14794.808323412697</v>
      </c>
      <c r="AP179" s="359">
        <f t="shared" si="195"/>
        <v>15886.071765873014</v>
      </c>
      <c r="AQ179" s="359">
        <f t="shared" si="195"/>
        <v>15886.071765873014</v>
      </c>
      <c r="AR179" s="359">
        <f t="shared" si="195"/>
        <v>15886.071765873014</v>
      </c>
      <c r="AS179" s="359">
        <f t="shared" si="195"/>
        <v>15886.071765873014</v>
      </c>
      <c r="AT179" s="359">
        <f t="shared" si="195"/>
        <v>15886.071765873014</v>
      </c>
      <c r="AU179" s="359">
        <f t="shared" si="195"/>
        <v>15886.071765873014</v>
      </c>
      <c r="AV179" s="359">
        <f t="shared" si="195"/>
        <v>15886.071765873014</v>
      </c>
      <c r="AW179" s="359">
        <f t="shared" si="195"/>
        <v>15886.071765873014</v>
      </c>
      <c r="AX179" s="359">
        <f t="shared" si="195"/>
        <v>15886.071765873014</v>
      </c>
      <c r="AY179" s="359">
        <f t="shared" si="195"/>
        <v>15886.071765873014</v>
      </c>
      <c r="AZ179" s="359">
        <f t="shared" si="195"/>
        <v>15886.071765873014</v>
      </c>
      <c r="BA179" s="947">
        <f t="shared" si="195"/>
        <v>15886.071765873014</v>
      </c>
      <c r="BB179" s="359">
        <f t="shared" si="195"/>
        <v>16787.186898809523</v>
      </c>
      <c r="BC179" s="359">
        <f t="shared" si="195"/>
        <v>16787.186898809523</v>
      </c>
      <c r="BD179" s="359">
        <f t="shared" si="195"/>
        <v>16787.186898809523</v>
      </c>
      <c r="BE179" s="359">
        <f t="shared" si="195"/>
        <v>16787.186898809523</v>
      </c>
      <c r="BF179" s="359">
        <f t="shared" si="195"/>
        <v>16787.186898809523</v>
      </c>
      <c r="BG179" s="359">
        <f t="shared" si="195"/>
        <v>16787.186898809523</v>
      </c>
      <c r="BH179" s="359">
        <f t="shared" si="195"/>
        <v>16787.186898809523</v>
      </c>
      <c r="BI179" s="359">
        <f t="shared" si="195"/>
        <v>16787.186898809523</v>
      </c>
      <c r="BJ179" s="359">
        <f t="shared" si="195"/>
        <v>16787.186898809523</v>
      </c>
      <c r="BK179" s="359">
        <f t="shared" si="195"/>
        <v>16787.186898809523</v>
      </c>
      <c r="BL179" s="359">
        <f t="shared" si="195"/>
        <v>16787.186898809523</v>
      </c>
      <c r="BM179" s="947">
        <f t="shared" si="195"/>
        <v>16787.186898809523</v>
      </c>
      <c r="BN179" s="359">
        <f t="shared" si="195"/>
        <v>17611.114342380952</v>
      </c>
      <c r="BO179" s="359">
        <f t="shared" si="195"/>
        <v>17611.114342380952</v>
      </c>
      <c r="BP179" s="359">
        <f t="shared" si="195"/>
        <v>17611.114342380952</v>
      </c>
      <c r="BQ179" s="359">
        <f t="shared" si="195"/>
        <v>17611.114342380952</v>
      </c>
      <c r="BR179" s="359">
        <f t="shared" si="195"/>
        <v>17611.114342380952</v>
      </c>
      <c r="BS179" s="359">
        <f t="shared" si="195"/>
        <v>17611.114342380952</v>
      </c>
      <c r="BT179" s="359">
        <f t="shared" si="195"/>
        <v>17611.114342380952</v>
      </c>
      <c r="BU179" s="359">
        <f t="shared" si="195"/>
        <v>17611.114342380952</v>
      </c>
      <c r="BV179" s="359">
        <f t="shared" si="195"/>
        <v>17611.114342380952</v>
      </c>
      <c r="BW179" s="359">
        <f t="shared" si="195"/>
        <v>17611.114342380952</v>
      </c>
      <c r="BX179" s="359">
        <f t="shared" si="195"/>
        <v>17611.114342380952</v>
      </c>
      <c r="BY179" s="947">
        <f t="shared" si="195"/>
        <v>17611.114342380952</v>
      </c>
      <c r="BZ179" s="652">
        <f>ROUND(SUM(H179:M179)-SUM(Q179:BY179),0)</f>
        <v>0</v>
      </c>
    </row>
    <row r="180" spans="2:78" s="359" customFormat="1">
      <c r="B180" s="358"/>
      <c r="D180" s="366"/>
      <c r="E180" s="359" t="s">
        <v>3848</v>
      </c>
      <c r="F180" s="366"/>
      <c r="G180" s="366"/>
      <c r="N180" s="366"/>
      <c r="O180" s="365"/>
      <c r="P180" s="366"/>
      <c r="Q180" s="366"/>
      <c r="R180" s="1271"/>
      <c r="AC180" s="947"/>
      <c r="AO180" s="947"/>
      <c r="BA180" s="947"/>
      <c r="BM180" s="947"/>
      <c r="BY180" s="947"/>
      <c r="BZ180" s="652"/>
    </row>
    <row r="181" spans="2:78" s="359" customFormat="1">
      <c r="B181" s="358"/>
      <c r="D181" s="366"/>
      <c r="F181" s="366" t="s">
        <v>1405</v>
      </c>
      <c r="G181" s="366"/>
      <c r="H181" s="2091">
        <v>0</v>
      </c>
      <c r="I181" s="359">
        <f t="shared" ref="I181:M182" si="196">H140-I140</f>
        <v>-326297.40047388081</v>
      </c>
      <c r="J181" s="359">
        <f t="shared" si="196"/>
        <v>-276507.27888336056</v>
      </c>
      <c r="K181" s="359">
        <f t="shared" si="196"/>
        <v>-158584.70352884615</v>
      </c>
      <c r="L181" s="359">
        <f t="shared" si="196"/>
        <v>-188751.68857081048</v>
      </c>
      <c r="M181" s="359">
        <f t="shared" si="196"/>
        <v>-172909.16187246144</v>
      </c>
      <c r="N181" s="366"/>
      <c r="O181" s="365"/>
      <c r="P181" s="366"/>
      <c r="Q181" s="1941">
        <f>H181</f>
        <v>0</v>
      </c>
      <c r="R181" s="1271">
        <f>Q140-R140</f>
        <v>-34793.333012901297</v>
      </c>
      <c r="S181" s="359">
        <f t="shared" ref="S181:BY181" si="197">R140-S140</f>
        <v>-44876.114520261857</v>
      </c>
      <c r="T181" s="359">
        <f t="shared" si="197"/>
        <v>-54958.896027622424</v>
      </c>
      <c r="U181" s="359">
        <f t="shared" si="197"/>
        <v>-65041.677534982999</v>
      </c>
      <c r="V181" s="359">
        <f t="shared" si="197"/>
        <v>-75124.459042343573</v>
      </c>
      <c r="W181" s="359">
        <f t="shared" si="197"/>
        <v>-85207.240549704118</v>
      </c>
      <c r="X181" s="359">
        <f t="shared" si="197"/>
        <v>-95290.022057064692</v>
      </c>
      <c r="Y181" s="359">
        <f t="shared" si="197"/>
        <v>63815.888385418802</v>
      </c>
      <c r="Z181" s="359">
        <f t="shared" si="197"/>
        <v>131753.67431613442</v>
      </c>
      <c r="AA181" s="359">
        <f t="shared" si="197"/>
        <v>-22191.740143517673</v>
      </c>
      <c r="AB181" s="359">
        <f t="shared" si="197"/>
        <v>-22191.740143517673</v>
      </c>
      <c r="AC181" s="947">
        <f t="shared" si="197"/>
        <v>-22191.740143517731</v>
      </c>
      <c r="AD181" s="359">
        <f t="shared" si="197"/>
        <v>-22909.749620120274</v>
      </c>
      <c r="AE181" s="359">
        <f t="shared" si="197"/>
        <v>-22741.889655904146</v>
      </c>
      <c r="AF181" s="359">
        <f t="shared" si="197"/>
        <v>-24100.374775691424</v>
      </c>
      <c r="AG181" s="359">
        <f t="shared" si="197"/>
        <v>-22972.807203516131</v>
      </c>
      <c r="AH181" s="359">
        <f t="shared" si="197"/>
        <v>-22972.807203516131</v>
      </c>
      <c r="AI181" s="359">
        <f t="shared" si="197"/>
        <v>-22972.807203516131</v>
      </c>
      <c r="AJ181" s="359">
        <f t="shared" si="197"/>
        <v>-22972.807203515898</v>
      </c>
      <c r="AK181" s="359">
        <f t="shared" si="197"/>
        <v>-22972.807203515898</v>
      </c>
      <c r="AL181" s="359">
        <f t="shared" si="197"/>
        <v>-22972.807203515898</v>
      </c>
      <c r="AM181" s="359">
        <f t="shared" si="197"/>
        <v>-22972.807203515898</v>
      </c>
      <c r="AN181" s="359">
        <f t="shared" si="197"/>
        <v>-22972.807203516364</v>
      </c>
      <c r="AO181" s="947">
        <f t="shared" si="197"/>
        <v>-22972.807203516364</v>
      </c>
      <c r="AP181" s="359">
        <f t="shared" si="197"/>
        <v>-20544.876207455527</v>
      </c>
      <c r="AQ181" s="359">
        <f t="shared" si="197"/>
        <v>-16095.985488705337</v>
      </c>
      <c r="AR181" s="359">
        <f t="shared" si="197"/>
        <v>-14013.247933689505</v>
      </c>
      <c r="AS181" s="359">
        <f t="shared" si="197"/>
        <v>-11992.288210999686</v>
      </c>
      <c r="AT181" s="359">
        <f t="shared" si="197"/>
        <v>-11992.288210999686</v>
      </c>
      <c r="AU181" s="359">
        <f t="shared" si="197"/>
        <v>-11992.288210999221</v>
      </c>
      <c r="AV181" s="359">
        <f t="shared" si="197"/>
        <v>-11992.288210999221</v>
      </c>
      <c r="AW181" s="359">
        <f t="shared" si="197"/>
        <v>-11992.288211000152</v>
      </c>
      <c r="AX181" s="359">
        <f t="shared" si="197"/>
        <v>-11992.288211000152</v>
      </c>
      <c r="AY181" s="359">
        <f t="shared" si="197"/>
        <v>-11992.288210999221</v>
      </c>
      <c r="AZ181" s="359">
        <f t="shared" si="197"/>
        <v>-11992.288210999221</v>
      </c>
      <c r="BA181" s="947">
        <f t="shared" si="197"/>
        <v>-11992.288210999221</v>
      </c>
      <c r="BB181" s="359">
        <f t="shared" si="197"/>
        <v>-15496.717297765426</v>
      </c>
      <c r="BC181" s="359">
        <f t="shared" si="197"/>
        <v>-16641.082057050429</v>
      </c>
      <c r="BD181" s="359">
        <f t="shared" si="197"/>
        <v>-17785.44681633357</v>
      </c>
      <c r="BE181" s="359">
        <f t="shared" si="197"/>
        <v>-15425.382488851435</v>
      </c>
      <c r="BF181" s="359">
        <f t="shared" si="197"/>
        <v>-15425.382488851435</v>
      </c>
      <c r="BG181" s="359">
        <f t="shared" si="197"/>
        <v>-15425.382488851435</v>
      </c>
      <c r="BH181" s="359">
        <f t="shared" si="197"/>
        <v>-15425.382488850504</v>
      </c>
      <c r="BI181" s="359">
        <f t="shared" si="197"/>
        <v>-15425.382488850504</v>
      </c>
      <c r="BJ181" s="359">
        <f t="shared" si="197"/>
        <v>-15425.382488850504</v>
      </c>
      <c r="BK181" s="359">
        <f t="shared" si="197"/>
        <v>-15425.382488850504</v>
      </c>
      <c r="BL181" s="359">
        <f t="shared" si="197"/>
        <v>-15425.382488852367</v>
      </c>
      <c r="BM181" s="947">
        <f t="shared" si="197"/>
        <v>-15425.382488852367</v>
      </c>
      <c r="BN181" s="359">
        <f t="shared" si="197"/>
        <v>-22677.500814044848</v>
      </c>
      <c r="BO181" s="359">
        <f t="shared" si="197"/>
        <v>-21237.999211195856</v>
      </c>
      <c r="BP181" s="359">
        <f t="shared" si="197"/>
        <v>-15619.897895295173</v>
      </c>
      <c r="BQ181" s="359">
        <f t="shared" si="197"/>
        <v>-12597.084883546457</v>
      </c>
      <c r="BR181" s="359">
        <f t="shared" si="197"/>
        <v>-12597.084883546457</v>
      </c>
      <c r="BS181" s="359">
        <f t="shared" si="197"/>
        <v>-12597.084883548319</v>
      </c>
      <c r="BT181" s="359">
        <f t="shared" si="197"/>
        <v>-12597.084883546457</v>
      </c>
      <c r="BU181" s="359">
        <f t="shared" si="197"/>
        <v>-12597.084883548319</v>
      </c>
      <c r="BV181" s="359">
        <f t="shared" si="197"/>
        <v>-12597.084883546457</v>
      </c>
      <c r="BW181" s="359">
        <f t="shared" si="197"/>
        <v>-12597.084883548319</v>
      </c>
      <c r="BX181" s="359">
        <f t="shared" si="197"/>
        <v>-12597.084883548319</v>
      </c>
      <c r="BY181" s="947">
        <f t="shared" si="197"/>
        <v>-12597.084883546457</v>
      </c>
      <c r="BZ181" s="652">
        <f>ROUND(SUM(H181:M181)-SUM(Q181:BY181),0)</f>
        <v>0</v>
      </c>
    </row>
    <row r="182" spans="2:78" s="359" customFormat="1">
      <c r="B182" s="358"/>
      <c r="D182" s="366"/>
      <c r="F182" s="366" t="s">
        <v>1406</v>
      </c>
      <c r="G182" s="366"/>
      <c r="H182" s="2091">
        <v>0</v>
      </c>
      <c r="I182" s="359">
        <f t="shared" si="196"/>
        <v>-11623.25367686133</v>
      </c>
      <c r="J182" s="359">
        <f t="shared" si="196"/>
        <v>-9578.9754394058964</v>
      </c>
      <c r="K182" s="359">
        <f t="shared" si="196"/>
        <v>-6658.3609073631887</v>
      </c>
      <c r="L182" s="359">
        <f t="shared" si="196"/>
        <v>-7299.5299671737448</v>
      </c>
      <c r="M182" s="359">
        <f t="shared" si="196"/>
        <v>-5283.8631550100908</v>
      </c>
      <c r="N182" s="366"/>
      <c r="O182" s="365"/>
      <c r="P182" s="366"/>
      <c r="Q182" s="1941">
        <f>H182</f>
        <v>0</v>
      </c>
      <c r="R182" s="1271">
        <f>Q141-R141</f>
        <v>-1620.3609013048967</v>
      </c>
      <c r="S182" s="359">
        <f t="shared" ref="S182:BY182" si="198">R141-S141</f>
        <v>-909.35388868694827</v>
      </c>
      <c r="T182" s="359">
        <f t="shared" si="198"/>
        <v>-909.35388868694918</v>
      </c>
      <c r="U182" s="359">
        <f t="shared" si="198"/>
        <v>-909.35388868694781</v>
      </c>
      <c r="V182" s="359">
        <f t="shared" si="198"/>
        <v>-909.35388868694827</v>
      </c>
      <c r="W182" s="359">
        <f t="shared" si="198"/>
        <v>-909.35388868694736</v>
      </c>
      <c r="X182" s="359">
        <f t="shared" si="198"/>
        <v>-909.35388868694918</v>
      </c>
      <c r="Y182" s="359">
        <f t="shared" si="198"/>
        <v>-909.35388868695009</v>
      </c>
      <c r="Z182" s="359">
        <f t="shared" si="198"/>
        <v>-909.35388868695009</v>
      </c>
      <c r="AA182" s="359">
        <f t="shared" si="198"/>
        <v>-909.35388868694645</v>
      </c>
      <c r="AB182" s="359">
        <f t="shared" si="198"/>
        <v>-909.35388868695009</v>
      </c>
      <c r="AC182" s="947">
        <f t="shared" si="198"/>
        <v>-909.35388868694645</v>
      </c>
      <c r="AD182" s="359">
        <f t="shared" si="198"/>
        <v>-1011.3409373596205</v>
      </c>
      <c r="AE182" s="359">
        <f t="shared" si="198"/>
        <v>-778.87586382238806</v>
      </c>
      <c r="AF182" s="359">
        <f t="shared" si="198"/>
        <v>-778.87586382238806</v>
      </c>
      <c r="AG182" s="359">
        <f t="shared" si="198"/>
        <v>-778.87586382238624</v>
      </c>
      <c r="AH182" s="359">
        <f t="shared" si="198"/>
        <v>-778.87586382238624</v>
      </c>
      <c r="AI182" s="359">
        <f t="shared" si="198"/>
        <v>-778.87586382239169</v>
      </c>
      <c r="AJ182" s="359">
        <f t="shared" si="198"/>
        <v>-778.87586382239169</v>
      </c>
      <c r="AK182" s="359">
        <f t="shared" si="198"/>
        <v>-778.87586382238442</v>
      </c>
      <c r="AL182" s="359">
        <f t="shared" si="198"/>
        <v>-778.87586382239169</v>
      </c>
      <c r="AM182" s="359">
        <f t="shared" si="198"/>
        <v>-778.87586382239169</v>
      </c>
      <c r="AN182" s="359">
        <f t="shared" si="198"/>
        <v>-778.87586382238442</v>
      </c>
      <c r="AO182" s="947">
        <f t="shared" si="198"/>
        <v>-778.87586382239169</v>
      </c>
      <c r="AP182" s="359">
        <f t="shared" si="198"/>
        <v>-943.57094274516203</v>
      </c>
      <c r="AQ182" s="359">
        <f t="shared" si="198"/>
        <v>-519.52636041981532</v>
      </c>
      <c r="AR182" s="359">
        <f t="shared" si="198"/>
        <v>-519.52636041982259</v>
      </c>
      <c r="AS182" s="359">
        <f t="shared" si="198"/>
        <v>-519.52636041982259</v>
      </c>
      <c r="AT182" s="359">
        <f t="shared" si="198"/>
        <v>-519.52636041982259</v>
      </c>
      <c r="AU182" s="359">
        <f t="shared" si="198"/>
        <v>-519.52636041981532</v>
      </c>
      <c r="AV182" s="359">
        <f t="shared" si="198"/>
        <v>-519.52636041982623</v>
      </c>
      <c r="AW182" s="359">
        <f t="shared" si="198"/>
        <v>-519.52636041981532</v>
      </c>
      <c r="AX182" s="359">
        <f t="shared" si="198"/>
        <v>-519.52636041981896</v>
      </c>
      <c r="AY182" s="359">
        <f t="shared" si="198"/>
        <v>-519.52636041982623</v>
      </c>
      <c r="AZ182" s="359">
        <f t="shared" si="198"/>
        <v>-519.52636041981896</v>
      </c>
      <c r="BA182" s="947">
        <f t="shared" si="198"/>
        <v>-519.52636041982259</v>
      </c>
      <c r="BB182" s="359">
        <f t="shared" si="198"/>
        <v>-1119.0716476977032</v>
      </c>
      <c r="BC182" s="359">
        <f t="shared" si="198"/>
        <v>-561.85984722509602</v>
      </c>
      <c r="BD182" s="359">
        <f t="shared" si="198"/>
        <v>-561.85984722509966</v>
      </c>
      <c r="BE182" s="359">
        <f t="shared" si="198"/>
        <v>-561.85984722509238</v>
      </c>
      <c r="BF182" s="359">
        <f t="shared" si="198"/>
        <v>-561.85984722508874</v>
      </c>
      <c r="BG182" s="359">
        <f t="shared" si="198"/>
        <v>-561.85984722509966</v>
      </c>
      <c r="BH182" s="359">
        <f t="shared" si="198"/>
        <v>-561.85984722509238</v>
      </c>
      <c r="BI182" s="359">
        <f t="shared" si="198"/>
        <v>-561.85984722509602</v>
      </c>
      <c r="BJ182" s="359">
        <f t="shared" si="198"/>
        <v>-561.85984722508874</v>
      </c>
      <c r="BK182" s="359">
        <f t="shared" si="198"/>
        <v>-561.85984722510329</v>
      </c>
      <c r="BL182" s="359">
        <f t="shared" si="198"/>
        <v>-561.85984722508874</v>
      </c>
      <c r="BM182" s="947">
        <f t="shared" si="198"/>
        <v>-561.85984722509602</v>
      </c>
      <c r="BN182" s="359">
        <f t="shared" si="198"/>
        <v>-1084.92412941558</v>
      </c>
      <c r="BO182" s="359">
        <f t="shared" si="198"/>
        <v>-381.72172959950694</v>
      </c>
      <c r="BP182" s="359">
        <f t="shared" si="198"/>
        <v>-381.72172959949239</v>
      </c>
      <c r="BQ182" s="359">
        <f t="shared" si="198"/>
        <v>-381.72172959950694</v>
      </c>
      <c r="BR182" s="359">
        <f t="shared" si="198"/>
        <v>-381.72172959950694</v>
      </c>
      <c r="BS182" s="359">
        <f t="shared" si="198"/>
        <v>-381.72172959949239</v>
      </c>
      <c r="BT182" s="359">
        <f t="shared" si="198"/>
        <v>-381.72172959950694</v>
      </c>
      <c r="BU182" s="359">
        <f t="shared" si="198"/>
        <v>-381.72172959948512</v>
      </c>
      <c r="BV182" s="359">
        <f t="shared" si="198"/>
        <v>-381.72172959951422</v>
      </c>
      <c r="BW182" s="359">
        <f t="shared" si="198"/>
        <v>-381.72172959949967</v>
      </c>
      <c r="BX182" s="359">
        <f t="shared" si="198"/>
        <v>-381.72172959950694</v>
      </c>
      <c r="BY182" s="947">
        <f t="shared" si="198"/>
        <v>-381.72172959949239</v>
      </c>
      <c r="BZ182" s="652">
        <f>ROUND(SUM(H182:M182)-SUM(Q182:BY182),0)</f>
        <v>0</v>
      </c>
    </row>
    <row r="183" spans="2:78" s="359" customFormat="1">
      <c r="B183" s="358"/>
      <c r="D183" s="366"/>
      <c r="F183" s="366" t="s">
        <v>1695</v>
      </c>
      <c r="G183" s="366"/>
      <c r="H183" s="2088">
        <v>0</v>
      </c>
      <c r="I183" s="364">
        <f>I155-H155+I156-H156</f>
        <v>64050.807695438314</v>
      </c>
      <c r="J183" s="364">
        <f>J155-I155+J156-I156</f>
        <v>51259.636411549422</v>
      </c>
      <c r="K183" s="364">
        <f>K155-J155+K156-J156</f>
        <v>42710.819164215529</v>
      </c>
      <c r="L183" s="364">
        <f>L155-K155+L156-K156</f>
        <v>39646.666674346459</v>
      </c>
      <c r="M183" s="364">
        <f>M155-L155+M156-L156</f>
        <v>32171.086138199731</v>
      </c>
      <c r="N183" s="366"/>
      <c r="O183" s="365"/>
      <c r="P183" s="366"/>
      <c r="Q183" s="2092">
        <v>0</v>
      </c>
      <c r="R183" s="1272">
        <f>R155-Q155+R156-Q156</f>
        <v>36162.370795436436</v>
      </c>
      <c r="S183" s="364">
        <f t="shared" ref="S183:BY183" si="199">S155-R155+S156-R156</f>
        <v>2269.9488090910781</v>
      </c>
      <c r="T183" s="364">
        <f t="shared" si="199"/>
        <v>2269.9488090910818</v>
      </c>
      <c r="U183" s="364">
        <f t="shared" si="199"/>
        <v>2269.9488090910818</v>
      </c>
      <c r="V183" s="364">
        <f t="shared" si="199"/>
        <v>2269.9488090910781</v>
      </c>
      <c r="W183" s="364">
        <f t="shared" si="199"/>
        <v>2269.9488090910781</v>
      </c>
      <c r="X183" s="364">
        <f t="shared" si="199"/>
        <v>4324.0599202021913</v>
      </c>
      <c r="Y183" s="364">
        <f t="shared" si="199"/>
        <v>2269.9488090910818</v>
      </c>
      <c r="Z183" s="364">
        <f t="shared" si="199"/>
        <v>2269.9488090910745</v>
      </c>
      <c r="AA183" s="364">
        <f t="shared" si="199"/>
        <v>3134.8376979799723</v>
      </c>
      <c r="AB183" s="364">
        <f t="shared" si="199"/>
        <v>2269.9488090910818</v>
      </c>
      <c r="AC183" s="949">
        <f t="shared" si="199"/>
        <v>2269.9488090910818</v>
      </c>
      <c r="AD183" s="364">
        <f t="shared" si="199"/>
        <v>27492.379621450276</v>
      </c>
      <c r="AE183" s="364">
        <f t="shared" si="199"/>
        <v>2160.6597081908403</v>
      </c>
      <c r="AF183" s="364">
        <f t="shared" si="199"/>
        <v>2160.6597081908258</v>
      </c>
      <c r="AG183" s="364">
        <f t="shared" si="199"/>
        <v>2160.6597081908403</v>
      </c>
      <c r="AH183" s="364">
        <f t="shared" si="199"/>
        <v>2160.6597081908112</v>
      </c>
      <c r="AI183" s="364">
        <f t="shared" si="199"/>
        <v>2160.6597081908549</v>
      </c>
      <c r="AJ183" s="364">
        <f t="shared" si="199"/>
        <v>2160.6597081908258</v>
      </c>
      <c r="AK183" s="364">
        <f t="shared" si="199"/>
        <v>2160.6597081908258</v>
      </c>
      <c r="AL183" s="364">
        <f t="shared" si="199"/>
        <v>2160.6597081908403</v>
      </c>
      <c r="AM183" s="364">
        <f t="shared" si="199"/>
        <v>2160.6597081908403</v>
      </c>
      <c r="AN183" s="364">
        <f t="shared" si="199"/>
        <v>2160.6597081908403</v>
      </c>
      <c r="AO183" s="949">
        <f t="shared" si="199"/>
        <v>2160.6597081908112</v>
      </c>
      <c r="AP183" s="364">
        <f t="shared" si="199"/>
        <v>26787.37346860551</v>
      </c>
      <c r="AQ183" s="364">
        <f t="shared" si="199"/>
        <v>1447.5859723281756</v>
      </c>
      <c r="AR183" s="364">
        <f t="shared" si="199"/>
        <v>1447.5859723281901</v>
      </c>
      <c r="AS183" s="364">
        <f t="shared" si="199"/>
        <v>1447.5859723281901</v>
      </c>
      <c r="AT183" s="364">
        <f t="shared" si="199"/>
        <v>1447.5859723281756</v>
      </c>
      <c r="AU183" s="364">
        <f t="shared" si="199"/>
        <v>1447.5859723281901</v>
      </c>
      <c r="AV183" s="364">
        <f t="shared" si="199"/>
        <v>1447.5859723281756</v>
      </c>
      <c r="AW183" s="364">
        <f t="shared" si="199"/>
        <v>1447.5859723282047</v>
      </c>
      <c r="AX183" s="364">
        <f t="shared" si="199"/>
        <v>1447.5859723281756</v>
      </c>
      <c r="AY183" s="364">
        <f t="shared" si="199"/>
        <v>1447.5859723281901</v>
      </c>
      <c r="AZ183" s="364">
        <f t="shared" si="199"/>
        <v>1447.5859723281756</v>
      </c>
      <c r="BA183" s="949">
        <f t="shared" si="199"/>
        <v>1447.5859723281756</v>
      </c>
      <c r="BB183" s="364">
        <f t="shared" si="199"/>
        <v>24527.319146326357</v>
      </c>
      <c r="BC183" s="364">
        <f t="shared" si="199"/>
        <v>1374.4861389108992</v>
      </c>
      <c r="BD183" s="364">
        <f t="shared" si="199"/>
        <v>1374.4861389109574</v>
      </c>
      <c r="BE183" s="364">
        <f t="shared" si="199"/>
        <v>1374.4861389108992</v>
      </c>
      <c r="BF183" s="364">
        <f t="shared" si="199"/>
        <v>1374.4861389108992</v>
      </c>
      <c r="BG183" s="364">
        <f t="shared" si="199"/>
        <v>1374.4861389109283</v>
      </c>
      <c r="BH183" s="364">
        <f t="shared" si="199"/>
        <v>1374.4861389108992</v>
      </c>
      <c r="BI183" s="364">
        <f t="shared" si="199"/>
        <v>1374.4861389109283</v>
      </c>
      <c r="BJ183" s="364">
        <f t="shared" si="199"/>
        <v>1374.4861389108992</v>
      </c>
      <c r="BK183" s="364">
        <f t="shared" si="199"/>
        <v>1374.4861389109283</v>
      </c>
      <c r="BL183" s="364">
        <f t="shared" si="199"/>
        <v>1374.4861389108992</v>
      </c>
      <c r="BM183" s="949">
        <f t="shared" si="199"/>
        <v>1374.4861389109574</v>
      </c>
      <c r="BN183" s="364">
        <f t="shared" si="199"/>
        <v>21260.341217342917</v>
      </c>
      <c r="BO183" s="364">
        <f t="shared" si="199"/>
        <v>991.88590189610841</v>
      </c>
      <c r="BP183" s="364">
        <f t="shared" si="199"/>
        <v>991.8859018960793</v>
      </c>
      <c r="BQ183" s="364">
        <f t="shared" si="199"/>
        <v>991.8859018960502</v>
      </c>
      <c r="BR183" s="364">
        <f t="shared" si="199"/>
        <v>991.88590189610841</v>
      </c>
      <c r="BS183" s="364">
        <f t="shared" si="199"/>
        <v>991.8859018960211</v>
      </c>
      <c r="BT183" s="364">
        <f t="shared" si="199"/>
        <v>991.88590189610841</v>
      </c>
      <c r="BU183" s="364">
        <f t="shared" si="199"/>
        <v>991.8859018960211</v>
      </c>
      <c r="BV183" s="364">
        <f t="shared" si="199"/>
        <v>991.8859018960793</v>
      </c>
      <c r="BW183" s="364">
        <f t="shared" si="199"/>
        <v>991.8859018960793</v>
      </c>
      <c r="BX183" s="364">
        <f t="shared" si="199"/>
        <v>991.88590189610841</v>
      </c>
      <c r="BY183" s="949">
        <f t="shared" si="199"/>
        <v>991.8859018960502</v>
      </c>
      <c r="BZ183" s="652">
        <f>ROUND(SUM(H183:M183)-SUM(Q183:BY183),0)</f>
        <v>0</v>
      </c>
    </row>
    <row r="184" spans="2:78" s="363" customFormat="1">
      <c r="B184" s="362"/>
      <c r="D184" s="368"/>
      <c r="E184" s="363" t="s">
        <v>3849</v>
      </c>
      <c r="F184" s="368"/>
      <c r="G184" s="368"/>
      <c r="H184" s="363">
        <f t="shared" ref="H184:M184" si="200">SUM(H178:H183)</f>
        <v>-264648.14604055602</v>
      </c>
      <c r="I184" s="363">
        <f t="shared" si="200"/>
        <v>-545527.29981118871</v>
      </c>
      <c r="J184" s="363">
        <f t="shared" si="200"/>
        <v>49701.884664516198</v>
      </c>
      <c r="K184" s="363">
        <f t="shared" si="200"/>
        <v>471909.08753151586</v>
      </c>
      <c r="L184" s="363">
        <f t="shared" si="200"/>
        <v>654007.57617988111</v>
      </c>
      <c r="M184" s="363">
        <f t="shared" si="200"/>
        <v>1013831.0849592256</v>
      </c>
      <c r="N184" s="368"/>
      <c r="O184" s="367"/>
      <c r="P184" s="368"/>
      <c r="Q184" s="368">
        <f>SUM(Q178:Q183)</f>
        <v>-264648.14604055602</v>
      </c>
      <c r="R184" s="1268">
        <f>SUM(R178:R183)</f>
        <v>-58759.433542337036</v>
      </c>
      <c r="S184" s="363">
        <f t="shared" ref="S184:BY184" si="201">SUM(S178:S183)</f>
        <v>-95017.419845744342</v>
      </c>
      <c r="T184" s="363">
        <f t="shared" si="201"/>
        <v>-98093.991175424249</v>
      </c>
      <c r="U184" s="363">
        <f t="shared" si="201"/>
        <v>-101170.5625051042</v>
      </c>
      <c r="V184" s="363">
        <f t="shared" si="201"/>
        <v>-104247.13383478412</v>
      </c>
      <c r="W184" s="363">
        <f t="shared" si="201"/>
        <v>-107323.70516446405</v>
      </c>
      <c r="X184" s="363">
        <f t="shared" si="201"/>
        <v>-112747.83204969953</v>
      </c>
      <c r="Y184" s="363">
        <f t="shared" si="201"/>
        <v>51310.177459353501</v>
      </c>
      <c r="Z184" s="363">
        <f t="shared" si="201"/>
        <v>126254.17356774978</v>
      </c>
      <c r="AA184" s="363">
        <f t="shared" si="201"/>
        <v>-21673.475158666119</v>
      </c>
      <c r="AB184" s="363">
        <f t="shared" si="201"/>
        <v>-15532.153869874346</v>
      </c>
      <c r="AC184" s="948">
        <f t="shared" si="201"/>
        <v>-8525.9436921938068</v>
      </c>
      <c r="AD184" s="363">
        <f t="shared" si="201"/>
        <v>-11003.877001314078</v>
      </c>
      <c r="AE184" s="363">
        <f t="shared" si="201"/>
        <v>-28974.203765317965</v>
      </c>
      <c r="AF184" s="363">
        <f t="shared" si="201"/>
        <v>-23371.620773603012</v>
      </c>
      <c r="AG184" s="363">
        <f t="shared" si="201"/>
        <v>-15282.98508992546</v>
      </c>
      <c r="AH184" s="363">
        <f t="shared" si="201"/>
        <v>-8321.9169784232417</v>
      </c>
      <c r="AI184" s="363">
        <f t="shared" si="201"/>
        <v>-1360.8488669210165</v>
      </c>
      <c r="AJ184" s="363">
        <f t="shared" si="201"/>
        <v>5600.2192445814035</v>
      </c>
      <c r="AK184" s="363">
        <f t="shared" si="201"/>
        <v>12561.287356083656</v>
      </c>
      <c r="AL184" s="363">
        <f t="shared" si="201"/>
        <v>19522.355467585909</v>
      </c>
      <c r="AM184" s="363">
        <f t="shared" si="201"/>
        <v>26483.423579088125</v>
      </c>
      <c r="AN184" s="363">
        <f t="shared" si="201"/>
        <v>33444.491690589886</v>
      </c>
      <c r="AO184" s="948">
        <f t="shared" si="201"/>
        <v>40405.559802092146</v>
      </c>
      <c r="AP184" s="363">
        <f t="shared" si="201"/>
        <v>35139.310928401217</v>
      </c>
      <c r="AQ184" s="363">
        <f t="shared" si="201"/>
        <v>18253.621119313899</v>
      </c>
      <c r="AR184" s="363">
        <f t="shared" si="201"/>
        <v>23917.521060444098</v>
      </c>
      <c r="AS184" s="363">
        <f t="shared" si="201"/>
        <v>29519.643169248364</v>
      </c>
      <c r="AT184" s="363">
        <f t="shared" si="201"/>
        <v>33100.805555362735</v>
      </c>
      <c r="AU184" s="363">
        <f t="shared" si="201"/>
        <v>36681.967941477735</v>
      </c>
      <c r="AV184" s="363">
        <f t="shared" si="201"/>
        <v>40263.130327592095</v>
      </c>
      <c r="AW184" s="363">
        <f t="shared" si="201"/>
        <v>43844.292713705712</v>
      </c>
      <c r="AX184" s="363">
        <f t="shared" si="201"/>
        <v>47425.455099820123</v>
      </c>
      <c r="AY184" s="363">
        <f t="shared" si="201"/>
        <v>51006.617485935451</v>
      </c>
      <c r="AZ184" s="363">
        <f t="shared" si="201"/>
        <v>54587.77987204989</v>
      </c>
      <c r="BA184" s="948">
        <f t="shared" si="201"/>
        <v>58168.942258164301</v>
      </c>
      <c r="BB184" s="363">
        <f t="shared" si="201"/>
        <v>49556.946315088222</v>
      </c>
      <c r="BC184" s="363">
        <f t="shared" si="201"/>
        <v>30524.038146933432</v>
      </c>
      <c r="BD184" s="363">
        <f t="shared" si="201"/>
        <v>34086.751185723289</v>
      </c>
      <c r="BE184" s="363">
        <f t="shared" si="201"/>
        <v>41153.893311278502</v>
      </c>
      <c r="BF184" s="363">
        <f t="shared" si="201"/>
        <v>45860.971109351391</v>
      </c>
      <c r="BG184" s="363">
        <f t="shared" si="201"/>
        <v>50568.048907424527</v>
      </c>
      <c r="BH184" s="363">
        <f t="shared" si="201"/>
        <v>55275.126705498391</v>
      </c>
      <c r="BI184" s="363">
        <f t="shared" si="201"/>
        <v>59982.204503571476</v>
      </c>
      <c r="BJ184" s="363">
        <f t="shared" si="201"/>
        <v>64689.28230164446</v>
      </c>
      <c r="BK184" s="363">
        <f t="shared" si="201"/>
        <v>69396.360099717422</v>
      </c>
      <c r="BL184" s="363">
        <f t="shared" si="201"/>
        <v>74103.437897788666</v>
      </c>
      <c r="BM184" s="948">
        <f t="shared" si="201"/>
        <v>78810.515695861657</v>
      </c>
      <c r="BN184" s="363">
        <f t="shared" si="201"/>
        <v>73442.983845357259</v>
      </c>
      <c r="BO184" s="363">
        <f t="shared" si="201"/>
        <v>59082.569093042184</v>
      </c>
      <c r="BP184" s="363">
        <f t="shared" si="201"/>
        <v>68466.006969409529</v>
      </c>
      <c r="BQ184" s="363">
        <f t="shared" si="201"/>
        <v>75254.156541624761</v>
      </c>
      <c r="BR184" s="363">
        <f t="shared" si="201"/>
        <v>79019.493102091437</v>
      </c>
      <c r="BS184" s="363">
        <f t="shared" si="201"/>
        <v>82784.829662556236</v>
      </c>
      <c r="BT184" s="363">
        <f t="shared" si="201"/>
        <v>86550.166223024789</v>
      </c>
      <c r="BU184" s="363">
        <f t="shared" si="201"/>
        <v>90315.50278348953</v>
      </c>
      <c r="BV184" s="363">
        <f t="shared" si="201"/>
        <v>94080.83934395804</v>
      </c>
      <c r="BW184" s="363">
        <f t="shared" si="201"/>
        <v>97846.17590442294</v>
      </c>
      <c r="BX184" s="363">
        <f t="shared" si="201"/>
        <v>101611.51246488957</v>
      </c>
      <c r="BY184" s="948">
        <f t="shared" si="201"/>
        <v>105376.84902535807</v>
      </c>
      <c r="BZ184" s="653">
        <f>ROUND(SUM(H184:M184)-SUM(Q184:BY184),0)</f>
        <v>0</v>
      </c>
    </row>
    <row r="185" spans="2:78" s="359" customFormat="1">
      <c r="B185" s="358"/>
      <c r="D185" s="366"/>
      <c r="F185" s="366"/>
      <c r="G185" s="366"/>
      <c r="N185" s="366"/>
      <c r="O185" s="365"/>
      <c r="P185" s="366"/>
      <c r="Q185" s="366"/>
      <c r="R185" s="1271"/>
      <c r="AC185" s="947"/>
      <c r="AO185" s="947"/>
      <c r="BA185" s="947"/>
      <c r="BM185" s="947"/>
      <c r="BY185" s="947"/>
      <c r="BZ185" s="652"/>
    </row>
    <row r="186" spans="2:78" s="359" customFormat="1">
      <c r="B186" s="358"/>
      <c r="D186" s="366"/>
      <c r="E186" s="363" t="s">
        <v>1697</v>
      </c>
      <c r="F186" s="368"/>
      <c r="G186" s="368"/>
      <c r="H186" s="359">
        <f>-H249-PtrIS!P32</f>
        <v>-2165648.42</v>
      </c>
      <c r="I186" s="359">
        <f>-(I249+I254)</f>
        <v>-82326.041666666657</v>
      </c>
      <c r="J186" s="359">
        <f>-(J249+J254)</f>
        <v>-91697.770833333343</v>
      </c>
      <c r="K186" s="359">
        <f>-(K249+K254)</f>
        <v>-91666.129166666622</v>
      </c>
      <c r="L186" s="359">
        <f>-(L249+L254)</f>
        <v>-75693.67116666658</v>
      </c>
      <c r="M186" s="359">
        <f>-(M249+M254)</f>
        <v>-69209.90525999997</v>
      </c>
      <c r="N186" s="366"/>
      <c r="O186" s="365"/>
      <c r="P186" s="366"/>
      <c r="Q186" s="366">
        <f>H186</f>
        <v>-2165648.42</v>
      </c>
      <c r="R186" s="1271">
        <f>$I186/12</f>
        <v>-6860.5034722222217</v>
      </c>
      <c r="S186" s="359">
        <f t="shared" ref="S186:AC186" si="202">$I186/12</f>
        <v>-6860.5034722222217</v>
      </c>
      <c r="T186" s="359">
        <f t="shared" si="202"/>
        <v>-6860.5034722222217</v>
      </c>
      <c r="U186" s="359">
        <f t="shared" si="202"/>
        <v>-6860.5034722222217</v>
      </c>
      <c r="V186" s="359">
        <f t="shared" si="202"/>
        <v>-6860.5034722222217</v>
      </c>
      <c r="W186" s="359">
        <f t="shared" si="202"/>
        <v>-6860.5034722222217</v>
      </c>
      <c r="X186" s="359">
        <f t="shared" si="202"/>
        <v>-6860.5034722222217</v>
      </c>
      <c r="Y186" s="359">
        <f t="shared" si="202"/>
        <v>-6860.5034722222217</v>
      </c>
      <c r="Z186" s="359">
        <f t="shared" si="202"/>
        <v>-6860.5034722222217</v>
      </c>
      <c r="AA186" s="359">
        <f t="shared" si="202"/>
        <v>-6860.5034722222217</v>
      </c>
      <c r="AB186" s="359">
        <f t="shared" si="202"/>
        <v>-6860.5034722222217</v>
      </c>
      <c r="AC186" s="947">
        <f t="shared" si="202"/>
        <v>-6860.5034722222217</v>
      </c>
      <c r="AD186" s="359">
        <f>$J186/12</f>
        <v>-7641.4809027777783</v>
      </c>
      <c r="AE186" s="359">
        <f t="shared" ref="AE186:AO186" si="203">$J186/12</f>
        <v>-7641.4809027777783</v>
      </c>
      <c r="AF186" s="359">
        <f t="shared" si="203"/>
        <v>-7641.4809027777783</v>
      </c>
      <c r="AG186" s="359">
        <f t="shared" si="203"/>
        <v>-7641.4809027777783</v>
      </c>
      <c r="AH186" s="359">
        <f t="shared" si="203"/>
        <v>-7641.4809027777783</v>
      </c>
      <c r="AI186" s="359">
        <f t="shared" si="203"/>
        <v>-7641.4809027777783</v>
      </c>
      <c r="AJ186" s="359">
        <f t="shared" si="203"/>
        <v>-7641.4809027777783</v>
      </c>
      <c r="AK186" s="359">
        <f t="shared" si="203"/>
        <v>-7641.4809027777783</v>
      </c>
      <c r="AL186" s="359">
        <f t="shared" si="203"/>
        <v>-7641.4809027777783</v>
      </c>
      <c r="AM186" s="359">
        <f t="shared" si="203"/>
        <v>-7641.4809027777783</v>
      </c>
      <c r="AN186" s="359">
        <f t="shared" si="203"/>
        <v>-7641.4809027777783</v>
      </c>
      <c r="AO186" s="947">
        <f t="shared" si="203"/>
        <v>-7641.4809027777783</v>
      </c>
      <c r="AP186" s="359">
        <f>$K186/12</f>
        <v>-7638.8440972222188</v>
      </c>
      <c r="AQ186" s="359">
        <f t="shared" ref="AQ186:BA186" si="204">$K186/12</f>
        <v>-7638.8440972222188</v>
      </c>
      <c r="AR186" s="359">
        <f t="shared" si="204"/>
        <v>-7638.8440972222188</v>
      </c>
      <c r="AS186" s="359">
        <f t="shared" si="204"/>
        <v>-7638.8440972222188</v>
      </c>
      <c r="AT186" s="359">
        <f t="shared" si="204"/>
        <v>-7638.8440972222188</v>
      </c>
      <c r="AU186" s="359">
        <f t="shared" si="204"/>
        <v>-7638.8440972222188</v>
      </c>
      <c r="AV186" s="359">
        <f t="shared" si="204"/>
        <v>-7638.8440972222188</v>
      </c>
      <c r="AW186" s="359">
        <f t="shared" si="204"/>
        <v>-7638.8440972222188</v>
      </c>
      <c r="AX186" s="359">
        <f t="shared" si="204"/>
        <v>-7638.8440972222188</v>
      </c>
      <c r="AY186" s="359">
        <f t="shared" si="204"/>
        <v>-7638.8440972222188</v>
      </c>
      <c r="AZ186" s="359">
        <f t="shared" si="204"/>
        <v>-7638.8440972222188</v>
      </c>
      <c r="BA186" s="947">
        <f t="shared" si="204"/>
        <v>-7638.8440972222188</v>
      </c>
      <c r="BB186" s="359">
        <f>$L186/12</f>
        <v>-6307.805930555548</v>
      </c>
      <c r="BC186" s="359">
        <f t="shared" ref="BC186:BM186" si="205">$L186/12</f>
        <v>-6307.805930555548</v>
      </c>
      <c r="BD186" s="359">
        <f t="shared" si="205"/>
        <v>-6307.805930555548</v>
      </c>
      <c r="BE186" s="359">
        <f t="shared" si="205"/>
        <v>-6307.805930555548</v>
      </c>
      <c r="BF186" s="359">
        <f t="shared" si="205"/>
        <v>-6307.805930555548</v>
      </c>
      <c r="BG186" s="359">
        <f t="shared" si="205"/>
        <v>-6307.805930555548</v>
      </c>
      <c r="BH186" s="359">
        <f t="shared" si="205"/>
        <v>-6307.805930555548</v>
      </c>
      <c r="BI186" s="359">
        <f t="shared" si="205"/>
        <v>-6307.805930555548</v>
      </c>
      <c r="BJ186" s="359">
        <f t="shared" si="205"/>
        <v>-6307.805930555548</v>
      </c>
      <c r="BK186" s="359">
        <f t="shared" si="205"/>
        <v>-6307.805930555548</v>
      </c>
      <c r="BL186" s="359">
        <f t="shared" si="205"/>
        <v>-6307.805930555548</v>
      </c>
      <c r="BM186" s="947">
        <f t="shared" si="205"/>
        <v>-6307.805930555548</v>
      </c>
      <c r="BN186" s="359">
        <f>$M186/12</f>
        <v>-5767.4921049999975</v>
      </c>
      <c r="BO186" s="359">
        <f t="shared" ref="BO186:BY186" si="206">$M186/12</f>
        <v>-5767.4921049999975</v>
      </c>
      <c r="BP186" s="359">
        <f t="shared" si="206"/>
        <v>-5767.4921049999975</v>
      </c>
      <c r="BQ186" s="359">
        <f t="shared" si="206"/>
        <v>-5767.4921049999975</v>
      </c>
      <c r="BR186" s="359">
        <f t="shared" si="206"/>
        <v>-5767.4921049999975</v>
      </c>
      <c r="BS186" s="359">
        <f t="shared" si="206"/>
        <v>-5767.4921049999975</v>
      </c>
      <c r="BT186" s="359">
        <f t="shared" si="206"/>
        <v>-5767.4921049999975</v>
      </c>
      <c r="BU186" s="359">
        <f t="shared" si="206"/>
        <v>-5767.4921049999975</v>
      </c>
      <c r="BV186" s="359">
        <f t="shared" si="206"/>
        <v>-5767.4921049999975</v>
      </c>
      <c r="BW186" s="359">
        <f t="shared" si="206"/>
        <v>-5767.4921049999975</v>
      </c>
      <c r="BX186" s="359">
        <f t="shared" si="206"/>
        <v>-5767.4921049999975</v>
      </c>
      <c r="BY186" s="947">
        <f t="shared" si="206"/>
        <v>-5767.4921049999975</v>
      </c>
      <c r="BZ186" s="652">
        <f>ROUND(SUM(H186:M186)-SUM(Q186:BY186),0)</f>
        <v>0</v>
      </c>
    </row>
    <row r="187" spans="2:78" s="359" customFormat="1">
      <c r="B187" s="358"/>
      <c r="D187" s="366"/>
      <c r="F187" s="366"/>
      <c r="G187" s="366"/>
      <c r="N187" s="366"/>
      <c r="O187" s="365"/>
      <c r="P187" s="366"/>
      <c r="Q187" s="366"/>
      <c r="R187" s="1271"/>
      <c r="AC187" s="947"/>
      <c r="AO187" s="947"/>
      <c r="BA187" s="947"/>
      <c r="BM187" s="947"/>
      <c r="BY187" s="947"/>
      <c r="BZ187" s="652"/>
    </row>
    <row r="188" spans="2:78" s="359" customFormat="1">
      <c r="B188" s="358"/>
      <c r="D188" s="366"/>
      <c r="E188" s="359" t="s">
        <v>1688</v>
      </c>
      <c r="F188" s="366"/>
      <c r="G188" s="366"/>
      <c r="N188" s="366"/>
      <c r="O188" s="365"/>
      <c r="P188" s="366"/>
      <c r="Q188" s="366"/>
      <c r="R188" s="1271"/>
      <c r="AC188" s="947"/>
      <c r="AO188" s="947"/>
      <c r="BA188" s="947"/>
      <c r="BM188" s="947"/>
      <c r="BY188" s="947"/>
      <c r="BZ188" s="652"/>
    </row>
    <row r="189" spans="2:78" s="359" customFormat="1">
      <c r="B189" s="358"/>
      <c r="D189" s="366"/>
      <c r="E189" s="359" t="s">
        <v>1689</v>
      </c>
      <c r="F189" s="366"/>
      <c r="G189" s="366"/>
      <c r="H189" s="364">
        <f ca="1">-PtrCF!G15</f>
        <v>3572949.4219446969</v>
      </c>
      <c r="I189" s="364">
        <f>SUM(R189:AC189)</f>
        <v>0</v>
      </c>
      <c r="J189" s="364">
        <f ca="1">SUM(AD189:AO189)</f>
        <v>-65659.079475105769</v>
      </c>
      <c r="K189" s="364">
        <f ca="1">SUM(AP189:BA189)</f>
        <v>-259489.47452603979</v>
      </c>
      <c r="L189" s="364">
        <f ca="1">SUM(BB189:BM189)</f>
        <v>-463324.48442152014</v>
      </c>
      <c r="M189" s="364">
        <f ca="1">SUM(BN189:BY189)</f>
        <v>-851017.47999040061</v>
      </c>
      <c r="N189" s="366"/>
      <c r="O189" s="365"/>
      <c r="P189" s="366"/>
      <c r="Q189" s="364">
        <f ca="1">H189</f>
        <v>3572949.4219446969</v>
      </c>
      <c r="R189" s="2104">
        <f>IF(R170=0,-(R184+R186)-(Q194-R167),0)</f>
        <v>0</v>
      </c>
      <c r="S189" s="2105">
        <f t="shared" ref="S189:BY189" si="207">IF(S170=0,-(S184+S186)-(R194-S167),0)</f>
        <v>0</v>
      </c>
      <c r="T189" s="2105">
        <f t="shared" si="207"/>
        <v>0</v>
      </c>
      <c r="U189" s="2105">
        <f t="shared" si="207"/>
        <v>0</v>
      </c>
      <c r="V189" s="2105">
        <f t="shared" si="207"/>
        <v>0</v>
      </c>
      <c r="W189" s="2105">
        <f t="shared" si="207"/>
        <v>0</v>
      </c>
      <c r="X189" s="2105">
        <f t="shared" si="207"/>
        <v>0</v>
      </c>
      <c r="Y189" s="2105">
        <f t="shared" si="207"/>
        <v>0</v>
      </c>
      <c r="Z189" s="2105">
        <f t="shared" si="207"/>
        <v>0</v>
      </c>
      <c r="AA189" s="2105">
        <f t="shared" si="207"/>
        <v>0</v>
      </c>
      <c r="AB189" s="2105">
        <f t="shared" si="207"/>
        <v>0</v>
      </c>
      <c r="AC189" s="2106">
        <f t="shared" si="207"/>
        <v>0</v>
      </c>
      <c r="AD189" s="2105">
        <f t="shared" si="207"/>
        <v>0</v>
      </c>
      <c r="AE189" s="2105">
        <f t="shared" si="207"/>
        <v>0</v>
      </c>
      <c r="AF189" s="2105">
        <f t="shared" si="207"/>
        <v>0</v>
      </c>
      <c r="AG189" s="2105">
        <f t="shared" si="207"/>
        <v>0</v>
      </c>
      <c r="AH189" s="2105">
        <f t="shared" si="207"/>
        <v>0</v>
      </c>
      <c r="AI189" s="2105">
        <f t="shared" si="207"/>
        <v>0</v>
      </c>
      <c r="AJ189" s="2105">
        <f t="shared" si="207"/>
        <v>0</v>
      </c>
      <c r="AK189" s="2105">
        <f t="shared" ca="1" si="207"/>
        <v>-1.7371348803862929E-10</v>
      </c>
      <c r="AL189" s="2105">
        <f t="shared" ca="1" si="207"/>
        <v>-5973.1677015232635</v>
      </c>
      <c r="AM189" s="2105">
        <f t="shared" ca="1" si="207"/>
        <v>-12934.235813025538</v>
      </c>
      <c r="AN189" s="2105">
        <f t="shared" ca="1" si="207"/>
        <v>-19895.303924527241</v>
      </c>
      <c r="AO189" s="2106">
        <f t="shared" ca="1" si="207"/>
        <v>-26856.372036029559</v>
      </c>
      <c r="AP189" s="2105">
        <f t="shared" ca="1" si="207"/>
        <v>51785.911365476422</v>
      </c>
      <c r="AQ189" s="2105">
        <f t="shared" ca="1" si="207"/>
        <v>-6845.0401455322353</v>
      </c>
      <c r="AR189" s="2105">
        <f t="shared" ca="1" si="207"/>
        <v>-12508.940086662435</v>
      </c>
      <c r="AS189" s="2105">
        <f t="shared" ca="1" si="207"/>
        <v>-18111.062195466584</v>
      </c>
      <c r="AT189" s="2105">
        <f t="shared" ca="1" si="207"/>
        <v>-21692.224581581188</v>
      </c>
      <c r="AU189" s="2105">
        <f t="shared" ca="1" si="207"/>
        <v>-25273.386967696071</v>
      </c>
      <c r="AV189" s="2105">
        <f t="shared" ca="1" si="207"/>
        <v>-28854.549353810431</v>
      </c>
      <c r="AW189" s="2105">
        <f t="shared" ca="1" si="207"/>
        <v>-32435.711739924052</v>
      </c>
      <c r="AX189" s="2105">
        <f t="shared" ca="1" si="207"/>
        <v>-36016.87412603858</v>
      </c>
      <c r="AY189" s="2105">
        <f t="shared" ca="1" si="207"/>
        <v>-39598.036512153674</v>
      </c>
      <c r="AZ189" s="2105">
        <f t="shared" ca="1" si="207"/>
        <v>-43179.198898268347</v>
      </c>
      <c r="BA189" s="2106">
        <f t="shared" ca="1" si="207"/>
        <v>-46760.361284382641</v>
      </c>
      <c r="BB189" s="2105">
        <f t="shared" ca="1" si="207"/>
        <v>29867.288923848144</v>
      </c>
      <c r="BC189" s="2105">
        <f t="shared" ca="1" si="207"/>
        <v>-20409.596645167472</v>
      </c>
      <c r="BD189" s="2105">
        <f t="shared" ca="1" si="207"/>
        <v>-23972.30968395733</v>
      </c>
      <c r="BE189" s="2105">
        <f t="shared" ca="1" si="207"/>
        <v>-31039.451809512771</v>
      </c>
      <c r="BF189" s="2105">
        <f t="shared" ca="1" si="207"/>
        <v>-35746.529607585428</v>
      </c>
      <c r="BG189" s="2105">
        <f t="shared" ca="1" si="207"/>
        <v>-40453.60740565868</v>
      </c>
      <c r="BH189" s="2105">
        <f t="shared" ca="1" si="207"/>
        <v>-45160.685203732428</v>
      </c>
      <c r="BI189" s="2105">
        <f t="shared" ca="1" si="207"/>
        <v>-49867.763001805746</v>
      </c>
      <c r="BJ189" s="2105">
        <f t="shared" ca="1" si="207"/>
        <v>-54574.840799878497</v>
      </c>
      <c r="BK189" s="2105">
        <f t="shared" ca="1" si="207"/>
        <v>-59281.918597951342</v>
      </c>
      <c r="BL189" s="2105">
        <f t="shared" ca="1" si="207"/>
        <v>-63988.996396023053</v>
      </c>
      <c r="BM189" s="2106">
        <f t="shared" ca="1" si="207"/>
        <v>-68696.074194095578</v>
      </c>
      <c r="BN189" s="2105">
        <f t="shared" ca="1" si="207"/>
        <v>-4994.0552795061521</v>
      </c>
      <c r="BO189" s="2105">
        <f t="shared" ca="1" si="207"/>
        <v>-50503.962147317448</v>
      </c>
      <c r="BP189" s="2105">
        <f t="shared" ca="1" si="207"/>
        <v>-59887.400023684793</v>
      </c>
      <c r="BQ189" s="2105">
        <f t="shared" ca="1" si="207"/>
        <v>-66675.549595899793</v>
      </c>
      <c r="BR189" s="2105">
        <f t="shared" ca="1" si="207"/>
        <v>-70440.886156366701</v>
      </c>
      <c r="BS189" s="2105">
        <f t="shared" ca="1" si="207"/>
        <v>-74206.2227168315</v>
      </c>
      <c r="BT189" s="2105">
        <f t="shared" ca="1" si="207"/>
        <v>-77971.559277300054</v>
      </c>
      <c r="BU189" s="2105">
        <f t="shared" ca="1" si="207"/>
        <v>-81736.895837764561</v>
      </c>
      <c r="BV189" s="2105">
        <f t="shared" ca="1" si="207"/>
        <v>-85502.232398233304</v>
      </c>
      <c r="BW189" s="2105">
        <f t="shared" ca="1" si="207"/>
        <v>-89267.568958698204</v>
      </c>
      <c r="BX189" s="2105">
        <f t="shared" ca="1" si="207"/>
        <v>-93032.905519164837</v>
      </c>
      <c r="BY189" s="2106">
        <f t="shared" ca="1" si="207"/>
        <v>-96798.242079633332</v>
      </c>
      <c r="BZ189" s="652">
        <f ca="1">ROUND(SUM(H189:M189)-SUM(Q189:BY189),0)</f>
        <v>0</v>
      </c>
    </row>
    <row r="190" spans="2:78" s="363" customFormat="1">
      <c r="B190" s="362"/>
      <c r="D190" s="368"/>
      <c r="E190" s="363" t="s">
        <v>1690</v>
      </c>
      <c r="F190" s="368"/>
      <c r="G190" s="368"/>
      <c r="H190" s="363">
        <f t="shared" ref="H190:M190" ca="1" si="208">SUM(H188:H189)</f>
        <v>3572949.4219446969</v>
      </c>
      <c r="I190" s="363">
        <f t="shared" si="208"/>
        <v>0</v>
      </c>
      <c r="J190" s="363">
        <f t="shared" ca="1" si="208"/>
        <v>-65659.079475105769</v>
      </c>
      <c r="K190" s="363">
        <f t="shared" ca="1" si="208"/>
        <v>-259489.47452603979</v>
      </c>
      <c r="L190" s="363">
        <f t="shared" ca="1" si="208"/>
        <v>-463324.48442152014</v>
      </c>
      <c r="M190" s="363">
        <f t="shared" ca="1" si="208"/>
        <v>-851017.47999040061</v>
      </c>
      <c r="N190" s="368"/>
      <c r="O190" s="367"/>
      <c r="P190" s="368"/>
      <c r="Q190" s="368">
        <f ca="1">SUM(Q188:Q189)</f>
        <v>3572949.4219446969</v>
      </c>
      <c r="R190" s="1268">
        <f t="shared" ref="R190:BY190" si="209">SUM(R188:R189)</f>
        <v>0</v>
      </c>
      <c r="S190" s="363">
        <f t="shared" si="209"/>
        <v>0</v>
      </c>
      <c r="T190" s="363">
        <f t="shared" si="209"/>
        <v>0</v>
      </c>
      <c r="U190" s="363">
        <f t="shared" si="209"/>
        <v>0</v>
      </c>
      <c r="V190" s="363">
        <f t="shared" si="209"/>
        <v>0</v>
      </c>
      <c r="W190" s="363">
        <f t="shared" si="209"/>
        <v>0</v>
      </c>
      <c r="X190" s="363">
        <f t="shared" si="209"/>
        <v>0</v>
      </c>
      <c r="Y190" s="363">
        <f t="shared" si="209"/>
        <v>0</v>
      </c>
      <c r="Z190" s="363">
        <f t="shared" si="209"/>
        <v>0</v>
      </c>
      <c r="AA190" s="363">
        <f t="shared" si="209"/>
        <v>0</v>
      </c>
      <c r="AB190" s="363">
        <f t="shared" si="209"/>
        <v>0</v>
      </c>
      <c r="AC190" s="948">
        <f t="shared" si="209"/>
        <v>0</v>
      </c>
      <c r="AD190" s="363">
        <f t="shared" si="209"/>
        <v>0</v>
      </c>
      <c r="AE190" s="363">
        <f t="shared" si="209"/>
        <v>0</v>
      </c>
      <c r="AF190" s="363">
        <f t="shared" si="209"/>
        <v>0</v>
      </c>
      <c r="AG190" s="363">
        <f t="shared" si="209"/>
        <v>0</v>
      </c>
      <c r="AH190" s="363">
        <f t="shared" si="209"/>
        <v>0</v>
      </c>
      <c r="AI190" s="363">
        <f t="shared" si="209"/>
        <v>0</v>
      </c>
      <c r="AJ190" s="363">
        <f t="shared" si="209"/>
        <v>0</v>
      </c>
      <c r="AK190" s="363">
        <f t="shared" ca="1" si="209"/>
        <v>-1.7371348803862929E-10</v>
      </c>
      <c r="AL190" s="363">
        <f t="shared" ca="1" si="209"/>
        <v>-5973.1677015232635</v>
      </c>
      <c r="AM190" s="363">
        <f t="shared" ca="1" si="209"/>
        <v>-12934.235813025538</v>
      </c>
      <c r="AN190" s="363">
        <f t="shared" ca="1" si="209"/>
        <v>-19895.303924527241</v>
      </c>
      <c r="AO190" s="948">
        <f t="shared" ca="1" si="209"/>
        <v>-26856.372036029559</v>
      </c>
      <c r="AP190" s="363">
        <f t="shared" ca="1" si="209"/>
        <v>51785.911365476422</v>
      </c>
      <c r="AQ190" s="363">
        <f t="shared" ca="1" si="209"/>
        <v>-6845.0401455322353</v>
      </c>
      <c r="AR190" s="363">
        <f t="shared" ca="1" si="209"/>
        <v>-12508.940086662435</v>
      </c>
      <c r="AS190" s="363">
        <f t="shared" ca="1" si="209"/>
        <v>-18111.062195466584</v>
      </c>
      <c r="AT190" s="363">
        <f t="shared" ca="1" si="209"/>
        <v>-21692.224581581188</v>
      </c>
      <c r="AU190" s="363">
        <f t="shared" ca="1" si="209"/>
        <v>-25273.386967696071</v>
      </c>
      <c r="AV190" s="363">
        <f t="shared" ca="1" si="209"/>
        <v>-28854.549353810431</v>
      </c>
      <c r="AW190" s="363">
        <f t="shared" ca="1" si="209"/>
        <v>-32435.711739924052</v>
      </c>
      <c r="AX190" s="363">
        <f t="shared" ca="1" si="209"/>
        <v>-36016.87412603858</v>
      </c>
      <c r="AY190" s="363">
        <f t="shared" ca="1" si="209"/>
        <v>-39598.036512153674</v>
      </c>
      <c r="AZ190" s="363">
        <f t="shared" ca="1" si="209"/>
        <v>-43179.198898268347</v>
      </c>
      <c r="BA190" s="948">
        <f t="shared" ca="1" si="209"/>
        <v>-46760.361284382641</v>
      </c>
      <c r="BB190" s="363">
        <f t="shared" ca="1" si="209"/>
        <v>29867.288923848144</v>
      </c>
      <c r="BC190" s="363">
        <f t="shared" ca="1" si="209"/>
        <v>-20409.596645167472</v>
      </c>
      <c r="BD190" s="363">
        <f t="shared" ca="1" si="209"/>
        <v>-23972.30968395733</v>
      </c>
      <c r="BE190" s="363">
        <f t="shared" ca="1" si="209"/>
        <v>-31039.451809512771</v>
      </c>
      <c r="BF190" s="363">
        <f t="shared" ca="1" si="209"/>
        <v>-35746.529607585428</v>
      </c>
      <c r="BG190" s="363">
        <f t="shared" ca="1" si="209"/>
        <v>-40453.60740565868</v>
      </c>
      <c r="BH190" s="363">
        <f t="shared" ca="1" si="209"/>
        <v>-45160.685203732428</v>
      </c>
      <c r="BI190" s="363">
        <f t="shared" ca="1" si="209"/>
        <v>-49867.763001805746</v>
      </c>
      <c r="BJ190" s="363">
        <f t="shared" ca="1" si="209"/>
        <v>-54574.840799878497</v>
      </c>
      <c r="BK190" s="363">
        <f t="shared" ca="1" si="209"/>
        <v>-59281.918597951342</v>
      </c>
      <c r="BL190" s="363">
        <f t="shared" ca="1" si="209"/>
        <v>-63988.996396023053</v>
      </c>
      <c r="BM190" s="948">
        <f t="shared" ca="1" si="209"/>
        <v>-68696.074194095578</v>
      </c>
      <c r="BN190" s="363">
        <f t="shared" ca="1" si="209"/>
        <v>-4994.0552795061521</v>
      </c>
      <c r="BO190" s="363">
        <f t="shared" ca="1" si="209"/>
        <v>-50503.962147317448</v>
      </c>
      <c r="BP190" s="363">
        <f t="shared" ca="1" si="209"/>
        <v>-59887.400023684793</v>
      </c>
      <c r="BQ190" s="363">
        <f t="shared" ca="1" si="209"/>
        <v>-66675.549595899793</v>
      </c>
      <c r="BR190" s="363">
        <f t="shared" ca="1" si="209"/>
        <v>-70440.886156366701</v>
      </c>
      <c r="BS190" s="363">
        <f t="shared" ca="1" si="209"/>
        <v>-74206.2227168315</v>
      </c>
      <c r="BT190" s="363">
        <f t="shared" ca="1" si="209"/>
        <v>-77971.559277300054</v>
      </c>
      <c r="BU190" s="363">
        <f t="shared" ca="1" si="209"/>
        <v>-81736.895837764561</v>
      </c>
      <c r="BV190" s="363">
        <f t="shared" ca="1" si="209"/>
        <v>-85502.232398233304</v>
      </c>
      <c r="BW190" s="363">
        <f t="shared" ca="1" si="209"/>
        <v>-89267.568958698204</v>
      </c>
      <c r="BX190" s="363">
        <f t="shared" ca="1" si="209"/>
        <v>-93032.905519164837</v>
      </c>
      <c r="BY190" s="948">
        <f t="shared" ca="1" si="209"/>
        <v>-96798.242079633332</v>
      </c>
      <c r="BZ190" s="653">
        <f ca="1">ROUND(SUM(H190:M190)-SUM(Q190:BY190),0)</f>
        <v>0</v>
      </c>
    </row>
    <row r="191" spans="2:78" s="359" customFormat="1">
      <c r="B191" s="358"/>
      <c r="D191" s="366"/>
      <c r="F191" s="366"/>
      <c r="G191" s="366"/>
      <c r="N191" s="366"/>
      <c r="O191" s="365"/>
      <c r="P191" s="366"/>
      <c r="Q191" s="366"/>
      <c r="R191" s="1271"/>
      <c r="AC191" s="947"/>
      <c r="AO191" s="947"/>
      <c r="BA191" s="947"/>
      <c r="BM191" s="947"/>
      <c r="BY191" s="947"/>
      <c r="BZ191" s="652"/>
    </row>
    <row r="192" spans="2:78" s="366" customFormat="1">
      <c r="B192" s="365"/>
      <c r="E192" s="366" t="s">
        <v>1692</v>
      </c>
      <c r="H192" s="1941">
        <f>IF(Type="DeNovo",0, '1.3 EssBS'!D9)</f>
        <v>0</v>
      </c>
      <c r="I192" s="366">
        <f ca="1">H194</f>
        <v>1142652.855904141</v>
      </c>
      <c r="J192" s="366">
        <f ca="1">I194</f>
        <v>514799.51442628563</v>
      </c>
      <c r="K192" s="366">
        <f ca="1">J194</f>
        <v>407144.54878236272</v>
      </c>
      <c r="L192" s="366">
        <f ca="1">K194</f>
        <v>527898.03262117214</v>
      </c>
      <c r="M192" s="366">
        <f ca="1">L194</f>
        <v>642887.45321286656</v>
      </c>
      <c r="O192" s="365"/>
      <c r="Q192" s="366">
        <f>H192</f>
        <v>0</v>
      </c>
      <c r="R192" s="1271">
        <f ca="1">Q194</f>
        <v>1142652.855904141</v>
      </c>
      <c r="S192" s="366">
        <f t="shared" ref="S192:BY192" ca="1" si="210">R194</f>
        <v>1077032.9188895817</v>
      </c>
      <c r="T192" s="366">
        <f t="shared" ca="1" si="210"/>
        <v>975154.99557161517</v>
      </c>
      <c r="U192" s="366">
        <f t="shared" ca="1" si="210"/>
        <v>870200.50092396874</v>
      </c>
      <c r="V192" s="366">
        <f t="shared" ca="1" si="210"/>
        <v>762169.43494664226</v>
      </c>
      <c r="W192" s="366">
        <f t="shared" ca="1" si="210"/>
        <v>651061.79763963586</v>
      </c>
      <c r="X192" s="366">
        <f t="shared" ca="1" si="210"/>
        <v>536877.58900294965</v>
      </c>
      <c r="Y192" s="366">
        <f t="shared" ca="1" si="210"/>
        <v>417269.2534810279</v>
      </c>
      <c r="Z192" s="366">
        <f t="shared" ca="1" si="210"/>
        <v>461718.92746815918</v>
      </c>
      <c r="AA192" s="366">
        <f t="shared" ca="1" si="210"/>
        <v>581112.59756368678</v>
      </c>
      <c r="AB192" s="366">
        <f t="shared" ca="1" si="210"/>
        <v>552578.61893279839</v>
      </c>
      <c r="AC192" s="947">
        <f t="shared" ca="1" si="210"/>
        <v>530185.96159070183</v>
      </c>
      <c r="AD192" s="366">
        <f t="shared" ca="1" si="210"/>
        <v>514799.51442628581</v>
      </c>
      <c r="AE192" s="366">
        <f t="shared" ca="1" si="210"/>
        <v>496154.15652219392</v>
      </c>
      <c r="AF192" s="366">
        <f t="shared" ca="1" si="210"/>
        <v>459538.4718540982</v>
      </c>
      <c r="AG192" s="366">
        <f t="shared" ca="1" si="210"/>
        <v>428525.37017771741</v>
      </c>
      <c r="AH192" s="366">
        <f t="shared" ca="1" si="210"/>
        <v>405600.90418501419</v>
      </c>
      <c r="AI192" s="366">
        <f t="shared" ca="1" si="210"/>
        <v>389637.50630381319</v>
      </c>
      <c r="AJ192" s="366">
        <f t="shared" ca="1" si="210"/>
        <v>380635.17653411441</v>
      </c>
      <c r="AK192" s="366">
        <f t="shared" ca="1" si="210"/>
        <v>378593.91487591801</v>
      </c>
      <c r="AL192" s="366">
        <f t="shared" ca="1" si="210"/>
        <v>383513.72132922371</v>
      </c>
      <c r="AM192" s="366">
        <f t="shared" ca="1" si="210"/>
        <v>389421.42819250858</v>
      </c>
      <c r="AN192" s="366">
        <f t="shared" ca="1" si="210"/>
        <v>395329.13505579339</v>
      </c>
      <c r="AO192" s="947">
        <f t="shared" ca="1" si="210"/>
        <v>401236.84191907826</v>
      </c>
      <c r="AP192" s="366">
        <f t="shared" ca="1" si="210"/>
        <v>407144.54878236307</v>
      </c>
      <c r="AQ192" s="366">
        <f t="shared" ca="1" si="210"/>
        <v>486430.92697901849</v>
      </c>
      <c r="AR192" s="366">
        <f t="shared" ca="1" si="210"/>
        <v>490200.66385557794</v>
      </c>
      <c r="AS192" s="366">
        <f t="shared" ca="1" si="210"/>
        <v>493970.40073213738</v>
      </c>
      <c r="AT192" s="366">
        <f t="shared" ca="1" si="210"/>
        <v>497740.13760869694</v>
      </c>
      <c r="AU192" s="366">
        <f t="shared" ca="1" si="210"/>
        <v>501509.87448525627</v>
      </c>
      <c r="AV192" s="366">
        <f t="shared" ca="1" si="210"/>
        <v>505279.61136181571</v>
      </c>
      <c r="AW192" s="366">
        <f t="shared" ca="1" si="210"/>
        <v>509049.34823837515</v>
      </c>
      <c r="AX192" s="366">
        <f t="shared" ca="1" si="210"/>
        <v>512819.0851149346</v>
      </c>
      <c r="AY192" s="366">
        <f t="shared" ca="1" si="210"/>
        <v>516588.82199149393</v>
      </c>
      <c r="AZ192" s="366">
        <f t="shared" ca="1" si="210"/>
        <v>520358.55886805349</v>
      </c>
      <c r="BA192" s="947">
        <f t="shared" ca="1" si="210"/>
        <v>524128.29574461281</v>
      </c>
      <c r="BB192" s="366">
        <f t="shared" ca="1" si="210"/>
        <v>527898.03262117226</v>
      </c>
      <c r="BC192" s="366">
        <f t="shared" ca="1" si="210"/>
        <v>601014.46192955307</v>
      </c>
      <c r="BD192" s="366">
        <f t="shared" ca="1" si="210"/>
        <v>604821.09750076348</v>
      </c>
      <c r="BE192" s="366">
        <f t="shared" ca="1" si="210"/>
        <v>608627.7330719739</v>
      </c>
      <c r="BF192" s="366">
        <f t="shared" ca="1" si="210"/>
        <v>612434.36864318408</v>
      </c>
      <c r="BG192" s="366">
        <f t="shared" ca="1" si="210"/>
        <v>616241.00421439449</v>
      </c>
      <c r="BH192" s="366">
        <f t="shared" ca="1" si="210"/>
        <v>620047.63978560478</v>
      </c>
      <c r="BI192" s="366">
        <f t="shared" ca="1" si="210"/>
        <v>623854.2753568152</v>
      </c>
      <c r="BJ192" s="366">
        <f t="shared" ca="1" si="210"/>
        <v>627660.91092802538</v>
      </c>
      <c r="BK192" s="366">
        <f t="shared" ca="1" si="210"/>
        <v>631467.54649923579</v>
      </c>
      <c r="BL192" s="366">
        <f t="shared" ca="1" si="210"/>
        <v>635274.18207044632</v>
      </c>
      <c r="BM192" s="947">
        <f t="shared" ca="1" si="210"/>
        <v>639080.81764165638</v>
      </c>
      <c r="BN192" s="366">
        <f t="shared" ca="1" si="210"/>
        <v>642887.45321286691</v>
      </c>
      <c r="BO192" s="366">
        <f t="shared" ca="1" si="210"/>
        <v>705568.88967371802</v>
      </c>
      <c r="BP192" s="366">
        <f t="shared" ca="1" si="210"/>
        <v>708380.00451444276</v>
      </c>
      <c r="BQ192" s="366">
        <f t="shared" ca="1" si="210"/>
        <v>711191.1193551675</v>
      </c>
      <c r="BR192" s="366">
        <f t="shared" ca="1" si="210"/>
        <v>714002.23419589247</v>
      </c>
      <c r="BS192" s="366">
        <f t="shared" ca="1" si="210"/>
        <v>716813.3490366172</v>
      </c>
      <c r="BT192" s="366">
        <f t="shared" ca="1" si="210"/>
        <v>719624.46387734194</v>
      </c>
      <c r="BU192" s="366">
        <f t="shared" ca="1" si="210"/>
        <v>722435.57871806668</v>
      </c>
      <c r="BV192" s="366">
        <f t="shared" ca="1" si="210"/>
        <v>725246.69355879165</v>
      </c>
      <c r="BW192" s="366">
        <f t="shared" ca="1" si="210"/>
        <v>728057.80839951639</v>
      </c>
      <c r="BX192" s="366">
        <f t="shared" ca="1" si="210"/>
        <v>730868.92324024113</v>
      </c>
      <c r="BY192" s="947">
        <f t="shared" ca="1" si="210"/>
        <v>733680.03808096587</v>
      </c>
      <c r="BZ192" s="655"/>
    </row>
    <row r="193" spans="2:78" s="359" customFormat="1">
      <c r="B193" s="358"/>
      <c r="D193" s="366"/>
      <c r="E193" s="359" t="s">
        <v>1691</v>
      </c>
      <c r="F193" s="366"/>
      <c r="G193" s="366"/>
      <c r="H193" s="359">
        <f t="shared" ref="H193:M193" ca="1" si="211">H184+H186+H190</f>
        <v>1142652.855904141</v>
      </c>
      <c r="I193" s="359">
        <f t="shared" si="211"/>
        <v>-627853.34147785534</v>
      </c>
      <c r="J193" s="359">
        <f t="shared" ca="1" si="211"/>
        <v>-107654.96564392291</v>
      </c>
      <c r="K193" s="359">
        <f t="shared" ca="1" si="211"/>
        <v>120753.48383880942</v>
      </c>
      <c r="L193" s="359">
        <f t="shared" ca="1" si="211"/>
        <v>114989.42059169442</v>
      </c>
      <c r="M193" s="359">
        <f t="shared" ca="1" si="211"/>
        <v>93603.699708824977</v>
      </c>
      <c r="N193" s="366"/>
      <c r="O193" s="365"/>
      <c r="P193" s="366"/>
      <c r="Q193" s="366">
        <f ca="1">Q184+Q186+Q190</f>
        <v>1142652.855904141</v>
      </c>
      <c r="R193" s="1271">
        <f>R184+R186+R190</f>
        <v>-65619.937014559255</v>
      </c>
      <c r="S193" s="359">
        <f t="shared" ref="S193:BY193" si="212">S184+S186+S190</f>
        <v>-101877.92331796656</v>
      </c>
      <c r="T193" s="359">
        <f t="shared" si="212"/>
        <v>-104954.49464764647</v>
      </c>
      <c r="U193" s="359">
        <f t="shared" si="212"/>
        <v>-108031.06597732642</v>
      </c>
      <c r="V193" s="359">
        <f t="shared" si="212"/>
        <v>-111107.63730700634</v>
      </c>
      <c r="W193" s="359">
        <f t="shared" si="212"/>
        <v>-114184.20863668626</v>
      </c>
      <c r="X193" s="359">
        <f t="shared" si="212"/>
        <v>-119608.33552192175</v>
      </c>
      <c r="Y193" s="359">
        <f t="shared" si="212"/>
        <v>44449.673987131282</v>
      </c>
      <c r="Z193" s="359">
        <f t="shared" si="212"/>
        <v>119393.67009552756</v>
      </c>
      <c r="AA193" s="359">
        <f t="shared" si="212"/>
        <v>-28533.978630888341</v>
      </c>
      <c r="AB193" s="359">
        <f t="shared" si="212"/>
        <v>-22392.657342096569</v>
      </c>
      <c r="AC193" s="947">
        <f t="shared" si="212"/>
        <v>-15386.447164416029</v>
      </c>
      <c r="AD193" s="359">
        <f t="shared" si="212"/>
        <v>-18645.357904091856</v>
      </c>
      <c r="AE193" s="359">
        <f t="shared" si="212"/>
        <v>-36615.684668095746</v>
      </c>
      <c r="AF193" s="359">
        <f t="shared" si="212"/>
        <v>-31013.101676380789</v>
      </c>
      <c r="AG193" s="359">
        <f t="shared" si="212"/>
        <v>-22924.465992703237</v>
      </c>
      <c r="AH193" s="359">
        <f t="shared" si="212"/>
        <v>-15963.397881201021</v>
      </c>
      <c r="AI193" s="359">
        <f t="shared" si="212"/>
        <v>-9002.3297696987938</v>
      </c>
      <c r="AJ193" s="359">
        <f t="shared" si="212"/>
        <v>-2041.2616581963748</v>
      </c>
      <c r="AK193" s="359">
        <f t="shared" ca="1" si="212"/>
        <v>4919.8064533057041</v>
      </c>
      <c r="AL193" s="359">
        <f t="shared" ca="1" si="212"/>
        <v>5907.7068632848677</v>
      </c>
      <c r="AM193" s="359">
        <f t="shared" ca="1" si="212"/>
        <v>5907.7068632848095</v>
      </c>
      <c r="AN193" s="359">
        <f t="shared" ca="1" si="212"/>
        <v>5907.7068632848677</v>
      </c>
      <c r="AO193" s="947">
        <f t="shared" ca="1" si="212"/>
        <v>5907.7068632848095</v>
      </c>
      <c r="AP193" s="359">
        <f t="shared" ca="1" si="212"/>
        <v>79286.378196655423</v>
      </c>
      <c r="AQ193" s="359">
        <f t="shared" ca="1" si="212"/>
        <v>3769.7368765594438</v>
      </c>
      <c r="AR193" s="359">
        <f t="shared" ca="1" si="212"/>
        <v>3769.7368765594438</v>
      </c>
      <c r="AS193" s="359">
        <f t="shared" ca="1" si="212"/>
        <v>3769.7368765595602</v>
      </c>
      <c r="AT193" s="359">
        <f t="shared" ca="1" si="212"/>
        <v>3769.7368765593274</v>
      </c>
      <c r="AU193" s="359">
        <f t="shared" ca="1" si="212"/>
        <v>3769.7368765594438</v>
      </c>
      <c r="AV193" s="359">
        <f t="shared" ca="1" si="212"/>
        <v>3769.7368765594438</v>
      </c>
      <c r="AW193" s="359">
        <f t="shared" ca="1" si="212"/>
        <v>3769.7368765594438</v>
      </c>
      <c r="AX193" s="359">
        <f t="shared" ca="1" si="212"/>
        <v>3769.7368765593274</v>
      </c>
      <c r="AY193" s="359">
        <f t="shared" ca="1" si="212"/>
        <v>3769.7368765595602</v>
      </c>
      <c r="AZ193" s="359">
        <f t="shared" ca="1" si="212"/>
        <v>3769.7368765593274</v>
      </c>
      <c r="BA193" s="947">
        <f t="shared" ca="1" si="212"/>
        <v>3769.7368765594438</v>
      </c>
      <c r="BB193" s="359">
        <f t="shared" ca="1" si="212"/>
        <v>73116.429308380815</v>
      </c>
      <c r="BC193" s="359">
        <f t="shared" ca="1" si="212"/>
        <v>3806.6355712104123</v>
      </c>
      <c r="BD193" s="359">
        <f t="shared" ca="1" si="212"/>
        <v>3806.6355712104123</v>
      </c>
      <c r="BE193" s="359">
        <f t="shared" ca="1" si="212"/>
        <v>3806.6355712101795</v>
      </c>
      <c r="BF193" s="359">
        <f t="shared" ca="1" si="212"/>
        <v>3806.6355712104123</v>
      </c>
      <c r="BG193" s="359">
        <f t="shared" ca="1" si="212"/>
        <v>3806.6355712102959</v>
      </c>
      <c r="BH193" s="359">
        <f t="shared" ca="1" si="212"/>
        <v>3806.6355712104123</v>
      </c>
      <c r="BI193" s="359">
        <f t="shared" ca="1" si="212"/>
        <v>3806.6355712101795</v>
      </c>
      <c r="BJ193" s="359">
        <f t="shared" ca="1" si="212"/>
        <v>3806.6355712104123</v>
      </c>
      <c r="BK193" s="359">
        <f t="shared" ca="1" si="212"/>
        <v>3806.6355712105287</v>
      </c>
      <c r="BL193" s="359">
        <f t="shared" ca="1" si="212"/>
        <v>3806.6355712100631</v>
      </c>
      <c r="BM193" s="947">
        <f t="shared" ca="1" si="212"/>
        <v>3806.6355712105287</v>
      </c>
      <c r="BN193" s="359">
        <f t="shared" ca="1" si="212"/>
        <v>62681.43646085111</v>
      </c>
      <c r="BO193" s="359">
        <f t="shared" ca="1" si="212"/>
        <v>2811.1148407247383</v>
      </c>
      <c r="BP193" s="359">
        <f t="shared" ca="1" si="212"/>
        <v>2811.1148407247383</v>
      </c>
      <c r="BQ193" s="359">
        <f t="shared" ca="1" si="212"/>
        <v>2811.1148407249711</v>
      </c>
      <c r="BR193" s="359">
        <f t="shared" ca="1" si="212"/>
        <v>2811.1148407247383</v>
      </c>
      <c r="BS193" s="359">
        <f t="shared" ca="1" si="212"/>
        <v>2811.1148407247383</v>
      </c>
      <c r="BT193" s="359">
        <f t="shared" ca="1" si="212"/>
        <v>2811.1148407247383</v>
      </c>
      <c r="BU193" s="359">
        <f t="shared" ca="1" si="212"/>
        <v>2811.1148407249711</v>
      </c>
      <c r="BV193" s="359">
        <f t="shared" ca="1" si="212"/>
        <v>2811.1148407247383</v>
      </c>
      <c r="BW193" s="359">
        <f t="shared" ca="1" si="212"/>
        <v>2811.1148407247383</v>
      </c>
      <c r="BX193" s="359">
        <f t="shared" ca="1" si="212"/>
        <v>2811.1148407247383</v>
      </c>
      <c r="BY193" s="947">
        <f t="shared" ca="1" si="212"/>
        <v>2811.1148407247383</v>
      </c>
      <c r="BZ193" s="652">
        <f ca="1">ROUND(SUM(H193:M193)-SUM(Q193:BY193),0)</f>
        <v>0</v>
      </c>
    </row>
    <row r="194" spans="2:78" s="363" customFormat="1" ht="12" thickBot="1">
      <c r="B194" s="362"/>
      <c r="D194" s="368"/>
      <c r="E194" s="363" t="s">
        <v>1693</v>
      </c>
      <c r="F194" s="368"/>
      <c r="G194" s="368"/>
      <c r="H194" s="369">
        <f t="shared" ref="H194:M194" ca="1" si="213">H193+H192</f>
        <v>1142652.855904141</v>
      </c>
      <c r="I194" s="369">
        <f t="shared" ca="1" si="213"/>
        <v>514799.51442628563</v>
      </c>
      <c r="J194" s="369">
        <f t="shared" ca="1" si="213"/>
        <v>407144.54878236272</v>
      </c>
      <c r="K194" s="369">
        <f t="shared" ca="1" si="213"/>
        <v>527898.03262117214</v>
      </c>
      <c r="L194" s="369">
        <f t="shared" ca="1" si="213"/>
        <v>642887.45321286656</v>
      </c>
      <c r="M194" s="369">
        <f t="shared" ca="1" si="213"/>
        <v>736491.15292169154</v>
      </c>
      <c r="N194" s="368"/>
      <c r="O194" s="367"/>
      <c r="P194" s="368"/>
      <c r="Q194" s="369">
        <f ca="1">Q193+Q192</f>
        <v>1142652.855904141</v>
      </c>
      <c r="R194" s="1273">
        <f ca="1">R193+R192</f>
        <v>1077032.9188895817</v>
      </c>
      <c r="S194" s="369">
        <f t="shared" ref="S194:BY194" ca="1" si="214">S193+S192</f>
        <v>975154.99557161517</v>
      </c>
      <c r="T194" s="369">
        <f t="shared" ca="1" si="214"/>
        <v>870200.50092396874</v>
      </c>
      <c r="U194" s="369">
        <f t="shared" ca="1" si="214"/>
        <v>762169.43494664226</v>
      </c>
      <c r="V194" s="369">
        <f t="shared" ca="1" si="214"/>
        <v>651061.79763963586</v>
      </c>
      <c r="W194" s="369">
        <f t="shared" ca="1" si="214"/>
        <v>536877.58900294965</v>
      </c>
      <c r="X194" s="369">
        <f t="shared" ca="1" si="214"/>
        <v>417269.2534810279</v>
      </c>
      <c r="Y194" s="369">
        <f t="shared" ca="1" si="214"/>
        <v>461718.92746815918</v>
      </c>
      <c r="Z194" s="369">
        <f t="shared" ca="1" si="214"/>
        <v>581112.59756368678</v>
      </c>
      <c r="AA194" s="369">
        <f t="shared" ca="1" si="214"/>
        <v>552578.61893279839</v>
      </c>
      <c r="AB194" s="369">
        <f t="shared" ca="1" si="214"/>
        <v>530185.96159070183</v>
      </c>
      <c r="AC194" s="950">
        <f t="shared" ca="1" si="214"/>
        <v>514799.51442628581</v>
      </c>
      <c r="AD194" s="369">
        <f t="shared" ca="1" si="214"/>
        <v>496154.15652219392</v>
      </c>
      <c r="AE194" s="369">
        <f t="shared" ca="1" si="214"/>
        <v>459538.4718540982</v>
      </c>
      <c r="AF194" s="369">
        <f t="shared" ca="1" si="214"/>
        <v>428525.37017771741</v>
      </c>
      <c r="AG194" s="369">
        <f t="shared" ca="1" si="214"/>
        <v>405600.90418501419</v>
      </c>
      <c r="AH194" s="369">
        <f t="shared" ca="1" si="214"/>
        <v>389637.50630381319</v>
      </c>
      <c r="AI194" s="369">
        <f t="shared" ca="1" si="214"/>
        <v>380635.17653411441</v>
      </c>
      <c r="AJ194" s="369">
        <f t="shared" ca="1" si="214"/>
        <v>378593.91487591801</v>
      </c>
      <c r="AK194" s="369">
        <f t="shared" ca="1" si="214"/>
        <v>383513.72132922371</v>
      </c>
      <c r="AL194" s="369">
        <f t="shared" ca="1" si="214"/>
        <v>389421.42819250858</v>
      </c>
      <c r="AM194" s="369">
        <f t="shared" ca="1" si="214"/>
        <v>395329.13505579339</v>
      </c>
      <c r="AN194" s="369">
        <f t="shared" ca="1" si="214"/>
        <v>401236.84191907826</v>
      </c>
      <c r="AO194" s="950">
        <f t="shared" ca="1" si="214"/>
        <v>407144.54878236307</v>
      </c>
      <c r="AP194" s="369">
        <f t="shared" ca="1" si="214"/>
        <v>486430.92697901849</v>
      </c>
      <c r="AQ194" s="369">
        <f t="shared" ca="1" si="214"/>
        <v>490200.66385557794</v>
      </c>
      <c r="AR194" s="369">
        <f t="shared" ca="1" si="214"/>
        <v>493970.40073213738</v>
      </c>
      <c r="AS194" s="369">
        <f t="shared" ca="1" si="214"/>
        <v>497740.13760869694</v>
      </c>
      <c r="AT194" s="369">
        <f t="shared" ca="1" si="214"/>
        <v>501509.87448525627</v>
      </c>
      <c r="AU194" s="369">
        <f t="shared" ca="1" si="214"/>
        <v>505279.61136181571</v>
      </c>
      <c r="AV194" s="369">
        <f t="shared" ca="1" si="214"/>
        <v>509049.34823837515</v>
      </c>
      <c r="AW194" s="369">
        <f t="shared" ca="1" si="214"/>
        <v>512819.0851149346</v>
      </c>
      <c r="AX194" s="369">
        <f t="shared" ca="1" si="214"/>
        <v>516588.82199149393</v>
      </c>
      <c r="AY194" s="369">
        <f t="shared" ca="1" si="214"/>
        <v>520358.55886805349</v>
      </c>
      <c r="AZ194" s="369">
        <f t="shared" ca="1" si="214"/>
        <v>524128.29574461281</v>
      </c>
      <c r="BA194" s="950">
        <f t="shared" ca="1" si="214"/>
        <v>527898.03262117226</v>
      </c>
      <c r="BB194" s="369">
        <f t="shared" ca="1" si="214"/>
        <v>601014.46192955307</v>
      </c>
      <c r="BC194" s="369">
        <f t="shared" ca="1" si="214"/>
        <v>604821.09750076348</v>
      </c>
      <c r="BD194" s="369">
        <f t="shared" ca="1" si="214"/>
        <v>608627.7330719739</v>
      </c>
      <c r="BE194" s="369">
        <f t="shared" ca="1" si="214"/>
        <v>612434.36864318408</v>
      </c>
      <c r="BF194" s="369">
        <f t="shared" ca="1" si="214"/>
        <v>616241.00421439449</v>
      </c>
      <c r="BG194" s="369">
        <f t="shared" ca="1" si="214"/>
        <v>620047.63978560478</v>
      </c>
      <c r="BH194" s="369">
        <f t="shared" ca="1" si="214"/>
        <v>623854.2753568152</v>
      </c>
      <c r="BI194" s="369">
        <f t="shared" ca="1" si="214"/>
        <v>627660.91092802538</v>
      </c>
      <c r="BJ194" s="369">
        <f t="shared" ca="1" si="214"/>
        <v>631467.54649923579</v>
      </c>
      <c r="BK194" s="369">
        <f t="shared" ca="1" si="214"/>
        <v>635274.18207044632</v>
      </c>
      <c r="BL194" s="369">
        <f t="shared" ca="1" si="214"/>
        <v>639080.81764165638</v>
      </c>
      <c r="BM194" s="950">
        <f t="shared" ca="1" si="214"/>
        <v>642887.45321286691</v>
      </c>
      <c r="BN194" s="369">
        <f t="shared" ca="1" si="214"/>
        <v>705568.88967371802</v>
      </c>
      <c r="BO194" s="369">
        <f t="shared" ca="1" si="214"/>
        <v>708380.00451444276</v>
      </c>
      <c r="BP194" s="369">
        <f t="shared" ca="1" si="214"/>
        <v>711191.1193551675</v>
      </c>
      <c r="BQ194" s="369">
        <f t="shared" ca="1" si="214"/>
        <v>714002.23419589247</v>
      </c>
      <c r="BR194" s="369">
        <f t="shared" ca="1" si="214"/>
        <v>716813.3490366172</v>
      </c>
      <c r="BS194" s="369">
        <f t="shared" ca="1" si="214"/>
        <v>719624.46387734194</v>
      </c>
      <c r="BT194" s="369">
        <f t="shared" ca="1" si="214"/>
        <v>722435.57871806668</v>
      </c>
      <c r="BU194" s="369">
        <f t="shared" ca="1" si="214"/>
        <v>725246.69355879165</v>
      </c>
      <c r="BV194" s="369">
        <f t="shared" ca="1" si="214"/>
        <v>728057.80839951639</v>
      </c>
      <c r="BW194" s="369">
        <f t="shared" ca="1" si="214"/>
        <v>730868.92324024113</v>
      </c>
      <c r="BX194" s="369">
        <f t="shared" ca="1" si="214"/>
        <v>733680.03808096587</v>
      </c>
      <c r="BY194" s="950">
        <f t="shared" ca="1" si="214"/>
        <v>736491.15292169061</v>
      </c>
      <c r="BZ194" s="653"/>
    </row>
    <row r="195" spans="2:78" s="655" customFormat="1" ht="12" outlineLevel="1" thickTop="1">
      <c r="B195" s="1110"/>
      <c r="E195" s="655" t="s">
        <v>1694</v>
      </c>
      <c r="H195" s="655">
        <f t="shared" ref="H195:M195" ca="1" si="215">H184+H186+H190-H193</f>
        <v>0</v>
      </c>
      <c r="I195" s="655">
        <f t="shared" si="215"/>
        <v>0</v>
      </c>
      <c r="J195" s="655">
        <f t="shared" ca="1" si="215"/>
        <v>0</v>
      </c>
      <c r="K195" s="655">
        <f t="shared" ca="1" si="215"/>
        <v>0</v>
      </c>
      <c r="L195" s="655">
        <f t="shared" ca="1" si="215"/>
        <v>0</v>
      </c>
      <c r="M195" s="655">
        <f t="shared" ca="1" si="215"/>
        <v>0</v>
      </c>
      <c r="O195" s="1110"/>
      <c r="Q195" s="655">
        <f t="shared" ref="Q195:BY195" ca="1" si="216">Q184+Q186+Q190-Q193</f>
        <v>0</v>
      </c>
      <c r="R195" s="655">
        <f t="shared" si="216"/>
        <v>0</v>
      </c>
      <c r="S195" s="655">
        <f t="shared" si="216"/>
        <v>0</v>
      </c>
      <c r="T195" s="655">
        <f t="shared" si="216"/>
        <v>0</v>
      </c>
      <c r="U195" s="655">
        <f t="shared" si="216"/>
        <v>0</v>
      </c>
      <c r="V195" s="655">
        <f t="shared" si="216"/>
        <v>0</v>
      </c>
      <c r="W195" s="655">
        <f t="shared" si="216"/>
        <v>0</v>
      </c>
      <c r="X195" s="655">
        <f t="shared" si="216"/>
        <v>0</v>
      </c>
      <c r="Y195" s="655">
        <f t="shared" si="216"/>
        <v>0</v>
      </c>
      <c r="Z195" s="655">
        <f t="shared" si="216"/>
        <v>0</v>
      </c>
      <c r="AA195" s="655">
        <f t="shared" si="216"/>
        <v>0</v>
      </c>
      <c r="AB195" s="655">
        <f t="shared" si="216"/>
        <v>0</v>
      </c>
      <c r="AC195" s="655">
        <f t="shared" si="216"/>
        <v>0</v>
      </c>
      <c r="AD195" s="655">
        <f t="shared" si="216"/>
        <v>0</v>
      </c>
      <c r="AE195" s="655">
        <f t="shared" si="216"/>
        <v>0</v>
      </c>
      <c r="AF195" s="655">
        <f t="shared" si="216"/>
        <v>0</v>
      </c>
      <c r="AG195" s="655">
        <f t="shared" si="216"/>
        <v>0</v>
      </c>
      <c r="AH195" s="655">
        <f t="shared" si="216"/>
        <v>0</v>
      </c>
      <c r="AI195" s="655">
        <f t="shared" si="216"/>
        <v>0</v>
      </c>
      <c r="AJ195" s="655">
        <f t="shared" si="216"/>
        <v>0</v>
      </c>
      <c r="AK195" s="655">
        <f t="shared" ca="1" si="216"/>
        <v>0</v>
      </c>
      <c r="AL195" s="655">
        <f t="shared" ca="1" si="216"/>
        <v>0</v>
      </c>
      <c r="AM195" s="655">
        <f t="shared" ca="1" si="216"/>
        <v>0</v>
      </c>
      <c r="AN195" s="655">
        <f t="shared" ca="1" si="216"/>
        <v>0</v>
      </c>
      <c r="AO195" s="655">
        <f t="shared" ca="1" si="216"/>
        <v>0</v>
      </c>
      <c r="AP195" s="655">
        <f t="shared" ca="1" si="216"/>
        <v>0</v>
      </c>
      <c r="AQ195" s="655">
        <f t="shared" ca="1" si="216"/>
        <v>0</v>
      </c>
      <c r="AR195" s="655">
        <f t="shared" ca="1" si="216"/>
        <v>0</v>
      </c>
      <c r="AS195" s="655">
        <f t="shared" ca="1" si="216"/>
        <v>0</v>
      </c>
      <c r="AT195" s="655">
        <f t="shared" ca="1" si="216"/>
        <v>0</v>
      </c>
      <c r="AU195" s="655">
        <f t="shared" ca="1" si="216"/>
        <v>0</v>
      </c>
      <c r="AV195" s="655">
        <f t="shared" ca="1" si="216"/>
        <v>0</v>
      </c>
      <c r="AW195" s="655">
        <f t="shared" ca="1" si="216"/>
        <v>0</v>
      </c>
      <c r="AX195" s="655">
        <f t="shared" ca="1" si="216"/>
        <v>0</v>
      </c>
      <c r="AY195" s="655">
        <f t="shared" ca="1" si="216"/>
        <v>0</v>
      </c>
      <c r="AZ195" s="655">
        <f t="shared" ca="1" si="216"/>
        <v>0</v>
      </c>
      <c r="BA195" s="655">
        <f t="shared" ca="1" si="216"/>
        <v>0</v>
      </c>
      <c r="BB195" s="655">
        <f t="shared" ca="1" si="216"/>
        <v>0</v>
      </c>
      <c r="BC195" s="655">
        <f t="shared" ca="1" si="216"/>
        <v>0</v>
      </c>
      <c r="BD195" s="655">
        <f t="shared" ca="1" si="216"/>
        <v>0</v>
      </c>
      <c r="BE195" s="655">
        <f t="shared" ca="1" si="216"/>
        <v>0</v>
      </c>
      <c r="BF195" s="655">
        <f t="shared" ca="1" si="216"/>
        <v>0</v>
      </c>
      <c r="BG195" s="655">
        <f t="shared" ca="1" si="216"/>
        <v>0</v>
      </c>
      <c r="BH195" s="655">
        <f t="shared" ca="1" si="216"/>
        <v>0</v>
      </c>
      <c r="BI195" s="655">
        <f t="shared" ca="1" si="216"/>
        <v>0</v>
      </c>
      <c r="BJ195" s="655">
        <f t="shared" ca="1" si="216"/>
        <v>0</v>
      </c>
      <c r="BK195" s="655">
        <f t="shared" ca="1" si="216"/>
        <v>0</v>
      </c>
      <c r="BL195" s="655">
        <f t="shared" ca="1" si="216"/>
        <v>0</v>
      </c>
      <c r="BM195" s="655">
        <f t="shared" ca="1" si="216"/>
        <v>0</v>
      </c>
      <c r="BN195" s="655">
        <f t="shared" ca="1" si="216"/>
        <v>0</v>
      </c>
      <c r="BO195" s="655">
        <f t="shared" ca="1" si="216"/>
        <v>0</v>
      </c>
      <c r="BP195" s="655">
        <f t="shared" ca="1" si="216"/>
        <v>0</v>
      </c>
      <c r="BQ195" s="655">
        <f t="shared" ca="1" si="216"/>
        <v>0</v>
      </c>
      <c r="BR195" s="655">
        <f t="shared" ca="1" si="216"/>
        <v>0</v>
      </c>
      <c r="BS195" s="655">
        <f t="shared" ca="1" si="216"/>
        <v>0</v>
      </c>
      <c r="BT195" s="655">
        <f t="shared" ca="1" si="216"/>
        <v>0</v>
      </c>
      <c r="BU195" s="655">
        <f t="shared" ca="1" si="216"/>
        <v>0</v>
      </c>
      <c r="BV195" s="655">
        <f t="shared" ca="1" si="216"/>
        <v>0</v>
      </c>
      <c r="BW195" s="655">
        <f t="shared" ca="1" si="216"/>
        <v>0</v>
      </c>
      <c r="BX195" s="655">
        <f t="shared" ca="1" si="216"/>
        <v>0</v>
      </c>
      <c r="BY195" s="655">
        <f t="shared" ca="1" si="216"/>
        <v>0</v>
      </c>
    </row>
    <row r="196" spans="2:78" s="366" customFormat="1">
      <c r="B196" s="365"/>
      <c r="O196" s="365"/>
    </row>
    <row r="197" spans="2:78" s="366" customFormat="1">
      <c r="B197" s="365"/>
      <c r="O197" s="365"/>
      <c r="Q197" s="1718"/>
    </row>
    <row r="198" spans="2:78" s="366" customFormat="1">
      <c r="B198" s="365"/>
      <c r="D198" s="656" t="s">
        <v>3464</v>
      </c>
      <c r="O198" s="365"/>
    </row>
    <row r="199" spans="2:78" s="366" customFormat="1">
      <c r="B199" s="365"/>
      <c r="O199" s="365"/>
    </row>
    <row r="200" spans="2:78" s="366" customFormat="1">
      <c r="B200" s="365"/>
      <c r="E200" s="366" t="s">
        <v>3465</v>
      </c>
      <c r="H200" s="657">
        <f>DVAOwnership</f>
        <v>0.6</v>
      </c>
      <c r="O200" s="365"/>
      <c r="Q200" s="1515"/>
    </row>
    <row r="201" spans="2:78" s="366" customFormat="1">
      <c r="B201" s="365"/>
      <c r="O201" s="365"/>
    </row>
    <row r="202" spans="2:78" s="366" customFormat="1">
      <c r="B202" s="365"/>
      <c r="E202" s="366" t="s">
        <v>3466</v>
      </c>
      <c r="H202" s="659">
        <f t="shared" ref="H202:M202" ca="1" si="217">-H189*$H$200</f>
        <v>-2143769.653166818</v>
      </c>
      <c r="I202" s="659">
        <f t="shared" si="217"/>
        <v>0</v>
      </c>
      <c r="J202" s="659">
        <f t="shared" ca="1" si="217"/>
        <v>39395.44768506346</v>
      </c>
      <c r="K202" s="659">
        <f t="shared" ca="1" si="217"/>
        <v>155693.68471562388</v>
      </c>
      <c r="L202" s="659">
        <f t="shared" ca="1" si="217"/>
        <v>277994.69065291208</v>
      </c>
      <c r="M202" s="659">
        <f t="shared" ca="1" si="217"/>
        <v>510610.48799424036</v>
      </c>
      <c r="O202" s="365"/>
    </row>
    <row r="203" spans="2:78" s="366" customFormat="1">
      <c r="B203" s="365"/>
      <c r="E203" s="366" t="s">
        <v>3122</v>
      </c>
      <c r="H203" s="659"/>
      <c r="I203" s="1516"/>
      <c r="J203" s="1516"/>
      <c r="K203" s="1516"/>
      <c r="L203" s="1516"/>
      <c r="M203" s="1516"/>
      <c r="O203" s="365"/>
      <c r="R203" s="366" t="s">
        <v>1939</v>
      </c>
    </row>
    <row r="204" spans="2:78" s="366" customFormat="1">
      <c r="B204" s="365"/>
      <c r="E204" s="366" t="s">
        <v>3467</v>
      </c>
      <c r="O204" s="365"/>
    </row>
    <row r="205" spans="2:78" s="366" customFormat="1">
      <c r="B205" s="365"/>
      <c r="E205" s="658"/>
      <c r="F205" s="366" t="s">
        <v>3468</v>
      </c>
      <c r="H205" s="659">
        <f>H232</f>
        <v>0</v>
      </c>
      <c r="I205" s="659">
        <f>I234*IF($Q$205="Yes",1,0)</f>
        <v>18400.935630749416</v>
      </c>
      <c r="J205" s="659">
        <f>J234*IF($Q$205="Yes",1,0)</f>
        <v>38443.310821512627</v>
      </c>
      <c r="K205" s="659">
        <f>K234*IF($Q$205="Yes",1,0)</f>
        <v>51834.508610595927</v>
      </c>
      <c r="L205" s="659">
        <f>L234*IF($Q$205="Yes",1,0)</f>
        <v>62179.685220697371</v>
      </c>
      <c r="M205" s="659">
        <f>M234*IF($Q$205="Yes",1,0)</f>
        <v>79304.153648466425</v>
      </c>
      <c r="O205" s="365"/>
      <c r="Q205" s="1513" t="s">
        <v>2150</v>
      </c>
      <c r="R205" s="366" t="s">
        <v>3670</v>
      </c>
    </row>
    <row r="206" spans="2:78" s="366" customFormat="1">
      <c r="B206" s="365"/>
      <c r="E206" s="658"/>
      <c r="F206" s="366" t="s">
        <v>3851</v>
      </c>
      <c r="H206" s="1851">
        <v>0</v>
      </c>
      <c r="I206" s="659">
        <f>'6. Market'!AE66*$Q$206*(1-I309)*IF($Q$207="Yes",1,0)</f>
        <v>0</v>
      </c>
      <c r="J206" s="659">
        <f>'6. Market'!AF66*$Q$206*(1-J309)*IF($Q$207="Yes",1,0)</f>
        <v>0</v>
      </c>
      <c r="K206" s="659">
        <f>'6. Market'!AG66*$Q$206*(1-K309)*IF($Q$207="Yes",1,0)</f>
        <v>0</v>
      </c>
      <c r="L206" s="659">
        <f>'6. Market'!AH66*$Q$206*(1-L309)*IF($Q$207="Yes",1,0)</f>
        <v>0</v>
      </c>
      <c r="M206" s="659">
        <f>'6. Market'!AI66*$Q$206*(1-M309)*IF($Q$207="Yes",1,0)</f>
        <v>0</v>
      </c>
      <c r="O206" s="365"/>
      <c r="Q206" s="1514">
        <v>5.25</v>
      </c>
      <c r="R206" s="366" t="s">
        <v>3692</v>
      </c>
    </row>
    <row r="207" spans="2:78" s="366" customFormat="1">
      <c r="B207" s="365"/>
      <c r="E207" s="658"/>
      <c r="F207" s="366" t="s">
        <v>1624</v>
      </c>
      <c r="H207" s="366">
        <f>PtrIS!P32*(1-H200)*0</f>
        <v>0</v>
      </c>
      <c r="O207" s="365"/>
      <c r="Q207" s="1513" t="s">
        <v>10</v>
      </c>
      <c r="R207" s="366" t="s">
        <v>3669</v>
      </c>
    </row>
    <row r="208" spans="2:78" s="366" customFormat="1">
      <c r="B208" s="365"/>
      <c r="E208" s="658"/>
      <c r="F208" s="366" t="s">
        <v>813</v>
      </c>
      <c r="H208" s="1851">
        <v>0</v>
      </c>
      <c r="I208" s="366">
        <v>0</v>
      </c>
      <c r="J208" s="366">
        <v>0</v>
      </c>
      <c r="K208" s="366">
        <v>0</v>
      </c>
      <c r="L208" s="366">
        <v>0</v>
      </c>
      <c r="M208" s="366">
        <v>0</v>
      </c>
      <c r="O208" s="365"/>
    </row>
    <row r="209" spans="2:78" s="366" customFormat="1" ht="12.75">
      <c r="B209" s="365"/>
      <c r="F209" s="366" t="s">
        <v>1621</v>
      </c>
      <c r="H209" s="659">
        <f t="shared" ref="H209:M209" si="218">-H310</f>
        <v>63515.555049733448</v>
      </c>
      <c r="I209" s="366">
        <f t="shared" si="218"/>
        <v>116435.39740427083</v>
      </c>
      <c r="J209" s="366">
        <f t="shared" si="218"/>
        <v>7386.4895507824831</v>
      </c>
      <c r="K209" s="366">
        <f t="shared" si="218"/>
        <v>-76215.417663983855</v>
      </c>
      <c r="L209" s="366">
        <f t="shared" si="218"/>
        <v>-135185.64762325407</v>
      </c>
      <c r="M209" s="1941">
        <f t="shared" si="218"/>
        <v>-224896.14865597198</v>
      </c>
      <c r="O209" s="365"/>
      <c r="Q209"/>
      <c r="R209"/>
      <c r="S209"/>
      <c r="T209"/>
      <c r="U209"/>
    </row>
    <row r="210" spans="2:78" s="366" customFormat="1" ht="12.75">
      <c r="B210" s="365"/>
      <c r="E210" s="366" t="s">
        <v>2363</v>
      </c>
      <c r="M210" s="366">
        <f>M96*H200*ExitMultiple</f>
        <v>4175470.8858545907</v>
      </c>
      <c r="O210" s="365"/>
      <c r="Q210"/>
      <c r="R210"/>
      <c r="S210"/>
      <c r="T210"/>
      <c r="U210"/>
    </row>
    <row r="211" spans="2:78" s="366" customFormat="1" ht="12.75">
      <c r="B211" s="365"/>
      <c r="E211" s="366" t="s">
        <v>2686</v>
      </c>
      <c r="H211" s="660">
        <f t="shared" ref="H211:M211" ca="1" si="219">SUM(H202:H210)</f>
        <v>-2080254.0981170845</v>
      </c>
      <c r="I211" s="660">
        <f t="shared" si="219"/>
        <v>134836.33303502025</v>
      </c>
      <c r="J211" s="660">
        <f t="shared" ca="1" si="219"/>
        <v>85225.248057358578</v>
      </c>
      <c r="K211" s="660">
        <f ca="1">SUM(K202:K210)</f>
        <v>131312.77566223594</v>
      </c>
      <c r="L211" s="660">
        <f t="shared" ca="1" si="219"/>
        <v>204988.72825035537</v>
      </c>
      <c r="M211" s="660">
        <f t="shared" ca="1" si="219"/>
        <v>4540489.3788413256</v>
      </c>
      <c r="O211" s="365"/>
      <c r="Q211"/>
      <c r="R211"/>
      <c r="S211"/>
      <c r="T211"/>
      <c r="U211"/>
    </row>
    <row r="212" spans="2:78" s="366" customFormat="1" ht="12.75" hidden="1" outlineLevel="1">
      <c r="B212" s="365"/>
      <c r="E212" s="366" t="s">
        <v>2687</v>
      </c>
      <c r="H212" s="366">
        <f ca="1">H211</f>
        <v>-2080254.0981170845</v>
      </c>
      <c r="I212" s="366">
        <f ca="1">I211*(1+IRR($H$211:$M$211))^0.5</f>
        <v>148395.19558881677</v>
      </c>
      <c r="J212" s="366">
        <f ca="1">J211*(1+IRR($H$211:$M$211))^0.5</f>
        <v>93795.322595226753</v>
      </c>
      <c r="K212" s="366">
        <f ca="1">K211*(1+IRR($H$211:$M$211))^0.5</f>
        <v>144517.31657999696</v>
      </c>
      <c r="L212" s="366">
        <f ca="1">L211*(1+IRR($H$211:$M$211))^0.5</f>
        <v>225601.97045935431</v>
      </c>
      <c r="M212" s="366">
        <f ca="1">M211*(1+IRR($H$211:$M$211))^0.5</f>
        <v>4997071.5924698506</v>
      </c>
      <c r="O212" s="365"/>
      <c r="Q212"/>
      <c r="R212"/>
      <c r="S212"/>
      <c r="T212"/>
      <c r="U212"/>
    </row>
    <row r="213" spans="2:78" ht="12.75" hidden="1" outlineLevel="1">
      <c r="B213" s="322"/>
      <c r="O213" s="636"/>
      <c r="Q213"/>
      <c r="R213"/>
      <c r="S213"/>
      <c r="T213"/>
      <c r="U213"/>
    </row>
    <row r="214" spans="2:78" hidden="1" outlineLevel="1">
      <c r="B214" s="322"/>
      <c r="D214" s="1742"/>
      <c r="E214" s="1874" t="s">
        <v>1383</v>
      </c>
      <c r="F214" s="1875"/>
      <c r="G214" s="1875"/>
      <c r="H214" s="1876">
        <f ca="1">IRR(H212:M212,0.1)</f>
        <v>0.23687218923568937</v>
      </c>
      <c r="I214" s="661">
        <f ca="1">IRR(H211:M211,0.1)</f>
        <v>0.21122775753082024</v>
      </c>
      <c r="J214" s="109" t="str">
        <f>E214&amp;" w/o midyr convention"</f>
        <v>IRR w/o midyr convention</v>
      </c>
      <c r="K214" s="374"/>
      <c r="L214" s="109" t="s">
        <v>195</v>
      </c>
      <c r="O214" s="636"/>
    </row>
    <row r="215" spans="2:78" hidden="1" outlineLevel="1">
      <c r="B215" s="322"/>
      <c r="D215" s="1742"/>
      <c r="E215" s="1877" t="s">
        <v>1758</v>
      </c>
      <c r="F215" s="1878"/>
      <c r="G215" s="1878"/>
      <c r="H215" s="1879">
        <f ca="1">NPV(0.12,H212:M212)</f>
        <v>1079219.6364474311</v>
      </c>
      <c r="I215" s="1873">
        <f ca="1">NPV(0.12,H211:M211)</f>
        <v>810903.59397131158</v>
      </c>
      <c r="J215" s="109" t="str">
        <f>E215&amp;" w/o midyr convention"</f>
        <v>NPV @ 12% w/o midyr convention</v>
      </c>
      <c r="O215" s="636"/>
    </row>
    <row r="216" spans="2:78" collapsed="1">
      <c r="B216" s="322"/>
      <c r="O216" s="636"/>
    </row>
    <row r="217" spans="2:78" s="192" customFormat="1">
      <c r="B217" s="322"/>
      <c r="C217" s="109"/>
      <c r="D217" s="373"/>
      <c r="E217" s="662"/>
      <c r="F217" s="373"/>
      <c r="G217" s="373"/>
      <c r="H217" s="647"/>
      <c r="I217" s="109"/>
      <c r="J217" s="109"/>
      <c r="K217" s="109"/>
      <c r="L217" s="109"/>
      <c r="M217" s="109"/>
      <c r="N217" s="373"/>
      <c r="O217" s="636"/>
      <c r="P217" s="373"/>
      <c r="Q217" s="373"/>
      <c r="R217" s="109"/>
      <c r="S217" s="109"/>
      <c r="T217" s="109"/>
      <c r="U217" s="109"/>
      <c r="V217" s="109"/>
      <c r="W217" s="109"/>
      <c r="X217" s="109"/>
      <c r="Y217" s="109"/>
      <c r="Z217" s="109"/>
      <c r="AA217" s="109"/>
      <c r="AB217" s="109"/>
      <c r="AC217" s="109"/>
      <c r="AD217" s="109"/>
      <c r="AE217" s="109"/>
      <c r="AF217" s="109"/>
      <c r="AG217" s="109"/>
      <c r="AH217" s="109"/>
      <c r="AI217" s="109"/>
      <c r="AJ217" s="109"/>
      <c r="AK217" s="109"/>
      <c r="AL217" s="109"/>
      <c r="AM217" s="109"/>
      <c r="AN217" s="109"/>
      <c r="AO217" s="109"/>
      <c r="AP217" s="109"/>
      <c r="AQ217" s="109"/>
      <c r="AR217" s="109"/>
      <c r="AS217" s="109"/>
      <c r="AT217" s="109"/>
      <c r="AU217" s="109"/>
      <c r="AV217" s="109"/>
      <c r="AW217" s="109"/>
      <c r="AX217" s="109"/>
      <c r="AY217" s="109"/>
      <c r="AZ217" s="109"/>
      <c r="BA217" s="109"/>
      <c r="BB217" s="109"/>
      <c r="BC217" s="109"/>
      <c r="BD217" s="109"/>
      <c r="BE217" s="109"/>
      <c r="BF217" s="109"/>
      <c r="BG217" s="109"/>
      <c r="BH217" s="109"/>
      <c r="BI217" s="109"/>
      <c r="BJ217" s="109"/>
      <c r="BK217" s="109"/>
      <c r="BL217" s="109"/>
      <c r="BM217" s="109"/>
      <c r="BN217" s="109"/>
      <c r="BO217" s="109"/>
      <c r="BP217" s="109"/>
      <c r="BQ217" s="109"/>
      <c r="BR217" s="109"/>
      <c r="BS217" s="109"/>
      <c r="BT217" s="109"/>
      <c r="BU217" s="109"/>
      <c r="BV217" s="109"/>
      <c r="BW217" s="109"/>
      <c r="BX217" s="109"/>
      <c r="BY217" s="109"/>
      <c r="BZ217" s="109"/>
    </row>
    <row r="218" spans="2:78" s="366" customFormat="1">
      <c r="B218" s="365"/>
      <c r="O218" s="365"/>
    </row>
    <row r="219" spans="2:78" s="366" customFormat="1">
      <c r="B219" s="365"/>
      <c r="O219" s="365"/>
    </row>
    <row r="220" spans="2:78" s="366" customFormat="1">
      <c r="B220" s="365"/>
      <c r="O220" s="365"/>
    </row>
    <row r="221" spans="2:78" s="366" customFormat="1">
      <c r="B221" s="365"/>
      <c r="D221" s="656" t="s">
        <v>3519</v>
      </c>
      <c r="O221" s="365"/>
    </row>
    <row r="222" spans="2:78" s="366" customFormat="1">
      <c r="B222" s="365"/>
      <c r="O222" s="365"/>
    </row>
    <row r="223" spans="2:78" s="366" customFormat="1">
      <c r="B223" s="365"/>
      <c r="E223" s="366" t="s">
        <v>1699</v>
      </c>
      <c r="I223" s="366">
        <f>I93</f>
        <v>86638.686051249024</v>
      </c>
      <c r="J223" s="366">
        <f>J93</f>
        <v>202595.31750252101</v>
      </c>
      <c r="K223" s="366">
        <f>K93</f>
        <v>290994.25692832656</v>
      </c>
      <c r="L223" s="366">
        <f>L93</f>
        <v>363369.42987766227</v>
      </c>
      <c r="M223" s="366">
        <f>M93</f>
        <v>438882.65213077783</v>
      </c>
      <c r="O223" s="365"/>
    </row>
    <row r="224" spans="2:78" s="366" customFormat="1">
      <c r="B224" s="365"/>
      <c r="O224" s="365"/>
    </row>
    <row r="225" spans="2:15" s="366" customFormat="1">
      <c r="B225" s="365"/>
      <c r="E225" s="366" t="s">
        <v>3522</v>
      </c>
      <c r="O225" s="365"/>
    </row>
    <row r="226" spans="2:15" s="366" customFormat="1">
      <c r="B226" s="365"/>
      <c r="F226" s="366" t="s">
        <v>4123</v>
      </c>
      <c r="I226" s="366">
        <f t="shared" ref="I226:M227" si="220">I237*I$64</f>
        <v>32602.440000000002</v>
      </c>
      <c r="J226" s="366">
        <f t="shared" si="220"/>
        <v>82481.084399999992</v>
      </c>
      <c r="K226" s="366">
        <f t="shared" si="220"/>
        <v>120701.169888</v>
      </c>
      <c r="L226" s="366">
        <f t="shared" si="220"/>
        <v>153297.35245890002</v>
      </c>
      <c r="M226" s="366">
        <f t="shared" si="220"/>
        <v>181493.72253171908</v>
      </c>
      <c r="O226" s="365"/>
    </row>
    <row r="227" spans="2:15" s="366" customFormat="1">
      <c r="B227" s="365"/>
      <c r="F227" s="366" t="s">
        <v>4124</v>
      </c>
      <c r="I227" s="366">
        <f t="shared" si="220"/>
        <v>16301.220000000001</v>
      </c>
      <c r="J227" s="366">
        <f t="shared" si="220"/>
        <v>41648.864399999991</v>
      </c>
      <c r="K227" s="366">
        <f t="shared" si="220"/>
        <v>61551.562175999999</v>
      </c>
      <c r="L227" s="366">
        <f t="shared" si="220"/>
        <v>78947.985495599991</v>
      </c>
      <c r="M227" s="366">
        <f t="shared" si="220"/>
        <v>94394.524823352025</v>
      </c>
      <c r="O227" s="365"/>
    </row>
    <row r="228" spans="2:15" s="366" customFormat="1">
      <c r="B228" s="365"/>
      <c r="F228" s="366" t="s">
        <v>3520</v>
      </c>
      <c r="I228" s="366">
        <f t="shared" ref="I228:M229" si="221">I239*I$65</f>
        <v>4711.1999999999989</v>
      </c>
      <c r="J228" s="366">
        <f t="shared" si="221"/>
        <v>9563.8919999999998</v>
      </c>
      <c r="K228" s="366">
        <f t="shared" si="221"/>
        <v>14802.263059999996</v>
      </c>
      <c r="L228" s="366">
        <f t="shared" si="221"/>
        <v>18146.073332399988</v>
      </c>
      <c r="M228" s="366">
        <f t="shared" si="221"/>
        <v>20275.544772443984</v>
      </c>
      <c r="O228" s="365"/>
    </row>
    <row r="229" spans="2:15" s="366" customFormat="1">
      <c r="B229" s="365"/>
      <c r="F229" s="366" t="s">
        <v>3521</v>
      </c>
      <c r="I229" s="364">
        <f t="shared" si="221"/>
        <v>2355.5999999999995</v>
      </c>
      <c r="J229" s="364">
        <f t="shared" si="221"/>
        <v>4829.2919999999995</v>
      </c>
      <c r="K229" s="364">
        <f t="shared" si="221"/>
        <v>7548.4141199999976</v>
      </c>
      <c r="L229" s="364">
        <f t="shared" si="221"/>
        <v>9345.2098895999934</v>
      </c>
      <c r="M229" s="364">
        <f t="shared" si="221"/>
        <v>10545.270589151991</v>
      </c>
      <c r="O229" s="365"/>
    </row>
    <row r="230" spans="2:15" s="366" customFormat="1">
      <c r="B230" s="365"/>
      <c r="E230" s="366" t="s">
        <v>12</v>
      </c>
      <c r="I230" s="366">
        <f>SUM(I226:I229)</f>
        <v>55970.46</v>
      </c>
      <c r="J230" s="366">
        <f>SUM(J226:J229)</f>
        <v>138523.13279999996</v>
      </c>
      <c r="K230" s="366">
        <f>SUM(K226:K229)</f>
        <v>204603.40924400001</v>
      </c>
      <c r="L230" s="366">
        <f>SUM(L226:L229)</f>
        <v>259736.62117649999</v>
      </c>
      <c r="M230" s="366">
        <f>SUM(M226:M229)</f>
        <v>306709.06271666713</v>
      </c>
      <c r="O230" s="365"/>
    </row>
    <row r="231" spans="2:15" s="366" customFormat="1">
      <c r="B231" s="365"/>
      <c r="O231" s="365"/>
    </row>
    <row r="232" spans="2:15" s="366" customFormat="1">
      <c r="B232" s="365"/>
      <c r="E232" s="366" t="s">
        <v>1791</v>
      </c>
      <c r="I232" s="366">
        <f>I223-I230</f>
        <v>30668.226051249025</v>
      </c>
      <c r="J232" s="366">
        <f>J223-J230</f>
        <v>64072.184702521045</v>
      </c>
      <c r="K232" s="366">
        <f>K223-K230</f>
        <v>86390.847684326553</v>
      </c>
      <c r="L232" s="366">
        <f>L223-L230</f>
        <v>103632.80870116228</v>
      </c>
      <c r="M232" s="366">
        <f>M223-M230</f>
        <v>132173.5894141107</v>
      </c>
      <c r="O232" s="365"/>
    </row>
    <row r="233" spans="2:15" s="366" customFormat="1">
      <c r="B233" s="365"/>
      <c r="E233" s="366" t="s">
        <v>3671</v>
      </c>
      <c r="I233" s="366">
        <f>-I232*I309</f>
        <v>-12267.29042049961</v>
      </c>
      <c r="J233" s="366">
        <f>-J232*J309</f>
        <v>-25628.873881008418</v>
      </c>
      <c r="K233" s="366">
        <f>-K232*K309</f>
        <v>-34556.339073730625</v>
      </c>
      <c r="L233" s="366">
        <f>-L232*L309</f>
        <v>-41453.123480464914</v>
      </c>
      <c r="M233" s="366">
        <f>-M232*M309</f>
        <v>-52869.435765644281</v>
      </c>
      <c r="O233" s="365"/>
    </row>
    <row r="234" spans="2:15" s="366" customFormat="1">
      <c r="B234" s="365"/>
      <c r="E234" s="366" t="s">
        <v>1790</v>
      </c>
      <c r="I234" s="660">
        <f>SUM(I232:I233)</f>
        <v>18400.935630749416</v>
      </c>
      <c r="J234" s="660">
        <f>SUM(J232:J233)</f>
        <v>38443.310821512627</v>
      </c>
      <c r="K234" s="660">
        <f>SUM(K232:K233)</f>
        <v>51834.508610595927</v>
      </c>
      <c r="L234" s="660">
        <f>SUM(L232:L233)</f>
        <v>62179.685220697371</v>
      </c>
      <c r="M234" s="660">
        <f>SUM(M232:M233)</f>
        <v>79304.153648466425</v>
      </c>
      <c r="O234" s="365"/>
    </row>
    <row r="235" spans="2:15" s="366" customFormat="1">
      <c r="B235" s="365"/>
      <c r="O235" s="365"/>
    </row>
    <row r="236" spans="2:15" s="366" customFormat="1">
      <c r="B236" s="365"/>
      <c r="E236" s="366" t="s">
        <v>3523</v>
      </c>
      <c r="O236" s="365"/>
    </row>
    <row r="237" spans="2:15" s="366" customFormat="1">
      <c r="B237" s="365"/>
      <c r="F237" s="366" t="s">
        <v>4123</v>
      </c>
      <c r="I237" s="648">
        <f>'2.3 Expenses'!T62+'2.3 Expenses'!T67</f>
        <v>12</v>
      </c>
      <c r="J237" s="648">
        <f>'2.3 Expenses'!U62+'2.3 Expenses'!U67</f>
        <v>12.120000000000001</v>
      </c>
      <c r="K237" s="648">
        <f>'2.3 Expenses'!V62+'2.3 Expenses'!V67</f>
        <v>12.241200000000001</v>
      </c>
      <c r="L237" s="648">
        <f>'2.3 Expenses'!W62+'2.3 Expenses'!W67</f>
        <v>12.363612000000002</v>
      </c>
      <c r="M237" s="648">
        <f>'2.3 Expenses'!X62+'2.3 Expenses'!X67</f>
        <v>12.487248120000002</v>
      </c>
      <c r="O237" s="365"/>
    </row>
    <row r="238" spans="2:15" s="366" customFormat="1">
      <c r="B238" s="365"/>
      <c r="F238" s="366" t="s">
        <v>4124</v>
      </c>
      <c r="I238" s="648">
        <f>'2.3 Expenses'!T64+'2.3 Expenses'!T69</f>
        <v>6</v>
      </c>
      <c r="J238" s="648">
        <f>'2.3 Expenses'!U64+'2.3 Expenses'!U69</f>
        <v>6.12</v>
      </c>
      <c r="K238" s="648">
        <f>'2.3 Expenses'!V64+'2.3 Expenses'!V69</f>
        <v>6.2423999999999999</v>
      </c>
      <c r="L238" s="648">
        <f>'2.3 Expenses'!W64+'2.3 Expenses'!W69</f>
        <v>6.367248</v>
      </c>
      <c r="M238" s="648">
        <f>'2.3 Expenses'!X64+'2.3 Expenses'!X69</f>
        <v>6.4945929600000003</v>
      </c>
      <c r="O238" s="365"/>
    </row>
    <row r="239" spans="2:15" s="366" customFormat="1">
      <c r="B239" s="365"/>
      <c r="F239" s="366" t="s">
        <v>3520</v>
      </c>
      <c r="I239" s="648">
        <f>'2.3 Expenses'!T88+'2.3 Expenses'!T93</f>
        <v>12</v>
      </c>
      <c r="J239" s="648">
        <f>'2.3 Expenses'!U88+'2.3 Expenses'!U93</f>
        <v>12.120000000000001</v>
      </c>
      <c r="K239" s="648">
        <f>'2.3 Expenses'!V88+'2.3 Expenses'!V93</f>
        <v>12.241200000000001</v>
      </c>
      <c r="L239" s="648">
        <f>'2.3 Expenses'!W88+'2.3 Expenses'!W93</f>
        <v>12.363612000000002</v>
      </c>
      <c r="M239" s="648">
        <f>'2.3 Expenses'!X88+'2.3 Expenses'!X93</f>
        <v>12.487248120000002</v>
      </c>
      <c r="O239" s="365"/>
    </row>
    <row r="240" spans="2:15" s="366" customFormat="1">
      <c r="B240" s="365"/>
      <c r="F240" s="366" t="s">
        <v>3521</v>
      </c>
      <c r="I240" s="648">
        <f>'2.3 Expenses'!T90+'2.3 Expenses'!T95</f>
        <v>6</v>
      </c>
      <c r="J240" s="648">
        <f>'2.3 Expenses'!U90+'2.3 Expenses'!U95</f>
        <v>6.12</v>
      </c>
      <c r="K240" s="648">
        <f>'2.3 Expenses'!V90+'2.3 Expenses'!V95</f>
        <v>6.2423999999999999</v>
      </c>
      <c r="L240" s="648">
        <f>'2.3 Expenses'!W90+'2.3 Expenses'!W95</f>
        <v>6.367248</v>
      </c>
      <c r="M240" s="648">
        <f>'2.3 Expenses'!X90+'2.3 Expenses'!X95</f>
        <v>6.4945929600000003</v>
      </c>
      <c r="O240" s="365"/>
    </row>
    <row r="241" spans="2:15" s="366" customFormat="1">
      <c r="B241" s="365"/>
      <c r="O241" s="365"/>
    </row>
    <row r="242" spans="2:15" s="366" customFormat="1">
      <c r="B242" s="365"/>
      <c r="O242" s="365"/>
    </row>
    <row r="243" spans="2:15" s="366" customFormat="1">
      <c r="B243" s="365"/>
      <c r="D243" s="656" t="s">
        <v>524</v>
      </c>
      <c r="O243" s="365"/>
    </row>
    <row r="244" spans="2:15" s="366" customFormat="1">
      <c r="B244" s="365"/>
      <c r="O244" s="365"/>
    </row>
    <row r="245" spans="2:15" s="366" customFormat="1">
      <c r="B245" s="365"/>
      <c r="E245" s="366" t="s">
        <v>523</v>
      </c>
      <c r="O245" s="365"/>
    </row>
    <row r="246" spans="2:15" s="366" customFormat="1">
      <c r="B246" s="365"/>
      <c r="F246" s="366" t="s">
        <v>525</v>
      </c>
      <c r="H246" s="366">
        <f>withfs</f>
        <v>1210000</v>
      </c>
      <c r="I246" s="366">
        <f>IF(BuildoutYear=1,BuildoutTI,0)</f>
        <v>0</v>
      </c>
      <c r="J246" s="366">
        <f>IF(BuildoutYear=2,BuildoutTI,0)</f>
        <v>0</v>
      </c>
      <c r="K246" s="366">
        <f>IF(BuildoutYear=3,BuildoutTI,0)</f>
        <v>0</v>
      </c>
      <c r="L246" s="366">
        <f>IF(BuildoutYear=4,BuildoutTI,0)</f>
        <v>0</v>
      </c>
      <c r="M246" s="366">
        <f>IF(BuildoutYear=5,BuildoutTI,0)</f>
        <v>0</v>
      </c>
      <c r="O246" s="365"/>
    </row>
    <row r="247" spans="2:15" s="366" customFormat="1">
      <c r="B247" s="365"/>
      <c r="F247" s="366" t="s">
        <v>526</v>
      </c>
      <c r="H247" s="366">
        <f>soft</f>
        <v>103000</v>
      </c>
      <c r="I247" s="366">
        <f>IF(BuildoutYear=1,BuildoutFees,0)</f>
        <v>0</v>
      </c>
      <c r="J247" s="366">
        <f>IF(BuildoutYear=2,BuildoutFees,0)</f>
        <v>0</v>
      </c>
      <c r="K247" s="366">
        <f>IF(BuildoutYear=3,BuildoutFees,0)</f>
        <v>0</v>
      </c>
      <c r="L247" s="366">
        <f>IF(BuildoutYear=4,BuildoutFees,0)</f>
        <v>0</v>
      </c>
      <c r="M247" s="366">
        <f>IF(BuildoutYear=5,BuildoutFees,0)</f>
        <v>0</v>
      </c>
      <c r="O247" s="365"/>
    </row>
    <row r="248" spans="2:15" s="366" customFormat="1">
      <c r="B248" s="365"/>
      <c r="F248" s="366" t="s">
        <v>527</v>
      </c>
      <c r="H248" s="364">
        <f>ffe</f>
        <v>787398.42</v>
      </c>
      <c r="I248" s="364">
        <f>IF(BuildoutYear=1,BuildoutFFE,0)</f>
        <v>0</v>
      </c>
      <c r="J248" s="364">
        <f>IF(BuildoutYear=2,BuildoutFFE,0)</f>
        <v>0</v>
      </c>
      <c r="K248" s="364">
        <f>IF(BuildoutYear=3,BuildoutFFE,0)</f>
        <v>0</v>
      </c>
      <c r="L248" s="364">
        <f>IF(BuildoutYear=4,BuildoutFFE,0)</f>
        <v>0</v>
      </c>
      <c r="M248" s="364">
        <f>IF(BuildoutYear=5,BuildoutFFE,0)</f>
        <v>0</v>
      </c>
      <c r="O248" s="365"/>
    </row>
    <row r="249" spans="2:15" s="366" customFormat="1">
      <c r="B249" s="365"/>
      <c r="E249" s="366" t="s">
        <v>2146</v>
      </c>
      <c r="H249" s="366">
        <f t="shared" ref="H249:M249" si="222">SUM(H246:H248)</f>
        <v>2100398.42</v>
      </c>
      <c r="I249" s="366">
        <f t="shared" si="222"/>
        <v>0</v>
      </c>
      <c r="J249" s="366">
        <f t="shared" si="222"/>
        <v>0</v>
      </c>
      <c r="K249" s="366">
        <f t="shared" si="222"/>
        <v>0</v>
      </c>
      <c r="L249" s="366">
        <f t="shared" si="222"/>
        <v>0</v>
      </c>
      <c r="M249" s="366">
        <f t="shared" si="222"/>
        <v>0</v>
      </c>
      <c r="O249" s="365"/>
    </row>
    <row r="250" spans="2:15" s="366" customFormat="1">
      <c r="B250" s="365"/>
      <c r="O250" s="365"/>
    </row>
    <row r="251" spans="2:15" s="366" customFormat="1">
      <c r="B251" s="365"/>
      <c r="E251" s="366" t="s">
        <v>1799</v>
      </c>
      <c r="O251" s="365"/>
    </row>
    <row r="252" spans="2:15" s="366" customFormat="1">
      <c r="B252" s="365"/>
      <c r="F252" s="366" t="s">
        <v>4125</v>
      </c>
      <c r="I252" s="366">
        <f>'2.0 Patients'!I8*RecurringCapexPerStation</f>
        <v>46000</v>
      </c>
      <c r="J252" s="366">
        <f>'2.0 Patients'!J8*RecurringCapexPerStation*(1+'2.3 Expenses'!$U$100)</f>
        <v>47380</v>
      </c>
      <c r="K252" s="366">
        <f>'2.0 Patients'!K8*RecurringCapexPerStation*(1+'2.3 Expenses'!$U$100)^2</f>
        <v>48801.4</v>
      </c>
      <c r="L252" s="366">
        <f>'2.0 Patients'!L8*RecurringCapexPerStation*(1+'2.3 Expenses'!$U$100)^3</f>
        <v>50265.442000000003</v>
      </c>
      <c r="M252" s="366">
        <f>'2.0 Patients'!M8*RecurringCapexPerStation*(1+'2.3 Expenses'!$U$100)^4</f>
        <v>51773.40526</v>
      </c>
      <c r="O252" s="365"/>
    </row>
    <row r="253" spans="2:15" s="366" customFormat="1">
      <c r="B253" s="365"/>
      <c r="F253" s="366" t="s">
        <v>4126</v>
      </c>
      <c r="I253" s="364">
        <f>SUM(I45,I53)*'2.4 HHD'!$G$46</f>
        <v>36326.041666666664</v>
      </c>
      <c r="J253" s="364">
        <f>SUM(J45,J53)*'2.4 HHD'!$G$46-SUM($I253:I253)</f>
        <v>44317.770833333336</v>
      </c>
      <c r="K253" s="364">
        <f>SUM(K45,K53)*'2.4 HHD'!$G$46-SUM($I253:J253)</f>
        <v>42864.729166666613</v>
      </c>
      <c r="L253" s="364">
        <f>SUM(L45,L53)*'2.4 HHD'!$G$46-SUM($I253:K253)</f>
        <v>25428.229166666584</v>
      </c>
      <c r="M253" s="364">
        <f>SUM(M45,M53)*'2.4 HHD'!$G$46-SUM($I253:L253)</f>
        <v>17436.499999999971</v>
      </c>
      <c r="O253" s="365"/>
    </row>
    <row r="254" spans="2:15" s="366" customFormat="1">
      <c r="B254" s="365"/>
      <c r="F254" s="366" t="s">
        <v>15</v>
      </c>
      <c r="I254" s="366">
        <f>SUM(I252:I253)</f>
        <v>82326.041666666657</v>
      </c>
      <c r="J254" s="366">
        <f>SUM(J252:J253)</f>
        <v>91697.770833333343</v>
      </c>
      <c r="K254" s="366">
        <f>SUM(K252:K253)</f>
        <v>91666.129166666622</v>
      </c>
      <c r="L254" s="366">
        <f>SUM(L252:L253)</f>
        <v>75693.67116666658</v>
      </c>
      <c r="M254" s="366">
        <f>SUM(M252:M253)</f>
        <v>69209.90525999997</v>
      </c>
      <c r="O254" s="365"/>
    </row>
    <row r="255" spans="2:15" s="366" customFormat="1">
      <c r="B255" s="365"/>
      <c r="O255" s="365"/>
    </row>
    <row r="256" spans="2:15" s="366" customFormat="1">
      <c r="B256" s="365"/>
      <c r="E256" s="366" t="s">
        <v>788</v>
      </c>
      <c r="O256" s="365"/>
    </row>
    <row r="257" spans="2:18" s="366" customFormat="1">
      <c r="B257" s="365"/>
      <c r="F257" s="366" t="s">
        <v>525</v>
      </c>
      <c r="H257" s="366">
        <f>H246</f>
        <v>1210000</v>
      </c>
      <c r="I257" s="366">
        <f t="shared" ref="I257:M258" si="223">H257+I246</f>
        <v>1210000</v>
      </c>
      <c r="J257" s="366">
        <f t="shared" si="223"/>
        <v>1210000</v>
      </c>
      <c r="K257" s="366">
        <f t="shared" si="223"/>
        <v>1210000</v>
      </c>
      <c r="L257" s="366">
        <f t="shared" si="223"/>
        <v>1210000</v>
      </c>
      <c r="M257" s="366">
        <f t="shared" si="223"/>
        <v>1210000</v>
      </c>
      <c r="O257" s="365"/>
    </row>
    <row r="258" spans="2:18" s="366" customFormat="1">
      <c r="B258" s="365"/>
      <c r="F258" s="366" t="s">
        <v>526</v>
      </c>
      <c r="H258" s="366">
        <f>H247</f>
        <v>103000</v>
      </c>
      <c r="I258" s="366">
        <f t="shared" si="223"/>
        <v>103000</v>
      </c>
      <c r="J258" s="366">
        <f t="shared" si="223"/>
        <v>103000</v>
      </c>
      <c r="K258" s="366">
        <f t="shared" si="223"/>
        <v>103000</v>
      </c>
      <c r="L258" s="366">
        <f t="shared" si="223"/>
        <v>103000</v>
      </c>
      <c r="M258" s="366">
        <f t="shared" si="223"/>
        <v>103000</v>
      </c>
      <c r="O258" s="365"/>
    </row>
    <row r="259" spans="2:18" s="366" customFormat="1">
      <c r="B259" s="365"/>
      <c r="F259" s="366" t="s">
        <v>527</v>
      </c>
      <c r="H259" s="366">
        <f>H248+H254</f>
        <v>787398.42</v>
      </c>
      <c r="I259" s="366">
        <f>H259+I248+I254</f>
        <v>869724.46166666667</v>
      </c>
      <c r="J259" s="366">
        <f>I259+J248+J254</f>
        <v>961422.23250000004</v>
      </c>
      <c r="K259" s="366">
        <f>J259+K248+K254</f>
        <v>1053088.3616666666</v>
      </c>
      <c r="L259" s="366">
        <f>K259+L248+L254</f>
        <v>1128782.0328333331</v>
      </c>
      <c r="M259" s="366">
        <f>L259+M248+M254</f>
        <v>1197991.938093333</v>
      </c>
      <c r="O259" s="365"/>
    </row>
    <row r="260" spans="2:18" s="366" customFormat="1">
      <c r="B260" s="365"/>
      <c r="O260" s="365"/>
    </row>
    <row r="261" spans="2:18" s="366" customFormat="1">
      <c r="B261" s="365"/>
      <c r="E261" s="366" t="s">
        <v>3927</v>
      </c>
      <c r="O261" s="365"/>
    </row>
    <row r="262" spans="2:18" s="366" customFormat="1">
      <c r="B262" s="365"/>
      <c r="F262" s="366" t="s">
        <v>525</v>
      </c>
      <c r="I262" s="366">
        <f t="shared" ref="I262:M264" si="224">I257/$Q262</f>
        <v>31025.641025641027</v>
      </c>
      <c r="J262" s="366">
        <f t="shared" si="224"/>
        <v>31025.641025641027</v>
      </c>
      <c r="K262" s="366">
        <f t="shared" si="224"/>
        <v>31025.641025641027</v>
      </c>
      <c r="L262" s="366">
        <f t="shared" si="224"/>
        <v>31025.641025641027</v>
      </c>
      <c r="M262" s="366">
        <f t="shared" si="224"/>
        <v>31025.641025641027</v>
      </c>
      <c r="O262" s="365"/>
      <c r="Q262" s="1347">
        <v>39</v>
      </c>
      <c r="R262" s="366" t="s">
        <v>142</v>
      </c>
    </row>
    <row r="263" spans="2:18" s="366" customFormat="1">
      <c r="B263" s="365"/>
      <c r="F263" s="366" t="s">
        <v>526</v>
      </c>
      <c r="I263" s="366">
        <f t="shared" si="224"/>
        <v>2641.0256410256411</v>
      </c>
      <c r="J263" s="366">
        <f t="shared" si="224"/>
        <v>2641.0256410256411</v>
      </c>
      <c r="K263" s="366">
        <f t="shared" si="224"/>
        <v>2641.0256410256411</v>
      </c>
      <c r="L263" s="366">
        <f t="shared" si="224"/>
        <v>2641.0256410256411</v>
      </c>
      <c r="M263" s="366">
        <f t="shared" si="224"/>
        <v>2641.0256410256411</v>
      </c>
      <c r="O263" s="365"/>
      <c r="Q263" s="1347">
        <v>39</v>
      </c>
      <c r="R263" s="366" t="s">
        <v>142</v>
      </c>
    </row>
    <row r="264" spans="2:18" s="366" customFormat="1">
      <c r="B264" s="365"/>
      <c r="F264" s="366" t="s">
        <v>527</v>
      </c>
      <c r="I264" s="366">
        <f t="shared" si="224"/>
        <v>124246.35166666667</v>
      </c>
      <c r="J264" s="366">
        <f t="shared" si="224"/>
        <v>137346.03321428571</v>
      </c>
      <c r="K264" s="366">
        <f t="shared" si="224"/>
        <v>150441.19452380951</v>
      </c>
      <c r="L264" s="366">
        <f t="shared" si="224"/>
        <v>161254.57611904759</v>
      </c>
      <c r="M264" s="366">
        <f t="shared" si="224"/>
        <v>171141.70544190472</v>
      </c>
      <c r="O264" s="365"/>
      <c r="Q264" s="1348">
        <v>7</v>
      </c>
      <c r="R264" s="366" t="s">
        <v>142</v>
      </c>
    </row>
    <row r="265" spans="2:18" s="366" customFormat="1">
      <c r="B265" s="365"/>
      <c r="F265" s="366" t="s">
        <v>813</v>
      </c>
      <c r="I265" s="1942">
        <f>IF(Type&lt;&gt;"DeNovo",'1.2 EssPL'!$G$166+'1.2 EssPL'!$G$169,0)</f>
        <v>0</v>
      </c>
      <c r="J265" s="1942">
        <f>IF(Type&lt;&gt;"DeNovo",'1.2 EssPL'!$G$166+'1.2 EssPL'!$G$169,0)</f>
        <v>0</v>
      </c>
      <c r="K265" s="1942">
        <f>IF(Type&lt;&gt;"DeNovo",'1.2 EssPL'!$G$166+'1.2 EssPL'!$G$169,0)</f>
        <v>0</v>
      </c>
      <c r="L265" s="1942">
        <f>IF(Type&lt;&gt;"DeNovo",'1.2 EssPL'!$G$166+'1.2 EssPL'!$G$169,0)</f>
        <v>0</v>
      </c>
      <c r="M265" s="1942">
        <f>IF(Type&lt;&gt;"DeNovo",'1.2 EssPL'!$G$166+'1.2 EssPL'!$G$169,0)</f>
        <v>0</v>
      </c>
      <c r="O265" s="367"/>
    </row>
    <row r="266" spans="2:18" s="366" customFormat="1">
      <c r="B266" s="365"/>
      <c r="E266" s="366" t="s">
        <v>3927</v>
      </c>
      <c r="I266" s="366">
        <f>SUM(I262:I265)</f>
        <v>157913.01833333334</v>
      </c>
      <c r="J266" s="366">
        <f>SUM(J262:J265)</f>
        <v>171012.69988095236</v>
      </c>
      <c r="K266" s="366">
        <f>SUM(K262:K265)</f>
        <v>184107.86119047616</v>
      </c>
      <c r="L266" s="366">
        <f>SUM(L262:L265)</f>
        <v>194921.24278571428</v>
      </c>
      <c r="M266" s="366">
        <f>SUM(M262:M265)</f>
        <v>204808.37210857141</v>
      </c>
      <c r="O266" s="367"/>
    </row>
    <row r="267" spans="2:18" s="366" customFormat="1">
      <c r="B267" s="365"/>
      <c r="O267" s="365"/>
    </row>
    <row r="268" spans="2:18" s="366" customFormat="1">
      <c r="B268" s="365"/>
      <c r="E268" s="366" t="s">
        <v>3047</v>
      </c>
      <c r="O268" s="365"/>
    </row>
    <row r="269" spans="2:18" s="366" customFormat="1">
      <c r="B269" s="365"/>
      <c r="F269" s="366" t="s">
        <v>525</v>
      </c>
      <c r="H269" s="366">
        <f>H257*(1-$Q$278)</f>
        <v>1210000</v>
      </c>
      <c r="I269" s="366">
        <f t="shared" ref="I269:M270" si="225">H269+I246*(1-$Q$278)</f>
        <v>1210000</v>
      </c>
      <c r="J269" s="366">
        <f t="shared" si="225"/>
        <v>1210000</v>
      </c>
      <c r="K269" s="366">
        <f t="shared" si="225"/>
        <v>1210000</v>
      </c>
      <c r="L269" s="366">
        <f t="shared" si="225"/>
        <v>1210000</v>
      </c>
      <c r="M269" s="366">
        <f t="shared" si="225"/>
        <v>1210000</v>
      </c>
      <c r="O269" s="365"/>
    </row>
    <row r="270" spans="2:18" s="366" customFormat="1">
      <c r="B270" s="365"/>
      <c r="F270" s="366" t="s">
        <v>526</v>
      </c>
      <c r="H270" s="366">
        <f>H258*(1-$Q$278)</f>
        <v>103000</v>
      </c>
      <c r="I270" s="366">
        <f t="shared" si="225"/>
        <v>103000</v>
      </c>
      <c r="J270" s="366">
        <f t="shared" si="225"/>
        <v>103000</v>
      </c>
      <c r="K270" s="366">
        <f t="shared" si="225"/>
        <v>103000</v>
      </c>
      <c r="L270" s="366">
        <f t="shared" si="225"/>
        <v>103000</v>
      </c>
      <c r="M270" s="366">
        <f t="shared" si="225"/>
        <v>103000</v>
      </c>
      <c r="O270" s="365"/>
    </row>
    <row r="271" spans="2:18" s="366" customFormat="1">
      <c r="B271" s="365"/>
      <c r="F271" s="366" t="s">
        <v>527</v>
      </c>
      <c r="H271" s="366">
        <f>H259*(1-$Q$278)</f>
        <v>787398.42</v>
      </c>
      <c r="I271" s="366">
        <f>H271+I248*(1-$Q$278)+I254</f>
        <v>869724.46166666667</v>
      </c>
      <c r="J271" s="366">
        <f>I271+J248*(1-$Q$278)+J254</f>
        <v>961422.23250000004</v>
      </c>
      <c r="K271" s="366">
        <f>J271+K248*(1-$Q$278)+K254</f>
        <v>1053088.3616666666</v>
      </c>
      <c r="L271" s="366">
        <f>K271+L248*(1-$Q$278)+L254</f>
        <v>1128782.0328333331</v>
      </c>
      <c r="M271" s="366">
        <f>L271+M248*(1-$Q$278)+M254</f>
        <v>1197991.938093333</v>
      </c>
      <c r="O271" s="365"/>
    </row>
    <row r="272" spans="2:18" s="366" customFormat="1">
      <c r="B272" s="365"/>
      <c r="O272" s="365"/>
    </row>
    <row r="273" spans="2:20" s="366" customFormat="1">
      <c r="B273" s="365"/>
      <c r="E273" s="366" t="s">
        <v>1192</v>
      </c>
      <c r="O273" s="365"/>
    </row>
    <row r="274" spans="2:20" s="366" customFormat="1">
      <c r="B274" s="365"/>
      <c r="F274" s="366" t="s">
        <v>525</v>
      </c>
      <c r="I274" s="366">
        <f t="shared" ref="I274:M275" si="226">I269/$Q274</f>
        <v>80666.666666666672</v>
      </c>
      <c r="J274" s="366">
        <f t="shared" si="226"/>
        <v>80666.666666666672</v>
      </c>
      <c r="K274" s="366">
        <f t="shared" si="226"/>
        <v>80666.666666666672</v>
      </c>
      <c r="L274" s="366">
        <f t="shared" si="226"/>
        <v>80666.666666666672</v>
      </c>
      <c r="M274" s="366">
        <f t="shared" si="226"/>
        <v>80666.666666666672</v>
      </c>
      <c r="O274" s="365"/>
      <c r="Q274" s="1347">
        <v>15</v>
      </c>
      <c r="R274" s="366" t="s">
        <v>1193</v>
      </c>
    </row>
    <row r="275" spans="2:20" s="366" customFormat="1">
      <c r="B275" s="365"/>
      <c r="F275" s="366" t="s">
        <v>526</v>
      </c>
      <c r="I275" s="366">
        <f t="shared" si="226"/>
        <v>6866.666666666667</v>
      </c>
      <c r="J275" s="366">
        <f t="shared" si="226"/>
        <v>6866.666666666667</v>
      </c>
      <c r="K275" s="366">
        <f t="shared" si="226"/>
        <v>6866.666666666667</v>
      </c>
      <c r="L275" s="366">
        <f t="shared" si="226"/>
        <v>6866.666666666667</v>
      </c>
      <c r="M275" s="366">
        <f t="shared" si="226"/>
        <v>6866.666666666667</v>
      </c>
      <c r="O275" s="365"/>
      <c r="Q275" s="1347">
        <v>15</v>
      </c>
      <c r="R275" s="366" t="s">
        <v>1193</v>
      </c>
    </row>
    <row r="276" spans="2:20" s="366" customFormat="1">
      <c r="B276" s="365"/>
      <c r="F276" s="366" t="s">
        <v>527</v>
      </c>
      <c r="I276" s="1716">
        <f>I325</f>
        <v>124283.62557216668</v>
      </c>
      <c r="J276" s="1716">
        <f>J325</f>
        <v>226099.13211425004</v>
      </c>
      <c r="K276" s="1716">
        <f>K325</f>
        <v>187670.68228050001</v>
      </c>
      <c r="L276" s="1716">
        <f>L325</f>
        <v>157932.18602354999</v>
      </c>
      <c r="M276" s="1716">
        <f>M325</f>
        <v>133579.32752553729</v>
      </c>
      <c r="O276" s="365"/>
      <c r="Q276" s="1799">
        <v>7</v>
      </c>
      <c r="R276" s="366" t="s">
        <v>1193</v>
      </c>
      <c r="T276" s="366" t="s">
        <v>708</v>
      </c>
    </row>
    <row r="277" spans="2:20" s="366" customFormat="1">
      <c r="B277" s="365"/>
      <c r="F277" s="366" t="s">
        <v>813</v>
      </c>
      <c r="I277" s="366">
        <v>0</v>
      </c>
      <c r="J277" s="366">
        <v>0</v>
      </c>
      <c r="K277" s="366">
        <v>0</v>
      </c>
      <c r="L277" s="366">
        <v>0</v>
      </c>
      <c r="M277" s="366">
        <v>0</v>
      </c>
      <c r="O277" s="365"/>
    </row>
    <row r="278" spans="2:20" s="366" customFormat="1">
      <c r="B278" s="365"/>
      <c r="F278" s="366" t="s">
        <v>3048</v>
      </c>
      <c r="I278" s="366">
        <f>SUM(H249:I249)*$Q$278</f>
        <v>0</v>
      </c>
      <c r="J278" s="366">
        <f>J249*$Q$278</f>
        <v>0</v>
      </c>
      <c r="K278" s="366">
        <f>K249*$Q$278</f>
        <v>0</v>
      </c>
      <c r="L278" s="366">
        <f>L249*$Q$278</f>
        <v>0</v>
      </c>
      <c r="M278" s="366">
        <f>M249*$Q$278</f>
        <v>0</v>
      </c>
      <c r="O278" s="365"/>
      <c r="Q278" s="1744">
        <v>0</v>
      </c>
      <c r="R278" s="366" t="s">
        <v>1625</v>
      </c>
    </row>
    <row r="279" spans="2:20" s="366" customFormat="1">
      <c r="B279" s="365"/>
      <c r="E279" s="366" t="s">
        <v>1192</v>
      </c>
      <c r="I279" s="660">
        <f>SUM(I274:I278)</f>
        <v>211816.95890550001</v>
      </c>
      <c r="J279" s="660">
        <f>SUM(J274:J278)</f>
        <v>313632.46544758335</v>
      </c>
      <c r="K279" s="660">
        <f>SUM(K274:K278)</f>
        <v>275204.01561383333</v>
      </c>
      <c r="L279" s="660">
        <f>SUM(L274:L278)</f>
        <v>245465.51935688333</v>
      </c>
      <c r="M279" s="660">
        <f>SUM(M274:M278)</f>
        <v>221112.66085887063</v>
      </c>
      <c r="O279" s="365"/>
    </row>
    <row r="280" spans="2:20" s="366" customFormat="1">
      <c r="B280" s="365"/>
      <c r="O280" s="365"/>
    </row>
    <row r="281" spans="2:20" s="366" customFormat="1">
      <c r="B281" s="365"/>
      <c r="O281" s="365"/>
    </row>
    <row r="282" spans="2:20" s="366" customFormat="1">
      <c r="B282" s="365"/>
      <c r="D282" s="1492" t="s">
        <v>3027</v>
      </c>
      <c r="E282" s="1491"/>
      <c r="F282" s="1491"/>
      <c r="G282" s="1491"/>
      <c r="H282" s="1491"/>
      <c r="I282" s="1491"/>
      <c r="J282" s="1491"/>
      <c r="K282" s="1491"/>
      <c r="L282" s="1491"/>
      <c r="M282" s="1491"/>
      <c r="O282" s="365"/>
      <c r="Q282" s="366" t="s">
        <v>3029</v>
      </c>
    </row>
    <row r="283" spans="2:20" s="366" customFormat="1">
      <c r="B283" s="365"/>
      <c r="D283" s="1491"/>
      <c r="E283" s="1491"/>
      <c r="F283" s="1491"/>
      <c r="G283" s="1491"/>
      <c r="H283" s="1491"/>
      <c r="I283" s="1491"/>
      <c r="J283" s="1491"/>
      <c r="K283" s="1491"/>
      <c r="L283" s="1491"/>
      <c r="M283" s="1491"/>
      <c r="O283" s="365"/>
    </row>
    <row r="284" spans="2:20" s="366" customFormat="1">
      <c r="B284" s="365"/>
      <c r="D284" s="1491"/>
      <c r="E284" s="1491" t="s">
        <v>3030</v>
      </c>
      <c r="F284" s="1491"/>
      <c r="G284" s="1491"/>
      <c r="H284" s="1491"/>
      <c r="I284" s="1491"/>
      <c r="J284" s="1491"/>
      <c r="K284" s="1491"/>
      <c r="L284" s="1491"/>
      <c r="M284" s="1491"/>
      <c r="O284" s="365"/>
    </row>
    <row r="285" spans="2:20" s="366" customFormat="1">
      <c r="B285" s="365"/>
      <c r="D285" s="1491"/>
      <c r="E285" s="1491"/>
      <c r="F285" s="1491" t="s">
        <v>1863</v>
      </c>
      <c r="G285" s="1491"/>
      <c r="H285" s="1491">
        <f>DevelopmentFee</f>
        <v>65250</v>
      </c>
      <c r="I285" s="1491">
        <f>H285</f>
        <v>65250</v>
      </c>
      <c r="J285" s="1491">
        <f>I285</f>
        <v>65250</v>
      </c>
      <c r="K285" s="1491">
        <f>J285</f>
        <v>65250</v>
      </c>
      <c r="L285" s="1491">
        <f>K285</f>
        <v>65250</v>
      </c>
      <c r="M285" s="1491">
        <f>L285</f>
        <v>65250</v>
      </c>
      <c r="O285" s="365"/>
    </row>
    <row r="286" spans="2:20" s="366" customFormat="1">
      <c r="B286" s="365"/>
      <c r="D286" s="1491"/>
      <c r="E286" s="1491"/>
      <c r="F286" s="1491"/>
      <c r="G286" s="1491"/>
      <c r="H286" s="1491"/>
      <c r="I286" s="1491"/>
      <c r="J286" s="1491"/>
      <c r="K286" s="1491"/>
      <c r="L286" s="1491"/>
      <c r="M286" s="1491"/>
      <c r="O286" s="365"/>
    </row>
    <row r="287" spans="2:20" s="366" customFormat="1">
      <c r="B287" s="365"/>
      <c r="D287" s="1491"/>
      <c r="E287" s="1491" t="s">
        <v>1701</v>
      </c>
      <c r="F287" s="1491"/>
      <c r="G287" s="1491"/>
      <c r="H287" s="1491"/>
      <c r="I287" s="1491"/>
      <c r="J287" s="1491"/>
      <c r="K287" s="1491"/>
      <c r="L287" s="1491"/>
      <c r="M287" s="1491"/>
      <c r="O287" s="365"/>
    </row>
    <row r="288" spans="2:20" s="366" customFormat="1">
      <c r="B288" s="365"/>
      <c r="D288" s="1491"/>
      <c r="E288" s="1491"/>
      <c r="F288" s="1491" t="s">
        <v>1863</v>
      </c>
      <c r="G288" s="1491"/>
      <c r="H288" s="1491"/>
      <c r="I288" s="1158">
        <f>I285/$Q288</f>
        <v>6525</v>
      </c>
      <c r="J288" s="1158">
        <f>J285/$Q288</f>
        <v>6525</v>
      </c>
      <c r="K288" s="1158">
        <f>K285/$Q288</f>
        <v>6525</v>
      </c>
      <c r="L288" s="1158">
        <f>L285/$Q288</f>
        <v>6525</v>
      </c>
      <c r="M288" s="1158">
        <f>M285/$Q288</f>
        <v>6525</v>
      </c>
      <c r="O288" s="365"/>
      <c r="Q288" s="1347">
        <v>10</v>
      </c>
      <c r="R288" s="366" t="s">
        <v>3561</v>
      </c>
    </row>
    <row r="289" spans="2:18" s="366" customFormat="1">
      <c r="B289" s="365"/>
      <c r="D289" s="1491"/>
      <c r="E289" s="1491" t="s">
        <v>3560</v>
      </c>
      <c r="F289" s="1491"/>
      <c r="G289" s="1491"/>
      <c r="H289" s="1491"/>
      <c r="I289" s="1491">
        <f>SUM(I287:I288)</f>
        <v>6525</v>
      </c>
      <c r="J289" s="1491">
        <f>SUM(J287:J288)</f>
        <v>6525</v>
      </c>
      <c r="K289" s="1491">
        <f>SUM(K287:K288)</f>
        <v>6525</v>
      </c>
      <c r="L289" s="1491">
        <f>SUM(L287:L288)</f>
        <v>6525</v>
      </c>
      <c r="M289" s="1491">
        <f>SUM(M287:M288)</f>
        <v>6525</v>
      </c>
      <c r="O289" s="365"/>
    </row>
    <row r="290" spans="2:18" s="366" customFormat="1">
      <c r="B290" s="365"/>
      <c r="D290" s="1491"/>
      <c r="E290" s="1491"/>
      <c r="F290" s="1491"/>
      <c r="G290" s="1491"/>
      <c r="H290" s="1491"/>
      <c r="I290" s="1491"/>
      <c r="J290" s="1491"/>
      <c r="K290" s="1491"/>
      <c r="L290" s="1491"/>
      <c r="M290" s="1491"/>
      <c r="O290" s="365"/>
    </row>
    <row r="291" spans="2:18" s="366" customFormat="1">
      <c r="B291" s="365"/>
      <c r="D291" s="1491"/>
      <c r="E291" s="1491"/>
      <c r="F291" s="1491"/>
      <c r="G291" s="1491"/>
      <c r="H291" s="1491"/>
      <c r="I291" s="1491"/>
      <c r="J291" s="1491"/>
      <c r="K291" s="1491"/>
      <c r="L291" s="1491"/>
      <c r="M291" s="1491"/>
      <c r="O291" s="365"/>
    </row>
    <row r="292" spans="2:18" s="366" customFormat="1">
      <c r="B292" s="365"/>
      <c r="D292" s="1491"/>
      <c r="E292" s="1491" t="s">
        <v>3031</v>
      </c>
      <c r="F292" s="1491"/>
      <c r="G292" s="1491"/>
      <c r="H292" s="1491"/>
      <c r="I292" s="1491"/>
      <c r="J292" s="1491"/>
      <c r="K292" s="1491"/>
      <c r="L292" s="1491"/>
      <c r="M292" s="1491"/>
      <c r="O292" s="365"/>
    </row>
    <row r="293" spans="2:18" s="366" customFormat="1">
      <c r="B293" s="365"/>
      <c r="D293" s="1491"/>
      <c r="E293" s="1491"/>
      <c r="F293" s="1491" t="str">
        <f>F285</f>
        <v>Development Fee</v>
      </c>
      <c r="G293" s="1491"/>
      <c r="H293" s="1491"/>
      <c r="I293" s="1158">
        <f>I285/$Q293</f>
        <v>1673.0769230769231</v>
      </c>
      <c r="J293" s="1158">
        <f>J285/$Q293</f>
        <v>1673.0769230769231</v>
      </c>
      <c r="K293" s="1158">
        <f>K285/$Q293</f>
        <v>1673.0769230769231</v>
      </c>
      <c r="L293" s="1158">
        <f>L285/$Q293</f>
        <v>1673.0769230769231</v>
      </c>
      <c r="M293" s="1158">
        <f>M285/$Q293</f>
        <v>1673.0769230769231</v>
      </c>
      <c r="O293" s="365"/>
      <c r="Q293" s="1347">
        <v>39</v>
      </c>
      <c r="R293" s="366" t="s">
        <v>3028</v>
      </c>
    </row>
    <row r="294" spans="2:18" s="366" customFormat="1">
      <c r="B294" s="365"/>
      <c r="D294" s="1491"/>
      <c r="E294" s="1491" t="s">
        <v>3031</v>
      </c>
      <c r="F294" s="1491"/>
      <c r="G294" s="1491"/>
      <c r="H294" s="1491"/>
      <c r="I294" s="1491">
        <f>SUM(I292:I293)</f>
        <v>1673.0769230769231</v>
      </c>
      <c r="J294" s="1491">
        <f>SUM(J292:J293)</f>
        <v>1673.0769230769231</v>
      </c>
      <c r="K294" s="1491">
        <f>SUM(K292:K293)</f>
        <v>1673.0769230769231</v>
      </c>
      <c r="L294" s="1491">
        <f>SUM(L292:L293)</f>
        <v>1673.0769230769231</v>
      </c>
      <c r="M294" s="1491">
        <f>SUM(M292:M293)</f>
        <v>1673.0769230769231</v>
      </c>
      <c r="O294" s="365"/>
    </row>
    <row r="295" spans="2:18" s="366" customFormat="1">
      <c r="B295" s="365"/>
      <c r="O295" s="365"/>
    </row>
    <row r="296" spans="2:18" s="366" customFormat="1">
      <c r="B296" s="365"/>
      <c r="O296" s="365"/>
    </row>
    <row r="297" spans="2:18" s="366" customFormat="1">
      <c r="B297" s="365"/>
      <c r="O297" s="365"/>
    </row>
    <row r="298" spans="2:18" s="366" customFormat="1">
      <c r="B298" s="365"/>
      <c r="D298" s="656" t="s">
        <v>522</v>
      </c>
      <c r="O298" s="365"/>
      <c r="R298" s="366" t="s">
        <v>1623</v>
      </c>
    </row>
    <row r="299" spans="2:18" s="366" customFormat="1">
      <c r="B299" s="365"/>
      <c r="O299" s="365"/>
    </row>
    <row r="300" spans="2:18" s="366" customFormat="1">
      <c r="B300" s="365"/>
      <c r="E300" s="366" t="s">
        <v>1617</v>
      </c>
      <c r="H300" s="366">
        <f t="shared" ref="H300:M300" si="227">H96*$H$200</f>
        <v>-158788.88762433361</v>
      </c>
      <c r="I300" s="366">
        <f t="shared" si="227"/>
        <v>-162994.47201353093</v>
      </c>
      <c r="J300" s="366">
        <f t="shared" si="227"/>
        <v>170717.10154543995</v>
      </c>
      <c r="K300" s="366">
        <f t="shared" si="227"/>
        <v>356664.79968210577</v>
      </c>
      <c r="L300" s="366">
        <f t="shared" si="227"/>
        <v>486247.27682611131</v>
      </c>
      <c r="M300" s="366">
        <f t="shared" si="227"/>
        <v>695911.81430909841</v>
      </c>
      <c r="O300" s="365"/>
    </row>
    <row r="301" spans="2:18" s="366" customFormat="1" hidden="1">
      <c r="B301" s="365" t="s">
        <v>992</v>
      </c>
      <c r="E301" s="366" t="s">
        <v>1618</v>
      </c>
      <c r="O301" s="365"/>
      <c r="R301" s="366" t="s">
        <v>1792</v>
      </c>
    </row>
    <row r="302" spans="2:18" s="366" customFormat="1" hidden="1">
      <c r="B302" s="365" t="s">
        <v>992</v>
      </c>
      <c r="E302" s="366" t="s">
        <v>2295</v>
      </c>
      <c r="O302" s="365"/>
      <c r="R302" s="366" t="s">
        <v>1792</v>
      </c>
    </row>
    <row r="303" spans="2:18" s="366" customFormat="1" hidden="1">
      <c r="B303" s="365" t="s">
        <v>992</v>
      </c>
      <c r="E303" s="366" t="s">
        <v>1615</v>
      </c>
      <c r="O303" s="365"/>
      <c r="R303" s="366" t="s">
        <v>1792</v>
      </c>
    </row>
    <row r="304" spans="2:18" s="366" customFormat="1">
      <c r="B304" s="365"/>
      <c r="E304" s="366" t="s">
        <v>1616</v>
      </c>
      <c r="I304" s="366">
        <f>-I279*$H$200</f>
        <v>-127090.1753433</v>
      </c>
      <c r="J304" s="366">
        <f>-J279*$H$200</f>
        <v>-188179.47926855</v>
      </c>
      <c r="K304" s="366">
        <f>-K279*$H$200</f>
        <v>-165122.4093683</v>
      </c>
      <c r="L304" s="366">
        <f>-L279*$H$200</f>
        <v>-147279.31161412998</v>
      </c>
      <c r="M304" s="366">
        <f>-M279*$H$200</f>
        <v>-132667.59651532237</v>
      </c>
      <c r="O304" s="365"/>
    </row>
    <row r="305" spans="2:18" s="366" customFormat="1">
      <c r="B305" s="365"/>
      <c r="E305" s="1491" t="s">
        <v>3032</v>
      </c>
      <c r="F305" s="1491"/>
      <c r="G305" s="1491"/>
      <c r="H305" s="1491"/>
      <c r="I305" s="1491">
        <f>-I294*$H$200</f>
        <v>-1003.8461538461538</v>
      </c>
      <c r="J305" s="1491">
        <f>-J294*$H$200</f>
        <v>-1003.8461538461538</v>
      </c>
      <c r="K305" s="1491">
        <f>-K294*$H$200</f>
        <v>-1003.8461538461538</v>
      </c>
      <c r="L305" s="1491">
        <f>-L294*$H$200</f>
        <v>-1003.8461538461538</v>
      </c>
      <c r="M305" s="1491">
        <f>-M294*$H$200</f>
        <v>-1003.8461538461538</v>
      </c>
      <c r="O305" s="365"/>
    </row>
    <row r="306" spans="2:18" s="366" customFormat="1">
      <c r="B306" s="365"/>
      <c r="E306" s="366" t="s">
        <v>3851</v>
      </c>
      <c r="O306" s="365"/>
      <c r="R306" s="366" t="s">
        <v>1792</v>
      </c>
    </row>
    <row r="307" spans="2:18" s="366" customFormat="1">
      <c r="B307" s="365"/>
      <c r="E307" s="366" t="s">
        <v>1619</v>
      </c>
      <c r="H307" s="364"/>
      <c r="I307" s="364">
        <v>0</v>
      </c>
      <c r="J307" s="364">
        <v>0</v>
      </c>
      <c r="K307" s="364">
        <v>0</v>
      </c>
      <c r="L307" s="364">
        <v>0</v>
      </c>
      <c r="M307" s="364">
        <v>0</v>
      </c>
      <c r="O307" s="365"/>
      <c r="R307" s="366" t="s">
        <v>1622</v>
      </c>
    </row>
    <row r="308" spans="2:18" s="366" customFormat="1">
      <c r="B308" s="365"/>
      <c r="E308" s="366" t="s">
        <v>1620</v>
      </c>
      <c r="H308" s="366">
        <f t="shared" ref="H308:M308" si="228">SUM(H300:H307)</f>
        <v>-158788.88762433361</v>
      </c>
      <c r="I308" s="366">
        <f t="shared" si="228"/>
        <v>-291088.49351067707</v>
      </c>
      <c r="J308" s="366">
        <f t="shared" si="228"/>
        <v>-18466.223876956206</v>
      </c>
      <c r="K308" s="366">
        <f t="shared" si="228"/>
        <v>190538.54415995962</v>
      </c>
      <c r="L308" s="366">
        <f t="shared" si="228"/>
        <v>337964.1190581352</v>
      </c>
      <c r="M308" s="366">
        <f t="shared" si="228"/>
        <v>562240.37163992994</v>
      </c>
      <c r="O308" s="365"/>
    </row>
    <row r="309" spans="2:18">
      <c r="B309" s="1033"/>
      <c r="C309" s="192"/>
      <c r="D309" s="647"/>
      <c r="E309" s="1507" t="s">
        <v>2688</v>
      </c>
      <c r="F309" s="647"/>
      <c r="G309" s="647"/>
      <c r="H309" s="1743">
        <v>0.4</v>
      </c>
      <c r="I309" s="1508">
        <f>H309</f>
        <v>0.4</v>
      </c>
      <c r="J309" s="1508">
        <f>I309</f>
        <v>0.4</v>
      </c>
      <c r="K309" s="1508">
        <f>J309</f>
        <v>0.4</v>
      </c>
      <c r="L309" s="1508">
        <f>K309</f>
        <v>0.4</v>
      </c>
      <c r="M309" s="1508">
        <f>L309</f>
        <v>0.4</v>
      </c>
      <c r="O309" s="636"/>
    </row>
    <row r="310" spans="2:18" s="366" customFormat="1">
      <c r="B310" s="365"/>
      <c r="E310" s="366" t="s">
        <v>1621</v>
      </c>
      <c r="H310" s="366">
        <f t="shared" ref="H310:M310" si="229">H308*H309</f>
        <v>-63515.555049733448</v>
      </c>
      <c r="I310" s="366">
        <f t="shared" si="229"/>
        <v>-116435.39740427083</v>
      </c>
      <c r="J310" s="366">
        <f t="shared" si="229"/>
        <v>-7386.4895507824831</v>
      </c>
      <c r="K310" s="366">
        <f t="shared" si="229"/>
        <v>76215.417663983855</v>
      </c>
      <c r="L310" s="366">
        <f t="shared" si="229"/>
        <v>135185.64762325407</v>
      </c>
      <c r="M310" s="366">
        <f t="shared" si="229"/>
        <v>224896.14865597198</v>
      </c>
      <c r="O310" s="365"/>
      <c r="Q310" s="373"/>
      <c r="R310" s="109"/>
    </row>
    <row r="311" spans="2:18">
      <c r="B311" s="322"/>
      <c r="O311" s="636"/>
    </row>
    <row r="312" spans="2:18">
      <c r="B312" s="322"/>
      <c r="O312" s="636"/>
    </row>
    <row r="313" spans="2:18">
      <c r="B313" s="322"/>
      <c r="O313" s="636"/>
    </row>
    <row r="314" spans="2:18">
      <c r="B314" s="322"/>
      <c r="C314" s="322"/>
      <c r="D314" s="636"/>
      <c r="E314" s="322"/>
      <c r="F314" s="636"/>
      <c r="G314" s="636"/>
      <c r="H314" s="636"/>
      <c r="I314" s="322"/>
      <c r="J314" s="322"/>
      <c r="K314" s="322"/>
      <c r="L314" s="322"/>
      <c r="M314" s="322"/>
      <c r="N314" s="636"/>
      <c r="O314" s="636"/>
    </row>
    <row r="315" spans="2:18">
      <c r="C315" s="109" t="s">
        <v>2517</v>
      </c>
    </row>
    <row r="316" spans="2:18">
      <c r="F316" s="379" t="s">
        <v>709</v>
      </c>
      <c r="G316" s="373" t="s">
        <v>2518</v>
      </c>
      <c r="I316" s="1796"/>
      <c r="J316" s="1796"/>
      <c r="K316" s="1796"/>
      <c r="L316" s="1796"/>
      <c r="M316" s="1796"/>
    </row>
    <row r="317" spans="2:18">
      <c r="F317" s="379">
        <v>1</v>
      </c>
      <c r="G317" s="1800">
        <v>0.1429</v>
      </c>
      <c r="H317" s="1801" t="s">
        <v>3673</v>
      </c>
      <c r="I317" s="1802">
        <f>H271*G317</f>
        <v>112519.23421800001</v>
      </c>
      <c r="J317" s="1802">
        <f>H271*G318</f>
        <v>192833.87305800003</v>
      </c>
      <c r="K317" s="1802">
        <f>H271*G319</f>
        <v>137715.98365800001</v>
      </c>
      <c r="L317" s="1802">
        <f>H271*G320</f>
        <v>98346.06265800001</v>
      </c>
      <c r="M317" s="1802">
        <f>H271*G321</f>
        <v>70314.678906000001</v>
      </c>
    </row>
    <row r="318" spans="2:18">
      <c r="F318" s="379">
        <f t="shared" ref="F318:F324" si="230">F317+1</f>
        <v>2</v>
      </c>
      <c r="G318" s="1800">
        <v>0.24490000000000001</v>
      </c>
      <c r="H318" s="1801" t="s">
        <v>3674</v>
      </c>
      <c r="I318" s="1802">
        <f>I254*G317</f>
        <v>11764.391354166664</v>
      </c>
      <c r="J318" s="1802">
        <f>I254*G318</f>
        <v>20161.647604166665</v>
      </c>
      <c r="K318" s="1802">
        <f>I254*G319</f>
        <v>14398.824687499999</v>
      </c>
      <c r="L318" s="1802">
        <f>I254*G320</f>
        <v>10282.522604166665</v>
      </c>
      <c r="M318" s="1802">
        <f>I254*G321</f>
        <v>7351.7155208333324</v>
      </c>
    </row>
    <row r="319" spans="2:18">
      <c r="F319" s="379">
        <f t="shared" si="230"/>
        <v>3</v>
      </c>
      <c r="G319" s="1800">
        <v>0.1749</v>
      </c>
      <c r="H319" s="1801" t="s">
        <v>3675</v>
      </c>
      <c r="I319" s="1802"/>
      <c r="J319" s="1802">
        <f>J254*G317</f>
        <v>13103.611452083334</v>
      </c>
      <c r="K319" s="1802">
        <f>J254*G318</f>
        <v>22456.784077083335</v>
      </c>
      <c r="L319" s="1802">
        <f>J254*G319</f>
        <v>16037.940118750003</v>
      </c>
      <c r="M319" s="1802">
        <f>J254*G320</f>
        <v>11453.051577083334</v>
      </c>
    </row>
    <row r="320" spans="2:18">
      <c r="F320" s="379">
        <f t="shared" si="230"/>
        <v>4</v>
      </c>
      <c r="G320" s="1800">
        <v>0.1249</v>
      </c>
      <c r="H320" s="1801" t="s">
        <v>3676</v>
      </c>
      <c r="I320" s="1802"/>
      <c r="J320" s="1802"/>
      <c r="K320" s="1802">
        <f>K254*G317</f>
        <v>13099.089857916661</v>
      </c>
      <c r="L320" s="1802">
        <f>K254*G318</f>
        <v>22449.035032916658</v>
      </c>
      <c r="M320" s="1802">
        <f>K254*G319</f>
        <v>16032.405991249992</v>
      </c>
    </row>
    <row r="321" spans="6:13">
      <c r="F321" s="379">
        <f t="shared" si="230"/>
        <v>5</v>
      </c>
      <c r="G321" s="1800">
        <v>8.9300000000000004E-2</v>
      </c>
      <c r="H321" s="1801" t="s">
        <v>3677</v>
      </c>
      <c r="I321" s="1802"/>
      <c r="J321" s="1802"/>
      <c r="K321" s="1802"/>
      <c r="L321" s="1802">
        <f>L254*G317</f>
        <v>10816.625609716653</v>
      </c>
      <c r="M321" s="1802">
        <f>L254*G318</f>
        <v>18537.380068716648</v>
      </c>
    </row>
    <row r="322" spans="6:13">
      <c r="F322" s="379">
        <f t="shared" si="230"/>
        <v>6</v>
      </c>
      <c r="G322" s="1800">
        <v>8.9200000000000002E-2</v>
      </c>
      <c r="H322" s="1801" t="s">
        <v>3678</v>
      </c>
      <c r="I322" s="1802"/>
      <c r="J322" s="1802"/>
      <c r="K322" s="1802"/>
      <c r="L322" s="1802"/>
      <c r="M322" s="1802">
        <f>M254*G317</f>
        <v>9890.0954616539966</v>
      </c>
    </row>
    <row r="323" spans="6:13">
      <c r="F323" s="379">
        <f t="shared" si="230"/>
        <v>7</v>
      </c>
      <c r="G323" s="1800">
        <v>8.9300000000000004E-2</v>
      </c>
      <c r="I323" s="1802"/>
      <c r="J323" s="1802"/>
      <c r="K323" s="1802"/>
      <c r="L323" s="1802"/>
      <c r="M323" s="1802"/>
    </row>
    <row r="324" spans="6:13">
      <c r="F324" s="379">
        <f t="shared" si="230"/>
        <v>8</v>
      </c>
      <c r="G324" s="1800">
        <v>4.4600000000000001E-2</v>
      </c>
      <c r="I324" s="1802"/>
      <c r="J324" s="1802"/>
      <c r="K324" s="1802"/>
      <c r="L324" s="1802"/>
      <c r="M324" s="1802"/>
    </row>
    <row r="325" spans="6:13">
      <c r="G325" s="379"/>
      <c r="I325" s="1802">
        <f>SUM(I317:I324)</f>
        <v>124283.62557216668</v>
      </c>
      <c r="J325" s="1802">
        <f>SUM(J317:J324)</f>
        <v>226099.13211425004</v>
      </c>
      <c r="K325" s="1802">
        <f>SUM(K317:K324)</f>
        <v>187670.68228050001</v>
      </c>
      <c r="L325" s="1802">
        <f>SUM(L317:L324)</f>
        <v>157932.18602354999</v>
      </c>
      <c r="M325" s="1802">
        <f>SUM(M317:M324)</f>
        <v>133579.32752553729</v>
      </c>
    </row>
    <row r="327" spans="6:13">
      <c r="G327" s="641" t="s">
        <v>2142</v>
      </c>
    </row>
    <row r="328" spans="6:13">
      <c r="G328" s="1857">
        <f>IF(DVAOwnership&lt;1,0,0.5)</f>
        <v>0</v>
      </c>
    </row>
    <row r="329" spans="6:13">
      <c r="G329" s="1856" t="str">
        <f>CONCATENATE("Claws back ",TEXT(G328,"0%"), " of the treatments over 3.0x/weeek")</f>
        <v>Claws back 0% of the treatments over 3.0x/weeek</v>
      </c>
    </row>
  </sheetData>
  <phoneticPr fontId="0" type="noConversion"/>
  <conditionalFormatting sqref="H195:BZ195 BZ56 H164:BY164 BZ69:BZ70 BZ58:BZ59 BZ64:BZ66 BZ39 BZ50:BZ51 BZ22 BZ41:BZ42 BZ14 BZ31 BZ33:BZ34 BZ16:BZ17 BZ24:BZ25 BZ48 BZ72:BZ193">
    <cfRule type="cellIs" dxfId="6" priority="1" stopIfTrue="1" operator="notEqual">
      <formula>0</formula>
    </cfRule>
  </conditionalFormatting>
  <dataValidations count="1">
    <dataValidation type="list" allowBlank="1" showInputMessage="1" showErrorMessage="1" sqref="Q205 Q207">
      <formula1>ChooseYesNo</formula1>
    </dataValidation>
  </dataValidations>
  <pageMargins left="0.75" right="0.75" top="0.5" bottom="0.5" header="0.3" footer="0.24"/>
  <pageSetup scale="56" orientation="portrait" horizontalDpi="4294967292" r:id="rId1"/>
  <headerFooter alignWithMargins="0">
    <oddHeader>&amp;L&amp;F&amp;C&amp;A</oddHeader>
    <oddFooter>&amp;L&amp;A&amp;C&amp;P of &amp;N&amp;R&amp;D &amp;T</oddFooter>
  </headerFooter>
  <rowBreaks count="4" manualBreakCount="4">
    <brk id="61" min="1" max="14" man="1"/>
    <brk id="134" min="1" max="14" man="1"/>
    <brk id="197" min="1" max="14" man="1"/>
    <brk id="242" max="16383" man="1"/>
  </rowBreaks>
  <legacyDrawing r:id="rId2"/>
</worksheet>
</file>

<file path=xl/worksheets/sheet39.xml><?xml version="1.0" encoding="utf-8"?>
<worksheet xmlns="http://schemas.openxmlformats.org/spreadsheetml/2006/main" xmlns:r="http://schemas.openxmlformats.org/officeDocument/2006/relationships">
  <sheetPr codeName="Sheet29" enableFormatConditionsCalculation="0">
    <tabColor indexed="43"/>
    <pageSetUpPr autoPageBreaks="0" fitToPage="1"/>
  </sheetPr>
  <dimension ref="A1:BI264"/>
  <sheetViews>
    <sheetView showGridLines="0" zoomScale="80" zoomScaleNormal="80" workbookViewId="0">
      <pane xSplit="7" ySplit="6" topLeftCell="R211" activePane="bottomRight" state="frozen"/>
      <selection activeCell="R10" sqref="R10"/>
      <selection pane="topRight" activeCell="R10" sqref="R10"/>
      <selection pane="bottomLeft" activeCell="R10" sqref="R10"/>
      <selection pane="bottomRight" activeCell="AB251" sqref="AB251"/>
    </sheetView>
  </sheetViews>
  <sheetFormatPr defaultRowHeight="11.25" outlineLevelRow="1" outlineLevelCol="1"/>
  <cols>
    <col min="1" max="6" width="2.7109375" style="663" customWidth="1"/>
    <col min="7" max="7" width="26.7109375" style="663" customWidth="1"/>
    <col min="8" max="8" width="2.7109375" style="359" customWidth="1"/>
    <col min="9" max="9" width="10.28515625" style="359" bestFit="1" customWidth="1"/>
    <col min="10" max="14" width="10.7109375" style="359" customWidth="1"/>
    <col min="15" max="15" width="2.7109375" style="359" customWidth="1"/>
    <col min="16" max="16" width="10.28515625" style="359" bestFit="1" customWidth="1"/>
    <col min="17" max="21" width="10.7109375" style="359" customWidth="1"/>
    <col min="22" max="22" width="12.42578125" style="359" bestFit="1" customWidth="1"/>
    <col min="23" max="23" width="9.7109375" style="359" customWidth="1"/>
    <col min="24" max="28" width="10.7109375" style="359" customWidth="1"/>
    <col min="29" max="29" width="2.7109375" style="359" customWidth="1"/>
    <col min="30" max="30" width="3.7109375" style="954" hidden="1" customWidth="1" outlineLevel="1"/>
    <col min="31" max="35" width="10.7109375" style="359" hidden="1" customWidth="1" outlineLevel="1"/>
    <col min="36" max="36" width="3.7109375" style="954" hidden="1" customWidth="1" outlineLevel="1"/>
    <col min="37" max="42" width="10.7109375" style="954" hidden="1" customWidth="1" outlineLevel="1"/>
    <col min="43" max="43" width="2.7109375" style="954" hidden="1" customWidth="1" outlineLevel="1"/>
    <col min="44" max="44" width="10.28515625" style="359" hidden="1" customWidth="1" outlineLevel="1"/>
    <col min="45" max="49" width="10.7109375" style="359" hidden="1" customWidth="1" outlineLevel="1"/>
    <col min="50" max="50" width="2.7109375" style="359" hidden="1" customWidth="1" outlineLevel="1"/>
    <col min="51" max="51" width="9.140625" style="359" collapsed="1"/>
    <col min="52" max="16384" width="9.140625" style="359"/>
  </cols>
  <sheetData>
    <row r="1" spans="1:50">
      <c r="A1" s="663">
        <v>1075</v>
      </c>
      <c r="X1" s="2027"/>
      <c r="Y1" s="2027"/>
      <c r="Z1" s="2027"/>
    </row>
    <row r="2" spans="1:50">
      <c r="B2" s="664"/>
      <c r="C2" s="665" t="str">
        <f>Type&amp;"'s Effect on Parent(s) / Market"</f>
        <v>DeNovo's Effect on Parent(s) / Market</v>
      </c>
      <c r="D2" s="664"/>
      <c r="E2" s="664"/>
      <c r="F2" s="664"/>
      <c r="G2" s="664"/>
      <c r="H2" s="358"/>
      <c r="I2" s="358"/>
      <c r="J2" s="358"/>
      <c r="K2" s="358"/>
      <c r="L2" s="358"/>
      <c r="M2" s="358"/>
      <c r="N2" s="358"/>
      <c r="O2" s="358"/>
      <c r="P2" s="358"/>
      <c r="Q2" s="358"/>
      <c r="R2" s="358"/>
      <c r="S2" s="358"/>
      <c r="T2" s="358"/>
      <c r="U2" s="358"/>
      <c r="V2" s="358"/>
      <c r="W2" s="358" t="s">
        <v>3952</v>
      </c>
      <c r="X2" s="358"/>
      <c r="Y2" s="358"/>
      <c r="Z2" s="358"/>
      <c r="AA2" s="358"/>
      <c r="AB2" s="358"/>
      <c r="AC2" s="358"/>
      <c r="AE2" s="954" t="s">
        <v>3953</v>
      </c>
      <c r="AF2" s="954"/>
      <c r="AG2" s="954"/>
      <c r="AH2" s="954"/>
      <c r="AI2" s="954"/>
      <c r="AR2" s="954"/>
      <c r="AS2" s="954"/>
      <c r="AT2" s="954"/>
      <c r="AU2" s="954"/>
      <c r="AV2" s="954"/>
      <c r="AW2" s="954"/>
      <c r="AX2" s="954"/>
    </row>
    <row r="3" spans="1:50">
      <c r="B3" s="664"/>
      <c r="AC3" s="358"/>
    </row>
    <row r="4" spans="1:50">
      <c r="B4" s="664"/>
      <c r="I4" s="2024"/>
      <c r="J4" s="2024"/>
      <c r="K4" s="2024"/>
      <c r="L4" s="2024"/>
      <c r="M4" s="2024"/>
      <c r="N4" s="2024"/>
      <c r="O4" s="2024"/>
      <c r="P4" s="2024"/>
      <c r="Q4" s="2024"/>
      <c r="R4" s="2024"/>
      <c r="S4" s="2024"/>
      <c r="T4" s="2024"/>
      <c r="U4" s="2024"/>
      <c r="V4" s="2024"/>
      <c r="W4" s="2024"/>
      <c r="X4" s="2024"/>
      <c r="Y4" s="2024"/>
      <c r="Z4" s="2024"/>
      <c r="AA4" s="2024"/>
      <c r="AB4" s="2024"/>
      <c r="AC4" s="2048"/>
      <c r="AE4" s="2024"/>
      <c r="AF4" s="2024"/>
      <c r="AG4" s="2024"/>
      <c r="AH4" s="2024"/>
      <c r="AI4" s="2024"/>
      <c r="AJ4" s="2013"/>
      <c r="AK4" s="2013"/>
      <c r="AL4" s="2013"/>
      <c r="AM4" s="2013"/>
      <c r="AN4" s="2013"/>
      <c r="AO4" s="2013"/>
      <c r="AP4" s="2013"/>
      <c r="AQ4" s="955"/>
      <c r="AR4" s="360"/>
      <c r="AS4" s="360"/>
      <c r="AT4" s="360"/>
      <c r="AU4" s="360"/>
      <c r="AV4" s="360"/>
      <c r="AW4" s="360"/>
    </row>
    <row r="5" spans="1:50">
      <c r="B5" s="664"/>
      <c r="I5" s="360" t="str">
        <f>"Parent(s) before "&amp;Type</f>
        <v>Parent(s) before DeNovo</v>
      </c>
      <c r="J5" s="360"/>
      <c r="K5" s="360"/>
      <c r="L5" s="360"/>
      <c r="M5" s="360"/>
      <c r="N5" s="360"/>
      <c r="P5" s="360"/>
      <c r="Q5" s="360" t="str">
        <f>Type</f>
        <v>DeNovo</v>
      </c>
      <c r="R5" s="360"/>
      <c r="S5" s="360"/>
      <c r="T5" s="360"/>
      <c r="U5" s="360"/>
      <c r="W5" s="360"/>
      <c r="X5" s="360" t="str">
        <f>Type&amp;" Incremental to DVA"</f>
        <v>DeNovo Incremental to DVA</v>
      </c>
      <c r="Y5" s="360"/>
      <c r="Z5" s="360"/>
      <c r="AA5" s="360"/>
      <c r="AB5" s="360"/>
      <c r="AC5" s="358"/>
      <c r="AE5" s="360" t="str">
        <f>Type&amp;" Cannabilization of Parent(s)"</f>
        <v>DeNovo Cannabilization of Parent(s)</v>
      </c>
      <c r="AF5" s="360"/>
      <c r="AG5" s="360"/>
      <c r="AH5" s="360"/>
      <c r="AI5" s="360"/>
      <c r="AJ5" s="2032"/>
      <c r="AK5" s="2013"/>
      <c r="AL5" s="2013" t="str">
        <f>"Parent(s) After "&amp;Type</f>
        <v>Parent(s) After DeNovo</v>
      </c>
      <c r="AM5" s="2013"/>
      <c r="AN5" s="2013"/>
      <c r="AO5" s="2013"/>
      <c r="AP5" s="2013"/>
      <c r="AR5" s="360"/>
      <c r="AS5" s="360" t="str">
        <f>"Market after "&amp;Type&amp;", including "&amp;Type</f>
        <v>Market after DeNovo, including DeNovo</v>
      </c>
      <c r="AT5" s="360"/>
      <c r="AU5" s="360"/>
      <c r="AV5" s="360"/>
      <c r="AW5" s="360"/>
    </row>
    <row r="6" spans="1:50">
      <c r="B6" s="664"/>
      <c r="D6" s="663" t="s">
        <v>92</v>
      </c>
      <c r="G6" s="370">
        <f ca="1">'1.0 Summary'!$K$10</f>
        <v>41816</v>
      </c>
      <c r="H6" s="370"/>
      <c r="I6" s="361" t="s">
        <v>1857</v>
      </c>
      <c r="J6" s="361" t="s">
        <v>1090</v>
      </c>
      <c r="K6" s="361" t="s">
        <v>1091</v>
      </c>
      <c r="L6" s="361" t="s">
        <v>2165</v>
      </c>
      <c r="M6" s="361" t="s">
        <v>2166</v>
      </c>
      <c r="N6" s="361" t="s">
        <v>2167</v>
      </c>
      <c r="P6" s="361" t="s">
        <v>1857</v>
      </c>
      <c r="Q6" s="361" t="s">
        <v>1090</v>
      </c>
      <c r="R6" s="361" t="s">
        <v>1091</v>
      </c>
      <c r="S6" s="361" t="s">
        <v>2165</v>
      </c>
      <c r="T6" s="361" t="s">
        <v>2166</v>
      </c>
      <c r="U6" s="361" t="s">
        <v>2167</v>
      </c>
      <c r="V6" s="361"/>
      <c r="W6" s="361" t="s">
        <v>1857</v>
      </c>
      <c r="X6" s="361" t="s">
        <v>1090</v>
      </c>
      <c r="Y6" s="361" t="s">
        <v>1091</v>
      </c>
      <c r="Z6" s="361" t="s">
        <v>2165</v>
      </c>
      <c r="AA6" s="361" t="s">
        <v>2166</v>
      </c>
      <c r="AB6" s="361" t="s">
        <v>2167</v>
      </c>
      <c r="AC6" s="1872"/>
      <c r="AD6" s="2014"/>
      <c r="AE6" s="361" t="s">
        <v>1090</v>
      </c>
      <c r="AF6" s="361" t="s">
        <v>1091</v>
      </c>
      <c r="AG6" s="361" t="s">
        <v>2165</v>
      </c>
      <c r="AH6" s="361" t="s">
        <v>2166</v>
      </c>
      <c r="AI6" s="361" t="s">
        <v>2167</v>
      </c>
      <c r="AJ6" s="2014"/>
      <c r="AK6" s="361" t="s">
        <v>1857</v>
      </c>
      <c r="AL6" s="2014" t="s">
        <v>1090</v>
      </c>
      <c r="AM6" s="2014" t="s">
        <v>1091</v>
      </c>
      <c r="AN6" s="2014" t="s">
        <v>2165</v>
      </c>
      <c r="AO6" s="2014" t="s">
        <v>2166</v>
      </c>
      <c r="AP6" s="2014" t="s">
        <v>2167</v>
      </c>
      <c r="AR6" s="361" t="s">
        <v>1857</v>
      </c>
      <c r="AS6" s="361" t="s">
        <v>1090</v>
      </c>
      <c r="AT6" s="361" t="s">
        <v>1091</v>
      </c>
      <c r="AU6" s="361" t="s">
        <v>2165</v>
      </c>
      <c r="AV6" s="361" t="s">
        <v>2166</v>
      </c>
      <c r="AW6" s="361" t="s">
        <v>2167</v>
      </c>
      <c r="AX6" s="361"/>
    </row>
    <row r="7" spans="1:50" s="663" customFormat="1">
      <c r="B7" s="664"/>
      <c r="AC7" s="664"/>
      <c r="AD7" s="1161"/>
      <c r="AJ7" s="1161"/>
      <c r="AK7" s="1161"/>
      <c r="AL7" s="1161"/>
      <c r="AM7" s="1161"/>
      <c r="AN7" s="1161"/>
      <c r="AO7" s="1161"/>
      <c r="AP7" s="1161"/>
      <c r="AQ7" s="1161"/>
    </row>
    <row r="8" spans="1:50" s="663" customFormat="1">
      <c r="B8" s="664"/>
      <c r="D8" s="666" t="s">
        <v>1148</v>
      </c>
      <c r="AC8" s="664"/>
      <c r="AD8" s="1161"/>
      <c r="AJ8" s="1161"/>
      <c r="AK8" s="1161"/>
      <c r="AL8" s="1161"/>
      <c r="AM8" s="1161"/>
      <c r="AN8" s="1161"/>
      <c r="AO8" s="1161"/>
      <c r="AP8" s="1161"/>
      <c r="AQ8" s="1161"/>
    </row>
    <row r="9" spans="1:50" s="663" customFormat="1">
      <c r="B9" s="664"/>
      <c r="AC9" s="664"/>
      <c r="AD9" s="1161"/>
      <c r="AJ9" s="1161"/>
      <c r="AK9" s="1161"/>
      <c r="AL9" s="1161"/>
      <c r="AM9" s="1161"/>
      <c r="AN9" s="1161"/>
      <c r="AO9" s="1161"/>
      <c r="AP9" s="1161"/>
      <c r="AQ9" s="1161"/>
    </row>
    <row r="10" spans="1:50" s="663" customFormat="1">
      <c r="B10" s="664"/>
      <c r="E10" s="663" t="s">
        <v>3324</v>
      </c>
      <c r="I10" s="667"/>
      <c r="AC10" s="664"/>
      <c r="AD10" s="1161"/>
      <c r="AJ10" s="1161"/>
      <c r="AK10" s="1161"/>
      <c r="AL10" s="1161"/>
      <c r="AM10" s="1161"/>
      <c r="AN10" s="1161"/>
      <c r="AO10" s="1161"/>
      <c r="AP10" s="1161"/>
      <c r="AQ10" s="1161"/>
    </row>
    <row r="11" spans="1:50" s="663" customFormat="1" outlineLevel="1">
      <c r="B11" s="664"/>
      <c r="F11" s="393" t="s">
        <v>2060</v>
      </c>
      <c r="I11" s="1125"/>
      <c r="J11" s="2015">
        <f>AVERAGE('2.0 Patients'!$R$21:$AC$21)</f>
        <v>48</v>
      </c>
      <c r="K11" s="2015">
        <f>AVERAGE('2.0 Patients'!$AD$21:$AO$21)</f>
        <v>48</v>
      </c>
      <c r="L11" s="2015">
        <f>AVERAGE('2.0 Patients'!$AP$21:$BA$21)</f>
        <v>48</v>
      </c>
      <c r="M11" s="2015">
        <f>AVERAGE('2.0 Patients'!$BB$21:$BM$21)</f>
        <v>48</v>
      </c>
      <c r="N11" s="2015">
        <f>AVERAGE('2.0 Patients'!$BN$21:$BY$21)</f>
        <v>48</v>
      </c>
      <c r="P11" s="1125"/>
      <c r="Q11" s="1125">
        <f>'5. Financials'!I11</f>
        <v>12.458333333333334</v>
      </c>
      <c r="R11" s="1125">
        <f>'5. Financials'!J11</f>
        <v>32.75</v>
      </c>
      <c r="S11" s="1125">
        <f>'5. Financials'!K11</f>
        <v>47.5</v>
      </c>
      <c r="T11" s="1125">
        <f>'5. Financials'!L11</f>
        <v>59.5</v>
      </c>
      <c r="U11" s="1125">
        <f>'5. Financials'!M11</f>
        <v>69.333333333333371</v>
      </c>
      <c r="W11" s="1133"/>
      <c r="X11" s="2015">
        <f>(Q11*DVAOwnership)+(AL11*pshare)-(J11*pshare)</f>
        <v>7.4750000000000014</v>
      </c>
      <c r="Y11" s="2015">
        <f>(R11*DVAOwnership)+(AM11*pshare)-(K11*pshare)</f>
        <v>19.649999999999999</v>
      </c>
      <c r="Z11" s="2015">
        <f>(S11*DVAOwnership)+(AN11*pshare)-(L11*pshare)</f>
        <v>28.5</v>
      </c>
      <c r="AA11" s="2015">
        <f>(T11*DVAOwnership)+(AO11*pshare)-(M11*pshare)</f>
        <v>35.700000000000003</v>
      </c>
      <c r="AB11" s="2015">
        <f>(U11*DVAOwnership)+(AP11*pshare)-(N11*pshare)</f>
        <v>41.600000000000023</v>
      </c>
      <c r="AC11" s="664"/>
      <c r="AD11" s="1161"/>
      <c r="AE11" s="2015">
        <f>(J11-AL11)*pshare</f>
        <v>0</v>
      </c>
      <c r="AF11" s="2015">
        <f>(K11-AM11)*pshare</f>
        <v>0</v>
      </c>
      <c r="AG11" s="2015">
        <f>(L11-AN11)*pshare</f>
        <v>0</v>
      </c>
      <c r="AH11" s="2015">
        <f>(M11-AO11)*pshare</f>
        <v>0</v>
      </c>
      <c r="AI11" s="2015">
        <f>(N11-AP11)*pshare</f>
        <v>0</v>
      </c>
      <c r="AJ11" s="2015"/>
      <c r="AK11" s="2015"/>
      <c r="AL11" s="2015">
        <f>AVERAGE('2.0 Patients'!$R$47:$AC$47)</f>
        <v>48</v>
      </c>
      <c r="AM11" s="2015">
        <f>AVERAGE('2.0 Patients'!$AD$47:$AO$47)</f>
        <v>48</v>
      </c>
      <c r="AN11" s="2015">
        <f>AVERAGE('2.0 Patients'!$AP$47:$BA$47)</f>
        <v>48</v>
      </c>
      <c r="AO11" s="2015">
        <f>AVERAGE('2.0 Patients'!$BB$47:$BM$47)</f>
        <v>48</v>
      </c>
      <c r="AP11" s="2015">
        <f>AVERAGE('2.0 Patients'!$BN$47:$BY$47)</f>
        <v>48</v>
      </c>
      <c r="AQ11" s="1161"/>
      <c r="AR11" s="1125"/>
      <c r="AS11" s="1125">
        <f>Q11+AL11</f>
        <v>60.458333333333336</v>
      </c>
      <c r="AT11" s="1125">
        <f>R11+AM11</f>
        <v>80.75</v>
      </c>
      <c r="AU11" s="1125">
        <f>S11+AN11</f>
        <v>95.5</v>
      </c>
      <c r="AV11" s="1125">
        <f>T11+AO11</f>
        <v>107.5</v>
      </c>
      <c r="AW11" s="1125">
        <f>U11+AP11</f>
        <v>117.33333333333337</v>
      </c>
    </row>
    <row r="12" spans="1:50" s="663" customFormat="1" outlineLevel="1">
      <c r="B12" s="664"/>
      <c r="F12" s="1131" t="s">
        <v>2474</v>
      </c>
      <c r="I12" s="1133"/>
      <c r="J12" s="1133">
        <f>'2.1 Reimburse'!H46</f>
        <v>3</v>
      </c>
      <c r="K12" s="1133">
        <f>'2.1 Reimburse'!I46</f>
        <v>3</v>
      </c>
      <c r="L12" s="1133">
        <f>'2.1 Reimburse'!J46</f>
        <v>3</v>
      </c>
      <c r="M12" s="1133">
        <f>'2.1 Reimburse'!K46</f>
        <v>3</v>
      </c>
      <c r="N12" s="1133">
        <f>'2.1 Reimburse'!L46</f>
        <v>3</v>
      </c>
      <c r="P12" s="1133"/>
      <c r="Q12" s="1133">
        <f>'5. Financials'!I12</f>
        <v>3</v>
      </c>
      <c r="R12" s="1133">
        <f>'5. Financials'!J12</f>
        <v>3</v>
      </c>
      <c r="S12" s="1133">
        <f>'5. Financials'!K12</f>
        <v>3</v>
      </c>
      <c r="T12" s="1133">
        <f>'5. Financials'!L12</f>
        <v>3</v>
      </c>
      <c r="U12" s="1133">
        <f>'5. Financials'!M12</f>
        <v>3</v>
      </c>
      <c r="W12" s="1133"/>
      <c r="X12" s="1133"/>
      <c r="Y12" s="1133"/>
      <c r="Z12" s="1133"/>
      <c r="AA12" s="1133"/>
      <c r="AB12" s="1133"/>
      <c r="AC12" s="664"/>
      <c r="AD12" s="1161"/>
      <c r="AE12" s="1740">
        <f>'2.1 Reimburse'!H46</f>
        <v>3</v>
      </c>
      <c r="AF12" s="1740">
        <f>'2.1 Reimburse'!I46</f>
        <v>3</v>
      </c>
      <c r="AG12" s="1740">
        <f>'2.1 Reimburse'!J46</f>
        <v>3</v>
      </c>
      <c r="AH12" s="1740">
        <f>'2.1 Reimburse'!K46</f>
        <v>3</v>
      </c>
      <c r="AI12" s="1740">
        <f>'2.1 Reimburse'!L46</f>
        <v>3</v>
      </c>
      <c r="AJ12" s="1740"/>
      <c r="AK12" s="1740"/>
      <c r="AL12" s="1740">
        <f>'2.1 Reimburse'!H46</f>
        <v>3</v>
      </c>
      <c r="AM12" s="1740">
        <f>'2.1 Reimburse'!I46</f>
        <v>3</v>
      </c>
      <c r="AN12" s="1740">
        <f>'2.1 Reimburse'!J46</f>
        <v>3</v>
      </c>
      <c r="AO12" s="1740">
        <f>'2.1 Reimburse'!K46</f>
        <v>3</v>
      </c>
      <c r="AP12" s="1740">
        <f>'2.1 Reimburse'!L46</f>
        <v>3</v>
      </c>
      <c r="AQ12" s="1161"/>
      <c r="AR12" s="1133"/>
      <c r="AS12" s="1133"/>
      <c r="AT12" s="1133"/>
      <c r="AU12" s="1133"/>
      <c r="AV12" s="1133"/>
      <c r="AW12" s="1133"/>
    </row>
    <row r="13" spans="1:50" s="663" customFormat="1" outlineLevel="1">
      <c r="B13" s="664"/>
      <c r="F13" s="657" t="s">
        <v>1989</v>
      </c>
      <c r="I13" s="1306"/>
      <c r="J13" s="1140">
        <f>'2.1 Reimburse'!$J$5</f>
        <v>0.08</v>
      </c>
      <c r="K13" s="1140">
        <f>'2.1 Reimburse'!$J$5</f>
        <v>0.08</v>
      </c>
      <c r="L13" s="1140">
        <f>'2.1 Reimburse'!$J$5</f>
        <v>0.08</v>
      </c>
      <c r="M13" s="1140">
        <f>'2.1 Reimburse'!$J$5</f>
        <v>0.08</v>
      </c>
      <c r="N13" s="1140">
        <f>'2.1 Reimburse'!$J$5</f>
        <v>0.08</v>
      </c>
      <c r="P13" s="1306"/>
      <c r="Q13" s="1140">
        <f>'5. Financials'!I13</f>
        <v>0.08</v>
      </c>
      <c r="R13" s="1140">
        <f>'5. Financials'!J13</f>
        <v>0.08</v>
      </c>
      <c r="S13" s="1140">
        <f>'5. Financials'!K13</f>
        <v>0.08</v>
      </c>
      <c r="T13" s="1140">
        <f>'5. Financials'!L13</f>
        <v>0.08</v>
      </c>
      <c r="U13" s="1140">
        <f>'5. Financials'!M13</f>
        <v>0.08</v>
      </c>
      <c r="W13" s="1306"/>
      <c r="X13" s="1140"/>
      <c r="Y13" s="1140"/>
      <c r="Z13" s="1140"/>
      <c r="AA13" s="1140"/>
      <c r="AB13" s="1140"/>
      <c r="AC13" s="664"/>
      <c r="AD13" s="1161"/>
      <c r="AE13" s="2016">
        <f>'2.1 Reimburse'!$J$5</f>
        <v>0.08</v>
      </c>
      <c r="AF13" s="2016">
        <f>'2.1 Reimburse'!$J$5</f>
        <v>0.08</v>
      </c>
      <c r="AG13" s="2016">
        <f>'2.1 Reimburse'!$J$5</f>
        <v>0.08</v>
      </c>
      <c r="AH13" s="2016">
        <f>'2.1 Reimburse'!$J$5</f>
        <v>0.08</v>
      </c>
      <c r="AI13" s="2016">
        <f>'2.1 Reimburse'!$J$5</f>
        <v>0.08</v>
      </c>
      <c r="AJ13" s="2025"/>
      <c r="AK13" s="2025"/>
      <c r="AL13" s="2016">
        <f>'2.1 Reimburse'!$J$5</f>
        <v>0.08</v>
      </c>
      <c r="AM13" s="2016">
        <f>'2.1 Reimburse'!$J$5</f>
        <v>0.08</v>
      </c>
      <c r="AN13" s="2016">
        <f>'2.1 Reimburse'!$J$5</f>
        <v>0.08</v>
      </c>
      <c r="AO13" s="2016">
        <f>'2.1 Reimburse'!$J$5</f>
        <v>0.08</v>
      </c>
      <c r="AP13" s="2016">
        <f>'2.1 Reimburse'!$J$5</f>
        <v>0.08</v>
      </c>
      <c r="AQ13" s="1161"/>
      <c r="AR13" s="1306"/>
      <c r="AS13" s="1140"/>
      <c r="AT13" s="1140"/>
      <c r="AU13" s="1140"/>
      <c r="AV13" s="1140"/>
      <c r="AW13" s="1140"/>
    </row>
    <row r="14" spans="1:50" s="663" customFormat="1">
      <c r="B14" s="664"/>
      <c r="F14" s="393" t="s">
        <v>2296</v>
      </c>
      <c r="I14" s="1125"/>
      <c r="J14" s="1125">
        <f>J11*J12*52*(1-J13)</f>
        <v>6888.96</v>
      </c>
      <c r="K14" s="1125">
        <f>K11*K12*52*(1-K13)</f>
        <v>6888.96</v>
      </c>
      <c r="L14" s="1125">
        <f>L11*L12*52*(1-L13)</f>
        <v>6888.96</v>
      </c>
      <c r="M14" s="1125">
        <f>M11*M12*52*(1-M13)</f>
        <v>6888.96</v>
      </c>
      <c r="N14" s="1125">
        <f>N11*N12*52*(1-N13)</f>
        <v>6888.96</v>
      </c>
      <c r="P14" s="1125"/>
      <c r="Q14" s="1125">
        <f>'5. Financials'!I14</f>
        <v>1788.0200000000002</v>
      </c>
      <c r="R14" s="1125">
        <f>'5. Financials'!J14</f>
        <v>4700.28</v>
      </c>
      <c r="S14" s="1125">
        <f>'5. Financials'!K14</f>
        <v>6817.2</v>
      </c>
      <c r="T14" s="1125">
        <f>'5. Financials'!L14</f>
        <v>8539.44</v>
      </c>
      <c r="U14" s="1125">
        <f>'5. Financials'!M14</f>
        <v>9950.720000000003</v>
      </c>
      <c r="W14" s="1125"/>
      <c r="X14" s="2015">
        <f>(Q14*DVAOwnership)+(AL14*pshare)-(J14*pshare)</f>
        <v>1072.8119999999999</v>
      </c>
      <c r="Y14" s="2015">
        <f>(R14*DVAOwnership)+(AM14*pshare)-(K14*pshare)</f>
        <v>2820.1679999999997</v>
      </c>
      <c r="Z14" s="2015">
        <f>(S14*DVAOwnership)+(AN14*pshare)-(L14*pshare)</f>
        <v>4090.3199999999997</v>
      </c>
      <c r="AA14" s="2015">
        <f>(T14*DVAOwnership)+(AO14*pshare)-(M14*pshare)</f>
        <v>5123.6640000000007</v>
      </c>
      <c r="AB14" s="2015">
        <f>(U14*DVAOwnership)+(AP14*pshare)-(N14*pshare)</f>
        <v>5970.4320000000007</v>
      </c>
      <c r="AC14" s="664"/>
      <c r="AD14" s="1161"/>
      <c r="AE14" s="2015">
        <f>J14-AL14</f>
        <v>0</v>
      </c>
      <c r="AF14" s="2015">
        <f>K14-AM14</f>
        <v>0</v>
      </c>
      <c r="AG14" s="2015">
        <f>L14-AN14</f>
        <v>0</v>
      </c>
      <c r="AH14" s="2015">
        <f>M14-AO14</f>
        <v>0</v>
      </c>
      <c r="AI14" s="2015">
        <f>N14-AP14</f>
        <v>0</v>
      </c>
      <c r="AJ14" s="2015"/>
      <c r="AK14" s="2015"/>
      <c r="AL14" s="2015">
        <f>AL11*AL12*52*(1-AL13)</f>
        <v>6888.96</v>
      </c>
      <c r="AM14" s="2015">
        <f>AM11*AM12*52*(1-AM13)</f>
        <v>6888.96</v>
      </c>
      <c r="AN14" s="2015">
        <f>AN11*AN12*52*(1-AN13)</f>
        <v>6888.96</v>
      </c>
      <c r="AO14" s="2015">
        <f>AO11*AO12*52*(1-AO13)</f>
        <v>6888.96</v>
      </c>
      <c r="AP14" s="2015">
        <f>AP11*AP12*52*(1-AP13)</f>
        <v>6888.96</v>
      </c>
      <c r="AQ14" s="1161"/>
      <c r="AR14" s="1125"/>
      <c r="AS14" s="1125">
        <f>Q14+AL14</f>
        <v>8676.98</v>
      </c>
      <c r="AT14" s="1125">
        <f>R14+AM14</f>
        <v>11589.24</v>
      </c>
      <c r="AU14" s="1125">
        <f>S14+AN14</f>
        <v>13706.16</v>
      </c>
      <c r="AV14" s="1125">
        <f>T14+AO14</f>
        <v>15428.400000000001</v>
      </c>
      <c r="AW14" s="1125">
        <f>U14+AP14</f>
        <v>16839.680000000004</v>
      </c>
    </row>
    <row r="15" spans="1:50" s="663" customFormat="1">
      <c r="B15" s="664"/>
      <c r="F15" s="1152" t="s">
        <v>9</v>
      </c>
      <c r="I15" s="1157"/>
      <c r="J15" s="1153">
        <f>'2.1 Reimburse'!H14</f>
        <v>258.9182374928285</v>
      </c>
      <c r="K15" s="1153">
        <f>'2.1 Reimburse'!I14</f>
        <v>258.27094189909644</v>
      </c>
      <c r="L15" s="1153">
        <f>'2.1 Reimburse'!J14</f>
        <v>258.27094189909644</v>
      </c>
      <c r="M15" s="1153">
        <f>'2.1 Reimburse'!K14</f>
        <v>258.27094189909644</v>
      </c>
      <c r="N15" s="1153">
        <f>'2.1 Reimburse'!L14</f>
        <v>263.43636073707836</v>
      </c>
      <c r="P15" s="1157"/>
      <c r="Q15" s="1153">
        <f>'5. Financials'!I15</f>
        <v>258.9182374928285</v>
      </c>
      <c r="R15" s="1153">
        <f>'5. Financials'!J15</f>
        <v>258.27094189909644</v>
      </c>
      <c r="S15" s="1153">
        <f>'5. Financials'!K15</f>
        <v>258.27094189909644</v>
      </c>
      <c r="T15" s="1153">
        <f>'5. Financials'!L15</f>
        <v>258.27094189909644</v>
      </c>
      <c r="U15" s="1153">
        <f>'5. Financials'!M15</f>
        <v>263.43636073707836</v>
      </c>
      <c r="W15" s="1157"/>
      <c r="X15" s="1153"/>
      <c r="Y15" s="1153"/>
      <c r="Z15" s="1153"/>
      <c r="AA15" s="1153"/>
      <c r="AB15" s="1153"/>
      <c r="AC15" s="664"/>
      <c r="AD15" s="1161"/>
      <c r="AE15" s="2017">
        <f>'2.1 Reimburse'!H44</f>
        <v>258.9182374928285</v>
      </c>
      <c r="AF15" s="2017">
        <f>'2.1 Reimburse'!I44</f>
        <v>258.27094189909644</v>
      </c>
      <c r="AG15" s="2017">
        <f>'2.1 Reimburse'!J44</f>
        <v>258.27094189909644</v>
      </c>
      <c r="AH15" s="2017">
        <f>'2.1 Reimburse'!K44</f>
        <v>258.27094189909644</v>
      </c>
      <c r="AI15" s="2017">
        <f>'2.1 Reimburse'!L44</f>
        <v>263.43636073707836</v>
      </c>
      <c r="AJ15" s="2026"/>
      <c r="AK15" s="2026"/>
      <c r="AL15" s="2017">
        <f>'2.1 Reimburse'!H14</f>
        <v>258.9182374928285</v>
      </c>
      <c r="AM15" s="2017">
        <f>'2.1 Reimburse'!I14</f>
        <v>258.27094189909644</v>
      </c>
      <c r="AN15" s="2017">
        <f>'2.1 Reimburse'!J14</f>
        <v>258.27094189909644</v>
      </c>
      <c r="AO15" s="2017">
        <f>'2.1 Reimburse'!K14</f>
        <v>258.27094189909644</v>
      </c>
      <c r="AP15" s="2017">
        <f>'2.1 Reimburse'!L14</f>
        <v>263.43636073707836</v>
      </c>
      <c r="AQ15" s="1161"/>
      <c r="AR15" s="1157"/>
      <c r="AS15" s="1153">
        <f>IF(AS14=0,0,AS16/AS14)</f>
        <v>258.9182374928285</v>
      </c>
      <c r="AT15" s="1153">
        <f>IF(AT14=0,0,AT16/AT14)</f>
        <v>258.27094189909644</v>
      </c>
      <c r="AU15" s="1153">
        <f>IF(AU14=0,0,AU16/AU14)</f>
        <v>258.27094189909644</v>
      </c>
      <c r="AV15" s="1153">
        <f>IF(AV14=0,0,AV16/AV14)</f>
        <v>258.27094189909639</v>
      </c>
      <c r="AW15" s="1153">
        <f>IF(AW14=0,0,AW16/AW14)</f>
        <v>263.43636073707836</v>
      </c>
    </row>
    <row r="16" spans="1:50" s="663" customFormat="1">
      <c r="B16" s="664"/>
      <c r="F16" s="667" t="s">
        <v>2169</v>
      </c>
      <c r="I16" s="646"/>
      <c r="J16" s="646">
        <f>52*J12*J11*(1-J13)*J15</f>
        <v>1783677.3813585958</v>
      </c>
      <c r="K16" s="646">
        <f>52*K12*K11*(1-K13)*K15</f>
        <v>1779218.1879051994</v>
      </c>
      <c r="L16" s="646">
        <f>52*L12*L11*(1-L13)*L15</f>
        <v>1779218.1879051994</v>
      </c>
      <c r="M16" s="646">
        <f>52*M12*M11*(1-M13)*M15</f>
        <v>1779218.1879051994</v>
      </c>
      <c r="N16" s="646">
        <f>52*N12*N11*(1-N13)*N15</f>
        <v>1814802.5516633033</v>
      </c>
      <c r="P16" s="646"/>
      <c r="Q16" s="646">
        <f>'5. Financials'!I16</f>
        <v>462950.98700192722</v>
      </c>
      <c r="R16" s="646">
        <f>'5. Financials'!J16</f>
        <v>1213945.7427894853</v>
      </c>
      <c r="S16" s="646">
        <f>'5. Financials'!K16</f>
        <v>1760684.6651145204</v>
      </c>
      <c r="T16" s="646">
        <f>'5. Financials'!L16</f>
        <v>2205489.2120908201</v>
      </c>
      <c r="U16" s="646">
        <f>'5. Financials'!M16</f>
        <v>2621381.4635136616</v>
      </c>
      <c r="W16" s="646"/>
      <c r="X16" s="1715">
        <f>(Q16*DVAOwnership)+(AL16*pshare)-(J16*pshare)</f>
        <v>277770.59220115631</v>
      </c>
      <c r="Y16" s="1715">
        <f>(R16*DVAOwnership)+(AM16*pshare)-(K16*pshare)</f>
        <v>728367.44567369111</v>
      </c>
      <c r="Z16" s="1715">
        <f>(S16*DVAOwnership)+(AN16*pshare)-(L16*pshare)</f>
        <v>1056410.7990687122</v>
      </c>
      <c r="AA16" s="1715">
        <f>(T16*DVAOwnership)+(AO16*pshare)-(M16*pshare)</f>
        <v>1323293.527254492</v>
      </c>
      <c r="AB16" s="1715">
        <f>(U16*DVAOwnership)+(AP16*pshare)-(N16*pshare)</f>
        <v>1572828.8781081971</v>
      </c>
      <c r="AC16" s="664"/>
      <c r="AD16" s="1721"/>
      <c r="AE16" s="646">
        <f>52*AE12*AE11*(1-AE13)*AE15</f>
        <v>0</v>
      </c>
      <c r="AF16" s="646">
        <f>52*AF12*AF11*(1-AF13)*AF15</f>
        <v>0</v>
      </c>
      <c r="AG16" s="646">
        <f>52*AG12*AG11*(1-AG13)*AG15</f>
        <v>0</v>
      </c>
      <c r="AH16" s="646">
        <f>52*AH12*AH11*(1-AH13)*AH15</f>
        <v>0</v>
      </c>
      <c r="AI16" s="646">
        <f>52*AI12*AI11*(1-AI13)*AI15</f>
        <v>0</v>
      </c>
      <c r="AJ16" s="1715"/>
      <c r="AK16" s="1715"/>
      <c r="AL16" s="1715">
        <f>52*AL12*AL11*(1-AL13)*AL15</f>
        <v>1783677.3813585958</v>
      </c>
      <c r="AM16" s="1715">
        <f>52*AM12*AM11*(1-AM13)*AM15</f>
        <v>1779218.1879051994</v>
      </c>
      <c r="AN16" s="1715">
        <f>52*AN12*AN11*(1-AN13)*AN15</f>
        <v>1779218.1879051994</v>
      </c>
      <c r="AO16" s="1715">
        <f>52*AO12*AO11*(1-AO13)*AO15</f>
        <v>1779218.1879051994</v>
      </c>
      <c r="AP16" s="1715">
        <f>52*AP12*AP11*(1-AP13)*AP15</f>
        <v>1814802.5516633033</v>
      </c>
      <c r="AQ16" s="1161"/>
      <c r="AR16" s="646"/>
      <c r="AS16" s="646">
        <f>Q16+AL16</f>
        <v>2246628.3683605231</v>
      </c>
      <c r="AT16" s="646">
        <f>R16+AM16</f>
        <v>2993163.9306946844</v>
      </c>
      <c r="AU16" s="646">
        <f>S16+AN16</f>
        <v>3539902.8530197199</v>
      </c>
      <c r="AV16" s="646">
        <f>T16+AO16</f>
        <v>3984707.3999960194</v>
      </c>
      <c r="AW16" s="646">
        <f>U16+AP16</f>
        <v>4436184.0151769649</v>
      </c>
    </row>
    <row r="17" spans="2:49" s="663" customFormat="1">
      <c r="B17" s="664"/>
      <c r="F17" s="667" t="s">
        <v>1890</v>
      </c>
      <c r="I17" s="646"/>
      <c r="J17" s="646"/>
      <c r="K17" s="646"/>
      <c r="L17" s="646"/>
      <c r="M17" s="646"/>
      <c r="N17" s="646"/>
      <c r="P17" s="646"/>
      <c r="Q17" s="646"/>
      <c r="R17" s="646"/>
      <c r="S17" s="646"/>
      <c r="T17" s="646"/>
      <c r="U17" s="646"/>
      <c r="W17" s="646"/>
      <c r="X17" s="646"/>
      <c r="Y17" s="646"/>
      <c r="Z17" s="646"/>
      <c r="AA17" s="646"/>
      <c r="AB17" s="646"/>
      <c r="AC17" s="664"/>
      <c r="AD17" s="1161"/>
      <c r="AE17" s="1715"/>
      <c r="AF17" s="1715"/>
      <c r="AG17" s="1715"/>
      <c r="AH17" s="1715"/>
      <c r="AI17" s="1715"/>
      <c r="AJ17" s="1715"/>
      <c r="AK17" s="1715"/>
      <c r="AL17" s="1715"/>
      <c r="AM17" s="1715"/>
      <c r="AN17" s="1715"/>
      <c r="AO17" s="1715"/>
      <c r="AP17" s="1715"/>
      <c r="AQ17" s="1161"/>
      <c r="AR17" s="646"/>
      <c r="AS17" s="646"/>
      <c r="AT17" s="646"/>
      <c r="AU17" s="646"/>
      <c r="AV17" s="646"/>
      <c r="AW17" s="646"/>
    </row>
    <row r="18" spans="2:49" s="663" customFormat="1">
      <c r="B18" s="664"/>
      <c r="F18" s="667"/>
      <c r="I18" s="667"/>
      <c r="P18" s="667"/>
      <c r="W18" s="667"/>
      <c r="AC18" s="664"/>
      <c r="AD18" s="1161"/>
      <c r="AE18" s="1161"/>
      <c r="AF18" s="1161"/>
      <c r="AG18" s="1161"/>
      <c r="AH18" s="1161"/>
      <c r="AI18" s="1161"/>
      <c r="AJ18" s="1161"/>
      <c r="AK18" s="1161"/>
      <c r="AL18" s="1161"/>
      <c r="AM18" s="1161"/>
      <c r="AN18" s="1161"/>
      <c r="AO18" s="1161"/>
      <c r="AP18" s="1161"/>
      <c r="AQ18" s="1161"/>
      <c r="AR18" s="667"/>
    </row>
    <row r="19" spans="2:49" s="663" customFormat="1" outlineLevel="1">
      <c r="B19" s="664"/>
      <c r="F19" s="393" t="s">
        <v>2060</v>
      </c>
      <c r="I19" s="1125"/>
      <c r="J19" s="2015">
        <f>AVERAGE('2.0 Patients'!$R$23:$AC$23)</f>
        <v>2</v>
      </c>
      <c r="K19" s="2015">
        <f>AVERAGE('2.0 Patients'!$AD$23:$AO$23)</f>
        <v>2</v>
      </c>
      <c r="L19" s="2015">
        <f>AVERAGE('2.0 Patients'!$AP$23:$BA$23)</f>
        <v>2</v>
      </c>
      <c r="M19" s="2015">
        <f>AVERAGE('2.0 Patients'!$BB$23:$BM$23)</f>
        <v>2</v>
      </c>
      <c r="N19" s="2015">
        <f>AVERAGE('2.0 Patients'!$BN$23:$BY$23)</f>
        <v>2</v>
      </c>
      <c r="P19" s="1125"/>
      <c r="Q19" s="1125">
        <f>'5. Financials'!I19</f>
        <v>2.0833333333333335</v>
      </c>
      <c r="R19" s="1125">
        <f>'5. Financials'!J19</f>
        <v>4.0833333333333321</v>
      </c>
      <c r="S19" s="1125">
        <f>'5. Financials'!K19</f>
        <v>5.5416666666666643</v>
      </c>
      <c r="T19" s="1125">
        <f>'5. Financials'!L19</f>
        <v>6.5416666666666599</v>
      </c>
      <c r="U19" s="1125">
        <f>'5. Financials'!M19</f>
        <v>7.5416666666666581</v>
      </c>
      <c r="W19" s="1133"/>
      <c r="X19" s="2015">
        <f>(Q19*DVAOwnership)+(AL19*pshare)-(J19*pshare)</f>
        <v>1.2500000000000002</v>
      </c>
      <c r="Y19" s="2015">
        <f>(R19*DVAOwnership)+(AM19*pshare)-(K19*pshare)</f>
        <v>2.4499999999999993</v>
      </c>
      <c r="Z19" s="2015">
        <f>(S19*DVAOwnership)+(AN19*pshare)-(L19*pshare)</f>
        <v>3.3249999999999984</v>
      </c>
      <c r="AA19" s="2015">
        <f>(T19*DVAOwnership)+(AO19*pshare)-(M19*pshare)</f>
        <v>3.9249999999999954</v>
      </c>
      <c r="AB19" s="2015">
        <f>(U19*DVAOwnership)+(AP19*pshare)-(N19*pshare)</f>
        <v>4.524999999999995</v>
      </c>
      <c r="AC19" s="664"/>
      <c r="AD19" s="1161"/>
      <c r="AE19" s="2015">
        <f>(J19-AL19)*pshare</f>
        <v>0</v>
      </c>
      <c r="AF19" s="2015">
        <f>(K19-AM19)*pshare</f>
        <v>0</v>
      </c>
      <c r="AG19" s="2015">
        <f>(L19-AN19)*pshare</f>
        <v>0</v>
      </c>
      <c r="AH19" s="2015">
        <f>(M19-AO19)*pshare</f>
        <v>0</v>
      </c>
      <c r="AI19" s="2015">
        <f>(N19-AP19)*pshare</f>
        <v>0</v>
      </c>
      <c r="AJ19" s="2015"/>
      <c r="AK19" s="2015"/>
      <c r="AL19" s="2015">
        <f>AVERAGE('2.0 Patients'!$R$49:$AC$49)</f>
        <v>2</v>
      </c>
      <c r="AM19" s="2015">
        <f>AVERAGE('2.0 Patients'!$AD$49:$AO$49)</f>
        <v>2</v>
      </c>
      <c r="AN19" s="2015">
        <f>AVERAGE('2.0 Patients'!$AP$49:$BA$49)</f>
        <v>2</v>
      </c>
      <c r="AO19" s="2015">
        <f>AVERAGE('2.0 Patients'!$BB$49:$BM$49)</f>
        <v>2</v>
      </c>
      <c r="AP19" s="2015">
        <f>AVERAGE('2.0 Patients'!$BN$49:$BY$49)</f>
        <v>2</v>
      </c>
      <c r="AQ19" s="1161"/>
      <c r="AR19" s="1125"/>
      <c r="AS19" s="1125">
        <f>Q19+AL19</f>
        <v>4.0833333333333339</v>
      </c>
      <c r="AT19" s="1125">
        <f>R19+AM19</f>
        <v>6.0833333333333321</v>
      </c>
      <c r="AU19" s="1125">
        <f>S19+AN19</f>
        <v>7.5416666666666643</v>
      </c>
      <c r="AV19" s="1125">
        <f>T19+AO19</f>
        <v>8.5416666666666607</v>
      </c>
      <c r="AW19" s="1125">
        <f>U19+AP19</f>
        <v>9.5416666666666572</v>
      </c>
    </row>
    <row r="20" spans="2:49" s="663" customFormat="1" outlineLevel="1">
      <c r="B20" s="664"/>
      <c r="F20" s="1131" t="s">
        <v>2474</v>
      </c>
      <c r="I20" s="1133"/>
      <c r="J20" s="1133">
        <f>'2.1 Reimburse'!H48</f>
        <v>3</v>
      </c>
      <c r="K20" s="1133">
        <f>'2.1 Reimburse'!I48</f>
        <v>3</v>
      </c>
      <c r="L20" s="1133">
        <f>'2.1 Reimburse'!J48</f>
        <v>3</v>
      </c>
      <c r="M20" s="1133">
        <f>'2.1 Reimburse'!K48</f>
        <v>3</v>
      </c>
      <c r="N20" s="1133">
        <f>'2.1 Reimburse'!L48</f>
        <v>3</v>
      </c>
      <c r="P20" s="1133"/>
      <c r="Q20" s="1133">
        <f>'5. Financials'!I20</f>
        <v>3</v>
      </c>
      <c r="R20" s="1133">
        <f>'5. Financials'!J20</f>
        <v>3</v>
      </c>
      <c r="S20" s="1133">
        <f>'5. Financials'!K20</f>
        <v>3</v>
      </c>
      <c r="T20" s="1133">
        <f>'5. Financials'!L20</f>
        <v>3</v>
      </c>
      <c r="U20" s="1133">
        <f>'5. Financials'!M20</f>
        <v>3</v>
      </c>
      <c r="W20" s="1133"/>
      <c r="X20" s="1133"/>
      <c r="Y20" s="1133"/>
      <c r="Z20" s="1133"/>
      <c r="AA20" s="1133"/>
      <c r="AB20" s="1133"/>
      <c r="AC20" s="664"/>
      <c r="AD20" s="1161"/>
      <c r="AE20" s="1740">
        <f>'2.1 Reimburse'!H48</f>
        <v>3</v>
      </c>
      <c r="AF20" s="1740">
        <f>'2.1 Reimburse'!I48</f>
        <v>3</v>
      </c>
      <c r="AG20" s="1740">
        <f>'2.1 Reimburse'!J48</f>
        <v>3</v>
      </c>
      <c r="AH20" s="1740">
        <f>'2.1 Reimburse'!K48</f>
        <v>3</v>
      </c>
      <c r="AI20" s="1740">
        <f>'2.1 Reimburse'!L48</f>
        <v>3</v>
      </c>
      <c r="AJ20" s="1740"/>
      <c r="AK20" s="1740"/>
      <c r="AL20" s="1740">
        <f>'2.1 Reimburse'!H48</f>
        <v>3</v>
      </c>
      <c r="AM20" s="1740">
        <f>'2.1 Reimburse'!I48</f>
        <v>3</v>
      </c>
      <c r="AN20" s="1740">
        <f>'2.1 Reimburse'!J48</f>
        <v>3</v>
      </c>
      <c r="AO20" s="1740">
        <f>'2.1 Reimburse'!K48</f>
        <v>3</v>
      </c>
      <c r="AP20" s="1740">
        <f>'2.1 Reimburse'!L48</f>
        <v>3</v>
      </c>
      <c r="AQ20" s="1161"/>
      <c r="AR20" s="1133"/>
      <c r="AS20" s="1133"/>
      <c r="AT20" s="1133"/>
      <c r="AU20" s="1133"/>
      <c r="AV20" s="1133"/>
      <c r="AW20" s="1133"/>
    </row>
    <row r="21" spans="2:49" s="663" customFormat="1" outlineLevel="1">
      <c r="B21" s="664"/>
      <c r="F21" s="657" t="s">
        <v>1989</v>
      </c>
      <c r="I21" s="1306"/>
      <c r="J21" s="1140">
        <f>'2.1 Reimburse'!$J$5</f>
        <v>0.08</v>
      </c>
      <c r="K21" s="1140">
        <f>'2.1 Reimburse'!$J$5</f>
        <v>0.08</v>
      </c>
      <c r="L21" s="1140">
        <f>'2.1 Reimburse'!$J$5</f>
        <v>0.08</v>
      </c>
      <c r="M21" s="1140">
        <f>'2.1 Reimburse'!$J$5</f>
        <v>0.08</v>
      </c>
      <c r="N21" s="1140">
        <f>'2.1 Reimburse'!$J$5</f>
        <v>0.08</v>
      </c>
      <c r="P21" s="1306"/>
      <c r="Q21" s="1140">
        <f>'5. Financials'!I21</f>
        <v>0.08</v>
      </c>
      <c r="R21" s="1140">
        <f>'5. Financials'!J21</f>
        <v>0.08</v>
      </c>
      <c r="S21" s="1140">
        <f>'5. Financials'!K21</f>
        <v>0.08</v>
      </c>
      <c r="T21" s="1140">
        <f>'5. Financials'!L21</f>
        <v>0.08</v>
      </c>
      <c r="U21" s="1140">
        <f>'5. Financials'!M21</f>
        <v>0.08</v>
      </c>
      <c r="W21" s="1306"/>
      <c r="X21" s="1140"/>
      <c r="Y21" s="1140"/>
      <c r="Z21" s="1140"/>
      <c r="AA21" s="1140"/>
      <c r="AB21" s="1140"/>
      <c r="AC21" s="664"/>
      <c r="AD21" s="1161"/>
      <c r="AE21" s="2016">
        <f>'2.1 Reimburse'!$J$5</f>
        <v>0.08</v>
      </c>
      <c r="AF21" s="2016">
        <f>'2.1 Reimburse'!$J$5</f>
        <v>0.08</v>
      </c>
      <c r="AG21" s="2016">
        <f>'2.1 Reimburse'!$J$5</f>
        <v>0.08</v>
      </c>
      <c r="AH21" s="2016">
        <f>'2.1 Reimburse'!$J$5</f>
        <v>0.08</v>
      </c>
      <c r="AI21" s="2016">
        <f>'2.1 Reimburse'!$J$5</f>
        <v>0.08</v>
      </c>
      <c r="AJ21" s="2025"/>
      <c r="AK21" s="2025"/>
      <c r="AL21" s="2016">
        <f>'2.1 Reimburse'!$J$5</f>
        <v>0.08</v>
      </c>
      <c r="AM21" s="2016">
        <f>'2.1 Reimburse'!$J$5</f>
        <v>0.08</v>
      </c>
      <c r="AN21" s="2016">
        <f>'2.1 Reimburse'!$J$5</f>
        <v>0.08</v>
      </c>
      <c r="AO21" s="2016">
        <f>'2.1 Reimburse'!$J$5</f>
        <v>0.08</v>
      </c>
      <c r="AP21" s="2016">
        <f>'2.1 Reimburse'!$J$5</f>
        <v>0.08</v>
      </c>
      <c r="AQ21" s="1161"/>
      <c r="AR21" s="1306"/>
      <c r="AS21" s="1140"/>
      <c r="AT21" s="1140"/>
      <c r="AU21" s="1140"/>
      <c r="AV21" s="1140"/>
      <c r="AW21" s="1140"/>
    </row>
    <row r="22" spans="2:49" s="663" customFormat="1">
      <c r="B22" s="664"/>
      <c r="F22" s="393" t="s">
        <v>4127</v>
      </c>
      <c r="I22" s="1125"/>
      <c r="J22" s="1125">
        <f>J19*J20*52*(1-J21)</f>
        <v>287.04000000000002</v>
      </c>
      <c r="K22" s="1125">
        <f>K19*K20*52*(1-K21)</f>
        <v>287.04000000000002</v>
      </c>
      <c r="L22" s="1125">
        <f>L19*L20*52*(1-L21)</f>
        <v>287.04000000000002</v>
      </c>
      <c r="M22" s="1125">
        <f>M19*M20*52*(1-M21)</f>
        <v>287.04000000000002</v>
      </c>
      <c r="N22" s="1125">
        <f>N19*N20*52*(1-N21)</f>
        <v>287.04000000000002</v>
      </c>
      <c r="P22" s="1125"/>
      <c r="Q22" s="1125">
        <f>'5. Financials'!I22</f>
        <v>299.00000000000006</v>
      </c>
      <c r="R22" s="1125">
        <f>'5. Financials'!J22</f>
        <v>586.03999999999985</v>
      </c>
      <c r="S22" s="1125">
        <f>'5. Financials'!K22</f>
        <v>795.33999999999992</v>
      </c>
      <c r="T22" s="1125">
        <f>'5. Financials'!L22</f>
        <v>938.85999999999922</v>
      </c>
      <c r="U22" s="1125">
        <f>'5. Financials'!M22</f>
        <v>1082.379999999999</v>
      </c>
      <c r="W22" s="1125"/>
      <c r="X22" s="2015">
        <f>(Q22*DVAOwnership)+(AL22*pshare)-(J22*pshare)</f>
        <v>179.4</v>
      </c>
      <c r="Y22" s="2015">
        <f>(R22*DVAOwnership)+(AM22*pshare)-(K22*pshare)</f>
        <v>351.62399999999991</v>
      </c>
      <c r="Z22" s="2015">
        <f>(S22*DVAOwnership)+(AN22*pshare)-(L22*pshare)</f>
        <v>477.20399999999995</v>
      </c>
      <c r="AA22" s="2015">
        <f>(T22*DVAOwnership)+(AO22*pshare)-(M22*pshare)</f>
        <v>563.31599999999946</v>
      </c>
      <c r="AB22" s="2015">
        <f>(U22*DVAOwnership)+(AP22*pshare)-(N22*pshare)</f>
        <v>649.42799999999932</v>
      </c>
      <c r="AC22" s="664"/>
      <c r="AD22" s="1161"/>
      <c r="AE22" s="2015">
        <f>J22-AL22</f>
        <v>0</v>
      </c>
      <c r="AF22" s="2015">
        <f>K22-AM22</f>
        <v>0</v>
      </c>
      <c r="AG22" s="2015">
        <f>L22-AN22</f>
        <v>0</v>
      </c>
      <c r="AH22" s="2015">
        <f>M22-AO22</f>
        <v>0</v>
      </c>
      <c r="AI22" s="2015">
        <f>N22-AP22</f>
        <v>0</v>
      </c>
      <c r="AJ22" s="2015"/>
      <c r="AK22" s="2015"/>
      <c r="AL22" s="2015">
        <f>AL19*AL20*52*(1-AL21)</f>
        <v>287.04000000000002</v>
      </c>
      <c r="AM22" s="2015">
        <f>AM19*AM20*52*(1-AM21)</f>
        <v>287.04000000000002</v>
      </c>
      <c r="AN22" s="2015">
        <f>AN19*AN20*52*(1-AN21)</f>
        <v>287.04000000000002</v>
      </c>
      <c r="AO22" s="2015">
        <f>AO19*AO20*52*(1-AO21)</f>
        <v>287.04000000000002</v>
      </c>
      <c r="AP22" s="2015">
        <f>AP19*AP20*52*(1-AP21)</f>
        <v>287.04000000000002</v>
      </c>
      <c r="AQ22" s="1161"/>
      <c r="AR22" s="1125"/>
      <c r="AS22" s="1125">
        <f>Q22+AL22</f>
        <v>586.04000000000008</v>
      </c>
      <c r="AT22" s="1125">
        <f>R22+AM22</f>
        <v>873.07999999999993</v>
      </c>
      <c r="AU22" s="1125">
        <f>S22+AN22</f>
        <v>1082.3799999999999</v>
      </c>
      <c r="AV22" s="1125">
        <f>T22+AO22</f>
        <v>1225.8999999999992</v>
      </c>
      <c r="AW22" s="1125">
        <f>U22+AP22</f>
        <v>1369.4199999999989</v>
      </c>
    </row>
    <row r="23" spans="2:49" s="663" customFormat="1">
      <c r="B23" s="664"/>
      <c r="F23" s="1152" t="s">
        <v>9</v>
      </c>
      <c r="I23" s="1157"/>
      <c r="J23" s="1153">
        <f>'2.1 Reimburse'!H21</f>
        <v>1016.4768204665048</v>
      </c>
      <c r="K23" s="1153">
        <f>'2.1 Reimburse'!I21</f>
        <v>1039.8557873372342</v>
      </c>
      <c r="L23" s="1153">
        <f>'2.1 Reimburse'!J21</f>
        <v>1063.7724704459906</v>
      </c>
      <c r="M23" s="1153">
        <f>'2.1 Reimburse'!K21</f>
        <v>1088.2392372662482</v>
      </c>
      <c r="N23" s="1153">
        <f>'2.1 Reimburse'!L21</f>
        <v>1113.2687397233715</v>
      </c>
      <c r="P23" s="1157"/>
      <c r="Q23" s="1153">
        <f>'5. Financials'!I23</f>
        <v>1016.4768204665048</v>
      </c>
      <c r="R23" s="1153">
        <f>'5. Financials'!J23</f>
        <v>1039.8557873372342</v>
      </c>
      <c r="S23" s="1153">
        <f>'5. Financials'!K23</f>
        <v>1063.7724704459906</v>
      </c>
      <c r="T23" s="1153">
        <f>'5. Financials'!L23</f>
        <v>1088.2392372662482</v>
      </c>
      <c r="U23" s="1153">
        <f>'5. Financials'!M23</f>
        <v>1113.2687397233717</v>
      </c>
      <c r="W23" s="1157"/>
      <c r="X23" s="1153"/>
      <c r="Y23" s="1153"/>
      <c r="Z23" s="1153"/>
      <c r="AA23" s="1153"/>
      <c r="AB23" s="1153"/>
      <c r="AC23" s="664"/>
      <c r="AD23" s="1161"/>
      <c r="AE23" s="2017">
        <f>'2.1 Reimburse'!H47</f>
        <v>1016.4768204665048</v>
      </c>
      <c r="AF23" s="2017">
        <f>'2.1 Reimburse'!I47</f>
        <v>1039.8557873372342</v>
      </c>
      <c r="AG23" s="2017">
        <f>'2.1 Reimburse'!J47</f>
        <v>1063.7724704459906</v>
      </c>
      <c r="AH23" s="2017">
        <f>'2.1 Reimburse'!K47</f>
        <v>1088.2392372662482</v>
      </c>
      <c r="AI23" s="2017">
        <f>'2.1 Reimburse'!L47</f>
        <v>1113.2687397233717</v>
      </c>
      <c r="AJ23" s="2026"/>
      <c r="AK23" s="2026"/>
      <c r="AL23" s="2017">
        <f>'2.1 Reimburse'!H21</f>
        <v>1016.4768204665048</v>
      </c>
      <c r="AM23" s="2017">
        <f>'2.1 Reimburse'!I21</f>
        <v>1039.8557873372342</v>
      </c>
      <c r="AN23" s="2017">
        <f>'2.1 Reimburse'!J21</f>
        <v>1063.7724704459906</v>
      </c>
      <c r="AO23" s="2017">
        <f>'2.1 Reimburse'!K21</f>
        <v>1088.2392372662482</v>
      </c>
      <c r="AP23" s="2017">
        <f>'2.1 Reimburse'!L21</f>
        <v>1113.2687397233715</v>
      </c>
      <c r="AQ23" s="1161"/>
      <c r="AR23" s="1157"/>
      <c r="AS23" s="1153">
        <f>IF(AS22=0,0,AS24/AS22)</f>
        <v>1016.4768204665047</v>
      </c>
      <c r="AT23" s="1153">
        <f>IF(AT22=0,0,AT24/AT22)</f>
        <v>1039.8557873372342</v>
      </c>
      <c r="AU23" s="1153">
        <f>IF(AU22=0,0,AU24/AU22)</f>
        <v>1063.7724704459904</v>
      </c>
      <c r="AV23" s="1153">
        <f>IF(AV22=0,0,AV24/AV22)</f>
        <v>1088.2392372662482</v>
      </c>
      <c r="AW23" s="1153">
        <f>IF(AW22=0,0,AW24/AW22)</f>
        <v>1113.2687397233715</v>
      </c>
    </row>
    <row r="24" spans="2:49" s="663" customFormat="1">
      <c r="B24" s="664"/>
      <c r="F24" s="667" t="s">
        <v>2169</v>
      </c>
      <c r="I24" s="646"/>
      <c r="J24" s="646">
        <f>52*J20*J19*(1-J21)*J23</f>
        <v>291769.50654670555</v>
      </c>
      <c r="K24" s="646">
        <f>52*K20*K19*(1-K21)*K23</f>
        <v>298480.20519727975</v>
      </c>
      <c r="L24" s="646">
        <f>52*L20*L19*(1-L21)*L23</f>
        <v>305345.24991681718</v>
      </c>
      <c r="M24" s="646">
        <f>52*M20*M19*(1-M21)*M23</f>
        <v>312368.1906649039</v>
      </c>
      <c r="N24" s="646">
        <f>52*N20*N19*(1-N21)*N23</f>
        <v>319552.65905019658</v>
      </c>
      <c r="P24" s="646"/>
      <c r="Q24" s="646">
        <f>'5. Financials'!I24</f>
        <v>303926.56931948493</v>
      </c>
      <c r="R24" s="646">
        <f>'5. Financials'!J24</f>
        <v>609397.08561111265</v>
      </c>
      <c r="S24" s="646">
        <f>'5. Financials'!K24</f>
        <v>846060.79664451384</v>
      </c>
      <c r="T24" s="646">
        <f>'5. Financials'!L24</f>
        <v>1021704.2902997888</v>
      </c>
      <c r="U24" s="646">
        <f>'5. Financials'!M24</f>
        <v>1204979.8185017817</v>
      </c>
      <c r="W24" s="646"/>
      <c r="X24" s="1715">
        <f>(Q24*DVAOwnership)+(AL24*pshare)-(J24*pshare)</f>
        <v>182355.94159169096</v>
      </c>
      <c r="Y24" s="1715">
        <f>(R24*DVAOwnership)+(AM24*pshare)-(K24*pshare)</f>
        <v>365638.25136666757</v>
      </c>
      <c r="Z24" s="1715">
        <f>(S24*DVAOwnership)+(AN24*pshare)-(L24*pshare)</f>
        <v>507636.47798670828</v>
      </c>
      <c r="AA24" s="1715">
        <f>(T24*DVAOwnership)+(AO24*pshare)-(M24*pshare)</f>
        <v>613022.57417987322</v>
      </c>
      <c r="AB24" s="1715">
        <f>(U24*DVAOwnership)+(AP24*pshare)-(N24*pshare)</f>
        <v>722987.89110106893</v>
      </c>
      <c r="AC24" s="664"/>
      <c r="AD24" s="1721"/>
      <c r="AE24" s="646">
        <f>52*AE20*AE19*(1-AE21)*AE23</f>
        <v>0</v>
      </c>
      <c r="AF24" s="646">
        <f>52*AF20*AF19*(1-AF21)*AF23</f>
        <v>0</v>
      </c>
      <c r="AG24" s="646">
        <f>52*AG20*AG19*(1-AG21)*AG23</f>
        <v>0</v>
      </c>
      <c r="AH24" s="646">
        <f>52*AH20*AH19*(1-AH21)*AH23</f>
        <v>0</v>
      </c>
      <c r="AI24" s="646">
        <f>52*AI20*AI19*(1-AI21)*AI23</f>
        <v>0</v>
      </c>
      <c r="AJ24" s="1715"/>
      <c r="AK24" s="1715"/>
      <c r="AL24" s="1715">
        <f>52*AL20*AL19*(1-AL21)*AL23</f>
        <v>291769.50654670555</v>
      </c>
      <c r="AM24" s="1715">
        <f>52*AM20*AM19*(1-AM21)*AM23</f>
        <v>298480.20519727975</v>
      </c>
      <c r="AN24" s="1715">
        <f>52*AN20*AN19*(1-AN21)*AN23</f>
        <v>305345.24991681718</v>
      </c>
      <c r="AO24" s="1715">
        <f>52*AO20*AO19*(1-AO21)*AO23</f>
        <v>312368.1906649039</v>
      </c>
      <c r="AP24" s="1715">
        <f>52*AP20*AP19*(1-AP21)*AP23</f>
        <v>319552.65905019658</v>
      </c>
      <c r="AQ24" s="1161"/>
      <c r="AR24" s="646"/>
      <c r="AS24" s="646">
        <f>Q24+AL24</f>
        <v>595696.07586619048</v>
      </c>
      <c r="AT24" s="646">
        <f>R24+AM24</f>
        <v>907877.29080839246</v>
      </c>
      <c r="AU24" s="646">
        <f>S24+AN24</f>
        <v>1151406.046561331</v>
      </c>
      <c r="AV24" s="646">
        <f>T24+AO24</f>
        <v>1334072.4809646928</v>
      </c>
      <c r="AW24" s="646">
        <f>U24+AP24</f>
        <v>1524532.4775519783</v>
      </c>
    </row>
    <row r="25" spans="2:49" s="663" customFormat="1">
      <c r="B25" s="664"/>
      <c r="F25" s="667" t="s">
        <v>1890</v>
      </c>
      <c r="I25" s="667"/>
      <c r="P25" s="667"/>
      <c r="W25" s="667"/>
      <c r="AC25" s="664"/>
      <c r="AD25" s="1161"/>
      <c r="AE25" s="1161"/>
      <c r="AF25" s="1161"/>
      <c r="AG25" s="1161"/>
      <c r="AH25" s="1161"/>
      <c r="AI25" s="1161"/>
      <c r="AJ25" s="1161"/>
      <c r="AK25" s="1161"/>
      <c r="AL25" s="1161"/>
      <c r="AM25" s="1161"/>
      <c r="AN25" s="1161"/>
      <c r="AO25" s="1161"/>
      <c r="AP25" s="1161"/>
      <c r="AQ25" s="1161"/>
      <c r="AR25" s="667"/>
    </row>
    <row r="26" spans="2:49" s="663" customFormat="1">
      <c r="B26" s="664"/>
      <c r="F26" s="667"/>
      <c r="I26" s="667"/>
      <c r="P26" s="667"/>
      <c r="W26" s="667"/>
      <c r="AC26" s="664"/>
      <c r="AD26" s="1161"/>
      <c r="AE26" s="1161"/>
      <c r="AF26" s="1161"/>
      <c r="AG26" s="1161"/>
      <c r="AH26" s="1161"/>
      <c r="AI26" s="1161"/>
      <c r="AJ26" s="1161"/>
      <c r="AK26" s="1161"/>
      <c r="AL26" s="1161"/>
      <c r="AM26" s="1161"/>
      <c r="AN26" s="1161"/>
      <c r="AO26" s="1161"/>
      <c r="AP26" s="1161"/>
      <c r="AQ26" s="1161"/>
      <c r="AR26" s="667"/>
    </row>
    <row r="27" spans="2:49" s="663" customFormat="1">
      <c r="B27" s="664"/>
      <c r="E27" s="663" t="s">
        <v>6</v>
      </c>
      <c r="F27" s="667"/>
      <c r="I27" s="667"/>
      <c r="P27" s="667"/>
      <c r="W27" s="667"/>
      <c r="AC27" s="664"/>
      <c r="AD27" s="1161"/>
      <c r="AE27" s="1161"/>
      <c r="AF27" s="1161"/>
      <c r="AG27" s="1161"/>
      <c r="AH27" s="1161"/>
      <c r="AI27" s="1161"/>
      <c r="AJ27" s="1161"/>
      <c r="AK27" s="1161"/>
      <c r="AL27" s="1161"/>
      <c r="AM27" s="1161"/>
      <c r="AN27" s="1161"/>
      <c r="AO27" s="1161"/>
      <c r="AP27" s="1161"/>
      <c r="AQ27" s="1161"/>
      <c r="AR27" s="667"/>
    </row>
    <row r="28" spans="2:49" s="663" customFormat="1" outlineLevel="1">
      <c r="B28" s="664"/>
      <c r="F28" s="393" t="s">
        <v>2060</v>
      </c>
      <c r="I28" s="1125"/>
      <c r="J28" s="2015">
        <f>AVERAGE('2.0 Patients'!$R$27:$AC$27)</f>
        <v>14</v>
      </c>
      <c r="K28" s="2015">
        <f>AVERAGE('2.0 Patients'!$AD$27:$AO$27)</f>
        <v>14</v>
      </c>
      <c r="L28" s="2015">
        <f>AVERAGE('2.0 Patients'!$AP$27:$BA$27)</f>
        <v>14</v>
      </c>
      <c r="M28" s="2015">
        <f>AVERAGE('2.0 Patients'!$BB$27:$BM$27)</f>
        <v>14</v>
      </c>
      <c r="N28" s="2015">
        <f>AVERAGE('2.0 Patients'!$BN$27:$BY$27)</f>
        <v>14</v>
      </c>
      <c r="P28" s="1125"/>
      <c r="Q28" s="1125">
        <f>'5. Financials'!I28</f>
        <v>3.25</v>
      </c>
      <c r="R28" s="1125">
        <f>'5. Financials'!J28</f>
        <v>8.7083333333333321</v>
      </c>
      <c r="S28" s="1125">
        <f>'5. Financials'!K28</f>
        <v>13.166666666666666</v>
      </c>
      <c r="T28" s="1125">
        <f>'5. Financials'!L28</f>
        <v>17.166666666666664</v>
      </c>
      <c r="U28" s="1125">
        <f>'5. Financials'!M28</f>
        <v>20.083333333333336</v>
      </c>
      <c r="W28" s="1125"/>
      <c r="X28" s="2015">
        <f>(Q28*DVAOwnership)+(AL28*pshare)-(J28*pshare)</f>
        <v>1.9499999999999993</v>
      </c>
      <c r="Y28" s="2015">
        <f>(R28*DVAOwnership)+(AM28*pshare)-(K28*pshare)</f>
        <v>5.2249999999999996</v>
      </c>
      <c r="Z28" s="2015">
        <f>(S28*DVAOwnership)+(AN28*pshare)-(L28*pshare)</f>
        <v>7.9</v>
      </c>
      <c r="AA28" s="2015">
        <f>(T28*DVAOwnership)+(AO28*pshare)-(M28*pshare)</f>
        <v>10.299999999999999</v>
      </c>
      <c r="AB28" s="2015">
        <f>(U28*DVAOwnership)+(AP28*pshare)-(N28*pshare)</f>
        <v>12.050000000000002</v>
      </c>
      <c r="AC28" s="664"/>
      <c r="AD28" s="1161"/>
      <c r="AE28" s="2015">
        <f>(J28-AL28)*pshare</f>
        <v>0</v>
      </c>
      <c r="AF28" s="2015">
        <f>(K28-AM28)*pshare</f>
        <v>0</v>
      </c>
      <c r="AG28" s="2015">
        <f>(L28-AN28)*pshare</f>
        <v>0</v>
      </c>
      <c r="AH28" s="2015">
        <f>(M28-AO28)*pshare</f>
        <v>0</v>
      </c>
      <c r="AI28" s="2015">
        <f>(N28-AP28)*pshare</f>
        <v>0</v>
      </c>
      <c r="AJ28" s="2015"/>
      <c r="AK28" s="2015"/>
      <c r="AL28" s="2015">
        <f>AVERAGE('2.0 Patients'!$R$53:$AC$53)</f>
        <v>14</v>
      </c>
      <c r="AM28" s="2015">
        <f>AVERAGE('2.0 Patients'!$AD$53:$AO$53)</f>
        <v>14</v>
      </c>
      <c r="AN28" s="2015">
        <f>AVERAGE('2.0 Patients'!$AP$53:$BA$53)</f>
        <v>14</v>
      </c>
      <c r="AO28" s="2015">
        <f>AVERAGE('2.0 Patients'!$BB$53:$BM$53)</f>
        <v>14</v>
      </c>
      <c r="AP28" s="2015">
        <f>AVERAGE('2.0 Patients'!$BN$53:$BY$53)</f>
        <v>14</v>
      </c>
      <c r="AQ28" s="1161"/>
      <c r="AR28" s="1125"/>
      <c r="AS28" s="1125">
        <f>Q28+AL28</f>
        <v>17.25</v>
      </c>
      <c r="AT28" s="1125">
        <f>R28+AM28</f>
        <v>22.708333333333332</v>
      </c>
      <c r="AU28" s="1125">
        <f>S28+AN28</f>
        <v>27.166666666666664</v>
      </c>
      <c r="AV28" s="1125">
        <f>T28+AO28</f>
        <v>31.166666666666664</v>
      </c>
      <c r="AW28" s="1125">
        <f>U28+AP28</f>
        <v>34.083333333333336</v>
      </c>
    </row>
    <row r="29" spans="2:49" s="663" customFormat="1" outlineLevel="1">
      <c r="B29" s="664"/>
      <c r="F29" s="1131" t="s">
        <v>2474</v>
      </c>
      <c r="I29" s="1133"/>
      <c r="J29" s="1133">
        <f>'2.1 Reimburse'!H51</f>
        <v>3</v>
      </c>
      <c r="K29" s="1133">
        <f>'2.1 Reimburse'!I51</f>
        <v>3</v>
      </c>
      <c r="L29" s="1133">
        <f>'2.1 Reimburse'!J51</f>
        <v>3</v>
      </c>
      <c r="M29" s="1133">
        <f>'2.1 Reimburse'!K51</f>
        <v>3</v>
      </c>
      <c r="N29" s="1133">
        <f>'2.1 Reimburse'!L51</f>
        <v>3</v>
      </c>
      <c r="P29" s="1133"/>
      <c r="Q29" s="1133">
        <f>'5. Financials'!I29</f>
        <v>3</v>
      </c>
      <c r="R29" s="1133">
        <f>'5. Financials'!J29</f>
        <v>3</v>
      </c>
      <c r="S29" s="1133">
        <f>'5. Financials'!K29</f>
        <v>3</v>
      </c>
      <c r="T29" s="1133">
        <f>'5. Financials'!L29</f>
        <v>3</v>
      </c>
      <c r="U29" s="1133">
        <f>'5. Financials'!M29</f>
        <v>3</v>
      </c>
      <c r="W29" s="1133"/>
      <c r="X29" s="1133"/>
      <c r="Y29" s="1133"/>
      <c r="Z29" s="1133"/>
      <c r="AA29" s="1133"/>
      <c r="AB29" s="1133"/>
      <c r="AC29" s="664"/>
      <c r="AD29" s="1161"/>
      <c r="AE29" s="1740">
        <f>'2.1 Reimburse'!H51</f>
        <v>3</v>
      </c>
      <c r="AF29" s="1740">
        <f>'2.1 Reimburse'!I51</f>
        <v>3</v>
      </c>
      <c r="AG29" s="1740">
        <f>'2.1 Reimburse'!J51</f>
        <v>3</v>
      </c>
      <c r="AH29" s="1740">
        <f>'2.1 Reimburse'!K51</f>
        <v>3</v>
      </c>
      <c r="AI29" s="1740">
        <f>'2.1 Reimburse'!L51</f>
        <v>3</v>
      </c>
      <c r="AJ29" s="1740"/>
      <c r="AK29" s="1740"/>
      <c r="AL29" s="1740">
        <f>'2.1 Reimburse'!H51</f>
        <v>3</v>
      </c>
      <c r="AM29" s="1740">
        <f>'2.1 Reimburse'!I51</f>
        <v>3</v>
      </c>
      <c r="AN29" s="1740">
        <f>'2.1 Reimburse'!J51</f>
        <v>3</v>
      </c>
      <c r="AO29" s="1740">
        <f>'2.1 Reimburse'!K51</f>
        <v>3</v>
      </c>
      <c r="AP29" s="1740">
        <f>'2.1 Reimburse'!L51</f>
        <v>3</v>
      </c>
      <c r="AQ29" s="1161"/>
      <c r="AR29" s="1133"/>
      <c r="AS29" s="1133"/>
      <c r="AT29" s="1133"/>
      <c r="AU29" s="1133"/>
      <c r="AV29" s="1133"/>
      <c r="AW29" s="1133"/>
    </row>
    <row r="30" spans="2:49" s="663" customFormat="1" outlineLevel="1">
      <c r="B30" s="664"/>
      <c r="F30" s="657" t="s">
        <v>1989</v>
      </c>
      <c r="I30" s="1306"/>
      <c r="J30" s="1140">
        <f>homemiss</f>
        <v>0.05</v>
      </c>
      <c r="K30" s="1140">
        <f>homemiss</f>
        <v>0.05</v>
      </c>
      <c r="L30" s="1140">
        <f>homemiss</f>
        <v>0.05</v>
      </c>
      <c r="M30" s="1140">
        <f>homemiss</f>
        <v>0.05</v>
      </c>
      <c r="N30" s="1140">
        <f>homemiss</f>
        <v>0.05</v>
      </c>
      <c r="P30" s="1306"/>
      <c r="Q30" s="1140">
        <f>'5. Financials'!I30</f>
        <v>0.05</v>
      </c>
      <c r="R30" s="1140">
        <f>'5. Financials'!J30</f>
        <v>0.05</v>
      </c>
      <c r="S30" s="1140">
        <f>'5. Financials'!K30</f>
        <v>0.05</v>
      </c>
      <c r="T30" s="1140">
        <f>'5. Financials'!L30</f>
        <v>0.05</v>
      </c>
      <c r="U30" s="1140">
        <f>'5. Financials'!M30</f>
        <v>0.05</v>
      </c>
      <c r="W30" s="1306"/>
      <c r="X30" s="1140"/>
      <c r="Y30" s="1140"/>
      <c r="Z30" s="1140"/>
      <c r="AA30" s="1140"/>
      <c r="AB30" s="1140"/>
      <c r="AC30" s="664"/>
      <c r="AD30" s="1161"/>
      <c r="AE30" s="2016">
        <f>homemiss</f>
        <v>0.05</v>
      </c>
      <c r="AF30" s="2016">
        <f>homemiss</f>
        <v>0.05</v>
      </c>
      <c r="AG30" s="2016">
        <f>homemiss</f>
        <v>0.05</v>
      </c>
      <c r="AH30" s="2016">
        <f>homemiss</f>
        <v>0.05</v>
      </c>
      <c r="AI30" s="2016">
        <f>homemiss</f>
        <v>0.05</v>
      </c>
      <c r="AJ30" s="2025"/>
      <c r="AK30" s="2025"/>
      <c r="AL30" s="2016">
        <f>homemiss</f>
        <v>0.05</v>
      </c>
      <c r="AM30" s="2016">
        <f>homemiss</f>
        <v>0.05</v>
      </c>
      <c r="AN30" s="2016">
        <f>homemiss</f>
        <v>0.05</v>
      </c>
      <c r="AO30" s="2016">
        <f>homemiss</f>
        <v>0.05</v>
      </c>
      <c r="AP30" s="2016">
        <f>homemiss</f>
        <v>0.05</v>
      </c>
      <c r="AQ30" s="1161"/>
      <c r="AR30" s="1306"/>
      <c r="AS30" s="1140"/>
      <c r="AT30" s="1140"/>
      <c r="AU30" s="1140"/>
      <c r="AV30" s="1140"/>
      <c r="AW30" s="1140"/>
    </row>
    <row r="31" spans="2:49" s="663" customFormat="1">
      <c r="B31" s="664"/>
      <c r="F31" s="393" t="s">
        <v>2296</v>
      </c>
      <c r="I31" s="1125"/>
      <c r="J31" s="1125">
        <f>J28*J29*52*(1-J30)</f>
        <v>2074.7999999999997</v>
      </c>
      <c r="K31" s="1125">
        <f>K28*K29*52*(1-K30)</f>
        <v>2074.7999999999997</v>
      </c>
      <c r="L31" s="1125">
        <f>L28*L29*52*(1-L30)</f>
        <v>2074.7999999999997</v>
      </c>
      <c r="M31" s="1125">
        <f>M28*M29*52*(1-M30)</f>
        <v>2074.7999999999997</v>
      </c>
      <c r="N31" s="1125">
        <f>N28*N29*52*(1-N30)</f>
        <v>2074.7999999999997</v>
      </c>
      <c r="P31" s="1125"/>
      <c r="Q31" s="1125">
        <f>'5. Financials'!I31</f>
        <v>481.65</v>
      </c>
      <c r="R31" s="1125">
        <f>'5. Financials'!J31</f>
        <v>1290.5749999999998</v>
      </c>
      <c r="S31" s="1125">
        <f>'5. Financials'!K31</f>
        <v>1951.3</v>
      </c>
      <c r="T31" s="1125">
        <f>'5. Financials'!L31</f>
        <v>2544.1000000000004</v>
      </c>
      <c r="U31" s="1125">
        <f>'5. Financials'!M31</f>
        <v>2976.35</v>
      </c>
      <c r="W31" s="1125"/>
      <c r="X31" s="2015">
        <f>(Q31*DVAOwnership)+(AL31*pshare)-(J31*pshare)</f>
        <v>288.99</v>
      </c>
      <c r="Y31" s="2015">
        <f>(R31*DVAOwnership)+(AM31*pshare)-(K31*pshare)</f>
        <v>774.34500000000003</v>
      </c>
      <c r="Z31" s="2015">
        <f>(S31*DVAOwnership)+(AN31*pshare)-(L31*pshare)</f>
        <v>1170.78</v>
      </c>
      <c r="AA31" s="2015">
        <f>(T31*DVAOwnership)+(AO31*pshare)-(M31*pshare)</f>
        <v>1526.4600000000003</v>
      </c>
      <c r="AB31" s="2015">
        <f>(U31*DVAOwnership)+(AP31*pshare)-(N31*pshare)</f>
        <v>1785.8099999999997</v>
      </c>
      <c r="AC31" s="664"/>
      <c r="AD31" s="1161"/>
      <c r="AE31" s="2015">
        <f>J31-AL31</f>
        <v>0</v>
      </c>
      <c r="AF31" s="2015">
        <f>K31-AM31</f>
        <v>0</v>
      </c>
      <c r="AG31" s="2015">
        <f>L31-AN31</f>
        <v>0</v>
      </c>
      <c r="AH31" s="2015">
        <f>M31-AO31</f>
        <v>0</v>
      </c>
      <c r="AI31" s="2015">
        <f>N31-AP31</f>
        <v>0</v>
      </c>
      <c r="AJ31" s="2015"/>
      <c r="AK31" s="2015"/>
      <c r="AL31" s="2015">
        <f>AL28*AL29*52*(1-AL30)</f>
        <v>2074.7999999999997</v>
      </c>
      <c r="AM31" s="2015">
        <f>AM28*AM29*52*(1-AM30)</f>
        <v>2074.7999999999997</v>
      </c>
      <c r="AN31" s="2015">
        <f>AN28*AN29*52*(1-AN30)</f>
        <v>2074.7999999999997</v>
      </c>
      <c r="AO31" s="2015">
        <f>AO28*AO29*52*(1-AO30)</f>
        <v>2074.7999999999997</v>
      </c>
      <c r="AP31" s="2015">
        <f>AP28*AP29*52*(1-AP30)</f>
        <v>2074.7999999999997</v>
      </c>
      <c r="AQ31" s="1161"/>
      <c r="AR31" s="1125"/>
      <c r="AS31" s="1125">
        <f>Q31+AL31</f>
        <v>2556.4499999999998</v>
      </c>
      <c r="AT31" s="1125">
        <f>R31+AM31</f>
        <v>3365.3749999999995</v>
      </c>
      <c r="AU31" s="1125">
        <f>S31+AN31</f>
        <v>4026.0999999999995</v>
      </c>
      <c r="AV31" s="1125">
        <f>T31+AO31</f>
        <v>4618.8999999999996</v>
      </c>
      <c r="AW31" s="1125">
        <f>U31+AP31</f>
        <v>5051.1499999999996</v>
      </c>
    </row>
    <row r="32" spans="2:49" s="663" customFormat="1">
      <c r="B32" s="664"/>
      <c r="F32" s="1152" t="s">
        <v>9</v>
      </c>
      <c r="I32" s="1157"/>
      <c r="J32" s="1153">
        <f>'2.1 Reimburse'!H23</f>
        <v>252.16187902417448</v>
      </c>
      <c r="K32" s="1153">
        <f>'2.1 Reimburse'!I23</f>
        <v>251.53147432661413</v>
      </c>
      <c r="L32" s="1153">
        <f>'2.1 Reimburse'!J23</f>
        <v>251.53147432661413</v>
      </c>
      <c r="M32" s="1153">
        <f>'2.1 Reimburse'!K23</f>
        <v>251.53147432661413</v>
      </c>
      <c r="N32" s="1153">
        <f>'2.1 Reimburse'!L23</f>
        <v>256.56210381314639</v>
      </c>
      <c r="P32" s="1157"/>
      <c r="Q32" s="1153">
        <f>'5. Financials'!I32</f>
        <v>252.16187902417448</v>
      </c>
      <c r="R32" s="1153">
        <f>'5. Financials'!J32</f>
        <v>251.53147432661413</v>
      </c>
      <c r="S32" s="1153">
        <f>'5. Financials'!K32</f>
        <v>251.53147432661413</v>
      </c>
      <c r="T32" s="1153">
        <f>'5. Financials'!L32</f>
        <v>251.53147432661413</v>
      </c>
      <c r="U32" s="1153">
        <f>'5. Financials'!M32</f>
        <v>256.56210381314639</v>
      </c>
      <c r="W32" s="1157"/>
      <c r="X32" s="1153"/>
      <c r="Y32" s="1153"/>
      <c r="Z32" s="1153"/>
      <c r="AA32" s="1153"/>
      <c r="AB32" s="1153"/>
      <c r="AC32" s="664"/>
      <c r="AD32" s="1161"/>
      <c r="AE32" s="2017">
        <f>'2.1 Reimburse'!H49</f>
        <v>252.16187902417448</v>
      </c>
      <c r="AF32" s="2017">
        <f>'2.1 Reimburse'!I49</f>
        <v>251.53147432661413</v>
      </c>
      <c r="AG32" s="2017">
        <f>'2.1 Reimburse'!J49</f>
        <v>251.53147432661413</v>
      </c>
      <c r="AH32" s="2017">
        <f>'2.1 Reimburse'!K49</f>
        <v>251.53147432661413</v>
      </c>
      <c r="AI32" s="2017">
        <f>'2.1 Reimburse'!L49</f>
        <v>256.56210381314639</v>
      </c>
      <c r="AJ32" s="2026"/>
      <c r="AK32" s="2026"/>
      <c r="AL32" s="2017">
        <f>'2.1 Reimburse'!H23</f>
        <v>252.16187902417448</v>
      </c>
      <c r="AM32" s="2017">
        <f>'2.1 Reimburse'!I23</f>
        <v>251.53147432661413</v>
      </c>
      <c r="AN32" s="2017">
        <f>'2.1 Reimburse'!J23</f>
        <v>251.53147432661413</v>
      </c>
      <c r="AO32" s="2017">
        <f>'2.1 Reimburse'!K23</f>
        <v>251.53147432661413</v>
      </c>
      <c r="AP32" s="2017">
        <f>'2.1 Reimburse'!L23</f>
        <v>256.56210381314639</v>
      </c>
      <c r="AQ32" s="1161"/>
      <c r="AR32" s="1157"/>
      <c r="AS32" s="1153">
        <f>IF(AS31=0,0,AS33/AS31)</f>
        <v>252.16187902417448</v>
      </c>
      <c r="AT32" s="1153">
        <f>IF(AT31=0,0,AT33/AT31)</f>
        <v>251.53147432661416</v>
      </c>
      <c r="AU32" s="1153">
        <f>IF(AU31=0,0,AU33/AU31)</f>
        <v>251.53147432661416</v>
      </c>
      <c r="AV32" s="1153">
        <f>IF(AV31=0,0,AV33/AV31)</f>
        <v>251.53147432661407</v>
      </c>
      <c r="AW32" s="1153">
        <f>IF(AW31=0,0,AW33/AW31)</f>
        <v>256.56210381314645</v>
      </c>
    </row>
    <row r="33" spans="2:49" s="663" customFormat="1">
      <c r="B33" s="664"/>
      <c r="F33" s="667" t="s">
        <v>2169</v>
      </c>
      <c r="I33" s="646"/>
      <c r="J33" s="646">
        <f>52*J29*J28*(1-J30)*J32</f>
        <v>523185.46659935714</v>
      </c>
      <c r="K33" s="646">
        <f>52*K29*K28*(1-K30)*K32</f>
        <v>521877.50293285894</v>
      </c>
      <c r="L33" s="646">
        <f>52*L29*L28*(1-L30)*L32</f>
        <v>521877.50293285894</v>
      </c>
      <c r="M33" s="646">
        <f>52*M29*M28*(1-M30)*M32</f>
        <v>521877.50293285894</v>
      </c>
      <c r="N33" s="646">
        <f>52*N29*N28*(1-N30)*N32</f>
        <v>532315.05299151607</v>
      </c>
      <c r="P33" s="646"/>
      <c r="Q33" s="646">
        <f>'5. Financials'!I33</f>
        <v>121453.76903199364</v>
      </c>
      <c r="R33" s="646">
        <f>'5. Financials'!J33</f>
        <v>324620.23247906996</v>
      </c>
      <c r="S33" s="646">
        <f>'5. Financials'!K33</f>
        <v>490813.36585352215</v>
      </c>
      <c r="T33" s="646">
        <f>'5. Financials'!L33</f>
        <v>639921.22383433883</v>
      </c>
      <c r="U33" s="646">
        <f>'5. Financials'!M33</f>
        <v>763618.61768425838</v>
      </c>
      <c r="W33" s="646"/>
      <c r="X33" s="1715">
        <f>(Q33*DVAOwnership)+(AL33*pshare)-(J33*pshare)</f>
        <v>72872.261419196147</v>
      </c>
      <c r="Y33" s="1715">
        <f>(R33*DVAOwnership)+(AM33*pshare)-(K33*pshare)</f>
        <v>194772.13948744198</v>
      </c>
      <c r="Z33" s="1715">
        <f>(S33*DVAOwnership)+(AN33*pshare)-(L33*pshare)</f>
        <v>294488.0195121133</v>
      </c>
      <c r="AA33" s="1715">
        <f>(T33*DVAOwnership)+(AO33*pshare)-(M33*pshare)</f>
        <v>383952.73430060328</v>
      </c>
      <c r="AB33" s="1715">
        <f>(U33*DVAOwnership)+(AP33*pshare)-(N33*pshare)</f>
        <v>458171.17061055498</v>
      </c>
      <c r="AC33" s="664"/>
      <c r="AD33" s="1721"/>
      <c r="AE33" s="646">
        <f>52*AE29*AE28*(1-AE30)*AE32</f>
        <v>0</v>
      </c>
      <c r="AF33" s="646">
        <f>52*AF29*AF28*(1-AF30)*AF32</f>
        <v>0</v>
      </c>
      <c r="AG33" s="646">
        <f>52*AG29*AG28*(1-AG30)*AG32</f>
        <v>0</v>
      </c>
      <c r="AH33" s="646">
        <f>52*AH29*AH28*(1-AH30)*AH32</f>
        <v>0</v>
      </c>
      <c r="AI33" s="646">
        <f>52*AI29*AI28*(1-AI30)*AI32</f>
        <v>0</v>
      </c>
      <c r="AJ33" s="1715"/>
      <c r="AK33" s="1715"/>
      <c r="AL33" s="1715">
        <f>52*AL29*AL28*(1-AL30)*AL32</f>
        <v>523185.46659935714</v>
      </c>
      <c r="AM33" s="1715">
        <f>52*AM29*AM28*(1-AM30)*AM32</f>
        <v>521877.50293285894</v>
      </c>
      <c r="AN33" s="1715">
        <f>52*AN29*AN28*(1-AN30)*AN32</f>
        <v>521877.50293285894</v>
      </c>
      <c r="AO33" s="1715">
        <f>52*AO29*AO28*(1-AO30)*AO32</f>
        <v>521877.50293285894</v>
      </c>
      <c r="AP33" s="1715">
        <f>52*AP29*AP28*(1-AP30)*AP32</f>
        <v>532315.05299151607</v>
      </c>
      <c r="AQ33" s="1161"/>
      <c r="AR33" s="646"/>
      <c r="AS33" s="646">
        <f>Q33+AL33</f>
        <v>644639.23563135078</v>
      </c>
      <c r="AT33" s="646">
        <f>R33+AM33</f>
        <v>846497.73541192897</v>
      </c>
      <c r="AU33" s="646">
        <f>S33+AN33</f>
        <v>1012690.8687863811</v>
      </c>
      <c r="AV33" s="646">
        <f>T33+AO33</f>
        <v>1161798.7267671977</v>
      </c>
      <c r="AW33" s="646">
        <f>U33+AP33</f>
        <v>1295933.6706757746</v>
      </c>
    </row>
    <row r="34" spans="2:49" s="663" customFormat="1">
      <c r="B34" s="664"/>
      <c r="F34" s="667" t="s">
        <v>1890</v>
      </c>
      <c r="I34" s="667"/>
      <c r="P34" s="667"/>
      <c r="W34" s="667"/>
      <c r="AC34" s="664"/>
      <c r="AD34" s="1161"/>
      <c r="AE34" s="1161"/>
      <c r="AF34" s="1161"/>
      <c r="AG34" s="1161"/>
      <c r="AH34" s="1161"/>
      <c r="AI34" s="1161"/>
      <c r="AJ34" s="1161"/>
      <c r="AK34" s="1161"/>
      <c r="AL34" s="1161"/>
      <c r="AM34" s="1161"/>
      <c r="AN34" s="1161"/>
      <c r="AO34" s="1161"/>
      <c r="AP34" s="1161"/>
      <c r="AQ34" s="1161"/>
      <c r="AR34" s="667"/>
    </row>
    <row r="35" spans="2:49" s="663" customFormat="1">
      <c r="B35" s="664"/>
      <c r="F35" s="667"/>
      <c r="I35" s="667"/>
      <c r="P35" s="667"/>
      <c r="W35" s="667"/>
      <c r="AC35" s="664"/>
      <c r="AD35" s="1161"/>
      <c r="AE35" s="1161"/>
      <c r="AF35" s="1161"/>
      <c r="AG35" s="1161"/>
      <c r="AH35" s="1161"/>
      <c r="AI35" s="1161"/>
      <c r="AJ35" s="1161"/>
      <c r="AK35" s="1161"/>
      <c r="AL35" s="1161"/>
      <c r="AM35" s="1161"/>
      <c r="AN35" s="1161"/>
      <c r="AO35" s="1161"/>
      <c r="AP35" s="1161"/>
      <c r="AQ35" s="1161"/>
      <c r="AR35" s="667"/>
    </row>
    <row r="36" spans="2:49" s="663" customFormat="1" outlineLevel="1">
      <c r="B36" s="664"/>
      <c r="F36" s="393" t="s">
        <v>2060</v>
      </c>
      <c r="I36" s="1125"/>
      <c r="J36" s="2015">
        <f>AVERAGE('2.0 Patients'!$R$29:$AC$29)</f>
        <v>6</v>
      </c>
      <c r="K36" s="2015">
        <f>AVERAGE('2.0 Patients'!$AD$29:$AO$29)</f>
        <v>6</v>
      </c>
      <c r="L36" s="2015">
        <f>AVERAGE('2.0 Patients'!$AP$29:$BA$29)</f>
        <v>6</v>
      </c>
      <c r="M36" s="2015">
        <f>AVERAGE('2.0 Patients'!$BB$29:$BM$29)</f>
        <v>6</v>
      </c>
      <c r="N36" s="2015">
        <f>AVERAGE('2.0 Patients'!$BN$29:$BY$29)</f>
        <v>6</v>
      </c>
      <c r="P36" s="1125"/>
      <c r="Q36" s="1125">
        <f>'5. Financials'!I36</f>
        <v>1</v>
      </c>
      <c r="R36" s="1125">
        <f>'5. Financials'!J36</f>
        <v>1.5416666666666661</v>
      </c>
      <c r="S36" s="1125">
        <f>'5. Financials'!K36</f>
        <v>1.9999999999999998</v>
      </c>
      <c r="T36" s="1125">
        <f>'5. Financials'!L36</f>
        <v>2.541666666666667</v>
      </c>
      <c r="U36" s="1125">
        <f>'5. Financials'!M36</f>
        <v>3.5416666666666683</v>
      </c>
      <c r="W36" s="1125"/>
      <c r="X36" s="2015">
        <f>(Q36*DVAOwnership)+(AL36*pshare)-(J36*pshare)</f>
        <v>0.59999999999999964</v>
      </c>
      <c r="Y36" s="2015">
        <f>(R36*DVAOwnership)+(AM36*pshare)-(K36*pshare)</f>
        <v>0.92499999999999982</v>
      </c>
      <c r="Z36" s="2015">
        <f>(S36*DVAOwnership)+(AN36*pshare)-(L36*pshare)</f>
        <v>1.1999999999999993</v>
      </c>
      <c r="AA36" s="2015">
        <f>(T36*DVAOwnership)+(AO36*pshare)-(M36*pshare)</f>
        <v>1.5250000000000004</v>
      </c>
      <c r="AB36" s="2015">
        <f>(U36*DVAOwnership)+(AP36*pshare)-(N36*pshare)</f>
        <v>2.1250000000000009</v>
      </c>
      <c r="AC36" s="664"/>
      <c r="AD36" s="1161"/>
      <c r="AE36" s="2015">
        <f>(J36-AL36)*pshare</f>
        <v>0</v>
      </c>
      <c r="AF36" s="2015">
        <f>(K36-AM36)*pshare</f>
        <v>0</v>
      </c>
      <c r="AG36" s="2015">
        <f>(L36-AN36)*pshare</f>
        <v>0</v>
      </c>
      <c r="AH36" s="2015">
        <f>(M36-AO36)*pshare</f>
        <v>0</v>
      </c>
      <c r="AI36" s="2015">
        <f>(N36-AP36)*pshare</f>
        <v>0</v>
      </c>
      <c r="AJ36" s="2015"/>
      <c r="AK36" s="2015"/>
      <c r="AL36" s="2015">
        <f>AVERAGE('2.0 Patients'!$R$55:$AC$55)</f>
        <v>6</v>
      </c>
      <c r="AM36" s="2015">
        <f>AVERAGE('2.0 Patients'!$AD$55:$AO$55)</f>
        <v>6</v>
      </c>
      <c r="AN36" s="2015">
        <f>AVERAGE('2.0 Patients'!$AP$55:$BA$55)</f>
        <v>6</v>
      </c>
      <c r="AO36" s="2015">
        <f>AVERAGE('2.0 Patients'!$BB$55:$BM$55)</f>
        <v>6</v>
      </c>
      <c r="AP36" s="2015">
        <f>AVERAGE('2.0 Patients'!$BN$55:$BY$55)</f>
        <v>6</v>
      </c>
      <c r="AQ36" s="1161"/>
      <c r="AR36" s="1125"/>
      <c r="AS36" s="1125">
        <f>Q36+AL36</f>
        <v>7</v>
      </c>
      <c r="AT36" s="1125">
        <f>R36+AM36</f>
        <v>7.5416666666666661</v>
      </c>
      <c r="AU36" s="1125">
        <f>S36+AN36</f>
        <v>8</v>
      </c>
      <c r="AV36" s="1125">
        <f>T36+AO36</f>
        <v>8.5416666666666679</v>
      </c>
      <c r="AW36" s="1125">
        <f>U36+AP36</f>
        <v>9.5416666666666679</v>
      </c>
    </row>
    <row r="37" spans="2:49" s="663" customFormat="1" outlineLevel="1">
      <c r="B37" s="664"/>
      <c r="F37" s="1131" t="s">
        <v>2474</v>
      </c>
      <c r="I37" s="1133"/>
      <c r="J37" s="1133">
        <f>'2.1 Reimburse'!H51</f>
        <v>3</v>
      </c>
      <c r="K37" s="1133">
        <f>'2.1 Reimburse'!I51</f>
        <v>3</v>
      </c>
      <c r="L37" s="1133">
        <f>'2.1 Reimburse'!J51</f>
        <v>3</v>
      </c>
      <c r="M37" s="1133">
        <f>'2.1 Reimburse'!K51</f>
        <v>3</v>
      </c>
      <c r="N37" s="1133">
        <f>'2.1 Reimburse'!L51</f>
        <v>3</v>
      </c>
      <c r="P37" s="1133"/>
      <c r="Q37" s="1133">
        <f>'5. Financials'!I37</f>
        <v>3</v>
      </c>
      <c r="R37" s="1133">
        <f>'5. Financials'!J37</f>
        <v>3</v>
      </c>
      <c r="S37" s="1133">
        <f>'5. Financials'!K37</f>
        <v>3</v>
      </c>
      <c r="T37" s="1133">
        <f>'5. Financials'!L37</f>
        <v>3</v>
      </c>
      <c r="U37" s="1133">
        <f>'5. Financials'!M37</f>
        <v>3</v>
      </c>
      <c r="W37" s="1133"/>
      <c r="X37" s="1133"/>
      <c r="Y37" s="1133"/>
      <c r="Z37" s="1133"/>
      <c r="AA37" s="1133"/>
      <c r="AB37" s="1133"/>
      <c r="AC37" s="664"/>
      <c r="AD37" s="1161"/>
      <c r="AE37" s="1740">
        <f>'2.1 Reimburse'!H51</f>
        <v>3</v>
      </c>
      <c r="AF37" s="1740">
        <f>'2.1 Reimburse'!I51</f>
        <v>3</v>
      </c>
      <c r="AG37" s="1740">
        <f>'2.1 Reimburse'!J51</f>
        <v>3</v>
      </c>
      <c r="AH37" s="1740">
        <f>'2.1 Reimburse'!K51</f>
        <v>3</v>
      </c>
      <c r="AI37" s="1740">
        <f>'2.1 Reimburse'!L51</f>
        <v>3</v>
      </c>
      <c r="AJ37" s="1740"/>
      <c r="AK37" s="1740"/>
      <c r="AL37" s="1740">
        <f>'2.1 Reimburse'!H51</f>
        <v>3</v>
      </c>
      <c r="AM37" s="1740">
        <f>'2.1 Reimburse'!I51</f>
        <v>3</v>
      </c>
      <c r="AN37" s="1740">
        <f>'2.1 Reimburse'!J51</f>
        <v>3</v>
      </c>
      <c r="AO37" s="1740">
        <f>'2.1 Reimburse'!K51</f>
        <v>3</v>
      </c>
      <c r="AP37" s="1740">
        <f>'2.1 Reimburse'!L51</f>
        <v>3</v>
      </c>
      <c r="AQ37" s="1161"/>
      <c r="AR37" s="1133"/>
      <c r="AS37" s="1133"/>
      <c r="AT37" s="1133"/>
      <c r="AU37" s="1133"/>
      <c r="AV37" s="1133"/>
      <c r="AW37" s="1133"/>
    </row>
    <row r="38" spans="2:49" s="663" customFormat="1" outlineLevel="1">
      <c r="B38" s="664"/>
      <c r="F38" s="657" t="s">
        <v>1989</v>
      </c>
      <c r="I38" s="1306"/>
      <c r="J38" s="1140">
        <f>homemiss</f>
        <v>0.05</v>
      </c>
      <c r="K38" s="1140">
        <f>homemiss</f>
        <v>0.05</v>
      </c>
      <c r="L38" s="1140">
        <f>homemiss</f>
        <v>0.05</v>
      </c>
      <c r="M38" s="1140">
        <f>homemiss</f>
        <v>0.05</v>
      </c>
      <c r="N38" s="1140">
        <f>homemiss</f>
        <v>0.05</v>
      </c>
      <c r="P38" s="1306"/>
      <c r="Q38" s="1140">
        <f>'5. Financials'!I38</f>
        <v>0.05</v>
      </c>
      <c r="R38" s="1140">
        <f>'5. Financials'!J38</f>
        <v>0.05</v>
      </c>
      <c r="S38" s="1140">
        <f>'5. Financials'!K38</f>
        <v>0.05</v>
      </c>
      <c r="T38" s="1140">
        <f>'5. Financials'!L38</f>
        <v>0.05</v>
      </c>
      <c r="U38" s="1140">
        <f>'5. Financials'!M38</f>
        <v>0.05</v>
      </c>
      <c r="W38" s="1306"/>
      <c r="X38" s="1140"/>
      <c r="Y38" s="1140"/>
      <c r="Z38" s="1140"/>
      <c r="AA38" s="1140"/>
      <c r="AB38" s="1140"/>
      <c r="AC38" s="664"/>
      <c r="AD38" s="1161"/>
      <c r="AE38" s="2016">
        <f>homemiss</f>
        <v>0.05</v>
      </c>
      <c r="AF38" s="2016">
        <f>homemiss</f>
        <v>0.05</v>
      </c>
      <c r="AG38" s="2016">
        <f>homemiss</f>
        <v>0.05</v>
      </c>
      <c r="AH38" s="2016">
        <f>homemiss</f>
        <v>0.05</v>
      </c>
      <c r="AI38" s="2016">
        <f>homemiss</f>
        <v>0.05</v>
      </c>
      <c r="AJ38" s="2025"/>
      <c r="AK38" s="2025"/>
      <c r="AL38" s="2016">
        <f>homemiss</f>
        <v>0.05</v>
      </c>
      <c r="AM38" s="2016">
        <f>homemiss</f>
        <v>0.05</v>
      </c>
      <c r="AN38" s="2016">
        <f>homemiss</f>
        <v>0.05</v>
      </c>
      <c r="AO38" s="2016">
        <f>homemiss</f>
        <v>0.05</v>
      </c>
      <c r="AP38" s="2016">
        <f>homemiss</f>
        <v>0.05</v>
      </c>
      <c r="AQ38" s="1161"/>
      <c r="AR38" s="1306"/>
      <c r="AS38" s="1140"/>
      <c r="AT38" s="1140"/>
      <c r="AU38" s="1140"/>
      <c r="AV38" s="1140"/>
      <c r="AW38" s="1140"/>
    </row>
    <row r="39" spans="2:49" s="663" customFormat="1">
      <c r="B39" s="664"/>
      <c r="F39" s="393" t="s">
        <v>4127</v>
      </c>
      <c r="I39" s="1125"/>
      <c r="J39" s="1125">
        <f>J36*J37*52*(1-J38)</f>
        <v>889.19999999999993</v>
      </c>
      <c r="K39" s="1125">
        <f>K36*K37*52*(1-K38)</f>
        <v>889.19999999999993</v>
      </c>
      <c r="L39" s="1125">
        <f>L36*L37*52*(1-L38)</f>
        <v>889.19999999999993</v>
      </c>
      <c r="M39" s="1125">
        <f>M36*M37*52*(1-M38)</f>
        <v>889.19999999999993</v>
      </c>
      <c r="N39" s="1125">
        <f>N36*N37*52*(1-N38)</f>
        <v>889.19999999999993</v>
      </c>
      <c r="P39" s="1125"/>
      <c r="Q39" s="1125">
        <f>'5. Financials'!I39</f>
        <v>148.19999999999996</v>
      </c>
      <c r="R39" s="1125">
        <f>'5. Financials'!J39</f>
        <v>228.47499999999988</v>
      </c>
      <c r="S39" s="1125">
        <f>'5. Financials'!K39</f>
        <v>296.39999999999986</v>
      </c>
      <c r="T39" s="1125">
        <f>'5. Financials'!L39</f>
        <v>376.67500000000001</v>
      </c>
      <c r="U39" s="1125">
        <f>'5. Financials'!M39</f>
        <v>524.87500000000023</v>
      </c>
      <c r="W39" s="1125"/>
      <c r="X39" s="2015">
        <f>(Q39*DVAOwnership)+(AL39*pshare)-(J39*pshare)</f>
        <v>88.919999999999959</v>
      </c>
      <c r="Y39" s="2015">
        <f>(R39*DVAOwnership)+(AM39*pshare)-(K39*pshare)</f>
        <v>137.08499999999992</v>
      </c>
      <c r="Z39" s="2015">
        <f>(S39*DVAOwnership)+(AN39*pshare)-(L39*pshare)</f>
        <v>177.83999999999992</v>
      </c>
      <c r="AA39" s="2015">
        <f>(T39*DVAOwnership)+(AO39*pshare)-(M39*pshare)</f>
        <v>226.005</v>
      </c>
      <c r="AB39" s="2015">
        <f>(U39*DVAOwnership)+(AP39*pshare)-(N39*pshare)</f>
        <v>314.92500000000018</v>
      </c>
      <c r="AC39" s="664"/>
      <c r="AD39" s="1161"/>
      <c r="AE39" s="2015">
        <f>J39-AL39</f>
        <v>0</v>
      </c>
      <c r="AF39" s="2015">
        <f>K39-AM39</f>
        <v>0</v>
      </c>
      <c r="AG39" s="2015">
        <f>L39-AN39</f>
        <v>0</v>
      </c>
      <c r="AH39" s="2015">
        <f>M39-AO39</f>
        <v>0</v>
      </c>
      <c r="AI39" s="2015">
        <f>N39-AP39</f>
        <v>0</v>
      </c>
      <c r="AJ39" s="2015"/>
      <c r="AK39" s="2015"/>
      <c r="AL39" s="2015">
        <f>AL36*AL37*52*(1-AL38)</f>
        <v>889.19999999999993</v>
      </c>
      <c r="AM39" s="2015">
        <f>AM36*AM37*52*(1-AM38)</f>
        <v>889.19999999999993</v>
      </c>
      <c r="AN39" s="2015">
        <f>AN36*AN37*52*(1-AN38)</f>
        <v>889.19999999999993</v>
      </c>
      <c r="AO39" s="2015">
        <f>AO36*AO37*52*(1-AO38)</f>
        <v>889.19999999999993</v>
      </c>
      <c r="AP39" s="2015">
        <f>AP36*AP37*52*(1-AP38)</f>
        <v>889.19999999999993</v>
      </c>
      <c r="AQ39" s="1161"/>
      <c r="AR39" s="1125"/>
      <c r="AS39" s="1125">
        <f>Q39+AL39</f>
        <v>1037.3999999999999</v>
      </c>
      <c r="AT39" s="1125">
        <f>R39+AM39</f>
        <v>1117.6749999999997</v>
      </c>
      <c r="AU39" s="1125">
        <f>S39+AN39</f>
        <v>1185.5999999999999</v>
      </c>
      <c r="AV39" s="1125">
        <f>T39+AO39</f>
        <v>1265.875</v>
      </c>
      <c r="AW39" s="1125">
        <f>U39+AP39</f>
        <v>1414.0750000000003</v>
      </c>
    </row>
    <row r="40" spans="2:49" s="663" customFormat="1">
      <c r="B40" s="664"/>
      <c r="F40" s="1152" t="s">
        <v>9</v>
      </c>
      <c r="I40" s="1157"/>
      <c r="J40" s="1153">
        <f>'2.1 Reimburse'!H30</f>
        <v>1016.4768204665049</v>
      </c>
      <c r="K40" s="1153">
        <f>'2.1 Reimburse'!I30</f>
        <v>1039.8557873372342</v>
      </c>
      <c r="L40" s="1153">
        <f>'2.1 Reimburse'!J30</f>
        <v>1063.7724704459908</v>
      </c>
      <c r="M40" s="1153">
        <f>'2.1 Reimburse'!K30</f>
        <v>1088.2392372662482</v>
      </c>
      <c r="N40" s="1153">
        <f>'2.1 Reimburse'!L30</f>
        <v>1113.2687397233717</v>
      </c>
      <c r="P40" s="1157"/>
      <c r="Q40" s="1153">
        <f>'5. Financials'!I40</f>
        <v>1016.4768204665048</v>
      </c>
      <c r="R40" s="1153">
        <f>'5. Financials'!J40</f>
        <v>1039.8557873372342</v>
      </c>
      <c r="S40" s="1153">
        <f>'5. Financials'!K40</f>
        <v>1063.7724704459906</v>
      </c>
      <c r="T40" s="1153">
        <f>'5. Financials'!L40</f>
        <v>1088.2392372662482</v>
      </c>
      <c r="U40" s="1153">
        <f>'5. Financials'!M40</f>
        <v>1113.2687397233717</v>
      </c>
      <c r="W40" s="1157"/>
      <c r="X40" s="1153"/>
      <c r="Y40" s="1153"/>
      <c r="Z40" s="1153"/>
      <c r="AA40" s="1153"/>
      <c r="AB40" s="1153"/>
      <c r="AC40" s="664"/>
      <c r="AD40" s="1161"/>
      <c r="AE40" s="2017">
        <f>'2.1 Reimburse'!H52</f>
        <v>1016.4768204665048</v>
      </c>
      <c r="AF40" s="2017">
        <f>'2.1 Reimburse'!I52</f>
        <v>1039.8557873372342</v>
      </c>
      <c r="AG40" s="2017">
        <f>'2.1 Reimburse'!J52</f>
        <v>1063.7724704459906</v>
      </c>
      <c r="AH40" s="2017">
        <f>'2.1 Reimburse'!K52</f>
        <v>1088.2392372662482</v>
      </c>
      <c r="AI40" s="2017">
        <f>'2.1 Reimburse'!L52</f>
        <v>1113.2687397233717</v>
      </c>
      <c r="AJ40" s="2026"/>
      <c r="AK40" s="2026"/>
      <c r="AL40" s="2017">
        <f>'2.1 Reimburse'!H30</f>
        <v>1016.4768204665049</v>
      </c>
      <c r="AM40" s="2017">
        <f>'2.1 Reimburse'!I30</f>
        <v>1039.8557873372342</v>
      </c>
      <c r="AN40" s="2017">
        <f>'2.1 Reimburse'!J30</f>
        <v>1063.7724704459908</v>
      </c>
      <c r="AO40" s="2017">
        <f>'2.1 Reimburse'!K30</f>
        <v>1088.2392372662482</v>
      </c>
      <c r="AP40" s="2017">
        <f>'2.1 Reimburse'!L30</f>
        <v>1113.2687397233717</v>
      </c>
      <c r="AQ40" s="1161"/>
      <c r="AR40" s="1157"/>
      <c r="AS40" s="1153">
        <f>IF(AS39=0,0,AS41/AS39)</f>
        <v>1016.4768204665049</v>
      </c>
      <c r="AT40" s="1153">
        <f>IF(AT39=0,0,AT41/AT39)</f>
        <v>1039.8557873372345</v>
      </c>
      <c r="AU40" s="1153">
        <f>IF(AU39=0,0,AU41/AU39)</f>
        <v>1063.7724704459906</v>
      </c>
      <c r="AV40" s="1153">
        <f>IF(AV39=0,0,AV41/AV39)</f>
        <v>1088.2392372662482</v>
      </c>
      <c r="AW40" s="1153">
        <f>IF(AW39=0,0,AW41/AW39)</f>
        <v>1113.2687397233717</v>
      </c>
    </row>
    <row r="41" spans="2:49" s="663" customFormat="1">
      <c r="B41" s="664"/>
      <c r="F41" s="667" t="s">
        <v>2169</v>
      </c>
      <c r="I41" s="646"/>
      <c r="J41" s="646">
        <f>52*J37*J36*(1-J38)*J40</f>
        <v>903851.1887588161</v>
      </c>
      <c r="K41" s="646">
        <f>52*K37*K36*(1-K38)*K40</f>
        <v>924639.76610026858</v>
      </c>
      <c r="L41" s="646">
        <f>52*L37*L36*(1-L38)*L40</f>
        <v>945906.48072057497</v>
      </c>
      <c r="M41" s="646">
        <f>52*M37*M36*(1-M38)*M40</f>
        <v>967662.32977714785</v>
      </c>
      <c r="N41" s="646">
        <f>52*N37*N36*(1-N38)*N40</f>
        <v>989918.56336202205</v>
      </c>
      <c r="P41" s="646"/>
      <c r="Q41" s="646">
        <f>'5. Financials'!I41</f>
        <v>150641.86479313599</v>
      </c>
      <c r="R41" s="646">
        <f>'5. Financials'!J41</f>
        <v>237581.05101187449</v>
      </c>
      <c r="S41" s="646">
        <f>'5. Financials'!K41</f>
        <v>315302.16024019156</v>
      </c>
      <c r="T41" s="646">
        <f>'5. Financials'!L41</f>
        <v>409912.51469726407</v>
      </c>
      <c r="U41" s="646">
        <f>'5. Financials'!M41</f>
        <v>584326.92976230499</v>
      </c>
      <c r="W41" s="646"/>
      <c r="X41" s="1715">
        <f>(Q41*DVAOwnership)+(AL41*pshare)-(J41*pshare)</f>
        <v>90385.118875881541</v>
      </c>
      <c r="Y41" s="1715">
        <f>(R41*DVAOwnership)+(AM41*pshare)-(K41*pshare)</f>
        <v>142548.63060712465</v>
      </c>
      <c r="Z41" s="1715">
        <f>(S41*DVAOwnership)+(AN41*pshare)-(L41*pshare)</f>
        <v>189181.29614411492</v>
      </c>
      <c r="AA41" s="1715">
        <f>(T41*DVAOwnership)+(AO41*pshare)-(M41*pshare)</f>
        <v>245947.50881835842</v>
      </c>
      <c r="AB41" s="1715">
        <f>(U41*DVAOwnership)+(AP41*pshare)-(N41*pshare)</f>
        <v>350596.1578573829</v>
      </c>
      <c r="AC41" s="664"/>
      <c r="AD41" s="1721"/>
      <c r="AE41" s="646">
        <f>52*AE37*AE36*(1-AE38)*AE40</f>
        <v>0</v>
      </c>
      <c r="AF41" s="646">
        <f>52*AF37*AF36*(1-AF38)*AF40</f>
        <v>0</v>
      </c>
      <c r="AG41" s="646">
        <f>52*AG37*AG36*(1-AG38)*AG40</f>
        <v>0</v>
      </c>
      <c r="AH41" s="646">
        <f>52*AH37*AH36*(1-AH38)*AH40</f>
        <v>0</v>
      </c>
      <c r="AI41" s="646">
        <f>52*AI37*AI36*(1-AI38)*AI40</f>
        <v>0</v>
      </c>
      <c r="AJ41" s="1715"/>
      <c r="AK41" s="1715"/>
      <c r="AL41" s="1715">
        <f>52*AL37*AL36*(1-AL38)*AL40</f>
        <v>903851.1887588161</v>
      </c>
      <c r="AM41" s="1715">
        <f>52*AM37*AM36*(1-AM38)*AM40</f>
        <v>924639.76610026858</v>
      </c>
      <c r="AN41" s="1715">
        <f>52*AN37*AN36*(1-AN38)*AN40</f>
        <v>945906.48072057497</v>
      </c>
      <c r="AO41" s="1715">
        <f>52*AO37*AO36*(1-AO38)*AO40</f>
        <v>967662.32977714785</v>
      </c>
      <c r="AP41" s="1715">
        <f>52*AP37*AP36*(1-AP38)*AP40</f>
        <v>989918.56336202205</v>
      </c>
      <c r="AQ41" s="1161"/>
      <c r="AR41" s="646"/>
      <c r="AS41" s="646">
        <f>Q41+AL41</f>
        <v>1054493.0535519521</v>
      </c>
      <c r="AT41" s="646">
        <f>R41+AM41</f>
        <v>1162220.8171121432</v>
      </c>
      <c r="AU41" s="646">
        <f>S41+AN41</f>
        <v>1261208.6409607665</v>
      </c>
      <c r="AV41" s="646">
        <f>T41+AO41</f>
        <v>1377574.844474412</v>
      </c>
      <c r="AW41" s="646">
        <f>U41+AP41</f>
        <v>1574245.4931243272</v>
      </c>
    </row>
    <row r="42" spans="2:49" s="663" customFormat="1">
      <c r="B42" s="664"/>
      <c r="F42" s="667" t="s">
        <v>1890</v>
      </c>
      <c r="I42" s="667"/>
      <c r="P42" s="667"/>
      <c r="W42" s="667"/>
      <c r="AC42" s="664"/>
      <c r="AD42" s="1161"/>
      <c r="AE42" s="1161"/>
      <c r="AF42" s="1161"/>
      <c r="AG42" s="1161"/>
      <c r="AH42" s="1161"/>
      <c r="AI42" s="1161"/>
      <c r="AJ42" s="1161"/>
      <c r="AK42" s="1161"/>
      <c r="AL42" s="1161"/>
      <c r="AM42" s="1161"/>
      <c r="AN42" s="1161"/>
      <c r="AO42" s="1161"/>
      <c r="AP42" s="1161"/>
      <c r="AQ42" s="1161"/>
    </row>
    <row r="43" spans="2:49" s="663" customFormat="1">
      <c r="B43" s="664"/>
      <c r="F43" s="667"/>
      <c r="I43" s="667"/>
      <c r="P43" s="667"/>
      <c r="W43" s="667"/>
      <c r="AC43" s="664"/>
      <c r="AD43" s="1161"/>
      <c r="AE43" s="1161"/>
      <c r="AF43" s="1161"/>
      <c r="AG43" s="1161"/>
      <c r="AH43" s="1161"/>
      <c r="AI43" s="1161"/>
      <c r="AJ43" s="1161"/>
      <c r="AK43" s="1161"/>
      <c r="AL43" s="1161"/>
      <c r="AM43" s="1161"/>
      <c r="AN43" s="1161"/>
      <c r="AO43" s="1161"/>
      <c r="AP43" s="1161"/>
      <c r="AQ43" s="1161"/>
    </row>
    <row r="44" spans="2:49" s="663" customFormat="1">
      <c r="B44" s="664"/>
      <c r="E44" s="663" t="s">
        <v>3515</v>
      </c>
      <c r="F44" s="667"/>
      <c r="I44" s="667"/>
      <c r="P44" s="667"/>
      <c r="W44" s="667"/>
      <c r="AC44" s="664"/>
      <c r="AD44" s="1161"/>
      <c r="AE44" s="1161"/>
      <c r="AF44" s="1161"/>
      <c r="AG44" s="1161"/>
      <c r="AH44" s="1161"/>
      <c r="AI44" s="1161"/>
      <c r="AJ44" s="1161"/>
      <c r="AK44" s="1161"/>
      <c r="AL44" s="1161"/>
      <c r="AM44" s="1161"/>
      <c r="AN44" s="1161"/>
      <c r="AO44" s="1161"/>
      <c r="AP44" s="1161"/>
      <c r="AQ44" s="1161"/>
    </row>
    <row r="45" spans="2:49" s="663" customFormat="1" outlineLevel="1">
      <c r="B45" s="664"/>
      <c r="F45" s="393" t="s">
        <v>2060</v>
      </c>
      <c r="I45" s="1125">
        <f>'2.0 Patients'!$Q$33</f>
        <v>5</v>
      </c>
      <c r="J45" s="2015">
        <f>AVERAGE('2.0 Patients'!$R$33:$AC$33)</f>
        <v>5</v>
      </c>
      <c r="K45" s="2015">
        <f>AVERAGE('2.0 Patients'!$AD$33:$AO$33)</f>
        <v>5</v>
      </c>
      <c r="L45" s="2015">
        <f>AVERAGE('2.0 Patients'!$AP$33:$BA$33)</f>
        <v>5</v>
      </c>
      <c r="M45" s="2015">
        <f>AVERAGE('2.0 Patients'!$BB$33:$BM$33)</f>
        <v>5</v>
      </c>
      <c r="N45" s="2015">
        <f>AVERAGE('2.0 Patients'!$BN$33:$BY$33)</f>
        <v>5</v>
      </c>
      <c r="P45" s="1125"/>
      <c r="Q45" s="1125">
        <f>'5. Financials'!I45</f>
        <v>1.0833333333333333</v>
      </c>
      <c r="R45" s="1125">
        <f>'5. Financials'!J45</f>
        <v>3.625</v>
      </c>
      <c r="S45" s="1125">
        <f>'5. Financials'!K45</f>
        <v>5.5416666666666643</v>
      </c>
      <c r="T45" s="1125">
        <f>'5. Financials'!L45</f>
        <v>6.5416666666666599</v>
      </c>
      <c r="U45" s="1125">
        <f>'5. Financials'!M45</f>
        <v>7.5416666666666581</v>
      </c>
      <c r="W45" s="2015">
        <f t="shared" ref="W45:AB45" si="0">(P45*DVAOwnership)+(AK45*HHD_pshare)-(I45*HHD_pshare)</f>
        <v>0</v>
      </c>
      <c r="X45" s="2015">
        <f t="shared" si="0"/>
        <v>0.64999999999999991</v>
      </c>
      <c r="Y45" s="2015">
        <f t="shared" si="0"/>
        <v>2.1749999999999998</v>
      </c>
      <c r="Z45" s="2015">
        <f t="shared" si="0"/>
        <v>3.3249999999999984</v>
      </c>
      <c r="AA45" s="2015">
        <f t="shared" si="0"/>
        <v>3.9249999999999954</v>
      </c>
      <c r="AB45" s="2015">
        <f t="shared" si="0"/>
        <v>4.524999999999995</v>
      </c>
      <c r="AC45" s="664"/>
      <c r="AE45" s="2015">
        <f>(J45-AL45)*HHD_pshare</f>
        <v>0</v>
      </c>
      <c r="AF45" s="2015">
        <f>(K45-AM45)*HHD_pshare</f>
        <v>0</v>
      </c>
      <c r="AG45" s="2015">
        <f>(L45-AN45)*HHD_pshare</f>
        <v>0</v>
      </c>
      <c r="AH45" s="2015">
        <f>(M45-AO45)*HHD_pshare</f>
        <v>0</v>
      </c>
      <c r="AI45" s="2015">
        <f>(N45-AP45)*HHD_pshare</f>
        <v>0</v>
      </c>
      <c r="AJ45" s="2015"/>
      <c r="AK45" s="2018">
        <f>'2.0 Patients'!$Q$33</f>
        <v>5</v>
      </c>
      <c r="AL45" s="2015">
        <f>AVERAGE('2.0 Patients'!$R$59:$AC$59)</f>
        <v>5</v>
      </c>
      <c r="AM45" s="2015">
        <f>AVERAGE('2.0 Patients'!$AD$59:$AO$59)</f>
        <v>5</v>
      </c>
      <c r="AN45" s="2015">
        <f>AVERAGE('2.0 Patients'!$AP$59:$BA$59)</f>
        <v>5</v>
      </c>
      <c r="AO45" s="2015">
        <f>AVERAGE('2.0 Patients'!$BB$59:$BM$59)</f>
        <v>5</v>
      </c>
      <c r="AP45" s="2015">
        <f>AVERAGE('2.0 Patients'!$BN$59:$BY$59)</f>
        <v>5</v>
      </c>
      <c r="AQ45" s="1161"/>
      <c r="AR45" s="1125">
        <f t="shared" ref="AR45:AW45" si="1">P45+AK45</f>
        <v>5</v>
      </c>
      <c r="AS45" s="1125">
        <f t="shared" si="1"/>
        <v>6.083333333333333</v>
      </c>
      <c r="AT45" s="1125">
        <f t="shared" si="1"/>
        <v>8.625</v>
      </c>
      <c r="AU45" s="1125">
        <f t="shared" si="1"/>
        <v>10.541666666666664</v>
      </c>
      <c r="AV45" s="1125">
        <f t="shared" si="1"/>
        <v>11.541666666666661</v>
      </c>
      <c r="AW45" s="1125">
        <f t="shared" si="1"/>
        <v>12.541666666666657</v>
      </c>
    </row>
    <row r="46" spans="2:49" s="663" customFormat="1" outlineLevel="1">
      <c r="B46" s="664"/>
      <c r="F46" s="1131" t="s">
        <v>2474</v>
      </c>
      <c r="I46" s="1133"/>
      <c r="J46" s="1133">
        <f>'2.1 Reimburse'!H56</f>
        <v>3</v>
      </c>
      <c r="K46" s="1133">
        <f>'2.1 Reimburse'!I56</f>
        <v>3</v>
      </c>
      <c r="L46" s="1133">
        <f>'2.1 Reimburse'!J56</f>
        <v>3</v>
      </c>
      <c r="M46" s="1133">
        <f>'2.1 Reimburse'!K56</f>
        <v>3</v>
      </c>
      <c r="N46" s="1133">
        <f>'2.1 Reimburse'!L56</f>
        <v>3</v>
      </c>
      <c r="P46" s="1133"/>
      <c r="Q46" s="1133">
        <f>'5. Financials'!I46</f>
        <v>3</v>
      </c>
      <c r="R46" s="1133">
        <f>'5. Financials'!J46</f>
        <v>3</v>
      </c>
      <c r="S46" s="1133">
        <f>'5. Financials'!K46</f>
        <v>3</v>
      </c>
      <c r="T46" s="1133">
        <f>'5. Financials'!L46</f>
        <v>3</v>
      </c>
      <c r="U46" s="1133">
        <f>'5. Financials'!M46</f>
        <v>3</v>
      </c>
      <c r="W46" s="1133"/>
      <c r="X46" s="1133"/>
      <c r="Y46" s="1133"/>
      <c r="Z46" s="1133"/>
      <c r="AA46" s="1133"/>
      <c r="AB46" s="1133"/>
      <c r="AC46" s="664"/>
      <c r="AD46" s="1161"/>
      <c r="AE46" s="1740">
        <f>'2.1 Reimburse'!H56</f>
        <v>3</v>
      </c>
      <c r="AF46" s="1740">
        <f>'2.1 Reimburse'!I56</f>
        <v>3</v>
      </c>
      <c r="AG46" s="1740">
        <f>'2.1 Reimburse'!J56</f>
        <v>3</v>
      </c>
      <c r="AH46" s="1740">
        <f>'2.1 Reimburse'!K56</f>
        <v>3</v>
      </c>
      <c r="AI46" s="1740">
        <f>'2.1 Reimburse'!L56</f>
        <v>3</v>
      </c>
      <c r="AJ46" s="1740"/>
      <c r="AK46" s="1740"/>
      <c r="AL46" s="1740">
        <f>'2.1 Reimburse'!H56</f>
        <v>3</v>
      </c>
      <c r="AM46" s="1740">
        <f>'2.1 Reimburse'!I56</f>
        <v>3</v>
      </c>
      <c r="AN46" s="1740">
        <f>'2.1 Reimburse'!J56</f>
        <v>3</v>
      </c>
      <c r="AO46" s="1740">
        <f>'2.1 Reimburse'!K56</f>
        <v>3</v>
      </c>
      <c r="AP46" s="1740">
        <f>'2.1 Reimburse'!L56</f>
        <v>3</v>
      </c>
      <c r="AQ46" s="1161"/>
      <c r="AR46" s="1133"/>
      <c r="AS46" s="1133"/>
      <c r="AT46" s="1133"/>
      <c r="AU46" s="1133"/>
      <c r="AV46" s="1133"/>
      <c r="AW46" s="1133"/>
    </row>
    <row r="47" spans="2:49" s="663" customFormat="1" outlineLevel="1">
      <c r="B47" s="664"/>
      <c r="F47" s="657" t="s">
        <v>1989</v>
      </c>
      <c r="I47" s="1306"/>
      <c r="J47" s="1140">
        <f>'2.1 Reimburse'!$J$7</f>
        <v>0</v>
      </c>
      <c r="K47" s="1140">
        <f>'2.1 Reimburse'!$J$7</f>
        <v>0</v>
      </c>
      <c r="L47" s="1140">
        <f>'2.1 Reimburse'!$J$7</f>
        <v>0</v>
      </c>
      <c r="M47" s="1140">
        <f>'2.1 Reimburse'!$J$7</f>
        <v>0</v>
      </c>
      <c r="N47" s="1140">
        <f>'2.1 Reimburse'!$J$7</f>
        <v>0</v>
      </c>
      <c r="P47" s="1306"/>
      <c r="Q47" s="1140">
        <f>'5. Financials'!I47</f>
        <v>0</v>
      </c>
      <c r="R47" s="1140">
        <f>'5. Financials'!J47</f>
        <v>0</v>
      </c>
      <c r="S47" s="1140">
        <f>'5. Financials'!K47</f>
        <v>0</v>
      </c>
      <c r="T47" s="1140">
        <f>'5. Financials'!L47</f>
        <v>0</v>
      </c>
      <c r="U47" s="1140">
        <f>'5. Financials'!M47</f>
        <v>0</v>
      </c>
      <c r="W47" s="1140"/>
      <c r="X47" s="1140"/>
      <c r="Y47" s="1140"/>
      <c r="Z47" s="1140"/>
      <c r="AA47" s="1140"/>
      <c r="AB47" s="1140"/>
      <c r="AC47" s="664"/>
      <c r="AD47" s="1161"/>
      <c r="AE47" s="2016">
        <f>'2.1 Reimburse'!$J$7</f>
        <v>0</v>
      </c>
      <c r="AF47" s="2016">
        <f>'2.1 Reimburse'!$J$7</f>
        <v>0</v>
      </c>
      <c r="AG47" s="2016">
        <f>'2.1 Reimburse'!$J$7</f>
        <v>0</v>
      </c>
      <c r="AH47" s="2016">
        <f>'2.1 Reimburse'!$J$7</f>
        <v>0</v>
      </c>
      <c r="AI47" s="2016">
        <f>'2.1 Reimburse'!$J$7</f>
        <v>0</v>
      </c>
      <c r="AJ47" s="2025"/>
      <c r="AK47" s="2025"/>
      <c r="AL47" s="2016">
        <f>'2.1 Reimburse'!$J$7</f>
        <v>0</v>
      </c>
      <c r="AM47" s="2016">
        <f>'2.1 Reimburse'!$J$7</f>
        <v>0</v>
      </c>
      <c r="AN47" s="2016">
        <f>'2.1 Reimburse'!$J$7</f>
        <v>0</v>
      </c>
      <c r="AO47" s="2016">
        <f>'2.1 Reimburse'!$J$7</f>
        <v>0</v>
      </c>
      <c r="AP47" s="2016">
        <f>'2.1 Reimburse'!$J$7</f>
        <v>0</v>
      </c>
      <c r="AQ47" s="1161"/>
      <c r="AR47" s="1140"/>
      <c r="AS47" s="1140"/>
      <c r="AT47" s="1140"/>
      <c r="AU47" s="1140"/>
      <c r="AV47" s="1140"/>
      <c r="AW47" s="1140"/>
    </row>
    <row r="48" spans="2:49" s="663" customFormat="1">
      <c r="B48" s="664"/>
      <c r="F48" s="393" t="s">
        <v>2296</v>
      </c>
      <c r="I48" s="1125"/>
      <c r="J48" s="1125">
        <f>J45*J46*52*(1-J47)</f>
        <v>780</v>
      </c>
      <c r="K48" s="1125">
        <f>K45*K46*52*(1-K47)</f>
        <v>780</v>
      </c>
      <c r="L48" s="1125">
        <f>L45*L46*52*(1-L47)</f>
        <v>780</v>
      </c>
      <c r="M48" s="1125">
        <f>M45*M46*52*(1-M47)</f>
        <v>780</v>
      </c>
      <c r="N48" s="1125">
        <f>N45*N46*52*(1-N47)</f>
        <v>780</v>
      </c>
      <c r="P48" s="1125"/>
      <c r="Q48" s="1125">
        <f>'5. Financials'!I48</f>
        <v>169</v>
      </c>
      <c r="R48" s="1125">
        <f>'5. Financials'!J48</f>
        <v>565.5</v>
      </c>
      <c r="S48" s="1125">
        <f>'5. Financials'!K48</f>
        <v>864.49999999999977</v>
      </c>
      <c r="T48" s="1125">
        <f>'5. Financials'!L48</f>
        <v>1020.4999999999992</v>
      </c>
      <c r="U48" s="1125">
        <f>'5. Financials'!M48</f>
        <v>1176.4999999999986</v>
      </c>
      <c r="W48" s="2015">
        <f t="shared" ref="W48:AB48" si="2">(P48*DVAOwnership)+(AK48*HHD_pshare)-(I48*HHD_pshare)</f>
        <v>0</v>
      </c>
      <c r="X48" s="2015">
        <f t="shared" si="2"/>
        <v>101.39999999999998</v>
      </c>
      <c r="Y48" s="2015">
        <f t="shared" si="2"/>
        <v>339.29999999999995</v>
      </c>
      <c r="Z48" s="2015">
        <f t="shared" si="2"/>
        <v>518.69999999999982</v>
      </c>
      <c r="AA48" s="2015">
        <f t="shared" si="2"/>
        <v>612.2999999999995</v>
      </c>
      <c r="AB48" s="2015">
        <f t="shared" si="2"/>
        <v>705.89999999999918</v>
      </c>
      <c r="AC48" s="664"/>
      <c r="AD48" s="1161"/>
      <c r="AE48" s="2015">
        <f>J48-AL48</f>
        <v>0</v>
      </c>
      <c r="AF48" s="2015">
        <f>K48-AM48</f>
        <v>0</v>
      </c>
      <c r="AG48" s="2015">
        <f>L48-AN48</f>
        <v>0</v>
      </c>
      <c r="AH48" s="2015">
        <f>M48-AO48</f>
        <v>0</v>
      </c>
      <c r="AI48" s="2015">
        <f>N48-AP48</f>
        <v>0</v>
      </c>
      <c r="AJ48" s="2015"/>
      <c r="AK48" s="2015"/>
      <c r="AL48" s="2015">
        <f>AL45*AL46*52*(1-AL47)</f>
        <v>780</v>
      </c>
      <c r="AM48" s="2015">
        <f>AM45*AM46*52*(1-AM47)</f>
        <v>780</v>
      </c>
      <c r="AN48" s="2015">
        <f>AN45*AN46*52*(1-AN47)</f>
        <v>780</v>
      </c>
      <c r="AO48" s="2015">
        <f>AO45*AO46*52*(1-AO47)</f>
        <v>780</v>
      </c>
      <c r="AP48" s="2015">
        <f>AP45*AP46*52*(1-AP47)</f>
        <v>780</v>
      </c>
      <c r="AQ48" s="1161"/>
      <c r="AR48" s="1125">
        <f t="shared" ref="AR48:AW48" si="3">P48+AK48</f>
        <v>0</v>
      </c>
      <c r="AS48" s="1125">
        <f t="shared" si="3"/>
        <v>949</v>
      </c>
      <c r="AT48" s="1125">
        <f t="shared" si="3"/>
        <v>1345.5</v>
      </c>
      <c r="AU48" s="1125">
        <f t="shared" si="3"/>
        <v>1644.4999999999998</v>
      </c>
      <c r="AV48" s="1125">
        <f t="shared" si="3"/>
        <v>1800.4999999999991</v>
      </c>
      <c r="AW48" s="1125">
        <f t="shared" si="3"/>
        <v>1956.4999999999986</v>
      </c>
    </row>
    <row r="49" spans="2:49" s="663" customFormat="1">
      <c r="B49" s="664"/>
      <c r="F49" s="1152" t="s">
        <v>9</v>
      </c>
      <c r="I49" s="1157"/>
      <c r="J49" s="1153">
        <f>'2.1 Reimburse'!H32</f>
        <v>260.41648221343871</v>
      </c>
      <c r="K49" s="1153">
        <f>'2.1 Reimburse'!I32</f>
        <v>259.76544100790511</v>
      </c>
      <c r="L49" s="1153">
        <f>'2.1 Reimburse'!J32</f>
        <v>259.76544100790511</v>
      </c>
      <c r="M49" s="1153">
        <f>'2.1 Reimburse'!K32</f>
        <v>259.76544100790511</v>
      </c>
      <c r="N49" s="1153">
        <f>'2.1 Reimburse'!L32</f>
        <v>264.96074982806323</v>
      </c>
      <c r="P49" s="1157"/>
      <c r="Q49" s="1153">
        <f>'5. Financials'!I49</f>
        <v>260.41648221343871</v>
      </c>
      <c r="R49" s="1153">
        <f>'5. Financials'!J49</f>
        <v>259.76544100790511</v>
      </c>
      <c r="S49" s="1153">
        <f>'5. Financials'!K49</f>
        <v>259.76544100790511</v>
      </c>
      <c r="T49" s="1153">
        <f>'5. Financials'!L49</f>
        <v>259.76544100790511</v>
      </c>
      <c r="U49" s="1153">
        <f>'5. Financials'!M49</f>
        <v>264.96074982806323</v>
      </c>
      <c r="W49" s="1153"/>
      <c r="X49" s="1153"/>
      <c r="Y49" s="1153"/>
      <c r="Z49" s="1153"/>
      <c r="AA49" s="1153"/>
      <c r="AB49" s="1153"/>
      <c r="AC49" s="664"/>
      <c r="AD49" s="1161"/>
      <c r="AE49" s="2017">
        <f>'2.1 Reimburse'!H54</f>
        <v>260.41648221343871</v>
      </c>
      <c r="AF49" s="2017">
        <f>'2.1 Reimburse'!I54</f>
        <v>259.76544100790511</v>
      </c>
      <c r="AG49" s="2017">
        <f>'2.1 Reimburse'!J54</f>
        <v>259.76544100790511</v>
      </c>
      <c r="AH49" s="2017">
        <f>'2.1 Reimburse'!K54</f>
        <v>259.76544100790511</v>
      </c>
      <c r="AI49" s="2017">
        <f>'2.1 Reimburse'!L54</f>
        <v>264.96074982806323</v>
      </c>
      <c r="AJ49" s="2026"/>
      <c r="AK49" s="2026"/>
      <c r="AL49" s="2017">
        <f>'2.1 Reimburse'!H32</f>
        <v>260.41648221343871</v>
      </c>
      <c r="AM49" s="2017">
        <f>'2.1 Reimburse'!I32</f>
        <v>259.76544100790511</v>
      </c>
      <c r="AN49" s="2017">
        <f>'2.1 Reimburse'!J32</f>
        <v>259.76544100790511</v>
      </c>
      <c r="AO49" s="2017">
        <f>'2.1 Reimburse'!K32</f>
        <v>259.76544100790511</v>
      </c>
      <c r="AP49" s="2017">
        <f>'2.1 Reimburse'!L32</f>
        <v>264.96074982806323</v>
      </c>
      <c r="AQ49" s="1161"/>
      <c r="AR49" s="1153">
        <f t="shared" ref="AR49:AW49" si="4">IF(AR48=0,0,AR50/AR48)</f>
        <v>0</v>
      </c>
      <c r="AS49" s="1153">
        <f t="shared" si="4"/>
        <v>260.41648221343871</v>
      </c>
      <c r="AT49" s="1153">
        <f t="shared" si="4"/>
        <v>259.76544100790511</v>
      </c>
      <c r="AU49" s="1153">
        <f t="shared" si="4"/>
        <v>259.76544100790511</v>
      </c>
      <c r="AV49" s="1153">
        <f t="shared" si="4"/>
        <v>259.76544100790511</v>
      </c>
      <c r="AW49" s="1153">
        <f t="shared" si="4"/>
        <v>264.96074982806323</v>
      </c>
    </row>
    <row r="50" spans="2:49" s="663" customFormat="1">
      <c r="B50" s="664"/>
      <c r="F50" s="667" t="s">
        <v>2169</v>
      </c>
      <c r="I50" s="646"/>
      <c r="J50" s="2080">
        <f>IF(Type="DeNovo",52*J46*J45*(1-J47)*J49,52*J46*J45*(1-J47)*J49-clawback*(52*(J46-3)*J45*(1-J47)*J49))</f>
        <v>203124.85612648219</v>
      </c>
      <c r="K50" s="2080">
        <f>IF(Type="DeNovo",52*K46*K45*(1-K47)*K49,52*K46*K45*(1-K47)*K49-clawback*(52*(K46-3)*K45*(1-K47)*K49))</f>
        <v>202617.04398616598</v>
      </c>
      <c r="L50" s="2080">
        <f>IF(Type="DeNovo",52*L46*L45*(1-L47)*L49,52*L46*L45*(1-L47)*L49-clawback*(52*(L46-3)*L45*(1-L47)*L49))</f>
        <v>202617.04398616598</v>
      </c>
      <c r="M50" s="2080">
        <f>IF(Type="DeNovo",52*M46*M45*(1-M47)*M49,52*M46*M45*(1-M47)*M49-clawback*(52*(M46-3)*M45*(1-M47)*M49))</f>
        <v>202617.04398616598</v>
      </c>
      <c r="N50" s="2080">
        <f>IF(Type="DeNovo",52*N46*N45*(1-N47)*N49,52*N46*N45*(1-N47)*N49-clawback*(52*(N46-3)*N45*(1-N47)*N49))</f>
        <v>206669.38486588933</v>
      </c>
      <c r="P50" s="646"/>
      <c r="Q50" s="646">
        <f>'5. Financials'!I50</f>
        <v>44010.385494071139</v>
      </c>
      <c r="R50" s="646">
        <f>'5. Financials'!J50</f>
        <v>146897.35688997034</v>
      </c>
      <c r="S50" s="646">
        <f>'5. Financials'!K50</f>
        <v>224567.22375133389</v>
      </c>
      <c r="T50" s="646">
        <f>'5. Financials'!L50</f>
        <v>265090.63254856691</v>
      </c>
      <c r="U50" s="646">
        <f>'5. Financials'!M50</f>
        <v>311726.32217271603</v>
      </c>
      <c r="W50" s="1715">
        <f t="shared" ref="W50:AB50" si="5">(P50*DVAOwnership)+(AK50*HHD_pshare)-(I50*HHD_pshare)</f>
        <v>0</v>
      </c>
      <c r="X50" s="1715">
        <f t="shared" si="5"/>
        <v>26406.231296442682</v>
      </c>
      <c r="Y50" s="1715">
        <f t="shared" si="5"/>
        <v>88138.414133982194</v>
      </c>
      <c r="Z50" s="1715">
        <f t="shared" si="5"/>
        <v>134740.33425080037</v>
      </c>
      <c r="AA50" s="1715">
        <f t="shared" si="5"/>
        <v>159054.37952914013</v>
      </c>
      <c r="AB50" s="1715">
        <f t="shared" si="5"/>
        <v>187035.79330362962</v>
      </c>
      <c r="AC50" s="664"/>
      <c r="AD50" s="1721"/>
      <c r="AE50" s="646">
        <f>52*AE46*AE45*(1-AE47)*AE49</f>
        <v>0</v>
      </c>
      <c r="AF50" s="646">
        <f>52*AF46*AF45*(1-AF47)*AF49</f>
        <v>0</v>
      </c>
      <c r="AG50" s="646">
        <f>52*AG46*AG45*(1-AG47)*AG49</f>
        <v>0</v>
      </c>
      <c r="AH50" s="646">
        <f>52*AH46*AH45*(1-AH47)*AH49</f>
        <v>0</v>
      </c>
      <c r="AI50" s="646">
        <f>52*AI46*AI45*(1-AI47)*AI49</f>
        <v>0</v>
      </c>
      <c r="AJ50" s="1715"/>
      <c r="AK50" s="1715"/>
      <c r="AL50" s="1715">
        <f>52*AL46*AL45*(1-AL47)*AL49</f>
        <v>203124.85612648219</v>
      </c>
      <c r="AM50" s="1715">
        <f>52*AM46*AM45*(1-AM47)*AM49</f>
        <v>202617.04398616598</v>
      </c>
      <c r="AN50" s="1715">
        <f>52*AN46*AN45*(1-AN47)*AN49</f>
        <v>202617.04398616598</v>
      </c>
      <c r="AO50" s="1715">
        <f>52*AO46*AO45*(1-AO47)*AO49</f>
        <v>202617.04398616598</v>
      </c>
      <c r="AP50" s="1715">
        <f>52*AP46*AP45*(1-AP47)*AP49</f>
        <v>206669.38486588933</v>
      </c>
      <c r="AQ50" s="1161"/>
      <c r="AR50" s="646">
        <f t="shared" ref="AR50:AW50" si="6">P50+AK50</f>
        <v>0</v>
      </c>
      <c r="AS50" s="646">
        <f t="shared" si="6"/>
        <v>247135.24162055334</v>
      </c>
      <c r="AT50" s="646">
        <f t="shared" si="6"/>
        <v>349514.40087613632</v>
      </c>
      <c r="AU50" s="646">
        <f t="shared" si="6"/>
        <v>427184.2677374999</v>
      </c>
      <c r="AV50" s="646">
        <f t="shared" si="6"/>
        <v>467707.67653473292</v>
      </c>
      <c r="AW50" s="646">
        <f t="shared" si="6"/>
        <v>518395.70703860535</v>
      </c>
    </row>
    <row r="51" spans="2:49" s="663" customFormat="1">
      <c r="B51" s="664"/>
      <c r="F51" s="667" t="s">
        <v>1890</v>
      </c>
      <c r="I51" s="667"/>
      <c r="P51" s="667"/>
      <c r="AC51" s="664"/>
      <c r="AD51" s="1161"/>
      <c r="AE51" s="1161"/>
      <c r="AF51" s="1161"/>
      <c r="AG51" s="1161"/>
      <c r="AH51" s="1161"/>
      <c r="AI51" s="1161"/>
      <c r="AJ51" s="1161"/>
      <c r="AK51" s="1161"/>
      <c r="AL51" s="1161"/>
      <c r="AM51" s="1161"/>
      <c r="AN51" s="1161"/>
      <c r="AO51" s="1161"/>
      <c r="AP51" s="1161"/>
      <c r="AQ51" s="1161"/>
    </row>
    <row r="52" spans="2:49" s="663" customFormat="1">
      <c r="B52" s="664"/>
      <c r="F52" s="667"/>
      <c r="I52" s="667"/>
      <c r="P52" s="667"/>
      <c r="AC52" s="664"/>
      <c r="AD52" s="1161"/>
      <c r="AE52" s="1161"/>
      <c r="AF52" s="1161"/>
      <c r="AG52" s="1161"/>
      <c r="AH52" s="1161"/>
      <c r="AI52" s="1161"/>
      <c r="AJ52" s="1161"/>
      <c r="AK52" s="1161"/>
      <c r="AL52" s="1161"/>
      <c r="AM52" s="1161"/>
      <c r="AN52" s="1161"/>
      <c r="AO52" s="1161"/>
      <c r="AP52" s="1161"/>
      <c r="AQ52" s="1161"/>
    </row>
    <row r="53" spans="2:49" s="663" customFormat="1" outlineLevel="1">
      <c r="B53" s="664"/>
      <c r="F53" s="393" t="s">
        <v>2060</v>
      </c>
      <c r="I53" s="1125">
        <f>'2.0 Patients'!$Q$35</f>
        <v>0</v>
      </c>
      <c r="J53" s="2015">
        <f>AVERAGE('2.0 Patients'!$R$35:$AC$35)</f>
        <v>0</v>
      </c>
      <c r="K53" s="2015">
        <f>AVERAGE('2.0 Patients'!$AD$35:$AO$35)</f>
        <v>0</v>
      </c>
      <c r="L53" s="2015">
        <f>AVERAGE('2.0 Patients'!$AP$35:$BA$35)</f>
        <v>0</v>
      </c>
      <c r="M53" s="2015">
        <f>AVERAGE('2.0 Patients'!$BB$35:$BM$35)</f>
        <v>0</v>
      </c>
      <c r="N53" s="2015">
        <f>AVERAGE('2.0 Patients'!$BN$35:$BY$35)</f>
        <v>0</v>
      </c>
      <c r="P53" s="1125"/>
      <c r="Q53" s="1125">
        <f>'5. Financials'!I53</f>
        <v>1</v>
      </c>
      <c r="R53" s="1125">
        <f>'5. Financials'!J53</f>
        <v>1</v>
      </c>
      <c r="S53" s="1125">
        <f>'5. Financials'!K53</f>
        <v>1.5416666666666661</v>
      </c>
      <c r="T53" s="1125">
        <f>'5. Financials'!L53</f>
        <v>1.9999999999999998</v>
      </c>
      <c r="U53" s="1125">
        <f>'5. Financials'!M53</f>
        <v>1.9999999999999998</v>
      </c>
      <c r="W53" s="2015">
        <f t="shared" ref="W53:AB53" si="7">(P53*DVAOwnership)+(AK53*HHD_pshare)-(I53*HHD_pshare)</f>
        <v>0</v>
      </c>
      <c r="X53" s="2015">
        <f t="shared" si="7"/>
        <v>0.6</v>
      </c>
      <c r="Y53" s="2015">
        <f t="shared" si="7"/>
        <v>0.6</v>
      </c>
      <c r="Z53" s="2015">
        <f t="shared" si="7"/>
        <v>0.9249999999999996</v>
      </c>
      <c r="AA53" s="2015">
        <f t="shared" si="7"/>
        <v>1.1999999999999997</v>
      </c>
      <c r="AB53" s="2015">
        <f t="shared" si="7"/>
        <v>1.1999999999999997</v>
      </c>
      <c r="AC53" s="664"/>
      <c r="AE53" s="2015">
        <f>(J53-AL53)*HHD_pshare</f>
        <v>0</v>
      </c>
      <c r="AF53" s="2015">
        <f>(K53-AM53)*HHD_pshare</f>
        <v>0</v>
      </c>
      <c r="AG53" s="2015">
        <f>(L53-AN53)*HHD_pshare</f>
        <v>0</v>
      </c>
      <c r="AH53" s="2015">
        <f>(M53-AO53)*HHD_pshare</f>
        <v>0</v>
      </c>
      <c r="AI53" s="2015">
        <f>(N53-AP53)*HHD_pshare</f>
        <v>0</v>
      </c>
      <c r="AJ53" s="2015"/>
      <c r="AK53" s="2018">
        <f>'2.0 Patients'!$G$34</f>
        <v>0</v>
      </c>
      <c r="AL53" s="2015">
        <f>AVERAGE('2.0 Patients'!$R$61:$AC$61)</f>
        <v>0</v>
      </c>
      <c r="AM53" s="2015">
        <f>AVERAGE('2.0 Patients'!$AD$61:$AO$61)</f>
        <v>0</v>
      </c>
      <c r="AN53" s="2015">
        <f>AVERAGE('2.0 Patients'!$AP$61:$BA$61)</f>
        <v>0</v>
      </c>
      <c r="AO53" s="2015">
        <f>AVERAGE('2.0 Patients'!$BB$61:$BM$61)</f>
        <v>0</v>
      </c>
      <c r="AP53" s="2015">
        <f>AVERAGE('2.0 Patients'!$BN$61:$BY$61)</f>
        <v>0</v>
      </c>
      <c r="AQ53" s="1161"/>
      <c r="AR53" s="1125">
        <f t="shared" ref="AR53:AW53" si="8">P53+AK53</f>
        <v>0</v>
      </c>
      <c r="AS53" s="1125">
        <f t="shared" si="8"/>
        <v>1</v>
      </c>
      <c r="AT53" s="1125">
        <f t="shared" si="8"/>
        <v>1</v>
      </c>
      <c r="AU53" s="1125">
        <f t="shared" si="8"/>
        <v>1.5416666666666661</v>
      </c>
      <c r="AV53" s="1125">
        <f t="shared" si="8"/>
        <v>1.9999999999999998</v>
      </c>
      <c r="AW53" s="1125">
        <f t="shared" si="8"/>
        <v>1.9999999999999998</v>
      </c>
    </row>
    <row r="54" spans="2:49" s="663" customFormat="1" outlineLevel="1">
      <c r="B54" s="664"/>
      <c r="F54" s="1131" t="s">
        <v>2474</v>
      </c>
      <c r="I54" s="1133"/>
      <c r="J54" s="1133">
        <f>'2.1 Reimburse'!H58</f>
        <v>4.3</v>
      </c>
      <c r="K54" s="1133">
        <f>'2.1 Reimburse'!I58</f>
        <v>4.3</v>
      </c>
      <c r="L54" s="1133">
        <f>'2.1 Reimburse'!J58</f>
        <v>4.3</v>
      </c>
      <c r="M54" s="1133">
        <f>'2.1 Reimburse'!K58</f>
        <v>4.3</v>
      </c>
      <c r="N54" s="1133">
        <f>'2.1 Reimburse'!L58</f>
        <v>4.3</v>
      </c>
      <c r="P54" s="1133"/>
      <c r="Q54" s="1133">
        <f>'5. Financials'!I54</f>
        <v>4.3</v>
      </c>
      <c r="R54" s="1133">
        <f>'5. Financials'!J54</f>
        <v>4.3</v>
      </c>
      <c r="S54" s="1133">
        <f>'5. Financials'!K54</f>
        <v>4.3</v>
      </c>
      <c r="T54" s="1133">
        <f>'5. Financials'!L54</f>
        <v>4.3</v>
      </c>
      <c r="U54" s="1133">
        <f>'5. Financials'!M54</f>
        <v>4.3</v>
      </c>
      <c r="W54" s="1133"/>
      <c r="X54" s="1133"/>
      <c r="Y54" s="1133"/>
      <c r="Z54" s="1133"/>
      <c r="AA54" s="1133"/>
      <c r="AB54" s="1133"/>
      <c r="AC54" s="664"/>
      <c r="AD54" s="1161"/>
      <c r="AE54" s="1740">
        <f>'2.1 Reimburse'!H58</f>
        <v>4.3</v>
      </c>
      <c r="AF54" s="1740">
        <f>'2.1 Reimburse'!I58</f>
        <v>4.3</v>
      </c>
      <c r="AG54" s="1740">
        <f>'2.1 Reimburse'!J58</f>
        <v>4.3</v>
      </c>
      <c r="AH54" s="1740">
        <f>'2.1 Reimburse'!K58</f>
        <v>4.3</v>
      </c>
      <c r="AI54" s="1740">
        <f>'2.1 Reimburse'!L58</f>
        <v>4.3</v>
      </c>
      <c r="AJ54" s="1740"/>
      <c r="AK54" s="1740"/>
      <c r="AL54" s="1740">
        <f>'2.1 Reimburse'!H58</f>
        <v>4.3</v>
      </c>
      <c r="AM54" s="1740">
        <f>'2.1 Reimburse'!I58</f>
        <v>4.3</v>
      </c>
      <c r="AN54" s="1740">
        <f>'2.1 Reimburse'!J58</f>
        <v>4.3</v>
      </c>
      <c r="AO54" s="1740">
        <f>'2.1 Reimburse'!K58</f>
        <v>4.3</v>
      </c>
      <c r="AP54" s="1740">
        <f>'2.1 Reimburse'!L58</f>
        <v>4.3</v>
      </c>
      <c r="AQ54" s="1161"/>
      <c r="AR54" s="1133"/>
      <c r="AS54" s="1133"/>
      <c r="AT54" s="1133"/>
      <c r="AU54" s="1133"/>
      <c r="AV54" s="1133"/>
      <c r="AW54" s="1133"/>
    </row>
    <row r="55" spans="2:49" s="663" customFormat="1" outlineLevel="1">
      <c r="B55" s="664"/>
      <c r="F55" s="657" t="s">
        <v>1989</v>
      </c>
      <c r="I55" s="1306"/>
      <c r="J55" s="1140">
        <f>'2.1 Reimburse'!$J$7</f>
        <v>0</v>
      </c>
      <c r="K55" s="1140">
        <f>'2.1 Reimburse'!$J$7</f>
        <v>0</v>
      </c>
      <c r="L55" s="1140">
        <f>'2.1 Reimburse'!$J$7</f>
        <v>0</v>
      </c>
      <c r="M55" s="1140">
        <f>'2.1 Reimburse'!$J$7</f>
        <v>0</v>
      </c>
      <c r="N55" s="1140">
        <f>'2.1 Reimburse'!$J$7</f>
        <v>0</v>
      </c>
      <c r="P55" s="1306"/>
      <c r="Q55" s="1140">
        <f>'5. Financials'!I55</f>
        <v>0</v>
      </c>
      <c r="R55" s="1140">
        <f>'5. Financials'!J55</f>
        <v>0</v>
      </c>
      <c r="S55" s="1140">
        <f>'5. Financials'!K55</f>
        <v>0</v>
      </c>
      <c r="T55" s="1140">
        <f>'5. Financials'!L55</f>
        <v>0</v>
      </c>
      <c r="U55" s="1140">
        <f>'5. Financials'!M55</f>
        <v>0</v>
      </c>
      <c r="W55" s="1140"/>
      <c r="X55" s="1140"/>
      <c r="Y55" s="1140"/>
      <c r="Z55" s="1140"/>
      <c r="AA55" s="1140"/>
      <c r="AB55" s="1140"/>
      <c r="AC55" s="664"/>
      <c r="AD55" s="1161"/>
      <c r="AE55" s="2016">
        <f>'2.1 Reimburse'!$J$7</f>
        <v>0</v>
      </c>
      <c r="AF55" s="2016">
        <f>'2.1 Reimburse'!$J$7</f>
        <v>0</v>
      </c>
      <c r="AG55" s="2016">
        <f>'2.1 Reimburse'!$J$7</f>
        <v>0</v>
      </c>
      <c r="AH55" s="2016">
        <f>'2.1 Reimburse'!$J$7</f>
        <v>0</v>
      </c>
      <c r="AI55" s="2016">
        <f>'2.1 Reimburse'!$J$7</f>
        <v>0</v>
      </c>
      <c r="AJ55" s="2025"/>
      <c r="AK55" s="2025"/>
      <c r="AL55" s="2016">
        <f>'2.1 Reimburse'!$J$7</f>
        <v>0</v>
      </c>
      <c r="AM55" s="2016">
        <f>'2.1 Reimburse'!$J$7</f>
        <v>0</v>
      </c>
      <c r="AN55" s="2016">
        <f>'2.1 Reimburse'!$J$7</f>
        <v>0</v>
      </c>
      <c r="AO55" s="2016">
        <f>'2.1 Reimburse'!$J$7</f>
        <v>0</v>
      </c>
      <c r="AP55" s="2016">
        <f>'2.1 Reimburse'!$J$7</f>
        <v>0</v>
      </c>
      <c r="AQ55" s="1161"/>
      <c r="AR55" s="1140"/>
      <c r="AS55" s="1140"/>
      <c r="AT55" s="1140"/>
      <c r="AU55" s="1140"/>
      <c r="AV55" s="1140"/>
      <c r="AW55" s="1140"/>
    </row>
    <row r="56" spans="2:49" s="663" customFormat="1">
      <c r="B56" s="664"/>
      <c r="F56" s="393" t="s">
        <v>4127</v>
      </c>
      <c r="I56" s="1125"/>
      <c r="J56" s="1125">
        <f>J53*J54*52*(1-J55)</f>
        <v>0</v>
      </c>
      <c r="K56" s="1125">
        <f>K53*K54*52*(1-K55)</f>
        <v>0</v>
      </c>
      <c r="L56" s="1125">
        <f>L53*L54*52*(1-L55)</f>
        <v>0</v>
      </c>
      <c r="M56" s="1125">
        <f>M53*M54*52*(1-M55)</f>
        <v>0</v>
      </c>
      <c r="N56" s="1125">
        <f>N53*N54*52*(1-N55)</f>
        <v>0</v>
      </c>
      <c r="P56" s="1125"/>
      <c r="Q56" s="1125">
        <f>'5. Financials'!I56</f>
        <v>223.59999999999994</v>
      </c>
      <c r="R56" s="1125">
        <f>'5. Financials'!J56</f>
        <v>223.59999999999994</v>
      </c>
      <c r="S56" s="1125">
        <f>'5. Financials'!K56</f>
        <v>344.71666666666658</v>
      </c>
      <c r="T56" s="1125">
        <f>'5. Financials'!L56</f>
        <v>447.19999999999982</v>
      </c>
      <c r="U56" s="1125">
        <f>'5. Financials'!M56</f>
        <v>447.19999999999982</v>
      </c>
      <c r="W56" s="2015">
        <f t="shared" ref="W56:AB56" si="9">(P56*DVAOwnership)+(AK56*HHD_pshare)-(I56*HHD_pshare)</f>
        <v>0</v>
      </c>
      <c r="X56" s="2015">
        <f t="shared" si="9"/>
        <v>134.15999999999997</v>
      </c>
      <c r="Y56" s="2015">
        <f t="shared" si="9"/>
        <v>134.15999999999997</v>
      </c>
      <c r="Z56" s="2015">
        <f t="shared" si="9"/>
        <v>206.82999999999996</v>
      </c>
      <c r="AA56" s="2015">
        <f t="shared" si="9"/>
        <v>268.31999999999988</v>
      </c>
      <c r="AB56" s="2015">
        <f t="shared" si="9"/>
        <v>268.31999999999988</v>
      </c>
      <c r="AC56" s="664"/>
      <c r="AD56" s="1161"/>
      <c r="AE56" s="2015">
        <f>J56-AL56</f>
        <v>0</v>
      </c>
      <c r="AF56" s="2015">
        <f>K56-AM56</f>
        <v>0</v>
      </c>
      <c r="AG56" s="2015">
        <f>L56-AN56</f>
        <v>0</v>
      </c>
      <c r="AH56" s="2015">
        <f>M56-AO56</f>
        <v>0</v>
      </c>
      <c r="AI56" s="2015">
        <f>N56-AP56</f>
        <v>0</v>
      </c>
      <c r="AJ56" s="2015"/>
      <c r="AK56" s="2015"/>
      <c r="AL56" s="2015">
        <f>AL53*AL54*52*(1-AL55)</f>
        <v>0</v>
      </c>
      <c r="AM56" s="2015">
        <f>AM53*AM54*52*(1-AM55)</f>
        <v>0</v>
      </c>
      <c r="AN56" s="2015">
        <f>AN53*AN54*52*(1-AN55)</f>
        <v>0</v>
      </c>
      <c r="AO56" s="2015">
        <f>AO53*AO54*52*(1-AO55)</f>
        <v>0</v>
      </c>
      <c r="AP56" s="2015">
        <f>AP53*AP54*52*(1-AP55)</f>
        <v>0</v>
      </c>
      <c r="AQ56" s="1161"/>
      <c r="AR56" s="1125">
        <f t="shared" ref="AR56:AW56" si="10">P56+AK56</f>
        <v>0</v>
      </c>
      <c r="AS56" s="1125">
        <f t="shared" si="10"/>
        <v>223.59999999999994</v>
      </c>
      <c r="AT56" s="1125">
        <f t="shared" si="10"/>
        <v>223.59999999999994</v>
      </c>
      <c r="AU56" s="1125">
        <f t="shared" si="10"/>
        <v>344.71666666666658</v>
      </c>
      <c r="AV56" s="1125">
        <f t="shared" si="10"/>
        <v>447.19999999999982</v>
      </c>
      <c r="AW56" s="1125">
        <f t="shared" si="10"/>
        <v>447.19999999999982</v>
      </c>
    </row>
    <row r="57" spans="2:49" s="663" customFormat="1">
      <c r="B57" s="664"/>
      <c r="F57" s="1152" t="s">
        <v>9</v>
      </c>
      <c r="I57" s="1157"/>
      <c r="J57" s="1153">
        <f>'2.1 Reimburse'!H39</f>
        <v>0</v>
      </c>
      <c r="K57" s="1153">
        <f>'2.1 Reimburse'!I39</f>
        <v>0</v>
      </c>
      <c r="L57" s="1153">
        <f>'2.1 Reimburse'!J39</f>
        <v>0</v>
      </c>
      <c r="M57" s="1153">
        <f>'2.1 Reimburse'!K39</f>
        <v>0</v>
      </c>
      <c r="N57" s="1153">
        <f>'2.1 Reimburse'!L39</f>
        <v>0</v>
      </c>
      <c r="P57" s="1157"/>
      <c r="Q57" s="1153">
        <f>'5. Financials'!I57</f>
        <v>0</v>
      </c>
      <c r="R57" s="1153">
        <f>'5. Financials'!J57</f>
        <v>0</v>
      </c>
      <c r="S57" s="1153">
        <f>'5. Financials'!K57</f>
        <v>0</v>
      </c>
      <c r="T57" s="1153">
        <f>'5. Financials'!L57</f>
        <v>0</v>
      </c>
      <c r="U57" s="1153">
        <f>'5. Financials'!M57</f>
        <v>0</v>
      </c>
      <c r="W57" s="1153"/>
      <c r="X57" s="1153"/>
      <c r="Y57" s="1153"/>
      <c r="Z57" s="1153"/>
      <c r="AA57" s="1153"/>
      <c r="AB57" s="1153"/>
      <c r="AC57" s="664"/>
      <c r="AD57" s="1161"/>
      <c r="AE57" s="2017">
        <f>'2.1 Reimburse'!H57</f>
        <v>0</v>
      </c>
      <c r="AF57" s="2017">
        <f>'2.1 Reimburse'!I57</f>
        <v>0</v>
      </c>
      <c r="AG57" s="2017">
        <f>'2.1 Reimburse'!J57</f>
        <v>0</v>
      </c>
      <c r="AH57" s="2017">
        <f>'2.1 Reimburse'!K57</f>
        <v>0</v>
      </c>
      <c r="AI57" s="2017">
        <f>'2.1 Reimburse'!L57</f>
        <v>0</v>
      </c>
      <c r="AJ57" s="2026"/>
      <c r="AK57" s="2026"/>
      <c r="AL57" s="2017">
        <f>'2.1 Reimburse'!H39</f>
        <v>0</v>
      </c>
      <c r="AM57" s="2017">
        <f>'2.1 Reimburse'!I39</f>
        <v>0</v>
      </c>
      <c r="AN57" s="2017">
        <f>'2.1 Reimburse'!J39</f>
        <v>0</v>
      </c>
      <c r="AO57" s="2017">
        <f>'2.1 Reimburse'!K39</f>
        <v>0</v>
      </c>
      <c r="AP57" s="2017">
        <f>'2.1 Reimburse'!L39</f>
        <v>0</v>
      </c>
      <c r="AQ57" s="1161"/>
      <c r="AR57" s="1153">
        <f t="shared" ref="AR57:AW57" si="11">IF(AR56=0,0,AR58/AR56)</f>
        <v>0</v>
      </c>
      <c r="AS57" s="1153">
        <f t="shared" si="11"/>
        <v>0</v>
      </c>
      <c r="AT57" s="1153">
        <f t="shared" si="11"/>
        <v>0</v>
      </c>
      <c r="AU57" s="1153">
        <f t="shared" si="11"/>
        <v>0</v>
      </c>
      <c r="AV57" s="1153">
        <f t="shared" si="11"/>
        <v>0</v>
      </c>
      <c r="AW57" s="1153">
        <f t="shared" si="11"/>
        <v>0</v>
      </c>
    </row>
    <row r="58" spans="2:49" s="663" customFormat="1">
      <c r="B58" s="664"/>
      <c r="F58" s="667" t="s">
        <v>2169</v>
      </c>
      <c r="I58" s="646"/>
      <c r="J58" s="2080">
        <f>IF(Type="DeNovo",52*J54*J53*(1-J55)*J57,52*J54*J53*(1-J55)*J57-clawback*(52*(J54-3)*J53*(1-J55)*J57))</f>
        <v>0</v>
      </c>
      <c r="K58" s="2080">
        <f>IF(Type="DeNovo",52*K54*K53*(1-K55)*K57,52*K54*K53*(1-K55)*K57-clawback*(52*(K54-3)*K53*(1-K55)*K57))</f>
        <v>0</v>
      </c>
      <c r="L58" s="2080">
        <f>IF(Type="DeNovo",52*L54*L53*(1-L55)*L57,52*L54*L53*(1-L55)*L57-clawback*(52*(L54-3)*L53*(1-L55)*L57))</f>
        <v>0</v>
      </c>
      <c r="M58" s="2080">
        <f>IF(Type="DeNovo",52*M54*M53*(1-M55)*M57,52*M54*M53*(1-M55)*M57-clawback*(52*(M54-3)*M53*(1-M55)*M57))</f>
        <v>0</v>
      </c>
      <c r="N58" s="2080">
        <f>IF(Type="DeNovo",52*N54*N53*(1-N55)*N57,52*N54*N53*(1-N55)*N57-clawback*(52*(N54-3)*N53*(1-N55)*N57))</f>
        <v>0</v>
      </c>
      <c r="P58" s="646"/>
      <c r="Q58" s="646">
        <f>'5. Financials'!I58</f>
        <v>0</v>
      </c>
      <c r="R58" s="646">
        <f>'5. Financials'!J58</f>
        <v>0</v>
      </c>
      <c r="S58" s="646">
        <f>'5. Financials'!K58</f>
        <v>0</v>
      </c>
      <c r="T58" s="646">
        <f>'5. Financials'!L58</f>
        <v>0</v>
      </c>
      <c r="U58" s="646">
        <f>'5. Financials'!M58</f>
        <v>0</v>
      </c>
      <c r="W58" s="1715">
        <f t="shared" ref="W58:AB58" si="12">(P58*DVAOwnership)+(AK58*HHD_pshare)-(I58*HHD_pshare)</f>
        <v>0</v>
      </c>
      <c r="X58" s="1715">
        <f t="shared" si="12"/>
        <v>0</v>
      </c>
      <c r="Y58" s="1715">
        <f t="shared" si="12"/>
        <v>0</v>
      </c>
      <c r="Z58" s="1715">
        <f t="shared" si="12"/>
        <v>0</v>
      </c>
      <c r="AA58" s="1715">
        <f t="shared" si="12"/>
        <v>0</v>
      </c>
      <c r="AB58" s="1715">
        <f t="shared" si="12"/>
        <v>0</v>
      </c>
      <c r="AC58" s="664"/>
      <c r="AD58" s="1721"/>
      <c r="AE58" s="1715">
        <f>52*AE54*AE53*(1-AE55)*AE57</f>
        <v>0</v>
      </c>
      <c r="AF58" s="1715">
        <f>52*AF54*AF53*(1-AF55)*AF57</f>
        <v>0</v>
      </c>
      <c r="AG58" s="1715">
        <f>52*AG54*AG53*(1-AG55)*AG57</f>
        <v>0</v>
      </c>
      <c r="AH58" s="1715">
        <f>52*AH54*AH53*(1-AH55)*AH57</f>
        <v>0</v>
      </c>
      <c r="AI58" s="1715">
        <f>52*AI54*AI53*(1-AI55)*AI57</f>
        <v>0</v>
      </c>
      <c r="AJ58" s="1715"/>
      <c r="AK58" s="1715"/>
      <c r="AL58" s="1715">
        <f>52*AL54*AL53*(1-AL55)*AL57</f>
        <v>0</v>
      </c>
      <c r="AM58" s="1715">
        <f>52*AM54*AM53*(1-AM55)*AM57</f>
        <v>0</v>
      </c>
      <c r="AN58" s="1715">
        <f>52*AN54*AN53*(1-AN55)*AN57</f>
        <v>0</v>
      </c>
      <c r="AO58" s="1715">
        <f>52*AO54*AO53*(1-AO55)*AO57</f>
        <v>0</v>
      </c>
      <c r="AP58" s="1715">
        <f>52*AP54*AP53*(1-AP55)*AP57</f>
        <v>0</v>
      </c>
      <c r="AQ58" s="1161"/>
      <c r="AR58" s="646">
        <f t="shared" ref="AR58:AW58" si="13">P58+AK58</f>
        <v>0</v>
      </c>
      <c r="AS58" s="646">
        <f t="shared" si="13"/>
        <v>0</v>
      </c>
      <c r="AT58" s="646">
        <f t="shared" si="13"/>
        <v>0</v>
      </c>
      <c r="AU58" s="646">
        <f t="shared" si="13"/>
        <v>0</v>
      </c>
      <c r="AV58" s="646">
        <f t="shared" si="13"/>
        <v>0</v>
      </c>
      <c r="AW58" s="646">
        <f t="shared" si="13"/>
        <v>0</v>
      </c>
    </row>
    <row r="59" spans="2:49" s="663" customFormat="1">
      <c r="B59" s="664"/>
      <c r="F59" s="667" t="s">
        <v>1890</v>
      </c>
      <c r="I59" s="667"/>
      <c r="AC59" s="664"/>
      <c r="AD59" s="1161"/>
      <c r="AE59" s="1161"/>
      <c r="AF59" s="1161"/>
      <c r="AG59" s="1161"/>
      <c r="AH59" s="1161"/>
      <c r="AI59" s="1161"/>
      <c r="AJ59" s="1161"/>
      <c r="AK59" s="1161"/>
      <c r="AL59" s="1161"/>
      <c r="AM59" s="1161"/>
      <c r="AN59" s="1161"/>
      <c r="AO59" s="1161"/>
      <c r="AP59" s="1161"/>
      <c r="AQ59" s="1161"/>
    </row>
    <row r="60" spans="2:49" s="663" customFormat="1">
      <c r="B60" s="664"/>
      <c r="W60" s="1939"/>
      <c r="X60" s="1939"/>
      <c r="Y60" s="1939"/>
      <c r="Z60" s="1939"/>
      <c r="AA60" s="1939"/>
      <c r="AB60" s="1939"/>
      <c r="AC60" s="664"/>
      <c r="AD60" s="1161"/>
      <c r="AJ60" s="1161"/>
      <c r="AK60" s="1161"/>
      <c r="AL60" s="1161"/>
      <c r="AM60" s="1161"/>
      <c r="AN60" s="1161"/>
      <c r="AO60" s="1161"/>
      <c r="AP60" s="1161"/>
      <c r="AQ60" s="1161"/>
    </row>
    <row r="61" spans="2:49" s="663" customFormat="1">
      <c r="B61" s="664"/>
      <c r="AC61" s="664"/>
      <c r="AD61" s="1161"/>
      <c r="AJ61" s="1161"/>
      <c r="AK61" s="1161"/>
      <c r="AL61" s="1161"/>
      <c r="AM61" s="1161"/>
      <c r="AN61" s="1161"/>
      <c r="AO61" s="1161"/>
      <c r="AP61" s="1161"/>
      <c r="AQ61" s="1161"/>
    </row>
    <row r="62" spans="2:49" s="663" customFormat="1">
      <c r="B62" s="664"/>
      <c r="D62" s="666" t="s">
        <v>466</v>
      </c>
      <c r="AC62" s="664"/>
      <c r="AD62" s="1161"/>
      <c r="AJ62" s="1161"/>
      <c r="AK62" s="1161"/>
      <c r="AL62" s="1161"/>
      <c r="AM62" s="1161"/>
      <c r="AN62" s="1161"/>
      <c r="AO62" s="1161"/>
      <c r="AP62" s="1161"/>
      <c r="AQ62" s="1161"/>
    </row>
    <row r="63" spans="2:49" s="663" customFormat="1">
      <c r="B63" s="664"/>
      <c r="AC63" s="664"/>
      <c r="AD63" s="1161"/>
      <c r="AJ63" s="1161"/>
      <c r="AK63" s="1161"/>
      <c r="AL63" s="1161"/>
      <c r="AM63" s="1161"/>
      <c r="AN63" s="1161"/>
      <c r="AO63" s="1161"/>
      <c r="AP63" s="1161"/>
      <c r="AQ63" s="1161"/>
    </row>
    <row r="64" spans="2:49">
      <c r="B64" s="664"/>
      <c r="E64" s="663" t="s">
        <v>4119</v>
      </c>
      <c r="J64" s="2233">
        <f>ROUND(J14+J22+J31+J39,0)</f>
        <v>10140</v>
      </c>
      <c r="K64" s="2233">
        <f>ROUND(K14+K22+K31+K39,0)</f>
        <v>10140</v>
      </c>
      <c r="L64" s="2233">
        <f>ROUND(L14+L22+L31+L39,0)</f>
        <v>10140</v>
      </c>
      <c r="M64" s="2233">
        <f>ROUND(M14+M22+M31+M39,0)</f>
        <v>10140</v>
      </c>
      <c r="N64" s="2233">
        <f>ROUND(N14+N22+N31+N39,0)</f>
        <v>10140</v>
      </c>
      <c r="P64" s="366"/>
      <c r="Q64" s="359">
        <f>Q14+Q22+Q31+Q39</f>
        <v>2716.8700000000003</v>
      </c>
      <c r="R64" s="359">
        <f>R14+R22+R31+R39</f>
        <v>6805.369999999999</v>
      </c>
      <c r="S64" s="359">
        <f>S14+S22+S31+S39</f>
        <v>9860.24</v>
      </c>
      <c r="T64" s="359">
        <f>T14+T22+T31+T39</f>
        <v>12399.074999999999</v>
      </c>
      <c r="U64" s="359">
        <f>U14+U22+U31+U39</f>
        <v>14534.325000000003</v>
      </c>
      <c r="V64" s="663"/>
      <c r="X64" s="359">
        <f>X14+X22+X31+X39</f>
        <v>1630.1219999999998</v>
      </c>
      <c r="Y64" s="359">
        <f>Y14+Y22+Y31+Y39</f>
        <v>4083.2219999999998</v>
      </c>
      <c r="Z64" s="359">
        <f>Z14+Z22+Z31+Z39</f>
        <v>5916.1439999999993</v>
      </c>
      <c r="AA64" s="359">
        <f>AA14+AA22+AA31+AA39</f>
        <v>7439.4450000000006</v>
      </c>
      <c r="AB64" s="359">
        <f>AB14+AB22+AB31+AB39</f>
        <v>8720.5950000000012</v>
      </c>
      <c r="AC64" s="358"/>
      <c r="AE64" s="359">
        <f>AE14+AE22+AE31+AE39</f>
        <v>0</v>
      </c>
      <c r="AF64" s="359">
        <f>AF14+AF22+AF31+AF39</f>
        <v>0</v>
      </c>
      <c r="AG64" s="359">
        <f>AG14+AG22+AG31+AG39</f>
        <v>0</v>
      </c>
      <c r="AH64" s="359">
        <f>AH14+AH22+AH31+AH39</f>
        <v>0</v>
      </c>
      <c r="AI64" s="359">
        <f>AI14+AI22+AI31+AI39</f>
        <v>0</v>
      </c>
      <c r="AL64" s="2233">
        <f>ROUND(AL14+AL22+AL31+AL39,0)</f>
        <v>10140</v>
      </c>
      <c r="AM64" s="2233">
        <f>ROUND(AM14+AM22+AM31+AM39,0)</f>
        <v>10140</v>
      </c>
      <c r="AN64" s="2233">
        <f>ROUND(AN14+AN22+AN31+AN39,0)</f>
        <v>10140</v>
      </c>
      <c r="AO64" s="2233">
        <f>ROUND(AO14+AO22+AO31+AO39,0)</f>
        <v>10140</v>
      </c>
      <c r="AP64" s="2233">
        <f>ROUND(AP14+AP22+AP31+AP39,0)</f>
        <v>10140</v>
      </c>
      <c r="AS64" s="359">
        <f>AS14+AS22+AS31+AS39</f>
        <v>12856.87</v>
      </c>
      <c r="AT64" s="359">
        <f>AT14+AT22+AT31+AT39</f>
        <v>16945.37</v>
      </c>
      <c r="AU64" s="359">
        <f>AU14+AU22+AU31+AU39</f>
        <v>20000.239999999998</v>
      </c>
      <c r="AV64" s="359">
        <f>AV14+AV22+AV31+AV39</f>
        <v>22539.074999999997</v>
      </c>
      <c r="AW64" s="359">
        <f>AW14+AW22+AW31+AW39</f>
        <v>24674.325000000001</v>
      </c>
    </row>
    <row r="65" spans="1:50">
      <c r="B65" s="664"/>
      <c r="E65" s="663" t="s">
        <v>104</v>
      </c>
      <c r="J65" s="2234">
        <f>ROUND(J48+J56,0)</f>
        <v>780</v>
      </c>
      <c r="K65" s="2234">
        <f>ROUND(K48+K56,0)</f>
        <v>780</v>
      </c>
      <c r="L65" s="2234">
        <f>ROUND(L48+L56,0)</f>
        <v>780</v>
      </c>
      <c r="M65" s="2234">
        <f>ROUND(M48+M56,0)</f>
        <v>780</v>
      </c>
      <c r="N65" s="2234">
        <f>ROUND(N48+N56,0)</f>
        <v>780</v>
      </c>
      <c r="P65" s="366"/>
      <c r="Q65" s="364">
        <f>Q48+Q56</f>
        <v>392.59999999999991</v>
      </c>
      <c r="R65" s="364">
        <f>R48+R56</f>
        <v>789.09999999999991</v>
      </c>
      <c r="S65" s="364">
        <f>S48+S56</f>
        <v>1209.2166666666662</v>
      </c>
      <c r="T65" s="364">
        <f>T48+T56</f>
        <v>1467.6999999999989</v>
      </c>
      <c r="U65" s="364">
        <f>U48+U56</f>
        <v>1623.6999999999985</v>
      </c>
      <c r="V65" s="663"/>
      <c r="W65" s="364"/>
      <c r="X65" s="364">
        <f>X48+X56</f>
        <v>235.55999999999995</v>
      </c>
      <c r="Y65" s="364">
        <f>Y48+Y56</f>
        <v>473.45999999999992</v>
      </c>
      <c r="Z65" s="364">
        <f>Z48+Z56</f>
        <v>725.52999999999975</v>
      </c>
      <c r="AA65" s="364">
        <f>AA48+AA56</f>
        <v>880.61999999999944</v>
      </c>
      <c r="AB65" s="364">
        <f>AB48+AB56</f>
        <v>974.21999999999912</v>
      </c>
      <c r="AC65" s="358"/>
      <c r="AE65" s="364">
        <f>AE48+AE56</f>
        <v>0</v>
      </c>
      <c r="AF65" s="364">
        <f>AF48+AF56</f>
        <v>0</v>
      </c>
      <c r="AG65" s="364">
        <f>AG48+AG56</f>
        <v>0</v>
      </c>
      <c r="AH65" s="364">
        <f>AH48+AH56</f>
        <v>0</v>
      </c>
      <c r="AI65" s="364">
        <f>AI48+AI56</f>
        <v>0</v>
      </c>
      <c r="AJ65" s="659"/>
      <c r="AK65" s="659"/>
      <c r="AL65" s="2234">
        <f>ROUND(AL48+AL56,0)</f>
        <v>780</v>
      </c>
      <c r="AM65" s="2234">
        <f>ROUND(AM48+AM56,0)</f>
        <v>780</v>
      </c>
      <c r="AN65" s="2234">
        <f>ROUND(AN48+AN56,0)</f>
        <v>780</v>
      </c>
      <c r="AO65" s="2234">
        <f>ROUND(AO48+AO56,0)</f>
        <v>780</v>
      </c>
      <c r="AP65" s="2234">
        <f>ROUND(AP48+AP56,0)</f>
        <v>780</v>
      </c>
      <c r="AR65" s="364"/>
      <c r="AS65" s="364">
        <f>AS48+AS56</f>
        <v>1172.5999999999999</v>
      </c>
      <c r="AT65" s="364">
        <f>AT48+AT56</f>
        <v>1569.1</v>
      </c>
      <c r="AU65" s="364">
        <f>AU48+AU56</f>
        <v>1989.2166666666662</v>
      </c>
      <c r="AV65" s="364">
        <f>AV48+AV56</f>
        <v>2247.6999999999989</v>
      </c>
      <c r="AW65" s="364">
        <f>AW48+AW56</f>
        <v>2403.6999999999985</v>
      </c>
    </row>
    <row r="66" spans="1:50">
      <c r="B66" s="664"/>
      <c r="E66" s="663" t="s">
        <v>1704</v>
      </c>
      <c r="J66" s="2233">
        <f>ROUND(SUM(J14,J22,J31,J39,J48,J56),0)</f>
        <v>10920</v>
      </c>
      <c r="K66" s="2233">
        <f>ROUND(SUM(K14,K22,K31,K39,K48,K56),0)</f>
        <v>10920</v>
      </c>
      <c r="L66" s="2233">
        <f>ROUND(SUM(L14,L22,L31,L39,L48,L56),0)</f>
        <v>10920</v>
      </c>
      <c r="M66" s="2233">
        <f>ROUND(SUM(M14,M22,M31,M39,M48,M56),0)</f>
        <v>10920</v>
      </c>
      <c r="N66" s="2233">
        <f>ROUND(SUM(N14,N22,N31,N39,N48,N56),0)</f>
        <v>10920</v>
      </c>
      <c r="P66" s="366"/>
      <c r="Q66" s="359">
        <f>'5. Financials'!I66</f>
        <v>3109.4700000000003</v>
      </c>
      <c r="R66" s="359">
        <f>'5. Financials'!J66</f>
        <v>7594.4699999999993</v>
      </c>
      <c r="S66" s="359">
        <f>'5. Financials'!K66</f>
        <v>11069.456666666667</v>
      </c>
      <c r="T66" s="359">
        <f>'5. Financials'!L66</f>
        <v>13866.774999999998</v>
      </c>
      <c r="U66" s="359">
        <f>'5. Financials'!M66</f>
        <v>16158.025000000001</v>
      </c>
      <c r="V66" s="663"/>
      <c r="X66" s="359">
        <f>SUM(X14,X22,X31,X39,X48,X56)</f>
        <v>1865.6819999999998</v>
      </c>
      <c r="Y66" s="359">
        <f>SUM(Y14,Y22,Y31,Y39,Y48,Y56)</f>
        <v>4556.6819999999998</v>
      </c>
      <c r="Z66" s="359">
        <f>SUM(Z14,Z22,Z31,Z39,Z48,Z56)</f>
        <v>6641.6739999999991</v>
      </c>
      <c r="AA66" s="359">
        <f>SUM(AA14,AA22,AA31,AA39,AA48,AA56)</f>
        <v>8320.0650000000005</v>
      </c>
      <c r="AB66" s="359">
        <f>SUM(AB14,AB22,AB31,AB39,AB48,AB56)</f>
        <v>9694.8150000000005</v>
      </c>
      <c r="AC66" s="358"/>
      <c r="AE66" s="359">
        <f>SUM(AE14,AE22,AE31,AE39,AE48,AE56)</f>
        <v>0</v>
      </c>
      <c r="AF66" s="359">
        <f>SUM(AF14,AF22,AF31,AF39,AF48,AF56)</f>
        <v>0</v>
      </c>
      <c r="AG66" s="359">
        <f>SUM(AG14,AG22,AG31,AG39,AG48,AG56)</f>
        <v>0</v>
      </c>
      <c r="AH66" s="359">
        <f>SUM(AH14,AH22,AH31,AH39,AH48,AH56)</f>
        <v>0</v>
      </c>
      <c r="AI66" s="359">
        <f>SUM(AI14,AI22,AI31,AI39,AI48,AI56)</f>
        <v>0</v>
      </c>
      <c r="AK66" s="659"/>
      <c r="AL66" s="2233">
        <f>ROUND(SUM(AL14,AL22,AL31,AL39,AL48,AL56),0)</f>
        <v>10920</v>
      </c>
      <c r="AM66" s="2233">
        <f>ROUND(SUM(AM14,AM22,AM31,AM39,AM48,AM56),0)</f>
        <v>10920</v>
      </c>
      <c r="AN66" s="2233">
        <f>ROUND(SUM(AN14,AN22,AN31,AN39,AN48,AN56),0)</f>
        <v>10920</v>
      </c>
      <c r="AO66" s="2233">
        <f>ROUND(SUM(AO14,AO22,AO31,AO39,AO48,AO56),0)</f>
        <v>10920</v>
      </c>
      <c r="AP66" s="2233">
        <f>ROUND(SUM(AP14,AP22,AP31,AP39,AP48,AP56),0)</f>
        <v>10920</v>
      </c>
      <c r="AS66" s="359">
        <f>SUM(AS64:AS65)</f>
        <v>14029.470000000001</v>
      </c>
      <c r="AT66" s="359">
        <f>SUM(AT64:AT65)</f>
        <v>18514.469999999998</v>
      </c>
      <c r="AU66" s="359">
        <f>SUM(AU64:AU65)</f>
        <v>21989.456666666665</v>
      </c>
      <c r="AV66" s="359">
        <f>SUM(AV64:AV65)</f>
        <v>24786.774999999994</v>
      </c>
      <c r="AW66" s="359">
        <f>SUM(AW64:AW65)</f>
        <v>27078.024999999998</v>
      </c>
    </row>
    <row r="67" spans="1:50">
      <c r="B67" s="664"/>
      <c r="E67" s="663" t="s">
        <v>1705</v>
      </c>
      <c r="I67" s="366"/>
      <c r="J67" s="364">
        <f>IF(J66=0,0,J69/J66)</f>
        <v>339.34142851556379</v>
      </c>
      <c r="K67" s="364">
        <f>IF(K66=0,0,K69/K66)</f>
        <v>341.28504634814766</v>
      </c>
      <c r="L67" s="364">
        <f>IF(L66=0,0,L69/L66)</f>
        <v>343.86121478586233</v>
      </c>
      <c r="M67" s="364">
        <f>IF(M66=0,0,M69/M66)</f>
        <v>346.49663509764434</v>
      </c>
      <c r="N67" s="364">
        <f>IF(N66=0,0,N69/N66)</f>
        <v>353.77822453598236</v>
      </c>
      <c r="P67" s="366"/>
      <c r="Q67" s="364">
        <f>IF(Q66=0,0,Q69/Q66)</f>
        <v>348.28558424445731</v>
      </c>
      <c r="R67" s="364">
        <f>IF(R66=0,0,R69/R66)</f>
        <v>333.45861775496024</v>
      </c>
      <c r="S67" s="364">
        <f>IF(S66=0,0,S69/S66)</f>
        <v>328.60042919337042</v>
      </c>
      <c r="T67" s="364">
        <f>IF(T66=0,0,T69/T66)</f>
        <v>327.55401839798941</v>
      </c>
      <c r="U67" s="364">
        <f>IF(U66=0,0,U69/U66)</f>
        <v>339.52374449443681</v>
      </c>
      <c r="V67" s="663"/>
      <c r="W67" s="364"/>
      <c r="X67" s="364">
        <f>IF(X66=0,0,X69/X66)</f>
        <v>348.28558424445737</v>
      </c>
      <c r="Y67" s="364">
        <f>IF(Y66=0,0,Y69/Y66)</f>
        <v>333.45861775496024</v>
      </c>
      <c r="Z67" s="364">
        <f>IF(Z66=0,0,Z69/Z66)</f>
        <v>328.60042919337047</v>
      </c>
      <c r="AA67" s="364">
        <f>IF(AA66=0,0,AA69/AA66)</f>
        <v>327.5540183979893</v>
      </c>
      <c r="AB67" s="364">
        <f>IF(AB66=0,0,AB69/AB66)</f>
        <v>339.52374449443676</v>
      </c>
      <c r="AC67" s="358"/>
      <c r="AE67" s="364">
        <f>IF(AE66=0,0,AE69/AE66)</f>
        <v>0</v>
      </c>
      <c r="AF67" s="364">
        <f>IF(AF66=0,0,AF69/AF66)</f>
        <v>0</v>
      </c>
      <c r="AG67" s="364">
        <f>IF(AG66=0,0,AG69/AG66)</f>
        <v>0</v>
      </c>
      <c r="AH67" s="364">
        <f>IF(AH66=0,0,AH69/AH66)</f>
        <v>0</v>
      </c>
      <c r="AI67" s="364">
        <f>IF(AI66=0,0,AI69/AI66)</f>
        <v>0</v>
      </c>
      <c r="AJ67" s="659"/>
      <c r="AK67" s="659"/>
      <c r="AL67" s="955">
        <f>IF(AL66=0,0,AL69/AL66)</f>
        <v>339.34142851556379</v>
      </c>
      <c r="AM67" s="955">
        <f>IF(AM66=0,0,AM69/AM66)</f>
        <v>341.28504634814766</v>
      </c>
      <c r="AN67" s="955">
        <f>IF(AN66=0,0,AN69/AN66)</f>
        <v>343.86121478586233</v>
      </c>
      <c r="AO67" s="955">
        <f>IF(AO66=0,0,AO69/AO66)</f>
        <v>346.49663509764434</v>
      </c>
      <c r="AP67" s="955">
        <f>IF(AP66=0,0,AP69/AP66)</f>
        <v>353.77822453598236</v>
      </c>
      <c r="AR67" s="364"/>
      <c r="AS67" s="364">
        <f>IF(AS66=0,0,AS69/AS66)</f>
        <v>341.32379733735985</v>
      </c>
      <c r="AT67" s="364">
        <f>IF(AT66=0,0,AT69/AT66)</f>
        <v>338.07471533904487</v>
      </c>
      <c r="AU67" s="364">
        <f>IF(AU66=0,0,AU69/AU66)</f>
        <v>336.1789601773865</v>
      </c>
      <c r="AV67" s="364">
        <f>IF(AV66=0,0,AV69/AV66)</f>
        <v>335.89933053965501</v>
      </c>
      <c r="AW67" s="364">
        <f>IF(AW66=0,0,AW69/AW66)</f>
        <v>345.27227755966879</v>
      </c>
    </row>
    <row r="68" spans="1:50">
      <c r="B68" s="664"/>
      <c r="I68" s="366"/>
      <c r="J68" s="366"/>
      <c r="K68" s="366"/>
      <c r="L68" s="366"/>
      <c r="M68" s="366"/>
      <c r="N68" s="366"/>
      <c r="P68" s="366"/>
      <c r="Q68" s="366"/>
      <c r="R68" s="366"/>
      <c r="S68" s="366"/>
      <c r="T68" s="366"/>
      <c r="U68" s="366"/>
      <c r="W68" s="366"/>
      <c r="X68" s="366"/>
      <c r="Y68" s="366"/>
      <c r="Z68" s="366"/>
      <c r="AA68" s="366"/>
      <c r="AB68" s="366"/>
      <c r="AC68" s="358"/>
      <c r="AE68" s="366"/>
      <c r="AF68" s="366"/>
      <c r="AG68" s="366"/>
      <c r="AH68" s="366"/>
      <c r="AI68" s="366"/>
      <c r="AJ68" s="659"/>
      <c r="AK68" s="659"/>
      <c r="AL68" s="659"/>
      <c r="AM68" s="659"/>
      <c r="AN68" s="659"/>
      <c r="AO68" s="659"/>
      <c r="AP68" s="659"/>
      <c r="AR68" s="366"/>
      <c r="AS68" s="366"/>
      <c r="AT68" s="366"/>
      <c r="AU68" s="366"/>
      <c r="AV68" s="366"/>
      <c r="AW68" s="366"/>
    </row>
    <row r="69" spans="1:50" s="363" customFormat="1">
      <c r="A69" s="663"/>
      <c r="B69" s="664"/>
      <c r="C69" s="663"/>
      <c r="D69" s="663"/>
      <c r="E69" s="663" t="s">
        <v>1988</v>
      </c>
      <c r="F69" s="663"/>
      <c r="G69" s="663"/>
      <c r="J69" s="363">
        <f>J58+J50+J41+J33+J24+J16</f>
        <v>3705608.3993899566</v>
      </c>
      <c r="K69" s="363">
        <f>K58+K50+K41+K33+K24+K16</f>
        <v>3726832.7061217725</v>
      </c>
      <c r="L69" s="363">
        <f>L58+L50+L41+L33+L24+L16</f>
        <v>3754964.4654616164</v>
      </c>
      <c r="M69" s="363">
        <f>M58+M50+M41+M33+M24+M16</f>
        <v>3783743.2552662762</v>
      </c>
      <c r="N69" s="363">
        <f>N58+N50+N41+N33+N24+N16</f>
        <v>3863258.2119329274</v>
      </c>
      <c r="O69" s="663"/>
      <c r="Q69" s="363">
        <f>'5. Financials'!I69</f>
        <v>1082983.5756406127</v>
      </c>
      <c r="R69" s="363">
        <f>'5. Financials'!J69</f>
        <v>2532441.4687815127</v>
      </c>
      <c r="S69" s="363">
        <f>'5. Financials'!K69</f>
        <v>3637428.211604082</v>
      </c>
      <c r="T69" s="363">
        <f>'5. Financials'!L69</f>
        <v>4542117.8734707786</v>
      </c>
      <c r="U69" s="363">
        <f>'5. Financials'!M69</f>
        <v>5486033.1516347229</v>
      </c>
      <c r="V69" s="663"/>
      <c r="X69" s="363">
        <f>X58+X50+X41+X33+X24+X16</f>
        <v>649790.14538436767</v>
      </c>
      <c r="Y69" s="363">
        <f>Y58+Y50+Y41+Y33+Y24+Y16</f>
        <v>1519464.8812689076</v>
      </c>
      <c r="Z69" s="363">
        <f>Z58+Z50+Z41+Z33+Z24+Z16</f>
        <v>2182456.9269624492</v>
      </c>
      <c r="AA69" s="363">
        <f>AA58+AA50+AA41+AA33+AA24+AA16</f>
        <v>2725270.7240824671</v>
      </c>
      <c r="AB69" s="363">
        <f>AB58+AB50+AB41+AB33+AB24+AB16</f>
        <v>3291619.8909808332</v>
      </c>
      <c r="AC69" s="362"/>
      <c r="AD69" s="1721"/>
      <c r="AE69" s="363">
        <f>AE58+AE50+AE41+AE33+AE24+AE16</f>
        <v>0</v>
      </c>
      <c r="AF69" s="363">
        <f>AF58+AF50+AF41+AF33+AF24+AF16</f>
        <v>0</v>
      </c>
      <c r="AG69" s="363">
        <f>AG58+AG50+AG41+AG33+AG24+AG16</f>
        <v>0</v>
      </c>
      <c r="AH69" s="363">
        <f>AH58+AH50+AH41+AH33+AH24+AH16</f>
        <v>0</v>
      </c>
      <c r="AI69" s="363">
        <f>AI58+AI50+AI41+AI33+AI24+AI16</f>
        <v>0</v>
      </c>
      <c r="AJ69" s="1721"/>
      <c r="AK69" s="1721"/>
      <c r="AL69" s="1721">
        <f>AL58+AL50+AL41+AL33+AL24+AL16</f>
        <v>3705608.3993899566</v>
      </c>
      <c r="AM69" s="1721">
        <f>AM58+AM50+AM41+AM33+AM24+AM16</f>
        <v>3726832.7061217725</v>
      </c>
      <c r="AN69" s="1721">
        <f>AN58+AN50+AN41+AN33+AN24+AN16</f>
        <v>3754964.4654616164</v>
      </c>
      <c r="AO69" s="1721">
        <f>AO58+AO50+AO41+AO33+AO24+AO16</f>
        <v>3783743.2552662762</v>
      </c>
      <c r="AP69" s="1721">
        <f>AP58+AP50+AP41+AP33+AP24+AP16</f>
        <v>3863258.2119329274</v>
      </c>
      <c r="AQ69" s="1721"/>
      <c r="AS69" s="363">
        <f>SUM(AS16,AS24,AS33,AS41,AS50,AS58)</f>
        <v>4788591.9750305703</v>
      </c>
      <c r="AT69" s="363">
        <f>SUM(AT16,AT24,AT33,AT41,AT50,AT58)</f>
        <v>6259274.1749032857</v>
      </c>
      <c r="AU69" s="363">
        <f>SUM(AU16,AU24,AU33,AU41,AU50,AU58)</f>
        <v>7392392.6770656984</v>
      </c>
      <c r="AV69" s="363">
        <f>SUM(AV16,AV24,AV33,AV41,AV50,AV58)</f>
        <v>8325861.1287370548</v>
      </c>
      <c r="AW69" s="363">
        <f>SUM(AW16,AW24,AW33,AW41,AW50,AW58)</f>
        <v>9349291.3635676503</v>
      </c>
      <c r="AX69" s="359"/>
    </row>
    <row r="70" spans="1:50" s="363" customFormat="1" outlineLevel="1">
      <c r="A70" s="663"/>
      <c r="B70" s="664"/>
      <c r="C70" s="663"/>
      <c r="D70" s="663"/>
      <c r="E70" s="663" t="s">
        <v>1220</v>
      </c>
      <c r="F70" s="663"/>
      <c r="G70" s="663"/>
      <c r="AC70" s="362"/>
      <c r="AD70" s="1721"/>
      <c r="AJ70" s="1721"/>
      <c r="AK70" s="1721"/>
      <c r="AL70" s="1721"/>
      <c r="AM70" s="1721"/>
      <c r="AN70" s="1721"/>
      <c r="AO70" s="1721"/>
      <c r="AP70" s="1721"/>
      <c r="AQ70" s="1721"/>
    </row>
    <row r="71" spans="1:50">
      <c r="B71" s="664"/>
      <c r="AC71" s="358"/>
    </row>
    <row r="72" spans="1:50" outlineLevel="1">
      <c r="B72" s="664"/>
      <c r="E72" s="663" t="s">
        <v>1698</v>
      </c>
      <c r="AC72" s="358"/>
    </row>
    <row r="73" spans="1:50" outlineLevel="1">
      <c r="B73" s="664"/>
      <c r="F73" s="663" t="s">
        <v>2651</v>
      </c>
      <c r="J73" s="954">
        <f>J66*'2.3 Expenses'!I36</f>
        <v>464397.41774559428</v>
      </c>
      <c r="K73" s="954">
        <f>K66*'2.3 Expenses'!J36</f>
        <v>478329.3402779621</v>
      </c>
      <c r="L73" s="954">
        <f>L66*'2.3 Expenses'!K36</f>
        <v>492679.220486301</v>
      </c>
      <c r="M73" s="954">
        <f>M66*'2.3 Expenses'!L36</f>
        <v>507459.59710089007</v>
      </c>
      <c r="N73" s="954">
        <f>N66*'2.3 Expenses'!M36</f>
        <v>522683.38501391676</v>
      </c>
      <c r="O73" s="663"/>
      <c r="P73" s="954">
        <f>'5. Financials'!H73</f>
        <v>72333.333333333314</v>
      </c>
      <c r="Q73" s="954">
        <f>'5. Financials'!I73</f>
        <v>216999.99999999997</v>
      </c>
      <c r="R73" s="954">
        <f>'5. Financials'!J73</f>
        <v>340415</v>
      </c>
      <c r="S73" s="954">
        <f>'5. Financials'!K73</f>
        <v>456717.4499999999</v>
      </c>
      <c r="T73" s="954">
        <f>'5. Financials'!L73</f>
        <v>562208.04150000005</v>
      </c>
      <c r="U73" s="954">
        <f>'5. Financials'!M73</f>
        <v>651782.15187099995</v>
      </c>
      <c r="V73" s="663"/>
      <c r="W73" s="359">
        <f t="shared" ref="W73:AB80" si="14">(P73*DVAOwnership)+(AK73*pshare)-(I73*pshare)</f>
        <v>43399.999999999985</v>
      </c>
      <c r="X73" s="359">
        <f t="shared" si="14"/>
        <v>130200</v>
      </c>
      <c r="Y73" s="359">
        <f t="shared" si="14"/>
        <v>204249</v>
      </c>
      <c r="Z73" s="359">
        <f t="shared" si="14"/>
        <v>274030.46999999986</v>
      </c>
      <c r="AA73" s="359">
        <f t="shared" si="14"/>
        <v>337324.82490000001</v>
      </c>
      <c r="AB73" s="359">
        <f t="shared" si="14"/>
        <v>391069.29112259991</v>
      </c>
      <c r="AC73" s="358"/>
      <c r="AD73" s="1721"/>
      <c r="AE73" s="359">
        <f t="shared" ref="AE73:AI76" si="15">(J73-AL73)*pshare</f>
        <v>0</v>
      </c>
      <c r="AF73" s="359">
        <f t="shared" si="15"/>
        <v>0</v>
      </c>
      <c r="AG73" s="359">
        <f t="shared" si="15"/>
        <v>0</v>
      </c>
      <c r="AH73" s="359">
        <f t="shared" si="15"/>
        <v>0</v>
      </c>
      <c r="AI73" s="359">
        <f t="shared" si="15"/>
        <v>0</v>
      </c>
      <c r="AL73" s="954">
        <f>AL66*'2.3 Expenses'!N36</f>
        <v>464397.41774559428</v>
      </c>
      <c r="AM73" s="954">
        <f>AM66*'2.3 Expenses'!O36</f>
        <v>478329.3402779621</v>
      </c>
      <c r="AN73" s="954">
        <f>AN66*'2.3 Expenses'!P36</f>
        <v>492679.220486301</v>
      </c>
      <c r="AO73" s="954">
        <f>AO66*'2.3 Expenses'!Q36</f>
        <v>507459.59710089007</v>
      </c>
      <c r="AP73" s="954">
        <f>AP66*'2.3 Expenses'!R36</f>
        <v>522683.38501391676</v>
      </c>
      <c r="AR73" s="359">
        <f t="shared" ref="AR73:AW80" si="16">P73+AK73</f>
        <v>72333.333333333314</v>
      </c>
      <c r="AS73" s="359">
        <f t="shared" si="16"/>
        <v>681397.41774559428</v>
      </c>
      <c r="AT73" s="359">
        <f t="shared" si="16"/>
        <v>818744.34027796215</v>
      </c>
      <c r="AU73" s="359">
        <f t="shared" si="16"/>
        <v>949396.67048630095</v>
      </c>
      <c r="AV73" s="359">
        <f t="shared" si="16"/>
        <v>1069667.6386008901</v>
      </c>
      <c r="AW73" s="359">
        <f t="shared" si="16"/>
        <v>1174465.5368849167</v>
      </c>
    </row>
    <row r="74" spans="1:50" outlineLevel="1">
      <c r="B74" s="664"/>
      <c r="F74" s="663" t="s">
        <v>2652</v>
      </c>
      <c r="J74" s="359">
        <f>'2.3 Expenses'!I39</f>
        <v>177540</v>
      </c>
      <c r="K74" s="359">
        <f>'2.3 Expenses'!J39</f>
        <v>182866.2</v>
      </c>
      <c r="L74" s="359">
        <f>'2.3 Expenses'!K39</f>
        <v>188352.18600000002</v>
      </c>
      <c r="M74" s="359">
        <f>'2.3 Expenses'!L39</f>
        <v>194002.75158000001</v>
      </c>
      <c r="N74" s="359">
        <f>'2.3 Expenses'!M39</f>
        <v>199822.83412740001</v>
      </c>
      <c r="O74" s="663"/>
      <c r="P74" s="954">
        <f>'5. Financials'!H74</f>
        <v>41333.333333333328</v>
      </c>
      <c r="Q74" s="954">
        <f>'5. Financials'!I74</f>
        <v>124000</v>
      </c>
      <c r="R74" s="954">
        <f>'5. Financials'!J74</f>
        <v>172525</v>
      </c>
      <c r="S74" s="954">
        <f>'5. Financials'!K74</f>
        <v>244325.27000000005</v>
      </c>
      <c r="T74" s="954">
        <f>'5. Financials'!L74</f>
        <v>311354.34653333324</v>
      </c>
      <c r="U74" s="954">
        <f>'5. Financials'!M74</f>
        <v>356073.47052366659</v>
      </c>
      <c r="V74" s="663"/>
      <c r="W74" s="359">
        <f t="shared" si="14"/>
        <v>24799.999999999996</v>
      </c>
      <c r="X74" s="359">
        <f t="shared" si="14"/>
        <v>74400</v>
      </c>
      <c r="Y74" s="359">
        <f t="shared" si="14"/>
        <v>103515</v>
      </c>
      <c r="Z74" s="359">
        <f t="shared" si="14"/>
        <v>146595.16200000001</v>
      </c>
      <c r="AA74" s="359">
        <f t="shared" si="14"/>
        <v>186812.60791999992</v>
      </c>
      <c r="AB74" s="359">
        <f t="shared" si="14"/>
        <v>213644.08231419994</v>
      </c>
      <c r="AC74" s="358"/>
      <c r="AD74" s="1721"/>
      <c r="AE74" s="359">
        <f t="shared" si="15"/>
        <v>0</v>
      </c>
      <c r="AF74" s="359">
        <f t="shared" si="15"/>
        <v>0</v>
      </c>
      <c r="AG74" s="359">
        <f t="shared" si="15"/>
        <v>0</v>
      </c>
      <c r="AH74" s="359">
        <f t="shared" si="15"/>
        <v>0</v>
      </c>
      <c r="AI74" s="359">
        <f t="shared" si="15"/>
        <v>0</v>
      </c>
      <c r="AL74" s="954">
        <f>'2.3 Expenses'!N39</f>
        <v>177540</v>
      </c>
      <c r="AM74" s="954">
        <f>'2.3 Expenses'!O39</f>
        <v>182866.2</v>
      </c>
      <c r="AN74" s="954">
        <f>'2.3 Expenses'!P39</f>
        <v>188352.18600000002</v>
      </c>
      <c r="AO74" s="954">
        <f>'2.3 Expenses'!Q39</f>
        <v>194002.75158000001</v>
      </c>
      <c r="AP74" s="954">
        <f>'2.3 Expenses'!R39</f>
        <v>199822.83412740001</v>
      </c>
      <c r="AR74" s="359">
        <f t="shared" si="16"/>
        <v>41333.333333333328</v>
      </c>
      <c r="AS74" s="359">
        <f t="shared" si="16"/>
        <v>301540</v>
      </c>
      <c r="AT74" s="359">
        <f t="shared" si="16"/>
        <v>355391.2</v>
      </c>
      <c r="AU74" s="359">
        <f t="shared" si="16"/>
        <v>432677.45600000006</v>
      </c>
      <c r="AV74" s="359">
        <f t="shared" si="16"/>
        <v>505357.09811333322</v>
      </c>
      <c r="AW74" s="359">
        <f t="shared" si="16"/>
        <v>555896.30465106666</v>
      </c>
    </row>
    <row r="75" spans="1:50" outlineLevel="1">
      <c r="B75" s="664"/>
      <c r="F75" s="663" t="s">
        <v>2653</v>
      </c>
      <c r="J75" s="359">
        <f>SUM(J73:J74)*'2.3 Expenses'!I33</f>
        <v>226688.74069644071</v>
      </c>
      <c r="K75" s="359">
        <f>SUM(K73:K74)*'2.3 Expenses'!J33</f>
        <v>233489.40291733394</v>
      </c>
      <c r="L75" s="359">
        <f>SUM(L73:L74)*'2.3 Expenses'!K33</f>
        <v>240494.08500485396</v>
      </c>
      <c r="M75" s="359">
        <f>SUM(M73:M74)*'2.3 Expenses'!L33</f>
        <v>247708.90755499958</v>
      </c>
      <c r="N75" s="359">
        <f>SUM(N73:N74)*'2.3 Expenses'!M33</f>
        <v>255140.17478164961</v>
      </c>
      <c r="O75" s="663"/>
      <c r="P75" s="954">
        <f>'5. Financials'!H75</f>
        <v>44330</v>
      </c>
      <c r="Q75" s="954">
        <f>'5. Financials'!I75</f>
        <v>132990</v>
      </c>
      <c r="R75" s="954">
        <f>'5. Financials'!J75</f>
        <v>200046.60000000012</v>
      </c>
      <c r="S75" s="954">
        <f>'5. Financials'!K75</f>
        <v>273406.66079999995</v>
      </c>
      <c r="T75" s="954">
        <f>'5. Financials'!L75</f>
        <v>340689.33133299975</v>
      </c>
      <c r="U75" s="954">
        <f>'5. Financials'!M75</f>
        <v>393063.69273391995</v>
      </c>
      <c r="V75" s="663"/>
      <c r="W75" s="359">
        <f t="shared" si="14"/>
        <v>26598</v>
      </c>
      <c r="X75" s="359">
        <f t="shared" si="14"/>
        <v>79794</v>
      </c>
      <c r="Y75" s="359">
        <f t="shared" si="14"/>
        <v>120027.96000000008</v>
      </c>
      <c r="Z75" s="359">
        <f t="shared" si="14"/>
        <v>164043.99647999997</v>
      </c>
      <c r="AA75" s="359">
        <f t="shared" si="14"/>
        <v>204413.59879979986</v>
      </c>
      <c r="AB75" s="359">
        <f t="shared" si="14"/>
        <v>235838.21564035196</v>
      </c>
      <c r="AC75" s="358"/>
      <c r="AD75" s="1721"/>
      <c r="AE75" s="359">
        <f t="shared" si="15"/>
        <v>0</v>
      </c>
      <c r="AF75" s="359">
        <f t="shared" si="15"/>
        <v>0</v>
      </c>
      <c r="AG75" s="359">
        <f t="shared" si="15"/>
        <v>0</v>
      </c>
      <c r="AH75" s="359">
        <f t="shared" si="15"/>
        <v>0</v>
      </c>
      <c r="AI75" s="359">
        <f t="shared" si="15"/>
        <v>0</v>
      </c>
      <c r="AL75" s="954">
        <f>SUM(AL73:AL74)*'2.3 Expenses'!N33</f>
        <v>226688.74069644071</v>
      </c>
      <c r="AM75" s="954">
        <f>SUM(AM73:AM74)*'2.3 Expenses'!O33</f>
        <v>233489.40291733394</v>
      </c>
      <c r="AN75" s="954">
        <f>SUM(AN73:AN74)*'2.3 Expenses'!P33</f>
        <v>240494.08500485396</v>
      </c>
      <c r="AO75" s="954">
        <f>SUM(AO73:AO74)*'2.3 Expenses'!Q33</f>
        <v>247708.90755499958</v>
      </c>
      <c r="AP75" s="954">
        <f>SUM(AP73:AP74)*'2.3 Expenses'!R33</f>
        <v>255140.17478164961</v>
      </c>
      <c r="AR75" s="359">
        <f t="shared" si="16"/>
        <v>44330</v>
      </c>
      <c r="AS75" s="359">
        <f t="shared" si="16"/>
        <v>359678.74069644068</v>
      </c>
      <c r="AT75" s="359">
        <f t="shared" si="16"/>
        <v>433536.00291733409</v>
      </c>
      <c r="AU75" s="359">
        <f t="shared" si="16"/>
        <v>513900.74580485391</v>
      </c>
      <c r="AV75" s="359">
        <f t="shared" si="16"/>
        <v>588398.23888799932</v>
      </c>
      <c r="AW75" s="359">
        <f t="shared" si="16"/>
        <v>648203.86751556955</v>
      </c>
    </row>
    <row r="76" spans="1:50" outlineLevel="1">
      <c r="B76" s="664"/>
      <c r="F76" s="663" t="s">
        <v>2654</v>
      </c>
      <c r="I76" s="659"/>
      <c r="J76" s="364">
        <f>'2.3 Expenses'!I42</f>
        <v>0</v>
      </c>
      <c r="K76" s="364">
        <f>'2.3 Expenses'!J42</f>
        <v>0</v>
      </c>
      <c r="L76" s="364">
        <f>'2.3 Expenses'!K42</f>
        <v>0</v>
      </c>
      <c r="M76" s="364">
        <f>'2.3 Expenses'!L42</f>
        <v>0</v>
      </c>
      <c r="N76" s="364">
        <f>'2.3 Expenses'!M42</f>
        <v>0</v>
      </c>
      <c r="P76" s="955">
        <f>'5. Financials'!H76</f>
        <v>0</v>
      </c>
      <c r="Q76" s="955">
        <f>'5. Financials'!I76</f>
        <v>0</v>
      </c>
      <c r="R76" s="955">
        <f>'5. Financials'!J76</f>
        <v>0</v>
      </c>
      <c r="S76" s="955">
        <f>'5. Financials'!K76</f>
        <v>0</v>
      </c>
      <c r="T76" s="955">
        <f>'5. Financials'!L76</f>
        <v>0</v>
      </c>
      <c r="U76" s="955">
        <f>'5. Financials'!M76</f>
        <v>0</v>
      </c>
      <c r="V76" s="663"/>
      <c r="W76" s="364">
        <f t="shared" si="14"/>
        <v>0</v>
      </c>
      <c r="X76" s="364">
        <f t="shared" si="14"/>
        <v>0</v>
      </c>
      <c r="Y76" s="364">
        <f t="shared" si="14"/>
        <v>0</v>
      </c>
      <c r="Z76" s="364">
        <f t="shared" si="14"/>
        <v>0</v>
      </c>
      <c r="AA76" s="364">
        <f t="shared" si="14"/>
        <v>0</v>
      </c>
      <c r="AB76" s="364">
        <f t="shared" si="14"/>
        <v>0</v>
      </c>
      <c r="AC76" s="358"/>
      <c r="AD76" s="1721"/>
      <c r="AE76" s="364">
        <f t="shared" si="15"/>
        <v>0</v>
      </c>
      <c r="AF76" s="364">
        <f t="shared" si="15"/>
        <v>0</v>
      </c>
      <c r="AG76" s="364">
        <f t="shared" si="15"/>
        <v>0</v>
      </c>
      <c r="AH76" s="364">
        <f t="shared" si="15"/>
        <v>0</v>
      </c>
      <c r="AI76" s="364">
        <f t="shared" si="15"/>
        <v>0</v>
      </c>
      <c r="AJ76" s="659"/>
      <c r="AK76" s="659"/>
      <c r="AL76" s="955">
        <f>'2.3 Expenses'!N42</f>
        <v>0</v>
      </c>
      <c r="AM76" s="955">
        <f>'2.3 Expenses'!O42</f>
        <v>0</v>
      </c>
      <c r="AN76" s="955">
        <f>'2.3 Expenses'!P42</f>
        <v>0</v>
      </c>
      <c r="AO76" s="955">
        <f>'2.3 Expenses'!Q42</f>
        <v>0</v>
      </c>
      <c r="AP76" s="955">
        <f>'2.3 Expenses'!R42</f>
        <v>0</v>
      </c>
      <c r="AR76" s="364">
        <f t="shared" si="16"/>
        <v>0</v>
      </c>
      <c r="AS76" s="364">
        <f t="shared" si="16"/>
        <v>0</v>
      </c>
      <c r="AT76" s="364">
        <f t="shared" si="16"/>
        <v>0</v>
      </c>
      <c r="AU76" s="364">
        <f t="shared" si="16"/>
        <v>0</v>
      </c>
      <c r="AV76" s="364">
        <f t="shared" si="16"/>
        <v>0</v>
      </c>
      <c r="AW76" s="364">
        <f t="shared" si="16"/>
        <v>0</v>
      </c>
    </row>
    <row r="77" spans="1:50">
      <c r="B77" s="664"/>
      <c r="E77" s="663" t="s">
        <v>3125</v>
      </c>
      <c r="I77" s="659"/>
      <c r="J77" s="359">
        <f>SUM(J73:J76)</f>
        <v>868626.15844203497</v>
      </c>
      <c r="K77" s="359">
        <f>SUM(K73:K76)</f>
        <v>894684.94319529599</v>
      </c>
      <c r="L77" s="359">
        <f>SUM(L73:L76)</f>
        <v>921525.491491155</v>
      </c>
      <c r="M77" s="359">
        <f>SUM(M73:M76)</f>
        <v>949171.25623588962</v>
      </c>
      <c r="N77" s="359">
        <f>SUM(N73:N76)</f>
        <v>977646.39392296644</v>
      </c>
      <c r="O77" s="663"/>
      <c r="P77" s="954">
        <f>'5. Financials'!H77</f>
        <v>157996.66666666663</v>
      </c>
      <c r="Q77" s="954">
        <f>'5. Financials'!I77</f>
        <v>473990</v>
      </c>
      <c r="R77" s="954">
        <f>'5. Financials'!J77</f>
        <v>712986.60000000009</v>
      </c>
      <c r="S77" s="954">
        <f>'5. Financials'!K77</f>
        <v>974449.38079999993</v>
      </c>
      <c r="T77" s="954">
        <f>'5. Financials'!L77</f>
        <v>1214251.719366333</v>
      </c>
      <c r="U77" s="954">
        <f>'5. Financials'!M77</f>
        <v>1400919.3151285865</v>
      </c>
      <c r="V77" s="663"/>
      <c r="W77" s="359">
        <f t="shared" si="14"/>
        <v>94797.999999999971</v>
      </c>
      <c r="X77" s="359">
        <f t="shared" si="14"/>
        <v>284394</v>
      </c>
      <c r="Y77" s="359">
        <f t="shared" si="14"/>
        <v>427791.96000000008</v>
      </c>
      <c r="Z77" s="359">
        <f t="shared" si="14"/>
        <v>584669.62847999996</v>
      </c>
      <c r="AA77" s="359">
        <f t="shared" si="14"/>
        <v>728551.03161979979</v>
      </c>
      <c r="AB77" s="359">
        <f t="shared" si="14"/>
        <v>840551.58907715173</v>
      </c>
      <c r="AC77" s="358"/>
      <c r="AD77" s="1721"/>
      <c r="AE77" s="359">
        <f>SUM(AE73:AE76)</f>
        <v>0</v>
      </c>
      <c r="AF77" s="359">
        <f>SUM(AF73:AF76)</f>
        <v>0</v>
      </c>
      <c r="AG77" s="359">
        <f>SUM(AG73:AG76)</f>
        <v>0</v>
      </c>
      <c r="AH77" s="359">
        <f>SUM(AH73:AH76)</f>
        <v>0</v>
      </c>
      <c r="AI77" s="359">
        <f>SUM(AI73:AI76)</f>
        <v>0</v>
      </c>
      <c r="AL77" s="954">
        <f>SUM(AL73:AL76)</f>
        <v>868626.15844203497</v>
      </c>
      <c r="AM77" s="954">
        <f>SUM(AM73:AM76)</f>
        <v>894684.94319529599</v>
      </c>
      <c r="AN77" s="954">
        <f>SUM(AN73:AN76)</f>
        <v>921525.491491155</v>
      </c>
      <c r="AO77" s="954">
        <f>SUM(AO73:AO76)</f>
        <v>949171.25623588962</v>
      </c>
      <c r="AP77" s="954">
        <f>SUM(AP73:AP76)</f>
        <v>977646.39392296644</v>
      </c>
      <c r="AR77" s="359">
        <f t="shared" si="16"/>
        <v>157996.66666666663</v>
      </c>
      <c r="AS77" s="359">
        <f t="shared" si="16"/>
        <v>1342616.1584420349</v>
      </c>
      <c r="AT77" s="359">
        <f t="shared" si="16"/>
        <v>1607671.5431952961</v>
      </c>
      <c r="AU77" s="359">
        <f t="shared" si="16"/>
        <v>1895974.8722911549</v>
      </c>
      <c r="AV77" s="359">
        <f t="shared" si="16"/>
        <v>2163422.9756022226</v>
      </c>
      <c r="AW77" s="359">
        <f t="shared" si="16"/>
        <v>2378565.7090515532</v>
      </c>
    </row>
    <row r="78" spans="1:50">
      <c r="B78" s="664"/>
      <c r="E78" s="663" t="s">
        <v>3697</v>
      </c>
      <c r="I78" s="659"/>
      <c r="J78" s="359">
        <f>'2.3 Expenses'!I22</f>
        <v>197699.87999999998</v>
      </c>
      <c r="K78" s="359">
        <f>'2.3 Expenses'!J22</f>
        <v>203630.87639999998</v>
      </c>
      <c r="L78" s="359">
        <f>'2.3 Expenses'!K22</f>
        <v>209739.802692</v>
      </c>
      <c r="M78" s="359">
        <f>'2.3 Expenses'!L22</f>
        <v>216031.99677276</v>
      </c>
      <c r="N78" s="359">
        <f>'2.3 Expenses'!M22</f>
        <v>222512.95667594281</v>
      </c>
      <c r="O78" s="663"/>
      <c r="P78" s="954">
        <f>'5. Financials'!H78</f>
        <v>82367.423999999999</v>
      </c>
      <c r="Q78" s="954">
        <f>'5. Financials'!I78</f>
        <v>247102.272</v>
      </c>
      <c r="R78" s="954">
        <f>'5. Financials'!J78</f>
        <v>254515.34015999999</v>
      </c>
      <c r="S78" s="954">
        <f>'5. Financials'!K78</f>
        <v>262150.80036479997</v>
      </c>
      <c r="T78" s="954">
        <f>'5. Financials'!L78</f>
        <v>270015.32437574398</v>
      </c>
      <c r="U78" s="954">
        <f>'5. Financials'!M78</f>
        <v>278115.78410701628</v>
      </c>
      <c r="V78" s="663"/>
      <c r="W78" s="359">
        <f t="shared" si="14"/>
        <v>49420.454399999995</v>
      </c>
      <c r="X78" s="359">
        <f t="shared" si="14"/>
        <v>148261.36319999999</v>
      </c>
      <c r="Y78" s="359">
        <f t="shared" si="14"/>
        <v>152709.20409599997</v>
      </c>
      <c r="Z78" s="359">
        <f t="shared" si="14"/>
        <v>157290.48021887997</v>
      </c>
      <c r="AA78" s="359">
        <f t="shared" si="14"/>
        <v>162009.19462544634</v>
      </c>
      <c r="AB78" s="359">
        <f t="shared" si="14"/>
        <v>166869.47046420979</v>
      </c>
      <c r="AC78" s="358"/>
      <c r="AD78" s="1721"/>
      <c r="AE78" s="1850">
        <f>ROUND((J78-AL78)*pshare,0)</f>
        <v>0</v>
      </c>
      <c r="AF78" s="1850">
        <f>ROUND((K78-AM78)*pshare,0)</f>
        <v>0</v>
      </c>
      <c r="AG78" s="1850">
        <f>ROUND((L78-AN78)*pshare,0)</f>
        <v>0</v>
      </c>
      <c r="AH78" s="1850">
        <f>ROUND((M78-AO78)*pshare,0)</f>
        <v>0</v>
      </c>
      <c r="AI78" s="1850">
        <f>ROUND((N78-AP78)*pshare,0)</f>
        <v>0</v>
      </c>
      <c r="AL78" s="954">
        <f>'2.3 Expenses'!N22</f>
        <v>197699.87999999998</v>
      </c>
      <c r="AM78" s="954">
        <f>'2.3 Expenses'!O22</f>
        <v>203630.87639999998</v>
      </c>
      <c r="AN78" s="954">
        <f>'2.3 Expenses'!P22</f>
        <v>209739.802692</v>
      </c>
      <c r="AO78" s="954">
        <f>'2.3 Expenses'!Q22</f>
        <v>216031.99677276</v>
      </c>
      <c r="AP78" s="954">
        <f>'2.3 Expenses'!R22</f>
        <v>222512.95667594281</v>
      </c>
      <c r="AR78" s="359">
        <f t="shared" si="16"/>
        <v>82367.423999999999</v>
      </c>
      <c r="AS78" s="359">
        <f t="shared" si="16"/>
        <v>444802.152</v>
      </c>
      <c r="AT78" s="359">
        <f t="shared" si="16"/>
        <v>458146.21655999997</v>
      </c>
      <c r="AU78" s="359">
        <f t="shared" si="16"/>
        <v>471890.60305679997</v>
      </c>
      <c r="AV78" s="359">
        <f t="shared" si="16"/>
        <v>486047.32114850398</v>
      </c>
      <c r="AW78" s="359">
        <f t="shared" si="16"/>
        <v>500628.7407829591</v>
      </c>
    </row>
    <row r="79" spans="1:50" s="366" customFormat="1">
      <c r="A79" s="667"/>
      <c r="B79" s="668"/>
      <c r="C79" s="667"/>
      <c r="D79" s="667"/>
      <c r="E79" s="667" t="s">
        <v>3698</v>
      </c>
      <c r="F79" s="667"/>
      <c r="G79" s="667"/>
      <c r="I79" s="659"/>
      <c r="J79" s="366">
        <f>'2.3 Expenses'!I10</f>
        <v>189999.84</v>
      </c>
      <c r="K79" s="366">
        <f>'2.3 Expenses'!J10</f>
        <v>189999.84</v>
      </c>
      <c r="L79" s="366">
        <f>'2.3 Expenses'!K10</f>
        <v>189999.84</v>
      </c>
      <c r="M79" s="366">
        <f>'2.3 Expenses'!L10</f>
        <v>189999.84</v>
      </c>
      <c r="N79" s="366">
        <f>'2.3 Expenses'!M10</f>
        <v>189999.84</v>
      </c>
      <c r="O79" s="663"/>
      <c r="P79" s="659">
        <f>'5. Financials'!H79</f>
        <v>0</v>
      </c>
      <c r="Q79" s="659">
        <f>'5. Financials'!I79</f>
        <v>169421</v>
      </c>
      <c r="R79" s="659">
        <f>'5. Financials'!J79</f>
        <v>169421</v>
      </c>
      <c r="S79" s="659">
        <f>'5. Financials'!K79</f>
        <v>169421</v>
      </c>
      <c r="T79" s="659">
        <f>'5. Financials'!L79</f>
        <v>169421</v>
      </c>
      <c r="U79" s="659">
        <f>'5. Financials'!M79</f>
        <v>169421</v>
      </c>
      <c r="V79" s="663"/>
      <c r="W79" s="366">
        <f t="shared" si="14"/>
        <v>0</v>
      </c>
      <c r="X79" s="366">
        <f t="shared" si="14"/>
        <v>101652.59999999999</v>
      </c>
      <c r="Y79" s="366">
        <f t="shared" si="14"/>
        <v>101652.59999999999</v>
      </c>
      <c r="Z79" s="366">
        <f t="shared" si="14"/>
        <v>101652.59999999999</v>
      </c>
      <c r="AA79" s="366">
        <f t="shared" si="14"/>
        <v>101652.59999999999</v>
      </c>
      <c r="AB79" s="366">
        <f t="shared" si="14"/>
        <v>101652.59999999999</v>
      </c>
      <c r="AC79" s="365"/>
      <c r="AD79" s="1721"/>
      <c r="AE79" s="366">
        <f t="shared" ref="AE79:AI84" si="17">(J79-AL79)*pshare</f>
        <v>0</v>
      </c>
      <c r="AF79" s="366">
        <f t="shared" si="17"/>
        <v>0</v>
      </c>
      <c r="AG79" s="366">
        <f t="shared" si="17"/>
        <v>0</v>
      </c>
      <c r="AH79" s="366">
        <f t="shared" si="17"/>
        <v>0</v>
      </c>
      <c r="AI79" s="366">
        <f t="shared" si="17"/>
        <v>0</v>
      </c>
      <c r="AJ79" s="659"/>
      <c r="AK79" s="659"/>
      <c r="AL79" s="659">
        <f>'2.3 Expenses'!N10</f>
        <v>189999.84</v>
      </c>
      <c r="AM79" s="659">
        <f>'2.3 Expenses'!O10</f>
        <v>189999.84</v>
      </c>
      <c r="AN79" s="659">
        <f>'2.3 Expenses'!P10</f>
        <v>189999.84</v>
      </c>
      <c r="AO79" s="659">
        <f>'2.3 Expenses'!Q10</f>
        <v>189999.84</v>
      </c>
      <c r="AP79" s="659">
        <f>'2.3 Expenses'!R10</f>
        <v>189999.84</v>
      </c>
      <c r="AQ79" s="659"/>
      <c r="AR79" s="366">
        <f t="shared" si="16"/>
        <v>0</v>
      </c>
      <c r="AS79" s="366">
        <f t="shared" si="16"/>
        <v>359420.83999999997</v>
      </c>
      <c r="AT79" s="366">
        <f t="shared" si="16"/>
        <v>359420.83999999997</v>
      </c>
      <c r="AU79" s="366">
        <f t="shared" si="16"/>
        <v>359420.83999999997</v>
      </c>
      <c r="AV79" s="366">
        <f t="shared" si="16"/>
        <v>359420.83999999997</v>
      </c>
      <c r="AW79" s="366">
        <f t="shared" si="16"/>
        <v>359420.83999999997</v>
      </c>
    </row>
    <row r="80" spans="1:50" s="366" customFormat="1">
      <c r="A80" s="667"/>
      <c r="B80" s="668"/>
      <c r="C80" s="667"/>
      <c r="D80" s="667"/>
      <c r="E80" s="667" t="s">
        <v>4120</v>
      </c>
      <c r="F80" s="667"/>
      <c r="G80" s="667"/>
      <c r="I80" s="659"/>
      <c r="J80" s="366">
        <f>J64*'2.3 Expenses'!I47</f>
        <v>635506.64993353689</v>
      </c>
      <c r="K80" s="366">
        <f>K64*'2.3 Expenses'!J47</f>
        <v>648216.78293220769</v>
      </c>
      <c r="L80" s="366">
        <f>L64*'2.3 Expenses'!K47</f>
        <v>661181.11859085178</v>
      </c>
      <c r="M80" s="366">
        <f>M64*'2.3 Expenses'!L47</f>
        <v>674404.7409626689</v>
      </c>
      <c r="N80" s="366">
        <f>N64*'2.3 Expenses'!M47</f>
        <v>687892.83578192221</v>
      </c>
      <c r="O80" s="663"/>
      <c r="P80" s="659">
        <f>'5. Financials'!H80</f>
        <v>0</v>
      </c>
      <c r="Q80" s="659">
        <f>'5. Financials'!I80</f>
        <v>170275.04457642292</v>
      </c>
      <c r="R80" s="659">
        <f>'5. Financials'!J80</f>
        <v>435044.87653484783</v>
      </c>
      <c r="S80" s="659">
        <f>'5. Financials'!K80</f>
        <v>642939.30106255028</v>
      </c>
      <c r="T80" s="659">
        <f>'5. Financials'!L80</f>
        <v>824654.33565598645</v>
      </c>
      <c r="U80" s="659">
        <f>'5. Financials'!M80</f>
        <v>986001.77913472278</v>
      </c>
      <c r="V80" s="663"/>
      <c r="W80" s="366">
        <f t="shared" si="14"/>
        <v>0</v>
      </c>
      <c r="X80" s="366">
        <f t="shared" si="14"/>
        <v>102165.02674585377</v>
      </c>
      <c r="Y80" s="366">
        <f t="shared" si="14"/>
        <v>261026.92592090863</v>
      </c>
      <c r="Z80" s="366">
        <f t="shared" si="14"/>
        <v>385763.58063753007</v>
      </c>
      <c r="AA80" s="366">
        <f t="shared" si="14"/>
        <v>494792.6013935919</v>
      </c>
      <c r="AB80" s="366">
        <f t="shared" si="14"/>
        <v>591601.0674808335</v>
      </c>
      <c r="AC80" s="365"/>
      <c r="AD80" s="1721"/>
      <c r="AE80" s="366">
        <f t="shared" si="17"/>
        <v>0</v>
      </c>
      <c r="AF80" s="366">
        <f t="shared" si="17"/>
        <v>0</v>
      </c>
      <c r="AG80" s="366">
        <f t="shared" si="17"/>
        <v>0</v>
      </c>
      <c r="AH80" s="366">
        <f t="shared" si="17"/>
        <v>0</v>
      </c>
      <c r="AI80" s="366">
        <f t="shared" si="17"/>
        <v>0</v>
      </c>
      <c r="AJ80" s="659"/>
      <c r="AK80" s="659"/>
      <c r="AL80" s="659">
        <f>AL64*'2.3 Expenses'!N47</f>
        <v>635506.64993353689</v>
      </c>
      <c r="AM80" s="659">
        <f>AM64*'2.3 Expenses'!O47</f>
        <v>648216.78293220769</v>
      </c>
      <c r="AN80" s="659">
        <f>AN64*'2.3 Expenses'!P47</f>
        <v>661181.11859085178</v>
      </c>
      <c r="AO80" s="659">
        <f>AO64*'2.3 Expenses'!Q47</f>
        <v>674404.7409626689</v>
      </c>
      <c r="AP80" s="659">
        <f>AP64*'2.3 Expenses'!R47</f>
        <v>687892.83578192221</v>
      </c>
      <c r="AQ80" s="659"/>
      <c r="AR80" s="366">
        <f t="shared" si="16"/>
        <v>0</v>
      </c>
      <c r="AS80" s="366">
        <f t="shared" si="16"/>
        <v>805781.69450995978</v>
      </c>
      <c r="AT80" s="366">
        <f t="shared" si="16"/>
        <v>1083261.6594670555</v>
      </c>
      <c r="AU80" s="366">
        <f t="shared" si="16"/>
        <v>1304120.4196534022</v>
      </c>
      <c r="AV80" s="366">
        <f t="shared" si="16"/>
        <v>1499059.0766186554</v>
      </c>
      <c r="AW80" s="366">
        <f t="shared" si="16"/>
        <v>1673894.614916645</v>
      </c>
    </row>
    <row r="81" spans="1:50" outlineLevel="1">
      <c r="B81" s="664"/>
      <c r="E81" s="663" t="s">
        <v>4121</v>
      </c>
      <c r="I81" s="659"/>
      <c r="P81" s="954"/>
      <c r="Q81" s="954"/>
      <c r="R81" s="954"/>
      <c r="S81" s="954"/>
      <c r="T81" s="954"/>
      <c r="U81" s="954"/>
      <c r="AC81" s="358"/>
      <c r="AD81" s="1721"/>
      <c r="AE81" s="359">
        <f t="shared" si="17"/>
        <v>0</v>
      </c>
      <c r="AF81" s="359">
        <f t="shared" si="17"/>
        <v>0</v>
      </c>
      <c r="AG81" s="359">
        <f t="shared" si="17"/>
        <v>0</v>
      </c>
      <c r="AH81" s="359">
        <f t="shared" si="17"/>
        <v>0</v>
      </c>
      <c r="AI81" s="359">
        <f t="shared" si="17"/>
        <v>0</v>
      </c>
    </row>
    <row r="82" spans="1:50" outlineLevel="1">
      <c r="B82" s="664"/>
      <c r="F82" s="663" t="s">
        <v>3925</v>
      </c>
      <c r="I82" s="659"/>
      <c r="J82" s="954">
        <f>'2.3 Expenses'!I53</f>
        <v>12536.46</v>
      </c>
      <c r="K82" s="954">
        <f>'2.3 Expenses'!J53</f>
        <v>12912.5538</v>
      </c>
      <c r="L82" s="954">
        <f>'2.3 Expenses'!K53</f>
        <v>13299.930414</v>
      </c>
      <c r="M82" s="954">
        <f>'2.3 Expenses'!L53</f>
        <v>13698.92832642</v>
      </c>
      <c r="N82" s="954">
        <f>'2.3 Expenses'!M53</f>
        <v>14109.8961762126</v>
      </c>
      <c r="O82" s="663"/>
      <c r="P82" s="954">
        <f>'5. Financials'!H82</f>
        <v>0</v>
      </c>
      <c r="Q82" s="954">
        <f>'5. Financials'!I82</f>
        <v>15879.515999999998</v>
      </c>
      <c r="R82" s="954">
        <f>'5. Financials'!J82</f>
        <v>16355.901479999999</v>
      </c>
      <c r="S82" s="954">
        <f>'5. Financials'!K82</f>
        <v>16846.5785244</v>
      </c>
      <c r="T82" s="954">
        <f>'5. Financials'!L82</f>
        <v>17351.975880131999</v>
      </c>
      <c r="U82" s="954">
        <f>'5. Financials'!M82</f>
        <v>17872.53515653596</v>
      </c>
      <c r="V82" s="663"/>
      <c r="W82" s="359">
        <f t="shared" ref="W82:AB85" si="18">(P82*DVAOwnership)+(AK82*pshare)-(I82*pshare)</f>
        <v>0</v>
      </c>
      <c r="X82" s="359">
        <f t="shared" si="18"/>
        <v>9527.7095999999983</v>
      </c>
      <c r="Y82" s="359">
        <f t="shared" si="18"/>
        <v>9813.5408879999995</v>
      </c>
      <c r="Z82" s="359">
        <f t="shared" si="18"/>
        <v>10107.947114640001</v>
      </c>
      <c r="AA82" s="359">
        <f t="shared" si="18"/>
        <v>10411.185528079199</v>
      </c>
      <c r="AB82" s="359">
        <f t="shared" si="18"/>
        <v>10723.521093921576</v>
      </c>
      <c r="AC82" s="358"/>
      <c r="AD82" s="1721"/>
      <c r="AE82" s="359">
        <f t="shared" si="17"/>
        <v>0</v>
      </c>
      <c r="AF82" s="359">
        <f t="shared" si="17"/>
        <v>0</v>
      </c>
      <c r="AG82" s="359">
        <f t="shared" si="17"/>
        <v>0</v>
      </c>
      <c r="AH82" s="359">
        <f t="shared" si="17"/>
        <v>0</v>
      </c>
      <c r="AI82" s="359">
        <f t="shared" si="17"/>
        <v>0</v>
      </c>
      <c r="AL82" s="954">
        <f>'2.3 Expenses'!N53</f>
        <v>12536.46</v>
      </c>
      <c r="AM82" s="954">
        <f>'2.3 Expenses'!O53</f>
        <v>12912.5538</v>
      </c>
      <c r="AN82" s="954">
        <f>'2.3 Expenses'!P53</f>
        <v>13299.930414</v>
      </c>
      <c r="AO82" s="954">
        <f>'2.3 Expenses'!Q53</f>
        <v>13698.92832642</v>
      </c>
      <c r="AP82" s="954">
        <f>'2.3 Expenses'!R53</f>
        <v>14109.8961762126</v>
      </c>
      <c r="AR82" s="366">
        <f t="shared" ref="AR82:AW86" si="19">P82+AK82</f>
        <v>0</v>
      </c>
      <c r="AS82" s="366">
        <f t="shared" si="19"/>
        <v>28415.975999999995</v>
      </c>
      <c r="AT82" s="366">
        <f t="shared" si="19"/>
        <v>29268.455279999998</v>
      </c>
      <c r="AU82" s="366">
        <f t="shared" si="19"/>
        <v>30146.508938400002</v>
      </c>
      <c r="AV82" s="366">
        <f t="shared" si="19"/>
        <v>31050.904206551997</v>
      </c>
      <c r="AW82" s="366">
        <f t="shared" si="19"/>
        <v>31982.431332748558</v>
      </c>
      <c r="AX82" s="366"/>
    </row>
    <row r="83" spans="1:50" outlineLevel="1">
      <c r="B83" s="664"/>
      <c r="F83" s="663" t="s">
        <v>3926</v>
      </c>
      <c r="I83" s="659"/>
      <c r="J83" s="954">
        <f>J64*'2.3 Expenses'!I57</f>
        <v>222779.69526189211</v>
      </c>
      <c r="K83" s="954">
        <f>K64*'2.3 Expenses'!J57</f>
        <v>229463.08611974886</v>
      </c>
      <c r="L83" s="954">
        <f>L64*'2.3 Expenses'!K57</f>
        <v>236346.97870334133</v>
      </c>
      <c r="M83" s="954">
        <f>M64*'2.3 Expenses'!L57</f>
        <v>243437.38806444156</v>
      </c>
      <c r="N83" s="954">
        <f>N64*'2.3 Expenses'!M57</f>
        <v>250740.50970637481</v>
      </c>
      <c r="O83" s="663"/>
      <c r="P83" s="954">
        <f>'5. Financials'!H83</f>
        <v>0</v>
      </c>
      <c r="Q83" s="954">
        <f>'5. Financials'!I83</f>
        <v>59690.677580490817</v>
      </c>
      <c r="R83" s="954">
        <f>'5. Financials'!J83</f>
        <v>154002.09096516322</v>
      </c>
      <c r="S83" s="954">
        <f>'5. Financials'!K83</f>
        <v>229826.22616270557</v>
      </c>
      <c r="T83" s="954">
        <f>'5. Financials'!L83</f>
        <v>297672.42923225992</v>
      </c>
      <c r="U83" s="954">
        <f>'5. Financials'!M83</f>
        <v>359402.76713393559</v>
      </c>
      <c r="V83" s="663"/>
      <c r="W83" s="359">
        <f t="shared" si="18"/>
        <v>0</v>
      </c>
      <c r="X83" s="359">
        <f t="shared" si="18"/>
        <v>35814.406548294501</v>
      </c>
      <c r="Y83" s="359">
        <f t="shared" si="18"/>
        <v>92401.254579097935</v>
      </c>
      <c r="Z83" s="359">
        <f t="shared" si="18"/>
        <v>137895.73569762331</v>
      </c>
      <c r="AA83" s="359">
        <f t="shared" si="18"/>
        <v>178603.45753935594</v>
      </c>
      <c r="AB83" s="359">
        <f t="shared" si="18"/>
        <v>215641.66028036136</v>
      </c>
      <c r="AC83" s="358"/>
      <c r="AD83" s="1721"/>
      <c r="AE83" s="359">
        <f t="shared" si="17"/>
        <v>0</v>
      </c>
      <c r="AF83" s="359">
        <f t="shared" si="17"/>
        <v>0</v>
      </c>
      <c r="AG83" s="359">
        <f t="shared" si="17"/>
        <v>0</v>
      </c>
      <c r="AH83" s="359">
        <f t="shared" si="17"/>
        <v>0</v>
      </c>
      <c r="AI83" s="359">
        <f t="shared" si="17"/>
        <v>0</v>
      </c>
      <c r="AL83" s="954">
        <f>AL64*'2.3 Expenses'!N57</f>
        <v>222779.69526189211</v>
      </c>
      <c r="AM83" s="954">
        <f>AM64*'2.3 Expenses'!O57</f>
        <v>229463.08611974886</v>
      </c>
      <c r="AN83" s="954">
        <f>AN64*'2.3 Expenses'!P57</f>
        <v>236346.97870334133</v>
      </c>
      <c r="AO83" s="954">
        <f>AO64*'2.3 Expenses'!Q57</f>
        <v>243437.38806444156</v>
      </c>
      <c r="AP83" s="954">
        <f>AP64*'2.3 Expenses'!R57</f>
        <v>250740.50970637481</v>
      </c>
      <c r="AR83" s="366">
        <f t="shared" si="19"/>
        <v>0</v>
      </c>
      <c r="AS83" s="366">
        <f t="shared" si="19"/>
        <v>282470.37284238293</v>
      </c>
      <c r="AT83" s="366">
        <f t="shared" si="19"/>
        <v>383465.17708491208</v>
      </c>
      <c r="AU83" s="366">
        <f t="shared" si="19"/>
        <v>466173.2048660469</v>
      </c>
      <c r="AV83" s="366">
        <f t="shared" si="19"/>
        <v>541109.81729670148</v>
      </c>
      <c r="AW83" s="366">
        <f t="shared" si="19"/>
        <v>610143.27684031043</v>
      </c>
      <c r="AX83" s="366"/>
    </row>
    <row r="84" spans="1:50" outlineLevel="1">
      <c r="B84" s="664"/>
      <c r="F84" s="663" t="s">
        <v>3695</v>
      </c>
      <c r="I84" s="659"/>
      <c r="J84" s="955">
        <f>J64*'2.3 Expenses'!I50</f>
        <v>235512.1755820906</v>
      </c>
      <c r="K84" s="955">
        <f>K64*'2.3 Expenses'!J50</f>
        <v>242577.5408495533</v>
      </c>
      <c r="L84" s="955">
        <f>L64*'2.3 Expenses'!K50</f>
        <v>249854.86707503992</v>
      </c>
      <c r="M84" s="955">
        <f>M64*'2.3 Expenses'!L50</f>
        <v>257350.51308729115</v>
      </c>
      <c r="N84" s="955">
        <f>N64*'2.3 Expenses'!M50</f>
        <v>265071.02847990987</v>
      </c>
      <c r="O84" s="663"/>
      <c r="P84" s="955">
        <f>'5. Financials'!H84</f>
        <v>21367.388707222701</v>
      </c>
      <c r="Q84" s="955">
        <f>'5. Financials'!I84</f>
        <v>64102.166121668102</v>
      </c>
      <c r="R84" s="955">
        <f>'5. Financials'!J84</f>
        <v>162803.73956324699</v>
      </c>
      <c r="S84" s="955">
        <f>'5. Financials'!K84</f>
        <v>242961.43535779009</v>
      </c>
      <c r="T84" s="955">
        <f>'5. Financials'!L84</f>
        <v>314685.23797414242</v>
      </c>
      <c r="U84" s="955">
        <f>'5. Financials'!M84</f>
        <v>379943.63668750168</v>
      </c>
      <c r="V84" s="663"/>
      <c r="W84" s="364">
        <f t="shared" si="18"/>
        <v>12820.433224333619</v>
      </c>
      <c r="X84" s="364">
        <f t="shared" si="18"/>
        <v>38461.299673000874</v>
      </c>
      <c r="Y84" s="364">
        <f t="shared" si="18"/>
        <v>97682.243737948185</v>
      </c>
      <c r="Z84" s="364">
        <f t="shared" si="18"/>
        <v>145776.86121467405</v>
      </c>
      <c r="AA84" s="364">
        <f t="shared" si="18"/>
        <v>188811.14278448542</v>
      </c>
      <c r="AB84" s="364">
        <f t="shared" si="18"/>
        <v>227966.182012501</v>
      </c>
      <c r="AC84" s="358"/>
      <c r="AD84" s="1721"/>
      <c r="AE84" s="364">
        <f t="shared" si="17"/>
        <v>0</v>
      </c>
      <c r="AF84" s="364">
        <f t="shared" si="17"/>
        <v>0</v>
      </c>
      <c r="AG84" s="364">
        <f t="shared" si="17"/>
        <v>0</v>
      </c>
      <c r="AH84" s="364">
        <f t="shared" si="17"/>
        <v>0</v>
      </c>
      <c r="AI84" s="364">
        <f t="shared" si="17"/>
        <v>0</v>
      </c>
      <c r="AJ84" s="659"/>
      <c r="AK84" s="659"/>
      <c r="AL84" s="955">
        <f>AL64*'2.3 Expenses'!N50</f>
        <v>235512.1755820906</v>
      </c>
      <c r="AM84" s="955">
        <f>AM64*'2.3 Expenses'!O50</f>
        <v>242577.5408495533</v>
      </c>
      <c r="AN84" s="955">
        <f>AN64*'2.3 Expenses'!P50</f>
        <v>249854.86707503992</v>
      </c>
      <c r="AO84" s="955">
        <f>AO64*'2.3 Expenses'!Q50</f>
        <v>257350.51308729115</v>
      </c>
      <c r="AP84" s="955">
        <f>AP64*'2.3 Expenses'!R50</f>
        <v>265071.02847990987</v>
      </c>
      <c r="AR84" s="364">
        <f t="shared" si="19"/>
        <v>21367.388707222701</v>
      </c>
      <c r="AS84" s="364">
        <f t="shared" si="19"/>
        <v>299614.34170375869</v>
      </c>
      <c r="AT84" s="364">
        <f t="shared" si="19"/>
        <v>405381.28041280026</v>
      </c>
      <c r="AU84" s="364">
        <f t="shared" si="19"/>
        <v>492816.30243282998</v>
      </c>
      <c r="AV84" s="364">
        <f t="shared" si="19"/>
        <v>572035.75106143358</v>
      </c>
      <c r="AW84" s="364">
        <f t="shared" si="19"/>
        <v>645014.66516741156</v>
      </c>
    </row>
    <row r="85" spans="1:50">
      <c r="B85" s="664"/>
      <c r="E85" s="663" t="s">
        <v>4122</v>
      </c>
      <c r="I85" s="659"/>
      <c r="J85" s="954">
        <f>SUM(J82:J84)</f>
        <v>470828.33084398269</v>
      </c>
      <c r="K85" s="954">
        <f>SUM(K82:K84)</f>
        <v>484953.18076930218</v>
      </c>
      <c r="L85" s="954">
        <f>SUM(L82:L84)</f>
        <v>499501.77619238128</v>
      </c>
      <c r="M85" s="954">
        <f>SUM(M82:M84)</f>
        <v>514486.82947815268</v>
      </c>
      <c r="N85" s="954">
        <f>SUM(N82:N84)</f>
        <v>529921.4343624973</v>
      </c>
      <c r="O85" s="663"/>
      <c r="P85" s="954">
        <f>'5. Financials'!H85</f>
        <v>21367.388707222701</v>
      </c>
      <c r="Q85" s="954">
        <f>'5. Financials'!I85</f>
        <v>139672.35970215892</v>
      </c>
      <c r="R85" s="954">
        <f>'5. Financials'!J85</f>
        <v>333161.73200841021</v>
      </c>
      <c r="S85" s="954">
        <f>'5. Financials'!K85</f>
        <v>489634.24004489568</v>
      </c>
      <c r="T85" s="954">
        <f>'5. Financials'!L85</f>
        <v>629709.64308653434</v>
      </c>
      <c r="U85" s="954">
        <f>'5. Financials'!M85</f>
        <v>757218.9389779733</v>
      </c>
      <c r="V85" s="663"/>
      <c r="W85" s="359">
        <f t="shared" si="18"/>
        <v>12820.433224333619</v>
      </c>
      <c r="X85" s="359">
        <f t="shared" si="18"/>
        <v>83803.415821295348</v>
      </c>
      <c r="Y85" s="359">
        <f t="shared" si="18"/>
        <v>199897.03920504608</v>
      </c>
      <c r="Z85" s="359">
        <f t="shared" si="18"/>
        <v>293780.54402693739</v>
      </c>
      <c r="AA85" s="359">
        <f t="shared" si="18"/>
        <v>377825.78585192055</v>
      </c>
      <c r="AB85" s="359">
        <f t="shared" si="18"/>
        <v>454331.36338678404</v>
      </c>
      <c r="AC85" s="358"/>
      <c r="AD85" s="1721"/>
      <c r="AE85" s="954">
        <f>SUM(AE82:AE84)</f>
        <v>0</v>
      </c>
      <c r="AF85" s="954">
        <f>SUM(AF82:AF84)</f>
        <v>0</v>
      </c>
      <c r="AG85" s="954">
        <f>SUM(AG82:AG84)</f>
        <v>0</v>
      </c>
      <c r="AH85" s="954">
        <f>SUM(AH82:AH84)</f>
        <v>0</v>
      </c>
      <c r="AI85" s="954">
        <f>SUM(AI82:AI84)</f>
        <v>0</v>
      </c>
      <c r="AK85" s="659"/>
      <c r="AL85" s="954">
        <f>SUM(AL82:AL84)</f>
        <v>470828.33084398269</v>
      </c>
      <c r="AM85" s="954">
        <f>SUM(AM82:AM84)</f>
        <v>484953.18076930218</v>
      </c>
      <c r="AN85" s="954">
        <f>SUM(AN82:AN84)</f>
        <v>499501.77619238128</v>
      </c>
      <c r="AO85" s="954">
        <f>SUM(AO82:AO84)</f>
        <v>514486.82947815268</v>
      </c>
      <c r="AP85" s="954">
        <f>SUM(AP82:AP84)</f>
        <v>529921.4343624973</v>
      </c>
      <c r="AR85" s="359">
        <f t="shared" si="19"/>
        <v>21367.388707222701</v>
      </c>
      <c r="AS85" s="359">
        <f t="shared" si="19"/>
        <v>610500.69054614159</v>
      </c>
      <c r="AT85" s="359">
        <f t="shared" si="19"/>
        <v>818114.91277771234</v>
      </c>
      <c r="AU85" s="359">
        <f t="shared" si="19"/>
        <v>989136.01623727696</v>
      </c>
      <c r="AV85" s="359">
        <f t="shared" si="19"/>
        <v>1144196.472564687</v>
      </c>
      <c r="AW85" s="359">
        <f t="shared" si="19"/>
        <v>1287140.3733404707</v>
      </c>
    </row>
    <row r="86" spans="1:50">
      <c r="B86" s="664"/>
      <c r="E86" s="663" t="s">
        <v>3524</v>
      </c>
      <c r="I86" s="659"/>
      <c r="J86" s="954"/>
      <c r="K86" s="954"/>
      <c r="L86" s="954"/>
      <c r="M86" s="954"/>
      <c r="N86" s="954"/>
      <c r="P86" s="954">
        <f>'5. Financials'!H86</f>
        <v>0</v>
      </c>
      <c r="Q86" s="954">
        <f>'5. Financials'!I86</f>
        <v>0</v>
      </c>
      <c r="R86" s="954">
        <f>'5. Financials'!J86</f>
        <v>0</v>
      </c>
      <c r="S86" s="954">
        <f>'5. Financials'!K86</f>
        <v>0</v>
      </c>
      <c r="T86" s="954">
        <f>'5. Financials'!L86</f>
        <v>0</v>
      </c>
      <c r="U86" s="954">
        <f>'5. Financials'!M86</f>
        <v>0</v>
      </c>
      <c r="V86" s="663"/>
      <c r="W86" s="359">
        <f t="shared" ref="W86:AB86" si="20">(P86*DVAOwnership)+(AK86*HHD_pshare)-(I86*HHD_pshare)</f>
        <v>0</v>
      </c>
      <c r="X86" s="359">
        <f t="shared" si="20"/>
        <v>0</v>
      </c>
      <c r="Y86" s="359">
        <f t="shared" si="20"/>
        <v>0</v>
      </c>
      <c r="Z86" s="359">
        <f t="shared" si="20"/>
        <v>0</v>
      </c>
      <c r="AA86" s="359">
        <f t="shared" si="20"/>
        <v>0</v>
      </c>
      <c r="AB86" s="359">
        <f t="shared" si="20"/>
        <v>0</v>
      </c>
      <c r="AC86" s="358"/>
      <c r="AE86" s="359">
        <f>(J86-AL86)*HHD_pshare</f>
        <v>0</v>
      </c>
      <c r="AF86" s="359">
        <f>(K86-AM86)*HHD_pshare</f>
        <v>0</v>
      </c>
      <c r="AG86" s="359">
        <f>(L86-AN86)*HHD_pshare</f>
        <v>0</v>
      </c>
      <c r="AH86" s="359">
        <f>(M86-AO86)*HHD_pshare</f>
        <v>0</v>
      </c>
      <c r="AI86" s="359">
        <f>(N86-AP86)*HHD_pshare</f>
        <v>0</v>
      </c>
      <c r="AK86" s="659"/>
      <c r="AR86" s="359">
        <f t="shared" si="19"/>
        <v>0</v>
      </c>
      <c r="AS86" s="359">
        <f t="shared" si="19"/>
        <v>0</v>
      </c>
      <c r="AT86" s="359">
        <f t="shared" si="19"/>
        <v>0</v>
      </c>
      <c r="AU86" s="359">
        <f t="shared" si="19"/>
        <v>0</v>
      </c>
      <c r="AV86" s="359">
        <f t="shared" si="19"/>
        <v>0</v>
      </c>
      <c r="AW86" s="359">
        <f t="shared" si="19"/>
        <v>0</v>
      </c>
    </row>
    <row r="87" spans="1:50" outlineLevel="1">
      <c r="B87" s="664"/>
      <c r="E87" s="663" t="s">
        <v>3518</v>
      </c>
      <c r="I87" s="659"/>
      <c r="J87" s="954"/>
      <c r="K87" s="954"/>
      <c r="L87" s="954"/>
      <c r="M87" s="954"/>
      <c r="N87" s="954"/>
      <c r="P87" s="954"/>
      <c r="Q87" s="954"/>
      <c r="R87" s="954"/>
      <c r="S87" s="954"/>
      <c r="T87" s="954"/>
      <c r="U87" s="954"/>
      <c r="AC87" s="358"/>
      <c r="AK87" s="659"/>
    </row>
    <row r="88" spans="1:50" outlineLevel="1">
      <c r="B88" s="664">
        <f>'2.3 Expenses'!B83</f>
        <v>4</v>
      </c>
      <c r="F88" s="663" t="s">
        <v>3925</v>
      </c>
      <c r="I88" s="659"/>
      <c r="J88" s="954">
        <f>IF(J65&gt;0,'2.3 Expenses'!I83,0)</f>
        <v>10000</v>
      </c>
      <c r="K88" s="954">
        <f>IF(K65&gt;0,'2.3 Expenses'!J83,0)</f>
        <v>10300</v>
      </c>
      <c r="L88" s="954">
        <f>IF(L65&gt;0,'2.3 Expenses'!K83,0)</f>
        <v>10609</v>
      </c>
      <c r="M88" s="954">
        <f>IF(M65&gt;0,'2.3 Expenses'!L83,0)</f>
        <v>10927.27</v>
      </c>
      <c r="N88" s="954">
        <f>IF(N65&gt;0,'2.3 Expenses'!M83,0)</f>
        <v>11255.088100000001</v>
      </c>
      <c r="O88" s="663"/>
      <c r="P88" s="954">
        <f>'5. Financials'!H88</f>
        <v>0</v>
      </c>
      <c r="Q88" s="954">
        <f>'5. Financials'!I88</f>
        <v>10000</v>
      </c>
      <c r="R88" s="954">
        <f>'5. Financials'!J88</f>
        <v>10300</v>
      </c>
      <c r="S88" s="954">
        <f>'5. Financials'!K88</f>
        <v>10609</v>
      </c>
      <c r="T88" s="954">
        <f>'5. Financials'!L88</f>
        <v>10927.27</v>
      </c>
      <c r="U88" s="954">
        <f>'5. Financials'!M88</f>
        <v>11255.088100000001</v>
      </c>
      <c r="V88" s="663"/>
      <c r="W88" s="359">
        <f t="shared" ref="W88:AB92" si="21">(P88*DVAOwnership)+(AK88*HHD_pshare)-(I88*HHD_pshare)</f>
        <v>0</v>
      </c>
      <c r="X88" s="359">
        <f t="shared" si="21"/>
        <v>6000</v>
      </c>
      <c r="Y88" s="359">
        <f t="shared" si="21"/>
        <v>6180</v>
      </c>
      <c r="Z88" s="359">
        <f t="shared" si="21"/>
        <v>6365.4</v>
      </c>
      <c r="AA88" s="359">
        <f t="shared" si="21"/>
        <v>6556.3620000000001</v>
      </c>
      <c r="AB88" s="359">
        <f t="shared" si="21"/>
        <v>6753.0528600000007</v>
      </c>
      <c r="AC88" s="358"/>
      <c r="AD88" s="1721"/>
      <c r="AE88" s="359">
        <f t="shared" ref="AE88:AI91" si="22">(J88-AL88)*HHD_pshare</f>
        <v>0</v>
      </c>
      <c r="AF88" s="359">
        <f t="shared" si="22"/>
        <v>0</v>
      </c>
      <c r="AG88" s="359">
        <f t="shared" si="22"/>
        <v>0</v>
      </c>
      <c r="AH88" s="359">
        <f t="shared" si="22"/>
        <v>0</v>
      </c>
      <c r="AI88" s="359">
        <f t="shared" si="22"/>
        <v>0</v>
      </c>
      <c r="AK88" s="659"/>
      <c r="AL88" s="954">
        <f>IF(AL65&gt;0,'2.3 Expenses'!N83,0)</f>
        <v>10000</v>
      </c>
      <c r="AM88" s="954">
        <f>IF(AM65&gt;0,'2.3 Expenses'!O83,0)</f>
        <v>10300</v>
      </c>
      <c r="AN88" s="954">
        <f>IF(AN65&gt;0,'2.3 Expenses'!P83,0)</f>
        <v>10609</v>
      </c>
      <c r="AO88" s="954">
        <f>IF(AO65&gt;0,'2.3 Expenses'!Q83,0)</f>
        <v>10927.27</v>
      </c>
      <c r="AP88" s="954">
        <f>IF(AP65&gt;0,'2.3 Expenses'!R83,0)</f>
        <v>11255.088100000001</v>
      </c>
      <c r="AR88" s="359">
        <f t="shared" ref="AR88:AW94" si="23">P88+AK88</f>
        <v>0</v>
      </c>
      <c r="AS88" s="359">
        <f t="shared" si="23"/>
        <v>20000</v>
      </c>
      <c r="AT88" s="359">
        <f t="shared" si="23"/>
        <v>20600</v>
      </c>
      <c r="AU88" s="359">
        <f t="shared" si="23"/>
        <v>21218</v>
      </c>
      <c r="AV88" s="359">
        <f t="shared" si="23"/>
        <v>21854.54</v>
      </c>
      <c r="AW88" s="359">
        <f t="shared" si="23"/>
        <v>22510.176200000002</v>
      </c>
    </row>
    <row r="89" spans="1:50" outlineLevel="1">
      <c r="B89" s="664">
        <f>'2.3 Expenses'!B74</f>
        <v>1</v>
      </c>
      <c r="F89" s="663" t="s">
        <v>722</v>
      </c>
      <c r="I89" s="659"/>
      <c r="J89" s="954">
        <f>(J45-I45+J53-I53)*'2.3 Expenses'!I74</f>
        <v>0</v>
      </c>
      <c r="K89" s="954">
        <f>(K45-J45+K53-J53)*'2.3 Expenses'!J74</f>
        <v>0</v>
      </c>
      <c r="L89" s="954">
        <f>(L45-K45+L53-K53)*'2.3 Expenses'!K74</f>
        <v>0</v>
      </c>
      <c r="M89" s="954">
        <f>(M45-L45+M53-L53)*'2.3 Expenses'!L74</f>
        <v>0</v>
      </c>
      <c r="N89" s="954">
        <f>(N45-M45+N53-M53)*'2.3 Expenses'!M74</f>
        <v>0</v>
      </c>
      <c r="O89" s="663"/>
      <c r="P89" s="954">
        <f>'5. Financials'!H89</f>
        <v>0</v>
      </c>
      <c r="Q89" s="954">
        <f>'5. Financials'!I89</f>
        <v>591.66666666666663</v>
      </c>
      <c r="R89" s="954">
        <f>'5. Financials'!J89</f>
        <v>736.2700000000001</v>
      </c>
      <c r="S89" s="954">
        <f>'5. Financials'!K89</f>
        <v>726.37259999999924</v>
      </c>
      <c r="T89" s="954">
        <f>'5. Financials'!L89</f>
        <v>439.51697999999863</v>
      </c>
      <c r="U89" s="954">
        <f>'5. Financials'!M89</f>
        <v>307.41073343999932</v>
      </c>
      <c r="V89" s="663"/>
      <c r="W89" s="359">
        <f t="shared" si="21"/>
        <v>0</v>
      </c>
      <c r="X89" s="359">
        <f t="shared" si="21"/>
        <v>354.99999999999994</v>
      </c>
      <c r="Y89" s="359">
        <f t="shared" si="21"/>
        <v>441.76200000000006</v>
      </c>
      <c r="Z89" s="359">
        <f t="shared" si="21"/>
        <v>435.82355999999953</v>
      </c>
      <c r="AA89" s="359">
        <f t="shared" si="21"/>
        <v>263.71018799999916</v>
      </c>
      <c r="AB89" s="359">
        <f t="shared" si="21"/>
        <v>184.44644006399957</v>
      </c>
      <c r="AC89" s="358"/>
      <c r="AD89" s="1721"/>
      <c r="AE89" s="359">
        <f t="shared" si="22"/>
        <v>0</v>
      </c>
      <c r="AF89" s="359">
        <f t="shared" si="22"/>
        <v>0</v>
      </c>
      <c r="AG89" s="359">
        <f t="shared" si="22"/>
        <v>0</v>
      </c>
      <c r="AH89" s="359">
        <f t="shared" si="22"/>
        <v>0</v>
      </c>
      <c r="AI89" s="359">
        <f t="shared" si="22"/>
        <v>0</v>
      </c>
      <c r="AK89" s="659"/>
      <c r="AL89" s="954">
        <f>(AL45-AK45+AL53-AK53)*'2.3 Expenses'!N74</f>
        <v>0</v>
      </c>
      <c r="AM89" s="954">
        <f>(AM45-AL45+AM53-AL53)*'2.3 Expenses'!O74</f>
        <v>0</v>
      </c>
      <c r="AN89" s="954">
        <f>(AN45-AM45+AN53-AM53)*'2.3 Expenses'!P74</f>
        <v>0</v>
      </c>
      <c r="AO89" s="954">
        <f>(AO45-AN45+AO53-AN53)*'2.3 Expenses'!Q74</f>
        <v>0</v>
      </c>
      <c r="AP89" s="954">
        <f>(AP45-AO45+AP53-AO53)*'2.3 Expenses'!R74</f>
        <v>0</v>
      </c>
      <c r="AR89" s="359">
        <f t="shared" si="23"/>
        <v>0</v>
      </c>
      <c r="AS89" s="359">
        <f t="shared" si="23"/>
        <v>591.66666666666663</v>
      </c>
      <c r="AT89" s="359">
        <f t="shared" si="23"/>
        <v>736.2700000000001</v>
      </c>
      <c r="AU89" s="359">
        <f t="shared" si="23"/>
        <v>726.37259999999924</v>
      </c>
      <c r="AV89" s="359">
        <f t="shared" si="23"/>
        <v>439.51697999999863</v>
      </c>
      <c r="AW89" s="359">
        <f t="shared" si="23"/>
        <v>307.41073343999932</v>
      </c>
    </row>
    <row r="90" spans="1:50" outlineLevel="1">
      <c r="B90" s="664">
        <f>'2.3 Expenses'!B77</f>
        <v>2</v>
      </c>
      <c r="F90" s="663" t="s">
        <v>721</v>
      </c>
      <c r="I90" s="659"/>
      <c r="J90" s="954">
        <f>(J45+J53)*'2.3 Expenses'!I77*12</f>
        <v>115680</v>
      </c>
      <c r="K90" s="954">
        <f>(K45+K53)*'2.3 Expenses'!J77*12</f>
        <v>117993.59999999999</v>
      </c>
      <c r="L90" s="954">
        <f>(L45+L53)*'2.3 Expenses'!K77*12</f>
        <v>120353.47200000001</v>
      </c>
      <c r="M90" s="954">
        <f>(M45+M53)*'2.3 Expenses'!L77*12</f>
        <v>122760.54143999999</v>
      </c>
      <c r="N90" s="954">
        <f>(N45+N53)*'2.3 Expenses'!M77*12</f>
        <v>125215.7522688</v>
      </c>
      <c r="O90" s="663"/>
      <c r="P90" s="954">
        <f>'5. Financials'!H90</f>
        <v>0</v>
      </c>
      <c r="Q90" s="954">
        <f>'5. Financials'!I90</f>
        <v>48200</v>
      </c>
      <c r="R90" s="954">
        <f>'5. Financials'!J90</f>
        <v>109144.08</v>
      </c>
      <c r="S90" s="954">
        <f>'5. Financials'!K90</f>
        <v>170500.75199999995</v>
      </c>
      <c r="T90" s="954">
        <f>'5. Financials'!L90</f>
        <v>209715.92495999983</v>
      </c>
      <c r="U90" s="954">
        <f>'5. Financials'!M90</f>
        <v>238953.39391295976</v>
      </c>
      <c r="V90" s="663"/>
      <c r="W90" s="359">
        <f t="shared" si="21"/>
        <v>0</v>
      </c>
      <c r="X90" s="359">
        <f t="shared" si="21"/>
        <v>28920</v>
      </c>
      <c r="Y90" s="359">
        <f t="shared" si="21"/>
        <v>65486.447999999989</v>
      </c>
      <c r="Z90" s="359">
        <f t="shared" si="21"/>
        <v>102300.45119999997</v>
      </c>
      <c r="AA90" s="359">
        <f t="shared" si="21"/>
        <v>125829.5549759999</v>
      </c>
      <c r="AB90" s="359">
        <f t="shared" si="21"/>
        <v>143372.03634777584</v>
      </c>
      <c r="AC90" s="358"/>
      <c r="AD90" s="1721"/>
      <c r="AE90" s="359">
        <f t="shared" si="22"/>
        <v>0</v>
      </c>
      <c r="AF90" s="359">
        <f t="shared" si="22"/>
        <v>0</v>
      </c>
      <c r="AG90" s="359">
        <f t="shared" si="22"/>
        <v>0</v>
      </c>
      <c r="AH90" s="359">
        <f t="shared" si="22"/>
        <v>0</v>
      </c>
      <c r="AI90" s="359">
        <f t="shared" si="22"/>
        <v>0</v>
      </c>
      <c r="AK90" s="659"/>
      <c r="AL90" s="954">
        <f>(AL45+AL53)*'2.3 Expenses'!N77*12+(AL45-I45+AL53-I53)*'2.3 Expenses'!N74*12</f>
        <v>115680</v>
      </c>
      <c r="AM90" s="954">
        <f>(AM45+AM53)*'2.3 Expenses'!O77*12+(AM45-AL45+AM53-AL53)*'2.3 Expenses'!O74*12</f>
        <v>117993.59999999999</v>
      </c>
      <c r="AN90" s="954">
        <f>(AN45+AN53)*'2.3 Expenses'!P77*12+(AN45-AM45+AN53-AM53)*'2.3 Expenses'!P74*12</f>
        <v>120353.47200000001</v>
      </c>
      <c r="AO90" s="954">
        <f>(AO45+AO53)*'2.3 Expenses'!Q77*12+(AO45-AN45+AO53-AN53)*'2.3 Expenses'!Q74*12</f>
        <v>122760.54143999999</v>
      </c>
      <c r="AP90" s="954">
        <f>(AP45+AP53)*'2.3 Expenses'!R77*12+(AP45-AO45+AP53-AO53)*'2.3 Expenses'!R74*12</f>
        <v>125215.7522688</v>
      </c>
      <c r="AR90" s="359">
        <f t="shared" si="23"/>
        <v>0</v>
      </c>
      <c r="AS90" s="359">
        <f t="shared" si="23"/>
        <v>163880</v>
      </c>
      <c r="AT90" s="359">
        <f t="shared" si="23"/>
        <v>227137.68</v>
      </c>
      <c r="AU90" s="359">
        <f t="shared" si="23"/>
        <v>290854.22399999993</v>
      </c>
      <c r="AV90" s="359">
        <f t="shared" si="23"/>
        <v>332476.4663999998</v>
      </c>
      <c r="AW90" s="359">
        <f t="shared" si="23"/>
        <v>364169.14618175977</v>
      </c>
    </row>
    <row r="91" spans="1:50" outlineLevel="1">
      <c r="B91" s="664">
        <f>'2.3 Expenses'!B80</f>
        <v>3</v>
      </c>
      <c r="F91" s="663" t="s">
        <v>3695</v>
      </c>
      <c r="I91" s="659"/>
      <c r="J91" s="955">
        <f>(J45+J53)*'2.3 Expenses'!I80*12</f>
        <v>21000</v>
      </c>
      <c r="K91" s="955">
        <f>(K45+K53)*'2.3 Expenses'!J80*12</f>
        <v>21630</v>
      </c>
      <c r="L91" s="955">
        <f>(L45+L53)*'2.3 Expenses'!K80*12</f>
        <v>22278.9</v>
      </c>
      <c r="M91" s="955">
        <f>(M45+M53)*'2.3 Expenses'!L80*12</f>
        <v>22947.267</v>
      </c>
      <c r="N91" s="955">
        <f>(N45+N53)*'2.3 Expenses'!M80*12</f>
        <v>23635.685010000001</v>
      </c>
      <c r="O91" s="663"/>
      <c r="P91" s="955">
        <f>'5. Financials'!H91</f>
        <v>2916.6666666666661</v>
      </c>
      <c r="Q91" s="955">
        <f>'5. Financials'!I91</f>
        <v>8749.9999999999982</v>
      </c>
      <c r="R91" s="955">
        <f>'5. Financials'!J91</f>
        <v>20007.75</v>
      </c>
      <c r="S91" s="955">
        <f>'5. Financials'!K91</f>
        <v>31561.774999999987</v>
      </c>
      <c r="T91" s="955">
        <f>'5. Financials'!L91</f>
        <v>39201.581124999968</v>
      </c>
      <c r="U91" s="955">
        <f>'5. Financials'!M91</f>
        <v>45104.765560749955</v>
      </c>
      <c r="V91" s="663"/>
      <c r="W91" s="364">
        <f t="shared" si="21"/>
        <v>1749.9999999999995</v>
      </c>
      <c r="X91" s="364">
        <f t="shared" si="21"/>
        <v>5250</v>
      </c>
      <c r="Y91" s="364">
        <f t="shared" si="21"/>
        <v>12004.650000000001</v>
      </c>
      <c r="Z91" s="364">
        <f t="shared" si="21"/>
        <v>18937.064999999991</v>
      </c>
      <c r="AA91" s="364">
        <f t="shared" si="21"/>
        <v>23520.948674999981</v>
      </c>
      <c r="AB91" s="364">
        <f t="shared" si="21"/>
        <v>27062.859336449968</v>
      </c>
      <c r="AC91" s="358"/>
      <c r="AD91" s="1721"/>
      <c r="AE91" s="364">
        <f t="shared" si="22"/>
        <v>0</v>
      </c>
      <c r="AF91" s="364">
        <f t="shared" si="22"/>
        <v>0</v>
      </c>
      <c r="AG91" s="364">
        <f t="shared" si="22"/>
        <v>0</v>
      </c>
      <c r="AH91" s="364">
        <f t="shared" si="22"/>
        <v>0</v>
      </c>
      <c r="AI91" s="364">
        <f t="shared" si="22"/>
        <v>0</v>
      </c>
      <c r="AJ91" s="659"/>
      <c r="AK91" s="659"/>
      <c r="AL91" s="955">
        <f>(AL45+AL53)*'2.3 Expenses'!N80*12</f>
        <v>21000</v>
      </c>
      <c r="AM91" s="955">
        <f>(AM45+AM53)*'2.3 Expenses'!O80*12</f>
        <v>21630</v>
      </c>
      <c r="AN91" s="955">
        <f>(AN45+AN53)*'2.3 Expenses'!P80*12</f>
        <v>22278.9</v>
      </c>
      <c r="AO91" s="955">
        <f>(AO45+AO53)*'2.3 Expenses'!Q80*12</f>
        <v>22947.267</v>
      </c>
      <c r="AP91" s="955">
        <f>(AP45+AP53)*'2.3 Expenses'!R80*12</f>
        <v>23635.685010000001</v>
      </c>
      <c r="AR91" s="364">
        <f t="shared" si="23"/>
        <v>2916.6666666666661</v>
      </c>
      <c r="AS91" s="364">
        <f t="shared" si="23"/>
        <v>29750</v>
      </c>
      <c r="AT91" s="364">
        <f t="shared" si="23"/>
        <v>41637.75</v>
      </c>
      <c r="AU91" s="364">
        <f t="shared" si="23"/>
        <v>53840.674999999988</v>
      </c>
      <c r="AV91" s="364">
        <f t="shared" si="23"/>
        <v>62148.848124999968</v>
      </c>
      <c r="AW91" s="364">
        <f t="shared" si="23"/>
        <v>68740.450570749963</v>
      </c>
    </row>
    <row r="92" spans="1:50" s="366" customFormat="1">
      <c r="A92" s="667"/>
      <c r="B92" s="668"/>
      <c r="C92" s="667"/>
      <c r="D92" s="667"/>
      <c r="E92" s="667" t="s">
        <v>3518</v>
      </c>
      <c r="F92" s="667"/>
      <c r="G92" s="667"/>
      <c r="I92" s="659"/>
      <c r="J92" s="659">
        <f>SUM(J88:J91)</f>
        <v>146680</v>
      </c>
      <c r="K92" s="659">
        <f>SUM(K88:K91)</f>
        <v>149923.59999999998</v>
      </c>
      <c r="L92" s="659">
        <f>SUM(L88:L91)</f>
        <v>153241.372</v>
      </c>
      <c r="M92" s="659">
        <f>SUM(M88:M91)</f>
        <v>156635.07843999998</v>
      </c>
      <c r="N92" s="659">
        <f>SUM(N88:N91)</f>
        <v>160106.5253788</v>
      </c>
      <c r="O92" s="663"/>
      <c r="P92" s="659">
        <f>'5. Financials'!H92</f>
        <v>2916.6666666666661</v>
      </c>
      <c r="Q92" s="659">
        <f>'5. Financials'!I92</f>
        <v>67541.666666666657</v>
      </c>
      <c r="R92" s="659">
        <f>'5. Financials'!J92</f>
        <v>140188.1</v>
      </c>
      <c r="S92" s="659">
        <f>'5. Financials'!K92</f>
        <v>213397.89959999995</v>
      </c>
      <c r="T92" s="659">
        <f>'5. Financials'!L92</f>
        <v>260284.2930649998</v>
      </c>
      <c r="U92" s="659">
        <f>'5. Financials'!M92</f>
        <v>295620.65830714972</v>
      </c>
      <c r="V92" s="663"/>
      <c r="W92" s="366">
        <f t="shared" si="21"/>
        <v>1749.9999999999995</v>
      </c>
      <c r="X92" s="366">
        <f t="shared" si="21"/>
        <v>40525</v>
      </c>
      <c r="Y92" s="366">
        <f t="shared" si="21"/>
        <v>84112.86</v>
      </c>
      <c r="Z92" s="366">
        <f t="shared" si="21"/>
        <v>128038.73975999995</v>
      </c>
      <c r="AA92" s="366">
        <f t="shared" si="21"/>
        <v>156170.57583899988</v>
      </c>
      <c r="AB92" s="366">
        <f t="shared" si="21"/>
        <v>177372.39498428983</v>
      </c>
      <c r="AC92" s="365"/>
      <c r="AD92" s="1721"/>
      <c r="AE92" s="659">
        <f>SUM(AE88:AE91)</f>
        <v>0</v>
      </c>
      <c r="AF92" s="659">
        <f>SUM(AF88:AF91)</f>
        <v>0</v>
      </c>
      <c r="AG92" s="659">
        <f>SUM(AG88:AG91)</f>
        <v>0</v>
      </c>
      <c r="AH92" s="659">
        <f>SUM(AH88:AH91)</f>
        <v>0</v>
      </c>
      <c r="AI92" s="659">
        <f>SUM(AI88:AI91)</f>
        <v>0</v>
      </c>
      <c r="AJ92" s="659"/>
      <c r="AK92" s="659"/>
      <c r="AL92" s="659">
        <f>SUM(AL88:AL91)</f>
        <v>146680</v>
      </c>
      <c r="AM92" s="659">
        <f>SUM(AM88:AM91)</f>
        <v>149923.59999999998</v>
      </c>
      <c r="AN92" s="659">
        <f>SUM(AN88:AN91)</f>
        <v>153241.372</v>
      </c>
      <c r="AO92" s="659">
        <f>SUM(AO88:AO91)</f>
        <v>156635.07843999998</v>
      </c>
      <c r="AP92" s="659">
        <f>SUM(AP88:AP91)</f>
        <v>160106.5253788</v>
      </c>
      <c r="AQ92" s="659"/>
      <c r="AR92" s="366">
        <f t="shared" si="23"/>
        <v>2916.6666666666661</v>
      </c>
      <c r="AS92" s="366">
        <f t="shared" si="23"/>
        <v>214221.66666666666</v>
      </c>
      <c r="AT92" s="366">
        <f t="shared" si="23"/>
        <v>290111.69999999995</v>
      </c>
      <c r="AU92" s="366">
        <f t="shared" si="23"/>
        <v>366639.27159999998</v>
      </c>
      <c r="AV92" s="366">
        <f t="shared" si="23"/>
        <v>416919.37150499981</v>
      </c>
      <c r="AW92" s="366">
        <f t="shared" si="23"/>
        <v>455727.18368594971</v>
      </c>
    </row>
    <row r="93" spans="1:50">
      <c r="B93" s="664"/>
      <c r="E93" s="663" t="s">
        <v>718</v>
      </c>
      <c r="I93" s="659"/>
      <c r="J93" s="955">
        <f>IF(pshare&lt;1,J212,J64*('2.3 Expenses'!I62+'2.3 Expenses'!I64)+J65*('2.3 Expenses'!I88+'2.3 Expenses'!I90))</f>
        <v>403440.20000000007</v>
      </c>
      <c r="K93" s="955">
        <f>IF(pshare&lt;1,K212,K64*('2.3 Expenses'!J62+'2.3 Expenses'!J64)+K65*('2.3 Expenses'!J88+'2.3 Expenses'!J90))</f>
        <v>405928.01891482883</v>
      </c>
      <c r="L93" s="955">
        <f>IF(pshare&lt;1,L212,L64*('2.3 Expenses'!K62+'2.3 Expenses'!K64)+L65*('2.3 Expenses'!K88+'2.3 Expenses'!K90))</f>
        <v>409142.6451837506</v>
      </c>
      <c r="M93" s="955">
        <f>IF(pshare&lt;1,M212,M64*('2.3 Expenses'!L62+'2.3 Expenses'!L64)+M65*('2.3 Expenses'!L88+'2.3 Expenses'!L90))</f>
        <v>412430.6136861667</v>
      </c>
      <c r="N93" s="955">
        <f>IF(pshare&lt;1,N212,N64*('2.3 Expenses'!M62+'2.3 Expenses'!M64)+N65*('2.3 Expenses'!M88+'2.3 Expenses'!M90))</f>
        <v>420942.12384256837</v>
      </c>
      <c r="O93" s="663"/>
      <c r="P93" s="955">
        <f>'5. Financials'!H93</f>
        <v>0</v>
      </c>
      <c r="Q93" s="955">
        <f>'5. Financials'!I93</f>
        <v>86638.686051249024</v>
      </c>
      <c r="R93" s="955">
        <f>'5. Financials'!J93</f>
        <v>202595.31750252101</v>
      </c>
      <c r="S93" s="955">
        <f>'5. Financials'!K93</f>
        <v>290994.25692832656</v>
      </c>
      <c r="T93" s="955">
        <f>'5. Financials'!L93</f>
        <v>363369.42987766227</v>
      </c>
      <c r="U93" s="955">
        <f>'5. Financials'!M93</f>
        <v>438882.65213077783</v>
      </c>
      <c r="V93" s="663"/>
      <c r="W93" s="1942">
        <f t="shared" ref="W93:AB93" si="24">(P93*DVAOwnership)+(AK93*pshare)-(I93*pshare)</f>
        <v>0</v>
      </c>
      <c r="X93" s="1942">
        <f t="shared" si="24"/>
        <v>51983.211630749429</v>
      </c>
      <c r="Y93" s="1942">
        <f t="shared" si="24"/>
        <v>121557.19050151261</v>
      </c>
      <c r="Z93" s="1942">
        <f t="shared" si="24"/>
        <v>174596.55415699593</v>
      </c>
      <c r="AA93" s="1942">
        <f t="shared" si="24"/>
        <v>218021.6579265974</v>
      </c>
      <c r="AB93" s="1942">
        <f t="shared" si="24"/>
        <v>263329.59127846669</v>
      </c>
      <c r="AC93" s="358"/>
      <c r="AD93" s="1721"/>
      <c r="AE93" s="364">
        <f>J93-AL93</f>
        <v>0</v>
      </c>
      <c r="AF93" s="364">
        <f>K93-AM93</f>
        <v>0</v>
      </c>
      <c r="AG93" s="364">
        <f>L93-AN93</f>
        <v>0</v>
      </c>
      <c r="AH93" s="364">
        <f>M93-AO93</f>
        <v>0</v>
      </c>
      <c r="AI93" s="364">
        <f>N93-AP93</f>
        <v>0</v>
      </c>
      <c r="AJ93" s="659"/>
      <c r="AK93" s="659"/>
      <c r="AL93" s="2028">
        <f>IF(Type="DeNovo", IF(pshare&lt;1,AL212,AL64*('2.3 Expenses'!N62+'2.3 Expenses'!N64)+AL65*('2.3 Expenses'!N88+'2.3 Expenses'!N90)),0)</f>
        <v>403440.20000000007</v>
      </c>
      <c r="AM93" s="2028">
        <f>IF(Type="DeNovo", IF(pshare&lt;1,AM212,AM64*('2.3 Expenses'!O62+'2.3 Expenses'!O64)+AM65*('2.3 Expenses'!O88+'2.3 Expenses'!O90)),0)</f>
        <v>405928.01891482883</v>
      </c>
      <c r="AN93" s="2028">
        <f>IF(Type="DeNovo", IF(pshare&lt;1,AN212,AN64*('2.3 Expenses'!P62+'2.3 Expenses'!P64)+AN65*('2.3 Expenses'!P88+'2.3 Expenses'!P90)),0)</f>
        <v>409142.6451837506</v>
      </c>
      <c r="AO93" s="2028">
        <f>IF(Type="DeNovo", IF(pshare&lt;1,AO212,AO64*('2.3 Expenses'!Q62+'2.3 Expenses'!Q64)+AO65*('2.3 Expenses'!Q88+'2.3 Expenses'!Q90)),0)</f>
        <v>412430.6136861667</v>
      </c>
      <c r="AP93" s="2028">
        <f>IF(Type="DeNovo", IF(pshare&lt;1,AP212,AP64*('2.3 Expenses'!R62+'2.3 Expenses'!R64)+AP65*('2.3 Expenses'!R88+'2.3 Expenses'!R90)),0)</f>
        <v>420942.12384256837</v>
      </c>
      <c r="AR93" s="364">
        <f t="shared" si="23"/>
        <v>0</v>
      </c>
      <c r="AS93" s="364">
        <f t="shared" si="23"/>
        <v>490078.88605124911</v>
      </c>
      <c r="AT93" s="364">
        <f t="shared" si="23"/>
        <v>608523.33641734987</v>
      </c>
      <c r="AU93" s="364">
        <f t="shared" si="23"/>
        <v>700136.90211207722</v>
      </c>
      <c r="AV93" s="364">
        <f t="shared" si="23"/>
        <v>775800.04356382904</v>
      </c>
      <c r="AW93" s="364">
        <f t="shared" si="23"/>
        <v>859824.7759733462</v>
      </c>
    </row>
    <row r="94" spans="1:50">
      <c r="B94" s="664"/>
      <c r="E94" s="663" t="s">
        <v>3513</v>
      </c>
      <c r="I94" s="659"/>
      <c r="J94" s="954">
        <f>SUM(J77:J80,J85:J86,J92:J93)</f>
        <v>2912781.059219555</v>
      </c>
      <c r="K94" s="954">
        <f>SUM(K77:K80,K85:K86,K92:K93)</f>
        <v>2977337.2422116348</v>
      </c>
      <c r="L94" s="954">
        <f>SUM(L77:L80,L85:L86,L92:L93)</f>
        <v>3044332.0461501386</v>
      </c>
      <c r="M94" s="954">
        <f>SUM(M77:M80,M85:M86,M92:M93)</f>
        <v>3113160.3555756379</v>
      </c>
      <c r="N94" s="954">
        <f>SUM(N77:N80,N85:N86,N92:N93)</f>
        <v>3189022.1099646967</v>
      </c>
      <c r="O94" s="663"/>
      <c r="P94" s="954">
        <f>'5. Financials'!H94</f>
        <v>264648.14604055602</v>
      </c>
      <c r="Q94" s="954">
        <f>'5. Financials'!I94</f>
        <v>1354641.0289964976</v>
      </c>
      <c r="R94" s="954">
        <f>'5. Financials'!J94</f>
        <v>2247912.9662057795</v>
      </c>
      <c r="S94" s="954">
        <f>'5. Financials'!K94</f>
        <v>3042986.8788005724</v>
      </c>
      <c r="T94" s="954">
        <f>'5. Financials'!L94</f>
        <v>3731705.7454272597</v>
      </c>
      <c r="U94" s="954">
        <f>'5. Financials'!M94</f>
        <v>4326180.1277862256</v>
      </c>
      <c r="V94" s="663"/>
      <c r="W94" s="954">
        <f t="shared" ref="W94:AB94" si="25">SUM(W77:W80,W85:W86,W92:W93)</f>
        <v>158788.88762433358</v>
      </c>
      <c r="X94" s="954">
        <f t="shared" si="25"/>
        <v>812784.61739789858</v>
      </c>
      <c r="Y94" s="954">
        <f t="shared" si="25"/>
        <v>1348747.7797234673</v>
      </c>
      <c r="Z94" s="954">
        <f t="shared" si="25"/>
        <v>1825792.1272803431</v>
      </c>
      <c r="AA94" s="954">
        <f t="shared" si="25"/>
        <v>2239023.4472563555</v>
      </c>
      <c r="AB94" s="954">
        <f t="shared" si="25"/>
        <v>2595708.0766717358</v>
      </c>
      <c r="AC94" s="358"/>
      <c r="AD94" s="1721"/>
      <c r="AE94" s="954">
        <f>SUM(AE77:AE80,AE85:AE86,AE92:AE93)</f>
        <v>0</v>
      </c>
      <c r="AF94" s="954">
        <f>SUM(AF77:AF80,AF85:AF86,AF92:AF93)</f>
        <v>0</v>
      </c>
      <c r="AG94" s="954">
        <f>SUM(AG77:AG80,AG85:AG86,AG92:AG93)</f>
        <v>0</v>
      </c>
      <c r="AH94" s="954">
        <f>SUM(AH77:AH80,AH85:AH86,AH92:AH93)</f>
        <v>0</v>
      </c>
      <c r="AI94" s="954">
        <f>SUM(AI77:AI80,AI85:AI86,AI92:AI93)</f>
        <v>0</v>
      </c>
      <c r="AK94" s="659"/>
      <c r="AL94" s="954">
        <f>SUM(AL77:AL80,AL85:AL86,AL92:AL93)</f>
        <v>2912781.059219555</v>
      </c>
      <c r="AM94" s="954">
        <f>SUM(AM77:AM80,AM85:AM86,AM92:AM93)</f>
        <v>2977337.2422116348</v>
      </c>
      <c r="AN94" s="954">
        <f>SUM(AN77:AN80,AN85:AN86,AN92:AN93)</f>
        <v>3044332.0461501386</v>
      </c>
      <c r="AO94" s="954">
        <f>SUM(AO77:AO80,AO85:AO86,AO92:AO93)</f>
        <v>3113160.3555756379</v>
      </c>
      <c r="AP94" s="954">
        <f>SUM(AP77:AP80,AP85:AP86,AP92:AP93)</f>
        <v>3189022.1099646967</v>
      </c>
      <c r="AR94" s="359">
        <f t="shared" si="23"/>
        <v>264648.14604055602</v>
      </c>
      <c r="AS94" s="359">
        <f t="shared" si="23"/>
        <v>4267422.0882160524</v>
      </c>
      <c r="AT94" s="359">
        <f t="shared" si="23"/>
        <v>5225250.2084174138</v>
      </c>
      <c r="AU94" s="359">
        <f t="shared" si="23"/>
        <v>6087318.9249507114</v>
      </c>
      <c r="AV94" s="359">
        <f t="shared" si="23"/>
        <v>6844866.1010028981</v>
      </c>
      <c r="AW94" s="359">
        <f t="shared" si="23"/>
        <v>7515202.2377509223</v>
      </c>
    </row>
    <row r="95" spans="1:50">
      <c r="B95" s="664"/>
      <c r="I95" s="659"/>
      <c r="J95" s="954"/>
      <c r="K95" s="954"/>
      <c r="L95" s="954"/>
      <c r="M95" s="954"/>
      <c r="N95" s="954"/>
      <c r="AC95" s="358"/>
    </row>
    <row r="96" spans="1:50" s="363" customFormat="1">
      <c r="A96" s="663"/>
      <c r="B96" s="664"/>
      <c r="C96" s="663"/>
      <c r="D96" s="663"/>
      <c r="E96" s="663" t="s">
        <v>3528</v>
      </c>
      <c r="F96" s="663"/>
      <c r="G96" s="663"/>
      <c r="I96" s="659"/>
      <c r="J96" s="954">
        <f>J69-J94</f>
        <v>792827.34017040161</v>
      </c>
      <c r="K96" s="954">
        <f>K69-K94</f>
        <v>749495.46391013777</v>
      </c>
      <c r="L96" s="954">
        <f>L69-L94</f>
        <v>710632.4193114778</v>
      </c>
      <c r="M96" s="954">
        <f>M69-M94</f>
        <v>670582.8996906383</v>
      </c>
      <c r="N96" s="954">
        <f>N69-N94</f>
        <v>674236.10196823068</v>
      </c>
      <c r="O96" s="663"/>
      <c r="P96" s="359">
        <f>'5. Financials'!H96</f>
        <v>-264648.14604055602</v>
      </c>
      <c r="Q96" s="359">
        <f>'5. Financials'!I96</f>
        <v>-271657.45335588488</v>
      </c>
      <c r="R96" s="359">
        <f>'5. Financials'!J96</f>
        <v>284528.50257573323</v>
      </c>
      <c r="S96" s="359">
        <f>'5. Financials'!K96</f>
        <v>594441.33280350966</v>
      </c>
      <c r="T96" s="359">
        <f>'5. Financials'!L96</f>
        <v>810412.12804351887</v>
      </c>
      <c r="U96" s="359">
        <f>'5. Financials'!M96</f>
        <v>1159853.0238484973</v>
      </c>
      <c r="V96" s="663"/>
      <c r="W96" s="359">
        <f t="shared" ref="W96:AB98" si="26">(P96*DVAOwnership)+(AK96*pshare)-(I96*pshare)</f>
        <v>-158788.88762433361</v>
      </c>
      <c r="X96" s="359">
        <f t="shared" si="26"/>
        <v>-162994.4720135309</v>
      </c>
      <c r="Y96" s="359">
        <f t="shared" si="26"/>
        <v>170717.10154543992</v>
      </c>
      <c r="Z96" s="359">
        <f t="shared" si="26"/>
        <v>356664.79968210577</v>
      </c>
      <c r="AA96" s="359">
        <f t="shared" si="26"/>
        <v>486247.27682611137</v>
      </c>
      <c r="AB96" s="359">
        <f t="shared" si="26"/>
        <v>695911.81430909852</v>
      </c>
      <c r="AC96" s="362"/>
      <c r="AD96" s="1721"/>
      <c r="AE96" s="954">
        <f t="shared" ref="AE96:AI98" si="27">(J96-AL96)*pshare</f>
        <v>0</v>
      </c>
      <c r="AF96" s="954">
        <f t="shared" si="27"/>
        <v>0</v>
      </c>
      <c r="AG96" s="954">
        <f t="shared" si="27"/>
        <v>0</v>
      </c>
      <c r="AH96" s="954">
        <f t="shared" si="27"/>
        <v>0</v>
      </c>
      <c r="AI96" s="954">
        <f t="shared" si="27"/>
        <v>0</v>
      </c>
      <c r="AJ96" s="954"/>
      <c r="AK96" s="954"/>
      <c r="AL96" s="954">
        <f>AL69-AL94</f>
        <v>792827.34017040161</v>
      </c>
      <c r="AM96" s="954">
        <f>AM69-AM94</f>
        <v>749495.46391013777</v>
      </c>
      <c r="AN96" s="954">
        <f>AN69-AN94</f>
        <v>710632.4193114778</v>
      </c>
      <c r="AO96" s="954">
        <f>AO69-AO94</f>
        <v>670582.8996906383</v>
      </c>
      <c r="AP96" s="954">
        <f>AP69-AP94</f>
        <v>674236.10196823068</v>
      </c>
      <c r="AQ96" s="1721"/>
      <c r="AR96" s="359">
        <f t="shared" ref="AR96:AW99" si="28">P96+AK96</f>
        <v>-264648.14604055602</v>
      </c>
      <c r="AS96" s="359">
        <f t="shared" si="28"/>
        <v>521169.88681451674</v>
      </c>
      <c r="AT96" s="359">
        <f t="shared" si="28"/>
        <v>1034023.966485871</v>
      </c>
      <c r="AU96" s="359">
        <f t="shared" si="28"/>
        <v>1305073.7521149875</v>
      </c>
      <c r="AV96" s="359">
        <f t="shared" si="28"/>
        <v>1480995.0277341572</v>
      </c>
      <c r="AW96" s="359">
        <f t="shared" si="28"/>
        <v>1834089.125816728</v>
      </c>
    </row>
    <row r="97" spans="1:49">
      <c r="B97" s="664"/>
      <c r="E97" s="663" t="s">
        <v>3927</v>
      </c>
      <c r="I97" s="659"/>
      <c r="J97" s="659">
        <f>'1.2 EssPL'!$G$166+IF((J53+J45)&gt;0,'1.2 EssPL'!$G$169,0)</f>
        <v>146222.12</v>
      </c>
      <c r="K97" s="659">
        <f>'1.2 EssPL'!$G$166+IF((K53+K45)&gt;0,'1.2 EssPL'!$G$169,0)</f>
        <v>146222.12</v>
      </c>
      <c r="L97" s="659">
        <f>'1.2 EssPL'!$G$166+IF((L53+L45)&gt;0,'1.2 EssPL'!$G$169,0)</f>
        <v>146222.12</v>
      </c>
      <c r="M97" s="659">
        <f>'1.2 EssPL'!$G$166+IF((M53+M45)&gt;0,'1.2 EssPL'!$G$169,0)</f>
        <v>146222.12</v>
      </c>
      <c r="N97" s="659">
        <f>'1.2 EssPL'!$G$166+IF((N53+N45)&gt;0,'1.2 EssPL'!$G$169,0)</f>
        <v>146222.12</v>
      </c>
      <c r="O97" s="663"/>
      <c r="P97" s="366">
        <f>'5. Financials'!H97</f>
        <v>0</v>
      </c>
      <c r="Q97" s="366">
        <f>'5. Financials'!I97</f>
        <v>157913.01833333334</v>
      </c>
      <c r="R97" s="366">
        <f>'5. Financials'!J97</f>
        <v>171012.69988095236</v>
      </c>
      <c r="S97" s="366">
        <f>'5. Financials'!K97</f>
        <v>184107.86119047616</v>
      </c>
      <c r="T97" s="366">
        <f>'5. Financials'!L97</f>
        <v>194921.24278571428</v>
      </c>
      <c r="U97" s="366">
        <f>'5. Financials'!M97</f>
        <v>204808.37210857141</v>
      </c>
      <c r="V97" s="663"/>
      <c r="W97" s="366">
        <f t="shared" si="26"/>
        <v>0</v>
      </c>
      <c r="X97" s="366">
        <f t="shared" si="26"/>
        <v>94747.810999999987</v>
      </c>
      <c r="Y97" s="366">
        <f t="shared" si="26"/>
        <v>102607.6199285714</v>
      </c>
      <c r="Z97" s="366">
        <f t="shared" si="26"/>
        <v>110464.71671428569</v>
      </c>
      <c r="AA97" s="366">
        <f t="shared" si="26"/>
        <v>116952.74567142857</v>
      </c>
      <c r="AB97" s="366">
        <f t="shared" si="26"/>
        <v>122885.02326514284</v>
      </c>
      <c r="AC97" s="358"/>
      <c r="AD97" s="1721"/>
      <c r="AE97" s="659">
        <f t="shared" si="27"/>
        <v>0</v>
      </c>
      <c r="AF97" s="659">
        <f t="shared" si="27"/>
        <v>0</v>
      </c>
      <c r="AG97" s="659">
        <f t="shared" si="27"/>
        <v>0</v>
      </c>
      <c r="AH97" s="659">
        <f t="shared" si="27"/>
        <v>0</v>
      </c>
      <c r="AI97" s="659">
        <f t="shared" si="27"/>
        <v>0</v>
      </c>
      <c r="AJ97" s="659"/>
      <c r="AK97" s="659"/>
      <c r="AL97" s="659">
        <f>IF(Type="DeNovo",'1.2 EssPL'!$G$166+IF(AL53+AL45&gt;0,'1.2 EssPL'!$G$169,0),0)</f>
        <v>146222.12</v>
      </c>
      <c r="AM97" s="659">
        <f>IF(Type="DeNovo",'1.2 EssPL'!$G$166+IF(AM53+AM45&gt;0,'1.2 EssPL'!$G$169,0),0)</f>
        <v>146222.12</v>
      </c>
      <c r="AN97" s="659">
        <f>IF(Type="DeNovo",'1.2 EssPL'!$G$166+IF(AN53+AN45&gt;0,'1.2 EssPL'!$G$169,0),0)</f>
        <v>146222.12</v>
      </c>
      <c r="AO97" s="659">
        <f>IF(Type="DeNovo",'1.2 EssPL'!$G$166+IF(AO53+AO45&gt;0,'1.2 EssPL'!$G$169,0),0)</f>
        <v>146222.12</v>
      </c>
      <c r="AP97" s="659">
        <f>IF(Type="DeNovo",'1.2 EssPL'!$G$166+IF(AP53+AP45&gt;0,'1.2 EssPL'!$G$169,0),0)</f>
        <v>146222.12</v>
      </c>
      <c r="AR97" s="366">
        <f t="shared" si="28"/>
        <v>0</v>
      </c>
      <c r="AS97" s="366">
        <f t="shared" si="28"/>
        <v>304135.13833333331</v>
      </c>
      <c r="AT97" s="366">
        <f t="shared" si="28"/>
        <v>317234.81988095236</v>
      </c>
      <c r="AU97" s="366">
        <f t="shared" si="28"/>
        <v>330329.98119047616</v>
      </c>
      <c r="AV97" s="366">
        <f t="shared" si="28"/>
        <v>341143.36278571427</v>
      </c>
      <c r="AW97" s="366">
        <f t="shared" si="28"/>
        <v>351030.4921085714</v>
      </c>
    </row>
    <row r="98" spans="1:49">
      <c r="B98" s="664"/>
      <c r="E98" s="663" t="s">
        <v>1701</v>
      </c>
      <c r="I98" s="659"/>
      <c r="J98" s="955">
        <f>'1.2 EssPL'!$G$167+IF((J53+J45)&gt;0,'1.2 EssPL'!$G$170,0)</f>
        <v>0</v>
      </c>
      <c r="K98" s="955">
        <f>'1.2 EssPL'!$G$167+IF((K53+K45)&gt;0,'1.2 EssPL'!$G$170,0)</f>
        <v>0</v>
      </c>
      <c r="L98" s="955">
        <f>'1.2 EssPL'!$G$167+IF((L53+L45)&gt;0,'1.2 EssPL'!$G$170,0)</f>
        <v>0</v>
      </c>
      <c r="M98" s="955">
        <f>'1.2 EssPL'!$G$167+IF((M53+M45)&gt;0,'1.2 EssPL'!$G$170,0)</f>
        <v>0</v>
      </c>
      <c r="N98" s="955">
        <f>'1.2 EssPL'!$G$167+IF((N53+N45)&gt;0,'1.2 EssPL'!$G$170,0)</f>
        <v>0</v>
      </c>
      <c r="O98" s="663"/>
      <c r="P98" s="364">
        <f>'5. Financials'!H289</f>
        <v>0</v>
      </c>
      <c r="Q98" s="364">
        <f>'5. Financials'!I289</f>
        <v>6525</v>
      </c>
      <c r="R98" s="364">
        <f>'5. Financials'!J289</f>
        <v>6525</v>
      </c>
      <c r="S98" s="364">
        <f>'5. Financials'!K289</f>
        <v>6525</v>
      </c>
      <c r="T98" s="364">
        <f>'5. Financials'!L289</f>
        <v>6525</v>
      </c>
      <c r="U98" s="364">
        <f>'5. Financials'!M289</f>
        <v>6525</v>
      </c>
      <c r="V98" s="663"/>
      <c r="W98" s="364">
        <f t="shared" si="26"/>
        <v>0</v>
      </c>
      <c r="X98" s="364">
        <f t="shared" si="26"/>
        <v>3915</v>
      </c>
      <c r="Y98" s="364">
        <f t="shared" si="26"/>
        <v>3915</v>
      </c>
      <c r="Z98" s="364">
        <f t="shared" si="26"/>
        <v>3915</v>
      </c>
      <c r="AA98" s="364">
        <f t="shared" si="26"/>
        <v>3915</v>
      </c>
      <c r="AB98" s="364">
        <f t="shared" si="26"/>
        <v>3915</v>
      </c>
      <c r="AC98" s="358"/>
      <c r="AD98" s="1721"/>
      <c r="AE98" s="955">
        <f t="shared" si="27"/>
        <v>0</v>
      </c>
      <c r="AF98" s="955">
        <f t="shared" si="27"/>
        <v>0</v>
      </c>
      <c r="AG98" s="955">
        <f t="shared" si="27"/>
        <v>0</v>
      </c>
      <c r="AH98" s="955">
        <f t="shared" si="27"/>
        <v>0</v>
      </c>
      <c r="AI98" s="955">
        <f t="shared" si="27"/>
        <v>0</v>
      </c>
      <c r="AJ98" s="659"/>
      <c r="AK98" s="659"/>
      <c r="AL98" s="2230">
        <f>IF(Type="DeNovo",'1.2 EssPL'!$G$167+IF(AL$53+AL$45&gt;0,'1.2 EssPL'!$G$170,0),0)</f>
        <v>0</v>
      </c>
      <c r="AM98" s="2230">
        <f>IF(Type="DeNovo",'1.2 EssPL'!$G$167+IF(AM$53+AM$45&gt;0,'1.2 EssPL'!$G$170,0),0)</f>
        <v>0</v>
      </c>
      <c r="AN98" s="2230">
        <f>IF(Type="DeNovo",'1.2 EssPL'!$G$167+IF(AN$53+AN$45&gt;0,'1.2 EssPL'!$G$170,0),0)</f>
        <v>0</v>
      </c>
      <c r="AO98" s="2230">
        <f>IF(Type="DeNovo",'1.2 EssPL'!$G$167+IF(AO$53+AO$45&gt;0,'1.2 EssPL'!$G$170,0),0)</f>
        <v>0</v>
      </c>
      <c r="AP98" s="2230">
        <f>IF(Type="DeNovo",'1.2 EssPL'!$G$167+IF(AP$53+AP$45&gt;0,'1.2 EssPL'!$G$170,0),0)</f>
        <v>0</v>
      </c>
      <c r="AR98" s="364">
        <f t="shared" si="28"/>
        <v>0</v>
      </c>
      <c r="AS98" s="364">
        <f t="shared" si="28"/>
        <v>6525</v>
      </c>
      <c r="AT98" s="364">
        <f t="shared" si="28"/>
        <v>6525</v>
      </c>
      <c r="AU98" s="364">
        <f t="shared" si="28"/>
        <v>6525</v>
      </c>
      <c r="AV98" s="364">
        <f t="shared" si="28"/>
        <v>6525</v>
      </c>
      <c r="AW98" s="364">
        <f t="shared" si="28"/>
        <v>6525</v>
      </c>
    </row>
    <row r="99" spans="1:49" s="363" customFormat="1" ht="12" thickBot="1">
      <c r="A99" s="663"/>
      <c r="B99" s="664"/>
      <c r="C99" s="663"/>
      <c r="D99" s="663"/>
      <c r="E99" s="663" t="s">
        <v>3527</v>
      </c>
      <c r="F99" s="663"/>
      <c r="G99" s="663"/>
      <c r="I99" s="1145"/>
      <c r="J99" s="1313">
        <f>J96-J97-J98</f>
        <v>646605.22017040162</v>
      </c>
      <c r="K99" s="1313">
        <f>K96-K97-K98</f>
        <v>603273.34391013777</v>
      </c>
      <c r="L99" s="1313">
        <f>L96-L97-L98</f>
        <v>564410.29931147781</v>
      </c>
      <c r="M99" s="1313">
        <f>M96-M97-M98</f>
        <v>524360.7796906383</v>
      </c>
      <c r="N99" s="1313">
        <f>N96-N97-N98</f>
        <v>528013.98196823068</v>
      </c>
      <c r="O99" s="663"/>
      <c r="P99" s="369">
        <f>'5. Financials'!H99</f>
        <v>-264648.14604055602</v>
      </c>
      <c r="Q99" s="369">
        <f>'5. Financials'!I99</f>
        <v>-436095.47168921819</v>
      </c>
      <c r="R99" s="369">
        <f>'5. Financials'!J99</f>
        <v>106990.80269478087</v>
      </c>
      <c r="S99" s="369">
        <f>'5. Financials'!K99</f>
        <v>403808.4716130335</v>
      </c>
      <c r="T99" s="369">
        <f>'5. Financials'!L99</f>
        <v>608965.88525780453</v>
      </c>
      <c r="U99" s="369">
        <f>'5. Financials'!M99</f>
        <v>948519.65173992584</v>
      </c>
      <c r="V99" s="663"/>
      <c r="W99" s="1313">
        <f t="shared" ref="W99:AB99" si="29">W96-W97-W98</f>
        <v>-158788.88762433361</v>
      </c>
      <c r="X99" s="1313">
        <f t="shared" si="29"/>
        <v>-261657.28301353089</v>
      </c>
      <c r="Y99" s="1313">
        <f t="shared" si="29"/>
        <v>64194.481616868521</v>
      </c>
      <c r="Z99" s="1313">
        <f t="shared" si="29"/>
        <v>242285.08296782008</v>
      </c>
      <c r="AA99" s="1313">
        <f t="shared" si="29"/>
        <v>365379.5311546828</v>
      </c>
      <c r="AB99" s="1313">
        <f t="shared" si="29"/>
        <v>569111.79104395572</v>
      </c>
      <c r="AC99" s="362"/>
      <c r="AD99" s="1721"/>
      <c r="AE99" s="1313">
        <f>AE96-AE97-AE98</f>
        <v>0</v>
      </c>
      <c r="AF99" s="1313">
        <f>AF96-AF97-AF98</f>
        <v>0</v>
      </c>
      <c r="AG99" s="1313">
        <f>AG96-AG97-AG98</f>
        <v>0</v>
      </c>
      <c r="AH99" s="1313">
        <f>AH96-AH97-AH98</f>
        <v>0</v>
      </c>
      <c r="AI99" s="1313">
        <f>AI96-AI97-AI98</f>
        <v>0</v>
      </c>
      <c r="AJ99" s="1145"/>
      <c r="AK99" s="1145"/>
      <c r="AL99" s="1313">
        <f>AL96-AL97-AL98</f>
        <v>646605.22017040162</v>
      </c>
      <c r="AM99" s="1313">
        <f>AM96-AM97-AM98</f>
        <v>603273.34391013777</v>
      </c>
      <c r="AN99" s="1313">
        <f>AN96-AN97-AN98</f>
        <v>564410.29931147781</v>
      </c>
      <c r="AO99" s="1313">
        <f>AO96-AO97-AO98</f>
        <v>524360.7796906383</v>
      </c>
      <c r="AP99" s="1313">
        <f>AP96-AP97-AP98</f>
        <v>528013.98196823068</v>
      </c>
      <c r="AQ99" s="1721"/>
      <c r="AR99" s="369">
        <f t="shared" si="28"/>
        <v>-264648.14604055602</v>
      </c>
      <c r="AS99" s="369">
        <f t="shared" si="28"/>
        <v>210509.74848118343</v>
      </c>
      <c r="AT99" s="369">
        <f t="shared" si="28"/>
        <v>710264.14660491864</v>
      </c>
      <c r="AU99" s="369">
        <f t="shared" si="28"/>
        <v>968218.77092451137</v>
      </c>
      <c r="AV99" s="369">
        <f t="shared" si="28"/>
        <v>1133326.664948443</v>
      </c>
      <c r="AW99" s="369">
        <f t="shared" si="28"/>
        <v>1476533.6337081566</v>
      </c>
    </row>
    <row r="100" spans="1:49" ht="12" thickTop="1">
      <c r="B100" s="664"/>
      <c r="I100" s="659"/>
      <c r="AC100" s="358"/>
      <c r="AK100" s="659"/>
    </row>
    <row r="101" spans="1:49">
      <c r="B101" s="664"/>
      <c r="I101" s="659"/>
      <c r="AC101" s="358"/>
    </row>
    <row r="102" spans="1:49">
      <c r="B102" s="664"/>
      <c r="D102" s="666" t="s">
        <v>1703</v>
      </c>
      <c r="I102" s="659"/>
      <c r="P102" s="954"/>
      <c r="Q102" s="954"/>
      <c r="R102" s="954"/>
      <c r="S102" s="954"/>
      <c r="T102" s="954"/>
      <c r="U102" s="954"/>
      <c r="AC102" s="358"/>
    </row>
    <row r="103" spans="1:49">
      <c r="B103" s="664"/>
      <c r="I103" s="659"/>
      <c r="P103" s="954"/>
      <c r="Q103" s="954"/>
      <c r="R103" s="954"/>
      <c r="S103" s="954"/>
      <c r="T103" s="954"/>
      <c r="U103" s="954"/>
      <c r="AC103" s="358"/>
    </row>
    <row r="104" spans="1:49" s="363" customFormat="1">
      <c r="A104" s="663"/>
      <c r="B104" s="664"/>
      <c r="C104" s="663"/>
      <c r="D104" s="368"/>
      <c r="E104" s="363" t="s">
        <v>2169</v>
      </c>
      <c r="F104" s="368"/>
      <c r="G104" s="663"/>
      <c r="I104" s="1145"/>
      <c r="J104" s="363">
        <f>IF(J$66=0,0,J69/J$66)</f>
        <v>339.34142851556379</v>
      </c>
      <c r="K104" s="363">
        <f>IF(K$66=0,0,K69/K$66)</f>
        <v>341.28504634814766</v>
      </c>
      <c r="L104" s="363">
        <f>IF(L$66=0,0,L69/L$66)</f>
        <v>343.86121478586233</v>
      </c>
      <c r="M104" s="363">
        <f>IF(M$66=0,0,M69/M$66)</f>
        <v>346.49663509764434</v>
      </c>
      <c r="N104" s="363">
        <f>IF(N$66=0,0,N69/N$66)</f>
        <v>353.77822453598236</v>
      </c>
      <c r="Q104" s="363">
        <f>IF(Q$66=0,0,Q69/Q$66)</f>
        <v>348.28558424445731</v>
      </c>
      <c r="R104" s="363">
        <f>IF(R$66=0,0,R69/R$66)</f>
        <v>333.45861775496024</v>
      </c>
      <c r="S104" s="363">
        <f>IF(S$66=0,0,S69/S$66)</f>
        <v>328.60042919337042</v>
      </c>
      <c r="T104" s="363">
        <f>IF(T$66=0,0,T69/T$66)</f>
        <v>327.55401839798941</v>
      </c>
      <c r="U104" s="363">
        <f>IF(U$66=0,0,U69/U$66)</f>
        <v>339.52374449443681</v>
      </c>
      <c r="X104" s="363">
        <f>IF(X$66=0,0,X69/X$66)</f>
        <v>348.28558424445737</v>
      </c>
      <c r="Y104" s="363">
        <f>IF(Y$66=0,0,Y69/Y$66)</f>
        <v>333.45861775496024</v>
      </c>
      <c r="Z104" s="363">
        <f>IF(Z$66=0,0,Z69/Z$66)</f>
        <v>328.60042919337047</v>
      </c>
      <c r="AA104" s="363">
        <f>IF(AA$66=0,0,AA69/AA$66)</f>
        <v>327.5540183979893</v>
      </c>
      <c r="AB104" s="363">
        <f>IF(AB$66=0,0,AB69/AB$66)</f>
        <v>339.52374449443676</v>
      </c>
      <c r="AC104" s="362"/>
      <c r="AD104" s="1721"/>
      <c r="AE104" s="363">
        <f>IF(AE$66=0,0,AE69/AE$66)</f>
        <v>0</v>
      </c>
      <c r="AF104" s="363">
        <f>IF(AF$66=0,0,AF69/AF$66)</f>
        <v>0</v>
      </c>
      <c r="AG104" s="363">
        <f>IF(AG$66=0,0,AG69/AG$66)</f>
        <v>0</v>
      </c>
      <c r="AH104" s="363">
        <f>IF(AH$66=0,0,AH69/AH$66)</f>
        <v>0</v>
      </c>
      <c r="AI104" s="363">
        <f>IF(AI$66=0,0,AI69/AI$66)</f>
        <v>0</v>
      </c>
      <c r="AJ104" s="1721"/>
      <c r="AK104" s="1721"/>
      <c r="AL104" s="1721">
        <f>IF(AL$66=0,0,AL69/AL$66)</f>
        <v>339.34142851556379</v>
      </c>
      <c r="AM104" s="1721">
        <f>IF(AM$66=0,0,AM69/AM$66)</f>
        <v>341.28504634814766</v>
      </c>
      <c r="AN104" s="1721">
        <f>IF(AN$66=0,0,AN69/AN$66)</f>
        <v>343.86121478586233</v>
      </c>
      <c r="AO104" s="1721">
        <f>IF(AO$66=0,0,AO69/AO$66)</f>
        <v>346.49663509764434</v>
      </c>
      <c r="AP104" s="1721">
        <f>IF(AP$66=0,0,AP69/AP$66)</f>
        <v>353.77822453598236</v>
      </c>
      <c r="AQ104" s="1721"/>
      <c r="AS104" s="363">
        <f>IF(AS$66=0,0,AS69/AS$66)</f>
        <v>341.32379733735985</v>
      </c>
      <c r="AT104" s="363">
        <f>IF(AT$66=0,0,AT69/AT$66)</f>
        <v>338.07471533904487</v>
      </c>
      <c r="AU104" s="363">
        <f>IF(AU$66=0,0,AU69/AU$66)</f>
        <v>336.1789601773865</v>
      </c>
      <c r="AV104" s="363">
        <f>IF(AV$66=0,0,AV69/AV$66)</f>
        <v>335.89933053965501</v>
      </c>
      <c r="AW104" s="363">
        <f>IF(AW$66=0,0,AW69/AW$66)</f>
        <v>345.27227755966879</v>
      </c>
    </row>
    <row r="105" spans="1:49">
      <c r="B105" s="664"/>
      <c r="D105" s="366"/>
      <c r="E105" s="359"/>
      <c r="F105" s="366"/>
      <c r="I105" s="659"/>
      <c r="AC105" s="358"/>
    </row>
    <row r="106" spans="1:49" outlineLevel="1">
      <c r="B106" s="664"/>
      <c r="D106" s="366"/>
      <c r="E106" s="359" t="s">
        <v>1698</v>
      </c>
      <c r="F106" s="366"/>
      <c r="I106" s="659"/>
      <c r="AC106" s="358"/>
    </row>
    <row r="107" spans="1:49" outlineLevel="1">
      <c r="B107" s="664"/>
      <c r="D107" s="366"/>
      <c r="E107" s="359"/>
      <c r="F107" s="366" t="s">
        <v>2651</v>
      </c>
      <c r="I107" s="659"/>
      <c r="J107" s="359">
        <f t="shared" ref="J107:N113" si="30">IF(J$66=0,0,J73/J$66)</f>
        <v>42.527236057288853</v>
      </c>
      <c r="K107" s="359">
        <f t="shared" si="30"/>
        <v>43.803053139007517</v>
      </c>
      <c r="L107" s="359">
        <f t="shared" si="30"/>
        <v>45.117144733177746</v>
      </c>
      <c r="M107" s="359">
        <f t="shared" si="30"/>
        <v>46.470659075173081</v>
      </c>
      <c r="N107" s="359">
        <f t="shared" si="30"/>
        <v>47.864778847428276</v>
      </c>
      <c r="Q107" s="359">
        <f t="shared" ref="Q107:U113" si="31">IF(Q$66=0,0,Q73/Q$66)</f>
        <v>69.786812543616747</v>
      </c>
      <c r="R107" s="359">
        <f t="shared" si="31"/>
        <v>44.824062771990675</v>
      </c>
      <c r="S107" s="359">
        <f t="shared" si="31"/>
        <v>41.259247292173619</v>
      </c>
      <c r="T107" s="359">
        <f t="shared" si="31"/>
        <v>40.543532400287745</v>
      </c>
      <c r="U107" s="359">
        <f t="shared" si="31"/>
        <v>40.33798387309092</v>
      </c>
      <c r="X107" s="359">
        <f t="shared" ref="X107:AB113" si="32">IF(X$66=0,0,X73/X$66)</f>
        <v>69.786812543616762</v>
      </c>
      <c r="Y107" s="359">
        <f t="shared" si="32"/>
        <v>44.824062771990675</v>
      </c>
      <c r="Z107" s="359">
        <f t="shared" si="32"/>
        <v>41.259247292173612</v>
      </c>
      <c r="AA107" s="359">
        <f t="shared" si="32"/>
        <v>40.543532400287738</v>
      </c>
      <c r="AB107" s="359">
        <f t="shared" si="32"/>
        <v>40.337983873090913</v>
      </c>
      <c r="AC107" s="358"/>
      <c r="AE107" s="359">
        <f t="shared" ref="AE107:AI113" si="33">IF(AE$66=0,0,AE73/AE$66)</f>
        <v>0</v>
      </c>
      <c r="AF107" s="359">
        <f t="shared" si="33"/>
        <v>0</v>
      </c>
      <c r="AG107" s="359">
        <f t="shared" si="33"/>
        <v>0</v>
      </c>
      <c r="AH107" s="359">
        <f t="shared" si="33"/>
        <v>0</v>
      </c>
      <c r="AI107" s="359">
        <f t="shared" si="33"/>
        <v>0</v>
      </c>
      <c r="AL107" s="954">
        <f t="shared" ref="AL107:AP113" si="34">IF(AL$66=0,0,AL73/AL$66)</f>
        <v>42.527236057288853</v>
      </c>
      <c r="AM107" s="954">
        <f t="shared" si="34"/>
        <v>43.803053139007517</v>
      </c>
      <c r="AN107" s="954">
        <f t="shared" si="34"/>
        <v>45.117144733177746</v>
      </c>
      <c r="AO107" s="954">
        <f t="shared" si="34"/>
        <v>46.470659075173081</v>
      </c>
      <c r="AP107" s="954">
        <f t="shared" si="34"/>
        <v>47.864778847428276</v>
      </c>
      <c r="AS107" s="359">
        <f t="shared" ref="AS107:AW113" si="35">IF(AS$66=0,0,AS73/AS$66)</f>
        <v>48.56900636628427</v>
      </c>
      <c r="AT107" s="359">
        <f t="shared" si="35"/>
        <v>44.221862158515059</v>
      </c>
      <c r="AU107" s="359">
        <f t="shared" si="35"/>
        <v>43.17508544562952</v>
      </c>
      <c r="AV107" s="359">
        <f t="shared" si="35"/>
        <v>43.154772599537061</v>
      </c>
      <c r="AW107" s="359">
        <f t="shared" si="35"/>
        <v>43.37338254488342</v>
      </c>
    </row>
    <row r="108" spans="1:49" outlineLevel="1">
      <c r="B108" s="664"/>
      <c r="D108" s="366"/>
      <c r="E108" s="359"/>
      <c r="F108" s="366" t="s">
        <v>2652</v>
      </c>
      <c r="I108" s="659"/>
      <c r="J108" s="359">
        <f t="shared" si="30"/>
        <v>16.258241758241759</v>
      </c>
      <c r="K108" s="359">
        <f t="shared" si="30"/>
        <v>16.74598901098901</v>
      </c>
      <c r="L108" s="359">
        <f t="shared" si="30"/>
        <v>17.248368681318684</v>
      </c>
      <c r="M108" s="359">
        <f t="shared" si="30"/>
        <v>17.765819741758243</v>
      </c>
      <c r="N108" s="359">
        <f t="shared" si="30"/>
        <v>18.298794334010989</v>
      </c>
      <c r="Q108" s="359">
        <f t="shared" si="31"/>
        <v>39.878178596352427</v>
      </c>
      <c r="R108" s="359">
        <f t="shared" si="31"/>
        <v>22.717187637847015</v>
      </c>
      <c r="S108" s="359">
        <f t="shared" si="31"/>
        <v>22.072020096138417</v>
      </c>
      <c r="T108" s="359">
        <f t="shared" si="31"/>
        <v>22.453263035805605</v>
      </c>
      <c r="U108" s="359">
        <f t="shared" si="31"/>
        <v>22.03694266617774</v>
      </c>
      <c r="X108" s="359">
        <f t="shared" si="32"/>
        <v>39.878178596352434</v>
      </c>
      <c r="Y108" s="359">
        <f t="shared" si="32"/>
        <v>22.717187637847012</v>
      </c>
      <c r="Z108" s="359">
        <f t="shared" si="32"/>
        <v>22.072020096138417</v>
      </c>
      <c r="AA108" s="359">
        <f t="shared" si="32"/>
        <v>22.453263035805598</v>
      </c>
      <c r="AB108" s="359">
        <f t="shared" si="32"/>
        <v>22.036942666177737</v>
      </c>
      <c r="AC108" s="358"/>
      <c r="AE108" s="359">
        <f t="shared" si="33"/>
        <v>0</v>
      </c>
      <c r="AF108" s="359">
        <f t="shared" si="33"/>
        <v>0</v>
      </c>
      <c r="AG108" s="359">
        <f t="shared" si="33"/>
        <v>0</v>
      </c>
      <c r="AH108" s="359">
        <f t="shared" si="33"/>
        <v>0</v>
      </c>
      <c r="AI108" s="359">
        <f t="shared" si="33"/>
        <v>0</v>
      </c>
      <c r="AL108" s="954">
        <f t="shared" si="34"/>
        <v>16.258241758241759</v>
      </c>
      <c r="AM108" s="954">
        <f t="shared" si="34"/>
        <v>16.74598901098901</v>
      </c>
      <c r="AN108" s="954">
        <f t="shared" si="34"/>
        <v>17.248368681318684</v>
      </c>
      <c r="AO108" s="954">
        <f t="shared" si="34"/>
        <v>17.765819741758243</v>
      </c>
      <c r="AP108" s="954">
        <f t="shared" si="34"/>
        <v>18.298794334010989</v>
      </c>
      <c r="AS108" s="359">
        <f t="shared" si="35"/>
        <v>21.493327973187867</v>
      </c>
      <c r="AT108" s="359">
        <f t="shared" si="35"/>
        <v>19.195321281138487</v>
      </c>
      <c r="AU108" s="359">
        <f t="shared" si="35"/>
        <v>19.676586946137981</v>
      </c>
      <c r="AV108" s="359">
        <f t="shared" si="35"/>
        <v>20.388174666261882</v>
      </c>
      <c r="AW108" s="359">
        <f t="shared" si="35"/>
        <v>20.529425785339466</v>
      </c>
    </row>
    <row r="109" spans="1:49" outlineLevel="1">
      <c r="B109" s="664"/>
      <c r="D109" s="366"/>
      <c r="E109" s="359"/>
      <c r="F109" s="366" t="s">
        <v>2653</v>
      </c>
      <c r="I109" s="659"/>
      <c r="J109" s="359">
        <f t="shared" si="30"/>
        <v>20.759042188318748</v>
      </c>
      <c r="K109" s="359">
        <f t="shared" si="30"/>
        <v>21.381813453968309</v>
      </c>
      <c r="L109" s="359">
        <f t="shared" si="30"/>
        <v>22.02326785758736</v>
      </c>
      <c r="M109" s="359">
        <f t="shared" si="30"/>
        <v>22.68396589331498</v>
      </c>
      <c r="N109" s="359">
        <f t="shared" si="30"/>
        <v>23.364484870114431</v>
      </c>
      <c r="P109" s="366"/>
      <c r="Q109" s="359">
        <f t="shared" si="31"/>
        <v>42.769346544587982</v>
      </c>
      <c r="R109" s="359">
        <f t="shared" si="31"/>
        <v>26.341087659836717</v>
      </c>
      <c r="S109" s="359">
        <f t="shared" si="31"/>
        <v>24.699194281441692</v>
      </c>
      <c r="T109" s="359">
        <f t="shared" si="31"/>
        <v>24.568750220076392</v>
      </c>
      <c r="U109" s="359">
        <f t="shared" si="31"/>
        <v>24.326221350314775</v>
      </c>
      <c r="X109" s="359">
        <f t="shared" si="32"/>
        <v>42.769346544587989</v>
      </c>
      <c r="Y109" s="359">
        <f t="shared" si="32"/>
        <v>26.341087659836717</v>
      </c>
      <c r="Z109" s="359">
        <f t="shared" si="32"/>
        <v>24.699194281441695</v>
      </c>
      <c r="AA109" s="359">
        <f t="shared" si="32"/>
        <v>24.568750220076389</v>
      </c>
      <c r="AB109" s="359">
        <f t="shared" si="32"/>
        <v>24.326221350314775</v>
      </c>
      <c r="AC109" s="358"/>
      <c r="AE109" s="359">
        <f t="shared" si="33"/>
        <v>0</v>
      </c>
      <c r="AF109" s="359">
        <f t="shared" si="33"/>
        <v>0</v>
      </c>
      <c r="AG109" s="359">
        <f t="shared" si="33"/>
        <v>0</v>
      </c>
      <c r="AH109" s="359">
        <f t="shared" si="33"/>
        <v>0</v>
      </c>
      <c r="AI109" s="359">
        <f t="shared" si="33"/>
        <v>0</v>
      </c>
      <c r="AL109" s="954">
        <f t="shared" si="34"/>
        <v>20.759042188318748</v>
      </c>
      <c r="AM109" s="954">
        <f t="shared" si="34"/>
        <v>21.381813453968309</v>
      </c>
      <c r="AN109" s="954">
        <f t="shared" si="34"/>
        <v>22.02326785758736</v>
      </c>
      <c r="AO109" s="954">
        <f t="shared" si="34"/>
        <v>22.68396589331498</v>
      </c>
      <c r="AP109" s="954">
        <f t="shared" si="34"/>
        <v>23.364484870114431</v>
      </c>
      <c r="AR109" s="366"/>
      <c r="AS109" s="359">
        <f t="shared" si="35"/>
        <v>25.637371953212821</v>
      </c>
      <c r="AT109" s="359">
        <f t="shared" si="35"/>
        <v>23.416063377311591</v>
      </c>
      <c r="AU109" s="359">
        <f t="shared" si="35"/>
        <v>23.370324860453</v>
      </c>
      <c r="AV109" s="359">
        <f t="shared" si="35"/>
        <v>23.738394320681067</v>
      </c>
      <c r="AW109" s="359">
        <f t="shared" si="35"/>
        <v>23.938373183257259</v>
      </c>
    </row>
    <row r="110" spans="1:49" outlineLevel="1">
      <c r="B110" s="664"/>
      <c r="D110" s="366"/>
      <c r="E110" s="359"/>
      <c r="F110" s="366" t="s">
        <v>2654</v>
      </c>
      <c r="I110" s="659"/>
      <c r="J110" s="364">
        <f t="shared" si="30"/>
        <v>0</v>
      </c>
      <c r="K110" s="364">
        <f t="shared" si="30"/>
        <v>0</v>
      </c>
      <c r="L110" s="364">
        <f t="shared" si="30"/>
        <v>0</v>
      </c>
      <c r="M110" s="364">
        <f t="shared" si="30"/>
        <v>0</v>
      </c>
      <c r="N110" s="364">
        <f t="shared" si="30"/>
        <v>0</v>
      </c>
      <c r="P110" s="366"/>
      <c r="Q110" s="364">
        <f t="shared" si="31"/>
        <v>0</v>
      </c>
      <c r="R110" s="364">
        <f t="shared" si="31"/>
        <v>0</v>
      </c>
      <c r="S110" s="364">
        <f t="shared" si="31"/>
        <v>0</v>
      </c>
      <c r="T110" s="364">
        <f t="shared" si="31"/>
        <v>0</v>
      </c>
      <c r="U110" s="364">
        <f t="shared" si="31"/>
        <v>0</v>
      </c>
      <c r="W110" s="366"/>
      <c r="X110" s="364">
        <f t="shared" si="32"/>
        <v>0</v>
      </c>
      <c r="Y110" s="364">
        <f t="shared" si="32"/>
        <v>0</v>
      </c>
      <c r="Z110" s="364">
        <f t="shared" si="32"/>
        <v>0</v>
      </c>
      <c r="AA110" s="364">
        <f t="shared" si="32"/>
        <v>0</v>
      </c>
      <c r="AB110" s="364">
        <f t="shared" si="32"/>
        <v>0</v>
      </c>
      <c r="AC110" s="358"/>
      <c r="AE110" s="364">
        <f t="shared" si="33"/>
        <v>0</v>
      </c>
      <c r="AF110" s="364">
        <f t="shared" si="33"/>
        <v>0</v>
      </c>
      <c r="AG110" s="364">
        <f t="shared" si="33"/>
        <v>0</v>
      </c>
      <c r="AH110" s="364">
        <f t="shared" si="33"/>
        <v>0</v>
      </c>
      <c r="AI110" s="364">
        <f t="shared" si="33"/>
        <v>0</v>
      </c>
      <c r="AJ110" s="659"/>
      <c r="AK110" s="659"/>
      <c r="AL110" s="955">
        <f t="shared" si="34"/>
        <v>0</v>
      </c>
      <c r="AM110" s="955">
        <f t="shared" si="34"/>
        <v>0</v>
      </c>
      <c r="AN110" s="955">
        <f t="shared" si="34"/>
        <v>0</v>
      </c>
      <c r="AO110" s="955">
        <f t="shared" si="34"/>
        <v>0</v>
      </c>
      <c r="AP110" s="955">
        <f t="shared" si="34"/>
        <v>0</v>
      </c>
      <c r="AR110" s="366"/>
      <c r="AS110" s="364">
        <f t="shared" si="35"/>
        <v>0</v>
      </c>
      <c r="AT110" s="364">
        <f t="shared" si="35"/>
        <v>0</v>
      </c>
      <c r="AU110" s="364">
        <f t="shared" si="35"/>
        <v>0</v>
      </c>
      <c r="AV110" s="364">
        <f t="shared" si="35"/>
        <v>0</v>
      </c>
      <c r="AW110" s="364">
        <f t="shared" si="35"/>
        <v>0</v>
      </c>
    </row>
    <row r="111" spans="1:49">
      <c r="B111" s="664"/>
      <c r="E111" s="359" t="s">
        <v>1698</v>
      </c>
      <c r="I111" s="659"/>
      <c r="J111" s="359">
        <f t="shared" si="30"/>
        <v>79.544520003849357</v>
      </c>
      <c r="K111" s="359">
        <f t="shared" si="30"/>
        <v>81.930855603964829</v>
      </c>
      <c r="L111" s="359">
        <f t="shared" si="30"/>
        <v>84.38878127208379</v>
      </c>
      <c r="M111" s="359">
        <f t="shared" si="30"/>
        <v>86.920444710246301</v>
      </c>
      <c r="N111" s="359">
        <f t="shared" si="30"/>
        <v>89.5280580515537</v>
      </c>
      <c r="P111" s="366"/>
      <c r="Q111" s="359">
        <f t="shared" si="31"/>
        <v>152.43433768455716</v>
      </c>
      <c r="R111" s="359">
        <f t="shared" si="31"/>
        <v>93.882338069674404</v>
      </c>
      <c r="S111" s="359">
        <f t="shared" si="31"/>
        <v>88.030461669753734</v>
      </c>
      <c r="T111" s="359">
        <f t="shared" si="31"/>
        <v>87.565545656169746</v>
      </c>
      <c r="U111" s="359">
        <f t="shared" si="31"/>
        <v>86.701147889583439</v>
      </c>
      <c r="W111" s="366"/>
      <c r="X111" s="359">
        <f t="shared" si="32"/>
        <v>152.43433768455719</v>
      </c>
      <c r="Y111" s="359">
        <f t="shared" si="32"/>
        <v>93.882338069674404</v>
      </c>
      <c r="Z111" s="359">
        <f t="shared" si="32"/>
        <v>88.030461669753748</v>
      </c>
      <c r="AA111" s="359">
        <f t="shared" si="32"/>
        <v>87.565545656169718</v>
      </c>
      <c r="AB111" s="359">
        <f t="shared" si="32"/>
        <v>86.701147889583424</v>
      </c>
      <c r="AC111" s="358"/>
      <c r="AE111" s="359">
        <f t="shared" si="33"/>
        <v>0</v>
      </c>
      <c r="AF111" s="359">
        <f t="shared" si="33"/>
        <v>0</v>
      </c>
      <c r="AG111" s="359">
        <f t="shared" si="33"/>
        <v>0</v>
      </c>
      <c r="AH111" s="359">
        <f t="shared" si="33"/>
        <v>0</v>
      </c>
      <c r="AI111" s="359">
        <f t="shared" si="33"/>
        <v>0</v>
      </c>
      <c r="AK111" s="659"/>
      <c r="AL111" s="954">
        <f t="shared" si="34"/>
        <v>79.544520003849357</v>
      </c>
      <c r="AM111" s="954">
        <f t="shared" si="34"/>
        <v>81.930855603964829</v>
      </c>
      <c r="AN111" s="954">
        <f t="shared" si="34"/>
        <v>84.38878127208379</v>
      </c>
      <c r="AO111" s="954">
        <f t="shared" si="34"/>
        <v>86.920444710246301</v>
      </c>
      <c r="AP111" s="954">
        <f t="shared" si="34"/>
        <v>89.5280580515537</v>
      </c>
      <c r="AR111" s="366"/>
      <c r="AS111" s="359">
        <f t="shared" si="35"/>
        <v>95.699706292684951</v>
      </c>
      <c r="AT111" s="359">
        <f t="shared" si="35"/>
        <v>86.833246816965129</v>
      </c>
      <c r="AU111" s="359">
        <f t="shared" si="35"/>
        <v>86.221997252220504</v>
      </c>
      <c r="AV111" s="359">
        <f t="shared" si="35"/>
        <v>87.281341586480011</v>
      </c>
      <c r="AW111" s="359">
        <f t="shared" si="35"/>
        <v>87.841181513480151</v>
      </c>
    </row>
    <row r="112" spans="1:49">
      <c r="B112" s="664"/>
      <c r="E112" s="359" t="s">
        <v>3697</v>
      </c>
      <c r="I112" s="659"/>
      <c r="J112" s="359">
        <f t="shared" si="30"/>
        <v>18.104384615384614</v>
      </c>
      <c r="K112" s="359">
        <f t="shared" si="30"/>
        <v>18.647516153846151</v>
      </c>
      <c r="L112" s="359">
        <f t="shared" si="30"/>
        <v>19.206941638461537</v>
      </c>
      <c r="M112" s="359">
        <f t="shared" si="30"/>
        <v>19.783149887615384</v>
      </c>
      <c r="N112" s="359">
        <f t="shared" si="30"/>
        <v>20.376644384243846</v>
      </c>
      <c r="Q112" s="359">
        <f t="shared" si="31"/>
        <v>79.46764947081013</v>
      </c>
      <c r="R112" s="359">
        <f t="shared" si="31"/>
        <v>33.513245843357076</v>
      </c>
      <c r="S112" s="359">
        <f t="shared" si="31"/>
        <v>23.682354812789665</v>
      </c>
      <c r="T112" s="359">
        <f t="shared" si="31"/>
        <v>19.4721068435699</v>
      </c>
      <c r="U112" s="359">
        <f t="shared" si="31"/>
        <v>17.212238754861207</v>
      </c>
      <c r="W112" s="366"/>
      <c r="X112" s="359">
        <f t="shared" si="32"/>
        <v>79.467649470810144</v>
      </c>
      <c r="Y112" s="359">
        <f t="shared" si="32"/>
        <v>33.513245843357069</v>
      </c>
      <c r="Z112" s="359">
        <f t="shared" si="32"/>
        <v>23.682354812789665</v>
      </c>
      <c r="AA112" s="359">
        <f t="shared" si="32"/>
        <v>19.472106843569893</v>
      </c>
      <c r="AB112" s="359">
        <f t="shared" si="32"/>
        <v>17.212238754861211</v>
      </c>
      <c r="AC112" s="358"/>
      <c r="AE112" s="359">
        <f t="shared" si="33"/>
        <v>0</v>
      </c>
      <c r="AF112" s="359">
        <f t="shared" si="33"/>
        <v>0</v>
      </c>
      <c r="AG112" s="359">
        <f t="shared" si="33"/>
        <v>0</v>
      </c>
      <c r="AH112" s="359">
        <f t="shared" si="33"/>
        <v>0</v>
      </c>
      <c r="AI112" s="359">
        <f t="shared" si="33"/>
        <v>0</v>
      </c>
      <c r="AK112" s="659"/>
      <c r="AL112" s="954">
        <f t="shared" si="34"/>
        <v>18.104384615384614</v>
      </c>
      <c r="AM112" s="954">
        <f t="shared" si="34"/>
        <v>18.647516153846151</v>
      </c>
      <c r="AN112" s="954">
        <f t="shared" si="34"/>
        <v>19.206941638461537</v>
      </c>
      <c r="AO112" s="954">
        <f t="shared" si="34"/>
        <v>19.783149887615384</v>
      </c>
      <c r="AP112" s="954">
        <f t="shared" si="34"/>
        <v>20.376644384243846</v>
      </c>
      <c r="AS112" s="359">
        <f t="shared" si="35"/>
        <v>31.704843589957424</v>
      </c>
      <c r="AT112" s="359">
        <f t="shared" si="35"/>
        <v>24.745305512931239</v>
      </c>
      <c r="AU112" s="359">
        <f t="shared" si="35"/>
        <v>21.459857340273832</v>
      </c>
      <c r="AV112" s="359">
        <f t="shared" si="35"/>
        <v>19.609139194126872</v>
      </c>
      <c r="AW112" s="359">
        <f t="shared" si="35"/>
        <v>18.488377227768979</v>
      </c>
    </row>
    <row r="113" spans="1:49">
      <c r="B113" s="664"/>
      <c r="E113" s="359" t="s">
        <v>3698</v>
      </c>
      <c r="I113" s="659"/>
      <c r="J113" s="359">
        <f t="shared" si="30"/>
        <v>17.399252747252746</v>
      </c>
      <c r="K113" s="359">
        <f t="shared" si="30"/>
        <v>17.399252747252746</v>
      </c>
      <c r="L113" s="359">
        <f t="shared" si="30"/>
        <v>17.399252747252746</v>
      </c>
      <c r="M113" s="359">
        <f t="shared" si="30"/>
        <v>17.399252747252746</v>
      </c>
      <c r="N113" s="359">
        <f t="shared" si="30"/>
        <v>17.399252747252746</v>
      </c>
      <c r="Q113" s="359">
        <f t="shared" si="31"/>
        <v>54.485491096553424</v>
      </c>
      <c r="R113" s="359">
        <f t="shared" si="31"/>
        <v>22.308469188764985</v>
      </c>
      <c r="S113" s="359">
        <f t="shared" si="31"/>
        <v>15.305267918901167</v>
      </c>
      <c r="T113" s="359">
        <f t="shared" si="31"/>
        <v>12.217765125633035</v>
      </c>
      <c r="U113" s="359">
        <f t="shared" si="31"/>
        <v>10.485254231256604</v>
      </c>
      <c r="X113" s="359">
        <f t="shared" si="32"/>
        <v>54.485491096553432</v>
      </c>
      <c r="Y113" s="359">
        <f t="shared" si="32"/>
        <v>22.308469188764981</v>
      </c>
      <c r="Z113" s="359">
        <f t="shared" si="32"/>
        <v>15.305267918901169</v>
      </c>
      <c r="AA113" s="359">
        <f t="shared" si="32"/>
        <v>12.217765125633031</v>
      </c>
      <c r="AB113" s="359">
        <f t="shared" si="32"/>
        <v>10.485254231256603</v>
      </c>
      <c r="AC113" s="358"/>
      <c r="AE113" s="359">
        <f t="shared" si="33"/>
        <v>0</v>
      </c>
      <c r="AF113" s="359">
        <f t="shared" si="33"/>
        <v>0</v>
      </c>
      <c r="AG113" s="359">
        <f t="shared" si="33"/>
        <v>0</v>
      </c>
      <c r="AH113" s="359">
        <f t="shared" si="33"/>
        <v>0</v>
      </c>
      <c r="AI113" s="359">
        <f t="shared" si="33"/>
        <v>0</v>
      </c>
      <c r="AK113" s="659"/>
      <c r="AL113" s="954">
        <f t="shared" si="34"/>
        <v>17.399252747252746</v>
      </c>
      <c r="AM113" s="954">
        <f t="shared" si="34"/>
        <v>17.399252747252746</v>
      </c>
      <c r="AN113" s="954">
        <f t="shared" si="34"/>
        <v>17.399252747252746</v>
      </c>
      <c r="AO113" s="954">
        <f t="shared" si="34"/>
        <v>17.399252747252746</v>
      </c>
      <c r="AP113" s="954">
        <f t="shared" si="34"/>
        <v>17.399252747252746</v>
      </c>
      <c r="AS113" s="359">
        <f t="shared" si="35"/>
        <v>25.618989170652913</v>
      </c>
      <c r="AT113" s="359">
        <f t="shared" si="35"/>
        <v>19.41296942337534</v>
      </c>
      <c r="AU113" s="359">
        <f t="shared" si="35"/>
        <v>16.34514419561981</v>
      </c>
      <c r="AV113" s="359">
        <f t="shared" si="35"/>
        <v>14.500508436454522</v>
      </c>
      <c r="AW113" s="359">
        <f t="shared" si="35"/>
        <v>13.27352493396398</v>
      </c>
    </row>
    <row r="114" spans="1:49">
      <c r="B114" s="664"/>
      <c r="E114" s="359" t="s">
        <v>4120</v>
      </c>
      <c r="I114" s="659"/>
      <c r="J114" s="359">
        <f>IF(J$64&gt;0,J80/J$64,0)</f>
        <v>62.673239638415865</v>
      </c>
      <c r="K114" s="359">
        <f>IF(K$64&gt;0,K80/K$64,0)</f>
        <v>63.926704431184191</v>
      </c>
      <c r="L114" s="359">
        <f>IF(L$64&gt;0,L80/L$64,0)</f>
        <v>65.205238519807864</v>
      </c>
      <c r="M114" s="359">
        <f>IF(M$64&gt;0,M80/M$64,0)</f>
        <v>66.509343290204029</v>
      </c>
      <c r="N114" s="359">
        <f>IF(N$64&gt;0,N80/N$64,0)</f>
        <v>67.839530156008109</v>
      </c>
      <c r="Q114" s="359">
        <f>IF(Q$64&gt;0,Q80/Q$64,0)</f>
        <v>62.673239638415865</v>
      </c>
      <c r="R114" s="359">
        <f>IF(R$64&gt;0,R80/R$64,0)</f>
        <v>63.926704431184184</v>
      </c>
      <c r="S114" s="359">
        <f>IF(S$64&gt;0,S80/S$64,0)</f>
        <v>65.205238519807864</v>
      </c>
      <c r="T114" s="359">
        <f>IF(T$64&gt;0,T80/T$64,0)</f>
        <v>66.509343290204029</v>
      </c>
      <c r="U114" s="359">
        <f>IF(U$64&gt;0,U80/U$64,0)</f>
        <v>67.839530156008109</v>
      </c>
      <c r="X114" s="359">
        <f>IF(X$64&gt;0,X80/X$64,0)</f>
        <v>62.673239638415886</v>
      </c>
      <c r="Y114" s="359">
        <f>IF(Y$64&gt;0,Y80/Y$64,0)</f>
        <v>63.926704431184163</v>
      </c>
      <c r="Z114" s="359">
        <f>IF(Z$64&gt;0,Z80/Z$64,0)</f>
        <v>65.20523851980785</v>
      </c>
      <c r="AA114" s="359">
        <f>IF(AA$64&gt;0,AA80/AA$64,0)</f>
        <v>66.509343290204029</v>
      </c>
      <c r="AB114" s="359">
        <f>IF(AB$64&gt;0,AB80/AB$64,0)</f>
        <v>67.839530156008095</v>
      </c>
      <c r="AC114" s="358"/>
      <c r="AE114" s="359">
        <f>IF(AE$64&gt;0,AE80/AE$64,0)</f>
        <v>0</v>
      </c>
      <c r="AF114" s="359">
        <f>IF(AF$64&gt;0,AF80/AF$64,0)</f>
        <v>0</v>
      </c>
      <c r="AG114" s="359">
        <f>IF(AG$64&gt;0,AG80/AG$64,0)</f>
        <v>0</v>
      </c>
      <c r="AH114" s="359">
        <f>IF(AH$64&gt;0,AH80/AH$64,0)</f>
        <v>0</v>
      </c>
      <c r="AI114" s="359">
        <f>IF(AI$64&gt;0,AI80/AI$64,0)</f>
        <v>0</v>
      </c>
      <c r="AK114" s="659"/>
      <c r="AL114" s="954">
        <f>IF(AL$64=0,0,AL80/AL$64)</f>
        <v>62.673239638415865</v>
      </c>
      <c r="AM114" s="954">
        <f>IF(AM$64=0,0,AM80/AM$64)</f>
        <v>63.926704431184191</v>
      </c>
      <c r="AN114" s="954">
        <f>IF(AN$64=0,0,AN80/AN$64)</f>
        <v>65.205238519807864</v>
      </c>
      <c r="AO114" s="954">
        <f>IF(AO$64=0,0,AO80/AO$64)</f>
        <v>66.509343290204029</v>
      </c>
      <c r="AP114" s="954">
        <f>IF(AP$64=0,0,AP80/AP$64)</f>
        <v>67.839530156008109</v>
      </c>
      <c r="AS114" s="359">
        <f>IF(AS$64&gt;0,AS80/AS$64,0)</f>
        <v>62.673239638415858</v>
      </c>
      <c r="AT114" s="359">
        <f>IF(AT$64&gt;0,AT80/AT$64,0)</f>
        <v>63.926704431184184</v>
      </c>
      <c r="AU114" s="359">
        <f>IF(AU$64&gt;0,AU80/AU$64,0)</f>
        <v>65.205238519807878</v>
      </c>
      <c r="AV114" s="359">
        <f>IF(AV$64&gt;0,AV80/AV$64,0)</f>
        <v>66.509343290204043</v>
      </c>
      <c r="AW114" s="359">
        <f>IF(AW$64&gt;0,AW80/AW$64,0)</f>
        <v>67.839530156008109</v>
      </c>
    </row>
    <row r="115" spans="1:49" outlineLevel="1">
      <c r="B115" s="664"/>
      <c r="E115" s="359" t="s">
        <v>4121</v>
      </c>
      <c r="I115" s="659"/>
      <c r="AC115" s="358"/>
      <c r="AK115" s="659"/>
    </row>
    <row r="116" spans="1:49" outlineLevel="1">
      <c r="B116" s="664"/>
      <c r="E116" s="359"/>
      <c r="F116" s="366" t="s">
        <v>3925</v>
      </c>
      <c r="I116" s="659"/>
      <c r="J116" s="359">
        <f t="shared" ref="J116:N119" si="36">IF(J$64&gt;0,J82/J$64,0)</f>
        <v>1.2363372781065087</v>
      </c>
      <c r="K116" s="359">
        <f t="shared" si="36"/>
        <v>1.273427396449704</v>
      </c>
      <c r="L116" s="359">
        <f t="shared" si="36"/>
        <v>1.3116302183431954</v>
      </c>
      <c r="M116" s="359">
        <f t="shared" si="36"/>
        <v>1.3509791248934913</v>
      </c>
      <c r="N116" s="359">
        <f t="shared" si="36"/>
        <v>1.3915084986402959</v>
      </c>
      <c r="Q116" s="359">
        <f t="shared" ref="Q116:U119" si="37">IF(Q$64&gt;0,Q82/Q$64,0)</f>
        <v>5.8447831511997244</v>
      </c>
      <c r="R116" s="359">
        <f t="shared" si="37"/>
        <v>2.403381664773554</v>
      </c>
      <c r="S116" s="359">
        <f t="shared" si="37"/>
        <v>1.7085363565592724</v>
      </c>
      <c r="T116" s="359">
        <f t="shared" si="37"/>
        <v>1.3994572885583805</v>
      </c>
      <c r="U116" s="359">
        <f t="shared" si="37"/>
        <v>1.2296776875799844</v>
      </c>
      <c r="X116" s="359">
        <f t="shared" ref="X116:AB119" si="38">IF(X$64&gt;0,X82/X$64,0)</f>
        <v>5.8447831511997252</v>
      </c>
      <c r="Y116" s="359">
        <f t="shared" si="38"/>
        <v>2.403381664773554</v>
      </c>
      <c r="Z116" s="359">
        <f t="shared" si="38"/>
        <v>1.7085363565592728</v>
      </c>
      <c r="AA116" s="359">
        <f t="shared" si="38"/>
        <v>1.39945728855838</v>
      </c>
      <c r="AB116" s="359">
        <f t="shared" si="38"/>
        <v>1.2296776875799844</v>
      </c>
      <c r="AC116" s="358"/>
      <c r="AE116" s="359">
        <f t="shared" ref="AE116:AI119" si="39">IF(AE$64&gt;0,AE82/AE$64,0)</f>
        <v>0</v>
      </c>
      <c r="AF116" s="359">
        <f t="shared" si="39"/>
        <v>0</v>
      </c>
      <c r="AG116" s="359">
        <f t="shared" si="39"/>
        <v>0</v>
      </c>
      <c r="AH116" s="359">
        <f t="shared" si="39"/>
        <v>0</v>
      </c>
      <c r="AI116" s="359">
        <f t="shared" si="39"/>
        <v>0</v>
      </c>
      <c r="AK116" s="659"/>
      <c r="AL116" s="954">
        <f t="shared" ref="AL116:AP119" si="40">IF(AL$64=0,0,AL82/AL$64)</f>
        <v>1.2363372781065087</v>
      </c>
      <c r="AM116" s="954">
        <f t="shared" si="40"/>
        <v>1.273427396449704</v>
      </c>
      <c r="AN116" s="954">
        <f t="shared" si="40"/>
        <v>1.3116302183431954</v>
      </c>
      <c r="AO116" s="954">
        <f t="shared" si="40"/>
        <v>1.3509791248934913</v>
      </c>
      <c r="AP116" s="954">
        <f t="shared" si="40"/>
        <v>1.3915084986402959</v>
      </c>
      <c r="AS116" s="359">
        <f t="shared" ref="AS116:AW119" si="41">IF(AS$64&gt;0,AS82/AS$64,0)</f>
        <v>2.2101783715632184</v>
      </c>
      <c r="AT116" s="359">
        <f t="shared" si="41"/>
        <v>1.7272243261728719</v>
      </c>
      <c r="AU116" s="359">
        <f t="shared" si="41"/>
        <v>1.5073073592316895</v>
      </c>
      <c r="AV116" s="359">
        <f t="shared" si="41"/>
        <v>1.3776476721672031</v>
      </c>
      <c r="AW116" s="359">
        <f t="shared" si="41"/>
        <v>1.2961826243574468</v>
      </c>
    </row>
    <row r="117" spans="1:49" outlineLevel="1">
      <c r="B117" s="664"/>
      <c r="E117" s="359"/>
      <c r="F117" s="366" t="s">
        <v>3926</v>
      </c>
      <c r="I117" s="659"/>
      <c r="J117" s="359">
        <f t="shared" si="36"/>
        <v>21.970384148115592</v>
      </c>
      <c r="K117" s="359">
        <f t="shared" si="36"/>
        <v>22.629495672559059</v>
      </c>
      <c r="L117" s="359">
        <f t="shared" si="36"/>
        <v>23.308380542735833</v>
      </c>
      <c r="M117" s="359">
        <f t="shared" si="36"/>
        <v>24.007631959017907</v>
      </c>
      <c r="N117" s="359">
        <f t="shared" si="36"/>
        <v>24.727860917788444</v>
      </c>
      <c r="Q117" s="359">
        <f t="shared" si="37"/>
        <v>21.970384148115592</v>
      </c>
      <c r="R117" s="359">
        <f t="shared" si="37"/>
        <v>22.629495672559059</v>
      </c>
      <c r="S117" s="359">
        <f t="shared" si="37"/>
        <v>23.308380542735833</v>
      </c>
      <c r="T117" s="359">
        <f t="shared" si="37"/>
        <v>24.007631959017907</v>
      </c>
      <c r="U117" s="359">
        <f t="shared" si="37"/>
        <v>24.727860917788444</v>
      </c>
      <c r="X117" s="359">
        <f t="shared" si="38"/>
        <v>21.970384148115603</v>
      </c>
      <c r="Y117" s="359">
        <f t="shared" si="38"/>
        <v>22.629495672559056</v>
      </c>
      <c r="Z117" s="359">
        <f t="shared" si="38"/>
        <v>23.308380542735829</v>
      </c>
      <c r="AA117" s="359">
        <f t="shared" si="38"/>
        <v>24.0076319590179</v>
      </c>
      <c r="AB117" s="359">
        <f t="shared" si="38"/>
        <v>24.727860917788448</v>
      </c>
      <c r="AC117" s="358"/>
      <c r="AE117" s="359">
        <f t="shared" si="39"/>
        <v>0</v>
      </c>
      <c r="AF117" s="359">
        <f t="shared" si="39"/>
        <v>0</v>
      </c>
      <c r="AG117" s="359">
        <f t="shared" si="39"/>
        <v>0</v>
      </c>
      <c r="AH117" s="359">
        <f t="shared" si="39"/>
        <v>0</v>
      </c>
      <c r="AI117" s="359">
        <f t="shared" si="39"/>
        <v>0</v>
      </c>
      <c r="AK117" s="659"/>
      <c r="AL117" s="954">
        <f t="shared" si="40"/>
        <v>21.970384148115592</v>
      </c>
      <c r="AM117" s="954">
        <f t="shared" si="40"/>
        <v>22.629495672559059</v>
      </c>
      <c r="AN117" s="954">
        <f t="shared" si="40"/>
        <v>23.308380542735833</v>
      </c>
      <c r="AO117" s="954">
        <f t="shared" si="40"/>
        <v>24.007631959017907</v>
      </c>
      <c r="AP117" s="954">
        <f t="shared" si="40"/>
        <v>24.727860917788444</v>
      </c>
      <c r="AS117" s="359">
        <f t="shared" si="41"/>
        <v>21.970384148115592</v>
      </c>
      <c r="AT117" s="359">
        <f t="shared" si="41"/>
        <v>22.629495672559059</v>
      </c>
      <c r="AU117" s="359">
        <f t="shared" si="41"/>
        <v>23.308380542735833</v>
      </c>
      <c r="AV117" s="359">
        <f t="shared" si="41"/>
        <v>24.007631959017907</v>
      </c>
      <c r="AW117" s="359">
        <f t="shared" si="41"/>
        <v>24.727860917788448</v>
      </c>
    </row>
    <row r="118" spans="1:49" outlineLevel="1">
      <c r="B118" s="664"/>
      <c r="E118" s="359"/>
      <c r="F118" s="366" t="s">
        <v>3695</v>
      </c>
      <c r="I118" s="659"/>
      <c r="J118" s="364">
        <f t="shared" si="36"/>
        <v>23.226052818746606</v>
      </c>
      <c r="K118" s="364">
        <f t="shared" si="36"/>
        <v>23.922834403309004</v>
      </c>
      <c r="L118" s="364">
        <f t="shared" si="36"/>
        <v>24.640519435408276</v>
      </c>
      <c r="M118" s="364">
        <f t="shared" si="36"/>
        <v>25.379735018470527</v>
      </c>
      <c r="N118" s="364">
        <f t="shared" si="36"/>
        <v>26.141127069024641</v>
      </c>
      <c r="P118" s="364"/>
      <c r="Q118" s="364">
        <f t="shared" si="37"/>
        <v>23.594123429412559</v>
      </c>
      <c r="R118" s="364">
        <f t="shared" si="37"/>
        <v>23.922834403309007</v>
      </c>
      <c r="S118" s="364">
        <f t="shared" si="37"/>
        <v>24.640519435408276</v>
      </c>
      <c r="T118" s="364">
        <f t="shared" si="37"/>
        <v>25.379735018470527</v>
      </c>
      <c r="U118" s="364">
        <f t="shared" si="37"/>
        <v>26.141127069024645</v>
      </c>
      <c r="W118" s="364"/>
      <c r="X118" s="364">
        <f t="shared" si="38"/>
        <v>23.594123429412569</v>
      </c>
      <c r="Y118" s="364">
        <f t="shared" si="38"/>
        <v>23.922834403309004</v>
      </c>
      <c r="Z118" s="364">
        <f t="shared" si="38"/>
        <v>24.640519435408276</v>
      </c>
      <c r="AA118" s="364">
        <f t="shared" si="38"/>
        <v>25.379735018470519</v>
      </c>
      <c r="AB118" s="364">
        <f t="shared" si="38"/>
        <v>26.141127069024645</v>
      </c>
      <c r="AC118" s="358"/>
      <c r="AE118" s="364">
        <f t="shared" si="39"/>
        <v>0</v>
      </c>
      <c r="AF118" s="364">
        <f t="shared" si="39"/>
        <v>0</v>
      </c>
      <c r="AG118" s="364">
        <f t="shared" si="39"/>
        <v>0</v>
      </c>
      <c r="AH118" s="364">
        <f t="shared" si="39"/>
        <v>0</v>
      </c>
      <c r="AI118" s="364">
        <f t="shared" si="39"/>
        <v>0</v>
      </c>
      <c r="AJ118" s="659"/>
      <c r="AK118" s="659"/>
      <c r="AL118" s="955">
        <f t="shared" si="40"/>
        <v>23.226052818746606</v>
      </c>
      <c r="AM118" s="955">
        <f t="shared" si="40"/>
        <v>23.922834403309004</v>
      </c>
      <c r="AN118" s="955">
        <f t="shared" si="40"/>
        <v>24.640519435408276</v>
      </c>
      <c r="AO118" s="955">
        <f t="shared" si="40"/>
        <v>25.379735018470527</v>
      </c>
      <c r="AP118" s="955">
        <f t="shared" si="40"/>
        <v>26.141127069024641</v>
      </c>
      <c r="AR118" s="364"/>
      <c r="AS118" s="364">
        <f t="shared" si="41"/>
        <v>23.303832247176697</v>
      </c>
      <c r="AT118" s="364">
        <f t="shared" si="41"/>
        <v>23.922834403309004</v>
      </c>
      <c r="AU118" s="364">
        <f t="shared" si="41"/>
        <v>24.640519435408276</v>
      </c>
      <c r="AV118" s="364">
        <f t="shared" si="41"/>
        <v>25.37973501847053</v>
      </c>
      <c r="AW118" s="364">
        <f t="shared" si="41"/>
        <v>26.141127069024645</v>
      </c>
    </row>
    <row r="119" spans="1:49">
      <c r="B119" s="664"/>
      <c r="E119" s="359" t="s">
        <v>4122</v>
      </c>
      <c r="F119" s="366"/>
      <c r="I119" s="659"/>
      <c r="J119" s="359">
        <f t="shared" si="36"/>
        <v>46.432774244968705</v>
      </c>
      <c r="K119" s="359">
        <f t="shared" si="36"/>
        <v>47.825757472317768</v>
      </c>
      <c r="L119" s="359">
        <f t="shared" si="36"/>
        <v>49.260530196487302</v>
      </c>
      <c r="M119" s="359">
        <f t="shared" si="36"/>
        <v>50.738346102381918</v>
      </c>
      <c r="N119" s="359">
        <f t="shared" si="36"/>
        <v>52.26049648545338</v>
      </c>
      <c r="Q119" s="359">
        <f t="shared" si="37"/>
        <v>51.409290728727875</v>
      </c>
      <c r="R119" s="359">
        <f t="shared" si="37"/>
        <v>48.955711740641618</v>
      </c>
      <c r="S119" s="359">
        <f t="shared" si="37"/>
        <v>49.657436334703384</v>
      </c>
      <c r="T119" s="359">
        <f t="shared" si="37"/>
        <v>50.786824266046814</v>
      </c>
      <c r="U119" s="359">
        <f t="shared" si="37"/>
        <v>52.098665674393075</v>
      </c>
      <c r="X119" s="359">
        <f t="shared" si="38"/>
        <v>51.409290728727882</v>
      </c>
      <c r="Y119" s="359">
        <f t="shared" si="38"/>
        <v>48.955711740641604</v>
      </c>
      <c r="Z119" s="359">
        <f t="shared" si="38"/>
        <v>49.657436334703384</v>
      </c>
      <c r="AA119" s="359">
        <f t="shared" si="38"/>
        <v>50.7868242660468</v>
      </c>
      <c r="AB119" s="359">
        <f t="shared" si="38"/>
        <v>52.098665674393089</v>
      </c>
      <c r="AC119" s="358"/>
      <c r="AE119" s="359">
        <f t="shared" si="39"/>
        <v>0</v>
      </c>
      <c r="AF119" s="359">
        <f t="shared" si="39"/>
        <v>0</v>
      </c>
      <c r="AG119" s="359">
        <f t="shared" si="39"/>
        <v>0</v>
      </c>
      <c r="AH119" s="359">
        <f t="shared" si="39"/>
        <v>0</v>
      </c>
      <c r="AI119" s="359">
        <f t="shared" si="39"/>
        <v>0</v>
      </c>
      <c r="AK119" s="659"/>
      <c r="AL119" s="954">
        <f t="shared" si="40"/>
        <v>46.432774244968705</v>
      </c>
      <c r="AM119" s="954">
        <f t="shared" si="40"/>
        <v>47.825757472317768</v>
      </c>
      <c r="AN119" s="954">
        <f t="shared" si="40"/>
        <v>49.260530196487302</v>
      </c>
      <c r="AO119" s="954">
        <f t="shared" si="40"/>
        <v>50.738346102381918</v>
      </c>
      <c r="AP119" s="954">
        <f t="shared" si="40"/>
        <v>52.26049648545338</v>
      </c>
      <c r="AS119" s="359">
        <f t="shared" si="41"/>
        <v>47.484394766855509</v>
      </c>
      <c r="AT119" s="359">
        <f t="shared" si="41"/>
        <v>48.279554402040937</v>
      </c>
      <c r="AU119" s="359">
        <f t="shared" si="41"/>
        <v>49.456207337375801</v>
      </c>
      <c r="AV119" s="359">
        <f t="shared" si="41"/>
        <v>50.76501464965564</v>
      </c>
      <c r="AW119" s="359">
        <f t="shared" si="41"/>
        <v>52.165170611170545</v>
      </c>
    </row>
    <row r="120" spans="1:49">
      <c r="B120" s="664"/>
      <c r="E120" s="359" t="s">
        <v>3524</v>
      </c>
      <c r="F120" s="366"/>
      <c r="I120" s="659"/>
      <c r="J120" s="359">
        <f>IF(J$65&gt;0,J86/J$65,0)</f>
        <v>0</v>
      </c>
      <c r="K120" s="359">
        <f>IF(K$65&gt;0,K86/K$65,0)</f>
        <v>0</v>
      </c>
      <c r="L120" s="359">
        <f>IF(L$65&gt;0,L86/L$65,0)</f>
        <v>0</v>
      </c>
      <c r="M120" s="359">
        <f>IF(M$65&gt;0,M86/M$65,0)</f>
        <v>0</v>
      </c>
      <c r="N120" s="359">
        <f>IF(N$65&gt;0,N86/N$65,0)</f>
        <v>0</v>
      </c>
      <c r="Q120" s="359">
        <f>IF(Q$65&gt;0,Q86/Q$65,0)</f>
        <v>0</v>
      </c>
      <c r="R120" s="359">
        <f>IF(R$65&gt;0,R86/R$65,0)</f>
        <v>0</v>
      </c>
      <c r="S120" s="359">
        <f>IF(S$65&gt;0,S86/S$65,0)</f>
        <v>0</v>
      </c>
      <c r="T120" s="359">
        <f>IF(T$65&gt;0,T86/T$65,0)</f>
        <v>0</v>
      </c>
      <c r="U120" s="359">
        <f>IF(U$65&gt;0,U86/U$65,0)</f>
        <v>0</v>
      </c>
      <c r="X120" s="359">
        <f>IF(X$65&gt;0,X86/X$65,0)</f>
        <v>0</v>
      </c>
      <c r="Y120" s="359">
        <f>IF(Y$65&gt;0,Y86/Y$65,0)</f>
        <v>0</v>
      </c>
      <c r="Z120" s="359">
        <f>IF(Z$65&gt;0,Z86/Z$65,0)</f>
        <v>0</v>
      </c>
      <c r="AA120" s="359">
        <f>IF(AA$65&gt;0,AA86/AA$65,0)</f>
        <v>0</v>
      </c>
      <c r="AB120" s="359">
        <f>IF(AB$65&gt;0,AB86/AB$65,0)</f>
        <v>0</v>
      </c>
      <c r="AC120" s="358"/>
      <c r="AE120" s="359">
        <f>IF(AE$65&gt;0,AE86/AE$65,0)</f>
        <v>0</v>
      </c>
      <c r="AF120" s="359">
        <f>IF(AF$65&gt;0,AF86/AF$65,0)</f>
        <v>0</v>
      </c>
      <c r="AG120" s="359">
        <f>IF(AG$65&gt;0,AG86/AG$65,0)</f>
        <v>0</v>
      </c>
      <c r="AH120" s="359">
        <f>IF(AH$65&gt;0,AH86/AH$65,0)</f>
        <v>0</v>
      </c>
      <c r="AI120" s="359">
        <f>IF(AI$65&gt;0,AI86/AI$65,0)</f>
        <v>0</v>
      </c>
      <c r="AK120" s="659"/>
      <c r="AL120" s="954">
        <f>IF(AL$65=0,0,AL86/AL$65)</f>
        <v>0</v>
      </c>
      <c r="AM120" s="954">
        <f>IF(AM$65=0,0,AM86/AM$65)</f>
        <v>0</v>
      </c>
      <c r="AN120" s="954">
        <f>IF(AN$65=0,0,AN86/AN$65)</f>
        <v>0</v>
      </c>
      <c r="AO120" s="954">
        <f>IF(AO$65=0,0,AO86/AO$65)</f>
        <v>0</v>
      </c>
      <c r="AP120" s="954">
        <f>IF(AP$65=0,0,AP86/AP$65)</f>
        <v>0</v>
      </c>
      <c r="AS120" s="359">
        <f>IF(AS$65&gt;0,AS86/AS$65,0)</f>
        <v>0</v>
      </c>
      <c r="AT120" s="359">
        <f>IF(AT$65&gt;0,AT86/AT$65,0)</f>
        <v>0</v>
      </c>
      <c r="AU120" s="359">
        <f>IF(AU$65&gt;0,AU86/AU$65,0)</f>
        <v>0</v>
      </c>
      <c r="AV120" s="359">
        <f>IF(AV$65&gt;0,AV86/AV$65,0)</f>
        <v>0</v>
      </c>
      <c r="AW120" s="359">
        <f>IF(AW$65&gt;0,AW86/AW$65,0)</f>
        <v>0</v>
      </c>
    </row>
    <row r="121" spans="1:49">
      <c r="B121" s="664"/>
      <c r="E121" s="359" t="s">
        <v>3518</v>
      </c>
      <c r="F121" s="366"/>
      <c r="I121" s="659"/>
      <c r="AC121" s="358"/>
      <c r="AK121" s="659"/>
    </row>
    <row r="122" spans="1:49">
      <c r="B122" s="664"/>
      <c r="E122" s="359"/>
      <c r="F122" s="366" t="s">
        <v>3925</v>
      </c>
      <c r="I122" s="659"/>
      <c r="J122" s="359">
        <f>IF(J$65&gt;0,J88/J$65,0)</f>
        <v>12.820512820512821</v>
      </c>
      <c r="K122" s="359">
        <f>IF(K$65&gt;0,K88/K$65,0)</f>
        <v>13.205128205128204</v>
      </c>
      <c r="L122" s="359">
        <f>IF(L$65&gt;0,L88/L$65,0)</f>
        <v>13.601282051282052</v>
      </c>
      <c r="M122" s="359">
        <f>IF(M$65&gt;0,M88/M$65,0)</f>
        <v>14.009320512820514</v>
      </c>
      <c r="N122" s="359">
        <f>IF(N$65&gt;0,N88/N$65,0)</f>
        <v>14.429600128205129</v>
      </c>
      <c r="Q122" s="359">
        <f>IF(Q$65&gt;0,Q88/Q$65,0)</f>
        <v>25.471217524197662</v>
      </c>
      <c r="R122" s="359">
        <f>IF(R$65&gt;0,R88/R$65,0)</f>
        <v>13.0528450133063</v>
      </c>
      <c r="S122" s="359">
        <f>IF(S$65&gt;0,S88/S$65,0)</f>
        <v>8.7734483756702026</v>
      </c>
      <c r="T122" s="359">
        <f>IF(T$65&gt;0,T88/T$65,0)</f>
        <v>7.4451659058390733</v>
      </c>
      <c r="U122" s="359">
        <f>IF(U$65&gt;0,U88/U$65,0)</f>
        <v>6.9317534643099163</v>
      </c>
      <c r="X122" s="359">
        <f>IF(X$65&gt;0,X88/X$65,0)</f>
        <v>25.471217524197662</v>
      </c>
      <c r="Y122" s="359">
        <f>IF(Y$65&gt;0,Y88/Y$65,0)</f>
        <v>13.0528450133063</v>
      </c>
      <c r="Z122" s="359">
        <f>IF(Z$65&gt;0,Z88/Z$65,0)</f>
        <v>8.7734483756702026</v>
      </c>
      <c r="AA122" s="359">
        <f>IF(AA$65&gt;0,AA88/AA$65,0)</f>
        <v>7.4451659058390725</v>
      </c>
      <c r="AB122" s="359">
        <f>IF(AB$65&gt;0,AB88/AB$65,0)</f>
        <v>6.9317534643099163</v>
      </c>
      <c r="AC122" s="358"/>
      <c r="AE122" s="359">
        <f>IF(AE$65&gt;0,AE88/AE$65,0)</f>
        <v>0</v>
      </c>
      <c r="AF122" s="359">
        <f>IF(AF$65&gt;0,AF88/AF$65,0)</f>
        <v>0</v>
      </c>
      <c r="AG122" s="359">
        <f>IF(AG$65&gt;0,AG88/AG$65,0)</f>
        <v>0</v>
      </c>
      <c r="AH122" s="359">
        <f>IF(AH$65&gt;0,AH88/AH$65,0)</f>
        <v>0</v>
      </c>
      <c r="AI122" s="359">
        <f>IF(AI$65&gt;0,AI88/AI$65,0)</f>
        <v>0</v>
      </c>
      <c r="AK122" s="659"/>
      <c r="AL122" s="954">
        <f>IF(AL$65=0,0,AL88/AL$65)</f>
        <v>12.820512820512821</v>
      </c>
      <c r="AM122" s="954">
        <f>IF(AM$65=0,0,AM88/AM$65)</f>
        <v>13.205128205128204</v>
      </c>
      <c r="AN122" s="954">
        <f>IF(AN$65=0,0,AN88/AN$65)</f>
        <v>13.601282051282052</v>
      </c>
      <c r="AO122" s="954">
        <f>IF(AO$65=0,0,AO88/AO$65)</f>
        <v>14.009320512820514</v>
      </c>
      <c r="AP122" s="954">
        <f>IF(AP$65=0,0,AP88/AP$65)</f>
        <v>14.429600128205129</v>
      </c>
      <c r="AS122" s="359">
        <f>IF(AS$65&gt;0,AS88/AS$65,0)</f>
        <v>17.056114617090227</v>
      </c>
      <c r="AT122" s="359">
        <f>IF(AT$65&gt;0,AT88/AT$65,0)</f>
        <v>13.128545025810975</v>
      </c>
      <c r="AU122" s="359">
        <f>IF(AU$65&gt;0,AU88/AU$65,0)</f>
        <v>10.666510267860886</v>
      </c>
      <c r="AV122" s="359">
        <f>IF(AV$65&gt;0,AV88/AV$65,0)</f>
        <v>9.7230680250923225</v>
      </c>
      <c r="AW122" s="359">
        <f>IF(AW$65&gt;0,AW88/AW$65,0)</f>
        <v>9.3648026792029029</v>
      </c>
    </row>
    <row r="123" spans="1:49">
      <c r="B123" s="664"/>
      <c r="E123" s="359"/>
      <c r="F123" s="366" t="s">
        <v>3926</v>
      </c>
      <c r="I123" s="659"/>
      <c r="J123" s="359">
        <f t="shared" ref="J123:N125" si="42">IF(J$65&gt;0,J90/J$65,0)</f>
        <v>148.30769230769232</v>
      </c>
      <c r="K123" s="359">
        <f t="shared" si="42"/>
        <v>151.27384615384614</v>
      </c>
      <c r="L123" s="359">
        <f t="shared" si="42"/>
        <v>154.29932307692309</v>
      </c>
      <c r="M123" s="359">
        <f t="shared" si="42"/>
        <v>157.38530953846151</v>
      </c>
      <c r="N123" s="359">
        <f t="shared" si="42"/>
        <v>160.53301572923078</v>
      </c>
      <c r="Q123" s="359">
        <f t="shared" ref="Q123:U125" si="43">IF(Q$65&gt;0,Q90/Q$65,0)</f>
        <v>122.77126846663273</v>
      </c>
      <c r="R123" s="359">
        <f t="shared" si="43"/>
        <v>138.314636928146</v>
      </c>
      <c r="S123" s="359">
        <f t="shared" si="43"/>
        <v>141.00099403194906</v>
      </c>
      <c r="T123" s="359">
        <f t="shared" si="43"/>
        <v>142.88745994413026</v>
      </c>
      <c r="U123" s="359">
        <f t="shared" si="43"/>
        <v>147.16597518812588</v>
      </c>
      <c r="X123" s="359">
        <f t="shared" ref="X123:AB125" si="44">IF(X$65&gt;0,X90/X$65,0)</f>
        <v>122.77126846663273</v>
      </c>
      <c r="Y123" s="359">
        <f t="shared" si="44"/>
        <v>138.314636928146</v>
      </c>
      <c r="Z123" s="359">
        <f t="shared" si="44"/>
        <v>141.00099403194906</v>
      </c>
      <c r="AA123" s="359">
        <f t="shared" si="44"/>
        <v>142.88745994413026</v>
      </c>
      <c r="AB123" s="359">
        <f t="shared" si="44"/>
        <v>147.16597518812586</v>
      </c>
      <c r="AC123" s="358"/>
      <c r="AE123" s="359">
        <f t="shared" ref="AE123:AI125" si="45">IF(AE$65&gt;0,AE90/AE$65,0)</f>
        <v>0</v>
      </c>
      <c r="AF123" s="359">
        <f t="shared" si="45"/>
        <v>0</v>
      </c>
      <c r="AG123" s="359">
        <f t="shared" si="45"/>
        <v>0</v>
      </c>
      <c r="AH123" s="359">
        <f t="shared" si="45"/>
        <v>0</v>
      </c>
      <c r="AI123" s="359">
        <f t="shared" si="45"/>
        <v>0</v>
      </c>
      <c r="AK123" s="659"/>
      <c r="AL123" s="954">
        <f t="shared" ref="AL123:AP125" si="46">IF(AL$65=0,0,AL90/AL$65)</f>
        <v>148.30769230769232</v>
      </c>
      <c r="AM123" s="954">
        <f t="shared" si="46"/>
        <v>151.27384615384614</v>
      </c>
      <c r="AN123" s="954">
        <f t="shared" si="46"/>
        <v>154.29932307692309</v>
      </c>
      <c r="AO123" s="954">
        <f t="shared" si="46"/>
        <v>157.38530953846151</v>
      </c>
      <c r="AP123" s="954">
        <f t="shared" si="46"/>
        <v>160.53301572923078</v>
      </c>
      <c r="AS123" s="359">
        <f t="shared" ref="AS123:AW125" si="47">IF(AS$65&gt;0,AS90/AS$65,0)</f>
        <v>139.75780317243732</v>
      </c>
      <c r="AT123" s="359">
        <f t="shared" si="47"/>
        <v>144.75666305525462</v>
      </c>
      <c r="AU123" s="359">
        <f t="shared" si="47"/>
        <v>146.21545700568899</v>
      </c>
      <c r="AV123" s="359">
        <f t="shared" si="47"/>
        <v>147.91852400231346</v>
      </c>
      <c r="AW123" s="359">
        <f t="shared" si="47"/>
        <v>151.5035762290469</v>
      </c>
    </row>
    <row r="124" spans="1:49">
      <c r="B124" s="664"/>
      <c r="E124" s="359"/>
      <c r="F124" s="366" t="s">
        <v>3695</v>
      </c>
      <c r="I124" s="659"/>
      <c r="J124" s="364">
        <f t="shared" si="42"/>
        <v>26.923076923076923</v>
      </c>
      <c r="K124" s="364">
        <f t="shared" si="42"/>
        <v>27.73076923076923</v>
      </c>
      <c r="L124" s="364">
        <f t="shared" si="42"/>
        <v>28.562692307692309</v>
      </c>
      <c r="M124" s="364">
        <f t="shared" si="42"/>
        <v>29.419573076923076</v>
      </c>
      <c r="N124" s="364">
        <f t="shared" si="42"/>
        <v>30.302160269230772</v>
      </c>
      <c r="P124" s="364"/>
      <c r="Q124" s="364">
        <f t="shared" si="43"/>
        <v>22.28731533367295</v>
      </c>
      <c r="R124" s="364">
        <f t="shared" si="43"/>
        <v>25.355151438347487</v>
      </c>
      <c r="S124" s="364">
        <f t="shared" si="43"/>
        <v>26.101008917618842</v>
      </c>
      <c r="T124" s="364">
        <f t="shared" si="43"/>
        <v>26.709532687197655</v>
      </c>
      <c r="U124" s="364">
        <f t="shared" si="43"/>
        <v>27.779002008221962</v>
      </c>
      <c r="W124" s="364"/>
      <c r="X124" s="364">
        <f t="shared" si="44"/>
        <v>22.287315333672954</v>
      </c>
      <c r="Y124" s="364">
        <f t="shared" si="44"/>
        <v>25.355151438347491</v>
      </c>
      <c r="Z124" s="364">
        <f t="shared" si="44"/>
        <v>26.101008917618842</v>
      </c>
      <c r="AA124" s="364">
        <f t="shared" si="44"/>
        <v>26.709532687197651</v>
      </c>
      <c r="AB124" s="364">
        <f t="shared" si="44"/>
        <v>27.779002008221955</v>
      </c>
      <c r="AC124" s="358"/>
      <c r="AE124" s="364">
        <f t="shared" si="45"/>
        <v>0</v>
      </c>
      <c r="AF124" s="364">
        <f t="shared" si="45"/>
        <v>0</v>
      </c>
      <c r="AG124" s="364">
        <f t="shared" si="45"/>
        <v>0</v>
      </c>
      <c r="AH124" s="364">
        <f t="shared" si="45"/>
        <v>0</v>
      </c>
      <c r="AI124" s="364">
        <f t="shared" si="45"/>
        <v>0</v>
      </c>
      <c r="AJ124" s="659"/>
      <c r="AK124" s="659"/>
      <c r="AL124" s="955">
        <f t="shared" si="46"/>
        <v>26.923076923076923</v>
      </c>
      <c r="AM124" s="955">
        <f t="shared" si="46"/>
        <v>27.73076923076923</v>
      </c>
      <c r="AN124" s="955">
        <f t="shared" si="46"/>
        <v>28.562692307692309</v>
      </c>
      <c r="AO124" s="955">
        <f t="shared" si="46"/>
        <v>29.419573076923076</v>
      </c>
      <c r="AP124" s="955">
        <f t="shared" si="46"/>
        <v>30.302160269230772</v>
      </c>
      <c r="AR124" s="364"/>
      <c r="AS124" s="364">
        <f t="shared" si="47"/>
        <v>25.370970492921714</v>
      </c>
      <c r="AT124" s="364">
        <f t="shared" si="47"/>
        <v>26.536071633420434</v>
      </c>
      <c r="AU124" s="364">
        <f t="shared" si="47"/>
        <v>27.06626980469699</v>
      </c>
      <c r="AV124" s="364">
        <f t="shared" si="47"/>
        <v>27.649974696356274</v>
      </c>
      <c r="AW124" s="364">
        <f t="shared" si="47"/>
        <v>28.597766181615846</v>
      </c>
    </row>
    <row r="125" spans="1:49">
      <c r="B125" s="664"/>
      <c r="E125" s="359" t="s">
        <v>3518</v>
      </c>
      <c r="F125" s="366"/>
      <c r="I125" s="659"/>
      <c r="J125" s="359">
        <f t="shared" si="42"/>
        <v>188.05128205128204</v>
      </c>
      <c r="K125" s="359">
        <f t="shared" si="42"/>
        <v>192.20974358974357</v>
      </c>
      <c r="L125" s="359">
        <f t="shared" si="42"/>
        <v>196.46329743589743</v>
      </c>
      <c r="M125" s="359">
        <f t="shared" si="42"/>
        <v>200.81420312820509</v>
      </c>
      <c r="N125" s="359">
        <f t="shared" si="42"/>
        <v>205.26477612666667</v>
      </c>
      <c r="Q125" s="359">
        <f t="shared" si="43"/>
        <v>172.0368483613517</v>
      </c>
      <c r="R125" s="359">
        <f t="shared" si="43"/>
        <v>177.65568369028009</v>
      </c>
      <c r="S125" s="359">
        <f t="shared" si="43"/>
        <v>176.47614813998044</v>
      </c>
      <c r="T125" s="359">
        <f t="shared" si="43"/>
        <v>177.34161822238877</v>
      </c>
      <c r="U125" s="359">
        <f t="shared" si="43"/>
        <v>182.06605795845908</v>
      </c>
      <c r="X125" s="359">
        <f t="shared" si="44"/>
        <v>172.0368483613517</v>
      </c>
      <c r="Y125" s="359">
        <f t="shared" si="44"/>
        <v>177.65568369028009</v>
      </c>
      <c r="Z125" s="359">
        <f t="shared" si="44"/>
        <v>176.47614813998044</v>
      </c>
      <c r="AA125" s="359">
        <f t="shared" si="44"/>
        <v>177.34161822238875</v>
      </c>
      <c r="AB125" s="359">
        <f t="shared" si="44"/>
        <v>182.06605795845906</v>
      </c>
      <c r="AC125" s="358"/>
      <c r="AE125" s="359">
        <f t="shared" si="45"/>
        <v>0</v>
      </c>
      <c r="AF125" s="359">
        <f t="shared" si="45"/>
        <v>0</v>
      </c>
      <c r="AG125" s="359">
        <f t="shared" si="45"/>
        <v>0</v>
      </c>
      <c r="AH125" s="359">
        <f t="shared" si="45"/>
        <v>0</v>
      </c>
      <c r="AI125" s="359">
        <f t="shared" si="45"/>
        <v>0</v>
      </c>
      <c r="AK125" s="659"/>
      <c r="AL125" s="954">
        <f t="shared" si="46"/>
        <v>188.05128205128204</v>
      </c>
      <c r="AM125" s="954">
        <f t="shared" si="46"/>
        <v>192.20974358974357</v>
      </c>
      <c r="AN125" s="954">
        <f t="shared" si="46"/>
        <v>196.46329743589743</v>
      </c>
      <c r="AO125" s="954">
        <f t="shared" si="46"/>
        <v>200.81420312820509</v>
      </c>
      <c r="AP125" s="954">
        <f t="shared" si="46"/>
        <v>205.26477612666667</v>
      </c>
      <c r="AS125" s="359">
        <f t="shared" si="47"/>
        <v>182.68946500653817</v>
      </c>
      <c r="AT125" s="359">
        <f t="shared" si="47"/>
        <v>184.89051048371675</v>
      </c>
      <c r="AU125" s="359">
        <f t="shared" si="47"/>
        <v>184.31339217279836</v>
      </c>
      <c r="AV125" s="359">
        <f t="shared" si="47"/>
        <v>185.48710748987855</v>
      </c>
      <c r="AW125" s="359">
        <f t="shared" si="47"/>
        <v>189.59403573072763</v>
      </c>
    </row>
    <row r="126" spans="1:49">
      <c r="B126" s="664"/>
      <c r="E126" s="359" t="s">
        <v>1699</v>
      </c>
      <c r="I126" s="659"/>
      <c r="J126" s="364">
        <f t="shared" ref="J126:N127" si="48">IF(J$66=0,0,J93/J$66)</f>
        <v>36.945073260073265</v>
      </c>
      <c r="K126" s="364">
        <f t="shared" si="48"/>
        <v>37.172895505020954</v>
      </c>
      <c r="L126" s="364">
        <f t="shared" si="48"/>
        <v>37.467275199977159</v>
      </c>
      <c r="M126" s="364">
        <f t="shared" si="48"/>
        <v>37.768371216681935</v>
      </c>
      <c r="N126" s="364">
        <f t="shared" si="48"/>
        <v>38.547813538696737</v>
      </c>
      <c r="P126" s="364"/>
      <c r="Q126" s="364">
        <f t="shared" ref="Q126:U127" si="49">IF(Q$66=0,0,Q93/Q$66)</f>
        <v>27.862846739556584</v>
      </c>
      <c r="R126" s="364">
        <f t="shared" si="49"/>
        <v>26.676689420396819</v>
      </c>
      <c r="S126" s="364">
        <f t="shared" si="49"/>
        <v>26.288034335469632</v>
      </c>
      <c r="T126" s="364">
        <f t="shared" si="49"/>
        <v>26.204321471839151</v>
      </c>
      <c r="U126" s="364">
        <f t="shared" si="49"/>
        <v>27.161899559554946</v>
      </c>
      <c r="W126" s="364"/>
      <c r="X126" s="364">
        <f t="shared" ref="X126:AB127" si="50">IF(X$66=0,0,X93/X$66)</f>
        <v>27.862846739556598</v>
      </c>
      <c r="Y126" s="364">
        <f t="shared" si="50"/>
        <v>26.676689420396819</v>
      </c>
      <c r="Z126" s="364">
        <f t="shared" si="50"/>
        <v>26.288034335469636</v>
      </c>
      <c r="AA126" s="364">
        <f t="shared" si="50"/>
        <v>26.204321471839148</v>
      </c>
      <c r="AB126" s="364">
        <f t="shared" si="50"/>
        <v>27.161899559554946</v>
      </c>
      <c r="AC126" s="358"/>
      <c r="AE126" s="955">
        <f t="shared" ref="AE126:AI127" si="51">IF(AE$66&gt;0.1,AE93/AE$66,0)</f>
        <v>0</v>
      </c>
      <c r="AF126" s="955">
        <f t="shared" si="51"/>
        <v>0</v>
      </c>
      <c r="AG126" s="955">
        <f t="shared" si="51"/>
        <v>0</v>
      </c>
      <c r="AH126" s="955">
        <f t="shared" si="51"/>
        <v>0</v>
      </c>
      <c r="AI126" s="955">
        <f t="shared" si="51"/>
        <v>0</v>
      </c>
      <c r="AJ126" s="659"/>
      <c r="AK126" s="659"/>
      <c r="AL126" s="955">
        <f t="shared" ref="AL126:AP127" si="52">IF(AL$66=0,0,AL93/AL$66)</f>
        <v>36.945073260073265</v>
      </c>
      <c r="AM126" s="955">
        <f t="shared" si="52"/>
        <v>37.172895505020954</v>
      </c>
      <c r="AN126" s="955">
        <f t="shared" si="52"/>
        <v>37.467275199977159</v>
      </c>
      <c r="AO126" s="955">
        <f t="shared" si="52"/>
        <v>37.768371216681935</v>
      </c>
      <c r="AP126" s="955">
        <f t="shared" si="52"/>
        <v>38.547813538696737</v>
      </c>
      <c r="AR126" s="364"/>
      <c r="AS126" s="364">
        <f t="shared" ref="AS126:AW127" si="53">IF(AS$66=0,0,AS93/AS$66)</f>
        <v>34.932102641885194</v>
      </c>
      <c r="AT126" s="364">
        <f t="shared" si="53"/>
        <v>32.867445647504354</v>
      </c>
      <c r="AU126" s="364">
        <f t="shared" si="53"/>
        <v>31.839663559009139</v>
      </c>
      <c r="AV126" s="364">
        <f t="shared" si="53"/>
        <v>31.298950491293411</v>
      </c>
      <c r="AW126" s="364">
        <f t="shared" si="53"/>
        <v>31.753600049240898</v>
      </c>
    </row>
    <row r="127" spans="1:49" s="363" customFormat="1">
      <c r="A127" s="663"/>
      <c r="B127" s="664"/>
      <c r="C127" s="663"/>
      <c r="D127" s="663"/>
      <c r="E127" s="359" t="s">
        <v>3513</v>
      </c>
      <c r="F127" s="663"/>
      <c r="G127" s="663"/>
      <c r="I127" s="659"/>
      <c r="J127" s="359">
        <f t="shared" si="48"/>
        <v>266.73819223622297</v>
      </c>
      <c r="K127" s="359">
        <f t="shared" si="48"/>
        <v>272.64993060546107</v>
      </c>
      <c r="L127" s="359">
        <f t="shared" si="48"/>
        <v>278.78498591118483</v>
      </c>
      <c r="M127" s="359">
        <f t="shared" si="48"/>
        <v>285.08794464978371</v>
      </c>
      <c r="N127" s="359">
        <f t="shared" si="48"/>
        <v>292.03499175500883</v>
      </c>
      <c r="P127" s="359"/>
      <c r="Q127" s="359">
        <f t="shared" si="49"/>
        <v>435.65013619571744</v>
      </c>
      <c r="R127" s="359">
        <f t="shared" si="49"/>
        <v>295.99339601127923</v>
      </c>
      <c r="S127" s="359">
        <f t="shared" si="49"/>
        <v>274.89938941302199</v>
      </c>
      <c r="T127" s="359">
        <f t="shared" si="49"/>
        <v>269.11129267095345</v>
      </c>
      <c r="U127" s="359">
        <f t="shared" si="49"/>
        <v>267.74188849108879</v>
      </c>
      <c r="W127" s="359"/>
      <c r="X127" s="359">
        <f t="shared" si="50"/>
        <v>435.65013619571755</v>
      </c>
      <c r="Y127" s="359">
        <f t="shared" si="50"/>
        <v>295.99339601127912</v>
      </c>
      <c r="Z127" s="359">
        <f t="shared" si="50"/>
        <v>274.89938941302199</v>
      </c>
      <c r="AA127" s="359">
        <f t="shared" si="50"/>
        <v>269.11129267095333</v>
      </c>
      <c r="AB127" s="359">
        <f t="shared" si="50"/>
        <v>267.74188849108884</v>
      </c>
      <c r="AC127" s="362"/>
      <c r="AD127" s="1721"/>
      <c r="AE127" s="954">
        <f t="shared" si="51"/>
        <v>0</v>
      </c>
      <c r="AF127" s="954">
        <f t="shared" si="51"/>
        <v>0</v>
      </c>
      <c r="AG127" s="954">
        <f t="shared" si="51"/>
        <v>0</v>
      </c>
      <c r="AH127" s="954">
        <f t="shared" si="51"/>
        <v>0</v>
      </c>
      <c r="AI127" s="954">
        <f t="shared" si="51"/>
        <v>0</v>
      </c>
      <c r="AJ127" s="954"/>
      <c r="AK127" s="659"/>
      <c r="AL127" s="954">
        <f t="shared" si="52"/>
        <v>266.73819223622297</v>
      </c>
      <c r="AM127" s="954">
        <f t="shared" si="52"/>
        <v>272.64993060546107</v>
      </c>
      <c r="AN127" s="954">
        <f t="shared" si="52"/>
        <v>278.78498591118483</v>
      </c>
      <c r="AO127" s="954">
        <f t="shared" si="52"/>
        <v>285.08794464978371</v>
      </c>
      <c r="AP127" s="954">
        <f t="shared" si="52"/>
        <v>292.03499175500883</v>
      </c>
      <c r="AQ127" s="1721"/>
      <c r="AR127" s="359"/>
      <c r="AS127" s="359">
        <f t="shared" si="53"/>
        <v>304.17557386102624</v>
      </c>
      <c r="AT127" s="359">
        <f t="shared" si="53"/>
        <v>282.22521133024139</v>
      </c>
      <c r="AU127" s="359">
        <f t="shared" si="53"/>
        <v>276.82898296338283</v>
      </c>
      <c r="AV127" s="359">
        <f t="shared" si="53"/>
        <v>276.14992676549895</v>
      </c>
      <c r="AW127" s="359">
        <f t="shared" si="53"/>
        <v>277.53878791938934</v>
      </c>
    </row>
    <row r="128" spans="1:49">
      <c r="B128" s="664"/>
      <c r="I128" s="659"/>
      <c r="AC128" s="358"/>
      <c r="AE128" s="954"/>
      <c r="AF128" s="954"/>
      <c r="AG128" s="954"/>
      <c r="AH128" s="954"/>
      <c r="AI128" s="954"/>
      <c r="AK128" s="659"/>
    </row>
    <row r="129" spans="1:49" s="363" customFormat="1">
      <c r="A129" s="663"/>
      <c r="B129" s="664"/>
      <c r="C129" s="663"/>
      <c r="D129" s="663"/>
      <c r="E129" s="663" t="s">
        <v>3528</v>
      </c>
      <c r="F129" s="663"/>
      <c r="G129" s="663"/>
      <c r="I129" s="659"/>
      <c r="J129" s="359">
        <f t="shared" ref="J129:N132" si="54">IF(J$66=0,0,J96/J$66)</f>
        <v>72.603236279340805</v>
      </c>
      <c r="K129" s="359">
        <f t="shared" si="54"/>
        <v>68.635115742686608</v>
      </c>
      <c r="L129" s="359">
        <f t="shared" si="54"/>
        <v>65.076228874677454</v>
      </c>
      <c r="M129" s="359">
        <f t="shared" si="54"/>
        <v>61.40869044786065</v>
      </c>
      <c r="N129" s="359">
        <f t="shared" si="54"/>
        <v>61.743232780973507</v>
      </c>
      <c r="P129" s="359"/>
      <c r="Q129" s="359">
        <f t="shared" ref="Q129:U132" si="55">IF(Q$66=0,0,Q96/Q$66)</f>
        <v>-87.36455195126014</v>
      </c>
      <c r="R129" s="359">
        <f t="shared" si="55"/>
        <v>37.465221743681028</v>
      </c>
      <c r="S129" s="359">
        <f t="shared" si="55"/>
        <v>53.701039780348417</v>
      </c>
      <c r="T129" s="359">
        <f t="shared" si="55"/>
        <v>58.442725727035956</v>
      </c>
      <c r="U129" s="359">
        <f t="shared" si="55"/>
        <v>71.781856003348011</v>
      </c>
      <c r="W129" s="359"/>
      <c r="X129" s="359">
        <f t="shared" ref="X129:AB132" si="56">IF(X$66=0,0,X96/X$66)</f>
        <v>-87.36455195126014</v>
      </c>
      <c r="Y129" s="359">
        <f t="shared" si="56"/>
        <v>37.46522174368102</v>
      </c>
      <c r="Z129" s="359">
        <f t="shared" si="56"/>
        <v>53.701039780348424</v>
      </c>
      <c r="AA129" s="359">
        <f t="shared" si="56"/>
        <v>58.442725727035949</v>
      </c>
      <c r="AB129" s="359">
        <f t="shared" si="56"/>
        <v>71.781856003348025</v>
      </c>
      <c r="AC129" s="362"/>
      <c r="AD129" s="1721"/>
      <c r="AE129" s="954">
        <f t="shared" ref="AE129:AI132" si="57">IF(AE$66&gt;0.1,AE96/AE$66,0)</f>
        <v>0</v>
      </c>
      <c r="AF129" s="954">
        <f t="shared" si="57"/>
        <v>0</v>
      </c>
      <c r="AG129" s="954">
        <f t="shared" si="57"/>
        <v>0</v>
      </c>
      <c r="AH129" s="954">
        <f t="shared" si="57"/>
        <v>0</v>
      </c>
      <c r="AI129" s="954">
        <f t="shared" si="57"/>
        <v>0</v>
      </c>
      <c r="AJ129" s="954"/>
      <c r="AK129" s="659"/>
      <c r="AL129" s="954">
        <f t="shared" ref="AL129:AP132" si="58">IF(AL$66=0,0,AL96/AL$66)</f>
        <v>72.603236279340805</v>
      </c>
      <c r="AM129" s="954">
        <f t="shared" si="58"/>
        <v>68.635115742686608</v>
      </c>
      <c r="AN129" s="954">
        <f t="shared" si="58"/>
        <v>65.076228874677454</v>
      </c>
      <c r="AO129" s="954">
        <f t="shared" si="58"/>
        <v>61.40869044786065</v>
      </c>
      <c r="AP129" s="954">
        <f t="shared" si="58"/>
        <v>61.743232780973507</v>
      </c>
      <c r="AQ129" s="1721"/>
      <c r="AR129" s="359"/>
      <c r="AS129" s="359">
        <f t="shared" ref="AS129:AW132" si="59">IF(AS$66=0,0,AS96/AS$66)</f>
        <v>37.148223476333513</v>
      </c>
      <c r="AT129" s="359">
        <f t="shared" si="59"/>
        <v>55.849504008803443</v>
      </c>
      <c r="AU129" s="359">
        <f t="shared" si="59"/>
        <v>59.349977214003658</v>
      </c>
      <c r="AV129" s="359">
        <f t="shared" si="59"/>
        <v>59.749403774156079</v>
      </c>
      <c r="AW129" s="359">
        <f t="shared" si="59"/>
        <v>67.733489640279458</v>
      </c>
    </row>
    <row r="130" spans="1:49">
      <c r="B130" s="664"/>
      <c r="E130" s="663" t="s">
        <v>3927</v>
      </c>
      <c r="I130" s="659"/>
      <c r="J130" s="366">
        <f t="shared" si="54"/>
        <v>13.390304029304028</v>
      </c>
      <c r="K130" s="366">
        <f t="shared" si="54"/>
        <v>13.390304029304028</v>
      </c>
      <c r="L130" s="366">
        <f t="shared" si="54"/>
        <v>13.390304029304028</v>
      </c>
      <c r="M130" s="366">
        <f t="shared" si="54"/>
        <v>13.390304029304028</v>
      </c>
      <c r="N130" s="366">
        <f t="shared" si="54"/>
        <v>13.390304029304028</v>
      </c>
      <c r="P130" s="366"/>
      <c r="Q130" s="366">
        <f t="shared" si="55"/>
        <v>50.7845447402076</v>
      </c>
      <c r="R130" s="366">
        <f t="shared" si="55"/>
        <v>22.51805588552623</v>
      </c>
      <c r="S130" s="366">
        <f t="shared" si="55"/>
        <v>16.632059434757817</v>
      </c>
      <c r="T130" s="366">
        <f t="shared" si="55"/>
        <v>14.056710575149182</v>
      </c>
      <c r="U130" s="366">
        <f t="shared" si="55"/>
        <v>12.675334523159322</v>
      </c>
      <c r="W130" s="366"/>
      <c r="X130" s="366">
        <f t="shared" si="56"/>
        <v>50.7845447402076</v>
      </c>
      <c r="Y130" s="366">
        <f t="shared" si="56"/>
        <v>22.518055885526223</v>
      </c>
      <c r="Z130" s="366">
        <f t="shared" si="56"/>
        <v>16.632059434757821</v>
      </c>
      <c r="AA130" s="366">
        <f t="shared" si="56"/>
        <v>14.056710575149179</v>
      </c>
      <c r="AB130" s="366">
        <f t="shared" si="56"/>
        <v>12.675334523159322</v>
      </c>
      <c r="AC130" s="358"/>
      <c r="AE130" s="659">
        <f t="shared" si="57"/>
        <v>0</v>
      </c>
      <c r="AF130" s="659">
        <f t="shared" si="57"/>
        <v>0</v>
      </c>
      <c r="AG130" s="659">
        <f t="shared" si="57"/>
        <v>0</v>
      </c>
      <c r="AH130" s="659">
        <f t="shared" si="57"/>
        <v>0</v>
      </c>
      <c r="AI130" s="659">
        <f t="shared" si="57"/>
        <v>0</v>
      </c>
      <c r="AJ130" s="659"/>
      <c r="AK130" s="659"/>
      <c r="AL130" s="659">
        <f t="shared" si="58"/>
        <v>13.390304029304028</v>
      </c>
      <c r="AM130" s="659">
        <f t="shared" si="58"/>
        <v>13.390304029304028</v>
      </c>
      <c r="AN130" s="659">
        <f t="shared" si="58"/>
        <v>13.390304029304028</v>
      </c>
      <c r="AO130" s="659">
        <f t="shared" si="58"/>
        <v>13.390304029304028</v>
      </c>
      <c r="AP130" s="659">
        <f t="shared" si="58"/>
        <v>13.390304029304028</v>
      </c>
      <c r="AR130" s="366"/>
      <c r="AS130" s="366">
        <f t="shared" si="59"/>
        <v>21.678305619052843</v>
      </c>
      <c r="AT130" s="366">
        <f t="shared" si="59"/>
        <v>17.134426201827672</v>
      </c>
      <c r="AU130" s="366">
        <f t="shared" si="59"/>
        <v>15.022198419809804</v>
      </c>
      <c r="AV130" s="366">
        <f t="shared" si="59"/>
        <v>13.763120163301371</v>
      </c>
      <c r="AW130" s="366">
        <f t="shared" si="59"/>
        <v>12.963666741151595</v>
      </c>
    </row>
    <row r="131" spans="1:49">
      <c r="B131" s="664"/>
      <c r="E131" s="663" t="s">
        <v>1701</v>
      </c>
      <c r="I131" s="659"/>
      <c r="J131" s="364">
        <f t="shared" si="54"/>
        <v>0</v>
      </c>
      <c r="K131" s="364">
        <f t="shared" si="54"/>
        <v>0</v>
      </c>
      <c r="L131" s="364">
        <f t="shared" si="54"/>
        <v>0</v>
      </c>
      <c r="M131" s="364">
        <f t="shared" si="54"/>
        <v>0</v>
      </c>
      <c r="N131" s="364">
        <f t="shared" si="54"/>
        <v>0</v>
      </c>
      <c r="P131" s="364"/>
      <c r="Q131" s="364">
        <f t="shared" si="55"/>
        <v>2.0984283495258031</v>
      </c>
      <c r="R131" s="364">
        <f t="shared" si="55"/>
        <v>0.85917779647559345</v>
      </c>
      <c r="S131" s="364">
        <f t="shared" si="55"/>
        <v>0.58945982594147195</v>
      </c>
      <c r="T131" s="364">
        <f t="shared" si="55"/>
        <v>0.47054920844969367</v>
      </c>
      <c r="U131" s="364">
        <f t="shared" si="55"/>
        <v>0.40382410597829865</v>
      </c>
      <c r="W131" s="364"/>
      <c r="X131" s="364">
        <f t="shared" si="56"/>
        <v>2.0984283495258036</v>
      </c>
      <c r="Y131" s="364">
        <f t="shared" si="56"/>
        <v>0.85917779647559345</v>
      </c>
      <c r="Z131" s="364">
        <f t="shared" si="56"/>
        <v>0.58945982594147206</v>
      </c>
      <c r="AA131" s="364">
        <f t="shared" si="56"/>
        <v>0.47054920844969356</v>
      </c>
      <c r="AB131" s="364">
        <f t="shared" si="56"/>
        <v>0.40382410597829871</v>
      </c>
      <c r="AC131" s="358"/>
      <c r="AE131" s="955">
        <f t="shared" si="57"/>
        <v>0</v>
      </c>
      <c r="AF131" s="955">
        <f t="shared" si="57"/>
        <v>0</v>
      </c>
      <c r="AG131" s="955">
        <f t="shared" si="57"/>
        <v>0</v>
      </c>
      <c r="AH131" s="955">
        <f t="shared" si="57"/>
        <v>0</v>
      </c>
      <c r="AI131" s="955">
        <f t="shared" si="57"/>
        <v>0</v>
      </c>
      <c r="AJ131" s="659"/>
      <c r="AK131" s="659"/>
      <c r="AL131" s="955">
        <f t="shared" si="58"/>
        <v>0</v>
      </c>
      <c r="AM131" s="955">
        <f t="shared" si="58"/>
        <v>0</v>
      </c>
      <c r="AN131" s="955">
        <f t="shared" si="58"/>
        <v>0</v>
      </c>
      <c r="AO131" s="955">
        <f t="shared" si="58"/>
        <v>0</v>
      </c>
      <c r="AP131" s="955">
        <f t="shared" si="58"/>
        <v>0</v>
      </c>
      <c r="AR131" s="364"/>
      <c r="AS131" s="364">
        <f t="shared" si="59"/>
        <v>0.46509240905037746</v>
      </c>
      <c r="AT131" s="364">
        <f t="shared" si="59"/>
        <v>0.35242704760114663</v>
      </c>
      <c r="AU131" s="364">
        <f t="shared" si="59"/>
        <v>0.2967331161888645</v>
      </c>
      <c r="AV131" s="364">
        <f t="shared" si="59"/>
        <v>0.26324521846831633</v>
      </c>
      <c r="AW131" s="364">
        <f t="shared" si="59"/>
        <v>0.24097030710326919</v>
      </c>
    </row>
    <row r="132" spans="1:49" s="363" customFormat="1" ht="12" thickBot="1">
      <c r="A132" s="663"/>
      <c r="B132" s="664"/>
      <c r="C132" s="663"/>
      <c r="D132" s="663"/>
      <c r="E132" s="663" t="s">
        <v>3527</v>
      </c>
      <c r="F132" s="663"/>
      <c r="G132" s="663"/>
      <c r="I132" s="1145"/>
      <c r="J132" s="369">
        <f t="shared" si="54"/>
        <v>59.212932250036779</v>
      </c>
      <c r="K132" s="369">
        <f t="shared" si="54"/>
        <v>55.244811713382582</v>
      </c>
      <c r="L132" s="369">
        <f t="shared" si="54"/>
        <v>51.685924845373428</v>
      </c>
      <c r="M132" s="369">
        <f t="shared" si="54"/>
        <v>48.018386418556624</v>
      </c>
      <c r="N132" s="369">
        <f t="shared" si="54"/>
        <v>48.352928751669474</v>
      </c>
      <c r="P132" s="369"/>
      <c r="Q132" s="369">
        <f t="shared" si="55"/>
        <v>-140.24752504099354</v>
      </c>
      <c r="R132" s="369">
        <f t="shared" si="55"/>
        <v>14.087988061679205</v>
      </c>
      <c r="S132" s="369">
        <f t="shared" si="55"/>
        <v>36.479520519649128</v>
      </c>
      <c r="T132" s="369">
        <f t="shared" si="55"/>
        <v>43.915465943437077</v>
      </c>
      <c r="U132" s="369">
        <f t="shared" si="55"/>
        <v>58.702697374210388</v>
      </c>
      <c r="W132" s="369"/>
      <c r="X132" s="369">
        <f t="shared" si="56"/>
        <v>-140.24752504099354</v>
      </c>
      <c r="Y132" s="369">
        <f t="shared" si="56"/>
        <v>14.087988061679205</v>
      </c>
      <c r="Z132" s="369">
        <f t="shared" si="56"/>
        <v>36.479520519649128</v>
      </c>
      <c r="AA132" s="369">
        <f t="shared" si="56"/>
        <v>43.915465943437077</v>
      </c>
      <c r="AB132" s="369">
        <f t="shared" si="56"/>
        <v>58.702697374210409</v>
      </c>
      <c r="AC132" s="362"/>
      <c r="AD132" s="1721"/>
      <c r="AE132" s="1313">
        <f t="shared" si="57"/>
        <v>0</v>
      </c>
      <c r="AF132" s="1313">
        <f t="shared" si="57"/>
        <v>0</v>
      </c>
      <c r="AG132" s="1313">
        <f t="shared" si="57"/>
        <v>0</v>
      </c>
      <c r="AH132" s="1313">
        <f t="shared" si="57"/>
        <v>0</v>
      </c>
      <c r="AI132" s="1313">
        <f t="shared" si="57"/>
        <v>0</v>
      </c>
      <c r="AJ132" s="1145"/>
      <c r="AK132" s="1145"/>
      <c r="AL132" s="1313">
        <f t="shared" si="58"/>
        <v>59.212932250036779</v>
      </c>
      <c r="AM132" s="1313">
        <f t="shared" si="58"/>
        <v>55.244811713382582</v>
      </c>
      <c r="AN132" s="1313">
        <f t="shared" si="58"/>
        <v>51.685924845373428</v>
      </c>
      <c r="AO132" s="1313">
        <f t="shared" si="58"/>
        <v>48.018386418556624</v>
      </c>
      <c r="AP132" s="1313">
        <f t="shared" si="58"/>
        <v>48.352928751669474</v>
      </c>
      <c r="AQ132" s="1721"/>
      <c r="AR132" s="369"/>
      <c r="AS132" s="369">
        <f t="shared" si="59"/>
        <v>15.004825448230291</v>
      </c>
      <c r="AT132" s="369">
        <f t="shared" si="59"/>
        <v>38.362650759374624</v>
      </c>
      <c r="AU132" s="369">
        <f t="shared" si="59"/>
        <v>44.031045678004993</v>
      </c>
      <c r="AV132" s="369">
        <f t="shared" si="59"/>
        <v>45.723038392386393</v>
      </c>
      <c r="AW132" s="369">
        <f t="shared" si="59"/>
        <v>54.528852592024592</v>
      </c>
    </row>
    <row r="133" spans="1:49" ht="12" thickTop="1">
      <c r="B133" s="664"/>
      <c r="I133" s="659"/>
      <c r="AC133" s="358"/>
    </row>
    <row r="134" spans="1:49" s="663" customFormat="1">
      <c r="B134" s="664"/>
      <c r="I134" s="1115"/>
      <c r="P134" s="1161"/>
      <c r="Q134" s="1161"/>
      <c r="R134" s="1161"/>
      <c r="S134" s="1161"/>
      <c r="T134" s="1161"/>
      <c r="U134" s="1161"/>
      <c r="AC134" s="664"/>
      <c r="AD134" s="1161"/>
      <c r="AJ134" s="1161"/>
      <c r="AK134" s="1161"/>
      <c r="AL134" s="1161"/>
      <c r="AM134" s="1161"/>
      <c r="AN134" s="1161"/>
      <c r="AO134" s="1161"/>
      <c r="AP134" s="1161"/>
      <c r="AQ134" s="1161"/>
    </row>
    <row r="135" spans="1:49" s="663" customFormat="1">
      <c r="B135" s="664"/>
      <c r="D135" s="666" t="s">
        <v>1756</v>
      </c>
      <c r="P135" s="1161"/>
      <c r="Q135" s="1161"/>
      <c r="R135" s="1161"/>
      <c r="S135" s="1161"/>
      <c r="T135" s="1161"/>
      <c r="U135" s="1161"/>
      <c r="AC135" s="664"/>
      <c r="AD135" s="1161"/>
      <c r="AJ135" s="1161"/>
      <c r="AK135" s="1161"/>
      <c r="AL135" s="1161"/>
      <c r="AM135" s="1161"/>
      <c r="AN135" s="1161"/>
      <c r="AO135" s="1161"/>
      <c r="AP135" s="1161"/>
      <c r="AQ135" s="1161"/>
    </row>
    <row r="136" spans="1:49" s="663" customFormat="1">
      <c r="B136" s="664"/>
      <c r="D136" s="666"/>
      <c r="P136" s="1161"/>
      <c r="Q136" s="1161"/>
      <c r="R136" s="1161"/>
      <c r="S136" s="1161"/>
      <c r="T136" s="1161"/>
      <c r="U136" s="1161"/>
      <c r="AC136" s="664"/>
      <c r="AD136" s="1161"/>
      <c r="AJ136" s="1161"/>
      <c r="AK136" s="1161"/>
      <c r="AL136" s="1161"/>
      <c r="AM136" s="1161"/>
      <c r="AN136" s="1161"/>
      <c r="AO136" s="1161"/>
      <c r="AP136" s="1161"/>
      <c r="AQ136" s="1161"/>
    </row>
    <row r="137" spans="1:49" s="663" customFormat="1">
      <c r="B137" s="664"/>
      <c r="E137" s="663" t="s">
        <v>1413</v>
      </c>
      <c r="P137" s="1161"/>
      <c r="Q137" s="1161"/>
      <c r="R137" s="1161"/>
      <c r="S137" s="1161"/>
      <c r="T137" s="1161"/>
      <c r="U137" s="1161"/>
      <c r="AC137" s="664"/>
      <c r="AD137" s="1161"/>
      <c r="AJ137" s="1161"/>
      <c r="AK137" s="1161"/>
      <c r="AL137" s="1161"/>
      <c r="AM137" s="1161"/>
      <c r="AN137" s="1161"/>
      <c r="AO137" s="1161"/>
      <c r="AP137" s="1161"/>
      <c r="AQ137" s="1161"/>
    </row>
    <row r="138" spans="1:49" s="663" customFormat="1">
      <c r="B138" s="664"/>
      <c r="J138" s="1863"/>
      <c r="O138" s="667"/>
      <c r="P138" s="1161"/>
      <c r="Q138" s="1161"/>
      <c r="R138" s="1161"/>
      <c r="S138" s="1161"/>
      <c r="T138" s="1161"/>
      <c r="U138" s="1161"/>
      <c r="AC138" s="664"/>
      <c r="AD138" s="1161"/>
      <c r="AJ138" s="1161"/>
      <c r="AK138" s="1161"/>
      <c r="AL138" s="1161"/>
      <c r="AM138" s="1161"/>
      <c r="AN138" s="1161"/>
      <c r="AO138" s="1161"/>
      <c r="AP138" s="1161"/>
      <c r="AQ138" s="1161"/>
    </row>
    <row r="139" spans="1:49" s="663" customFormat="1">
      <c r="B139" s="664"/>
      <c r="E139" s="663" t="s">
        <v>1404</v>
      </c>
      <c r="I139" s="1721">
        <f>'1.3 EssBS'!D9</f>
        <v>-8535.08</v>
      </c>
      <c r="J139" s="1721">
        <f>J78/6+J79/6+(J94-J78-J79)/6</f>
        <v>485463.50986992585</v>
      </c>
      <c r="K139" s="1721">
        <f>K78/6+K79/6+(K94-K78-K79)/6</f>
        <v>496222.87370193913</v>
      </c>
      <c r="L139" s="1721">
        <f>L78/6+L79/6+(L94-L78-L79)/6</f>
        <v>507388.67435835651</v>
      </c>
      <c r="M139" s="1721">
        <f>M78/6+M79/6+(M94-M78-M79)/6</f>
        <v>518860.05926260632</v>
      </c>
      <c r="N139" s="1721">
        <f>N78/6+N79/6+(N94-N78-N79)/6</f>
        <v>531503.68499411608</v>
      </c>
      <c r="O139" s="667"/>
      <c r="P139" s="363">
        <f ca="1">'5. Financials'!H139</f>
        <v>1142652.855904141</v>
      </c>
      <c r="Q139" s="363">
        <f ca="1">'5. Financials'!I139</f>
        <v>514799.51442628563</v>
      </c>
      <c r="R139" s="363">
        <f ca="1">'5. Financials'!J139</f>
        <v>407144.54878236272</v>
      </c>
      <c r="S139" s="363">
        <f ca="1">'5. Financials'!K139</f>
        <v>527898.03262117214</v>
      </c>
      <c r="T139" s="363">
        <f ca="1">'5. Financials'!L139</f>
        <v>642887.45321286656</v>
      </c>
      <c r="U139" s="363">
        <f ca="1">'5. Financials'!M139</f>
        <v>736491.15292169154</v>
      </c>
      <c r="W139" s="1721">
        <f t="shared" ref="W139:AB142" ca="1" si="60">(P139*DVAOwnership)+(AK139*pshare)-(I139*pshare)</f>
        <v>685591.71354248456</v>
      </c>
      <c r="X139" s="1721">
        <f t="shared" ca="1" si="60"/>
        <v>308879.70865577139</v>
      </c>
      <c r="Y139" s="1721">
        <f t="shared" ca="1" si="60"/>
        <v>244286.72926941764</v>
      </c>
      <c r="Z139" s="1721">
        <f t="shared" ca="1" si="60"/>
        <v>316738.81957270321</v>
      </c>
      <c r="AA139" s="1721">
        <f t="shared" ca="1" si="60"/>
        <v>385732.47192772001</v>
      </c>
      <c r="AB139" s="1721">
        <f t="shared" ca="1" si="60"/>
        <v>441894.69175301498</v>
      </c>
      <c r="AC139" s="664"/>
      <c r="AD139" s="1721"/>
      <c r="AE139" s="1721">
        <f t="shared" ref="AE139:AI143" si="61">J139-AL139</f>
        <v>0</v>
      </c>
      <c r="AF139" s="1721">
        <f t="shared" si="61"/>
        <v>0</v>
      </c>
      <c r="AG139" s="1721">
        <f t="shared" si="61"/>
        <v>0</v>
      </c>
      <c r="AH139" s="1721">
        <f t="shared" si="61"/>
        <v>0</v>
      </c>
      <c r="AI139" s="1721">
        <f t="shared" si="61"/>
        <v>0</v>
      </c>
      <c r="AJ139" s="1721"/>
      <c r="AK139" s="2078">
        <f>IF(Type="DeNovo",'1.3 EssBS'!D9,0)</f>
        <v>-8535.08</v>
      </c>
      <c r="AL139" s="1721">
        <f>AL78/6+AL79/6+(AL94-AL78-AL79)/6</f>
        <v>485463.50986992585</v>
      </c>
      <c r="AM139" s="1721">
        <f>AM78/6+AM79/6+(AM94-AM78-AM79)/6</f>
        <v>496222.87370193913</v>
      </c>
      <c r="AN139" s="1721">
        <f>AN78/6+AN79/6+(AN94-AN78-AN79)/6</f>
        <v>507388.67435835651</v>
      </c>
      <c r="AO139" s="1721">
        <f>AO78/6+AO79/6+(AO94-AO78-AO79)/6</f>
        <v>518860.05926260632</v>
      </c>
      <c r="AP139" s="1721">
        <f>AP78/6+AP79/6+(AP94-AP78-AP79)/6</f>
        <v>531503.68499411608</v>
      </c>
      <c r="AQ139" s="1161"/>
      <c r="AR139" s="1721">
        <f t="shared" ref="AR139:AW143" ca="1" si="62">P139+AK139</f>
        <v>1134117.7759041409</v>
      </c>
      <c r="AS139" s="1721">
        <f t="shared" ca="1" si="62"/>
        <v>1000263.0242962115</v>
      </c>
      <c r="AT139" s="1721">
        <f t="shared" ca="1" si="62"/>
        <v>903367.42248430185</v>
      </c>
      <c r="AU139" s="1721">
        <f t="shared" ca="1" si="62"/>
        <v>1035286.7069795287</v>
      </c>
      <c r="AV139" s="1721">
        <f t="shared" ca="1" si="62"/>
        <v>1161747.5124754729</v>
      </c>
      <c r="AW139" s="1721">
        <f t="shared" ca="1" si="62"/>
        <v>1267994.8379158075</v>
      </c>
    </row>
    <row r="140" spans="1:49" s="663" customFormat="1">
      <c r="B140" s="664"/>
      <c r="E140" s="663" t="s">
        <v>1405</v>
      </c>
      <c r="I140" s="359">
        <f>'1.3 EssBS'!D10</f>
        <v>429248.52999999997</v>
      </c>
      <c r="J140" s="359">
        <f>J69*J169/365</f>
        <v>812188.14233204536</v>
      </c>
      <c r="K140" s="359">
        <f>K69*K169/365</f>
        <v>816840.04517737485</v>
      </c>
      <c r="L140" s="359">
        <f>L69*L169/365</f>
        <v>823005.9102381625</v>
      </c>
      <c r="M140" s="359">
        <f>M69*M169/365</f>
        <v>829313.59019534814</v>
      </c>
      <c r="N140" s="359">
        <f>N69*N169/365</f>
        <v>846741.52590310737</v>
      </c>
      <c r="O140" s="667"/>
      <c r="P140" s="359">
        <f>'5. Financials'!H140</f>
        <v>0</v>
      </c>
      <c r="Q140" s="359">
        <f>'5. Financials'!I140</f>
        <v>326297.40047388081</v>
      </c>
      <c r="R140" s="359">
        <f>'5. Financials'!J140</f>
        <v>602804.67935724137</v>
      </c>
      <c r="S140" s="359">
        <f>'5. Financials'!K140</f>
        <v>761389.38288608752</v>
      </c>
      <c r="T140" s="359">
        <f>'5. Financials'!L140</f>
        <v>950141.071456898</v>
      </c>
      <c r="U140" s="359">
        <f>'5. Financials'!M140</f>
        <v>1123050.2333293594</v>
      </c>
      <c r="W140" s="954">
        <f t="shared" si="60"/>
        <v>0</v>
      </c>
      <c r="X140" s="954">
        <f t="shared" si="60"/>
        <v>195778.44028432848</v>
      </c>
      <c r="Y140" s="954">
        <f t="shared" si="60"/>
        <v>361682.80761434475</v>
      </c>
      <c r="Z140" s="954">
        <f t="shared" si="60"/>
        <v>456833.62973165244</v>
      </c>
      <c r="AA140" s="954">
        <f t="shared" si="60"/>
        <v>570084.64287413866</v>
      </c>
      <c r="AB140" s="954">
        <f t="shared" si="60"/>
        <v>673830.13999761548</v>
      </c>
      <c r="AC140" s="664"/>
      <c r="AD140" s="1721"/>
      <c r="AE140" s="954">
        <f t="shared" si="61"/>
        <v>0</v>
      </c>
      <c r="AF140" s="954">
        <f t="shared" si="61"/>
        <v>0</v>
      </c>
      <c r="AG140" s="954">
        <f t="shared" si="61"/>
        <v>0</v>
      </c>
      <c r="AH140" s="954">
        <f t="shared" si="61"/>
        <v>0</v>
      </c>
      <c r="AI140" s="954">
        <f t="shared" si="61"/>
        <v>0</v>
      </c>
      <c r="AJ140" s="954"/>
      <c r="AK140" s="1850">
        <f>IF(Type="DeNovo",'1.3 EssBS'!D10,0)</f>
        <v>429248.52999999997</v>
      </c>
      <c r="AL140" s="954">
        <f>AL69*AL169/365</f>
        <v>812188.14233204536</v>
      </c>
      <c r="AM140" s="954">
        <f>AM69*AM169/365</f>
        <v>816840.04517737485</v>
      </c>
      <c r="AN140" s="954">
        <f>AN69*AN169/365</f>
        <v>823005.9102381625</v>
      </c>
      <c r="AO140" s="954">
        <f>AO69*AO169/365</f>
        <v>829313.59019534814</v>
      </c>
      <c r="AP140" s="954">
        <f>AP69*AP169/365</f>
        <v>846741.52590310737</v>
      </c>
      <c r="AQ140" s="1161"/>
      <c r="AR140" s="954">
        <f t="shared" si="62"/>
        <v>429248.52999999997</v>
      </c>
      <c r="AS140" s="954">
        <f t="shared" si="62"/>
        <v>1138485.5428059262</v>
      </c>
      <c r="AT140" s="954">
        <f t="shared" si="62"/>
        <v>1419644.7245346163</v>
      </c>
      <c r="AU140" s="954">
        <f t="shared" si="62"/>
        <v>1584395.2931242501</v>
      </c>
      <c r="AV140" s="954">
        <f t="shared" si="62"/>
        <v>1779454.661652246</v>
      </c>
      <c r="AW140" s="954">
        <f t="shared" si="62"/>
        <v>1969791.7592324668</v>
      </c>
    </row>
    <row r="141" spans="1:49" s="663" customFormat="1">
      <c r="B141" s="664"/>
      <c r="E141" s="663" t="s">
        <v>1406</v>
      </c>
      <c r="I141" s="366">
        <f>'1.3 EssBS'!D11</f>
        <v>20537.03</v>
      </c>
      <c r="J141" s="659">
        <f>(J80+J86)*J170/365</f>
        <v>24375.597531697305</v>
      </c>
      <c r="K141" s="659">
        <f>(K80+K86)*K170/365</f>
        <v>24863.109482331252</v>
      </c>
      <c r="L141" s="659">
        <f>(L80+L86)*L170/365</f>
        <v>25360.371671977875</v>
      </c>
      <c r="M141" s="659">
        <f>(M80+M86)*M170/365</f>
        <v>25867.579105417437</v>
      </c>
      <c r="N141" s="659">
        <f>(N80+N86)*N170/365</f>
        <v>26384.930687525783</v>
      </c>
      <c r="O141" s="667"/>
      <c r="P141" s="366">
        <f>'5. Financials'!H141</f>
        <v>0</v>
      </c>
      <c r="Q141" s="366">
        <f>'5. Financials'!I141</f>
        <v>11623.25367686133</v>
      </c>
      <c r="R141" s="366">
        <f>'5. Financials'!J141</f>
        <v>21202.229116267226</v>
      </c>
      <c r="S141" s="366">
        <f>'5. Financials'!K141</f>
        <v>27860.590023630415</v>
      </c>
      <c r="T141" s="366">
        <f>'5. Financials'!L141</f>
        <v>35160.11999080416</v>
      </c>
      <c r="U141" s="366">
        <f>'5. Financials'!M141</f>
        <v>40443.983145814251</v>
      </c>
      <c r="W141" s="659">
        <f t="shared" si="60"/>
        <v>0</v>
      </c>
      <c r="X141" s="659">
        <f t="shared" si="60"/>
        <v>6973.9522061167972</v>
      </c>
      <c r="Y141" s="659">
        <f t="shared" si="60"/>
        <v>12721.337469760336</v>
      </c>
      <c r="Z141" s="659">
        <f t="shared" si="60"/>
        <v>16716.354014178251</v>
      </c>
      <c r="AA141" s="659">
        <f t="shared" si="60"/>
        <v>21096.071994482496</v>
      </c>
      <c r="AB141" s="659">
        <f t="shared" si="60"/>
        <v>24266.389887488545</v>
      </c>
      <c r="AC141" s="664"/>
      <c r="AD141" s="1721"/>
      <c r="AE141" s="659">
        <f t="shared" si="61"/>
        <v>0</v>
      </c>
      <c r="AF141" s="659">
        <f t="shared" si="61"/>
        <v>0</v>
      </c>
      <c r="AG141" s="659">
        <f t="shared" si="61"/>
        <v>0</v>
      </c>
      <c r="AH141" s="659">
        <f t="shared" si="61"/>
        <v>0</v>
      </c>
      <c r="AI141" s="659">
        <f t="shared" si="61"/>
        <v>0</v>
      </c>
      <c r="AJ141" s="659"/>
      <c r="AK141" s="1716">
        <f>IF(Type="DeNovo",'1.3 EssBS'!D11,0)</f>
        <v>20537.03</v>
      </c>
      <c r="AL141" s="659">
        <f>(AL80+AL86)*AL170/365</f>
        <v>24375.597531697305</v>
      </c>
      <c r="AM141" s="659">
        <f>(AM80+AM86)*AM170/365</f>
        <v>24863.109482331252</v>
      </c>
      <c r="AN141" s="659">
        <f>(AN80+AN86)*AN170/365</f>
        <v>25360.371671977875</v>
      </c>
      <c r="AO141" s="659">
        <f>(AO80+AO86)*AO170/365</f>
        <v>25867.579105417437</v>
      </c>
      <c r="AP141" s="659">
        <f>(AP80+AP86)*AP170/365</f>
        <v>26384.930687525783</v>
      </c>
      <c r="AQ141" s="1161"/>
      <c r="AR141" s="659">
        <f t="shared" si="62"/>
        <v>20537.03</v>
      </c>
      <c r="AS141" s="659">
        <f t="shared" si="62"/>
        <v>35998.851208558634</v>
      </c>
      <c r="AT141" s="659">
        <f t="shared" si="62"/>
        <v>46065.338598598479</v>
      </c>
      <c r="AU141" s="659">
        <f t="shared" si="62"/>
        <v>53220.96169560829</v>
      </c>
      <c r="AV141" s="659">
        <f t="shared" si="62"/>
        <v>61027.699096221593</v>
      </c>
      <c r="AW141" s="659">
        <f t="shared" si="62"/>
        <v>66828.913833340033</v>
      </c>
    </row>
    <row r="142" spans="1:49" s="663" customFormat="1">
      <c r="B142" s="664"/>
      <c r="E142" s="663" t="s">
        <v>693</v>
      </c>
      <c r="I142" s="364">
        <f>'1.3 EssBS'!D12</f>
        <v>16135.26</v>
      </c>
      <c r="J142" s="364">
        <f>I142</f>
        <v>16135.26</v>
      </c>
      <c r="K142" s="364">
        <f>J142</f>
        <v>16135.26</v>
      </c>
      <c r="L142" s="364">
        <f>K142</f>
        <v>16135.26</v>
      </c>
      <c r="M142" s="364">
        <f>L142</f>
        <v>16135.26</v>
      </c>
      <c r="N142" s="364">
        <f>M142</f>
        <v>16135.26</v>
      </c>
      <c r="P142" s="1942">
        <f>'5. Financials'!H142</f>
        <v>0</v>
      </c>
      <c r="Q142" s="1942">
        <f>'5. Financials'!I142</f>
        <v>0</v>
      </c>
      <c r="R142" s="1942">
        <f>'5. Financials'!J142</f>
        <v>0</v>
      </c>
      <c r="S142" s="1942">
        <f>'5. Financials'!K142</f>
        <v>0</v>
      </c>
      <c r="T142" s="1942">
        <f>'5. Financials'!L142</f>
        <v>0</v>
      </c>
      <c r="U142" s="1942">
        <f>'5. Financials'!M142</f>
        <v>0</v>
      </c>
      <c r="W142" s="955">
        <f t="shared" si="60"/>
        <v>0</v>
      </c>
      <c r="X142" s="955">
        <f t="shared" si="60"/>
        <v>0</v>
      </c>
      <c r="Y142" s="955">
        <f t="shared" si="60"/>
        <v>0</v>
      </c>
      <c r="Z142" s="955">
        <f t="shared" si="60"/>
        <v>0</v>
      </c>
      <c r="AA142" s="955">
        <f t="shared" si="60"/>
        <v>0</v>
      </c>
      <c r="AB142" s="955">
        <f t="shared" si="60"/>
        <v>0</v>
      </c>
      <c r="AC142" s="664"/>
      <c r="AD142" s="1721"/>
      <c r="AE142" s="955">
        <f t="shared" si="61"/>
        <v>0</v>
      </c>
      <c r="AF142" s="955">
        <f t="shared" si="61"/>
        <v>0</v>
      </c>
      <c r="AG142" s="955">
        <f t="shared" si="61"/>
        <v>0</v>
      </c>
      <c r="AH142" s="955">
        <f t="shared" si="61"/>
        <v>0</v>
      </c>
      <c r="AI142" s="955">
        <f t="shared" si="61"/>
        <v>0</v>
      </c>
      <c r="AJ142" s="659"/>
      <c r="AK142" s="2028">
        <f>IF(Type="DeNovo",'1.3 EssBS'!D12,0)</f>
        <v>16135.26</v>
      </c>
      <c r="AL142" s="955">
        <f>AK142</f>
        <v>16135.26</v>
      </c>
      <c r="AM142" s="955">
        <f>AL142</f>
        <v>16135.26</v>
      </c>
      <c r="AN142" s="955">
        <f>AM142</f>
        <v>16135.26</v>
      </c>
      <c r="AO142" s="955">
        <f>AN142</f>
        <v>16135.26</v>
      </c>
      <c r="AP142" s="955">
        <f>AO142</f>
        <v>16135.26</v>
      </c>
      <c r="AQ142" s="1161"/>
      <c r="AR142" s="955">
        <f t="shared" si="62"/>
        <v>16135.26</v>
      </c>
      <c r="AS142" s="955">
        <f t="shared" si="62"/>
        <v>16135.26</v>
      </c>
      <c r="AT142" s="955">
        <f t="shared" si="62"/>
        <v>16135.26</v>
      </c>
      <c r="AU142" s="955">
        <f t="shared" si="62"/>
        <v>16135.26</v>
      </c>
      <c r="AV142" s="955">
        <f t="shared" si="62"/>
        <v>16135.26</v>
      </c>
      <c r="AW142" s="955">
        <f t="shared" si="62"/>
        <v>16135.26</v>
      </c>
    </row>
    <row r="143" spans="1:49" s="663" customFormat="1">
      <c r="B143" s="664"/>
      <c r="E143" s="663" t="s">
        <v>1407</v>
      </c>
      <c r="I143" s="359">
        <f t="shared" ref="I143:N143" si="63">SUM(I139:I142)</f>
        <v>457385.74</v>
      </c>
      <c r="J143" s="359">
        <f t="shared" si="63"/>
        <v>1338162.5097336685</v>
      </c>
      <c r="K143" s="359">
        <f t="shared" si="63"/>
        <v>1354061.2883616451</v>
      </c>
      <c r="L143" s="359">
        <f t="shared" si="63"/>
        <v>1371890.2162684968</v>
      </c>
      <c r="M143" s="359">
        <f t="shared" si="63"/>
        <v>1390176.4885633718</v>
      </c>
      <c r="N143" s="359">
        <f t="shared" si="63"/>
        <v>1420765.4015847493</v>
      </c>
      <c r="P143" s="359">
        <f ca="1">'5. Financials'!H143</f>
        <v>1142652.855904141</v>
      </c>
      <c r="Q143" s="359">
        <f ca="1">'5. Financials'!I143</f>
        <v>852720.16857702774</v>
      </c>
      <c r="R143" s="359">
        <f ca="1">'5. Financials'!J143</f>
        <v>1031151.4572558713</v>
      </c>
      <c r="S143" s="359">
        <f ca="1">'5. Financials'!K143</f>
        <v>1317148.0055308901</v>
      </c>
      <c r="T143" s="359">
        <f ca="1">'5. Financials'!L143</f>
        <v>1628188.6446605688</v>
      </c>
      <c r="U143" s="359">
        <f ca="1">'5. Financials'!M143</f>
        <v>1899985.3693968651</v>
      </c>
      <c r="W143" s="954">
        <f t="shared" ref="W143:AB143" ca="1" si="64">SUM(W139:W142)</f>
        <v>685591.71354248456</v>
      </c>
      <c r="X143" s="954">
        <f t="shared" ca="1" si="64"/>
        <v>511632.10114621668</v>
      </c>
      <c r="Y143" s="954">
        <f t="shared" ca="1" si="64"/>
        <v>618690.87435352267</v>
      </c>
      <c r="Z143" s="954">
        <f t="shared" ca="1" si="64"/>
        <v>790288.80331853393</v>
      </c>
      <c r="AA143" s="954">
        <f t="shared" ca="1" si="64"/>
        <v>976913.18679634121</v>
      </c>
      <c r="AB143" s="954">
        <f t="shared" ca="1" si="64"/>
        <v>1139991.2216381188</v>
      </c>
      <c r="AC143" s="664"/>
      <c r="AD143" s="1721"/>
      <c r="AE143" s="359">
        <f t="shared" si="61"/>
        <v>0</v>
      </c>
      <c r="AF143" s="359">
        <f t="shared" si="61"/>
        <v>0</v>
      </c>
      <c r="AG143" s="359">
        <f t="shared" si="61"/>
        <v>0</v>
      </c>
      <c r="AH143" s="359">
        <f t="shared" si="61"/>
        <v>0</v>
      </c>
      <c r="AI143" s="359">
        <f t="shared" si="61"/>
        <v>0</v>
      </c>
      <c r="AJ143" s="954"/>
      <c r="AK143" s="954">
        <f t="shared" ref="AK143:AP143" si="65">SUM(AK139:AK142)</f>
        <v>457385.74</v>
      </c>
      <c r="AL143" s="954">
        <f t="shared" si="65"/>
        <v>1338162.5097336685</v>
      </c>
      <c r="AM143" s="954">
        <f t="shared" si="65"/>
        <v>1354061.2883616451</v>
      </c>
      <c r="AN143" s="954">
        <f t="shared" si="65"/>
        <v>1371890.2162684968</v>
      </c>
      <c r="AO143" s="954">
        <f t="shared" si="65"/>
        <v>1390176.4885633718</v>
      </c>
      <c r="AP143" s="954">
        <f t="shared" si="65"/>
        <v>1420765.4015847493</v>
      </c>
      <c r="AQ143" s="1161"/>
      <c r="AR143" s="954">
        <f t="shared" ca="1" si="62"/>
        <v>1600038.595904141</v>
      </c>
      <c r="AS143" s="954">
        <f t="shared" ca="1" si="62"/>
        <v>2190882.678310696</v>
      </c>
      <c r="AT143" s="954">
        <f t="shared" ca="1" si="62"/>
        <v>2385212.7456175163</v>
      </c>
      <c r="AU143" s="954">
        <f t="shared" ca="1" si="62"/>
        <v>2689038.2217993867</v>
      </c>
      <c r="AV143" s="954">
        <f t="shared" ca="1" si="62"/>
        <v>3018365.1332239406</v>
      </c>
      <c r="AW143" s="954">
        <f t="shared" ca="1" si="62"/>
        <v>3320750.7709816145</v>
      </c>
    </row>
    <row r="144" spans="1:49" s="663" customFormat="1">
      <c r="B144" s="664"/>
      <c r="I144" s="359"/>
      <c r="J144" s="359"/>
      <c r="K144" s="359"/>
      <c r="L144" s="359"/>
      <c r="M144" s="359"/>
      <c r="N144" s="359"/>
      <c r="P144" s="359"/>
      <c r="Q144" s="359"/>
      <c r="R144" s="359"/>
      <c r="S144" s="359"/>
      <c r="T144" s="359"/>
      <c r="U144" s="359"/>
      <c r="V144" s="363"/>
      <c r="W144" s="359"/>
      <c r="X144" s="359"/>
      <c r="Y144" s="359"/>
      <c r="Z144" s="359"/>
      <c r="AA144" s="359"/>
      <c r="AB144" s="359"/>
      <c r="AC144" s="664"/>
      <c r="AD144" s="1161"/>
      <c r="AE144" s="359"/>
      <c r="AF144" s="359"/>
      <c r="AG144" s="359"/>
      <c r="AH144" s="359"/>
      <c r="AI144" s="359"/>
      <c r="AJ144" s="954"/>
      <c r="AK144" s="954"/>
      <c r="AL144" s="954"/>
      <c r="AM144" s="954"/>
      <c r="AN144" s="954"/>
      <c r="AO144" s="954"/>
      <c r="AP144" s="954"/>
      <c r="AQ144" s="1161"/>
      <c r="AR144" s="954"/>
      <c r="AS144" s="954"/>
      <c r="AT144" s="954"/>
      <c r="AU144" s="954"/>
      <c r="AV144" s="954"/>
      <c r="AW144" s="954"/>
    </row>
    <row r="145" spans="2:49" s="663" customFormat="1">
      <c r="B145" s="664"/>
      <c r="E145" s="663" t="s">
        <v>1408</v>
      </c>
      <c r="I145" s="359">
        <f>'1.3 EssBS'!D15</f>
        <v>1635282.54</v>
      </c>
      <c r="J145" s="359">
        <f>I145-J184</f>
        <v>1752465.04</v>
      </c>
      <c r="K145" s="359">
        <f>J145-K184</f>
        <v>1783365.04</v>
      </c>
      <c r="L145" s="359">
        <f>K145-L184</f>
        <v>1815192.04</v>
      </c>
      <c r="M145" s="359">
        <f>L145-M184</f>
        <v>1847973.85</v>
      </c>
      <c r="N145" s="359">
        <f>M145-N184</f>
        <v>1881739.1143</v>
      </c>
      <c r="P145" s="359">
        <f>'5. Financials'!H145</f>
        <v>2100398.42</v>
      </c>
      <c r="Q145" s="359">
        <f>'5. Financials'!I145</f>
        <v>2182724.4616666664</v>
      </c>
      <c r="R145" s="359">
        <f>'5. Financials'!J145</f>
        <v>2274422.2324999999</v>
      </c>
      <c r="S145" s="359">
        <f>'5. Financials'!K145</f>
        <v>2366088.3616666663</v>
      </c>
      <c r="T145" s="359">
        <f>'5. Financials'!L145</f>
        <v>2441782.0328333331</v>
      </c>
      <c r="U145" s="359">
        <f>'5. Financials'!M145</f>
        <v>2510991.938093333</v>
      </c>
      <c r="W145" s="359">
        <f t="shared" ref="W145:AB146" si="66">(P145*DVAOwnership)+(AK145*pshare)-(I145*pshare)</f>
        <v>1260239.0519999999</v>
      </c>
      <c r="X145" s="359">
        <f t="shared" si="66"/>
        <v>1309634.6769999999</v>
      </c>
      <c r="Y145" s="359">
        <f t="shared" si="66"/>
        <v>1364653.3395</v>
      </c>
      <c r="Z145" s="359">
        <f t="shared" si="66"/>
        <v>1419653.0169999995</v>
      </c>
      <c r="AA145" s="359">
        <f t="shared" si="66"/>
        <v>1465069.2196999998</v>
      </c>
      <c r="AB145" s="359">
        <f t="shared" si="66"/>
        <v>1506595.1628559998</v>
      </c>
      <c r="AC145" s="664"/>
      <c r="AD145" s="1721"/>
      <c r="AE145" s="359">
        <f t="shared" ref="AE145:AI147" si="67">J145-AL145</f>
        <v>0</v>
      </c>
      <c r="AF145" s="359">
        <f t="shared" si="67"/>
        <v>0</v>
      </c>
      <c r="AG145" s="359">
        <f t="shared" si="67"/>
        <v>0</v>
      </c>
      <c r="AH145" s="359">
        <f t="shared" si="67"/>
        <v>0</v>
      </c>
      <c r="AI145" s="359">
        <f t="shared" si="67"/>
        <v>0</v>
      </c>
      <c r="AJ145" s="954"/>
      <c r="AK145" s="1850">
        <f>IF(Type="DeNovo",'1.3 EssBS'!D15,0)</f>
        <v>1635282.54</v>
      </c>
      <c r="AL145" s="359">
        <f>AK145-AL184</f>
        <v>1752465.04</v>
      </c>
      <c r="AM145" s="954">
        <f>AL145-AM184</f>
        <v>1783365.04</v>
      </c>
      <c r="AN145" s="954">
        <f>AM145-AN184</f>
        <v>1815192.04</v>
      </c>
      <c r="AO145" s="954">
        <f>AN145-AO184</f>
        <v>1847973.85</v>
      </c>
      <c r="AP145" s="954">
        <f>AO145-AP184</f>
        <v>1881739.1143</v>
      </c>
      <c r="AQ145" s="1161"/>
      <c r="AR145" s="954">
        <f t="shared" ref="AR145:AW147" si="68">P145+AK145</f>
        <v>3735680.96</v>
      </c>
      <c r="AS145" s="954">
        <f t="shared" si="68"/>
        <v>3935189.5016666665</v>
      </c>
      <c r="AT145" s="954">
        <f t="shared" si="68"/>
        <v>4057787.2725</v>
      </c>
      <c r="AU145" s="954">
        <f t="shared" si="68"/>
        <v>4181280.4016666664</v>
      </c>
      <c r="AV145" s="954">
        <f t="shared" si="68"/>
        <v>4289755.8828333337</v>
      </c>
      <c r="AW145" s="954">
        <f t="shared" si="68"/>
        <v>4392731.0523933331</v>
      </c>
    </row>
    <row r="146" spans="2:49" s="663" customFormat="1">
      <c r="B146" s="664"/>
      <c r="E146" s="663" t="s">
        <v>1409</v>
      </c>
      <c r="I146" s="364">
        <f>'1.3 EssBS'!D16</f>
        <v>-757663.99</v>
      </c>
      <c r="J146" s="364">
        <f>I146-J97</f>
        <v>-903886.11</v>
      </c>
      <c r="K146" s="364">
        <f>J146-K97</f>
        <v>-1050108.23</v>
      </c>
      <c r="L146" s="364">
        <f>K146-L97</f>
        <v>-1196330.3500000001</v>
      </c>
      <c r="M146" s="364">
        <f>L146-M97</f>
        <v>-1342552.4700000002</v>
      </c>
      <c r="N146" s="364">
        <f>M146-N97</f>
        <v>-1488774.5900000003</v>
      </c>
      <c r="P146" s="364">
        <f>'5. Financials'!H146</f>
        <v>0</v>
      </c>
      <c r="Q146" s="364">
        <f>'5. Financials'!I146</f>
        <v>-157913.01833333334</v>
      </c>
      <c r="R146" s="364">
        <f>'5. Financials'!J146</f>
        <v>-328925.71821428568</v>
      </c>
      <c r="S146" s="364">
        <f>'5. Financials'!K146</f>
        <v>-513033.57940476184</v>
      </c>
      <c r="T146" s="364">
        <f>'5. Financials'!L146</f>
        <v>-707954.82219047612</v>
      </c>
      <c r="U146" s="364">
        <f>'5. Financials'!M146</f>
        <v>-912763.19429904758</v>
      </c>
      <c r="W146" s="364">
        <f t="shared" si="66"/>
        <v>0</v>
      </c>
      <c r="X146" s="364">
        <f t="shared" si="66"/>
        <v>-94747.810999999987</v>
      </c>
      <c r="Y146" s="364">
        <f t="shared" si="66"/>
        <v>-197355.43092857138</v>
      </c>
      <c r="Z146" s="364">
        <f t="shared" si="66"/>
        <v>-307820.14764285705</v>
      </c>
      <c r="AA146" s="364">
        <f t="shared" si="66"/>
        <v>-424772.89331428567</v>
      </c>
      <c r="AB146" s="364">
        <f t="shared" si="66"/>
        <v>-547657.91657942859</v>
      </c>
      <c r="AC146" s="664"/>
      <c r="AD146" s="1721"/>
      <c r="AE146" s="364">
        <f t="shared" si="67"/>
        <v>0</v>
      </c>
      <c r="AF146" s="364">
        <f t="shared" si="67"/>
        <v>0</v>
      </c>
      <c r="AG146" s="364">
        <f t="shared" si="67"/>
        <v>0</v>
      </c>
      <c r="AH146" s="364">
        <f t="shared" si="67"/>
        <v>0</v>
      </c>
      <c r="AI146" s="364">
        <f t="shared" si="67"/>
        <v>0</v>
      </c>
      <c r="AJ146" s="659"/>
      <c r="AK146" s="2028">
        <f>IF(Type="DeNovo",'1.3 EssBS'!D16,0)</f>
        <v>-757663.99</v>
      </c>
      <c r="AL146" s="364">
        <f>AK146-AL97</f>
        <v>-903886.11</v>
      </c>
      <c r="AM146" s="955">
        <f>AL146-AM97</f>
        <v>-1050108.23</v>
      </c>
      <c r="AN146" s="955">
        <f>AM146-AN97</f>
        <v>-1196330.3500000001</v>
      </c>
      <c r="AO146" s="955">
        <f>AN146-AO97</f>
        <v>-1342552.4700000002</v>
      </c>
      <c r="AP146" s="955">
        <f>AO146-AP97</f>
        <v>-1488774.5900000003</v>
      </c>
      <c r="AQ146" s="1161"/>
      <c r="AR146" s="955">
        <f t="shared" si="68"/>
        <v>-757663.99</v>
      </c>
      <c r="AS146" s="955">
        <f t="shared" si="68"/>
        <v>-1061799.1283333334</v>
      </c>
      <c r="AT146" s="955">
        <f t="shared" si="68"/>
        <v>-1379033.9482142855</v>
      </c>
      <c r="AU146" s="955">
        <f t="shared" si="68"/>
        <v>-1709363.9294047619</v>
      </c>
      <c r="AV146" s="955">
        <f t="shared" si="68"/>
        <v>-2050507.2921904763</v>
      </c>
      <c r="AW146" s="955">
        <f t="shared" si="68"/>
        <v>-2401537.7842990477</v>
      </c>
    </row>
    <row r="147" spans="2:49" s="663" customFormat="1">
      <c r="B147" s="664"/>
      <c r="E147" s="663" t="s">
        <v>1410</v>
      </c>
      <c r="I147" s="359">
        <f t="shared" ref="I147:N147" si="69">SUM(I145:I146)</f>
        <v>877618.55</v>
      </c>
      <c r="J147" s="359">
        <f t="shared" si="69"/>
        <v>848578.93</v>
      </c>
      <c r="K147" s="359">
        <f t="shared" si="69"/>
        <v>733256.81</v>
      </c>
      <c r="L147" s="359">
        <f t="shared" si="69"/>
        <v>618861.68999999994</v>
      </c>
      <c r="M147" s="359">
        <f t="shared" si="69"/>
        <v>505421.37999999989</v>
      </c>
      <c r="N147" s="359">
        <f t="shared" si="69"/>
        <v>392964.5242999997</v>
      </c>
      <c r="P147" s="359">
        <f>'5. Financials'!H147</f>
        <v>2100398.42</v>
      </c>
      <c r="Q147" s="359">
        <f>'5. Financials'!I147</f>
        <v>2024811.4433333331</v>
      </c>
      <c r="R147" s="359">
        <f>'5. Financials'!J147</f>
        <v>1945496.5142857144</v>
      </c>
      <c r="S147" s="359">
        <f>'5. Financials'!K147</f>
        <v>1853054.7822619046</v>
      </c>
      <c r="T147" s="359">
        <f>'5. Financials'!L147</f>
        <v>1733827.210642857</v>
      </c>
      <c r="U147" s="359">
        <f>'5. Financials'!M147</f>
        <v>1598228.7437942855</v>
      </c>
      <c r="W147" s="954">
        <f t="shared" ref="W147:AB147" si="70">SUM(W145:W146)</f>
        <v>1260239.0519999999</v>
      </c>
      <c r="X147" s="954">
        <f t="shared" si="70"/>
        <v>1214886.8659999999</v>
      </c>
      <c r="Y147" s="954">
        <f t="shared" si="70"/>
        <v>1167297.9085714286</v>
      </c>
      <c r="Z147" s="954">
        <f t="shared" si="70"/>
        <v>1111832.8693571426</v>
      </c>
      <c r="AA147" s="954">
        <f t="shared" si="70"/>
        <v>1040296.3263857141</v>
      </c>
      <c r="AB147" s="954">
        <f t="shared" si="70"/>
        <v>958937.24627657118</v>
      </c>
      <c r="AC147" s="664"/>
      <c r="AD147" s="1721"/>
      <c r="AE147" s="359">
        <f t="shared" si="67"/>
        <v>0</v>
      </c>
      <c r="AF147" s="359">
        <f t="shared" si="67"/>
        <v>0</v>
      </c>
      <c r="AG147" s="359">
        <f t="shared" si="67"/>
        <v>0</v>
      </c>
      <c r="AH147" s="359">
        <f t="shared" si="67"/>
        <v>0</v>
      </c>
      <c r="AI147" s="359">
        <f t="shared" si="67"/>
        <v>0</v>
      </c>
      <c r="AJ147" s="954"/>
      <c r="AK147" s="954">
        <f t="shared" ref="AK147:AP147" si="71">SUM(AK145:AK146)</f>
        <v>877618.55</v>
      </c>
      <c r="AL147" s="954">
        <f t="shared" si="71"/>
        <v>848578.93</v>
      </c>
      <c r="AM147" s="954">
        <f t="shared" si="71"/>
        <v>733256.81</v>
      </c>
      <c r="AN147" s="954">
        <f t="shared" si="71"/>
        <v>618861.68999999994</v>
      </c>
      <c r="AO147" s="954">
        <f t="shared" si="71"/>
        <v>505421.37999999989</v>
      </c>
      <c r="AP147" s="954">
        <f t="shared" si="71"/>
        <v>392964.5242999997</v>
      </c>
      <c r="AQ147" s="1161"/>
      <c r="AR147" s="954">
        <f t="shared" si="68"/>
        <v>2978016.9699999997</v>
      </c>
      <c r="AS147" s="954">
        <f t="shared" si="68"/>
        <v>2873390.3733333331</v>
      </c>
      <c r="AT147" s="954">
        <f t="shared" si="68"/>
        <v>2678753.3242857144</v>
      </c>
      <c r="AU147" s="954">
        <f t="shared" si="68"/>
        <v>2471916.4722619047</v>
      </c>
      <c r="AV147" s="954">
        <f t="shared" si="68"/>
        <v>2239248.5906428569</v>
      </c>
      <c r="AW147" s="954">
        <f t="shared" si="68"/>
        <v>1991193.2680942852</v>
      </c>
    </row>
    <row r="148" spans="2:49" s="663" customFormat="1">
      <c r="B148" s="664"/>
      <c r="I148" s="359"/>
      <c r="J148" s="359"/>
      <c r="K148" s="359"/>
      <c r="L148" s="359"/>
      <c r="M148" s="359"/>
      <c r="N148" s="359"/>
      <c r="P148" s="359"/>
      <c r="Q148" s="359"/>
      <c r="R148" s="359"/>
      <c r="S148" s="359"/>
      <c r="T148" s="359"/>
      <c r="U148" s="359"/>
      <c r="V148" s="363"/>
      <c r="W148" s="359"/>
      <c r="X148" s="359"/>
      <c r="Y148" s="359"/>
      <c r="Z148" s="359"/>
      <c r="AA148" s="359"/>
      <c r="AB148" s="359"/>
      <c r="AC148" s="664"/>
      <c r="AD148" s="1161"/>
      <c r="AE148" s="359"/>
      <c r="AF148" s="359"/>
      <c r="AG148" s="359"/>
      <c r="AH148" s="359"/>
      <c r="AI148" s="359"/>
      <c r="AJ148" s="954"/>
      <c r="AK148" s="954"/>
      <c r="AL148" s="954"/>
      <c r="AM148" s="954"/>
      <c r="AN148" s="954"/>
      <c r="AO148" s="954"/>
      <c r="AP148" s="954"/>
      <c r="AQ148" s="1161"/>
      <c r="AR148" s="954"/>
      <c r="AS148" s="954"/>
      <c r="AT148" s="954"/>
      <c r="AU148" s="954"/>
      <c r="AV148" s="954"/>
      <c r="AW148" s="954"/>
    </row>
    <row r="149" spans="2:49" s="663" customFormat="1">
      <c r="B149" s="664"/>
      <c r="E149" s="663" t="s">
        <v>1411</v>
      </c>
      <c r="I149" s="359">
        <f>SUM('1.3 EssBS'!D17:D21)</f>
        <v>2000</v>
      </c>
      <c r="J149" s="1850">
        <f>I149-J98</f>
        <v>2000</v>
      </c>
      <c r="K149" s="1850">
        <f>J149-K98</f>
        <v>2000</v>
      </c>
      <c r="L149" s="1850">
        <f>K149-L98</f>
        <v>2000</v>
      </c>
      <c r="M149" s="1850">
        <f>L149-M98</f>
        <v>2000</v>
      </c>
      <c r="N149" s="1850">
        <f>M149-N98</f>
        <v>2000</v>
      </c>
      <c r="P149" s="359">
        <f>'5. Financials'!H149</f>
        <v>65250</v>
      </c>
      <c r="Q149" s="359">
        <f>'5. Financials'!I149</f>
        <v>58725</v>
      </c>
      <c r="R149" s="359">
        <f>'5. Financials'!J149</f>
        <v>52200</v>
      </c>
      <c r="S149" s="359">
        <f>'5. Financials'!K149</f>
        <v>45675</v>
      </c>
      <c r="T149" s="359">
        <f>'5. Financials'!L149</f>
        <v>39150</v>
      </c>
      <c r="U149" s="359">
        <f>'5. Financials'!M149</f>
        <v>32625</v>
      </c>
      <c r="W149" s="954">
        <f t="shared" ref="W149:AB149" si="72">(P149*DVAOwnership)+(AK149*pshare)-(I149*pshare)</f>
        <v>39150</v>
      </c>
      <c r="X149" s="954">
        <f t="shared" si="72"/>
        <v>35235</v>
      </c>
      <c r="Y149" s="954">
        <f t="shared" si="72"/>
        <v>31320</v>
      </c>
      <c r="Z149" s="954">
        <f t="shared" si="72"/>
        <v>27405</v>
      </c>
      <c r="AA149" s="954">
        <f t="shared" si="72"/>
        <v>23490</v>
      </c>
      <c r="AB149" s="954">
        <f t="shared" si="72"/>
        <v>19575</v>
      </c>
      <c r="AC149" s="664"/>
      <c r="AD149" s="1721"/>
      <c r="AE149" s="359">
        <f>J149-AL149</f>
        <v>0</v>
      </c>
      <c r="AF149" s="359">
        <f>K149-AM149</f>
        <v>0</v>
      </c>
      <c r="AG149" s="359">
        <f>L149-AN149</f>
        <v>0</v>
      </c>
      <c r="AH149" s="359">
        <f>M149-AO149</f>
        <v>0</v>
      </c>
      <c r="AI149" s="359">
        <f>N149-AP149</f>
        <v>0</v>
      </c>
      <c r="AJ149" s="954"/>
      <c r="AK149" s="1850">
        <f>IF(Type="DeNovo", SUM('1.3 EssBS'!D17:D21),0)</f>
        <v>2000</v>
      </c>
      <c r="AL149" s="1850">
        <f>AK149-AL98</f>
        <v>2000</v>
      </c>
      <c r="AM149" s="1850">
        <f>AL149-AM98</f>
        <v>2000</v>
      </c>
      <c r="AN149" s="1850">
        <f>AM149-AN98</f>
        <v>2000</v>
      </c>
      <c r="AO149" s="1850">
        <f>AN149-AO98</f>
        <v>2000</v>
      </c>
      <c r="AP149" s="1850">
        <f>AO149-AP98</f>
        <v>2000</v>
      </c>
      <c r="AQ149" s="1161"/>
      <c r="AR149" s="954">
        <f t="shared" ref="AR149:AW149" si="73">P149+AK149</f>
        <v>67250</v>
      </c>
      <c r="AS149" s="954">
        <f t="shared" si="73"/>
        <v>60725</v>
      </c>
      <c r="AT149" s="954">
        <f t="shared" si="73"/>
        <v>54200</v>
      </c>
      <c r="AU149" s="954">
        <f t="shared" si="73"/>
        <v>47675</v>
      </c>
      <c r="AV149" s="954">
        <f t="shared" si="73"/>
        <v>41150</v>
      </c>
      <c r="AW149" s="954">
        <f t="shared" si="73"/>
        <v>34625</v>
      </c>
    </row>
    <row r="150" spans="2:49" s="663" customFormat="1">
      <c r="B150" s="664"/>
      <c r="I150" s="359"/>
      <c r="J150" s="359"/>
      <c r="K150" s="359"/>
      <c r="L150" s="359"/>
      <c r="M150" s="359"/>
      <c r="N150" s="359"/>
      <c r="P150" s="359"/>
      <c r="Q150" s="359"/>
      <c r="R150" s="359"/>
      <c r="S150" s="359"/>
      <c r="T150" s="359"/>
      <c r="U150" s="359"/>
      <c r="V150" s="363"/>
      <c r="W150" s="359"/>
      <c r="X150" s="359"/>
      <c r="Y150" s="359"/>
      <c r="Z150" s="359"/>
      <c r="AA150" s="359"/>
      <c r="AB150" s="359"/>
      <c r="AC150" s="664"/>
      <c r="AD150" s="1161"/>
      <c r="AE150" s="359"/>
      <c r="AF150" s="359"/>
      <c r="AG150" s="359"/>
      <c r="AH150" s="359"/>
      <c r="AI150" s="359"/>
      <c r="AJ150" s="954"/>
      <c r="AK150" s="954"/>
      <c r="AL150" s="954"/>
      <c r="AM150" s="954"/>
      <c r="AN150" s="954"/>
      <c r="AO150" s="954"/>
      <c r="AP150" s="954"/>
      <c r="AQ150" s="1161"/>
      <c r="AR150" s="954"/>
      <c r="AS150" s="954"/>
      <c r="AT150" s="954"/>
      <c r="AU150" s="954"/>
      <c r="AV150" s="954"/>
      <c r="AW150" s="954"/>
    </row>
    <row r="151" spans="2:49" s="663" customFormat="1" ht="12" thickBot="1">
      <c r="B151" s="664"/>
      <c r="E151" s="663" t="s">
        <v>1412</v>
      </c>
      <c r="I151" s="369">
        <f t="shared" ref="I151:N151" si="74">I143+I147+I149</f>
        <v>1337004.29</v>
      </c>
      <c r="J151" s="369">
        <f t="shared" si="74"/>
        <v>2188741.4397336687</v>
      </c>
      <c r="K151" s="369">
        <f t="shared" si="74"/>
        <v>2089318.0983616451</v>
      </c>
      <c r="L151" s="369">
        <f t="shared" si="74"/>
        <v>1992751.9062684968</v>
      </c>
      <c r="M151" s="369">
        <f t="shared" si="74"/>
        <v>1897597.8685633717</v>
      </c>
      <c r="N151" s="369">
        <f t="shared" si="74"/>
        <v>1815729.925884749</v>
      </c>
      <c r="P151" s="369">
        <f ca="1">'5. Financials'!H151</f>
        <v>3308301.2759041409</v>
      </c>
      <c r="Q151" s="369">
        <f ca="1">'5. Financials'!I151</f>
        <v>2936256.6119103609</v>
      </c>
      <c r="R151" s="369">
        <f ca="1">'5. Financials'!J151</f>
        <v>3028847.9715415854</v>
      </c>
      <c r="S151" s="369">
        <f ca="1">'5. Financials'!K151</f>
        <v>3215877.7877927944</v>
      </c>
      <c r="T151" s="369">
        <f ca="1">'5. Financials'!L151</f>
        <v>3401165.8553034258</v>
      </c>
      <c r="U151" s="369">
        <f ca="1">'5. Financials'!M151</f>
        <v>3530839.1131911506</v>
      </c>
      <c r="W151" s="369">
        <f t="shared" ref="W151:AB151" ca="1" si="75">W143+W147+W149</f>
        <v>1984980.7655424844</v>
      </c>
      <c r="X151" s="369">
        <f t="shared" ca="1" si="75"/>
        <v>1761753.9671462167</v>
      </c>
      <c r="Y151" s="369">
        <f t="shared" ca="1" si="75"/>
        <v>1817308.7829249513</v>
      </c>
      <c r="Z151" s="369">
        <f t="shared" ca="1" si="75"/>
        <v>1929526.6726756766</v>
      </c>
      <c r="AA151" s="369">
        <f t="shared" ca="1" si="75"/>
        <v>2040699.5131820552</v>
      </c>
      <c r="AB151" s="369">
        <f t="shared" ca="1" si="75"/>
        <v>2118503.4679146903</v>
      </c>
      <c r="AC151" s="664"/>
      <c r="AD151" s="1721"/>
      <c r="AE151" s="369">
        <f>J151-AL151</f>
        <v>0</v>
      </c>
      <c r="AF151" s="369">
        <f>K151-AM151</f>
        <v>0</v>
      </c>
      <c r="AG151" s="369">
        <f>L151-AN151</f>
        <v>0</v>
      </c>
      <c r="AH151" s="369">
        <f>M151-AO151</f>
        <v>0</v>
      </c>
      <c r="AI151" s="369">
        <f>N151-AP151</f>
        <v>0</v>
      </c>
      <c r="AJ151" s="1145"/>
      <c r="AK151" s="369">
        <f t="shared" ref="AK151:AP151" si="76">AK143+AK147+AK149</f>
        <v>1337004.29</v>
      </c>
      <c r="AL151" s="1313">
        <f t="shared" si="76"/>
        <v>2188741.4397336687</v>
      </c>
      <c r="AM151" s="1313">
        <f t="shared" si="76"/>
        <v>2089318.0983616451</v>
      </c>
      <c r="AN151" s="1313">
        <f t="shared" si="76"/>
        <v>1992751.9062684968</v>
      </c>
      <c r="AO151" s="1313">
        <f t="shared" si="76"/>
        <v>1897597.8685633717</v>
      </c>
      <c r="AP151" s="1313">
        <f t="shared" si="76"/>
        <v>1815729.925884749</v>
      </c>
      <c r="AQ151" s="1161"/>
      <c r="AR151" s="1313">
        <f t="shared" ref="AR151:AW151" ca="1" si="77">P151+AK151</f>
        <v>4645305.5659041405</v>
      </c>
      <c r="AS151" s="1313">
        <f t="shared" ca="1" si="77"/>
        <v>5124998.0516440291</v>
      </c>
      <c r="AT151" s="1313">
        <f t="shared" ca="1" si="77"/>
        <v>5118166.0699032303</v>
      </c>
      <c r="AU151" s="1313">
        <f t="shared" ca="1" si="77"/>
        <v>5208629.6940612914</v>
      </c>
      <c r="AV151" s="1313">
        <f t="shared" ca="1" si="77"/>
        <v>5298763.723866798</v>
      </c>
      <c r="AW151" s="1313">
        <f t="shared" ca="1" si="77"/>
        <v>5346569.0390758999</v>
      </c>
    </row>
    <row r="152" spans="2:49" s="663" customFormat="1" ht="12" thickTop="1">
      <c r="B152" s="664"/>
      <c r="I152" s="359"/>
      <c r="J152" s="359"/>
      <c r="K152" s="359"/>
      <c r="L152" s="359"/>
      <c r="M152" s="359"/>
      <c r="N152" s="359"/>
      <c r="P152" s="359"/>
      <c r="Q152" s="359"/>
      <c r="R152" s="359"/>
      <c r="S152" s="359"/>
      <c r="T152" s="359"/>
      <c r="U152" s="359"/>
      <c r="W152" s="359"/>
      <c r="X152" s="359"/>
      <c r="Y152" s="359"/>
      <c r="Z152" s="359"/>
      <c r="AA152" s="359"/>
      <c r="AB152" s="359"/>
      <c r="AC152" s="664"/>
      <c r="AD152" s="1161"/>
      <c r="AE152" s="359"/>
      <c r="AF152" s="359"/>
      <c r="AG152" s="359"/>
      <c r="AH152" s="359"/>
      <c r="AI152" s="359"/>
      <c r="AJ152" s="954"/>
      <c r="AK152" s="954"/>
      <c r="AL152" s="954"/>
      <c r="AM152" s="954"/>
      <c r="AN152" s="954"/>
      <c r="AO152" s="954"/>
      <c r="AP152" s="954"/>
      <c r="AQ152" s="1161"/>
      <c r="AR152" s="1943"/>
      <c r="AS152" s="1943"/>
      <c r="AT152" s="1943"/>
      <c r="AU152" s="1943"/>
      <c r="AV152" s="1943"/>
      <c r="AW152" s="1943"/>
    </row>
    <row r="153" spans="2:49" s="663" customFormat="1">
      <c r="B153" s="664"/>
      <c r="E153" s="663" t="s">
        <v>1414</v>
      </c>
      <c r="I153" s="359"/>
      <c r="J153" s="359"/>
      <c r="K153" s="359"/>
      <c r="L153" s="359"/>
      <c r="M153" s="359"/>
      <c r="N153" s="359"/>
      <c r="P153" s="359"/>
      <c r="Q153" s="359"/>
      <c r="R153" s="359"/>
      <c r="S153" s="359"/>
      <c r="T153" s="359"/>
      <c r="U153" s="359"/>
      <c r="W153" s="359"/>
      <c r="X153" s="359"/>
      <c r="Y153" s="359"/>
      <c r="Z153" s="359"/>
      <c r="AA153" s="359"/>
      <c r="AB153" s="359"/>
      <c r="AC153" s="664"/>
      <c r="AD153" s="1161"/>
      <c r="AE153" s="359"/>
      <c r="AF153" s="359"/>
      <c r="AG153" s="359"/>
      <c r="AH153" s="359"/>
      <c r="AI153" s="359"/>
      <c r="AJ153" s="954"/>
      <c r="AK153" s="954"/>
      <c r="AL153" s="954"/>
      <c r="AM153" s="954"/>
      <c r="AN153" s="954"/>
      <c r="AO153" s="954"/>
      <c r="AP153" s="954"/>
      <c r="AQ153" s="1161"/>
      <c r="AR153" s="954"/>
      <c r="AS153" s="954"/>
      <c r="AT153" s="954"/>
      <c r="AU153" s="954"/>
      <c r="AV153" s="954"/>
      <c r="AW153" s="954"/>
    </row>
    <row r="154" spans="2:49" s="663" customFormat="1">
      <c r="B154" s="664"/>
      <c r="I154" s="359"/>
      <c r="J154" s="359"/>
      <c r="K154" s="359"/>
      <c r="L154" s="359"/>
      <c r="M154" s="359"/>
      <c r="N154" s="359"/>
      <c r="O154" s="667"/>
      <c r="P154" s="359"/>
      <c r="Q154" s="359"/>
      <c r="R154" s="359"/>
      <c r="S154" s="359"/>
      <c r="T154" s="359"/>
      <c r="U154" s="359"/>
      <c r="W154" s="359"/>
      <c r="X154" s="359"/>
      <c r="Y154" s="359"/>
      <c r="Z154" s="359"/>
      <c r="AA154" s="359"/>
      <c r="AB154" s="359"/>
      <c r="AC154" s="664"/>
      <c r="AD154" s="1161"/>
      <c r="AE154" s="359"/>
      <c r="AF154" s="359"/>
      <c r="AG154" s="359"/>
      <c r="AH154" s="359"/>
      <c r="AI154" s="359"/>
      <c r="AJ154" s="954"/>
      <c r="AK154" s="954"/>
      <c r="AL154" s="954"/>
      <c r="AM154" s="954"/>
      <c r="AN154" s="954"/>
      <c r="AO154" s="954"/>
      <c r="AP154" s="954"/>
      <c r="AQ154" s="1161"/>
      <c r="AR154" s="954"/>
      <c r="AS154" s="954"/>
      <c r="AT154" s="954"/>
      <c r="AU154" s="954"/>
      <c r="AV154" s="954"/>
      <c r="AW154" s="954"/>
    </row>
    <row r="155" spans="2:49" s="663" customFormat="1">
      <c r="B155" s="664"/>
      <c r="E155" s="663" t="s">
        <v>1416</v>
      </c>
      <c r="I155" s="363">
        <f>'1.3 EssBS'!D26</f>
        <v>2430.73</v>
      </c>
      <c r="J155" s="363">
        <f>(J94-J77)*J171/365</f>
        <v>168012.7315707551</v>
      </c>
      <c r="K155" s="363">
        <f>(K94-K77)*K171/365</f>
        <v>171176.90128901415</v>
      </c>
      <c r="L155" s="363">
        <f>(L94-L77)*L171/365</f>
        <v>174477.25106786168</v>
      </c>
      <c r="M155" s="363">
        <f>(M94-M77)*M171/365</f>
        <v>177862.1177539519</v>
      </c>
      <c r="N155" s="363">
        <f>(N94-N77)*N171/365</f>
        <v>181756.90816781344</v>
      </c>
      <c r="O155" s="667"/>
      <c r="P155" s="363">
        <f>'5. Financials'!H155</f>
        <v>0</v>
      </c>
      <c r="Q155" s="363">
        <f>'5. Financials'!I155</f>
        <v>43942.14102877165</v>
      </c>
      <c r="R155" s="363">
        <f>'5. Financials'!J155</f>
        <v>87583.187440321082</v>
      </c>
      <c r="S155" s="363">
        <f>'5. Financials'!K155</f>
        <v>120126.0095734255</v>
      </c>
      <c r="T155" s="363">
        <f>'5. Financials'!L155</f>
        <v>150447.02974797011</v>
      </c>
      <c r="U155" s="363">
        <f>'5. Financials'!M155</f>
        <v>175358.82049541554</v>
      </c>
      <c r="W155" s="1721">
        <f t="shared" ref="W155:AB156" si="78">(P155*DVAOwnership)+(AK155*pshare)-(I155*pshare)</f>
        <v>0</v>
      </c>
      <c r="X155" s="1721">
        <f t="shared" si="78"/>
        <v>26365.284617262994</v>
      </c>
      <c r="Y155" s="1721">
        <f t="shared" si="78"/>
        <v>52549.912464192646</v>
      </c>
      <c r="Z155" s="1721">
        <f t="shared" si="78"/>
        <v>72075.605744055312</v>
      </c>
      <c r="AA155" s="1721">
        <f t="shared" si="78"/>
        <v>90268.217848782049</v>
      </c>
      <c r="AB155" s="1721">
        <f t="shared" si="78"/>
        <v>105215.29229724934</v>
      </c>
      <c r="AC155" s="664"/>
      <c r="AD155" s="1721"/>
      <c r="AE155" s="363">
        <f t="shared" ref="AE155:AI156" si="79">J155-AL155</f>
        <v>0</v>
      </c>
      <c r="AF155" s="363">
        <f t="shared" si="79"/>
        <v>0</v>
      </c>
      <c r="AG155" s="363">
        <f t="shared" si="79"/>
        <v>0</v>
      </c>
      <c r="AH155" s="363">
        <f t="shared" si="79"/>
        <v>0</v>
      </c>
      <c r="AI155" s="363">
        <f t="shared" si="79"/>
        <v>0</v>
      </c>
      <c r="AJ155" s="1721"/>
      <c r="AK155" s="2078">
        <f>IF(Type="DeNovo",'1.3 EssBS'!D26,0)</f>
        <v>2430.73</v>
      </c>
      <c r="AL155" s="1721">
        <f>(AL94-AL77)*AL171/365</f>
        <v>168012.7315707551</v>
      </c>
      <c r="AM155" s="1721">
        <f>(AM94-AM77)*AM171/365</f>
        <v>171176.90128901415</v>
      </c>
      <c r="AN155" s="1721">
        <f>(AN94-AN77)*AN171/365</f>
        <v>174477.25106786168</v>
      </c>
      <c r="AO155" s="1721">
        <f>(AO94-AO77)*AO171/365</f>
        <v>177862.1177539519</v>
      </c>
      <c r="AP155" s="1721">
        <f>(AP94-AP77)*AP171/365</f>
        <v>181756.90816781344</v>
      </c>
      <c r="AQ155" s="1161"/>
      <c r="AR155" s="1721">
        <f t="shared" ref="AR155:AW156" si="80">P155+AK155</f>
        <v>2430.73</v>
      </c>
      <c r="AS155" s="1721">
        <f t="shared" si="80"/>
        <v>211954.87259952675</v>
      </c>
      <c r="AT155" s="1721">
        <f t="shared" si="80"/>
        <v>258760.08872933523</v>
      </c>
      <c r="AU155" s="1721">
        <f t="shared" si="80"/>
        <v>294603.2606412872</v>
      </c>
      <c r="AV155" s="1721">
        <f t="shared" si="80"/>
        <v>328309.14750192198</v>
      </c>
      <c r="AW155" s="1721">
        <f t="shared" si="80"/>
        <v>357115.72866322898</v>
      </c>
    </row>
    <row r="156" spans="2:49" s="663" customFormat="1">
      <c r="B156" s="664"/>
      <c r="E156" s="663" t="s">
        <v>1415</v>
      </c>
      <c r="I156" s="359">
        <f>'1.3 EssBS'!D27</f>
        <v>51668.32</v>
      </c>
      <c r="J156" s="359">
        <f>J77*J172/365</f>
        <v>33317.167721064354</v>
      </c>
      <c r="K156" s="359">
        <f>K77*K172/365</f>
        <v>34316.682752696281</v>
      </c>
      <c r="L156" s="359">
        <f>L77*L172/365</f>
        <v>35346.183235277182</v>
      </c>
      <c r="M156" s="359">
        <f>M77*M172/365</f>
        <v>36406.568732335487</v>
      </c>
      <c r="N156" s="359">
        <f>N77*N172/365</f>
        <v>37498.765794305567</v>
      </c>
      <c r="O156" s="667"/>
      <c r="P156" s="359">
        <f>'5. Financials'!H156</f>
        <v>0</v>
      </c>
      <c r="Q156" s="359">
        <f>'5. Financials'!I156</f>
        <v>20108.666666666668</v>
      </c>
      <c r="R156" s="359">
        <f>'5. Financials'!J156</f>
        <v>27727.256666666668</v>
      </c>
      <c r="S156" s="359">
        <f>'5. Financials'!K156</f>
        <v>37895.253697777778</v>
      </c>
      <c r="T156" s="359">
        <f>'5. Financials'!L156</f>
        <v>47220.90019757962</v>
      </c>
      <c r="U156" s="359">
        <f>'5. Financials'!M156</f>
        <v>54480.195588333925</v>
      </c>
      <c r="W156" s="954">
        <f t="shared" si="78"/>
        <v>0</v>
      </c>
      <c r="X156" s="954">
        <f t="shared" si="78"/>
        <v>12065.2</v>
      </c>
      <c r="Y156" s="954">
        <f t="shared" si="78"/>
        <v>16636.353999999996</v>
      </c>
      <c r="Z156" s="954">
        <f t="shared" si="78"/>
        <v>22737.15221866667</v>
      </c>
      <c r="AA156" s="954">
        <f t="shared" si="78"/>
        <v>28332.540118547768</v>
      </c>
      <c r="AB156" s="954">
        <f t="shared" si="78"/>
        <v>32688.117353000354</v>
      </c>
      <c r="AC156" s="664"/>
      <c r="AD156" s="1721"/>
      <c r="AE156" s="359">
        <f t="shared" si="79"/>
        <v>0</v>
      </c>
      <c r="AF156" s="359">
        <f t="shared" si="79"/>
        <v>0</v>
      </c>
      <c r="AG156" s="359">
        <f t="shared" si="79"/>
        <v>0</v>
      </c>
      <c r="AH156" s="359">
        <f t="shared" si="79"/>
        <v>0</v>
      </c>
      <c r="AI156" s="359">
        <f t="shared" si="79"/>
        <v>0</v>
      </c>
      <c r="AJ156" s="954"/>
      <c r="AK156" s="1850">
        <f>IF(Type="DeNovo",'1.3 EssBS'!D27,0)</f>
        <v>51668.32</v>
      </c>
      <c r="AL156" s="954">
        <f>AL77*AL172/365</f>
        <v>33317.167721064354</v>
      </c>
      <c r="AM156" s="954">
        <f>AM77*AM172/365</f>
        <v>34316.682752696281</v>
      </c>
      <c r="AN156" s="954">
        <f>AN77*AN172/365</f>
        <v>35346.183235277182</v>
      </c>
      <c r="AO156" s="954">
        <f>AO77*AO172/365</f>
        <v>36406.568732335487</v>
      </c>
      <c r="AP156" s="954">
        <f>AP77*AP172/365</f>
        <v>37498.765794305567</v>
      </c>
      <c r="AQ156" s="1161"/>
      <c r="AR156" s="954">
        <f t="shared" si="80"/>
        <v>51668.32</v>
      </c>
      <c r="AS156" s="954">
        <f t="shared" si="80"/>
        <v>53425.834387731025</v>
      </c>
      <c r="AT156" s="954">
        <f t="shared" si="80"/>
        <v>62043.939419362949</v>
      </c>
      <c r="AU156" s="954">
        <f t="shared" si="80"/>
        <v>73241.436933054967</v>
      </c>
      <c r="AV156" s="954">
        <f t="shared" si="80"/>
        <v>83627.468929915107</v>
      </c>
      <c r="AW156" s="954">
        <f t="shared" si="80"/>
        <v>91978.961382639493</v>
      </c>
    </row>
    <row r="157" spans="2:49" s="663" customFormat="1">
      <c r="B157" s="664"/>
      <c r="E157" s="663" t="s">
        <v>1417</v>
      </c>
      <c r="I157" s="366"/>
      <c r="J157" s="366"/>
      <c r="K157" s="366"/>
      <c r="L157" s="366"/>
      <c r="M157" s="366"/>
      <c r="N157" s="366"/>
      <c r="P157" s="366">
        <f>'5. Financials'!H157</f>
        <v>0</v>
      </c>
      <c r="Q157" s="366">
        <f>'5. Financials'!I157</f>
        <v>0</v>
      </c>
      <c r="R157" s="366">
        <f>'5. Financials'!J157</f>
        <v>0</v>
      </c>
      <c r="S157" s="366">
        <f>'5. Financials'!K157</f>
        <v>0</v>
      </c>
      <c r="T157" s="366">
        <f>'5. Financials'!L157</f>
        <v>0</v>
      </c>
      <c r="U157" s="366">
        <f>'5. Financials'!M157</f>
        <v>0</v>
      </c>
      <c r="W157" s="659"/>
      <c r="X157" s="659"/>
      <c r="Y157" s="659"/>
      <c r="Z157" s="659"/>
      <c r="AA157" s="659"/>
      <c r="AB157" s="659"/>
      <c r="AC157" s="664"/>
      <c r="AD157" s="1161"/>
      <c r="AE157" s="366"/>
      <c r="AF157" s="366"/>
      <c r="AG157" s="366"/>
      <c r="AH157" s="366"/>
      <c r="AI157" s="366"/>
      <c r="AJ157" s="659"/>
      <c r="AK157" s="659"/>
      <c r="AL157" s="659"/>
      <c r="AM157" s="659"/>
      <c r="AN157" s="659"/>
      <c r="AO157" s="659"/>
      <c r="AP157" s="659"/>
      <c r="AQ157" s="1161"/>
      <c r="AR157" s="659"/>
      <c r="AS157" s="659"/>
      <c r="AT157" s="659"/>
      <c r="AU157" s="659"/>
      <c r="AV157" s="659"/>
      <c r="AW157" s="659"/>
    </row>
    <row r="158" spans="2:49" s="663" customFormat="1">
      <c r="B158" s="664"/>
      <c r="E158" s="663" t="s">
        <v>521</v>
      </c>
      <c r="I158" s="364">
        <f>'1.3 EssBS'!D28+'1.3 EssBS'!D31</f>
        <v>50124.460000000006</v>
      </c>
      <c r="J158" s="364">
        <f>I158</f>
        <v>50124.460000000006</v>
      </c>
      <c r="K158" s="364">
        <f>J158</f>
        <v>50124.460000000006</v>
      </c>
      <c r="L158" s="364">
        <f>K158</f>
        <v>50124.460000000006</v>
      </c>
      <c r="M158" s="364">
        <f>L158</f>
        <v>50124.460000000006</v>
      </c>
      <c r="N158" s="364">
        <f>M158</f>
        <v>50124.460000000006</v>
      </c>
      <c r="P158" s="1942">
        <f>'5. Financials'!H158</f>
        <v>0</v>
      </c>
      <c r="Q158" s="1942">
        <f>'5. Financials'!I158</f>
        <v>0</v>
      </c>
      <c r="R158" s="1942">
        <f>'5. Financials'!J158</f>
        <v>0</v>
      </c>
      <c r="S158" s="1942">
        <f>'5. Financials'!K158</f>
        <v>0</v>
      </c>
      <c r="T158" s="1942">
        <f>'5. Financials'!L158</f>
        <v>0</v>
      </c>
      <c r="U158" s="1942">
        <f>'5. Financials'!M158</f>
        <v>0</v>
      </c>
      <c r="V158" s="363"/>
      <c r="W158" s="364">
        <f t="shared" ref="W158:AB158" si="81">(P158*DVAOwnership)+(AK158*pshare)-(I158*pshare)</f>
        <v>0</v>
      </c>
      <c r="X158" s="364">
        <f t="shared" si="81"/>
        <v>0</v>
      </c>
      <c r="Y158" s="364">
        <f t="shared" si="81"/>
        <v>0</v>
      </c>
      <c r="Z158" s="364">
        <f t="shared" si="81"/>
        <v>0</v>
      </c>
      <c r="AA158" s="364">
        <f t="shared" si="81"/>
        <v>0</v>
      </c>
      <c r="AB158" s="364">
        <f t="shared" si="81"/>
        <v>0</v>
      </c>
      <c r="AC158" s="664"/>
      <c r="AD158" s="1721"/>
      <c r="AE158" s="364">
        <f t="shared" ref="AE158:AI159" si="82">J158-AL158</f>
        <v>0</v>
      </c>
      <c r="AF158" s="364">
        <f t="shared" si="82"/>
        <v>0</v>
      </c>
      <c r="AG158" s="364">
        <f t="shared" si="82"/>
        <v>0</v>
      </c>
      <c r="AH158" s="364">
        <f t="shared" si="82"/>
        <v>0</v>
      </c>
      <c r="AI158" s="364">
        <f t="shared" si="82"/>
        <v>0</v>
      </c>
      <c r="AJ158" s="659"/>
      <c r="AK158" s="2028">
        <f>IF(Type="DeNovo",('1.3 EssBS'!D28+'1.3 EssBS'!D31),0)</f>
        <v>50124.460000000006</v>
      </c>
      <c r="AL158" s="364">
        <f>AK158</f>
        <v>50124.460000000006</v>
      </c>
      <c r="AM158" s="364">
        <f>AL158</f>
        <v>50124.460000000006</v>
      </c>
      <c r="AN158" s="364">
        <f>AM158</f>
        <v>50124.460000000006</v>
      </c>
      <c r="AO158" s="364">
        <f>AN158</f>
        <v>50124.460000000006</v>
      </c>
      <c r="AP158" s="364">
        <f>AO158</f>
        <v>50124.460000000006</v>
      </c>
      <c r="AQ158" s="1161"/>
      <c r="AR158" s="955">
        <f t="shared" ref="AR158:AW159" si="83">P158+AK158</f>
        <v>50124.460000000006</v>
      </c>
      <c r="AS158" s="955">
        <f t="shared" si="83"/>
        <v>50124.460000000006</v>
      </c>
      <c r="AT158" s="955">
        <f t="shared" si="83"/>
        <v>50124.460000000006</v>
      </c>
      <c r="AU158" s="955">
        <f t="shared" si="83"/>
        <v>50124.460000000006</v>
      </c>
      <c r="AV158" s="955">
        <f t="shared" si="83"/>
        <v>50124.460000000006</v>
      </c>
      <c r="AW158" s="955">
        <f t="shared" si="83"/>
        <v>50124.460000000006</v>
      </c>
    </row>
    <row r="159" spans="2:49" s="663" customFormat="1">
      <c r="B159" s="664"/>
      <c r="E159" s="663" t="s">
        <v>1418</v>
      </c>
      <c r="I159" s="359">
        <f t="shared" ref="I159:N159" si="84">SUM(I155:I158)</f>
        <v>104223.51000000001</v>
      </c>
      <c r="J159" s="359">
        <f t="shared" si="84"/>
        <v>251454.35929181945</v>
      </c>
      <c r="K159" s="359">
        <f t="shared" si="84"/>
        <v>255618.04404171044</v>
      </c>
      <c r="L159" s="359">
        <f t="shared" si="84"/>
        <v>259947.89430313889</v>
      </c>
      <c r="M159" s="359">
        <f t="shared" si="84"/>
        <v>264393.14648628741</v>
      </c>
      <c r="N159" s="359">
        <f t="shared" si="84"/>
        <v>269380.133962119</v>
      </c>
      <c r="P159" s="359">
        <f>'5. Financials'!H159</f>
        <v>0</v>
      </c>
      <c r="Q159" s="359">
        <f>'5. Financials'!I159</f>
        <v>64050.807695438314</v>
      </c>
      <c r="R159" s="359">
        <f>'5. Financials'!J159</f>
        <v>115310.44410698775</v>
      </c>
      <c r="S159" s="359">
        <f>'5. Financials'!K159</f>
        <v>158021.26327120326</v>
      </c>
      <c r="T159" s="359">
        <f>'5. Financials'!L159</f>
        <v>197667.92994554972</v>
      </c>
      <c r="U159" s="359">
        <f>'5. Financials'!M159</f>
        <v>229839.01608374948</v>
      </c>
      <c r="W159" s="359">
        <f t="shared" ref="W159:AB159" si="85">SUM(W155:W158)</f>
        <v>0</v>
      </c>
      <c r="X159" s="359">
        <f t="shared" si="85"/>
        <v>38430.484617262991</v>
      </c>
      <c r="Y159" s="359">
        <f t="shared" si="85"/>
        <v>69186.266464192639</v>
      </c>
      <c r="Z159" s="359">
        <f t="shared" si="85"/>
        <v>94812.757962721982</v>
      </c>
      <c r="AA159" s="359">
        <f t="shared" si="85"/>
        <v>118600.75796732982</v>
      </c>
      <c r="AB159" s="359">
        <f t="shared" si="85"/>
        <v>137903.4096502497</v>
      </c>
      <c r="AC159" s="664"/>
      <c r="AD159" s="1721"/>
      <c r="AE159" s="359">
        <f t="shared" si="82"/>
        <v>0</v>
      </c>
      <c r="AF159" s="359">
        <f t="shared" si="82"/>
        <v>0</v>
      </c>
      <c r="AG159" s="359">
        <f t="shared" si="82"/>
        <v>0</v>
      </c>
      <c r="AH159" s="359">
        <f t="shared" si="82"/>
        <v>0</v>
      </c>
      <c r="AI159" s="359">
        <f t="shared" si="82"/>
        <v>0</v>
      </c>
      <c r="AJ159" s="954"/>
      <c r="AK159" s="359">
        <f t="shared" ref="AK159:AP159" si="86">SUM(AK155:AK158)</f>
        <v>104223.51000000001</v>
      </c>
      <c r="AL159" s="359">
        <f t="shared" si="86"/>
        <v>251454.35929181945</v>
      </c>
      <c r="AM159" s="359">
        <f t="shared" si="86"/>
        <v>255618.04404171044</v>
      </c>
      <c r="AN159" s="359">
        <f t="shared" si="86"/>
        <v>259947.89430313889</v>
      </c>
      <c r="AO159" s="359">
        <f t="shared" si="86"/>
        <v>264393.14648628741</v>
      </c>
      <c r="AP159" s="359">
        <f t="shared" si="86"/>
        <v>269380.133962119</v>
      </c>
      <c r="AQ159" s="1161"/>
      <c r="AR159" s="954">
        <f t="shared" si="83"/>
        <v>104223.51000000001</v>
      </c>
      <c r="AS159" s="954">
        <f t="shared" si="83"/>
        <v>315505.16698725778</v>
      </c>
      <c r="AT159" s="954">
        <f t="shared" si="83"/>
        <v>370928.48814869818</v>
      </c>
      <c r="AU159" s="954">
        <f t="shared" si="83"/>
        <v>417969.15757434216</v>
      </c>
      <c r="AV159" s="954">
        <f t="shared" si="83"/>
        <v>462061.07643183717</v>
      </c>
      <c r="AW159" s="954">
        <f t="shared" si="83"/>
        <v>499219.15004586847</v>
      </c>
    </row>
    <row r="160" spans="2:49" s="663" customFormat="1">
      <c r="B160" s="664"/>
      <c r="I160" s="359"/>
      <c r="J160" s="359"/>
      <c r="K160" s="359"/>
      <c r="L160" s="359"/>
      <c r="M160" s="359"/>
      <c r="N160" s="359"/>
      <c r="P160" s="359"/>
      <c r="Q160" s="359"/>
      <c r="R160" s="359"/>
      <c r="S160" s="359"/>
      <c r="T160" s="359"/>
      <c r="U160" s="359"/>
      <c r="W160" s="359"/>
      <c r="X160" s="359"/>
      <c r="Y160" s="359"/>
      <c r="Z160" s="359"/>
      <c r="AA160" s="359"/>
      <c r="AB160" s="359"/>
      <c r="AC160" s="664"/>
      <c r="AD160" s="1161"/>
      <c r="AE160" s="359"/>
      <c r="AF160" s="359"/>
      <c r="AG160" s="359"/>
      <c r="AH160" s="359"/>
      <c r="AI160" s="359"/>
      <c r="AJ160" s="954"/>
      <c r="AK160" s="954"/>
      <c r="AL160" s="954"/>
      <c r="AM160" s="954"/>
      <c r="AN160" s="954"/>
      <c r="AO160" s="954"/>
      <c r="AP160" s="954"/>
      <c r="AQ160" s="1161"/>
      <c r="AR160" s="954"/>
      <c r="AS160" s="954"/>
      <c r="AT160" s="954"/>
      <c r="AU160" s="954"/>
      <c r="AV160" s="954"/>
      <c r="AW160" s="954"/>
    </row>
    <row r="161" spans="2:49" s="663" customFormat="1">
      <c r="B161" s="664"/>
      <c r="E161" s="663" t="s">
        <v>1419</v>
      </c>
      <c r="I161" s="359">
        <f>'1.3 EssBS'!D36</f>
        <v>1232780.7800000005</v>
      </c>
      <c r="J161" s="359">
        <f>I161+J99+J188</f>
        <v>1937287.0804418498</v>
      </c>
      <c r="K161" s="359">
        <f>J161+K99+K188</f>
        <v>1833700.0543199354</v>
      </c>
      <c r="L161" s="359">
        <f>K161+L99+L188</f>
        <v>1732804.0119653586</v>
      </c>
      <c r="M161" s="359">
        <f>L161+M99+M188</f>
        <v>1633204.7220770849</v>
      </c>
      <c r="N161" s="359">
        <f>M161+N99+N188</f>
        <v>1546349.7919226307</v>
      </c>
      <c r="P161" s="359">
        <f ca="1">'5. Financials'!H161</f>
        <v>3308301.2759041409</v>
      </c>
      <c r="Q161" s="359">
        <f ca="1">'5. Financials'!I161</f>
        <v>2872205.8042149227</v>
      </c>
      <c r="R161" s="359">
        <f ca="1">'5. Financials'!J161</f>
        <v>2913537.5274345977</v>
      </c>
      <c r="S161" s="359">
        <f ca="1">'5. Financials'!K161</f>
        <v>3057856.5245215916</v>
      </c>
      <c r="T161" s="359">
        <f ca="1">'5. Financials'!L161</f>
        <v>3203497.9253578763</v>
      </c>
      <c r="U161" s="359">
        <f ca="1">'5. Financials'!M161</f>
        <v>3301000.097107402</v>
      </c>
      <c r="W161" s="359">
        <f t="shared" ref="W161:AB161" ca="1" si="87">(P161*DVAOwnership)+(AK161*pshare)-(I161*pshare)</f>
        <v>1984980.7655424844</v>
      </c>
      <c r="X161" s="359">
        <f t="shared" ca="1" si="87"/>
        <v>1723323.4825289536</v>
      </c>
      <c r="Y161" s="359">
        <f t="shared" ca="1" si="87"/>
        <v>1748122.5164607589</v>
      </c>
      <c r="Z161" s="359">
        <f t="shared" ca="1" si="87"/>
        <v>1834713.9147129552</v>
      </c>
      <c r="AA161" s="359">
        <f t="shared" ca="1" si="87"/>
        <v>1922098.7552147254</v>
      </c>
      <c r="AB161" s="359">
        <f t="shared" ca="1" si="87"/>
        <v>1980600.0582644413</v>
      </c>
      <c r="AC161" s="664"/>
      <c r="AD161" s="1721"/>
      <c r="AE161" s="359">
        <f>J161-AL161</f>
        <v>0</v>
      </c>
      <c r="AF161" s="359">
        <f>K161-AM161</f>
        <v>0</v>
      </c>
      <c r="AG161" s="359">
        <f>L161-AN161</f>
        <v>0</v>
      </c>
      <c r="AH161" s="359">
        <f>M161-AO161</f>
        <v>0</v>
      </c>
      <c r="AI161" s="359">
        <f>N161-AP161</f>
        <v>0</v>
      </c>
      <c r="AJ161" s="954"/>
      <c r="AK161" s="1850">
        <f>IF(Type="DeNovo",'1.3 EssBS'!D36,0)</f>
        <v>1232780.7800000005</v>
      </c>
      <c r="AL161" s="359">
        <f>AK161+AL99+AL188</f>
        <v>1937287.0804418498</v>
      </c>
      <c r="AM161" s="359">
        <f>AL161+AM99+AM188</f>
        <v>1833700.0543199354</v>
      </c>
      <c r="AN161" s="359">
        <f>AM161+AN99+AN188</f>
        <v>1732804.0119653586</v>
      </c>
      <c r="AO161" s="359">
        <f>AN161+AO99+AO188</f>
        <v>1633204.7220770849</v>
      </c>
      <c r="AP161" s="359">
        <f>AO161+AP99+AP188</f>
        <v>1546349.7919226307</v>
      </c>
      <c r="AQ161" s="1161"/>
      <c r="AR161" s="954">
        <f t="shared" ref="AR161:AW161" ca="1" si="88">P161+AK161</f>
        <v>4541082.0559041416</v>
      </c>
      <c r="AS161" s="954">
        <f t="shared" ca="1" si="88"/>
        <v>4809492.884656772</v>
      </c>
      <c r="AT161" s="954">
        <f t="shared" ca="1" si="88"/>
        <v>4747237.5817545336</v>
      </c>
      <c r="AU161" s="954">
        <f t="shared" ca="1" si="88"/>
        <v>4790660.5364869498</v>
      </c>
      <c r="AV161" s="954">
        <f t="shared" ca="1" si="88"/>
        <v>4836702.6474349611</v>
      </c>
      <c r="AW161" s="954">
        <f t="shared" ca="1" si="88"/>
        <v>4847349.8890300328</v>
      </c>
    </row>
    <row r="162" spans="2:49" s="663" customFormat="1">
      <c r="B162" s="664"/>
      <c r="I162" s="359"/>
      <c r="J162" s="359"/>
      <c r="K162" s="359"/>
      <c r="L162" s="359"/>
      <c r="M162" s="359"/>
      <c r="N162" s="359"/>
      <c r="P162" s="359"/>
      <c r="Q162" s="359"/>
      <c r="R162" s="359"/>
      <c r="S162" s="359"/>
      <c r="T162" s="359"/>
      <c r="U162" s="359"/>
      <c r="V162" s="363"/>
      <c r="W162" s="359"/>
      <c r="X162" s="359"/>
      <c r="Y162" s="359"/>
      <c r="Z162" s="359"/>
      <c r="AA162" s="359"/>
      <c r="AB162" s="359"/>
      <c r="AC162" s="664"/>
      <c r="AD162" s="1161"/>
      <c r="AE162" s="359"/>
      <c r="AF162" s="359"/>
      <c r="AG162" s="359"/>
      <c r="AH162" s="359"/>
      <c r="AI162" s="359"/>
      <c r="AJ162" s="954"/>
      <c r="AK162" s="954"/>
      <c r="AL162" s="954"/>
      <c r="AM162" s="954"/>
      <c r="AN162" s="954"/>
      <c r="AO162" s="954"/>
      <c r="AP162" s="954"/>
      <c r="AQ162" s="1161"/>
      <c r="AR162" s="954"/>
      <c r="AS162" s="954"/>
      <c r="AT162" s="954"/>
      <c r="AU162" s="954"/>
      <c r="AV162" s="954"/>
      <c r="AW162" s="954"/>
    </row>
    <row r="163" spans="2:49" s="663" customFormat="1" ht="12" thickBot="1">
      <c r="B163" s="664"/>
      <c r="E163" s="663" t="s">
        <v>1420</v>
      </c>
      <c r="I163" s="369">
        <f t="shared" ref="I163:N163" si="89">I159+I161</f>
        <v>1337004.2900000005</v>
      </c>
      <c r="J163" s="369">
        <f t="shared" si="89"/>
        <v>2188741.4397336692</v>
      </c>
      <c r="K163" s="369">
        <f t="shared" si="89"/>
        <v>2089318.0983616458</v>
      </c>
      <c r="L163" s="369">
        <f t="shared" si="89"/>
        <v>1992751.9062684975</v>
      </c>
      <c r="M163" s="369">
        <f t="shared" si="89"/>
        <v>1897597.8685633724</v>
      </c>
      <c r="N163" s="369">
        <f t="shared" si="89"/>
        <v>1815729.9258847497</v>
      </c>
      <c r="P163" s="369">
        <f ca="1">'5. Financials'!H163</f>
        <v>3308301.2759041409</v>
      </c>
      <c r="Q163" s="369">
        <f ca="1">'5. Financials'!I163</f>
        <v>2936256.6119103609</v>
      </c>
      <c r="R163" s="369">
        <f ca="1">'5. Financials'!J163</f>
        <v>3028847.9715415854</v>
      </c>
      <c r="S163" s="369">
        <f ca="1">'5. Financials'!K163</f>
        <v>3215877.7877927949</v>
      </c>
      <c r="T163" s="369">
        <f ca="1">'5. Financials'!L163</f>
        <v>3401165.8553034263</v>
      </c>
      <c r="U163" s="369">
        <f ca="1">'5. Financials'!M163</f>
        <v>3530839.1131911515</v>
      </c>
      <c r="W163" s="369">
        <f t="shared" ref="W163:AB163" ca="1" si="90">W159+W161</f>
        <v>1984980.7655424844</v>
      </c>
      <c r="X163" s="369">
        <f t="shared" ca="1" si="90"/>
        <v>1761753.9671462167</v>
      </c>
      <c r="Y163" s="369">
        <f t="shared" ca="1" si="90"/>
        <v>1817308.7829249515</v>
      </c>
      <c r="Z163" s="369">
        <f t="shared" ca="1" si="90"/>
        <v>1929526.6726756771</v>
      </c>
      <c r="AA163" s="369">
        <f t="shared" ca="1" si="90"/>
        <v>2040699.5131820552</v>
      </c>
      <c r="AB163" s="369">
        <f t="shared" ca="1" si="90"/>
        <v>2118503.4679146912</v>
      </c>
      <c r="AC163" s="664"/>
      <c r="AD163" s="1721"/>
      <c r="AE163" s="369">
        <f>AE159+AE161</f>
        <v>0</v>
      </c>
      <c r="AF163" s="369">
        <f>AF159+AF161</f>
        <v>0</v>
      </c>
      <c r="AG163" s="369">
        <f>AG159+AG161</f>
        <v>0</v>
      </c>
      <c r="AH163" s="369">
        <f>AH159+AH161</f>
        <v>0</v>
      </c>
      <c r="AI163" s="369">
        <f>AI159+AI161</f>
        <v>0</v>
      </c>
      <c r="AJ163" s="1145"/>
      <c r="AK163" s="369">
        <f t="shared" ref="AK163:AP163" si="91">AK159+AK161</f>
        <v>1337004.2900000005</v>
      </c>
      <c r="AL163" s="369">
        <f t="shared" si="91"/>
        <v>2188741.4397336692</v>
      </c>
      <c r="AM163" s="369">
        <f t="shared" si="91"/>
        <v>2089318.0983616458</v>
      </c>
      <c r="AN163" s="369">
        <f t="shared" si="91"/>
        <v>1992751.9062684975</v>
      </c>
      <c r="AO163" s="369">
        <f t="shared" si="91"/>
        <v>1897597.8685633724</v>
      </c>
      <c r="AP163" s="369">
        <f t="shared" si="91"/>
        <v>1815729.9258847497</v>
      </c>
      <c r="AQ163" s="1161"/>
      <c r="AR163" s="1313">
        <f t="shared" ref="AR163:AW163" ca="1" si="92">P163+AK163</f>
        <v>4645305.5659041414</v>
      </c>
      <c r="AS163" s="1313">
        <f t="shared" ca="1" si="92"/>
        <v>5124998.05164403</v>
      </c>
      <c r="AT163" s="1313">
        <f t="shared" ca="1" si="92"/>
        <v>5118166.0699032312</v>
      </c>
      <c r="AU163" s="1313">
        <f t="shared" ca="1" si="92"/>
        <v>5208629.6940612923</v>
      </c>
      <c r="AV163" s="1313">
        <f t="shared" ca="1" si="92"/>
        <v>5298763.7238667989</v>
      </c>
      <c r="AW163" s="1313">
        <f t="shared" ca="1" si="92"/>
        <v>5346569.0390759017</v>
      </c>
    </row>
    <row r="164" spans="2:49" s="1302" customFormat="1" ht="12" thickTop="1">
      <c r="B164" s="1303"/>
      <c r="E164" s="1302" t="s">
        <v>1694</v>
      </c>
      <c r="I164" s="652">
        <f t="shared" ref="I164:N164" si="93">ROUND(I151-I163,0)</f>
        <v>0</v>
      </c>
      <c r="J164" s="652">
        <f t="shared" si="93"/>
        <v>0</v>
      </c>
      <c r="K164" s="652">
        <f t="shared" si="93"/>
        <v>0</v>
      </c>
      <c r="L164" s="652">
        <f t="shared" si="93"/>
        <v>0</v>
      </c>
      <c r="M164" s="652">
        <f t="shared" si="93"/>
        <v>0</v>
      </c>
      <c r="N164" s="652">
        <f t="shared" si="93"/>
        <v>0</v>
      </c>
      <c r="O164" s="1937"/>
      <c r="P164" s="652">
        <f t="shared" ref="P164:U164" ca="1" si="94">ROUND(P151-P163,0)</f>
        <v>0</v>
      </c>
      <c r="Q164" s="652">
        <f t="shared" ca="1" si="94"/>
        <v>0</v>
      </c>
      <c r="R164" s="652">
        <f t="shared" ca="1" si="94"/>
        <v>0</v>
      </c>
      <c r="S164" s="652">
        <f t="shared" ca="1" si="94"/>
        <v>0</v>
      </c>
      <c r="T164" s="652">
        <f t="shared" ca="1" si="94"/>
        <v>0</v>
      </c>
      <c r="U164" s="652">
        <f t="shared" ca="1" si="94"/>
        <v>0</v>
      </c>
      <c r="W164" s="652">
        <f t="shared" ref="W164:AB164" ca="1" si="95">ROUND(W151-W163,0)</f>
        <v>0</v>
      </c>
      <c r="X164" s="652">
        <f t="shared" ca="1" si="95"/>
        <v>0</v>
      </c>
      <c r="Y164" s="652">
        <f t="shared" ca="1" si="95"/>
        <v>0</v>
      </c>
      <c r="Z164" s="652">
        <f t="shared" ca="1" si="95"/>
        <v>0</v>
      </c>
      <c r="AA164" s="652">
        <f t="shared" ca="1" si="95"/>
        <v>0</v>
      </c>
      <c r="AB164" s="652">
        <f t="shared" ca="1" si="95"/>
        <v>0</v>
      </c>
      <c r="AC164" s="1303"/>
      <c r="AD164" s="1937"/>
      <c r="AE164" s="652">
        <f>ROUND(AE151-AE163,0)</f>
        <v>0</v>
      </c>
      <c r="AF164" s="652">
        <f>ROUND(AF151-AF163,0)</f>
        <v>0</v>
      </c>
      <c r="AG164" s="652">
        <f>ROUND(AG151-AG163,0)</f>
        <v>0</v>
      </c>
      <c r="AH164" s="652">
        <f>ROUND(AH151-AH163,0)</f>
        <v>0</v>
      </c>
      <c r="AI164" s="652">
        <f>ROUND(AI151-AI163,0)</f>
        <v>0</v>
      </c>
      <c r="AJ164" s="2019"/>
      <c r="AK164" s="652">
        <f t="shared" ref="AK164:AP164" si="96">ROUND(AK151-AK163,0)</f>
        <v>0</v>
      </c>
      <c r="AL164" s="652">
        <f t="shared" si="96"/>
        <v>0</v>
      </c>
      <c r="AM164" s="652">
        <f t="shared" si="96"/>
        <v>0</v>
      </c>
      <c r="AN164" s="652">
        <f t="shared" si="96"/>
        <v>0</v>
      </c>
      <c r="AO164" s="652">
        <f t="shared" si="96"/>
        <v>0</v>
      </c>
      <c r="AP164" s="652">
        <f t="shared" si="96"/>
        <v>0</v>
      </c>
      <c r="AQ164" s="1937"/>
      <c r="AR164" s="652">
        <f t="shared" ref="AR164:AW164" ca="1" si="97">ROUND(AR151-AR163,0)</f>
        <v>0</v>
      </c>
      <c r="AS164" s="652">
        <f t="shared" ca="1" si="97"/>
        <v>0</v>
      </c>
      <c r="AT164" s="652">
        <f t="shared" ca="1" si="97"/>
        <v>0</v>
      </c>
      <c r="AU164" s="652">
        <f t="shared" ca="1" si="97"/>
        <v>0</v>
      </c>
      <c r="AV164" s="652">
        <f t="shared" ca="1" si="97"/>
        <v>0</v>
      </c>
      <c r="AW164" s="652">
        <f t="shared" ca="1" si="97"/>
        <v>0</v>
      </c>
    </row>
    <row r="165" spans="2:49" s="663" customFormat="1">
      <c r="B165" s="664"/>
      <c r="I165" s="359"/>
      <c r="J165" s="359"/>
      <c r="K165" s="359"/>
      <c r="L165" s="359"/>
      <c r="M165" s="359"/>
      <c r="N165" s="359"/>
      <c r="P165" s="359"/>
      <c r="Q165" s="359"/>
      <c r="R165" s="359"/>
      <c r="S165" s="359"/>
      <c r="T165" s="359"/>
      <c r="U165" s="359"/>
      <c r="W165" s="359"/>
      <c r="X165" s="359"/>
      <c r="Y165" s="359"/>
      <c r="Z165" s="359"/>
      <c r="AA165" s="359"/>
      <c r="AB165" s="359"/>
      <c r="AC165" s="664"/>
      <c r="AD165" s="1161"/>
      <c r="AE165" s="359"/>
      <c r="AF165" s="359"/>
      <c r="AG165" s="359"/>
      <c r="AH165" s="359"/>
      <c r="AI165" s="359"/>
      <c r="AJ165" s="954"/>
      <c r="AK165" s="954"/>
      <c r="AL165" s="954"/>
      <c r="AM165" s="954"/>
      <c r="AN165" s="954"/>
      <c r="AO165" s="954"/>
      <c r="AP165" s="954"/>
      <c r="AQ165" s="1161"/>
      <c r="AR165" s="359"/>
      <c r="AS165" s="359"/>
      <c r="AT165" s="359"/>
      <c r="AU165" s="359"/>
      <c r="AV165" s="359"/>
      <c r="AW165" s="359"/>
    </row>
    <row r="166" spans="2:49" s="663" customFormat="1">
      <c r="B166" s="664"/>
      <c r="E166" s="663" t="s">
        <v>1696</v>
      </c>
      <c r="I166" s="359"/>
      <c r="J166" s="359"/>
      <c r="K166" s="359"/>
      <c r="L166" s="359"/>
      <c r="M166" s="359"/>
      <c r="N166" s="359"/>
      <c r="P166" s="359"/>
      <c r="Q166" s="359"/>
      <c r="R166" s="359"/>
      <c r="S166" s="359"/>
      <c r="T166" s="359"/>
      <c r="U166" s="359"/>
      <c r="W166" s="359"/>
      <c r="X166" s="359"/>
      <c r="Y166" s="359"/>
      <c r="Z166" s="359"/>
      <c r="AA166" s="359"/>
      <c r="AB166" s="359"/>
      <c r="AC166" s="664"/>
      <c r="AD166" s="1161"/>
      <c r="AE166" s="359"/>
      <c r="AF166" s="359"/>
      <c r="AG166" s="359"/>
      <c r="AH166" s="359"/>
      <c r="AI166" s="359"/>
      <c r="AJ166" s="954"/>
      <c r="AK166" s="954"/>
      <c r="AL166" s="954"/>
      <c r="AM166" s="954"/>
      <c r="AN166" s="954"/>
      <c r="AO166" s="954"/>
      <c r="AP166" s="954"/>
      <c r="AQ166" s="1161"/>
      <c r="AR166" s="359"/>
      <c r="AS166" s="359"/>
      <c r="AT166" s="359"/>
      <c r="AU166" s="359"/>
      <c r="AV166" s="359"/>
      <c r="AW166" s="359"/>
    </row>
    <row r="167" spans="2:49" s="663" customFormat="1">
      <c r="B167" s="664"/>
      <c r="E167" s="663" t="s">
        <v>3393</v>
      </c>
      <c r="I167" s="359"/>
      <c r="J167" s="359"/>
      <c r="K167" s="359"/>
      <c r="L167" s="359"/>
      <c r="M167" s="359"/>
      <c r="N167" s="359"/>
      <c r="P167" s="359"/>
      <c r="Q167" s="359">
        <f>'5. Financials'!I167</f>
        <v>266797.45612589549</v>
      </c>
      <c r="R167" s="359">
        <f>'5. Financials'!J167</f>
        <v>407144.54878236307</v>
      </c>
      <c r="S167" s="359">
        <f>'5. Financials'!K167</f>
        <v>527898.03262117226</v>
      </c>
      <c r="T167" s="359">
        <f>'5. Financials'!L167</f>
        <v>642887.45321286691</v>
      </c>
      <c r="U167" s="359">
        <f>'5. Financials'!M167</f>
        <v>736491.15292169061</v>
      </c>
      <c r="W167" s="359"/>
      <c r="X167" s="359"/>
      <c r="Y167" s="359"/>
      <c r="Z167" s="359"/>
      <c r="AA167" s="359"/>
      <c r="AB167" s="359"/>
      <c r="AC167" s="664"/>
      <c r="AD167" s="1161"/>
      <c r="AE167" s="359"/>
      <c r="AF167" s="359"/>
      <c r="AG167" s="359"/>
      <c r="AH167" s="359"/>
      <c r="AI167" s="359"/>
      <c r="AJ167" s="954"/>
      <c r="AK167" s="954"/>
      <c r="AL167" s="954"/>
      <c r="AM167" s="954"/>
      <c r="AN167" s="954"/>
      <c r="AO167" s="954"/>
      <c r="AP167" s="954"/>
      <c r="AQ167" s="1161"/>
      <c r="AR167" s="359"/>
      <c r="AS167" s="359"/>
      <c r="AT167" s="359"/>
      <c r="AU167" s="359"/>
      <c r="AV167" s="359"/>
      <c r="AW167" s="359"/>
    </row>
    <row r="168" spans="2:49" s="663" customFormat="1">
      <c r="B168" s="664"/>
      <c r="E168" s="663" t="s">
        <v>571</v>
      </c>
      <c r="I168" s="359"/>
      <c r="J168" s="359"/>
      <c r="K168" s="359"/>
      <c r="L168" s="359"/>
      <c r="M168" s="359"/>
      <c r="N168" s="359"/>
      <c r="P168" s="359"/>
      <c r="Q168" s="359">
        <f>'5. Financials'!I168</f>
        <v>-892501.48751841125</v>
      </c>
      <c r="R168" s="359">
        <f>'5. Financials'!J168</f>
        <v>-934497.37368722807</v>
      </c>
      <c r="S168" s="359">
        <f>'5. Financials'!K168</f>
        <v>-554254.41532237933</v>
      </c>
      <c r="T168" s="359">
        <f>'5. Financials'!L168</f>
        <v>24059.489690835355</v>
      </c>
      <c r="U168" s="359">
        <f>'5. Financials'!M168</f>
        <v>968680.66939005966</v>
      </c>
      <c r="W168" s="359"/>
      <c r="X168" s="359"/>
      <c r="Y168" s="359"/>
      <c r="Z168" s="359"/>
      <c r="AA168" s="359"/>
      <c r="AB168" s="359"/>
      <c r="AC168" s="664"/>
      <c r="AD168" s="1161"/>
      <c r="AE168" s="359"/>
      <c r="AF168" s="359"/>
      <c r="AG168" s="359"/>
      <c r="AH168" s="359"/>
      <c r="AI168" s="359"/>
      <c r="AJ168" s="954"/>
      <c r="AK168" s="954"/>
      <c r="AL168" s="954"/>
      <c r="AM168" s="954"/>
      <c r="AN168" s="954"/>
      <c r="AO168" s="954"/>
      <c r="AP168" s="954"/>
      <c r="AQ168" s="1161"/>
      <c r="AR168" s="359"/>
      <c r="AS168" s="359"/>
      <c r="AT168" s="359"/>
      <c r="AU168" s="359"/>
      <c r="AV168" s="359"/>
      <c r="AW168" s="359"/>
    </row>
    <row r="169" spans="2:49" s="663" customFormat="1">
      <c r="B169" s="664"/>
      <c r="E169" s="663" t="s">
        <v>1421</v>
      </c>
      <c r="I169" s="359"/>
      <c r="J169" s="2082">
        <f>IF(Type="DeNovo", 80, Q169)</f>
        <v>80</v>
      </c>
      <c r="K169" s="2082">
        <f>IF(Type="DeNovo", 80, R169)</f>
        <v>80</v>
      </c>
      <c r="L169" s="2082">
        <f>IF(Type="DeNovo", 80, S169)</f>
        <v>80</v>
      </c>
      <c r="M169" s="2082">
        <f>IF(Type="DeNovo", 80, T169)</f>
        <v>80</v>
      </c>
      <c r="N169" s="2082">
        <f>IF(Type="DeNovo", 80, U169)</f>
        <v>80</v>
      </c>
      <c r="P169" s="359"/>
      <c r="Q169" s="359">
        <f>'5. Financials'!I171</f>
        <v>109.97262918093345</v>
      </c>
      <c r="R169" s="359">
        <f>'5. Financials'!J171</f>
        <v>86.882050652589328</v>
      </c>
      <c r="S169" s="359">
        <f>'5. Financials'!K171</f>
        <v>76.402091968948227</v>
      </c>
      <c r="T169" s="359">
        <f>'5. Financials'!L171</f>
        <v>76.352375861343646</v>
      </c>
      <c r="U169" s="359">
        <f>'5. Financials'!M171</f>
        <v>74.719441869043507</v>
      </c>
      <c r="W169" s="1722"/>
      <c r="X169" s="2082">
        <f>X140/X69*365</f>
        <v>109.97262918093342</v>
      </c>
      <c r="Y169" s="2082">
        <f>Y140/Y69*365</f>
        <v>86.882050652589314</v>
      </c>
      <c r="Z169" s="2082">
        <f>Z140/Z69*365</f>
        <v>76.402091968948213</v>
      </c>
      <c r="AA169" s="2082">
        <f>AA140/AA69*365</f>
        <v>76.352375861343617</v>
      </c>
      <c r="AB169" s="2082">
        <f>AB140/AB69*365</f>
        <v>74.719441869043493</v>
      </c>
      <c r="AC169" s="664"/>
      <c r="AD169" s="1161"/>
      <c r="AE169" s="2082" t="e">
        <f>AE140/AE69*365</f>
        <v>#DIV/0!</v>
      </c>
      <c r="AF169" s="2082" t="e">
        <f>AF140/AF69*365</f>
        <v>#DIV/0!</v>
      </c>
      <c r="AG169" s="2082" t="e">
        <f>AG140/AG69*365</f>
        <v>#DIV/0!</v>
      </c>
      <c r="AH169" s="2082" t="e">
        <f>AH140/AH69*365</f>
        <v>#DIV/0!</v>
      </c>
      <c r="AI169" s="2082" t="e">
        <f>AI140/AI69*365</f>
        <v>#DIV/0!</v>
      </c>
      <c r="AJ169" s="2020"/>
      <c r="AK169" s="2020"/>
      <c r="AL169" s="1722">
        <v>80</v>
      </c>
      <c r="AM169" s="1722">
        <v>80</v>
      </c>
      <c r="AN169" s="1722">
        <v>80</v>
      </c>
      <c r="AO169" s="1722">
        <v>80</v>
      </c>
      <c r="AP169" s="1722">
        <v>80</v>
      </c>
      <c r="AQ169" s="1161"/>
      <c r="AR169" s="1722"/>
      <c r="AS169" s="2082">
        <f>AS140/AS69*365</f>
        <v>86.778582366377165</v>
      </c>
      <c r="AT169" s="2082">
        <f>AT140/AT69*365</f>
        <v>82.784410776053178</v>
      </c>
      <c r="AU169" s="2082">
        <f>AU140/AU69*365</f>
        <v>78.229648674439829</v>
      </c>
      <c r="AV169" s="2082">
        <f>AV140/AV69*365</f>
        <v>78.010063038559508</v>
      </c>
      <c r="AW169" s="2082">
        <f>AW140/AW69*365</f>
        <v>76.901442490235212</v>
      </c>
    </row>
    <row r="170" spans="2:49" s="663" customFormat="1">
      <c r="B170" s="664"/>
      <c r="E170" s="663" t="s">
        <v>2699</v>
      </c>
      <c r="I170" s="359"/>
      <c r="J170" s="2082">
        <f>IF(Type="DeNovo", 14, Q170)</f>
        <v>14</v>
      </c>
      <c r="K170" s="2082">
        <f>IF(Type="DeNovo", 14, R170)</f>
        <v>14</v>
      </c>
      <c r="L170" s="2082">
        <f>IF(Type="DeNovo", 14, S170)</f>
        <v>14</v>
      </c>
      <c r="M170" s="2082">
        <f>IF(Type="DeNovo", 14, T170)</f>
        <v>14</v>
      </c>
      <c r="N170" s="2082">
        <f>IF(Type="DeNovo", 14, U170)</f>
        <v>14</v>
      </c>
      <c r="P170" s="359"/>
      <c r="Q170" s="359">
        <f>'5. Financials'!I172</f>
        <v>14</v>
      </c>
      <c r="R170" s="359">
        <f>'5. Financials'!J172</f>
        <v>14</v>
      </c>
      <c r="S170" s="359">
        <f>'5. Financials'!K172</f>
        <v>14</v>
      </c>
      <c r="T170" s="359">
        <f>'5. Financials'!L172</f>
        <v>14</v>
      </c>
      <c r="U170" s="359">
        <f>'5. Financials'!M172</f>
        <v>14</v>
      </c>
      <c r="W170" s="1722"/>
      <c r="X170" s="2082">
        <f>X141/(X80+X86)*365</f>
        <v>24.9154983492033</v>
      </c>
      <c r="Y170" s="2082">
        <f>Y141/(Y80+Y86)*365</f>
        <v>17.788541010016118</v>
      </c>
      <c r="Z170" s="2082">
        <f>Z141/(Z80+Z86)*365</f>
        <v>15.816602503252126</v>
      </c>
      <c r="AA170" s="2082">
        <f>AA141/(AA80+AA86)*365</f>
        <v>15.562209815382731</v>
      </c>
      <c r="AB170" s="2082">
        <f>AB141/(AB80+AB86)*365</f>
        <v>14.971630032125107</v>
      </c>
      <c r="AC170" s="664"/>
      <c r="AD170" s="1161"/>
      <c r="AE170" s="2082" t="e">
        <f>AE141/(AE80+AE86)*365</f>
        <v>#DIV/0!</v>
      </c>
      <c r="AF170" s="2082" t="e">
        <f>AF141/(AF80+AF86)*365</f>
        <v>#DIV/0!</v>
      </c>
      <c r="AG170" s="2082" t="e">
        <f>AG141/(AG80+AG86)*365</f>
        <v>#DIV/0!</v>
      </c>
      <c r="AH170" s="2082" t="e">
        <f>AH141/(AH80+AH86)*365</f>
        <v>#DIV/0!</v>
      </c>
      <c r="AI170" s="2082" t="e">
        <f>AI141/(AI80+AI86)*365</f>
        <v>#DIV/0!</v>
      </c>
      <c r="AJ170" s="2020"/>
      <c r="AK170" s="2020"/>
      <c r="AL170" s="1722">
        <v>14</v>
      </c>
      <c r="AM170" s="1722">
        <v>14</v>
      </c>
      <c r="AN170" s="1722">
        <v>14</v>
      </c>
      <c r="AO170" s="1722">
        <v>14</v>
      </c>
      <c r="AP170" s="1722">
        <v>14</v>
      </c>
      <c r="AQ170" s="1161"/>
      <c r="AR170" s="1722"/>
      <c r="AS170" s="2082">
        <f>AS141/(AS80+AS86)*365</f>
        <v>16.306625951728531</v>
      </c>
      <c r="AT170" s="2082">
        <f>AT141/(AT80+AT86)*365</f>
        <v>15.521502530386377</v>
      </c>
      <c r="AU170" s="2082">
        <f>AU141/(AU80+AU86)*365</f>
        <v>14.895596086180298</v>
      </c>
      <c r="AV170" s="2082">
        <f>AV141/(AV80+AV86)*365</f>
        <v>14.859394481213918</v>
      </c>
      <c r="AW170" s="2082">
        <f>AW141/(AW80+AW86)*365</f>
        <v>14.572335278337572</v>
      </c>
    </row>
    <row r="171" spans="2:49" s="663" customFormat="1">
      <c r="B171" s="664"/>
      <c r="E171" s="663" t="s">
        <v>3391</v>
      </c>
      <c r="I171" s="359"/>
      <c r="J171" s="2082">
        <f>IF(Type="DeNovo", 30, Q171)</f>
        <v>30</v>
      </c>
      <c r="K171" s="2082">
        <f>IF(Type="DeNovo", 30, R171)</f>
        <v>30</v>
      </c>
      <c r="L171" s="2082">
        <f>IF(Type="DeNovo", 30, S171)</f>
        <v>30</v>
      </c>
      <c r="M171" s="2082">
        <f>IF(Type="DeNovo", 30, T171)</f>
        <v>30</v>
      </c>
      <c r="N171" s="2082">
        <f>IF(Type="DeNovo", 30, U171)</f>
        <v>30</v>
      </c>
      <c r="P171" s="359"/>
      <c r="Q171" s="359">
        <f>'5. Financials'!I173</f>
        <v>30</v>
      </c>
      <c r="R171" s="359">
        <f>'5. Financials'!J173</f>
        <v>30</v>
      </c>
      <c r="S171" s="359">
        <f>'5. Financials'!K173</f>
        <v>30</v>
      </c>
      <c r="T171" s="359">
        <f>'5. Financials'!L173</f>
        <v>30</v>
      </c>
      <c r="U171" s="359">
        <f>'5. Financials'!M173</f>
        <v>30</v>
      </c>
      <c r="W171" s="1722"/>
      <c r="X171" s="2082">
        <f>X155/(X80+X85+X86+X92)*365</f>
        <v>42.488333331981295</v>
      </c>
      <c r="Y171" s="2082">
        <f>Y155/(Y80+Y85+Y86+Y92)*365</f>
        <v>35.191600209761546</v>
      </c>
      <c r="Z171" s="2082">
        <f>Z155/(Z80+Z85+Z86+Z92)*365</f>
        <v>32.575723502167889</v>
      </c>
      <c r="AA171" s="2082">
        <f>AA155/(AA80+AA85+AA86+AA92)*365</f>
        <v>32.02590686433993</v>
      </c>
      <c r="AB171" s="2082">
        <f>AB155/(AB80+AB85+AB86+AB92)*365</f>
        <v>31.393305149231161</v>
      </c>
      <c r="AC171" s="664"/>
      <c r="AD171" s="1161"/>
      <c r="AE171" s="2082" t="e">
        <f>AE155/(AE80+AE85+AE86+AE92)*365</f>
        <v>#DIV/0!</v>
      </c>
      <c r="AF171" s="2082" t="e">
        <f>AF155/(AF80+AF85+AF86+AF92)*365</f>
        <v>#DIV/0!</v>
      </c>
      <c r="AG171" s="2082" t="e">
        <f>AG155/(AG80+AG85+AG86+AG92)*365</f>
        <v>#DIV/0!</v>
      </c>
      <c r="AH171" s="2082" t="e">
        <f>AH155/(AH80+AH85+AH86+AH92)*365</f>
        <v>#DIV/0!</v>
      </c>
      <c r="AI171" s="2082" t="e">
        <f>AI155/(AI80+AI85+AI86+AI92)*365</f>
        <v>#DIV/0!</v>
      </c>
      <c r="AJ171" s="2020"/>
      <c r="AK171" s="2020"/>
      <c r="AL171" s="2020">
        <v>30</v>
      </c>
      <c r="AM171" s="2020">
        <v>30</v>
      </c>
      <c r="AN171" s="2020">
        <v>30</v>
      </c>
      <c r="AO171" s="2020">
        <v>30</v>
      </c>
      <c r="AP171" s="2020">
        <v>30</v>
      </c>
      <c r="AQ171" s="1161"/>
      <c r="AR171" s="1722"/>
      <c r="AS171" s="2082">
        <f>AS155/(AS80+AS85+AS86+AS92)*365</f>
        <v>47.447614998003864</v>
      </c>
      <c r="AT171" s="2082">
        <f>AT155/(AT80+AT85+AT86+AT92)*365</f>
        <v>43.097393484777228</v>
      </c>
      <c r="AU171" s="2082">
        <f>AU155/(AU80+AU85+AU86+AU92)*365</f>
        <v>40.426468538314531</v>
      </c>
      <c r="AV171" s="2082">
        <f>AV155/(AV80+AV85+AV86+AV92)*365</f>
        <v>39.158819983808911</v>
      </c>
      <c r="AW171" s="2082">
        <f>AW155/(AW80+AW85+AW86+AW92)*365</f>
        <v>38.149345609253196</v>
      </c>
    </row>
    <row r="172" spans="2:49" s="663" customFormat="1">
      <c r="B172" s="664"/>
      <c r="E172" s="663" t="s">
        <v>3392</v>
      </c>
      <c r="I172" s="359"/>
      <c r="J172" s="2082">
        <f>IF(Type="DeNovo", 14, Q172)</f>
        <v>14</v>
      </c>
      <c r="K172" s="2082">
        <f>IF(Type="DeNovo", 14, R172)</f>
        <v>14</v>
      </c>
      <c r="L172" s="2082">
        <f>IF(Type="DeNovo", 14, S172)</f>
        <v>14</v>
      </c>
      <c r="M172" s="2082">
        <f>IF(Type="DeNovo", 14, T172)</f>
        <v>14</v>
      </c>
      <c r="N172" s="2082">
        <f>IF(Type="DeNovo", 14, U172)</f>
        <v>14</v>
      </c>
      <c r="P172" s="359"/>
      <c r="Q172" s="359">
        <f>'5. Financials'!I174</f>
        <v>14</v>
      </c>
      <c r="R172" s="359">
        <f>'5. Financials'!J174</f>
        <v>14</v>
      </c>
      <c r="S172" s="359">
        <f>'5. Financials'!K174</f>
        <v>14</v>
      </c>
      <c r="T172" s="359">
        <f>'5. Financials'!L174</f>
        <v>14</v>
      </c>
      <c r="U172" s="359">
        <f>'5. Financials'!M174</f>
        <v>14</v>
      </c>
      <c r="W172" s="1722"/>
      <c r="X172" s="2082">
        <f>X156/X77*365</f>
        <v>15.484848484848486</v>
      </c>
      <c r="Y172" s="2082">
        <f>Y156/Y77*365</f>
        <v>14.194444444444438</v>
      </c>
      <c r="Z172" s="2082">
        <f>Z156/Z77*365</f>
        <v>14.194444444444446</v>
      </c>
      <c r="AA172" s="2082">
        <f>AA156/AA77*365</f>
        <v>14.194444444444445</v>
      </c>
      <c r="AB172" s="2082">
        <f>AB156/AB77*365</f>
        <v>14.19444444444445</v>
      </c>
      <c r="AC172" s="664"/>
      <c r="AD172" s="1161"/>
      <c r="AE172" s="2082" t="e">
        <f>AE156/AE77*365</f>
        <v>#DIV/0!</v>
      </c>
      <c r="AF172" s="2082" t="e">
        <f>AF156/AF77*365</f>
        <v>#DIV/0!</v>
      </c>
      <c r="AG172" s="2082" t="e">
        <f>AG156/AG77*365</f>
        <v>#DIV/0!</v>
      </c>
      <c r="AH172" s="2082" t="e">
        <f>AH156/AH77*365</f>
        <v>#DIV/0!</v>
      </c>
      <c r="AI172" s="2082" t="e">
        <f>AI156/AI77*365</f>
        <v>#DIV/0!</v>
      </c>
      <c r="AJ172" s="2020"/>
      <c r="AK172" s="2020"/>
      <c r="AL172" s="2020">
        <v>14</v>
      </c>
      <c r="AM172" s="2020">
        <v>14</v>
      </c>
      <c r="AN172" s="2020">
        <v>14</v>
      </c>
      <c r="AO172" s="2020">
        <v>14</v>
      </c>
      <c r="AP172" s="2020">
        <v>14</v>
      </c>
      <c r="AQ172" s="1161"/>
      <c r="AR172" s="1722"/>
      <c r="AS172" s="2082">
        <f>AS156/AS77*365</f>
        <v>14.524202936861736</v>
      </c>
      <c r="AT172" s="2082">
        <f>AT156/AT77*365</f>
        <v>14.086234208672867</v>
      </c>
      <c r="AU172" s="2082">
        <f>AU156/AU77*365</f>
        <v>14.099936065217957</v>
      </c>
      <c r="AV172" s="2082">
        <f>AV156/AV77*365</f>
        <v>14.109134692406682</v>
      </c>
      <c r="AW172" s="2082">
        <f>AW156/AW77*365</f>
        <v>14.114523209052017</v>
      </c>
    </row>
    <row r="173" spans="2:49" s="663" customFormat="1">
      <c r="B173" s="664"/>
      <c r="I173" s="1161"/>
      <c r="J173" s="1161"/>
      <c r="K173" s="1161"/>
      <c r="L173" s="1161"/>
      <c r="M173" s="1161"/>
      <c r="N173" s="1161"/>
      <c r="P173" s="1161"/>
      <c r="Q173" s="1161"/>
      <c r="R173" s="1161"/>
      <c r="S173" s="1161"/>
      <c r="T173" s="1161"/>
      <c r="U173" s="1161"/>
      <c r="W173" s="1161"/>
      <c r="X173" s="1161"/>
      <c r="Y173" s="1161"/>
      <c r="Z173" s="1161"/>
      <c r="AA173" s="1161"/>
      <c r="AB173" s="1161"/>
      <c r="AC173" s="664"/>
      <c r="AD173" s="1161"/>
      <c r="AE173" s="1161"/>
      <c r="AF173" s="1161"/>
      <c r="AG173" s="1161"/>
      <c r="AH173" s="1161"/>
      <c r="AI173" s="1161"/>
      <c r="AJ173" s="1161"/>
      <c r="AK173" s="1161"/>
      <c r="AL173" s="1161"/>
      <c r="AM173" s="1161"/>
      <c r="AN173" s="1161"/>
      <c r="AO173" s="1161"/>
      <c r="AP173" s="1161"/>
      <c r="AQ173" s="1161"/>
      <c r="AR173" s="1161"/>
      <c r="AS173" s="1161"/>
      <c r="AT173" s="1161"/>
      <c r="AU173" s="1161"/>
      <c r="AV173" s="1161"/>
      <c r="AW173" s="1161"/>
    </row>
    <row r="174" spans="2:49" s="663" customFormat="1">
      <c r="B174" s="664"/>
      <c r="D174" s="666" t="s">
        <v>1757</v>
      </c>
      <c r="I174" s="1161"/>
      <c r="J174" s="1161"/>
      <c r="K174" s="1161"/>
      <c r="L174" s="1161"/>
      <c r="M174" s="1161"/>
      <c r="N174" s="1161"/>
      <c r="P174" s="1161"/>
      <c r="Q174" s="1161"/>
      <c r="R174" s="1161"/>
      <c r="S174" s="1161"/>
      <c r="T174" s="1161"/>
      <c r="U174" s="1161"/>
      <c r="W174" s="1161"/>
      <c r="X174" s="1161"/>
      <c r="Y174" s="1161"/>
      <c r="Z174" s="1161"/>
      <c r="AA174" s="1161"/>
      <c r="AB174" s="1161"/>
      <c r="AC174" s="664"/>
      <c r="AD174" s="1161"/>
      <c r="AE174" s="1161"/>
      <c r="AF174" s="1161"/>
      <c r="AG174" s="1161"/>
      <c r="AH174" s="1161"/>
      <c r="AI174" s="1161"/>
      <c r="AJ174" s="1161"/>
      <c r="AK174" s="1161"/>
      <c r="AL174" s="1161"/>
      <c r="AM174" s="1161"/>
      <c r="AN174" s="1161"/>
      <c r="AO174" s="1161"/>
      <c r="AP174" s="1161"/>
      <c r="AQ174" s="1161"/>
      <c r="AR174" s="1161"/>
      <c r="AS174" s="1161"/>
      <c r="AT174" s="1161"/>
      <c r="AU174" s="1161"/>
      <c r="AV174" s="1161"/>
      <c r="AW174" s="1161"/>
    </row>
    <row r="175" spans="2:49" s="663" customFormat="1">
      <c r="B175" s="664"/>
      <c r="I175" s="1161"/>
      <c r="J175" s="1161"/>
      <c r="K175" s="1161"/>
      <c r="L175" s="1161"/>
      <c r="M175" s="1161"/>
      <c r="N175" s="1161"/>
      <c r="P175" s="1161"/>
      <c r="Q175" s="1161"/>
      <c r="R175" s="1161"/>
      <c r="S175" s="1161"/>
      <c r="T175" s="1161"/>
      <c r="U175" s="1161"/>
      <c r="W175" s="1161"/>
      <c r="X175" s="1161"/>
      <c r="Y175" s="1161"/>
      <c r="Z175" s="1161"/>
      <c r="AA175" s="1161"/>
      <c r="AB175" s="1161"/>
      <c r="AC175" s="664"/>
      <c r="AD175" s="1161"/>
      <c r="AE175" s="1161"/>
      <c r="AF175" s="1161"/>
      <c r="AG175" s="1161"/>
      <c r="AH175" s="1161"/>
      <c r="AI175" s="1161"/>
      <c r="AJ175" s="1161"/>
      <c r="AK175" s="1161"/>
      <c r="AL175" s="1161"/>
      <c r="AM175" s="1161"/>
      <c r="AN175" s="1161"/>
      <c r="AO175" s="1161"/>
      <c r="AP175" s="1161"/>
      <c r="AQ175" s="1161"/>
      <c r="AR175" s="1161"/>
      <c r="AS175" s="1161"/>
      <c r="AT175" s="1161"/>
      <c r="AU175" s="1161"/>
      <c r="AV175" s="1161"/>
      <c r="AW175" s="1161"/>
    </row>
    <row r="176" spans="2:49" s="663" customFormat="1">
      <c r="B176" s="664"/>
      <c r="E176" s="663" t="s">
        <v>3527</v>
      </c>
      <c r="I176" s="363"/>
      <c r="J176" s="363">
        <f>J99</f>
        <v>646605.22017040162</v>
      </c>
      <c r="K176" s="363">
        <f>K99</f>
        <v>603273.34391013777</v>
      </c>
      <c r="L176" s="363">
        <f>L99</f>
        <v>564410.29931147781</v>
      </c>
      <c r="M176" s="363">
        <f>M99</f>
        <v>524360.7796906383</v>
      </c>
      <c r="N176" s="363">
        <f>N99</f>
        <v>528013.98196823068</v>
      </c>
      <c r="P176" s="363">
        <f>'5. Financials'!H178</f>
        <v>-264648.14604055602</v>
      </c>
      <c r="Q176" s="363">
        <f>'5. Financials'!I178</f>
        <v>-436095.47168921819</v>
      </c>
      <c r="R176" s="363">
        <f>'5. Financials'!J178</f>
        <v>106990.80269478087</v>
      </c>
      <c r="S176" s="363">
        <f>'5. Financials'!K178</f>
        <v>403808.4716130335</v>
      </c>
      <c r="T176" s="363">
        <f>'5. Financials'!L178</f>
        <v>608965.88525780453</v>
      </c>
      <c r="U176" s="363">
        <f>'5. Financials'!M178</f>
        <v>948519.65173992584</v>
      </c>
      <c r="W176" s="363">
        <f t="shared" ref="W176:AB176" si="98">W99</f>
        <v>-158788.88762433361</v>
      </c>
      <c r="X176" s="363">
        <f t="shared" si="98"/>
        <v>-261657.28301353089</v>
      </c>
      <c r="Y176" s="363">
        <f t="shared" si="98"/>
        <v>64194.481616868521</v>
      </c>
      <c r="Z176" s="363">
        <f t="shared" si="98"/>
        <v>242285.08296782008</v>
      </c>
      <c r="AA176" s="363">
        <f t="shared" si="98"/>
        <v>365379.5311546828</v>
      </c>
      <c r="AB176" s="363">
        <f t="shared" si="98"/>
        <v>569111.79104395572</v>
      </c>
      <c r="AC176" s="664"/>
      <c r="AD176" s="1721"/>
      <c r="AE176" s="363">
        <f t="shared" ref="AE176:AI177" si="99">J176-AL176</f>
        <v>0</v>
      </c>
      <c r="AF176" s="363">
        <f t="shared" si="99"/>
        <v>0</v>
      </c>
      <c r="AG176" s="363">
        <f t="shared" si="99"/>
        <v>0</v>
      </c>
      <c r="AH176" s="363">
        <f t="shared" si="99"/>
        <v>0</v>
      </c>
      <c r="AI176" s="363">
        <f t="shared" si="99"/>
        <v>0</v>
      </c>
      <c r="AJ176" s="1721"/>
      <c r="AK176" s="1721"/>
      <c r="AL176" s="1721">
        <f>AL99</f>
        <v>646605.22017040162</v>
      </c>
      <c r="AM176" s="1721">
        <f>AM99</f>
        <v>603273.34391013777</v>
      </c>
      <c r="AN176" s="1721">
        <f>AN99</f>
        <v>564410.29931147781</v>
      </c>
      <c r="AO176" s="1721">
        <f>AO99</f>
        <v>524360.7796906383</v>
      </c>
      <c r="AP176" s="1721">
        <f>AP99</f>
        <v>528013.98196823068</v>
      </c>
      <c r="AQ176" s="1161"/>
      <c r="AR176" s="363">
        <f t="shared" ref="AR176:AW182" si="100">P176+AK176</f>
        <v>-264648.14604055602</v>
      </c>
      <c r="AS176" s="363">
        <f t="shared" si="100"/>
        <v>210509.74848118343</v>
      </c>
      <c r="AT176" s="363">
        <f t="shared" si="100"/>
        <v>710264.14660491864</v>
      </c>
      <c r="AU176" s="363">
        <f t="shared" si="100"/>
        <v>968218.77092451137</v>
      </c>
      <c r="AV176" s="363">
        <f t="shared" si="100"/>
        <v>1133326.664948443</v>
      </c>
      <c r="AW176" s="363">
        <f t="shared" si="100"/>
        <v>1476533.6337081566</v>
      </c>
    </row>
    <row r="177" spans="2:49" s="663" customFormat="1">
      <c r="B177" s="664"/>
      <c r="E177" s="663" t="s">
        <v>3847</v>
      </c>
      <c r="I177" s="359"/>
      <c r="J177" s="359">
        <f>J97+J98</f>
        <v>146222.12</v>
      </c>
      <c r="K177" s="359">
        <f>K97+K98</f>
        <v>146222.12</v>
      </c>
      <c r="L177" s="359">
        <f>L97+L98</f>
        <v>146222.12</v>
      </c>
      <c r="M177" s="359">
        <f>M97+M98</f>
        <v>146222.12</v>
      </c>
      <c r="N177" s="359">
        <f>N97+N98</f>
        <v>146222.12</v>
      </c>
      <c r="P177" s="359">
        <f>'5. Financials'!H179</f>
        <v>0</v>
      </c>
      <c r="Q177" s="359">
        <f>'5. Financials'!I179</f>
        <v>164438.01833333334</v>
      </c>
      <c r="R177" s="359">
        <f>'5. Financials'!J179</f>
        <v>177537.69988095236</v>
      </c>
      <c r="S177" s="359">
        <f>'5. Financials'!K179</f>
        <v>190632.86119047616</v>
      </c>
      <c r="T177" s="359">
        <f>'5. Financials'!L179</f>
        <v>201446.24278571428</v>
      </c>
      <c r="U177" s="359">
        <f>'5. Financials'!M179</f>
        <v>211333.37210857141</v>
      </c>
      <c r="W177" s="359">
        <f t="shared" ref="W177:AB177" si="101">W97+W98</f>
        <v>0</v>
      </c>
      <c r="X177" s="359">
        <f t="shared" si="101"/>
        <v>98662.810999999987</v>
      </c>
      <c r="Y177" s="359">
        <f t="shared" si="101"/>
        <v>106522.6199285714</v>
      </c>
      <c r="Z177" s="359">
        <f t="shared" si="101"/>
        <v>114379.71671428569</v>
      </c>
      <c r="AA177" s="359">
        <f t="shared" si="101"/>
        <v>120867.74567142857</v>
      </c>
      <c r="AB177" s="359">
        <f t="shared" si="101"/>
        <v>126800.02326514284</v>
      </c>
      <c r="AC177" s="664"/>
      <c r="AD177" s="1721"/>
      <c r="AE177" s="359">
        <f t="shared" si="99"/>
        <v>0</v>
      </c>
      <c r="AF177" s="359">
        <f t="shared" si="99"/>
        <v>0</v>
      </c>
      <c r="AG177" s="359">
        <f t="shared" si="99"/>
        <v>0</v>
      </c>
      <c r="AH177" s="359">
        <f t="shared" si="99"/>
        <v>0</v>
      </c>
      <c r="AI177" s="359">
        <f t="shared" si="99"/>
        <v>0</v>
      </c>
      <c r="AJ177" s="954"/>
      <c r="AK177" s="954"/>
      <c r="AL177" s="954">
        <f>AL97+AL98</f>
        <v>146222.12</v>
      </c>
      <c r="AM177" s="954">
        <f>AM97+AM98</f>
        <v>146222.12</v>
      </c>
      <c r="AN177" s="954">
        <f>AN97+AN98</f>
        <v>146222.12</v>
      </c>
      <c r="AO177" s="954">
        <f>AO97+AO98</f>
        <v>146222.12</v>
      </c>
      <c r="AP177" s="954">
        <f>AP97+AP98</f>
        <v>146222.12</v>
      </c>
      <c r="AQ177" s="1161"/>
      <c r="AR177" s="359">
        <f t="shared" si="100"/>
        <v>0</v>
      </c>
      <c r="AS177" s="359">
        <f t="shared" si="100"/>
        <v>310660.13833333331</v>
      </c>
      <c r="AT177" s="359">
        <f t="shared" si="100"/>
        <v>323759.81988095236</v>
      </c>
      <c r="AU177" s="359">
        <f t="shared" si="100"/>
        <v>336854.98119047616</v>
      </c>
      <c r="AV177" s="359">
        <f t="shared" si="100"/>
        <v>347668.36278571427</v>
      </c>
      <c r="AW177" s="359">
        <f t="shared" si="100"/>
        <v>357555.4921085714</v>
      </c>
    </row>
    <row r="178" spans="2:49" s="663" customFormat="1">
      <c r="B178" s="664"/>
      <c r="E178" s="663" t="s">
        <v>3848</v>
      </c>
      <c r="I178" s="359"/>
      <c r="J178" s="359"/>
      <c r="K178" s="359"/>
      <c r="L178" s="359"/>
      <c r="M178" s="359"/>
      <c r="N178" s="359"/>
      <c r="P178" s="359"/>
      <c r="Q178" s="359"/>
      <c r="R178" s="359"/>
      <c r="S178" s="359"/>
      <c r="T178" s="359"/>
      <c r="U178" s="359"/>
      <c r="W178" s="359"/>
      <c r="X178" s="359"/>
      <c r="Y178" s="359"/>
      <c r="Z178" s="359"/>
      <c r="AA178" s="359"/>
      <c r="AB178" s="359"/>
      <c r="AC178" s="664"/>
      <c r="AD178" s="1161"/>
      <c r="AE178" s="359"/>
      <c r="AF178" s="359"/>
      <c r="AG178" s="359"/>
      <c r="AH178" s="359"/>
      <c r="AI178" s="359"/>
      <c r="AJ178" s="954"/>
      <c r="AK178" s="954"/>
      <c r="AL178" s="954"/>
      <c r="AM178" s="954"/>
      <c r="AN178" s="954"/>
      <c r="AO178" s="954"/>
      <c r="AP178" s="954"/>
      <c r="AQ178" s="1161"/>
      <c r="AR178" s="359">
        <f t="shared" si="100"/>
        <v>0</v>
      </c>
      <c r="AS178" s="359">
        <f t="shared" si="100"/>
        <v>0</v>
      </c>
      <c r="AT178" s="359">
        <f t="shared" si="100"/>
        <v>0</v>
      </c>
      <c r="AU178" s="359">
        <f t="shared" si="100"/>
        <v>0</v>
      </c>
      <c r="AV178" s="359">
        <f t="shared" si="100"/>
        <v>0</v>
      </c>
      <c r="AW178" s="359">
        <f t="shared" si="100"/>
        <v>0</v>
      </c>
    </row>
    <row r="179" spans="2:49" s="663" customFormat="1">
      <c r="B179" s="664"/>
      <c r="E179" s="663" t="s">
        <v>1405</v>
      </c>
      <c r="I179" s="359"/>
      <c r="J179" s="359">
        <f t="shared" ref="J179:N180" si="102">I140-J140</f>
        <v>-382939.61233204539</v>
      </c>
      <c r="K179" s="359">
        <f t="shared" si="102"/>
        <v>-4651.9028453294886</v>
      </c>
      <c r="L179" s="359">
        <f t="shared" si="102"/>
        <v>-6165.865060787648</v>
      </c>
      <c r="M179" s="359">
        <f t="shared" si="102"/>
        <v>-6307.6799571856391</v>
      </c>
      <c r="N179" s="359">
        <f t="shared" si="102"/>
        <v>-17427.935707759229</v>
      </c>
      <c r="P179" s="359">
        <f>'5. Financials'!H181</f>
        <v>0</v>
      </c>
      <c r="Q179" s="359">
        <f>'5. Financials'!I181</f>
        <v>-326297.40047388081</v>
      </c>
      <c r="R179" s="359">
        <f>'5. Financials'!J181</f>
        <v>-276507.27888336056</v>
      </c>
      <c r="S179" s="359">
        <f>'5. Financials'!K181</f>
        <v>-158584.70352884615</v>
      </c>
      <c r="T179" s="359">
        <f>'5. Financials'!L181</f>
        <v>-188751.68857081048</v>
      </c>
      <c r="U179" s="359">
        <f>'5. Financials'!M181</f>
        <v>-172909.16187246144</v>
      </c>
      <c r="W179" s="1938">
        <f>W140</f>
        <v>0</v>
      </c>
      <c r="X179" s="359">
        <f t="shared" ref="X179:AB180" si="103">W140-X140</f>
        <v>-195778.44028432848</v>
      </c>
      <c r="Y179" s="359">
        <f t="shared" si="103"/>
        <v>-165904.36733001628</v>
      </c>
      <c r="Z179" s="359">
        <f t="shared" si="103"/>
        <v>-95150.822117307689</v>
      </c>
      <c r="AA179" s="359">
        <f t="shared" si="103"/>
        <v>-113251.01314248622</v>
      </c>
      <c r="AB179" s="359">
        <f t="shared" si="103"/>
        <v>-103745.49712347682</v>
      </c>
      <c r="AC179" s="664"/>
      <c r="AD179" s="1721"/>
      <c r="AE179" s="359">
        <f t="shared" ref="AE179:AI182" si="104">J179-AL179</f>
        <v>0</v>
      </c>
      <c r="AF179" s="359">
        <f t="shared" si="104"/>
        <v>0</v>
      </c>
      <c r="AG179" s="359">
        <f t="shared" si="104"/>
        <v>0</v>
      </c>
      <c r="AH179" s="359">
        <f t="shared" si="104"/>
        <v>0</v>
      </c>
      <c r="AI179" s="359">
        <f t="shared" si="104"/>
        <v>0</v>
      </c>
      <c r="AJ179" s="954"/>
      <c r="AK179" s="954"/>
      <c r="AL179" s="359">
        <f t="shared" ref="AL179:AP180" si="105">AK140-AL140</f>
        <v>-382939.61233204539</v>
      </c>
      <c r="AM179" s="359">
        <f t="shared" si="105"/>
        <v>-4651.9028453294886</v>
      </c>
      <c r="AN179" s="359">
        <f t="shared" si="105"/>
        <v>-6165.865060787648</v>
      </c>
      <c r="AO179" s="359">
        <f t="shared" si="105"/>
        <v>-6307.6799571856391</v>
      </c>
      <c r="AP179" s="359">
        <f t="shared" si="105"/>
        <v>-17427.935707759229</v>
      </c>
      <c r="AQ179" s="1161"/>
      <c r="AR179" s="1938">
        <f t="shared" si="100"/>
        <v>0</v>
      </c>
      <c r="AS179" s="1938">
        <f t="shared" si="100"/>
        <v>-709237.01280592615</v>
      </c>
      <c r="AT179" s="359">
        <f t="shared" si="100"/>
        <v>-281159.18172869005</v>
      </c>
      <c r="AU179" s="359">
        <f t="shared" si="100"/>
        <v>-164750.5685896338</v>
      </c>
      <c r="AV179" s="359">
        <f t="shared" si="100"/>
        <v>-195059.36852799612</v>
      </c>
      <c r="AW179" s="359">
        <f t="shared" si="100"/>
        <v>-190337.09758022067</v>
      </c>
    </row>
    <row r="180" spans="2:49" s="663" customFormat="1">
      <c r="B180" s="664"/>
      <c r="E180" s="663" t="s">
        <v>1406</v>
      </c>
      <c r="I180" s="359"/>
      <c r="J180" s="359">
        <f t="shared" si="102"/>
        <v>-3838.5675316973065</v>
      </c>
      <c r="K180" s="359">
        <f t="shared" si="102"/>
        <v>-487.51195063394698</v>
      </c>
      <c r="L180" s="359">
        <f t="shared" si="102"/>
        <v>-497.26218964662257</v>
      </c>
      <c r="M180" s="359">
        <f t="shared" si="102"/>
        <v>-507.20743343956201</v>
      </c>
      <c r="N180" s="359">
        <f t="shared" si="102"/>
        <v>-517.35158210834561</v>
      </c>
      <c r="P180" s="359">
        <f>'5. Financials'!H182</f>
        <v>0</v>
      </c>
      <c r="Q180" s="359">
        <f>'5. Financials'!I182</f>
        <v>-11623.25367686133</v>
      </c>
      <c r="R180" s="359">
        <f>'5. Financials'!J182</f>
        <v>-9578.9754394058964</v>
      </c>
      <c r="S180" s="359">
        <f>'5. Financials'!K182</f>
        <v>-6658.3609073631887</v>
      </c>
      <c r="T180" s="359">
        <f>'5. Financials'!L182</f>
        <v>-7299.5299671737448</v>
      </c>
      <c r="U180" s="359">
        <f>'5. Financials'!M182</f>
        <v>-5283.8631550100908</v>
      </c>
      <c r="W180" s="1938">
        <f>W141</f>
        <v>0</v>
      </c>
      <c r="X180" s="359">
        <f t="shared" si="103"/>
        <v>-6973.9522061167972</v>
      </c>
      <c r="Y180" s="359">
        <f t="shared" si="103"/>
        <v>-5747.3852636435386</v>
      </c>
      <c r="Z180" s="359">
        <f t="shared" si="103"/>
        <v>-3995.0165444179147</v>
      </c>
      <c r="AA180" s="359">
        <f t="shared" si="103"/>
        <v>-4379.7179803042454</v>
      </c>
      <c r="AB180" s="359">
        <f t="shared" si="103"/>
        <v>-3170.3178930060494</v>
      </c>
      <c r="AC180" s="664"/>
      <c r="AD180" s="1721"/>
      <c r="AE180" s="359">
        <f t="shared" si="104"/>
        <v>0</v>
      </c>
      <c r="AF180" s="359">
        <f t="shared" si="104"/>
        <v>0</v>
      </c>
      <c r="AG180" s="359">
        <f t="shared" si="104"/>
        <v>0</v>
      </c>
      <c r="AH180" s="359">
        <f t="shared" si="104"/>
        <v>0</v>
      </c>
      <c r="AI180" s="359">
        <f t="shared" si="104"/>
        <v>0</v>
      </c>
      <c r="AJ180" s="954"/>
      <c r="AK180" s="954"/>
      <c r="AL180" s="359">
        <f t="shared" si="105"/>
        <v>-3838.5675316973065</v>
      </c>
      <c r="AM180" s="359">
        <f t="shared" si="105"/>
        <v>-487.51195063394698</v>
      </c>
      <c r="AN180" s="359">
        <f t="shared" si="105"/>
        <v>-497.26218964662257</v>
      </c>
      <c r="AO180" s="359">
        <f t="shared" si="105"/>
        <v>-507.20743343956201</v>
      </c>
      <c r="AP180" s="359">
        <f t="shared" si="105"/>
        <v>-517.35158210834561</v>
      </c>
      <c r="AQ180" s="1161"/>
      <c r="AR180" s="1938">
        <f t="shared" si="100"/>
        <v>0</v>
      </c>
      <c r="AS180" s="1938">
        <f t="shared" si="100"/>
        <v>-15461.821208558636</v>
      </c>
      <c r="AT180" s="359">
        <f t="shared" si="100"/>
        <v>-10066.487390039843</v>
      </c>
      <c r="AU180" s="359">
        <f t="shared" si="100"/>
        <v>-7155.6230970098113</v>
      </c>
      <c r="AV180" s="359">
        <f t="shared" si="100"/>
        <v>-7806.7374006133068</v>
      </c>
      <c r="AW180" s="359">
        <f t="shared" si="100"/>
        <v>-5801.2147371184365</v>
      </c>
    </row>
    <row r="181" spans="2:49" s="663" customFormat="1">
      <c r="B181" s="664"/>
      <c r="E181" s="663" t="s">
        <v>1695</v>
      </c>
      <c r="I181" s="364"/>
      <c r="J181" s="364">
        <f>J155-I155+J156-I156</f>
        <v>147230.84929181944</v>
      </c>
      <c r="K181" s="364">
        <f>K155-J155+K156-J156</f>
        <v>4163.6847498909701</v>
      </c>
      <c r="L181" s="364">
        <f>L155-K155+L156-K156</f>
        <v>4329.8502614284371</v>
      </c>
      <c r="M181" s="364">
        <f>M155-L155+M156-L156</f>
        <v>4445.252183148521</v>
      </c>
      <c r="N181" s="364">
        <f>N155-M155+N156-M156</f>
        <v>4986.9874758316219</v>
      </c>
      <c r="P181" s="364">
        <f>'5. Financials'!H183</f>
        <v>0</v>
      </c>
      <c r="Q181" s="364">
        <f>'5. Financials'!I183</f>
        <v>64050.807695438314</v>
      </c>
      <c r="R181" s="364">
        <f>'5. Financials'!J183</f>
        <v>51259.636411549422</v>
      </c>
      <c r="S181" s="364">
        <f>'5. Financials'!K183</f>
        <v>42710.819164215529</v>
      </c>
      <c r="T181" s="364">
        <f>'5. Financials'!L183</f>
        <v>39646.666674346459</v>
      </c>
      <c r="U181" s="364">
        <f>'5. Financials'!M183</f>
        <v>32171.086138199731</v>
      </c>
      <c r="W181" s="1942">
        <f>W142</f>
        <v>0</v>
      </c>
      <c r="X181" s="364">
        <f>X155-W155+X156-W156</f>
        <v>38430.484617262991</v>
      </c>
      <c r="Y181" s="364">
        <f>Y155-X155+Y156-X156</f>
        <v>30755.781846929644</v>
      </c>
      <c r="Z181" s="364">
        <f>Z155-Y155+Z156-Y156</f>
        <v>25626.49149852934</v>
      </c>
      <c r="AA181" s="364">
        <f>AA155-Z155+AA156-Z156</f>
        <v>23788.000004607835</v>
      </c>
      <c r="AB181" s="364">
        <f>AB155-AA155+AB156-AA156</f>
        <v>19302.651682919881</v>
      </c>
      <c r="AC181" s="664"/>
      <c r="AD181" s="1721"/>
      <c r="AE181" s="364">
        <f t="shared" si="104"/>
        <v>0</v>
      </c>
      <c r="AF181" s="364">
        <f t="shared" si="104"/>
        <v>0</v>
      </c>
      <c r="AG181" s="364">
        <f t="shared" si="104"/>
        <v>0</v>
      </c>
      <c r="AH181" s="364">
        <f t="shared" si="104"/>
        <v>0</v>
      </c>
      <c r="AI181" s="364">
        <f t="shared" si="104"/>
        <v>0</v>
      </c>
      <c r="AJ181" s="659"/>
      <c r="AK181" s="955"/>
      <c r="AL181" s="364">
        <f>AL155-AK155+AL156-AK156</f>
        <v>147230.84929181944</v>
      </c>
      <c r="AM181" s="364">
        <f>AM155-AL155+AM156-AL156</f>
        <v>4163.6847498909701</v>
      </c>
      <c r="AN181" s="364">
        <f>AN155-AM155+AN156-AM156</f>
        <v>4329.8502614284371</v>
      </c>
      <c r="AO181" s="364">
        <f>AO155-AN155+AO156-AN156</f>
        <v>4445.252183148521</v>
      </c>
      <c r="AP181" s="364">
        <f>AP155-AO155+AP156-AO156</f>
        <v>4986.9874758316219</v>
      </c>
      <c r="AQ181" s="1161"/>
      <c r="AR181" s="1942">
        <f t="shared" si="100"/>
        <v>0</v>
      </c>
      <c r="AS181" s="1942">
        <f t="shared" si="100"/>
        <v>211281.65698725777</v>
      </c>
      <c r="AT181" s="364">
        <f t="shared" si="100"/>
        <v>55423.321161440392</v>
      </c>
      <c r="AU181" s="364">
        <f t="shared" si="100"/>
        <v>47040.669425643966</v>
      </c>
      <c r="AV181" s="364">
        <f t="shared" si="100"/>
        <v>44091.91885749498</v>
      </c>
      <c r="AW181" s="364">
        <f t="shared" si="100"/>
        <v>37158.073614031353</v>
      </c>
    </row>
    <row r="182" spans="2:49" s="663" customFormat="1">
      <c r="B182" s="664"/>
      <c r="E182" s="663" t="s">
        <v>3849</v>
      </c>
      <c r="I182" s="363"/>
      <c r="J182" s="363">
        <f>SUM(J176:J181)</f>
        <v>553280.00959847844</v>
      </c>
      <c r="K182" s="363">
        <f>SUM(K176:K181)</f>
        <v>748519.73386406526</v>
      </c>
      <c r="L182" s="363">
        <f>SUM(L176:L181)</f>
        <v>708299.14232247195</v>
      </c>
      <c r="M182" s="363">
        <f>SUM(M176:M181)</f>
        <v>668213.26448316162</v>
      </c>
      <c r="N182" s="363">
        <f>SUM(N176:N181)</f>
        <v>661277.8021541948</v>
      </c>
      <c r="P182" s="363">
        <f>'5. Financials'!H184</f>
        <v>-264648.14604055602</v>
      </c>
      <c r="Q182" s="363">
        <f>'5. Financials'!I184</f>
        <v>-545527.29981118871</v>
      </c>
      <c r="R182" s="363">
        <f>'5. Financials'!J184</f>
        <v>49701.884664516198</v>
      </c>
      <c r="S182" s="363">
        <f>'5. Financials'!K184</f>
        <v>471909.08753151586</v>
      </c>
      <c r="T182" s="363">
        <f>'5. Financials'!L184</f>
        <v>654007.57617988111</v>
      </c>
      <c r="U182" s="363">
        <f>'5. Financials'!M184</f>
        <v>1013831.0849592256</v>
      </c>
      <c r="W182" s="363">
        <f t="shared" ref="W182:AB182" si="106">SUM(W176:W181)</f>
        <v>-158788.88762433361</v>
      </c>
      <c r="X182" s="363">
        <f t="shared" si="106"/>
        <v>-327316.37988671323</v>
      </c>
      <c r="Y182" s="363">
        <f t="shared" si="106"/>
        <v>29821.130798709746</v>
      </c>
      <c r="Z182" s="363">
        <f t="shared" si="106"/>
        <v>283145.45251890953</v>
      </c>
      <c r="AA182" s="363">
        <f t="shared" si="106"/>
        <v>392404.54570792872</v>
      </c>
      <c r="AB182" s="363">
        <f t="shared" si="106"/>
        <v>608298.65097553562</v>
      </c>
      <c r="AC182" s="664"/>
      <c r="AD182" s="1721"/>
      <c r="AE182" s="363">
        <f t="shared" si="104"/>
        <v>0</v>
      </c>
      <c r="AF182" s="363">
        <f t="shared" si="104"/>
        <v>0</v>
      </c>
      <c r="AG182" s="363">
        <f t="shared" si="104"/>
        <v>0</v>
      </c>
      <c r="AH182" s="363">
        <f t="shared" si="104"/>
        <v>0</v>
      </c>
      <c r="AI182" s="363">
        <f t="shared" si="104"/>
        <v>0</v>
      </c>
      <c r="AJ182" s="1721"/>
      <c r="AK182" s="1721"/>
      <c r="AL182" s="1721">
        <f>SUM(AL176:AL181)</f>
        <v>553280.00959847844</v>
      </c>
      <c r="AM182" s="1721">
        <f>SUM(AM176:AM181)</f>
        <v>748519.73386406526</v>
      </c>
      <c r="AN182" s="1721">
        <f>SUM(AN176:AN181)</f>
        <v>708299.14232247195</v>
      </c>
      <c r="AO182" s="1721">
        <f>SUM(AO176:AO181)</f>
        <v>668213.26448316162</v>
      </c>
      <c r="AP182" s="1721">
        <f>SUM(AP176:AP181)</f>
        <v>661277.8021541948</v>
      </c>
      <c r="AQ182" s="1161"/>
      <c r="AR182" s="363">
        <f t="shared" si="100"/>
        <v>-264648.14604055602</v>
      </c>
      <c r="AS182" s="363">
        <f t="shared" si="100"/>
        <v>7752.7097872897284</v>
      </c>
      <c r="AT182" s="363">
        <f t="shared" si="100"/>
        <v>798221.61852858146</v>
      </c>
      <c r="AU182" s="363">
        <f t="shared" si="100"/>
        <v>1180208.2298539877</v>
      </c>
      <c r="AV182" s="363">
        <f t="shared" si="100"/>
        <v>1322220.8406630429</v>
      </c>
      <c r="AW182" s="363">
        <f t="shared" si="100"/>
        <v>1675108.8871134203</v>
      </c>
    </row>
    <row r="183" spans="2:49" s="663" customFormat="1">
      <c r="B183" s="664"/>
      <c r="I183" s="359"/>
      <c r="J183" s="359"/>
      <c r="K183" s="359"/>
      <c r="L183" s="359"/>
      <c r="M183" s="359"/>
      <c r="N183" s="359"/>
      <c r="P183" s="359"/>
      <c r="Q183" s="359"/>
      <c r="R183" s="359"/>
      <c r="S183" s="359"/>
      <c r="T183" s="359"/>
      <c r="U183" s="359"/>
      <c r="W183" s="359"/>
      <c r="X183" s="359"/>
      <c r="Y183" s="359"/>
      <c r="Z183" s="359"/>
      <c r="AA183" s="359"/>
      <c r="AB183" s="359"/>
      <c r="AC183" s="664"/>
      <c r="AD183" s="1161"/>
      <c r="AE183" s="359"/>
      <c r="AF183" s="359"/>
      <c r="AG183" s="359"/>
      <c r="AH183" s="359"/>
      <c r="AI183" s="359"/>
      <c r="AJ183" s="954"/>
      <c r="AK183" s="954"/>
      <c r="AL183" s="954"/>
      <c r="AM183" s="954"/>
      <c r="AN183" s="954"/>
      <c r="AO183" s="954"/>
      <c r="AP183" s="954"/>
      <c r="AQ183" s="1161"/>
      <c r="AR183" s="359"/>
      <c r="AS183" s="359"/>
      <c r="AT183" s="359"/>
      <c r="AU183" s="359"/>
      <c r="AV183" s="359"/>
      <c r="AW183" s="359"/>
    </row>
    <row r="184" spans="2:49" s="663" customFormat="1">
      <c r="B184" s="664"/>
      <c r="E184" s="663" t="s">
        <v>1697</v>
      </c>
      <c r="I184" s="359"/>
      <c r="J184" s="954">
        <f>-(J200+J205)</f>
        <v>-117182.5</v>
      </c>
      <c r="K184" s="954">
        <f>-(K200+K205)</f>
        <v>-30900</v>
      </c>
      <c r="L184" s="954">
        <f>-(L200+L205)</f>
        <v>-31827</v>
      </c>
      <c r="M184" s="954">
        <f>-(M200+M205)</f>
        <v>-32781.81</v>
      </c>
      <c r="N184" s="954">
        <f>-(N200+N205)</f>
        <v>-33765.264299999995</v>
      </c>
      <c r="P184" s="359">
        <f>'5. Financials'!H186</f>
        <v>-2165648.42</v>
      </c>
      <c r="Q184" s="359">
        <f>'5. Financials'!I186</f>
        <v>-82326.041666666657</v>
      </c>
      <c r="R184" s="359">
        <f>'5. Financials'!J186</f>
        <v>-91697.770833333343</v>
      </c>
      <c r="S184" s="359">
        <f>'5. Financials'!K186</f>
        <v>-91666.129166666622</v>
      </c>
      <c r="T184" s="359">
        <f>'5. Financials'!L186</f>
        <v>-75693.67116666658</v>
      </c>
      <c r="U184" s="359">
        <f>'5. Financials'!M186</f>
        <v>-69209.90525999997</v>
      </c>
      <c r="W184" s="954">
        <f t="shared" ref="W184:AB184" si="107">-(W200+W205)</f>
        <v>-1299389.0519999999</v>
      </c>
      <c r="X184" s="954">
        <f t="shared" si="107"/>
        <v>-49395.625</v>
      </c>
      <c r="Y184" s="954">
        <f t="shared" si="107"/>
        <v>-55018.662500000006</v>
      </c>
      <c r="Z184" s="954">
        <f t="shared" si="107"/>
        <v>-54999.677499999969</v>
      </c>
      <c r="AA184" s="954">
        <f t="shared" si="107"/>
        <v>-45416.202699999951</v>
      </c>
      <c r="AB184" s="954">
        <f t="shared" si="107"/>
        <v>-41525.943155999979</v>
      </c>
      <c r="AC184" s="664"/>
      <c r="AD184" s="1721"/>
      <c r="AE184" s="954">
        <f>J184-AL184</f>
        <v>0</v>
      </c>
      <c r="AF184" s="954">
        <f>K184-AM184</f>
        <v>0</v>
      </c>
      <c r="AG184" s="954">
        <f>L184-AN184</f>
        <v>0</v>
      </c>
      <c r="AH184" s="954">
        <f>M184-AO184</f>
        <v>0</v>
      </c>
      <c r="AI184" s="954">
        <f>N184-AP184</f>
        <v>0</v>
      </c>
      <c r="AJ184" s="954"/>
      <c r="AK184" s="954"/>
      <c r="AL184" s="954">
        <f>-(AL200+AL205)</f>
        <v>-117182.5</v>
      </c>
      <c r="AM184" s="954">
        <f>-(AM200+AM205)</f>
        <v>-30900</v>
      </c>
      <c r="AN184" s="954">
        <f>-(AN200+AN205)</f>
        <v>-31827</v>
      </c>
      <c r="AO184" s="954">
        <f>-(AO200+AO205)</f>
        <v>-32781.81</v>
      </c>
      <c r="AP184" s="954">
        <f>-(AP200+AP205)</f>
        <v>-33765.264299999995</v>
      </c>
      <c r="AQ184" s="1161"/>
      <c r="AR184" s="954">
        <f t="shared" ref="AR184:AW184" si="108">P184+AK184</f>
        <v>-2165648.42</v>
      </c>
      <c r="AS184" s="954">
        <f t="shared" si="108"/>
        <v>-199508.54166666666</v>
      </c>
      <c r="AT184" s="954">
        <f t="shared" si="108"/>
        <v>-122597.77083333334</v>
      </c>
      <c r="AU184" s="954">
        <f t="shared" si="108"/>
        <v>-123493.12916666662</v>
      </c>
      <c r="AV184" s="954">
        <f t="shared" si="108"/>
        <v>-108475.48116666658</v>
      </c>
      <c r="AW184" s="954">
        <f t="shared" si="108"/>
        <v>-102975.16955999997</v>
      </c>
    </row>
    <row r="185" spans="2:49" s="663" customFormat="1">
      <c r="B185" s="664"/>
      <c r="I185" s="359"/>
      <c r="J185" s="359"/>
      <c r="K185" s="359"/>
      <c r="L185" s="359"/>
      <c r="M185" s="359"/>
      <c r="N185" s="359"/>
      <c r="P185" s="359"/>
      <c r="Q185" s="359"/>
      <c r="R185" s="359"/>
      <c r="S185" s="359"/>
      <c r="T185" s="359"/>
      <c r="U185" s="359"/>
      <c r="W185" s="359"/>
      <c r="X185" s="359"/>
      <c r="Y185" s="359"/>
      <c r="Z185" s="359"/>
      <c r="AA185" s="359"/>
      <c r="AB185" s="359"/>
      <c r="AC185" s="664"/>
      <c r="AD185" s="1161"/>
      <c r="AE185" s="359"/>
      <c r="AF185" s="359"/>
      <c r="AG185" s="359"/>
      <c r="AH185" s="359"/>
      <c r="AI185" s="359"/>
      <c r="AJ185" s="954"/>
      <c r="AK185" s="954"/>
      <c r="AL185" s="954"/>
      <c r="AM185" s="954"/>
      <c r="AN185" s="954"/>
      <c r="AO185" s="954"/>
      <c r="AP185" s="954"/>
      <c r="AQ185" s="1161"/>
      <c r="AR185" s="359"/>
      <c r="AS185" s="359"/>
      <c r="AT185" s="359"/>
      <c r="AU185" s="359"/>
      <c r="AV185" s="359"/>
      <c r="AW185" s="359"/>
    </row>
    <row r="186" spans="2:49" s="663" customFormat="1">
      <c r="B186" s="664"/>
      <c r="E186" s="663" t="s">
        <v>1688</v>
      </c>
      <c r="I186" s="359"/>
      <c r="P186" s="359">
        <f>'5. Financials'!H188</f>
        <v>0</v>
      </c>
      <c r="Q186" s="359">
        <f>'5. Financials'!I188</f>
        <v>0</v>
      </c>
      <c r="R186" s="359">
        <f>'5. Financials'!J188</f>
        <v>0</v>
      </c>
      <c r="S186" s="359">
        <f>'5. Financials'!K188</f>
        <v>0</v>
      </c>
      <c r="T186" s="359">
        <f>'5. Financials'!L188</f>
        <v>0</v>
      </c>
      <c r="U186" s="359">
        <f>'5. Financials'!M188</f>
        <v>0</v>
      </c>
      <c r="AC186" s="664"/>
      <c r="AD186" s="1161"/>
      <c r="AJ186" s="1161"/>
      <c r="AK186" s="1161"/>
      <c r="AL186" s="1161"/>
      <c r="AM186" s="1161"/>
      <c r="AN186" s="1161"/>
      <c r="AO186" s="1161"/>
      <c r="AP186" s="1161"/>
      <c r="AQ186" s="1161"/>
    </row>
    <row r="187" spans="2:49" s="663" customFormat="1">
      <c r="B187" s="664"/>
      <c r="E187" s="663" t="s">
        <v>1689</v>
      </c>
      <c r="I187" s="364"/>
      <c r="J187" s="364">
        <f>-(J182+J184-J191)</f>
        <v>57901.080271447427</v>
      </c>
      <c r="K187" s="364">
        <f>-(K182+K184-K191)</f>
        <v>-706860.37003205204</v>
      </c>
      <c r="L187" s="364">
        <f>-(L182+L184-L191)</f>
        <v>-665306.34166605456</v>
      </c>
      <c r="M187" s="364">
        <f>-(M182+M184-M191)</f>
        <v>-623960.06957891188</v>
      </c>
      <c r="N187" s="364">
        <f>-(N182+N184-N191)</f>
        <v>-614868.912122685</v>
      </c>
      <c r="P187" s="364">
        <f ca="1">'5. Financials'!H189</f>
        <v>3572949.4219446969</v>
      </c>
      <c r="Q187" s="364">
        <f>'5. Financials'!I189</f>
        <v>0</v>
      </c>
      <c r="R187" s="364">
        <f ca="1">'5. Financials'!J189</f>
        <v>-65659.079475105769</v>
      </c>
      <c r="S187" s="364">
        <f ca="1">'5. Financials'!K189</f>
        <v>-259489.47452603979</v>
      </c>
      <c r="T187" s="364">
        <f ca="1">'5. Financials'!L189</f>
        <v>-463324.48442152014</v>
      </c>
      <c r="U187" s="364">
        <f ca="1">'5. Financials'!M189</f>
        <v>-851017.47999040061</v>
      </c>
      <c r="W187" s="364">
        <f t="shared" ref="W187:AB187" ca="1" si="109">-(W182+W184-W191)</f>
        <v>2143769.653166818</v>
      </c>
      <c r="X187" s="364">
        <f t="shared" ca="1" si="109"/>
        <v>5.8207660913467407E-11</v>
      </c>
      <c r="Y187" s="364">
        <f t="shared" ca="1" si="109"/>
        <v>-39395.447685063489</v>
      </c>
      <c r="Z187" s="364">
        <f t="shared" ca="1" si="109"/>
        <v>-155693.684715624</v>
      </c>
      <c r="AA187" s="364">
        <f t="shared" ca="1" si="109"/>
        <v>-277994.69065291196</v>
      </c>
      <c r="AB187" s="364">
        <f t="shared" ca="1" si="109"/>
        <v>-510610.48799424066</v>
      </c>
      <c r="AC187" s="664"/>
      <c r="AD187" s="1721"/>
      <c r="AE187" s="364">
        <f t="shared" ref="AE187:AI188" si="110">J187-AL187</f>
        <v>0</v>
      </c>
      <c r="AF187" s="364">
        <f t="shared" si="110"/>
        <v>0</v>
      </c>
      <c r="AG187" s="364">
        <f t="shared" si="110"/>
        <v>0</v>
      </c>
      <c r="AH187" s="364">
        <f t="shared" si="110"/>
        <v>0</v>
      </c>
      <c r="AI187" s="364">
        <f t="shared" si="110"/>
        <v>0</v>
      </c>
      <c r="AJ187" s="659"/>
      <c r="AK187" s="955"/>
      <c r="AL187" s="364">
        <f>-(AL182+AL184-AL191)</f>
        <v>57901.080271447427</v>
      </c>
      <c r="AM187" s="364">
        <f>-(AM182+AM184-AM191)</f>
        <v>-706860.37003205204</v>
      </c>
      <c r="AN187" s="364">
        <f>-(AN182+AN184-AN191)</f>
        <v>-665306.34166605456</v>
      </c>
      <c r="AO187" s="364">
        <f>-(AO182+AO184-AO191)</f>
        <v>-623960.06957891188</v>
      </c>
      <c r="AP187" s="364">
        <f>-(AP182+AP184-AP191)</f>
        <v>-614868.912122685</v>
      </c>
      <c r="AQ187" s="1161"/>
      <c r="AR187" s="364">
        <f t="shared" ref="AR187:AW188" ca="1" si="111">P187+AK187</f>
        <v>3572949.4219446969</v>
      </c>
      <c r="AS187" s="364">
        <f t="shared" si="111"/>
        <v>57901.080271447427</v>
      </c>
      <c r="AT187" s="364">
        <f t="shared" ca="1" si="111"/>
        <v>-772519.44950715778</v>
      </c>
      <c r="AU187" s="364">
        <f t="shared" ca="1" si="111"/>
        <v>-924795.81619209435</v>
      </c>
      <c r="AV187" s="364">
        <f t="shared" ca="1" si="111"/>
        <v>-1087284.5540004321</v>
      </c>
      <c r="AW187" s="364">
        <f t="shared" ca="1" si="111"/>
        <v>-1465886.3921130856</v>
      </c>
    </row>
    <row r="188" spans="2:49" s="663" customFormat="1">
      <c r="B188" s="664"/>
      <c r="E188" s="663" t="s">
        <v>1690</v>
      </c>
      <c r="I188" s="363"/>
      <c r="J188" s="363">
        <f>SUM(J187:J187)</f>
        <v>57901.080271447427</v>
      </c>
      <c r="K188" s="363">
        <f>SUM(K187:K187)</f>
        <v>-706860.37003205204</v>
      </c>
      <c r="L188" s="363">
        <f>SUM(L187:L187)</f>
        <v>-665306.34166605456</v>
      </c>
      <c r="M188" s="363">
        <f>SUM(M187:M187)</f>
        <v>-623960.06957891188</v>
      </c>
      <c r="N188" s="363">
        <f>SUM(N187:N187)</f>
        <v>-614868.912122685</v>
      </c>
      <c r="P188" s="363">
        <f ca="1">'5. Financials'!H190</f>
        <v>3572949.4219446969</v>
      </c>
      <c r="Q188" s="363">
        <f>'5. Financials'!I190</f>
        <v>0</v>
      </c>
      <c r="R188" s="363">
        <f ca="1">'5. Financials'!J190</f>
        <v>-65659.079475105769</v>
      </c>
      <c r="S188" s="363">
        <f ca="1">'5. Financials'!K190</f>
        <v>-259489.47452603979</v>
      </c>
      <c r="T188" s="363">
        <f ca="1">'5. Financials'!L190</f>
        <v>-463324.48442152014</v>
      </c>
      <c r="U188" s="363">
        <f ca="1">'5. Financials'!M190</f>
        <v>-851017.47999040061</v>
      </c>
      <c r="W188" s="363">
        <f t="shared" ref="W188:AB188" ca="1" si="112">SUM(W187:W187)</f>
        <v>2143769.653166818</v>
      </c>
      <c r="X188" s="363">
        <f t="shared" ca="1" si="112"/>
        <v>5.8207660913467407E-11</v>
      </c>
      <c r="Y188" s="363">
        <f t="shared" ca="1" si="112"/>
        <v>-39395.447685063489</v>
      </c>
      <c r="Z188" s="363">
        <f t="shared" ca="1" si="112"/>
        <v>-155693.684715624</v>
      </c>
      <c r="AA188" s="363">
        <f t="shared" ca="1" si="112"/>
        <v>-277994.69065291196</v>
      </c>
      <c r="AB188" s="363">
        <f t="shared" ca="1" si="112"/>
        <v>-510610.48799424066</v>
      </c>
      <c r="AC188" s="664"/>
      <c r="AD188" s="1721"/>
      <c r="AE188" s="363">
        <f t="shared" si="110"/>
        <v>0</v>
      </c>
      <c r="AF188" s="363">
        <f t="shared" si="110"/>
        <v>0</v>
      </c>
      <c r="AG188" s="363">
        <f t="shared" si="110"/>
        <v>0</v>
      </c>
      <c r="AH188" s="363">
        <f t="shared" si="110"/>
        <v>0</v>
      </c>
      <c r="AI188" s="363">
        <f t="shared" si="110"/>
        <v>0</v>
      </c>
      <c r="AJ188" s="1721"/>
      <c r="AK188" s="1721"/>
      <c r="AL188" s="1721">
        <f>SUM(AL187:AL187)</f>
        <v>57901.080271447427</v>
      </c>
      <c r="AM188" s="1721">
        <f>SUM(AM187:AM187)</f>
        <v>-706860.37003205204</v>
      </c>
      <c r="AN188" s="1721">
        <f>SUM(AN187:AN187)</f>
        <v>-665306.34166605456</v>
      </c>
      <c r="AO188" s="1721">
        <f>SUM(AO187:AO187)</f>
        <v>-623960.06957891188</v>
      </c>
      <c r="AP188" s="1721">
        <f>SUM(AP187:AP187)</f>
        <v>-614868.912122685</v>
      </c>
      <c r="AQ188" s="1161"/>
      <c r="AR188" s="363">
        <f t="shared" ca="1" si="111"/>
        <v>3572949.4219446969</v>
      </c>
      <c r="AS188" s="363">
        <f t="shared" si="111"/>
        <v>57901.080271447427</v>
      </c>
      <c r="AT188" s="363">
        <f t="shared" ca="1" si="111"/>
        <v>-772519.44950715778</v>
      </c>
      <c r="AU188" s="363">
        <f t="shared" ca="1" si="111"/>
        <v>-924795.81619209435</v>
      </c>
      <c r="AV188" s="363">
        <f t="shared" ca="1" si="111"/>
        <v>-1087284.5540004321</v>
      </c>
      <c r="AW188" s="363">
        <f t="shared" ca="1" si="111"/>
        <v>-1465886.3921130856</v>
      </c>
    </row>
    <row r="189" spans="2:49" s="663" customFormat="1">
      <c r="B189" s="664"/>
      <c r="I189" s="359"/>
      <c r="J189" s="359"/>
      <c r="K189" s="359"/>
      <c r="L189" s="359"/>
      <c r="M189" s="359"/>
      <c r="N189" s="359"/>
      <c r="P189" s="359"/>
      <c r="Q189" s="359"/>
      <c r="R189" s="359"/>
      <c r="S189" s="359"/>
      <c r="T189" s="359"/>
      <c r="U189" s="359"/>
      <c r="W189" s="359"/>
      <c r="X189" s="359"/>
      <c r="Y189" s="359"/>
      <c r="Z189" s="359"/>
      <c r="AA189" s="359"/>
      <c r="AB189" s="359"/>
      <c r="AC189" s="664"/>
      <c r="AD189" s="1161"/>
      <c r="AE189" s="359"/>
      <c r="AF189" s="359"/>
      <c r="AG189" s="359"/>
      <c r="AH189" s="359"/>
      <c r="AI189" s="359"/>
      <c r="AJ189" s="954"/>
      <c r="AK189" s="954"/>
      <c r="AL189" s="954"/>
      <c r="AM189" s="954"/>
      <c r="AN189" s="954"/>
      <c r="AO189" s="954"/>
      <c r="AP189" s="954"/>
      <c r="AQ189" s="1161"/>
      <c r="AR189" s="359"/>
      <c r="AS189" s="359"/>
      <c r="AT189" s="359"/>
      <c r="AU189" s="359"/>
      <c r="AV189" s="359"/>
      <c r="AW189" s="359"/>
    </row>
    <row r="190" spans="2:49" s="663" customFormat="1">
      <c r="B190" s="664"/>
      <c r="E190" s="663" t="s">
        <v>1692</v>
      </c>
      <c r="I190" s="2012">
        <f>I139</f>
        <v>-8535.08</v>
      </c>
      <c r="J190" s="366">
        <f>I192</f>
        <v>-8535.08</v>
      </c>
      <c r="K190" s="366">
        <f>J192</f>
        <v>485463.50986992585</v>
      </c>
      <c r="L190" s="366">
        <f>K192</f>
        <v>496222.87370193913</v>
      </c>
      <c r="M190" s="366">
        <f>L192</f>
        <v>507388.67435835651</v>
      </c>
      <c r="N190" s="366">
        <f>M192</f>
        <v>518860.05926260632</v>
      </c>
      <c r="P190" s="366">
        <f>'5. Financials'!H192</f>
        <v>0</v>
      </c>
      <c r="Q190" s="366">
        <f ca="1">'5. Financials'!I192</f>
        <v>1142652.855904141</v>
      </c>
      <c r="R190" s="366">
        <f ca="1">'5. Financials'!J192</f>
        <v>514799.51442628563</v>
      </c>
      <c r="S190" s="366">
        <f ca="1">'5. Financials'!K192</f>
        <v>407144.54878236272</v>
      </c>
      <c r="T190" s="366">
        <f ca="1">'5. Financials'!L192</f>
        <v>527898.03262117214</v>
      </c>
      <c r="U190" s="366">
        <f ca="1">'5. Financials'!M192</f>
        <v>642887.45321286656</v>
      </c>
      <c r="W190" s="2012">
        <v>0</v>
      </c>
      <c r="X190" s="366">
        <f ca="1">W192</f>
        <v>685591.71354248456</v>
      </c>
      <c r="Y190" s="366">
        <f ca="1">X192</f>
        <v>308879.70865577139</v>
      </c>
      <c r="Z190" s="366">
        <f ca="1">Y192</f>
        <v>244286.72926941764</v>
      </c>
      <c r="AA190" s="366">
        <f ca="1">Z192</f>
        <v>316738.81957270321</v>
      </c>
      <c r="AB190" s="366">
        <f ca="1">AA192</f>
        <v>385732.47192772001</v>
      </c>
      <c r="AC190" s="664"/>
      <c r="AD190" s="1721"/>
      <c r="AE190" s="366">
        <f t="shared" ref="AE190:AI192" si="113">J190-AL190</f>
        <v>0</v>
      </c>
      <c r="AF190" s="366">
        <f t="shared" si="113"/>
        <v>0</v>
      </c>
      <c r="AG190" s="366">
        <f t="shared" si="113"/>
        <v>0</v>
      </c>
      <c r="AH190" s="366">
        <f t="shared" si="113"/>
        <v>0</v>
      </c>
      <c r="AI190" s="366">
        <f t="shared" si="113"/>
        <v>0</v>
      </c>
      <c r="AJ190" s="659"/>
      <c r="AK190" s="2012">
        <f>AK139</f>
        <v>-8535.08</v>
      </c>
      <c r="AL190" s="366">
        <f>AK192</f>
        <v>-8535.08</v>
      </c>
      <c r="AM190" s="366">
        <f>AL192</f>
        <v>485463.50986992585</v>
      </c>
      <c r="AN190" s="366">
        <f>AM192</f>
        <v>496222.87370193913</v>
      </c>
      <c r="AO190" s="366">
        <f>AN192</f>
        <v>507388.67435835651</v>
      </c>
      <c r="AP190" s="366">
        <f>AO192</f>
        <v>518860.05926260632</v>
      </c>
      <c r="AQ190" s="1161"/>
      <c r="AR190" s="1941">
        <f t="shared" ref="AR190:AW192" si="114">P190+AK190</f>
        <v>-8535.08</v>
      </c>
      <c r="AS190" s="366">
        <f t="shared" ca="1" si="114"/>
        <v>1134117.7759041409</v>
      </c>
      <c r="AT190" s="366">
        <f t="shared" ca="1" si="114"/>
        <v>1000263.0242962115</v>
      </c>
      <c r="AU190" s="366">
        <f t="shared" ca="1" si="114"/>
        <v>903367.42248430185</v>
      </c>
      <c r="AV190" s="366">
        <f t="shared" ca="1" si="114"/>
        <v>1035286.7069795287</v>
      </c>
      <c r="AW190" s="366">
        <f t="shared" ca="1" si="114"/>
        <v>1161747.5124754729</v>
      </c>
    </row>
    <row r="191" spans="2:49" s="663" customFormat="1">
      <c r="B191" s="664"/>
      <c r="E191" s="663" t="s">
        <v>1691</v>
      </c>
      <c r="I191" s="359"/>
      <c r="J191" s="359">
        <f>J139-I139</f>
        <v>493998.58986992587</v>
      </c>
      <c r="K191" s="359">
        <f>K139-J139</f>
        <v>10759.363832013274</v>
      </c>
      <c r="L191" s="359">
        <f>L139-K139</f>
        <v>11165.800656417385</v>
      </c>
      <c r="M191" s="359">
        <f>M139-L139</f>
        <v>11471.384904249804</v>
      </c>
      <c r="N191" s="359">
        <f>N139-M139</f>
        <v>12643.625731509761</v>
      </c>
      <c r="O191" s="667"/>
      <c r="P191" s="359">
        <f ca="1">'5. Financials'!H193</f>
        <v>1142652.855904141</v>
      </c>
      <c r="Q191" s="359">
        <f>'5. Financials'!I193</f>
        <v>-627853.34147785534</v>
      </c>
      <c r="R191" s="359">
        <f ca="1">'5. Financials'!J193</f>
        <v>-107654.96564392291</v>
      </c>
      <c r="S191" s="359">
        <f ca="1">'5. Financials'!K193</f>
        <v>120753.48383880942</v>
      </c>
      <c r="T191" s="359">
        <f ca="1">'5. Financials'!L193</f>
        <v>114989.42059169442</v>
      </c>
      <c r="U191" s="359">
        <f ca="1">'5. Financials'!M193</f>
        <v>93603.699708824977</v>
      </c>
      <c r="W191" s="1938">
        <f ca="1">W139</f>
        <v>685591.71354248456</v>
      </c>
      <c r="X191" s="359">
        <f ca="1">X139-W139</f>
        <v>-376712.00488671317</v>
      </c>
      <c r="Y191" s="359">
        <f ca="1">Y139-X139</f>
        <v>-64592.979386353749</v>
      </c>
      <c r="Z191" s="359">
        <f ca="1">Z139-Y139</f>
        <v>72452.090303285571</v>
      </c>
      <c r="AA191" s="359">
        <f ca="1">AA139-Z139</f>
        <v>68993.652355016791</v>
      </c>
      <c r="AB191" s="359">
        <f ca="1">AB139-AA139</f>
        <v>56162.219825294975</v>
      </c>
      <c r="AC191" s="664"/>
      <c r="AD191" s="1721"/>
      <c r="AE191" s="359">
        <f t="shared" si="113"/>
        <v>0</v>
      </c>
      <c r="AF191" s="359">
        <f t="shared" si="113"/>
        <v>0</v>
      </c>
      <c r="AG191" s="359">
        <f t="shared" si="113"/>
        <v>0</v>
      </c>
      <c r="AH191" s="359">
        <f t="shared" si="113"/>
        <v>0</v>
      </c>
      <c r="AI191" s="359">
        <f t="shared" si="113"/>
        <v>0</v>
      </c>
      <c r="AJ191" s="954"/>
      <c r="AK191" s="954"/>
      <c r="AL191" s="359">
        <f>AL139-AK139</f>
        <v>493998.58986992587</v>
      </c>
      <c r="AM191" s="359">
        <f>AM139-AL139</f>
        <v>10759.363832013274</v>
      </c>
      <c r="AN191" s="359">
        <f>AN139-AM139</f>
        <v>11165.800656417385</v>
      </c>
      <c r="AO191" s="359">
        <f>AO139-AN139</f>
        <v>11471.384904249804</v>
      </c>
      <c r="AP191" s="359">
        <f>AP139-AO139</f>
        <v>12643.625731509761</v>
      </c>
      <c r="AQ191" s="1161"/>
      <c r="AR191" s="1938">
        <f t="shared" ca="1" si="114"/>
        <v>1142652.855904141</v>
      </c>
      <c r="AS191" s="359">
        <f t="shared" si="114"/>
        <v>-133854.75160792947</v>
      </c>
      <c r="AT191" s="359">
        <f t="shared" ca="1" si="114"/>
        <v>-96895.601811909641</v>
      </c>
      <c r="AU191" s="359">
        <f t="shared" ca="1" si="114"/>
        <v>131919.28449522681</v>
      </c>
      <c r="AV191" s="359">
        <f t="shared" ca="1" si="114"/>
        <v>126460.80549594422</v>
      </c>
      <c r="AW191" s="359">
        <f t="shared" ca="1" si="114"/>
        <v>106247.32544033474</v>
      </c>
    </row>
    <row r="192" spans="2:49" s="663" customFormat="1" ht="12" thickBot="1">
      <c r="B192" s="664"/>
      <c r="E192" s="663" t="s">
        <v>1693</v>
      </c>
      <c r="I192" s="369">
        <f t="shared" ref="I192:N192" si="115">SUM(I190:I191)</f>
        <v>-8535.08</v>
      </c>
      <c r="J192" s="369">
        <f t="shared" si="115"/>
        <v>485463.50986992585</v>
      </c>
      <c r="K192" s="369">
        <f t="shared" si="115"/>
        <v>496222.87370193913</v>
      </c>
      <c r="L192" s="369">
        <f t="shared" si="115"/>
        <v>507388.67435835651</v>
      </c>
      <c r="M192" s="369">
        <f t="shared" si="115"/>
        <v>518860.05926260632</v>
      </c>
      <c r="N192" s="369">
        <f t="shared" si="115"/>
        <v>531503.68499411608</v>
      </c>
      <c r="O192" s="667"/>
      <c r="P192" s="369">
        <f ca="1">'5. Financials'!H194</f>
        <v>1142652.855904141</v>
      </c>
      <c r="Q192" s="369">
        <f ca="1">'5. Financials'!I194</f>
        <v>514799.51442628563</v>
      </c>
      <c r="R192" s="369">
        <f ca="1">'5. Financials'!J194</f>
        <v>407144.54878236272</v>
      </c>
      <c r="S192" s="369">
        <f ca="1">'5. Financials'!K194</f>
        <v>527898.03262117214</v>
      </c>
      <c r="T192" s="369">
        <f ca="1">'5. Financials'!L194</f>
        <v>642887.45321286656</v>
      </c>
      <c r="U192" s="369">
        <f ca="1">'5. Financials'!M194</f>
        <v>736491.15292169154</v>
      </c>
      <c r="W192" s="369">
        <f t="shared" ref="W192:AB192" ca="1" si="116">SUM(W190:W191)</f>
        <v>685591.71354248456</v>
      </c>
      <c r="X192" s="369">
        <f t="shared" ca="1" si="116"/>
        <v>308879.70865577139</v>
      </c>
      <c r="Y192" s="369">
        <f t="shared" ca="1" si="116"/>
        <v>244286.72926941764</v>
      </c>
      <c r="Z192" s="369">
        <f t="shared" ca="1" si="116"/>
        <v>316738.81957270321</v>
      </c>
      <c r="AA192" s="369">
        <f t="shared" ca="1" si="116"/>
        <v>385732.47192772001</v>
      </c>
      <c r="AB192" s="369">
        <f t="shared" ca="1" si="116"/>
        <v>441894.69175301498</v>
      </c>
      <c r="AC192" s="664"/>
      <c r="AD192" s="1721"/>
      <c r="AE192" s="369">
        <f t="shared" si="113"/>
        <v>0</v>
      </c>
      <c r="AF192" s="369">
        <f t="shared" si="113"/>
        <v>0</v>
      </c>
      <c r="AG192" s="369">
        <f t="shared" si="113"/>
        <v>0</v>
      </c>
      <c r="AH192" s="369">
        <f t="shared" si="113"/>
        <v>0</v>
      </c>
      <c r="AI192" s="369">
        <f t="shared" si="113"/>
        <v>0</v>
      </c>
      <c r="AJ192" s="1145"/>
      <c r="AK192" s="369">
        <f t="shared" ref="AK192:AP192" si="117">SUM(AK190:AK191)</f>
        <v>-8535.08</v>
      </c>
      <c r="AL192" s="369">
        <f t="shared" si="117"/>
        <v>485463.50986992585</v>
      </c>
      <c r="AM192" s="369">
        <f t="shared" si="117"/>
        <v>496222.87370193913</v>
      </c>
      <c r="AN192" s="369">
        <f t="shared" si="117"/>
        <v>507388.67435835651</v>
      </c>
      <c r="AO192" s="369">
        <f t="shared" si="117"/>
        <v>518860.05926260632</v>
      </c>
      <c r="AP192" s="369">
        <f t="shared" si="117"/>
        <v>531503.68499411608</v>
      </c>
      <c r="AQ192" s="1161"/>
      <c r="AR192" s="369">
        <f t="shared" ca="1" si="114"/>
        <v>1134117.7759041409</v>
      </c>
      <c r="AS192" s="369">
        <f t="shared" ca="1" si="114"/>
        <v>1000263.0242962115</v>
      </c>
      <c r="AT192" s="369">
        <f t="shared" ca="1" si="114"/>
        <v>903367.42248430185</v>
      </c>
      <c r="AU192" s="369">
        <f t="shared" ca="1" si="114"/>
        <v>1035286.7069795287</v>
      </c>
      <c r="AV192" s="369">
        <f t="shared" ca="1" si="114"/>
        <v>1161747.5124754729</v>
      </c>
      <c r="AW192" s="369">
        <f t="shared" ca="1" si="114"/>
        <v>1267994.8379158075</v>
      </c>
    </row>
    <row r="193" spans="1:50" s="1302" customFormat="1" ht="12" outlineLevel="1" thickTop="1">
      <c r="B193" s="1303"/>
      <c r="E193" s="1302" t="s">
        <v>1694</v>
      </c>
      <c r="I193" s="655">
        <f t="shared" ref="I193:N193" si="118">ROUND(SUM(I182+I184+I188-I191),0)</f>
        <v>0</v>
      </c>
      <c r="J193" s="655">
        <f t="shared" si="118"/>
        <v>0</v>
      </c>
      <c r="K193" s="655">
        <f t="shared" si="118"/>
        <v>0</v>
      </c>
      <c r="L193" s="655">
        <f t="shared" si="118"/>
        <v>0</v>
      </c>
      <c r="M193" s="655">
        <f t="shared" si="118"/>
        <v>0</v>
      </c>
      <c r="N193" s="655">
        <f t="shared" si="118"/>
        <v>0</v>
      </c>
      <c r="O193" s="667"/>
      <c r="P193" s="655"/>
      <c r="Q193" s="655">
        <f>ROUND(SUM(Q182+Q184+Q188-Q191),0)</f>
        <v>0</v>
      </c>
      <c r="R193" s="655">
        <f ca="1">ROUND(SUM(R182+R184+R188-R191),0)</f>
        <v>0</v>
      </c>
      <c r="S193" s="655">
        <f ca="1">ROUND(SUM(S182+S184+S188-S191),0)</f>
        <v>0</v>
      </c>
      <c r="T193" s="655">
        <f ca="1">ROUND(SUM(T182+T184+T188-T191),0)</f>
        <v>0</v>
      </c>
      <c r="U193" s="655">
        <f ca="1">ROUND(SUM(U182+U184+U188-U191),0)</f>
        <v>0</v>
      </c>
      <c r="W193" s="655"/>
      <c r="X193" s="655">
        <f ca="1">ROUND(SUM(X182+X184+X188-X191),0)</f>
        <v>0</v>
      </c>
      <c r="Y193" s="655">
        <f ca="1">ROUND(SUM(Y182+Y184+Y188-Y191),0)</f>
        <v>0</v>
      </c>
      <c r="Z193" s="655">
        <f ca="1">ROUND(SUM(Z182+Z184+Z188-Z191),0)</f>
        <v>0</v>
      </c>
      <c r="AA193" s="655">
        <f ca="1">ROUND(SUM(AA182+AA184+AA188-AA191),0)</f>
        <v>0</v>
      </c>
      <c r="AB193" s="655">
        <f ca="1">ROUND(SUM(AB182+AB184+AB188-AB191),0)</f>
        <v>0</v>
      </c>
      <c r="AC193" s="1303"/>
      <c r="AD193" s="1937"/>
      <c r="AE193" s="655">
        <f>ROUND(SUM(AE182+AE184+AE188-AE191),0)</f>
        <v>0</v>
      </c>
      <c r="AF193" s="655">
        <f>ROUND(SUM(AF182+AF184+AF188-AF191),0)</f>
        <v>0</v>
      </c>
      <c r="AG193" s="655">
        <f>ROUND(SUM(AG182+AG184+AG188-AG191),0)</f>
        <v>0</v>
      </c>
      <c r="AH193" s="655">
        <f>ROUND(SUM(AH182+AH184+AH188-AH191),0)</f>
        <v>0</v>
      </c>
      <c r="AI193" s="655">
        <f>ROUND(SUM(AI182+AI184+AI188-AI191),0)</f>
        <v>0</v>
      </c>
      <c r="AJ193" s="2021"/>
      <c r="AK193" s="2021"/>
      <c r="AL193" s="2021">
        <f>ROUND(SUM(AL182+AL184+AL188-AL191),0)</f>
        <v>0</v>
      </c>
      <c r="AM193" s="2021">
        <f>ROUND(SUM(AM182+AM184+AM188-AM191),0)</f>
        <v>0</v>
      </c>
      <c r="AN193" s="2021">
        <f>ROUND(SUM(AN182+AN184+AN188-AN191),0)</f>
        <v>0</v>
      </c>
      <c r="AO193" s="2021">
        <f>ROUND(SUM(AO182+AO184+AO188-AO191),0)</f>
        <v>0</v>
      </c>
      <c r="AP193" s="2021">
        <f>ROUND(SUM(AP182+AP184+AP188-AP191),0)</f>
        <v>0</v>
      </c>
      <c r="AQ193" s="1937"/>
      <c r="AR193" s="655"/>
      <c r="AS193" s="655">
        <f>ROUND(SUM(AS182+AS184+AS188-AS191),0)</f>
        <v>0</v>
      </c>
      <c r="AT193" s="655">
        <f ca="1">ROUND(SUM(AT182+AT184+AT188-AT191),0)</f>
        <v>0</v>
      </c>
      <c r="AU193" s="655">
        <f ca="1">ROUND(SUM(AU182+AU184+AU188-AU191),0)</f>
        <v>0</v>
      </c>
      <c r="AV193" s="655">
        <f ca="1">ROUND(SUM(AV182+AV184+AV188-AV191),0)</f>
        <v>0</v>
      </c>
      <c r="AW193" s="655">
        <f ca="1">ROUND(SUM(AW182+AW184+AW188-AW191),0)</f>
        <v>0</v>
      </c>
    </row>
    <row r="194" spans="1:50" s="663" customFormat="1">
      <c r="B194" s="664"/>
      <c r="J194" s="363"/>
      <c r="O194" s="667"/>
      <c r="P194" s="1161"/>
      <c r="Q194" s="1161"/>
      <c r="R194" s="1161"/>
      <c r="S194" s="1161"/>
      <c r="T194" s="1161"/>
      <c r="U194" s="1161"/>
      <c r="AC194" s="664"/>
      <c r="AD194" s="1161"/>
      <c r="AJ194" s="1161"/>
      <c r="AK194" s="1161"/>
      <c r="AL194" s="1161"/>
      <c r="AM194" s="1161"/>
      <c r="AN194" s="1161"/>
      <c r="AO194" s="1161"/>
      <c r="AP194" s="1161"/>
      <c r="AQ194" s="1161"/>
    </row>
    <row r="195" spans="1:50" s="663" customFormat="1">
      <c r="B195" s="664"/>
      <c r="P195" s="1161"/>
      <c r="Q195" s="1161"/>
      <c r="R195" s="1161"/>
      <c r="S195" s="1161"/>
      <c r="T195" s="1161"/>
      <c r="U195" s="1161"/>
      <c r="AC195" s="664"/>
      <c r="AD195" s="1161"/>
      <c r="AJ195" s="1161"/>
      <c r="AK195" s="1161"/>
      <c r="AL195" s="1161"/>
      <c r="AM195" s="1161"/>
      <c r="AN195" s="1161"/>
      <c r="AO195" s="1161"/>
      <c r="AP195" s="1161"/>
      <c r="AQ195" s="1161"/>
    </row>
    <row r="196" spans="1:50" s="663" customFormat="1">
      <c r="B196" s="664"/>
      <c r="D196" s="666" t="s">
        <v>813</v>
      </c>
      <c r="P196" s="1145"/>
      <c r="Q196" s="1145"/>
      <c r="R196" s="1145"/>
      <c r="S196" s="1145"/>
      <c r="T196" s="1145"/>
      <c r="U196" s="1145"/>
      <c r="AC196" s="664"/>
      <c r="AD196" s="1161"/>
      <c r="AJ196" s="1161"/>
      <c r="AK196" s="1161"/>
      <c r="AL196" s="1161"/>
      <c r="AM196" s="1161"/>
      <c r="AN196" s="1161"/>
      <c r="AO196" s="1161"/>
      <c r="AP196" s="1161"/>
      <c r="AQ196" s="1161"/>
    </row>
    <row r="197" spans="1:50" s="663" customFormat="1">
      <c r="B197" s="664"/>
      <c r="P197" s="1161"/>
      <c r="Q197" s="1161"/>
      <c r="R197" s="1161"/>
      <c r="S197" s="1161"/>
      <c r="T197" s="1161"/>
      <c r="U197" s="1161"/>
      <c r="AC197" s="664"/>
      <c r="AD197" s="1161"/>
      <c r="AJ197" s="1161"/>
      <c r="AK197" s="1161"/>
      <c r="AL197" s="1161"/>
      <c r="AM197" s="1161"/>
      <c r="AN197" s="1161"/>
      <c r="AO197" s="1161"/>
      <c r="AP197" s="1161"/>
      <c r="AQ197" s="1161"/>
    </row>
    <row r="198" spans="1:50" s="368" customFormat="1">
      <c r="A198" s="667"/>
      <c r="B198" s="668"/>
      <c r="C198" s="667"/>
      <c r="D198" s="667"/>
      <c r="E198" s="667"/>
      <c r="F198" s="667"/>
      <c r="G198" s="667"/>
      <c r="I198" s="1145"/>
      <c r="J198" s="1145"/>
      <c r="K198" s="1145"/>
      <c r="L198" s="1145"/>
      <c r="M198" s="1145"/>
      <c r="N198" s="1145"/>
      <c r="O198" s="1145"/>
      <c r="P198" s="1145"/>
      <c r="Q198" s="1145"/>
      <c r="R198" s="1145"/>
      <c r="S198" s="1145"/>
      <c r="T198" s="1145"/>
      <c r="U198" s="1145"/>
      <c r="V198" s="1145"/>
      <c r="W198" s="1145"/>
      <c r="X198" s="1145"/>
      <c r="Y198" s="1145"/>
      <c r="Z198" s="1145"/>
      <c r="AA198" s="1145"/>
      <c r="AB198" s="1145"/>
      <c r="AC198" s="367"/>
      <c r="AD198" s="1721"/>
      <c r="AE198" s="1145"/>
      <c r="AF198" s="1145"/>
      <c r="AG198" s="1145"/>
      <c r="AH198" s="1145"/>
      <c r="AI198" s="1145"/>
      <c r="AJ198" s="1145"/>
      <c r="AK198" s="1145"/>
      <c r="AL198" s="1145"/>
      <c r="AM198" s="1145"/>
      <c r="AN198" s="1145"/>
      <c r="AO198" s="1145"/>
      <c r="AP198" s="1145"/>
      <c r="AQ198" s="1145"/>
      <c r="AR198" s="1145"/>
      <c r="AS198" s="1145"/>
      <c r="AT198" s="1145"/>
      <c r="AU198" s="1145"/>
      <c r="AV198" s="1145"/>
      <c r="AW198" s="1145"/>
      <c r="AX198" s="1145"/>
    </row>
    <row r="199" spans="1:50" s="663" customFormat="1">
      <c r="B199" s="664"/>
      <c r="P199" s="1161"/>
      <c r="Q199" s="1161"/>
      <c r="R199" s="1161"/>
      <c r="S199" s="1161"/>
      <c r="T199" s="1161"/>
      <c r="U199" s="1161"/>
      <c r="AC199" s="664"/>
      <c r="AD199" s="1161"/>
      <c r="AJ199" s="1161"/>
      <c r="AK199" s="1161"/>
      <c r="AL199" s="1161"/>
      <c r="AM199" s="1161"/>
      <c r="AN199" s="1161"/>
      <c r="AO199" s="1161"/>
      <c r="AP199" s="1161"/>
      <c r="AQ199" s="1161"/>
    </row>
    <row r="200" spans="1:50" s="663" customFormat="1">
      <c r="B200" s="664"/>
      <c r="E200" s="663" t="s">
        <v>2146</v>
      </c>
      <c r="P200" s="1938">
        <f>-'5. Financials'!H186</f>
        <v>2165648.42</v>
      </c>
      <c r="Q200" s="954"/>
      <c r="R200" s="954"/>
      <c r="S200" s="954"/>
      <c r="T200" s="954"/>
      <c r="U200" s="954"/>
      <c r="W200" s="1938">
        <f>-'5. Financials'!H186*DVAOwnership</f>
        <v>1299389.0519999999</v>
      </c>
      <c r="AC200" s="664"/>
      <c r="AD200" s="1161"/>
      <c r="AJ200" s="1161"/>
      <c r="AK200" s="1161"/>
      <c r="AL200" s="1161"/>
      <c r="AM200" s="1161"/>
      <c r="AN200" s="1161"/>
      <c r="AO200" s="1161"/>
      <c r="AP200" s="1161"/>
      <c r="AQ200" s="1161"/>
      <c r="AR200" s="1938">
        <f>P200+AK200</f>
        <v>2165648.42</v>
      </c>
      <c r="AX200" s="359"/>
    </row>
    <row r="201" spans="1:50" s="663" customFormat="1">
      <c r="B201" s="664"/>
      <c r="P201" s="1161"/>
      <c r="Q201" s="1161"/>
      <c r="R201" s="1161"/>
      <c r="S201" s="1161"/>
      <c r="T201" s="1161"/>
      <c r="U201" s="1161"/>
      <c r="AC201" s="664"/>
      <c r="AD201" s="1161"/>
      <c r="AJ201" s="1161"/>
      <c r="AK201" s="1161"/>
      <c r="AL201" s="1161"/>
      <c r="AM201" s="1161"/>
      <c r="AN201" s="1161"/>
      <c r="AO201" s="1161"/>
      <c r="AP201" s="1161"/>
      <c r="AQ201" s="1161"/>
    </row>
    <row r="202" spans="1:50" s="663" customFormat="1">
      <c r="B202" s="664"/>
      <c r="E202" s="663" t="s">
        <v>1799</v>
      </c>
      <c r="P202" s="1161"/>
      <c r="Q202" s="1161"/>
      <c r="R202" s="1161"/>
      <c r="S202" s="1161"/>
      <c r="T202" s="1161"/>
      <c r="U202" s="1161"/>
      <c r="AC202" s="664"/>
      <c r="AD202" s="1161"/>
      <c r="AJ202" s="1161"/>
      <c r="AK202" s="1161"/>
      <c r="AL202" s="1161"/>
      <c r="AM202" s="1161"/>
      <c r="AN202" s="1161"/>
      <c r="AO202" s="1161"/>
      <c r="AP202" s="1161"/>
      <c r="AQ202" s="1161"/>
    </row>
    <row r="203" spans="1:50" s="663" customFormat="1">
      <c r="B203" s="664"/>
      <c r="F203" s="663" t="s">
        <v>1810</v>
      </c>
      <c r="J203" s="363">
        <f>'2.3 Expenses'!I100*'2.0 Patients'!F8</f>
        <v>30000</v>
      </c>
      <c r="K203" s="363">
        <f>J203*(1+'2.3 Expenses'!$J100)</f>
        <v>30900</v>
      </c>
      <c r="L203" s="363">
        <f>K203*(1+'2.3 Expenses'!$J100)</f>
        <v>31827</v>
      </c>
      <c r="M203" s="363">
        <f>L203*(1+'2.3 Expenses'!$J100)</f>
        <v>32781.81</v>
      </c>
      <c r="N203" s="363">
        <f>M203*(1+'2.3 Expenses'!$J100)</f>
        <v>33765.264299999995</v>
      </c>
      <c r="P203" s="954">
        <f>'5. Financials'!H252</f>
        <v>0</v>
      </c>
      <c r="Q203" s="954">
        <f>'5. Financials'!I252</f>
        <v>46000</v>
      </c>
      <c r="R203" s="954">
        <f>'5. Financials'!J252</f>
        <v>47380</v>
      </c>
      <c r="S203" s="954">
        <f>'5. Financials'!K252</f>
        <v>48801.4</v>
      </c>
      <c r="T203" s="954">
        <f>'5. Financials'!L252</f>
        <v>50265.442000000003</v>
      </c>
      <c r="U203" s="954">
        <f>'5. Financials'!M252</f>
        <v>51773.40526</v>
      </c>
      <c r="W203" s="1145">
        <f t="shared" ref="W203:AB203" si="119">(P203*DVAOwnership)+(AK203*pshare)-(I203*pshare)</f>
        <v>0</v>
      </c>
      <c r="X203" s="1145">
        <f t="shared" si="119"/>
        <v>27600</v>
      </c>
      <c r="Y203" s="1145">
        <f t="shared" si="119"/>
        <v>28428</v>
      </c>
      <c r="Z203" s="1145">
        <f t="shared" si="119"/>
        <v>29280.84</v>
      </c>
      <c r="AA203" s="1145">
        <f t="shared" si="119"/>
        <v>30159.265200000005</v>
      </c>
      <c r="AB203" s="1145">
        <f t="shared" si="119"/>
        <v>31064.043156</v>
      </c>
      <c r="AC203" s="664"/>
      <c r="AD203" s="1721"/>
      <c r="AJ203" s="1161"/>
      <c r="AK203" s="1721"/>
      <c r="AL203" s="1721">
        <f>IF(Type="DeNovo",'2.3 Expenses'!N100*'2.0 Patients'!F8,0)</f>
        <v>30000</v>
      </c>
      <c r="AM203" s="1721">
        <f>AL203*(1+'2.3 Expenses'!$J100)</f>
        <v>30900</v>
      </c>
      <c r="AN203" s="1721">
        <f>AM203*(1+'2.3 Expenses'!$J100)</f>
        <v>31827</v>
      </c>
      <c r="AO203" s="1721">
        <f>AN203*(1+'2.3 Expenses'!$J100)</f>
        <v>32781.81</v>
      </c>
      <c r="AP203" s="1721">
        <f>AO203*(1+'2.3 Expenses'!$J100)</f>
        <v>33765.264299999995</v>
      </c>
      <c r="AQ203" s="1161"/>
      <c r="AR203" s="1145">
        <f t="shared" ref="AR203:AW205" si="120">P203+AK203</f>
        <v>0</v>
      </c>
      <c r="AS203" s="1145">
        <f t="shared" si="120"/>
        <v>76000</v>
      </c>
      <c r="AT203" s="1145">
        <f t="shared" si="120"/>
        <v>78280</v>
      </c>
      <c r="AU203" s="1145">
        <f t="shared" si="120"/>
        <v>80628.399999999994</v>
      </c>
      <c r="AV203" s="1145">
        <f t="shared" si="120"/>
        <v>83047.252000000008</v>
      </c>
      <c r="AW203" s="1145">
        <f t="shared" si="120"/>
        <v>85538.669559999995</v>
      </c>
    </row>
    <row r="204" spans="1:50" s="663" customFormat="1">
      <c r="B204" s="664"/>
      <c r="F204" s="663" t="s">
        <v>1809</v>
      </c>
      <c r="J204" s="364">
        <f>SUM(J45,J53)*'2.4 HHD'!$G$46</f>
        <v>87182.5</v>
      </c>
      <c r="K204" s="364">
        <f>SUM(K45,K53)*'2.4 HHD'!$G$46-J204</f>
        <v>0</v>
      </c>
      <c r="L204" s="364">
        <f>SUM(L45,L53)*'2.4 HHD'!$G$46-K204-J204</f>
        <v>0</v>
      </c>
      <c r="M204" s="364">
        <f>SUM(M45,M53)*'2.4 HHD'!$G$46-L204-K204-J204</f>
        <v>0</v>
      </c>
      <c r="N204" s="364">
        <f>SUM(N45,N53)*'2.4 HHD'!$G$46-M204-L204-K204-J204</f>
        <v>0</v>
      </c>
      <c r="P204" s="954">
        <f>'5. Financials'!H253</f>
        <v>0</v>
      </c>
      <c r="Q204" s="954">
        <f>'5. Financials'!I253</f>
        <v>36326.041666666664</v>
      </c>
      <c r="R204" s="954">
        <f>'5. Financials'!J253</f>
        <v>44317.770833333336</v>
      </c>
      <c r="S204" s="954">
        <f>'5. Financials'!K253</f>
        <v>42864.729166666613</v>
      </c>
      <c r="T204" s="954">
        <f>'5. Financials'!L253</f>
        <v>25428.229166666584</v>
      </c>
      <c r="U204" s="954">
        <f>'5. Financials'!M253</f>
        <v>17436.499999999971</v>
      </c>
      <c r="W204" s="1720">
        <f t="shared" ref="W204:AB204" si="121">(P204*DVAOwnership)+(AK204*HHD_pshare)-(I204*HHD_pshare)</f>
        <v>0</v>
      </c>
      <c r="X204" s="1720">
        <f t="shared" si="121"/>
        <v>21795.625</v>
      </c>
      <c r="Y204" s="1720">
        <f t="shared" si="121"/>
        <v>26590.662500000002</v>
      </c>
      <c r="Z204" s="1720">
        <f t="shared" si="121"/>
        <v>25718.837499999969</v>
      </c>
      <c r="AA204" s="1720">
        <f t="shared" si="121"/>
        <v>15256.937499999949</v>
      </c>
      <c r="AB204" s="1720">
        <f t="shared" si="121"/>
        <v>10461.899999999981</v>
      </c>
      <c r="AC204" s="664"/>
      <c r="AD204" s="1721"/>
      <c r="AJ204" s="1161"/>
      <c r="AK204" s="659"/>
      <c r="AL204" s="955">
        <f>SUM(AL45,AL53)*'2.4 HHD'!$G$46</f>
        <v>87182.5</v>
      </c>
      <c r="AM204" s="955">
        <f>SUM(AM45,AM53)*'2.4 HHD'!$G$46-AL204</f>
        <v>0</v>
      </c>
      <c r="AN204" s="955">
        <f>SUM(AN45,AN53)*'2.4 HHD'!$G$46-AM204-AL204</f>
        <v>0</v>
      </c>
      <c r="AO204" s="955">
        <f>SUM(AO45,AO53)*'2.4 HHD'!$G$46-AN204-AM204-AL204</f>
        <v>0</v>
      </c>
      <c r="AP204" s="955">
        <f>SUM(AP45,AP53)*'2.4 HHD'!$G$46-AO204-AN204-AM204-AL204</f>
        <v>0</v>
      </c>
      <c r="AQ204" s="1161"/>
      <c r="AR204" s="1720">
        <f t="shared" si="120"/>
        <v>0</v>
      </c>
      <c r="AS204" s="1720">
        <f t="shared" si="120"/>
        <v>123508.54166666666</v>
      </c>
      <c r="AT204" s="1720">
        <f t="shared" si="120"/>
        <v>44317.770833333336</v>
      </c>
      <c r="AU204" s="1720">
        <f t="shared" si="120"/>
        <v>42864.729166666613</v>
      </c>
      <c r="AV204" s="1720">
        <f t="shared" si="120"/>
        <v>25428.229166666584</v>
      </c>
      <c r="AW204" s="1720">
        <f t="shared" si="120"/>
        <v>17436.499999999971</v>
      </c>
    </row>
    <row r="205" spans="1:50" s="663" customFormat="1">
      <c r="B205" s="664"/>
      <c r="F205" s="663" t="s">
        <v>15</v>
      </c>
      <c r="J205" s="363">
        <f>SUM(J203:J204)</f>
        <v>117182.5</v>
      </c>
      <c r="K205" s="363">
        <f>SUM(K203:K204)</f>
        <v>30900</v>
      </c>
      <c r="L205" s="363">
        <f>SUM(L203:L204)</f>
        <v>31827</v>
      </c>
      <c r="M205" s="363">
        <f>SUM(M203:M204)</f>
        <v>32781.81</v>
      </c>
      <c r="N205" s="363">
        <f>SUM(N203:N204)</f>
        <v>33765.264299999995</v>
      </c>
      <c r="P205" s="1719">
        <f t="shared" ref="P205:U205" si="122">SUM(P203:P204)</f>
        <v>0</v>
      </c>
      <c r="Q205" s="1719">
        <f t="shared" si="122"/>
        <v>82326.041666666657</v>
      </c>
      <c r="R205" s="1719">
        <f t="shared" si="122"/>
        <v>91697.770833333343</v>
      </c>
      <c r="S205" s="1719">
        <f t="shared" si="122"/>
        <v>91666.129166666622</v>
      </c>
      <c r="T205" s="1719">
        <f t="shared" si="122"/>
        <v>75693.67116666658</v>
      </c>
      <c r="U205" s="1719">
        <f t="shared" si="122"/>
        <v>69209.90525999997</v>
      </c>
      <c r="W205" s="363">
        <f t="shared" ref="W205:AB205" si="123">SUM(W203:W204)</f>
        <v>0</v>
      </c>
      <c r="X205" s="363">
        <f t="shared" si="123"/>
        <v>49395.625</v>
      </c>
      <c r="Y205" s="363">
        <f t="shared" si="123"/>
        <v>55018.662500000006</v>
      </c>
      <c r="Z205" s="363">
        <f t="shared" si="123"/>
        <v>54999.677499999969</v>
      </c>
      <c r="AA205" s="363">
        <f t="shared" si="123"/>
        <v>45416.202699999951</v>
      </c>
      <c r="AB205" s="363">
        <f t="shared" si="123"/>
        <v>41525.943155999979</v>
      </c>
      <c r="AC205" s="664"/>
      <c r="AD205" s="1721"/>
      <c r="AJ205" s="1161"/>
      <c r="AK205" s="1721"/>
      <c r="AL205" s="1721">
        <f>SUM(AL203:AL204)</f>
        <v>117182.5</v>
      </c>
      <c r="AM205" s="1721">
        <f>SUM(AM203:AM204)</f>
        <v>30900</v>
      </c>
      <c r="AN205" s="1721">
        <f>SUM(AN203:AN204)</f>
        <v>31827</v>
      </c>
      <c r="AO205" s="1721">
        <f>SUM(AO203:AO204)</f>
        <v>32781.81</v>
      </c>
      <c r="AP205" s="1721">
        <f>SUM(AP203:AP204)</f>
        <v>33765.264299999995</v>
      </c>
      <c r="AQ205" s="1161"/>
      <c r="AR205" s="363">
        <f t="shared" si="120"/>
        <v>0</v>
      </c>
      <c r="AS205" s="363">
        <f t="shared" si="120"/>
        <v>199508.54166666666</v>
      </c>
      <c r="AT205" s="363">
        <f t="shared" si="120"/>
        <v>122597.77083333334</v>
      </c>
      <c r="AU205" s="363">
        <f t="shared" si="120"/>
        <v>123493.12916666662</v>
      </c>
      <c r="AV205" s="363">
        <f t="shared" si="120"/>
        <v>108475.48116666658</v>
      </c>
      <c r="AW205" s="363">
        <f t="shared" si="120"/>
        <v>102975.16955999997</v>
      </c>
    </row>
    <row r="206" spans="1:50" s="663" customFormat="1">
      <c r="B206" s="664"/>
      <c r="P206" s="1161"/>
      <c r="Q206" s="1161"/>
      <c r="R206" s="1161"/>
      <c r="S206" s="1161"/>
      <c r="T206" s="1161"/>
      <c r="U206" s="1161"/>
      <c r="AC206" s="664"/>
      <c r="AD206" s="1161"/>
      <c r="AJ206" s="1161"/>
      <c r="AK206" s="1161"/>
      <c r="AL206" s="1161"/>
      <c r="AM206" s="1161"/>
      <c r="AN206" s="1161"/>
      <c r="AO206" s="1161"/>
      <c r="AP206" s="1161"/>
      <c r="AQ206" s="1161"/>
    </row>
    <row r="207" spans="1:50" s="663" customFormat="1">
      <c r="B207" s="664"/>
      <c r="P207" s="1161"/>
      <c r="Q207" s="1161"/>
      <c r="R207" s="1161"/>
      <c r="S207" s="1161"/>
      <c r="T207" s="1161"/>
      <c r="U207" s="1161"/>
      <c r="AC207" s="664"/>
      <c r="AD207" s="1161"/>
      <c r="AJ207" s="1161"/>
      <c r="AK207" s="1161"/>
      <c r="AL207" s="1161"/>
      <c r="AM207" s="1161"/>
      <c r="AN207" s="1161"/>
      <c r="AO207" s="1161"/>
      <c r="AP207" s="1161"/>
      <c r="AQ207" s="1161"/>
    </row>
    <row r="208" spans="1:50">
      <c r="B208" s="664"/>
      <c r="AC208" s="358"/>
      <c r="AR208" s="954"/>
      <c r="AS208" s="954"/>
      <c r="AT208" s="954"/>
      <c r="AU208" s="954"/>
      <c r="AV208" s="954"/>
      <c r="AW208" s="954"/>
      <c r="AX208" s="954"/>
    </row>
    <row r="209" spans="2:50">
      <c r="B209" s="664"/>
      <c r="C209" s="664"/>
      <c r="D209" s="664"/>
      <c r="E209" s="664"/>
      <c r="F209" s="664"/>
      <c r="G209" s="664"/>
      <c r="H209" s="358"/>
      <c r="I209" s="358"/>
      <c r="J209" s="358"/>
      <c r="K209" s="358"/>
      <c r="L209" s="358"/>
      <c r="M209" s="358"/>
      <c r="N209" s="358"/>
      <c r="O209" s="358"/>
      <c r="P209" s="358"/>
      <c r="Q209" s="358"/>
      <c r="R209" s="358"/>
      <c r="S209" s="358"/>
      <c r="T209" s="358"/>
      <c r="U209" s="1872" t="s">
        <v>1857</v>
      </c>
      <c r="V209" s="358"/>
      <c r="W209" s="1872"/>
      <c r="X209" s="1872" t="str">
        <f>X6</f>
        <v>Year 1</v>
      </c>
      <c r="Y209" s="1872" t="str">
        <f>Y6</f>
        <v>Year 2</v>
      </c>
      <c r="Z209" s="1872" t="str">
        <f>Z6</f>
        <v>Year 3</v>
      </c>
      <c r="AA209" s="1872" t="str">
        <f>AA6</f>
        <v>Year 4</v>
      </c>
      <c r="AB209" s="1872" t="str">
        <f>AB6</f>
        <v>Year 5</v>
      </c>
      <c r="AC209" s="358"/>
      <c r="AE209" s="954"/>
      <c r="AF209" s="954"/>
      <c r="AG209" s="954"/>
      <c r="AH209" s="954"/>
      <c r="AI209" s="954"/>
      <c r="AR209" s="954"/>
      <c r="AS209" s="954"/>
      <c r="AT209" s="954"/>
      <c r="AU209" s="954"/>
      <c r="AV209" s="954"/>
      <c r="AW209" s="954"/>
      <c r="AX209" s="954"/>
    </row>
    <row r="211" spans="2:50" ht="12.75">
      <c r="E211" s="663" t="s">
        <v>1397</v>
      </c>
      <c r="I211" s="954"/>
      <c r="T211" s="1882"/>
      <c r="U211" s="1882"/>
      <c r="V211"/>
      <c r="W211"/>
      <c r="X211"/>
      <c r="Y211" s="1881" t="s">
        <v>2908</v>
      </c>
      <c r="Z211" s="1882">
        <f>Z182</f>
        <v>283145.45251890953</v>
      </c>
      <c r="AA211" s="2029"/>
      <c r="AB211"/>
      <c r="AC211"/>
      <c r="AE211"/>
      <c r="AF211"/>
    </row>
    <row r="212" spans="2:50" ht="12.75">
      <c r="D212" s="1745" t="s">
        <v>1401</v>
      </c>
      <c r="E212" s="663" t="s">
        <v>1398</v>
      </c>
      <c r="I212" s="954"/>
      <c r="J212" s="954">
        <f>('1.2 EssPL'!G36)*12</f>
        <v>403440.20000000007</v>
      </c>
      <c r="K212" s="359">
        <f>J212*(1+K213)</f>
        <v>405928.01891482883</v>
      </c>
      <c r="L212" s="359">
        <f>IF(K212*(1+L213)&lt;K212,K212*(1+$N$219),(K212*(1+L213)))</f>
        <v>409142.6451837506</v>
      </c>
      <c r="M212" s="359">
        <f>L212*(1+M213)</f>
        <v>412430.6136861667</v>
      </c>
      <c r="N212" s="359">
        <f>M212*(1+N213)</f>
        <v>420942.12384256837</v>
      </c>
      <c r="O212" s="359" t="s">
        <v>3104</v>
      </c>
      <c r="T212" s="1884"/>
      <c r="U212" s="1884"/>
      <c r="V212"/>
      <c r="W212"/>
      <c r="X212"/>
      <c r="Y212" s="1883" t="s">
        <v>2909</v>
      </c>
      <c r="Z212" s="1884"/>
      <c r="AA212" s="109" t="s">
        <v>44</v>
      </c>
      <c r="AC212"/>
      <c r="AE212"/>
      <c r="AF212"/>
      <c r="AL212" s="954">
        <f>$J$212</f>
        <v>403440.20000000007</v>
      </c>
      <c r="AM212" s="954">
        <f>$K$212</f>
        <v>405928.01891482883</v>
      </c>
      <c r="AN212" s="954">
        <f>$L$212</f>
        <v>409142.6451837506</v>
      </c>
      <c r="AO212" s="954">
        <f>$M$212</f>
        <v>412430.6136861667</v>
      </c>
      <c r="AP212" s="954">
        <f>$N$212</f>
        <v>420942.12384256837</v>
      </c>
      <c r="AQ212" s="954" t="s">
        <v>3359</v>
      </c>
    </row>
    <row r="213" spans="2:50" ht="12.75">
      <c r="E213" s="663" t="s">
        <v>1399</v>
      </c>
      <c r="I213" s="954"/>
      <c r="K213" s="661">
        <f>IF(SUM(K16,K24,K33,K41)=0,0,(SUM(K16,K24,K33,K41)-SUM(J16,J24,J33,J41))/SUM(K16,K24,K33,K41))</f>
        <v>6.1665121989052472E-3</v>
      </c>
      <c r="L213" s="661">
        <f>IF(SUM(L16,L24,L33,L41)=0,0,(SUM(L16,L24,L33,L41)-SUM(K16,K24,K33,K41))/SUM(L16,L24,L33,L41))</f>
        <v>7.9192027136128166E-3</v>
      </c>
      <c r="M213" s="661">
        <f>IF(SUM(M16,M24,M33,M41)=0,0,(SUM(M16,M24,M33,M41)-SUM(L16,L24,L33,L41))/SUM(M16,M24,M33,M41))</f>
        <v>8.0362400280699717E-3</v>
      </c>
      <c r="N213" s="661">
        <f>IF(SUM(N16,N24,N33,N41)=0,0,(SUM(N16,N24,N33,N41)-SUM(M16,M24,M33,M41))/SUM(N16,N24,N33,N41))</f>
        <v>2.0637435422963896E-2</v>
      </c>
      <c r="S213" s="954"/>
      <c r="T213" s="954"/>
      <c r="U213" s="954"/>
      <c r="V213"/>
      <c r="W213"/>
      <c r="X213"/>
      <c r="Y213" s="2031" t="s">
        <v>1194</v>
      </c>
      <c r="Z213" s="954">
        <f>(Z140+Z141-Z155-Z156)-(Y140+Y141-Y155-Y156)</f>
        <v>73519.347163196304</v>
      </c>
      <c r="AA213" s="2029"/>
      <c r="AB213"/>
      <c r="AC213"/>
      <c r="AE213"/>
      <c r="AF213"/>
    </row>
    <row r="214" spans="2:50" ht="12.75">
      <c r="I214" s="954"/>
      <c r="K214" s="661"/>
      <c r="L214" s="661"/>
      <c r="M214" s="661"/>
      <c r="N214" s="661"/>
      <c r="S214" s="954"/>
      <c r="T214" s="1940"/>
      <c r="U214" s="1940"/>
      <c r="V214"/>
      <c r="W214"/>
      <c r="X214"/>
      <c r="Y214" s="1883" t="s">
        <v>2910</v>
      </c>
      <c r="Z214" s="1884">
        <f>Z222</f>
        <v>76215.417663983855</v>
      </c>
      <c r="AA214" s="2029"/>
      <c r="AB214"/>
      <c r="AC214"/>
      <c r="AE214"/>
      <c r="AF214"/>
    </row>
    <row r="215" spans="2:50" ht="12.75">
      <c r="I215" s="954"/>
      <c r="S215" s="954"/>
      <c r="T215" s="1940"/>
      <c r="U215" s="1940"/>
      <c r="V215"/>
      <c r="W215"/>
      <c r="X215"/>
      <c r="Y215" s="1883" t="s">
        <v>2912</v>
      </c>
      <c r="Z215" s="1940">
        <f>Z211+Z212+Z213-Z214</f>
        <v>280449.38201812201</v>
      </c>
      <c r="AA215" s="2029"/>
      <c r="AB215"/>
      <c r="AC215"/>
      <c r="AE215"/>
      <c r="AF215"/>
    </row>
    <row r="216" spans="2:50" ht="12.75">
      <c r="D216" s="1745" t="s">
        <v>1402</v>
      </c>
      <c r="E216" s="663" t="s">
        <v>1398</v>
      </c>
      <c r="I216" s="954"/>
      <c r="J216" s="954">
        <f>('1.2 EssPL'!G163)*12</f>
        <v>26517.040000000001</v>
      </c>
      <c r="K216" s="359">
        <f>J216*(1+K217)</f>
        <v>26450.58125313283</v>
      </c>
      <c r="L216" s="359">
        <f>K216*(1+L217)</f>
        <v>26450.58125313283</v>
      </c>
      <c r="M216" s="359">
        <f>L216*(1+M217)</f>
        <v>26450.58125313283</v>
      </c>
      <c r="N216" s="359">
        <f>M216*(1+N217)</f>
        <v>26969.220101233477</v>
      </c>
      <c r="O216" s="359" t="s">
        <v>1400</v>
      </c>
      <c r="S216" s="954"/>
      <c r="T216" s="954"/>
      <c r="U216" s="954"/>
      <c r="V216"/>
      <c r="W216"/>
      <c r="X216"/>
      <c r="AA216" s="954"/>
      <c r="AB216"/>
      <c r="AC216"/>
      <c r="AE216"/>
      <c r="AF216"/>
      <c r="AL216" s="954">
        <f>$J$216</f>
        <v>26517.040000000001</v>
      </c>
      <c r="AM216" s="954">
        <f>$K$216</f>
        <v>26450.58125313283</v>
      </c>
      <c r="AN216" s="954">
        <f>$L$216</f>
        <v>26450.58125313283</v>
      </c>
      <c r="AO216" s="954">
        <f>$M$216</f>
        <v>26450.58125313283</v>
      </c>
      <c r="AP216" s="954">
        <f>$N$216</f>
        <v>26969.220101233477</v>
      </c>
      <c r="AQ216" s="954" t="s">
        <v>3359</v>
      </c>
    </row>
    <row r="217" spans="2:50" ht="12.75">
      <c r="E217" s="663" t="s">
        <v>1399</v>
      </c>
      <c r="I217" s="954"/>
      <c r="K217" s="661">
        <f>IF(SUM(K50,K58)=0,0,(SUM(K50,K58)-SUM(J50,J58))/SUM(K50,K58))</f>
        <v>-2.5062656641604117E-3</v>
      </c>
      <c r="L217" s="661">
        <f>IF(SUM(L50,L58)=0,0,(SUM(L50,L58)-SUM(K50,K58))/SUM(L50,L58))</f>
        <v>0</v>
      </c>
      <c r="M217" s="661">
        <f>IF(SUM(M50,M58)=0,0,(SUM(M50,M58)-SUM(L50,L58))/SUM(M50,M58))</f>
        <v>0</v>
      </c>
      <c r="N217" s="661">
        <f>IF(SUM(N50,N58)=0,0,(SUM(N50,N58)-SUM(M50,M58))/SUM(N50,N58))</f>
        <v>1.9607843137255009E-2</v>
      </c>
      <c r="S217" s="954"/>
      <c r="T217" s="1940"/>
      <c r="U217" s="1940"/>
      <c r="V217"/>
      <c r="W217"/>
      <c r="X217"/>
      <c r="Y217" s="1883" t="s">
        <v>3528</v>
      </c>
      <c r="Z217" s="1884">
        <f>Z96</f>
        <v>356664.79968210577</v>
      </c>
      <c r="AA217" s="2029"/>
      <c r="AB217"/>
      <c r="AC217"/>
      <c r="AE217"/>
      <c r="AF217"/>
    </row>
    <row r="218" spans="2:50" ht="12.75">
      <c r="I218" s="954"/>
      <c r="K218" s="661"/>
      <c r="L218" s="661"/>
      <c r="M218" s="661"/>
      <c r="N218" s="661"/>
      <c r="S218" s="954"/>
      <c r="T218" s="1940"/>
      <c r="U218" s="1940"/>
      <c r="V218"/>
      <c r="W218"/>
      <c r="X218"/>
      <c r="Y218" s="1883" t="s">
        <v>1192</v>
      </c>
      <c r="Z218" s="1940">
        <f>-'5. Financials'!K279*DVAOwnership</f>
        <v>-165122.4093683</v>
      </c>
      <c r="AA218" s="2029"/>
      <c r="AB218"/>
      <c r="AC218"/>
      <c r="AE218"/>
      <c r="AF218"/>
    </row>
    <row r="219" spans="2:50" ht="12.75">
      <c r="I219" s="954"/>
      <c r="K219" s="661"/>
      <c r="L219" s="661"/>
      <c r="M219" s="661"/>
      <c r="N219" s="1746">
        <v>0</v>
      </c>
      <c r="O219" s="359" t="s">
        <v>1403</v>
      </c>
      <c r="S219" s="954"/>
      <c r="T219" s="1940"/>
      <c r="U219" s="1940"/>
      <c r="V219"/>
      <c r="W219"/>
      <c r="X219"/>
      <c r="Y219" s="1883" t="s">
        <v>1195</v>
      </c>
      <c r="Z219" s="1940">
        <f>-'5. Financials'!K294*DVAOwnership</f>
        <v>-1003.8461538461538</v>
      </c>
      <c r="AA219" s="2029"/>
      <c r="AB219"/>
      <c r="AC219"/>
      <c r="AE219"/>
      <c r="AF219"/>
    </row>
    <row r="220" spans="2:50" ht="12.75">
      <c r="S220" s="954"/>
      <c r="T220" s="1940"/>
      <c r="U220" s="1940"/>
      <c r="V220"/>
      <c r="W220"/>
      <c r="X220"/>
      <c r="Y220" s="1881" t="s">
        <v>2911</v>
      </c>
      <c r="Z220" s="1884">
        <f>Z217+Z218+Z219</f>
        <v>190538.54415995962</v>
      </c>
      <c r="AA220" s="2029"/>
      <c r="AB220"/>
      <c r="AC220"/>
      <c r="AE220"/>
      <c r="AF220"/>
    </row>
    <row r="221" spans="2:50" ht="12.75">
      <c r="T221" s="1885"/>
      <c r="U221" s="1885"/>
      <c r="V221"/>
      <c r="W221"/>
      <c r="X221"/>
      <c r="Y221" s="1881" t="s">
        <v>2688</v>
      </c>
      <c r="Z221" s="1885">
        <f>'5. Financials'!$H$309</f>
        <v>0.4</v>
      </c>
      <c r="AA221" s="2030"/>
      <c r="AB221"/>
      <c r="AC221"/>
      <c r="AE221"/>
      <c r="AF221"/>
    </row>
    <row r="222" spans="2:50" ht="12.75">
      <c r="T222" s="366"/>
      <c r="U222" s="366"/>
      <c r="V222"/>
      <c r="W222"/>
      <c r="X222"/>
      <c r="Y222" s="1881" t="s">
        <v>1621</v>
      </c>
      <c r="Z222" s="366">
        <f>Z220*Z221</f>
        <v>76215.417663983855</v>
      </c>
      <c r="AA222" s="2029"/>
      <c r="AB222"/>
      <c r="AC222"/>
      <c r="AE222"/>
      <c r="AF222"/>
    </row>
    <row r="223" spans="2:50" ht="12.75">
      <c r="T223" s="366"/>
      <c r="U223" s="366"/>
      <c r="V223"/>
      <c r="W223"/>
      <c r="X223"/>
      <c r="Y223" s="1881"/>
      <c r="Z223" s="366"/>
      <c r="AA223" s="366"/>
      <c r="AB223"/>
      <c r="AC223"/>
      <c r="AE223"/>
      <c r="AF223"/>
    </row>
    <row r="224" spans="2:50" ht="12.75">
      <c r="T224" s="366"/>
      <c r="U224" s="366"/>
      <c r="V224"/>
      <c r="W224"/>
      <c r="X224"/>
      <c r="Y224" s="1881"/>
      <c r="Z224" s="366"/>
      <c r="AA224" s="366"/>
      <c r="AB224"/>
      <c r="AC224"/>
      <c r="AE224"/>
      <c r="AF224"/>
    </row>
    <row r="225" spans="4:32" ht="12.75">
      <c r="T225" s="366"/>
      <c r="U225" s="366"/>
      <c r="V225"/>
      <c r="W225"/>
      <c r="X225"/>
      <c r="Y225" s="1881" t="s">
        <v>3098</v>
      </c>
      <c r="Z225" s="659">
        <f>SUM('5. Financials'!H249:K249)*DVAOwnership+SUM('5. Financials'!I254:K254)*DVAOwnership</f>
        <v>1419653.017</v>
      </c>
      <c r="AA225" s="1882"/>
      <c r="AB225" s="1610"/>
      <c r="AE225" s="1610"/>
      <c r="AF225" s="1610"/>
    </row>
    <row r="226" spans="4:32" ht="12.75">
      <c r="T226" s="366"/>
      <c r="U226" s="366"/>
      <c r="V226"/>
      <c r="W226"/>
      <c r="X226"/>
      <c r="Y226" s="1881" t="s">
        <v>2913</v>
      </c>
      <c r="Z226" s="366">
        <f ca="1">Z143-Z159</f>
        <v>695476.04535581195</v>
      </c>
      <c r="AA226" s="1882"/>
      <c r="AB226"/>
      <c r="AC226" s="2079"/>
      <c r="AE226"/>
      <c r="AF226"/>
    </row>
    <row r="227" spans="4:32" ht="12.75">
      <c r="T227" s="366"/>
      <c r="U227" s="366"/>
      <c r="V227"/>
      <c r="W227"/>
      <c r="X227"/>
      <c r="Y227" s="1881" t="s">
        <v>813</v>
      </c>
      <c r="Z227" s="366"/>
      <c r="AA227" s="366"/>
      <c r="AB227"/>
      <c r="AC227"/>
      <c r="AE227"/>
      <c r="AF227"/>
    </row>
    <row r="228" spans="4:32" ht="12.75">
      <c r="D228"/>
      <c r="E228"/>
      <c r="F228"/>
      <c r="G228"/>
      <c r="T228" s="366"/>
      <c r="U228" s="366"/>
      <c r="V228"/>
      <c r="W228"/>
      <c r="X228"/>
      <c r="Y228" s="1881" t="s">
        <v>52</v>
      </c>
      <c r="Z228" s="366">
        <f ca="1">SUM(Z225:Z227)</f>
        <v>2115129.0623558117</v>
      </c>
      <c r="AA228" s="366"/>
      <c r="AB228"/>
      <c r="AC228"/>
      <c r="AE228"/>
      <c r="AF228"/>
    </row>
    <row r="229" spans="4:32" ht="12.75">
      <c r="D229"/>
      <c r="E229"/>
      <c r="F229"/>
      <c r="G229"/>
      <c r="T229"/>
      <c r="U229" s="1912"/>
      <c r="V229"/>
      <c r="W229"/>
      <c r="X229"/>
      <c r="Y229"/>
      <c r="Z229"/>
      <c r="AA229"/>
      <c r="AB229"/>
      <c r="AC229"/>
      <c r="AE229"/>
      <c r="AF229"/>
    </row>
    <row r="230" spans="4:32" ht="12.75">
      <c r="T230"/>
      <c r="U230"/>
      <c r="V230"/>
      <c r="W230"/>
      <c r="X230"/>
      <c r="Y230"/>
      <c r="Z230"/>
      <c r="AA230"/>
      <c r="AB230"/>
      <c r="AC230"/>
      <c r="AE230"/>
      <c r="AF230"/>
    </row>
    <row r="231" spans="4:32" ht="12.75">
      <c r="U231"/>
      <c r="V231"/>
      <c r="W231"/>
      <c r="X231"/>
      <c r="Y231"/>
      <c r="Z231" s="1895"/>
      <c r="AA231"/>
      <c r="AB231"/>
      <c r="AC231"/>
      <c r="AE231"/>
      <c r="AF231"/>
    </row>
    <row r="232" spans="4:32" ht="12.75">
      <c r="T232" s="1881"/>
      <c r="U232" s="366"/>
      <c r="V232" s="45"/>
      <c r="W232" s="366"/>
      <c r="X232" s="366"/>
      <c r="Y232" s="1894"/>
      <c r="Z232" s="1895"/>
      <c r="AA232" s="1896"/>
      <c r="AB232" s="366"/>
      <c r="AC232" s="45"/>
      <c r="AE232"/>
      <c r="AF232"/>
    </row>
    <row r="233" spans="4:32" ht="12.75">
      <c r="T233" s="1881"/>
      <c r="U233" s="45"/>
      <c r="V233" s="45"/>
      <c r="W233" s="45"/>
      <c r="X233" s="45"/>
      <c r="Y233" s="45"/>
      <c r="Z233" s="45"/>
      <c r="AA233" s="45"/>
      <c r="AB233" s="45"/>
      <c r="AC233" s="45"/>
      <c r="AE233"/>
      <c r="AF233"/>
    </row>
    <row r="234" spans="4:32" ht="12.75">
      <c r="T234" s="1881"/>
      <c r="U234" s="45"/>
      <c r="V234" s="45"/>
      <c r="W234" s="1491"/>
      <c r="X234" s="1491" t="s">
        <v>3078</v>
      </c>
      <c r="Y234" s="2022"/>
      <c r="Z234" s="2051">
        <f>Z215</f>
        <v>280449.38201812201</v>
      </c>
      <c r="AA234" s="2022"/>
      <c r="AB234" s="35"/>
      <c r="AF234"/>
    </row>
    <row r="235" spans="4:32" ht="12.75">
      <c r="T235" s="45"/>
      <c r="U235" s="2023"/>
      <c r="V235" s="45"/>
      <c r="W235" s="2050" t="s">
        <v>2379</v>
      </c>
      <c r="X235" s="1491" t="s">
        <v>3079</v>
      </c>
      <c r="Y235" s="2022"/>
      <c r="Z235" s="2049">
        <f>'5. Financials'!K223*IF('5. Financials'!$Q$205="Yes",1,0)</f>
        <v>290994.25692832656</v>
      </c>
      <c r="AA235" s="1897"/>
      <c r="AB235" s="2047" t="s">
        <v>3082</v>
      </c>
      <c r="AF235"/>
    </row>
    <row r="236" spans="4:32" ht="12.75">
      <c r="T236" s="1883"/>
      <c r="U236" s="366"/>
      <c r="V236" s="45"/>
      <c r="W236" s="2050" t="s">
        <v>2380</v>
      </c>
      <c r="X236" s="1491" t="s">
        <v>1249</v>
      </c>
      <c r="Y236" s="2022"/>
      <c r="Z236" s="2049">
        <f>-'5. Financials'!K230*IF('5. Financials'!$Q$205="Yes",1,0)</f>
        <v>-204603.40924400001</v>
      </c>
      <c r="AA236" s="1897"/>
      <c r="AB236" s="35"/>
      <c r="AF236"/>
    </row>
    <row r="237" spans="4:32" ht="12.75">
      <c r="T237" s="1883"/>
      <c r="U237" s="366"/>
      <c r="V237" s="45"/>
      <c r="W237" s="1898"/>
      <c r="X237" s="1898"/>
      <c r="Y237" s="1898"/>
      <c r="Z237" s="1899">
        <f>SUM(Z234:Z236)</f>
        <v>366840.22970244859</v>
      </c>
      <c r="AA237" s="1898"/>
      <c r="AB237" s="35"/>
      <c r="AF237"/>
    </row>
    <row r="238" spans="4:32" ht="12.75">
      <c r="T238" s="1881"/>
      <c r="U238" s="45"/>
      <c r="V238" s="45"/>
      <c r="X238" s="2373" t="s">
        <v>3982</v>
      </c>
      <c r="Z238" s="1938">
        <f>-(Z235+Z236)*Z221*IF('5. Financials'!$Q$205="Yes",1,0)</f>
        <v>-34556.339073730625</v>
      </c>
      <c r="AF238"/>
    </row>
    <row r="239" spans="4:32" ht="12.75">
      <c r="T239" s="1881"/>
      <c r="U239" s="1885"/>
      <c r="V239" s="45"/>
      <c r="X239" s="359" t="s">
        <v>1250</v>
      </c>
      <c r="Z239" s="359">
        <f>Z237+Z238</f>
        <v>332283.89062871796</v>
      </c>
      <c r="AC239" s="2079"/>
      <c r="AF239"/>
    </row>
    <row r="240" spans="4:32" ht="12.75">
      <c r="T240" s="1881"/>
      <c r="U240" s="366"/>
      <c r="V240" s="45"/>
      <c r="W240" s="1491"/>
      <c r="X240" s="1491" t="s">
        <v>3080</v>
      </c>
      <c r="Y240" s="1491"/>
      <c r="Z240" s="2051">
        <f ca="1">Z228</f>
        <v>2115129.0623558117</v>
      </c>
      <c r="AA240" s="1491"/>
      <c r="AB240" s="35"/>
      <c r="AF240"/>
    </row>
    <row r="241" spans="19:61" ht="12.75">
      <c r="T241" s="45"/>
      <c r="U241" s="366"/>
      <c r="V241" s="45"/>
      <c r="W241" s="1491"/>
      <c r="X241" s="1491"/>
      <c r="Y241" s="1491"/>
      <c r="Z241" s="1900">
        <f ca="1">Z239/Z240</f>
        <v>0.15709863598518339</v>
      </c>
      <c r="AA241" s="1491" t="s">
        <v>3081</v>
      </c>
      <c r="AB241" s="35"/>
      <c r="AF241"/>
    </row>
    <row r="242" spans="19:61" ht="12.75">
      <c r="T242" s="1881"/>
      <c r="U242" s="366"/>
      <c r="V242" s="2023"/>
      <c r="W242" s="45"/>
      <c r="X242" s="45"/>
      <c r="Y242" s="45"/>
      <c r="Z242" s="45"/>
      <c r="AA242" s="366"/>
      <c r="AB242"/>
      <c r="AF242"/>
    </row>
    <row r="243" spans="19:61" ht="12.75">
      <c r="T243" s="45"/>
      <c r="U243" s="366"/>
      <c r="V243" s="45"/>
      <c r="W243" s="1884"/>
      <c r="X243" s="1884"/>
      <c r="Y243" s="1884"/>
      <c r="Z243" s="1884"/>
      <c r="AA243" s="366"/>
      <c r="AB243"/>
      <c r="AC243" s="366"/>
      <c r="AE243"/>
      <c r="AF243"/>
    </row>
    <row r="244" spans="19:61" ht="12.75">
      <c r="T244" s="1887"/>
      <c r="U244" s="1888"/>
      <c r="V244" s="45"/>
      <c r="W244" s="1884"/>
      <c r="X244" s="1884"/>
      <c r="Y244" s="1884"/>
      <c r="Z244" s="1884"/>
      <c r="AA244" s="366"/>
      <c r="AB244"/>
      <c r="AC244" s="45"/>
      <c r="AE244"/>
      <c r="AF244"/>
    </row>
    <row r="245" spans="19:61" ht="12.75">
      <c r="S245" s="1910" t="s">
        <v>1196</v>
      </c>
      <c r="T245"/>
      <c r="U245"/>
      <c r="V245"/>
      <c r="W245"/>
      <c r="X245"/>
      <c r="Y245"/>
      <c r="Z245"/>
      <c r="AA245"/>
      <c r="AB245"/>
      <c r="AC245"/>
      <c r="AE245"/>
      <c r="AF245"/>
    </row>
    <row r="246" spans="19:61" ht="12.75">
      <c r="S246" s="1491" t="s">
        <v>3467</v>
      </c>
      <c r="T246" s="1491"/>
      <c r="U246" s="1491"/>
      <c r="V246" s="1898"/>
      <c r="W246" s="1491"/>
      <c r="X246" s="1491"/>
      <c r="Y246" s="1491"/>
      <c r="Z246" s="1491"/>
      <c r="AA246" s="1491"/>
      <c r="AB246" s="1491"/>
      <c r="AC246" s="366"/>
      <c r="AE246"/>
      <c r="AF246"/>
    </row>
    <row r="247" spans="19:61" ht="12.75">
      <c r="S247" s="1902"/>
      <c r="T247" s="1491" t="s">
        <v>3986</v>
      </c>
      <c r="U247" s="1491"/>
      <c r="V247" s="1491"/>
      <c r="W247" s="1491">
        <f t="shared" ref="W247:AB247" ca="1" si="124">-W187</f>
        <v>-2143769.653166818</v>
      </c>
      <c r="X247" s="1491">
        <f t="shared" ca="1" si="124"/>
        <v>-5.8207660913467407E-11</v>
      </c>
      <c r="Y247" s="1491">
        <f t="shared" ca="1" si="124"/>
        <v>39395.447685063489</v>
      </c>
      <c r="Z247" s="1491">
        <f t="shared" ca="1" si="124"/>
        <v>155693.684715624</v>
      </c>
      <c r="AA247" s="1491">
        <f t="shared" ca="1" si="124"/>
        <v>277994.69065291196</v>
      </c>
      <c r="AB247" s="1491">
        <f t="shared" ca="1" si="124"/>
        <v>510610.48799424066</v>
      </c>
      <c r="AE247"/>
      <c r="AF247"/>
    </row>
    <row r="248" spans="19:61" ht="12.75">
      <c r="S248" s="1902"/>
      <c r="T248" s="1491" t="s">
        <v>1790</v>
      </c>
      <c r="U248" s="1491"/>
      <c r="V248" s="1491"/>
      <c r="W248" s="1491"/>
      <c r="X248" s="1491">
        <f>'5. Financials'!I234*IF('5. Financials'!$Q$205="Yes",1,0)</f>
        <v>18400.935630749416</v>
      </c>
      <c r="Y248" s="1491">
        <f>'5. Financials'!J234*IF('5. Financials'!$Q$205="Yes",1,0)</f>
        <v>38443.310821512627</v>
      </c>
      <c r="Z248" s="1491">
        <f>'5. Financials'!K234*IF('5. Financials'!$Q$205="Yes",1,0)</f>
        <v>51834.508610595927</v>
      </c>
      <c r="AA248" s="1491">
        <f>'5. Financials'!L234*IF('5. Financials'!$Q$205="Yes",1,0)</f>
        <v>62179.685220697371</v>
      </c>
      <c r="AB248" s="1491">
        <f>'5. Financials'!M234*IF('5. Financials'!$Q$205="Yes",1,0)</f>
        <v>79304.153648466425</v>
      </c>
      <c r="AE248"/>
      <c r="AF248"/>
    </row>
    <row r="249" spans="19:61" ht="12.75">
      <c r="S249" s="1902"/>
      <c r="T249" s="1491" t="s">
        <v>1621</v>
      </c>
      <c r="U249" s="1491"/>
      <c r="V249" s="1491"/>
      <c r="W249" s="1491">
        <f>-$V$258*(W96-W250-('5. Financials'!H279+'5. Financials'!H294)*DVAOwnership)</f>
        <v>63515.555049733448</v>
      </c>
      <c r="X249" s="1491">
        <f>-$V$258*(X96-X250-('5. Financials'!I279+'5. Financials'!I294)*DVAOwnership)</f>
        <v>116435.39740427083</v>
      </c>
      <c r="Y249" s="1491">
        <f>-$V$258*(Y96-Y250-('5. Financials'!J279+'5. Financials'!J294)*DVAOwnership)</f>
        <v>7386.4895507824958</v>
      </c>
      <c r="Z249" s="1491">
        <f>-$V$258*(Z96-Z250-('5. Financials'!K279+'5. Financials'!K294)*DVAOwnership)</f>
        <v>-76215.417663983855</v>
      </c>
      <c r="AA249" s="1491">
        <f>-$V$258*(AA96-AA250-('5. Financials'!L279+'5. Financials'!L294)*DVAOwnership)</f>
        <v>-135185.64762325407</v>
      </c>
      <c r="AB249" s="1491">
        <f>-$V$258*(AB96-AB250-('5. Financials'!M279+'5. Financials'!M294)*DVAOwnership)</f>
        <v>-224896.14865597198</v>
      </c>
      <c r="AE249"/>
      <c r="AF249"/>
    </row>
    <row r="250" spans="19:61" ht="12.75">
      <c r="S250" s="1902"/>
      <c r="T250" s="1491" t="s">
        <v>3099</v>
      </c>
      <c r="U250" s="1491"/>
      <c r="V250" s="1491"/>
      <c r="W250" s="1491">
        <v>0</v>
      </c>
      <c r="X250" s="1491">
        <v>0</v>
      </c>
      <c r="Y250" s="1491">
        <v>0</v>
      </c>
      <c r="Z250" s="1491">
        <v>0</v>
      </c>
      <c r="AA250" s="1491">
        <v>0</v>
      </c>
      <c r="AB250" s="1491">
        <v>0</v>
      </c>
      <c r="AE250"/>
      <c r="AF250"/>
      <c r="AZ250" s="2627" t="s">
        <v>4074</v>
      </c>
    </row>
    <row r="251" spans="19:61" ht="12.75">
      <c r="S251" s="1491"/>
      <c r="T251" s="1491" t="s">
        <v>2363</v>
      </c>
      <c r="U251" s="1491"/>
      <c r="V251" s="1491"/>
      <c r="W251" s="1491"/>
      <c r="X251" s="1491"/>
      <c r="Y251" s="1491"/>
      <c r="Z251" s="1491"/>
      <c r="AA251" s="1491"/>
      <c r="AB251" s="2631">
        <f>IF(DVAOwnership&lt;1,BB259*ExitMultiple,BB253*ExitMultiple)</f>
        <v>4651295.8077453896</v>
      </c>
      <c r="AE251"/>
      <c r="AF251"/>
      <c r="AZ251" s="2627" t="s">
        <v>4075</v>
      </c>
    </row>
    <row r="252" spans="19:61">
      <c r="S252" s="1491" t="s">
        <v>2686</v>
      </c>
      <c r="T252" s="1491"/>
      <c r="U252" s="1491"/>
      <c r="V252" s="1494"/>
      <c r="W252" s="1494">
        <f t="shared" ref="W252:AB252" ca="1" si="125">SUM(W247:W251)</f>
        <v>-2080254.0981170845</v>
      </c>
      <c r="X252" s="1494">
        <f t="shared" ca="1" si="125"/>
        <v>134836.33303502019</v>
      </c>
      <c r="Y252" s="1494">
        <f t="shared" ca="1" si="125"/>
        <v>85225.248057358622</v>
      </c>
      <c r="Z252" s="1494">
        <f t="shared" ca="1" si="125"/>
        <v>131312.77566223606</v>
      </c>
      <c r="AA252" s="1494">
        <f t="shared" ca="1" si="125"/>
        <v>204988.72825035526</v>
      </c>
      <c r="AB252" s="1494">
        <f t="shared" ca="1" si="125"/>
        <v>5016314.3007321246</v>
      </c>
    </row>
    <row r="253" spans="19:61">
      <c r="S253" s="1491" t="s">
        <v>2687</v>
      </c>
      <c r="T253" s="1491"/>
      <c r="U253" s="1491"/>
      <c r="V253" s="366"/>
      <c r="W253" s="366">
        <f ca="1">W252</f>
        <v>-2080254.0981170845</v>
      </c>
      <c r="X253" s="366">
        <f ca="1">X252*(1+IRR($W$252:$AB$252))^0.5</f>
        <v>149755.28934062808</v>
      </c>
      <c r="Y253" s="366">
        <f ca="1">Y252*(1+IRR($W$252:$AB$252))^0.5</f>
        <v>94654.989457787364</v>
      </c>
      <c r="Z253" s="366">
        <f ca="1">Z252*(1+IRR($W$252:$AB$252))^0.5</f>
        <v>145841.86821746136</v>
      </c>
      <c r="AA253" s="366">
        <f ca="1">AA252*(1+IRR($W$252:$AB$252))^0.5</f>
        <v>227669.69124506149</v>
      </c>
      <c r="AB253" s="366">
        <f ca="1">AB252*(1+IRR($W$252:$AB$252))^0.5</f>
        <v>5571344.0333219403</v>
      </c>
      <c r="AZ253" s="359" t="s">
        <v>3528</v>
      </c>
      <c r="BB253" s="359">
        <f>AB96</f>
        <v>695911.81430909852</v>
      </c>
    </row>
    <row r="254" spans="19:61">
      <c r="S254" s="1903"/>
      <c r="T254" s="1904"/>
      <c r="U254" s="1904"/>
      <c r="V254" s="1904"/>
      <c r="W254" s="1903"/>
      <c r="X254" s="1903"/>
      <c r="Y254" s="1903"/>
      <c r="Z254" s="1903"/>
      <c r="AA254" s="1903"/>
      <c r="AB254" s="1903"/>
    </row>
    <row r="255" spans="19:61" ht="13.5">
      <c r="S255" s="1493" t="s">
        <v>1383</v>
      </c>
      <c r="T255" s="1905"/>
      <c r="U255" s="1905"/>
      <c r="V255" s="1495">
        <f ca="1">IRR(V253:AB253,0.1)</f>
        <v>0.26208199812983213</v>
      </c>
      <c r="W255" s="1906"/>
      <c r="X255" s="1906">
        <f ca="1">IRR(V252:AB252,0.1)</f>
        <v>0.23353215518875942</v>
      </c>
      <c r="Y255" s="1903" t="str">
        <f>S255&amp;" w/o midyr convention"</f>
        <v>IRR w/o midyr convention</v>
      </c>
      <c r="Z255" s="1907"/>
      <c r="AA255" s="1903"/>
      <c r="AB255" s="1903"/>
      <c r="AZ255" s="359" t="s">
        <v>4076</v>
      </c>
      <c r="BB255" s="359">
        <f>AB93</f>
        <v>263329.59127846669</v>
      </c>
      <c r="BG255" s="2628" t="s">
        <v>4077</v>
      </c>
      <c r="BH255" s="2628" t="s">
        <v>4078</v>
      </c>
      <c r="BI255" s="2628" t="s">
        <v>4079</v>
      </c>
    </row>
    <row r="256" spans="19:61">
      <c r="S256" s="1496" t="s">
        <v>1758</v>
      </c>
      <c r="T256" s="1908"/>
      <c r="U256" s="1908"/>
      <c r="V256" s="1497">
        <f ca="1">NPV(0.12,V253:AB253)</f>
        <v>1373875.1361371991</v>
      </c>
      <c r="W256" s="1909"/>
      <c r="X256" s="1909">
        <f ca="1">NPV(0.12,V252:AB252)</f>
        <v>1051971.3076329578</v>
      </c>
      <c r="Y256" s="1903" t="str">
        <f>S256&amp;" w/o midyr convention"</f>
        <v>NPV @ 12% w/o midyr convention</v>
      </c>
      <c r="Z256" s="1903"/>
      <c r="AA256" s="1903"/>
      <c r="AB256" s="1903"/>
      <c r="AZ256" s="359" t="s">
        <v>3522</v>
      </c>
      <c r="BB256" s="2629">
        <f>BI260</f>
        <v>184025.43763000023</v>
      </c>
      <c r="BD256" s="359" t="s">
        <v>4123</v>
      </c>
      <c r="BG256" s="2630">
        <f>'5. Financials'!M237</f>
        <v>12.487248120000002</v>
      </c>
      <c r="BH256" s="359">
        <f>AB64</f>
        <v>8720.5950000000012</v>
      </c>
      <c r="BI256" s="359">
        <f>BG256*BH256</f>
        <v>108896.23351903143</v>
      </c>
    </row>
    <row r="257" spans="19:61">
      <c r="AZ257" s="359" t="s">
        <v>4080</v>
      </c>
      <c r="BB257" s="359">
        <f>BB255-BB256</f>
        <v>79304.153648466454</v>
      </c>
      <c r="BD257" s="359" t="s">
        <v>4124</v>
      </c>
      <c r="BG257" s="2630">
        <f>'5. Financials'!M238</f>
        <v>6.4945929600000003</v>
      </c>
      <c r="BH257" s="359">
        <f>BH256</f>
        <v>8720.5950000000012</v>
      </c>
      <c r="BI257" s="359">
        <f>BG257*BH257</f>
        <v>56636.714894011209</v>
      </c>
    </row>
    <row r="258" spans="19:61">
      <c r="S258" s="359" t="s">
        <v>1197</v>
      </c>
      <c r="V258" s="1911">
        <f>'5. Financials'!H309</f>
        <v>0.4</v>
      </c>
      <c r="BD258" s="359" t="s">
        <v>3520</v>
      </c>
      <c r="BG258" s="2630">
        <f>'5. Financials'!M239</f>
        <v>12.487248120000002</v>
      </c>
      <c r="BH258" s="359">
        <f>AB65</f>
        <v>974.21999999999912</v>
      </c>
      <c r="BI258" s="359">
        <f>BG258*BH258</f>
        <v>12165.326863466391</v>
      </c>
    </row>
    <row r="259" spans="19:61" ht="13.5">
      <c r="AZ259" s="359" t="s">
        <v>4081</v>
      </c>
      <c r="BB259" s="359">
        <f>BB253+BB257</f>
        <v>775215.96795756498</v>
      </c>
      <c r="BD259" s="359" t="s">
        <v>3521</v>
      </c>
      <c r="BG259" s="2630">
        <f>'5. Financials'!M240</f>
        <v>6.4945929600000003</v>
      </c>
      <c r="BH259" s="359">
        <f>BH258</f>
        <v>974.21999999999912</v>
      </c>
      <c r="BI259" s="2628">
        <f>BG259*BH259</f>
        <v>6327.1623534911942</v>
      </c>
    </row>
    <row r="260" spans="19:61">
      <c r="W260" s="659"/>
      <c r="X260" s="659"/>
      <c r="Y260" s="659"/>
      <c r="Z260" s="659"/>
      <c r="AA260" s="659"/>
      <c r="AB260" s="659"/>
      <c r="BD260" s="359" t="s">
        <v>3932</v>
      </c>
      <c r="BI260" s="2629">
        <f>SUM(BI256:BI259)</f>
        <v>184025.43763000023</v>
      </c>
    </row>
    <row r="261" spans="19:61">
      <c r="W261" s="659"/>
      <c r="X261" s="659"/>
      <c r="Y261" s="659"/>
      <c r="Z261" s="659"/>
      <c r="AA261" s="659"/>
      <c r="AB261" s="659"/>
      <c r="AZ261" s="359" t="s">
        <v>4082</v>
      </c>
    </row>
    <row r="262" spans="19:61">
      <c r="W262" s="659"/>
      <c r="X262" s="659"/>
      <c r="Y262" s="659"/>
      <c r="Z262" s="659"/>
      <c r="AA262" s="659"/>
      <c r="AB262" s="659"/>
      <c r="AZ262" s="359" t="s">
        <v>4083</v>
      </c>
    </row>
    <row r="263" spans="19:61">
      <c r="W263" s="659"/>
      <c r="X263" s="659"/>
      <c r="Y263" s="659"/>
      <c r="Z263" s="659"/>
      <c r="AA263" s="659"/>
      <c r="AB263" s="659"/>
      <c r="AZ263" s="359" t="s">
        <v>4084</v>
      </c>
    </row>
    <row r="264" spans="19:61">
      <c r="W264" s="659"/>
      <c r="X264" s="659"/>
      <c r="Y264" s="659"/>
      <c r="Z264" s="659"/>
      <c r="AA264" s="659"/>
      <c r="AB264" s="659"/>
      <c r="AZ264" s="359" t="s">
        <v>4085</v>
      </c>
    </row>
  </sheetData>
  <phoneticPr fontId="0" type="noConversion"/>
  <conditionalFormatting sqref="AR193:AW193 AR164:AW164 I193:N193 AE193:AP193 AE164:AP164 I164:N164 P193:U193 P164:U164 W164:AB164 W193:AB193">
    <cfRule type="cellIs" dxfId="5" priority="1" stopIfTrue="1" operator="notEqual">
      <formula>0</formula>
    </cfRule>
  </conditionalFormatting>
  <printOptions horizontalCentered="1"/>
  <pageMargins left="0.25" right="0.25" top="0.5" bottom="0.5" header="0.3" footer="0.24"/>
  <pageSetup scale="41" fitToHeight="0" orientation="portrait" horizontalDpi="4294967292" r:id="rId1"/>
  <headerFooter alignWithMargins="0">
    <oddHeader>&amp;L&amp;F&amp;C&amp;A</oddHeader>
    <oddFooter>&amp;L&amp;A&amp;C&amp;P of &amp;N&amp;R&amp;D &amp;T</oddFooter>
  </headerFooter>
  <rowBreaks count="1" manualBreakCount="1">
    <brk id="134" min="2" max="44" man="1"/>
  </rowBreaks>
  <legacyDrawing r:id="rId2"/>
</worksheet>
</file>

<file path=xl/worksheets/sheet40.xml><?xml version="1.0" encoding="utf-8"?>
<worksheet xmlns="http://schemas.openxmlformats.org/spreadsheetml/2006/main" xmlns:r="http://schemas.openxmlformats.org/officeDocument/2006/relationships">
  <sheetPr codeName="Sheet46" enableFormatConditionsCalculation="0">
    <tabColor indexed="31"/>
  </sheetPr>
  <dimension ref="B1:Q43"/>
  <sheetViews>
    <sheetView tabSelected="1" view="pageBreakPreview" zoomScale="85" zoomScaleNormal="75" workbookViewId="0"/>
  </sheetViews>
  <sheetFormatPr defaultRowHeight="12.75" outlineLevelRow="1" outlineLevelCol="1"/>
  <cols>
    <col min="1" max="1" width="2.85546875" customWidth="1"/>
    <col min="2" max="2" width="34.140625" customWidth="1"/>
    <col min="3" max="3" width="13.5703125" bestFit="1" customWidth="1"/>
    <col min="4" max="4" width="3.5703125" bestFit="1" customWidth="1"/>
    <col min="5" max="5" width="9.42578125" bestFit="1" customWidth="1"/>
    <col min="6" max="6" width="9.28515625" bestFit="1" customWidth="1"/>
    <col min="9" max="9" width="9.28515625" bestFit="1" customWidth="1"/>
    <col min="10" max="10" width="10.140625" bestFit="1" customWidth="1"/>
    <col min="13" max="13" width="11" hidden="1" customWidth="1" outlineLevel="1"/>
    <col min="14" max="14" width="11.5703125" hidden="1" customWidth="1" outlineLevel="1"/>
    <col min="15" max="16" width="0" hidden="1" customWidth="1" outlineLevel="1"/>
    <col min="17" max="17" width="11.5703125" bestFit="1" customWidth="1" collapsed="1"/>
  </cols>
  <sheetData>
    <row r="1" spans="2:17" ht="19.5">
      <c r="B1" s="2319" t="s">
        <v>2877</v>
      </c>
      <c r="M1" t="s">
        <v>1669</v>
      </c>
      <c r="N1">
        <v>1000</v>
      </c>
    </row>
    <row r="2" spans="2:17" ht="15.75">
      <c r="M2" s="1661" t="s">
        <v>1670</v>
      </c>
      <c r="N2" s="2343">
        <f>12/12</f>
        <v>1</v>
      </c>
    </row>
    <row r="3" spans="2:17">
      <c r="N3" s="2320" t="str">
        <f ca="1">"December '"&amp;RIGHT(N4,2)</f>
        <v>December '14</v>
      </c>
      <c r="O3" s="2340">
        <f ca="1">TODAY()</f>
        <v>41816</v>
      </c>
    </row>
    <row r="4" spans="2:17" hidden="1" outlineLevel="1">
      <c r="C4" s="104">
        <v>3</v>
      </c>
      <c r="N4" s="2371">
        <f ca="1">YEAR(O3)</f>
        <v>2014</v>
      </c>
    </row>
    <row r="5" spans="2:17" ht="15" collapsed="1">
      <c r="C5" s="2321">
        <v>2011</v>
      </c>
      <c r="O5" s="1"/>
      <c r="P5" s="1"/>
      <c r="Q5" s="1"/>
    </row>
    <row r="6" spans="2:17" ht="14.25" hidden="1" outlineLevel="1">
      <c r="B6" s="1661" t="s">
        <v>3981</v>
      </c>
      <c r="C6" s="2341">
        <f>'6. Market'!Z69-'6. Market'!Z94+'6. Market'!Z93</f>
        <v>531261.35383910208</v>
      </c>
      <c r="O6" s="1"/>
      <c r="P6" s="1"/>
      <c r="Q6" s="2376"/>
    </row>
    <row r="7" spans="2:17" ht="15" collapsed="1">
      <c r="B7" s="2322" t="s">
        <v>4045</v>
      </c>
      <c r="C7" s="2322">
        <f>(C6*$N$2)/$N$1</f>
        <v>531.26135383910207</v>
      </c>
      <c r="M7" t="str">
        <f ca="1">"As of "&amp;$N$3&amp;" data (annualized x "&amp;$N$2&amp;")"</f>
        <v>As of December '14 data (annualized x 1)</v>
      </c>
      <c r="O7" s="1"/>
      <c r="P7" s="1"/>
      <c r="Q7" s="2377"/>
    </row>
    <row r="8" spans="2:17" ht="15">
      <c r="B8" s="2323" t="s">
        <v>4046</v>
      </c>
      <c r="C8" s="2324">
        <f>(C35*13.5)/$N$1</f>
        <v>89.662598999999986</v>
      </c>
      <c r="O8" s="1"/>
      <c r="P8" s="1"/>
      <c r="Q8" s="2377"/>
    </row>
    <row r="9" spans="2:17" ht="15">
      <c r="B9" s="2325" t="s">
        <v>3528</v>
      </c>
      <c r="C9" s="2322">
        <f>C7-C8</f>
        <v>441.59875483910207</v>
      </c>
      <c r="O9" s="1"/>
      <c r="P9" s="1"/>
      <c r="Q9" s="2376"/>
    </row>
    <row r="10" spans="2:17" ht="15">
      <c r="B10" s="2322"/>
      <c r="C10" s="2326"/>
      <c r="E10" s="2327" t="s">
        <v>1671</v>
      </c>
      <c r="F10" s="2327" t="s">
        <v>1672</v>
      </c>
    </row>
    <row r="11" spans="2:17" ht="15">
      <c r="B11" s="2323" t="s">
        <v>1673</v>
      </c>
      <c r="C11" s="2322">
        <f>($E11*C33)/$F11</f>
        <v>129.93890519999999</v>
      </c>
      <c r="E11" s="2328">
        <v>0.6</v>
      </c>
      <c r="F11" s="2329">
        <v>10</v>
      </c>
    </row>
    <row r="12" spans="2:17" ht="15">
      <c r="B12" s="2323" t="s">
        <v>1674</v>
      </c>
      <c r="C12" s="2324">
        <f>($E12*C33)/$F12</f>
        <v>123.75133828571428</v>
      </c>
      <c r="E12" s="2328">
        <v>0.4</v>
      </c>
      <c r="F12" s="2329">
        <v>7</v>
      </c>
    </row>
    <row r="13" spans="2:17" ht="15">
      <c r="B13" s="2322" t="s">
        <v>3527</v>
      </c>
      <c r="C13" s="2330">
        <f>C9-C11-C12</f>
        <v>187.90851135338778</v>
      </c>
    </row>
    <row r="14" spans="2:17" ht="6.75" customHeight="1">
      <c r="B14" s="2322"/>
      <c r="C14" s="2326"/>
    </row>
    <row r="15" spans="2:17" ht="15">
      <c r="B15" s="2323" t="s">
        <v>1675</v>
      </c>
      <c r="C15" s="2324">
        <f>C13*0.4</f>
        <v>75.163404541355121</v>
      </c>
    </row>
    <row r="16" spans="2:17" ht="15">
      <c r="B16" s="2322" t="s">
        <v>1676</v>
      </c>
      <c r="C16" s="2330">
        <f>C13-C15</f>
        <v>112.74510681203266</v>
      </c>
    </row>
    <row r="17" spans="2:14" ht="6.75" customHeight="1">
      <c r="B17" s="2326"/>
      <c r="C17" s="2326"/>
    </row>
    <row r="18" spans="2:14" ht="15">
      <c r="B18" s="2323" t="s">
        <v>1677</v>
      </c>
      <c r="C18" s="2322">
        <f>C11</f>
        <v>129.93890519999999</v>
      </c>
    </row>
    <row r="19" spans="2:14" ht="15">
      <c r="B19" s="2323" t="s">
        <v>1678</v>
      </c>
      <c r="C19" s="2324">
        <f>C12</f>
        <v>123.75133828571428</v>
      </c>
    </row>
    <row r="20" spans="2:14" ht="15">
      <c r="B20" s="2331" t="s">
        <v>1679</v>
      </c>
      <c r="C20" s="2332">
        <f>C16+C18+C19</f>
        <v>366.43535029774694</v>
      </c>
    </row>
    <row r="21" spans="2:14" ht="15">
      <c r="B21" s="2326"/>
      <c r="C21" s="2326"/>
    </row>
    <row r="22" spans="2:14" ht="15">
      <c r="B22" s="2326"/>
      <c r="C22" s="2326"/>
    </row>
    <row r="23" spans="2:14" ht="15">
      <c r="B23" s="2322" t="s">
        <v>1680</v>
      </c>
      <c r="C23" s="2332">
        <f>C33</f>
        <v>2165.64842</v>
      </c>
    </row>
    <row r="24" spans="2:14" ht="15">
      <c r="B24" s="2322" t="s">
        <v>4047</v>
      </c>
      <c r="C24" s="2332">
        <f>(C4*C36*2000)/$N$1</f>
        <v>138</v>
      </c>
      <c r="E24" s="1660"/>
      <c r="M24" t="str">
        <f ca="1">$M$7</f>
        <v>As of December '14 data (annualized x 1)</v>
      </c>
    </row>
    <row r="25" spans="2:14" ht="15.75" thickBot="1">
      <c r="B25" s="2322" t="s">
        <v>1681</v>
      </c>
      <c r="C25" s="2333">
        <f>C38*C37</f>
        <v>500</v>
      </c>
    </row>
    <row r="26" spans="2:14" ht="15">
      <c r="B26" s="2331" t="s">
        <v>1682</v>
      </c>
      <c r="C26" s="2332">
        <f>SUM(C23:C25)</f>
        <v>2803.64842</v>
      </c>
    </row>
    <row r="27" spans="2:14" ht="15">
      <c r="B27" s="2326"/>
      <c r="C27" s="2326"/>
    </row>
    <row r="28" spans="2:14" ht="17.25">
      <c r="B28" s="2322" t="s">
        <v>4048</v>
      </c>
      <c r="C28" s="2375">
        <f>C20/C26</f>
        <v>0.13069946562620249</v>
      </c>
    </row>
    <row r="31" spans="2:14">
      <c r="B31" s="2334" t="s">
        <v>1683</v>
      </c>
      <c r="C31" s="2335"/>
    </row>
    <row r="32" spans="2:14" hidden="1" outlineLevel="1">
      <c r="B32" t="s">
        <v>1685</v>
      </c>
      <c r="C32" s="2342">
        <f>-'5. Financials'!H186</f>
        <v>2165648.42</v>
      </c>
      <c r="N32" t="s">
        <v>3983</v>
      </c>
    </row>
    <row r="33" spans="2:13" collapsed="1">
      <c r="B33" s="2335" t="s">
        <v>2147</v>
      </c>
      <c r="C33" s="2336">
        <f>C32/N1</f>
        <v>2165.64842</v>
      </c>
      <c r="M33" s="45"/>
    </row>
    <row r="34" spans="2:13" hidden="1" outlineLevel="1">
      <c r="B34" s="2335"/>
      <c r="C34" s="2342">
        <f>'6. Market'!Z66</f>
        <v>6641.6739999999991</v>
      </c>
    </row>
    <row r="35" spans="2:13" collapsed="1">
      <c r="B35" s="2335" t="s">
        <v>3529</v>
      </c>
      <c r="C35" s="2337">
        <f>C34*$N$2</f>
        <v>6641.6739999999991</v>
      </c>
      <c r="M35" t="str">
        <f ca="1">$M$7</f>
        <v>As of December '14 data (annualized x 1)</v>
      </c>
    </row>
    <row r="36" spans="2:13">
      <c r="B36" s="2335" t="s">
        <v>2928</v>
      </c>
      <c r="C36" s="2342">
        <f>endstation</f>
        <v>23</v>
      </c>
    </row>
    <row r="37" spans="2:13">
      <c r="B37" s="2335" t="s">
        <v>4050</v>
      </c>
      <c r="C37" s="2339">
        <v>500</v>
      </c>
    </row>
    <row r="38" spans="2:13">
      <c r="B38" s="2335" t="s">
        <v>1684</v>
      </c>
      <c r="C38" s="2338">
        <v>1</v>
      </c>
    </row>
    <row r="39" spans="2:13">
      <c r="B39" s="2335"/>
      <c r="C39" s="2335"/>
    </row>
    <row r="40" spans="2:13">
      <c r="B40" s="2335"/>
      <c r="C40" s="2335"/>
    </row>
    <row r="41" spans="2:13" ht="12.75" customHeight="1">
      <c r="B41" s="3100" t="s">
        <v>4049</v>
      </c>
      <c r="C41" s="3100"/>
      <c r="D41" s="3100"/>
      <c r="E41" s="3100"/>
      <c r="F41" s="3100"/>
      <c r="G41" s="3100"/>
      <c r="H41" s="3100"/>
      <c r="I41" s="3100"/>
      <c r="J41" s="3100"/>
    </row>
    <row r="42" spans="2:13">
      <c r="B42" s="3100"/>
      <c r="C42" s="3100"/>
      <c r="D42" s="3100"/>
      <c r="E42" s="3100"/>
      <c r="F42" s="3100"/>
      <c r="G42" s="3100"/>
      <c r="H42" s="3100"/>
      <c r="I42" s="3100"/>
      <c r="J42" s="3100"/>
    </row>
    <row r="43" spans="2:13">
      <c r="B43" s="3100"/>
      <c r="C43" s="3100"/>
      <c r="D43" s="3100"/>
      <c r="E43" s="3100"/>
      <c r="F43" s="3100"/>
      <c r="G43" s="3100"/>
      <c r="H43" s="3100"/>
      <c r="I43" s="3100"/>
      <c r="J43" s="3100"/>
    </row>
  </sheetData>
  <sheetProtection password="CC45" sheet="1"/>
  <mergeCells count="1">
    <mergeCell ref="B41:J43"/>
  </mergeCells>
  <phoneticPr fontId="0" type="noConversion"/>
  <pageMargins left="0.5" right="0.5" top="1" bottom="1" header="0.5" footer="0.5"/>
  <pageSetup scale="65" orientation="portrait" r:id="rId1"/>
  <headerFooter alignWithMargins="0">
    <oddHeader>&amp;C&amp;F</oddHeader>
    <oddFooter>&amp;L&amp;A&amp;R&amp;D &amp;T</oddFooter>
  </headerFooter>
  <legacyDrawing r:id="rId2"/>
</worksheet>
</file>

<file path=xl/worksheets/sheet41.xml><?xml version="1.0" encoding="utf-8"?>
<worksheet xmlns="http://schemas.openxmlformats.org/spreadsheetml/2006/main" xmlns:r="http://schemas.openxmlformats.org/officeDocument/2006/relationships">
  <sheetPr codeName="Sheet37" enableFormatConditionsCalculation="0">
    <tabColor indexed="48"/>
    <pageSetUpPr fitToPage="1"/>
  </sheetPr>
  <dimension ref="A1:M91"/>
  <sheetViews>
    <sheetView view="pageBreakPreview" zoomScaleSheetLayoutView="100" zoomScalePageLayoutView="60" workbookViewId="0"/>
  </sheetViews>
  <sheetFormatPr defaultRowHeight="12.75" outlineLevelRow="1"/>
  <cols>
    <col min="1" max="1" width="35.7109375" style="1598" customWidth="1"/>
    <col min="2" max="2" width="3.7109375" style="1598" customWidth="1"/>
    <col min="3" max="3" width="34.140625" style="1598" bestFit="1" customWidth="1"/>
    <col min="4" max="4" width="8.7109375" style="1598" bestFit="1" customWidth="1"/>
    <col min="5" max="6" width="3.7109375" style="1598" customWidth="1"/>
    <col min="7" max="7" width="20" style="1598" bestFit="1" customWidth="1"/>
    <col min="8" max="9" width="3.7109375" style="1598" customWidth="1"/>
    <col min="10" max="10" width="26.140625" style="1598" bestFit="1" customWidth="1"/>
    <col min="11" max="16384" width="9.140625" style="1598"/>
  </cols>
  <sheetData>
    <row r="1" spans="1:12" ht="18.75" thickBot="1">
      <c r="A1" s="2360" t="s">
        <v>594</v>
      </c>
      <c r="B1" s="2361"/>
      <c r="C1" s="2361"/>
      <c r="D1" s="2361"/>
      <c r="E1" s="2361"/>
      <c r="F1" s="2361"/>
      <c r="G1" s="2361"/>
      <c r="H1" s="2361"/>
      <c r="I1" s="2361"/>
      <c r="J1" s="2361"/>
    </row>
    <row r="2" spans="1:12" ht="5.0999999999999996" customHeight="1">
      <c r="A2" s="1600"/>
    </row>
    <row r="3" spans="1:12">
      <c r="A3" s="2222" t="s">
        <v>3809</v>
      </c>
      <c r="B3" s="3104">
        <f ca="1">'1.0 Summary'!K10</f>
        <v>41816</v>
      </c>
      <c r="C3" s="3104"/>
      <c r="D3" s="2358"/>
      <c r="G3" s="2222" t="s">
        <v>3812</v>
      </c>
      <c r="H3" s="3101" t="str">
        <f>Project</f>
        <v>Southbend Downtown</v>
      </c>
      <c r="I3" s="3101"/>
      <c r="J3" s="3101"/>
      <c r="L3" s="1599" t="s">
        <v>3811</v>
      </c>
    </row>
    <row r="4" spans="1:12" ht="5.0999999999999996" customHeight="1">
      <c r="G4" s="1599"/>
    </row>
    <row r="5" spans="1:12">
      <c r="A5" s="2222" t="s">
        <v>3813</v>
      </c>
      <c r="B5" s="3102" t="str">
        <f>RD</f>
        <v>Joseph Brunink</v>
      </c>
      <c r="C5" s="3102"/>
      <c r="D5" s="3102"/>
      <c r="E5" s="2346"/>
      <c r="G5" s="2222" t="s">
        <v>3810</v>
      </c>
      <c r="H5" s="3101">
        <f>Facility</f>
        <v>11032</v>
      </c>
      <c r="I5" s="3101"/>
      <c r="J5" s="3101"/>
    </row>
    <row r="6" spans="1:12" ht="5.0999999999999996" customHeight="1">
      <c r="B6" s="1602"/>
      <c r="C6" s="1602"/>
      <c r="D6" s="1602"/>
      <c r="E6" s="1602"/>
      <c r="F6" s="1602"/>
      <c r="H6" s="1602"/>
      <c r="I6" s="1602"/>
      <c r="K6" s="1601"/>
    </row>
    <row r="7" spans="1:12">
      <c r="A7" s="2222" t="s">
        <v>3814</v>
      </c>
      <c r="B7" s="3102" t="str">
        <f>'1.0 Summary'!$F$22</f>
        <v>616-514-7350</v>
      </c>
      <c r="C7" s="3102"/>
      <c r="D7" s="3102"/>
      <c r="E7" s="2346"/>
      <c r="G7" s="2222" t="s">
        <v>627</v>
      </c>
      <c r="H7" s="3101" t="str">
        <f>IF(H9="JCI","Chris Maese",IF(H9="UGL","Patrick Wifler",""))</f>
        <v>Patrick Wifler</v>
      </c>
      <c r="I7" s="3101"/>
      <c r="J7" s="3101"/>
      <c r="K7" s="1603"/>
    </row>
    <row r="8" spans="1:12" ht="5.0999999999999996" customHeight="1">
      <c r="B8" s="1602"/>
      <c r="C8" s="1602"/>
      <c r="D8" s="1602"/>
      <c r="E8" s="1602"/>
      <c r="F8" s="1602"/>
      <c r="G8" s="1599"/>
      <c r="H8" s="1602"/>
      <c r="I8" s="1602"/>
      <c r="K8" s="1603"/>
    </row>
    <row r="9" spans="1:12">
      <c r="A9" s="2222" t="s">
        <v>134</v>
      </c>
      <c r="B9" s="3102" t="str">
        <f>Division</f>
        <v>Lakeshore</v>
      </c>
      <c r="C9" s="3102"/>
      <c r="D9" s="3102"/>
      <c r="E9" s="2345"/>
      <c r="G9" s="2222" t="s">
        <v>593</v>
      </c>
      <c r="H9" s="3101" t="str">
        <f>IF(ISERROR(VLOOKUP(State,'DVA RE by State'!C2:D52,2,0)),"",VLOOKUP(State,'DVA RE by State'!C2:D52,2,0))</f>
        <v>UGL</v>
      </c>
      <c r="I9" s="3101"/>
      <c r="J9" s="3101"/>
      <c r="K9" s="1603"/>
    </row>
    <row r="10" spans="1:12" ht="5.0999999999999996" customHeight="1">
      <c r="B10" s="1601"/>
      <c r="C10" s="1601"/>
      <c r="D10" s="1601"/>
      <c r="E10" s="1601"/>
      <c r="F10" s="1601"/>
      <c r="H10" s="1601"/>
      <c r="I10" s="1601"/>
      <c r="J10" s="1599"/>
      <c r="K10" s="1603"/>
    </row>
    <row r="11" spans="1:12">
      <c r="A11" s="2222" t="s">
        <v>2657</v>
      </c>
      <c r="B11" s="2551" t="str">
        <f>City</f>
        <v>South Bend</v>
      </c>
      <c r="C11" s="2550"/>
      <c r="D11" s="2550"/>
      <c r="E11" s="2345"/>
      <c r="G11" s="2222" t="s">
        <v>4053</v>
      </c>
      <c r="H11" s="2549" t="str">
        <f>State</f>
        <v>IN</v>
      </c>
      <c r="I11" s="2549"/>
      <c r="J11" s="2549"/>
      <c r="K11" s="1603"/>
    </row>
    <row r="12" spans="1:12" ht="5.0999999999999996" customHeight="1" thickBot="1">
      <c r="B12" s="1601"/>
      <c r="C12" s="1601"/>
      <c r="D12" s="1601"/>
      <c r="E12" s="1601"/>
      <c r="F12" s="1601"/>
      <c r="H12" s="1601"/>
      <c r="I12" s="1601"/>
      <c r="J12" s="1599"/>
      <c r="K12" s="1603"/>
    </row>
    <row r="13" spans="1:12" ht="13.5" thickBot="1">
      <c r="A13" s="2362" t="s">
        <v>595</v>
      </c>
      <c r="B13" s="2363"/>
      <c r="C13" s="2363"/>
      <c r="D13" s="2363"/>
      <c r="E13" s="2363"/>
      <c r="F13" s="2363"/>
      <c r="G13" s="2363"/>
      <c r="H13" s="2363"/>
      <c r="I13" s="2363"/>
      <c r="J13" s="2363"/>
      <c r="K13" s="1603"/>
    </row>
    <row r="14" spans="1:12" ht="5.0999999999999996" customHeight="1">
      <c r="A14" s="2349"/>
      <c r="B14" s="2349"/>
      <c r="C14" s="2351"/>
      <c r="D14" s="2351"/>
      <c r="E14" s="2351"/>
      <c r="F14" s="2349"/>
      <c r="G14" s="2351"/>
      <c r="H14" s="2351"/>
      <c r="I14" s="2349"/>
      <c r="J14" s="2351"/>
      <c r="K14" s="1603"/>
    </row>
    <row r="15" spans="1:12">
      <c r="A15" s="2347" t="s">
        <v>628</v>
      </c>
      <c r="B15" s="2368"/>
      <c r="C15" s="1603" t="s">
        <v>596</v>
      </c>
      <c r="D15" s="1603"/>
      <c r="E15" s="2352"/>
      <c r="F15" s="2368"/>
      <c r="G15" s="2352"/>
      <c r="H15" s="2352"/>
      <c r="I15" s="1602"/>
      <c r="J15" s="2353"/>
      <c r="K15" s="1603"/>
    </row>
    <row r="16" spans="1:12" ht="5.0999999999999996" customHeight="1">
      <c r="C16" s="2352"/>
      <c r="D16" s="2352"/>
      <c r="E16" s="2352"/>
      <c r="G16" s="2352"/>
      <c r="H16" s="2352"/>
      <c r="I16" s="1601"/>
      <c r="J16" s="2353"/>
      <c r="K16" s="1603"/>
    </row>
    <row r="17" spans="1:11">
      <c r="A17" s="2347" t="s">
        <v>629</v>
      </c>
      <c r="B17" s="2368"/>
      <c r="C17" s="1603" t="s">
        <v>599</v>
      </c>
      <c r="D17" s="1603"/>
      <c r="E17" s="2352"/>
      <c r="F17" s="2368"/>
      <c r="G17" s="2352"/>
      <c r="H17" s="2352"/>
      <c r="I17" s="1602"/>
      <c r="J17" s="2352"/>
      <c r="K17" s="1603"/>
    </row>
    <row r="18" spans="1:11" ht="5.0999999999999996" customHeight="1">
      <c r="C18" s="2352"/>
      <c r="D18" s="2352"/>
      <c r="E18" s="2352"/>
      <c r="G18" s="2352"/>
      <c r="H18" s="2352"/>
      <c r="I18" s="1601"/>
      <c r="J18" s="2353"/>
      <c r="K18" s="1603"/>
    </row>
    <row r="19" spans="1:11">
      <c r="A19" s="2347" t="s">
        <v>630</v>
      </c>
      <c r="B19" s="2368"/>
      <c r="C19" s="2348" t="s">
        <v>600</v>
      </c>
      <c r="D19" s="2558"/>
      <c r="E19" s="2355"/>
      <c r="F19" s="2368"/>
      <c r="G19" s="2354" t="s">
        <v>601</v>
      </c>
      <c r="H19" s="2355"/>
      <c r="I19" s="1602"/>
      <c r="J19" s="2352"/>
      <c r="K19" s="1603"/>
    </row>
    <row r="20" spans="1:11" ht="5.0999999999999996" customHeight="1">
      <c r="C20" s="2352"/>
      <c r="D20" s="2352"/>
      <c r="E20" s="2352"/>
      <c r="G20" s="2352"/>
      <c r="H20" s="2352"/>
      <c r="I20" s="1601"/>
      <c r="J20" s="2353"/>
      <c r="K20" s="1603"/>
    </row>
    <row r="21" spans="1:11">
      <c r="A21" s="2347" t="s">
        <v>631</v>
      </c>
      <c r="B21" s="2368" t="s">
        <v>725</v>
      </c>
      <c r="C21" s="1603" t="s">
        <v>597</v>
      </c>
      <c r="D21" s="1603"/>
      <c r="E21" s="2352"/>
      <c r="F21" s="2368"/>
      <c r="G21" s="2354" t="s">
        <v>598</v>
      </c>
      <c r="H21" s="2352"/>
      <c r="I21" s="2368"/>
      <c r="J21" s="2354" t="s">
        <v>1849</v>
      </c>
      <c r="K21" s="1603"/>
    </row>
    <row r="22" spans="1:11" ht="5.0999999999999996" customHeight="1" thickBot="1">
      <c r="C22" s="2352"/>
      <c r="D22" s="2352"/>
      <c r="E22" s="2352"/>
      <c r="G22" s="2352"/>
      <c r="H22" s="2352"/>
      <c r="J22" s="2353"/>
    </row>
    <row r="23" spans="1:11" ht="13.5" thickBot="1">
      <c r="A23" s="2362" t="s">
        <v>602</v>
      </c>
      <c r="B23" s="2363"/>
      <c r="C23" s="2363"/>
      <c r="D23" s="2363"/>
      <c r="E23" s="2363"/>
      <c r="F23" s="2363"/>
      <c r="G23" s="2363"/>
      <c r="H23" s="2363"/>
      <c r="I23" s="2363"/>
      <c r="J23" s="2363"/>
      <c r="K23" s="1603"/>
    </row>
    <row r="24" spans="1:11" ht="5.0999999999999996" customHeight="1">
      <c r="A24" s="1604"/>
      <c r="B24" s="1604"/>
      <c r="C24" s="1604"/>
      <c r="D24" s="1604"/>
      <c r="E24" s="1604"/>
      <c r="F24" s="1604"/>
      <c r="G24" s="1604"/>
      <c r="H24" s="1604"/>
      <c r="I24" s="1604"/>
      <c r="J24" s="1604"/>
    </row>
    <row r="25" spans="1:11">
      <c r="A25" s="2222" t="s">
        <v>4055</v>
      </c>
      <c r="B25" s="2561">
        <f>'1Tab_Input'!$B$23</f>
        <v>0</v>
      </c>
      <c r="C25" s="2222"/>
      <c r="H25" s="2222"/>
      <c r="I25" s="2359"/>
    </row>
    <row r="26" spans="1:11" ht="13.5" thickBot="1">
      <c r="A26" s="2222"/>
      <c r="B26" s="2562"/>
      <c r="C26" s="2222"/>
      <c r="H26" s="2222"/>
      <c r="I26" s="2359"/>
    </row>
    <row r="27" spans="1:11">
      <c r="A27" s="2222" t="s">
        <v>4056</v>
      </c>
      <c r="B27" s="3105">
        <f>'1Tab_Input'!$A$25</f>
        <v>0</v>
      </c>
      <c r="C27" s="3106"/>
      <c r="D27" s="3106"/>
      <c r="E27" s="3106"/>
      <c r="F27" s="3106"/>
      <c r="G27" s="3106"/>
      <c r="H27" s="3106"/>
      <c r="I27" s="3106"/>
      <c r="J27" s="3107"/>
    </row>
    <row r="28" spans="1:11">
      <c r="A28" s="2222" t="s">
        <v>4054</v>
      </c>
      <c r="B28" s="3108"/>
      <c r="C28" s="3109"/>
      <c r="D28" s="3109"/>
      <c r="E28" s="3109"/>
      <c r="F28" s="3109"/>
      <c r="G28" s="3109"/>
      <c r="H28" s="3109"/>
      <c r="I28" s="3109"/>
      <c r="J28" s="3110"/>
    </row>
    <row r="29" spans="1:11" ht="13.5" thickBot="1">
      <c r="A29" s="2222"/>
      <c r="B29" s="3111"/>
      <c r="C29" s="3112"/>
      <c r="D29" s="3112"/>
      <c r="E29" s="3112"/>
      <c r="F29" s="3112"/>
      <c r="G29" s="3112"/>
      <c r="H29" s="3112"/>
      <c r="I29" s="3112"/>
      <c r="J29" s="3113"/>
    </row>
    <row r="30" spans="1:11" ht="5.0999999999999996" customHeight="1" thickBot="1">
      <c r="A30" s="1604"/>
      <c r="B30" s="1604"/>
      <c r="C30" s="1604"/>
      <c r="D30" s="1604"/>
      <c r="E30" s="1604"/>
      <c r="F30" s="1604"/>
      <c r="G30" s="1604"/>
      <c r="H30" s="1604"/>
      <c r="I30" s="1604"/>
      <c r="J30" s="1604"/>
    </row>
    <row r="31" spans="1:11">
      <c r="A31" s="2222" t="s">
        <v>603</v>
      </c>
      <c r="B31" s="3105"/>
      <c r="C31" s="3106"/>
      <c r="D31" s="3106"/>
      <c r="E31" s="3106"/>
      <c r="F31" s="3106"/>
      <c r="G31" s="3106"/>
      <c r="H31" s="3106"/>
      <c r="I31" s="3106"/>
      <c r="J31" s="3107"/>
    </row>
    <row r="32" spans="1:11">
      <c r="A32" s="2222"/>
      <c r="B32" s="3108"/>
      <c r="C32" s="3109"/>
      <c r="D32" s="3109"/>
      <c r="E32" s="3109"/>
      <c r="F32" s="3109"/>
      <c r="G32" s="3109"/>
      <c r="H32" s="3109"/>
      <c r="I32" s="3109"/>
      <c r="J32" s="3110"/>
    </row>
    <row r="33" spans="1:13" ht="13.5" thickBot="1">
      <c r="A33" s="1604"/>
      <c r="B33" s="3111"/>
      <c r="C33" s="3112"/>
      <c r="D33" s="3112"/>
      <c r="E33" s="3112"/>
      <c r="F33" s="3112"/>
      <c r="G33" s="3112"/>
      <c r="H33" s="3112"/>
      <c r="I33" s="3112"/>
      <c r="J33" s="3113"/>
    </row>
    <row r="34" spans="1:13" ht="5.0999999999999996" customHeight="1">
      <c r="A34" s="1604"/>
      <c r="B34" s="1604"/>
      <c r="C34" s="1604"/>
      <c r="D34" s="1604"/>
      <c r="E34" s="1604"/>
      <c r="F34" s="1604"/>
      <c r="G34" s="1604"/>
      <c r="H34" s="1604"/>
      <c r="I34" s="1604"/>
      <c r="J34" s="1604"/>
    </row>
    <row r="35" spans="1:13">
      <c r="A35" s="2222" t="s">
        <v>604</v>
      </c>
      <c r="B35" s="1598">
        <f>IF('2.0 Patients'!G15=0,Openstation,'2.0 Patients'!M8)</f>
        <v>23</v>
      </c>
      <c r="C35" s="2222" t="s">
        <v>606</v>
      </c>
      <c r="D35" s="1598" t="str">
        <f>IF(BuildoutYear=0, "N/A", BuildoutYear)</f>
        <v>N/A</v>
      </c>
      <c r="H35" s="2222" t="s">
        <v>605</v>
      </c>
      <c r="I35" s="2359" t="str">
        <f>IF(BuildoutYear=0, "N/A", '2.0 Patients'!M8)</f>
        <v>N/A</v>
      </c>
    </row>
    <row r="36" spans="1:13" ht="5.0999999999999996" customHeight="1">
      <c r="C36" s="1601"/>
      <c r="D36" s="1601"/>
      <c r="E36" s="1601"/>
      <c r="H36" s="1601"/>
    </row>
    <row r="37" spans="1:13">
      <c r="A37" s="2222" t="s">
        <v>607</v>
      </c>
    </row>
    <row r="38" spans="1:13">
      <c r="A38" s="2222" t="s">
        <v>519</v>
      </c>
      <c r="B38" s="2345">
        <f>IF('2.0 Patients'!$G$12=0, "N/A", '2.0 Patients'!$G$12)</f>
        <v>2</v>
      </c>
      <c r="F38" s="2368"/>
      <c r="G38" s="1603" t="s">
        <v>608</v>
      </c>
      <c r="I38" s="1602"/>
    </row>
    <row r="39" spans="1:13" ht="5.0999999999999996" customHeight="1">
      <c r="A39" s="2222"/>
      <c r="I39" s="1602"/>
    </row>
    <row r="40" spans="1:13">
      <c r="A40" s="2221" t="s">
        <v>518</v>
      </c>
      <c r="B40" s="1602">
        <f>IF('2.0 Patients'!$G$13=0, "N/A", '2.0 Patients'!$G$13)</f>
        <v>2</v>
      </c>
      <c r="F40" s="2368"/>
      <c r="G40" s="1603" t="s">
        <v>609</v>
      </c>
      <c r="I40" s="1602"/>
    </row>
    <row r="41" spans="1:13" ht="5.0999999999999996" customHeight="1">
      <c r="D41" s="1601"/>
      <c r="E41" s="1601"/>
      <c r="H41" s="1601"/>
    </row>
    <row r="42" spans="1:13">
      <c r="A42" s="2222" t="s">
        <v>3815</v>
      </c>
      <c r="B42" s="3103">
        <f>'1.0 Summary'!$M$4</f>
        <v>9000</v>
      </c>
      <c r="C42" s="3103"/>
      <c r="G42" s="2222" t="s">
        <v>3816</v>
      </c>
      <c r="H42" s="2345">
        <f>'1.0 Summary'!$J$21</f>
        <v>0</v>
      </c>
      <c r="K42" s="1603"/>
    </row>
    <row r="43" spans="1:13" ht="5.0999999999999996" customHeight="1"/>
    <row r="44" spans="1:13">
      <c r="A44" s="2222" t="s">
        <v>610</v>
      </c>
      <c r="B44" s="2345" t="str">
        <f>'1.0 Summary'!$O$13</f>
        <v>Yes</v>
      </c>
      <c r="G44" s="2222" t="s">
        <v>3817</v>
      </c>
      <c r="H44" s="2346" t="str">
        <f>IF(ISERROR(VLOOKUP(State,CON!C2:D52,2,0)),"",VLOOKUP(State,CON!C2:D52,2,0))</f>
        <v>No</v>
      </c>
      <c r="K44" s="1603"/>
    </row>
    <row r="45" spans="1:13" ht="5.0999999999999996" customHeight="1">
      <c r="B45" s="1601"/>
      <c r="F45" s="1601"/>
      <c r="I45" s="1601"/>
      <c r="M45" s="1603"/>
    </row>
    <row r="46" spans="1:13">
      <c r="A46" s="2222" t="s">
        <v>616</v>
      </c>
      <c r="C46" s="2560" t="s">
        <v>612</v>
      </c>
      <c r="D46" s="1603"/>
      <c r="E46" s="1603"/>
    </row>
    <row r="47" spans="1:13" ht="5.0999999999999996" customHeight="1"/>
    <row r="48" spans="1:13" ht="13.5" customHeight="1">
      <c r="A48" s="2222" t="s">
        <v>3818</v>
      </c>
      <c r="B48" s="2559"/>
      <c r="E48" s="2222" t="s">
        <v>632</v>
      </c>
      <c r="F48" s="2559">
        <f>'1.0 Summary'!T32</f>
        <v>0</v>
      </c>
      <c r="K48" s="1603"/>
    </row>
    <row r="49" spans="1:12" ht="5.0999999999999996" customHeight="1"/>
    <row r="50" spans="1:12" ht="12.75" customHeight="1">
      <c r="A50" s="3117" t="s">
        <v>633</v>
      </c>
      <c r="C50" s="3117" t="s">
        <v>634</v>
      </c>
      <c r="D50" s="3117"/>
      <c r="E50" s="3117"/>
    </row>
    <row r="51" spans="1:12">
      <c r="A51" s="3117"/>
      <c r="B51" s="2559"/>
      <c r="C51" s="3117"/>
      <c r="D51" s="3117"/>
      <c r="E51" s="3117"/>
      <c r="F51" s="2559"/>
    </row>
    <row r="52" spans="1:12" ht="12.75" customHeight="1" thickBot="1">
      <c r="A52" s="3117"/>
      <c r="C52" s="3117"/>
      <c r="D52" s="3117"/>
      <c r="E52" s="3117"/>
      <c r="F52" s="2344"/>
      <c r="G52" s="2344"/>
      <c r="K52" s="1603"/>
      <c r="L52" s="2357"/>
    </row>
    <row r="53" spans="1:12" ht="13.5" thickBot="1">
      <c r="A53" s="2366" t="str">
        <f>"Detail of Program response to SOR - To be completed by "&amp;$H$9&amp;" (i.e., timeframe to complete project; specific negotiations required, etc.)"</f>
        <v>Detail of Program response to SOR - To be completed by UGL (i.e., timeframe to complete project; specific negotiations required, etc.)</v>
      </c>
      <c r="B53" s="2364"/>
      <c r="C53" s="2364"/>
      <c r="D53" s="2364"/>
      <c r="E53" s="2364"/>
      <c r="F53" s="2364"/>
      <c r="G53" s="2364"/>
      <c r="H53" s="2364"/>
      <c r="I53" s="2364"/>
      <c r="J53" s="2365"/>
      <c r="K53" s="1603"/>
    </row>
    <row r="54" spans="1:12">
      <c r="A54" s="3132"/>
      <c r="B54" s="3133"/>
      <c r="C54" s="3133"/>
      <c r="D54" s="3133"/>
      <c r="E54" s="3133"/>
      <c r="F54" s="3133"/>
      <c r="G54" s="3133"/>
      <c r="H54" s="3133"/>
      <c r="I54" s="3133"/>
      <c r="J54" s="3134"/>
    </row>
    <row r="55" spans="1:12">
      <c r="A55" s="3135"/>
      <c r="B55" s="3136"/>
      <c r="C55" s="3136"/>
      <c r="D55" s="3136"/>
      <c r="E55" s="3136"/>
      <c r="F55" s="3136"/>
      <c r="G55" s="3136"/>
      <c r="H55" s="3136"/>
      <c r="I55" s="3136"/>
      <c r="J55" s="3137"/>
    </row>
    <row r="56" spans="1:12" ht="13.5" thickBot="1">
      <c r="A56" s="3138"/>
      <c r="B56" s="3139"/>
      <c r="C56" s="3139"/>
      <c r="D56" s="3139"/>
      <c r="E56" s="3139"/>
      <c r="F56" s="3139"/>
      <c r="G56" s="3139"/>
      <c r="H56" s="3139"/>
      <c r="I56" s="3139"/>
      <c r="J56" s="3140"/>
    </row>
    <row r="57" spans="1:12" ht="13.5" thickBot="1">
      <c r="A57" s="2362" t="s">
        <v>617</v>
      </c>
      <c r="B57" s="2363"/>
      <c r="C57" s="2363"/>
      <c r="D57" s="2363"/>
      <c r="E57" s="2363"/>
      <c r="F57" s="2363"/>
      <c r="G57" s="2363"/>
      <c r="H57" s="2363"/>
      <c r="I57" s="2363"/>
      <c r="J57" s="2363"/>
    </row>
    <row r="58" spans="1:12">
      <c r="A58" s="2350" t="s">
        <v>618</v>
      </c>
      <c r="B58" s="3120"/>
      <c r="C58" s="3121"/>
      <c r="D58" s="3121"/>
      <c r="E58" s="3121"/>
      <c r="F58" s="3122"/>
      <c r="G58" s="2222" t="s">
        <v>2698</v>
      </c>
      <c r="H58" s="3114"/>
      <c r="I58" s="3115"/>
      <c r="J58" s="3116"/>
    </row>
    <row r="59" spans="1:12">
      <c r="A59" s="2350" t="s">
        <v>619</v>
      </c>
      <c r="B59" s="3123"/>
      <c r="C59" s="3124"/>
      <c r="D59" s="3124"/>
      <c r="E59" s="3124"/>
      <c r="F59" s="3125"/>
      <c r="G59" s="2222" t="s">
        <v>621</v>
      </c>
      <c r="H59" s="3141"/>
      <c r="I59" s="3142"/>
      <c r="J59" s="3143"/>
    </row>
    <row r="60" spans="1:12" ht="13.5" thickBot="1">
      <c r="A60" s="2350" t="s">
        <v>620</v>
      </c>
      <c r="B60" s="3126"/>
      <c r="C60" s="3127"/>
      <c r="D60" s="3127"/>
      <c r="E60" s="3127"/>
      <c r="F60" s="3128"/>
      <c r="G60" s="2222" t="s">
        <v>622</v>
      </c>
      <c r="H60" s="3129"/>
      <c r="I60" s="3130"/>
      <c r="J60" s="3131"/>
    </row>
    <row r="61" spans="1:12" ht="13.5" thickBot="1">
      <c r="A61" s="2362" t="s">
        <v>623</v>
      </c>
      <c r="B61" s="2363"/>
      <c r="C61" s="2363"/>
      <c r="D61" s="2363"/>
      <c r="E61" s="2363"/>
      <c r="F61" s="2363"/>
      <c r="G61" s="2363"/>
      <c r="H61" s="2363"/>
      <c r="I61" s="2363"/>
      <c r="J61" s="2363"/>
    </row>
    <row r="62" spans="1:12">
      <c r="A62" s="2350" t="s">
        <v>618</v>
      </c>
      <c r="B62" s="3120"/>
      <c r="C62" s="3121"/>
      <c r="D62" s="3121"/>
      <c r="E62" s="3121"/>
      <c r="F62" s="3122"/>
      <c r="G62" s="2222" t="s">
        <v>2698</v>
      </c>
      <c r="H62" s="3114"/>
      <c r="I62" s="3115"/>
      <c r="J62" s="3116"/>
    </row>
    <row r="63" spans="1:12">
      <c r="A63" s="2350" t="s">
        <v>619</v>
      </c>
      <c r="B63" s="3123"/>
      <c r="C63" s="3124"/>
      <c r="D63" s="3124"/>
      <c r="E63" s="3124"/>
      <c r="F63" s="3125"/>
      <c r="G63" s="2222" t="s">
        <v>621</v>
      </c>
      <c r="H63" s="3141"/>
      <c r="I63" s="3142"/>
      <c r="J63" s="3143"/>
    </row>
    <row r="64" spans="1:12" ht="13.5" thickBot="1">
      <c r="A64" s="2350" t="s">
        <v>620</v>
      </c>
      <c r="B64" s="3126"/>
      <c r="C64" s="3127"/>
      <c r="D64" s="3127"/>
      <c r="E64" s="3127"/>
      <c r="F64" s="3128"/>
      <c r="G64" s="2222" t="s">
        <v>622</v>
      </c>
      <c r="H64" s="3129"/>
      <c r="I64" s="3130"/>
      <c r="J64" s="3131"/>
    </row>
    <row r="65" spans="1:11" ht="13.5" thickBot="1">
      <c r="A65" s="2362" t="s">
        <v>624</v>
      </c>
      <c r="B65" s="2363"/>
      <c r="C65" s="2363"/>
      <c r="D65" s="2363"/>
      <c r="E65" s="2363"/>
      <c r="F65" s="2363"/>
      <c r="G65" s="2363"/>
      <c r="H65" s="2363"/>
      <c r="I65" s="2363"/>
      <c r="J65" s="2363"/>
    </row>
    <row r="66" spans="1:11">
      <c r="A66" s="1605"/>
      <c r="B66" s="3118" t="s">
        <v>635</v>
      </c>
      <c r="C66" s="3118"/>
      <c r="D66" s="3118" t="s">
        <v>636</v>
      </c>
      <c r="E66" s="3118"/>
      <c r="F66" s="3118"/>
      <c r="G66" s="3118"/>
      <c r="H66" s="3118"/>
      <c r="I66" s="3119"/>
      <c r="J66" s="2356" t="s">
        <v>1445</v>
      </c>
    </row>
    <row r="67" spans="1:11">
      <c r="A67" s="2350" t="s">
        <v>625</v>
      </c>
      <c r="B67" s="3153" t="str">
        <f>'1.0 Summary'!F19</f>
        <v>Jerry O'Keefe</v>
      </c>
      <c r="C67" s="3154"/>
      <c r="D67" s="3149"/>
      <c r="E67" s="3150"/>
      <c r="F67" s="3150"/>
      <c r="G67" s="3150"/>
      <c r="H67" s="3150"/>
      <c r="I67" s="3151"/>
      <c r="J67" s="2367"/>
    </row>
    <row r="68" spans="1:11" ht="13.5" thickBot="1">
      <c r="A68" s="2350" t="s">
        <v>626</v>
      </c>
      <c r="B68" s="3153" t="str">
        <f>'1.0 Summary'!F21</f>
        <v>Joseph Brunink</v>
      </c>
      <c r="C68" s="3154"/>
      <c r="D68" s="3149"/>
      <c r="E68" s="3150"/>
      <c r="F68" s="3150"/>
      <c r="G68" s="3150"/>
      <c r="H68" s="3150"/>
      <c r="I68" s="3151"/>
      <c r="J68" s="2367"/>
    </row>
    <row r="69" spans="1:11" ht="13.5" thickBot="1">
      <c r="A69" s="2362" t="s">
        <v>4057</v>
      </c>
      <c r="B69" s="2363"/>
      <c r="C69" s="2363"/>
      <c r="D69" s="2563"/>
      <c r="E69" s="2563"/>
      <c r="F69" s="2563"/>
      <c r="G69" s="2563"/>
      <c r="H69" s="2563"/>
      <c r="I69" s="2563"/>
      <c r="J69" s="2363"/>
    </row>
    <row r="70" spans="1:11">
      <c r="B70" s="3118" t="s">
        <v>635</v>
      </c>
      <c r="C70" s="3118"/>
      <c r="D70" s="3152" t="s">
        <v>4058</v>
      </c>
      <c r="E70" s="3118"/>
      <c r="F70" s="3118"/>
      <c r="G70" s="3118"/>
      <c r="H70" s="3118"/>
      <c r="I70" s="3118"/>
    </row>
    <row r="71" spans="1:11">
      <c r="A71" s="2350" t="str">
        <f>$G$7</f>
        <v>Real Estate VP:</v>
      </c>
      <c r="B71" s="3144" t="str">
        <f>$H$7</f>
        <v>Patrick Wifler</v>
      </c>
      <c r="C71" s="3145"/>
      <c r="D71" s="3146" t="str">
        <f>IF(H9="JCI","Christian.A.Maese@jci.com",IF(H9="UGL","Patrick.Wifler@ugl-equis.com",""))</f>
        <v>Patrick.Wifler@ugl-equis.com</v>
      </c>
      <c r="E71" s="3147"/>
      <c r="F71" s="3147"/>
      <c r="G71" s="3147"/>
      <c r="H71" s="3147"/>
      <c r="I71" s="3148"/>
    </row>
    <row r="72" spans="1:11">
      <c r="K72" s="1603"/>
    </row>
    <row r="73" spans="1:11" hidden="1" outlineLevel="1">
      <c r="A73" s="1598" t="str">
        <f>$A$46</f>
        <v>Model Status:</v>
      </c>
    </row>
    <row r="74" spans="1:11" hidden="1" outlineLevel="1">
      <c r="A74" s="1603" t="s">
        <v>611</v>
      </c>
    </row>
    <row r="75" spans="1:11" hidden="1" outlineLevel="1">
      <c r="A75" s="1603" t="s">
        <v>612</v>
      </c>
    </row>
    <row r="76" spans="1:11" hidden="1" outlineLevel="1">
      <c r="A76" s="1603" t="s">
        <v>615</v>
      </c>
    </row>
    <row r="77" spans="1:11" hidden="1" outlineLevel="1">
      <c r="A77" s="1603" t="s">
        <v>613</v>
      </c>
    </row>
    <row r="78" spans="1:11" hidden="1" outlineLevel="1">
      <c r="A78" s="1603" t="s">
        <v>614</v>
      </c>
    </row>
    <row r="79" spans="1:11" hidden="1" outlineLevel="1"/>
    <row r="80" spans="1:11" hidden="1" outlineLevel="1">
      <c r="A80" s="1598" t="str">
        <f>$A$48</f>
        <v>Medical Director Agreement Signed</v>
      </c>
      <c r="K80" s="1603"/>
    </row>
    <row r="81" spans="1:12" hidden="1" outlineLevel="1">
      <c r="A81" s="1603" t="s">
        <v>2150</v>
      </c>
    </row>
    <row r="82" spans="1:12" hidden="1" outlineLevel="1">
      <c r="A82" s="1603" t="s">
        <v>10</v>
      </c>
      <c r="K82" s="1603"/>
    </row>
    <row r="83" spans="1:12" collapsed="1"/>
    <row r="84" spans="1:12">
      <c r="K84" s="1603"/>
    </row>
    <row r="86" spans="1:12">
      <c r="K86" s="1603"/>
    </row>
    <row r="88" spans="1:12">
      <c r="L88" s="1603"/>
    </row>
    <row r="90" spans="1:12">
      <c r="L90" s="1603"/>
    </row>
    <row r="91" spans="1:12">
      <c r="L91" s="1603"/>
    </row>
  </sheetData>
  <sheetProtection sheet="1"/>
  <mergeCells count="36">
    <mergeCell ref="B71:C71"/>
    <mergeCell ref="D71:I71"/>
    <mergeCell ref="D68:I68"/>
    <mergeCell ref="B62:F62"/>
    <mergeCell ref="H63:J63"/>
    <mergeCell ref="H64:J64"/>
    <mergeCell ref="B70:C70"/>
    <mergeCell ref="D70:I70"/>
    <mergeCell ref="B67:C67"/>
    <mergeCell ref="D67:I67"/>
    <mergeCell ref="B68:C68"/>
    <mergeCell ref="H58:J58"/>
    <mergeCell ref="A50:A52"/>
    <mergeCell ref="B66:C66"/>
    <mergeCell ref="D66:I66"/>
    <mergeCell ref="B58:F58"/>
    <mergeCell ref="B59:F59"/>
    <mergeCell ref="B63:F63"/>
    <mergeCell ref="B64:F64"/>
    <mergeCell ref="H62:J62"/>
    <mergeCell ref="C50:E52"/>
    <mergeCell ref="H60:J60"/>
    <mergeCell ref="A54:J56"/>
    <mergeCell ref="B60:F60"/>
    <mergeCell ref="H59:J59"/>
    <mergeCell ref="H3:J3"/>
    <mergeCell ref="B9:D9"/>
    <mergeCell ref="B42:C42"/>
    <mergeCell ref="B3:C3"/>
    <mergeCell ref="B5:D5"/>
    <mergeCell ref="B7:D7"/>
    <mergeCell ref="H9:J9"/>
    <mergeCell ref="H7:J7"/>
    <mergeCell ref="B31:J33"/>
    <mergeCell ref="H5:J5"/>
    <mergeCell ref="B27:J29"/>
  </mergeCells>
  <phoneticPr fontId="36" type="noConversion"/>
  <conditionalFormatting sqref="B27:J29">
    <cfRule type="expression" dxfId="4" priority="5" stopIfTrue="1">
      <formula>$B$27=0</formula>
    </cfRule>
  </conditionalFormatting>
  <conditionalFormatting sqref="B67:C67">
    <cfRule type="expression" dxfId="3" priority="4" stopIfTrue="1">
      <formula>$B$67=0</formula>
    </cfRule>
  </conditionalFormatting>
  <conditionalFormatting sqref="B68:C68">
    <cfRule type="expression" dxfId="2" priority="3" stopIfTrue="1">
      <formula>$B$68=0</formula>
    </cfRule>
  </conditionalFormatting>
  <conditionalFormatting sqref="B25">
    <cfRule type="expression" dxfId="1" priority="2" stopIfTrue="1">
      <formula>$B$25=0</formula>
    </cfRule>
  </conditionalFormatting>
  <conditionalFormatting sqref="F48">
    <cfRule type="expression" dxfId="0" priority="1" stopIfTrue="1">
      <formula>$F$48=0</formula>
    </cfRule>
  </conditionalFormatting>
  <dataValidations count="2">
    <dataValidation type="list" allowBlank="1" showInputMessage="1" showErrorMessage="1" sqref="F51 B51 B48">
      <formula1>$A$81:$A$82</formula1>
    </dataValidation>
    <dataValidation type="list" allowBlank="1" showInputMessage="1" showErrorMessage="1" sqref="C46">
      <formula1>$A$74:$A$78</formula1>
    </dataValidation>
  </dataValidations>
  <pageMargins left="0.5" right="0.5" top="1" bottom="1" header="0.5" footer="0.5"/>
  <pageSetup scale="68" orientation="portrait" horizontalDpi="4294967293" verticalDpi="300" r:id="rId1"/>
  <headerFooter alignWithMargins="0">
    <oddHeader>&amp;C&amp;F</oddHeader>
    <oddFooter>&amp;L&amp;A&amp;CPage &amp;P of &amp;N&amp;R&amp;D &amp;T</oddFooter>
  </headerFooter>
  <legacyDrawing r:id="rId2"/>
  <controls>
    <control shapeId="95233" r:id="rId3" name="CommandButton1"/>
  </controls>
</worksheet>
</file>

<file path=xl/worksheets/sheet42.xml><?xml version="1.0" encoding="utf-8"?>
<worksheet xmlns="http://schemas.openxmlformats.org/spreadsheetml/2006/main" xmlns:r="http://schemas.openxmlformats.org/officeDocument/2006/relationships">
  <sheetPr codeName="Sheet36"/>
  <dimension ref="A1:E62"/>
  <sheetViews>
    <sheetView zoomScale="75" workbookViewId="0">
      <pane ySplit="1" topLeftCell="A2" activePane="bottomLeft" state="frozen"/>
      <selection activeCell="B2" sqref="B2"/>
      <selection pane="bottomLeft" activeCell="A2" sqref="A2"/>
    </sheetView>
  </sheetViews>
  <sheetFormatPr defaultRowHeight="12.75" outlineLevelRow="1"/>
  <cols>
    <col min="1" max="1" width="3" style="1606" bestFit="1" customWidth="1"/>
    <col min="2" max="2" width="36.42578125" style="1606" bestFit="1" customWidth="1"/>
    <col min="3" max="3" width="13.140625" style="1606" bestFit="1" customWidth="1"/>
    <col min="4" max="4" width="13.140625" style="1606" customWidth="1"/>
    <col min="5" max="5" width="62.85546875" style="1606" bestFit="1" customWidth="1"/>
    <col min="6" max="16384" width="9.140625" style="1606"/>
  </cols>
  <sheetData>
    <row r="1" spans="1:5">
      <c r="B1" s="1606" t="s">
        <v>3566</v>
      </c>
      <c r="C1" s="1606" t="s">
        <v>3567</v>
      </c>
      <c r="D1" s="1606" t="s">
        <v>3568</v>
      </c>
      <c r="E1" s="1606" t="s">
        <v>3569</v>
      </c>
    </row>
    <row r="2" spans="1:5">
      <c r="A2" s="1606">
        <v>1</v>
      </c>
      <c r="B2" s="1606" t="s">
        <v>3570</v>
      </c>
      <c r="C2" s="1606" t="s">
        <v>2000</v>
      </c>
      <c r="D2" s="1606" t="s">
        <v>2150</v>
      </c>
      <c r="E2" s="1606" t="s">
        <v>3571</v>
      </c>
    </row>
    <row r="3" spans="1:5">
      <c r="A3" s="1606">
        <f t="shared" ref="A3:A9" si="0">A2+1</f>
        <v>2</v>
      </c>
      <c r="B3" s="1606" t="s">
        <v>3572</v>
      </c>
      <c r="C3" s="1606" t="s">
        <v>988</v>
      </c>
      <c r="D3" s="1606" t="s">
        <v>3573</v>
      </c>
    </row>
    <row r="4" spans="1:5">
      <c r="A4" s="1606">
        <f t="shared" si="0"/>
        <v>3</v>
      </c>
      <c r="B4" s="1606" t="s">
        <v>3574</v>
      </c>
      <c r="C4" s="1606" t="s">
        <v>562</v>
      </c>
      <c r="D4" s="1606" t="s">
        <v>10</v>
      </c>
    </row>
    <row r="5" spans="1:5">
      <c r="A5" s="1606">
        <f t="shared" si="0"/>
        <v>4</v>
      </c>
      <c r="B5" s="1606" t="s">
        <v>3575</v>
      </c>
      <c r="C5" s="1606" t="s">
        <v>566</v>
      </c>
      <c r="D5" s="1606" t="s">
        <v>10</v>
      </c>
    </row>
    <row r="6" spans="1:5">
      <c r="A6" s="1606">
        <f t="shared" si="0"/>
        <v>5</v>
      </c>
      <c r="B6" s="1606" t="s">
        <v>3783</v>
      </c>
      <c r="C6" s="1606" t="s">
        <v>3106</v>
      </c>
      <c r="D6" s="1606" t="s">
        <v>10</v>
      </c>
    </row>
    <row r="7" spans="1:5">
      <c r="A7" s="1606">
        <f t="shared" si="0"/>
        <v>6</v>
      </c>
      <c r="B7" s="1606" t="s">
        <v>3784</v>
      </c>
      <c r="C7" s="1606" t="s">
        <v>3108</v>
      </c>
      <c r="D7" s="1606" t="s">
        <v>10</v>
      </c>
    </row>
    <row r="8" spans="1:5">
      <c r="A8" s="1606">
        <f t="shared" si="0"/>
        <v>7</v>
      </c>
      <c r="B8" s="1606" t="s">
        <v>3785</v>
      </c>
      <c r="C8" s="1606" t="s">
        <v>1178</v>
      </c>
      <c r="D8" s="1606" t="s">
        <v>10</v>
      </c>
    </row>
    <row r="9" spans="1:5">
      <c r="A9" s="1606">
        <f t="shared" si="0"/>
        <v>8</v>
      </c>
      <c r="B9" s="1606" t="s">
        <v>3786</v>
      </c>
      <c r="C9" s="1606" t="s">
        <v>2017</v>
      </c>
      <c r="D9" s="1606" t="s">
        <v>10</v>
      </c>
    </row>
    <row r="10" spans="1:5">
      <c r="B10" s="1606" t="s">
        <v>3787</v>
      </c>
      <c r="C10" s="1606" t="s">
        <v>583</v>
      </c>
      <c r="D10" s="1606" t="s">
        <v>2150</v>
      </c>
    </row>
    <row r="11" spans="1:5">
      <c r="A11" s="1606">
        <f>A9+1</f>
        <v>9</v>
      </c>
      <c r="B11" s="1606" t="s">
        <v>3788</v>
      </c>
      <c r="C11" s="1606" t="s">
        <v>3594</v>
      </c>
      <c r="D11" s="1606" t="s">
        <v>10</v>
      </c>
    </row>
    <row r="12" spans="1:5">
      <c r="A12" s="1606">
        <f t="shared" ref="A12:A52" si="1">A11+1</f>
        <v>10</v>
      </c>
      <c r="B12" s="1606" t="s">
        <v>3789</v>
      </c>
      <c r="C12" s="1606" t="s">
        <v>3602</v>
      </c>
      <c r="D12" s="1606" t="s">
        <v>10</v>
      </c>
    </row>
    <row r="13" spans="1:5">
      <c r="A13" s="1606">
        <f t="shared" si="1"/>
        <v>11</v>
      </c>
      <c r="B13" s="1606" t="s">
        <v>3790</v>
      </c>
      <c r="C13" s="1606" t="s">
        <v>3873</v>
      </c>
      <c r="D13" s="1606" t="s">
        <v>2150</v>
      </c>
    </row>
    <row r="14" spans="1:5">
      <c r="A14" s="1606">
        <f t="shared" si="1"/>
        <v>12</v>
      </c>
      <c r="B14" s="1606" t="s">
        <v>3791</v>
      </c>
      <c r="C14" s="1606" t="s">
        <v>3875</v>
      </c>
      <c r="D14" s="1606" t="s">
        <v>10</v>
      </c>
    </row>
    <row r="15" spans="1:5">
      <c r="A15" s="1606">
        <f t="shared" si="1"/>
        <v>13</v>
      </c>
      <c r="B15" s="1606" t="s">
        <v>2382</v>
      </c>
      <c r="C15" s="1606" t="s">
        <v>2019</v>
      </c>
      <c r="D15" s="1606" t="s">
        <v>2150</v>
      </c>
    </row>
    <row r="16" spans="1:5">
      <c r="A16" s="1606">
        <f t="shared" si="1"/>
        <v>14</v>
      </c>
      <c r="B16" s="1606" t="s">
        <v>2383</v>
      </c>
      <c r="C16" s="1606" t="s">
        <v>2021</v>
      </c>
      <c r="D16" s="1606" t="s">
        <v>10</v>
      </c>
    </row>
    <row r="17" spans="1:5">
      <c r="A17" s="1606">
        <f t="shared" si="1"/>
        <v>15</v>
      </c>
      <c r="B17" s="1606" t="s">
        <v>2384</v>
      </c>
      <c r="C17" s="1606" t="s">
        <v>2031</v>
      </c>
      <c r="D17" s="1606" t="s">
        <v>10</v>
      </c>
    </row>
    <row r="18" spans="1:5">
      <c r="A18" s="1606">
        <f t="shared" si="1"/>
        <v>16</v>
      </c>
      <c r="B18" s="1606" t="s">
        <v>2385</v>
      </c>
      <c r="C18" s="1606" t="s">
        <v>663</v>
      </c>
      <c r="D18" s="1606" t="s">
        <v>10</v>
      </c>
    </row>
    <row r="19" spans="1:5">
      <c r="A19" s="1606">
        <f t="shared" si="1"/>
        <v>17</v>
      </c>
      <c r="B19" s="1606" t="s">
        <v>2386</v>
      </c>
      <c r="C19" s="1606" t="s">
        <v>529</v>
      </c>
      <c r="D19" s="1606" t="s">
        <v>10</v>
      </c>
      <c r="E19" s="1606" t="s">
        <v>2387</v>
      </c>
    </row>
    <row r="20" spans="1:5">
      <c r="A20" s="1606">
        <f t="shared" si="1"/>
        <v>18</v>
      </c>
      <c r="B20" s="1606" t="s">
        <v>2388</v>
      </c>
      <c r="C20" s="1606" t="s">
        <v>535</v>
      </c>
      <c r="D20" s="1606" t="s">
        <v>10</v>
      </c>
    </row>
    <row r="21" spans="1:5">
      <c r="A21" s="1606">
        <f t="shared" si="1"/>
        <v>19</v>
      </c>
      <c r="B21" s="1606" t="s">
        <v>2389</v>
      </c>
      <c r="C21" s="1606" t="s">
        <v>1922</v>
      </c>
      <c r="D21" s="1606" t="s">
        <v>2150</v>
      </c>
    </row>
    <row r="22" spans="1:5">
      <c r="A22" s="1606">
        <f t="shared" si="1"/>
        <v>20</v>
      </c>
      <c r="B22" s="1606" t="s">
        <v>2390</v>
      </c>
      <c r="C22" s="1606" t="s">
        <v>2087</v>
      </c>
      <c r="D22" s="1606" t="s">
        <v>10</v>
      </c>
    </row>
    <row r="23" spans="1:5">
      <c r="A23" s="1606">
        <f t="shared" si="1"/>
        <v>21</v>
      </c>
      <c r="B23" s="1606" t="s">
        <v>2391</v>
      </c>
      <c r="C23" s="1606" t="s">
        <v>1228</v>
      </c>
      <c r="D23" s="1606" t="s">
        <v>10</v>
      </c>
      <c r="E23" s="1606" t="s">
        <v>2392</v>
      </c>
    </row>
    <row r="24" spans="1:5">
      <c r="A24" s="1606">
        <f t="shared" si="1"/>
        <v>22</v>
      </c>
      <c r="B24" s="1606" t="s">
        <v>2393</v>
      </c>
      <c r="C24" s="1606" t="s">
        <v>2090</v>
      </c>
      <c r="D24" s="1606" t="s">
        <v>10</v>
      </c>
    </row>
    <row r="25" spans="1:5">
      <c r="A25" s="1606">
        <f t="shared" si="1"/>
        <v>23</v>
      </c>
      <c r="B25" s="1606" t="s">
        <v>0</v>
      </c>
      <c r="C25" s="1606" t="s">
        <v>3429</v>
      </c>
      <c r="D25" s="1606" t="s">
        <v>10</v>
      </c>
    </row>
    <row r="26" spans="1:5">
      <c r="A26" s="1606">
        <f t="shared" si="1"/>
        <v>24</v>
      </c>
      <c r="B26" s="1606" t="s">
        <v>1</v>
      </c>
      <c r="C26" s="1606" t="s">
        <v>3035</v>
      </c>
      <c r="D26" s="1606" t="s">
        <v>2150</v>
      </c>
    </row>
    <row r="27" spans="1:5">
      <c r="A27" s="1606">
        <f t="shared" si="1"/>
        <v>25</v>
      </c>
      <c r="B27" s="1606" t="s">
        <v>2</v>
      </c>
      <c r="C27" s="1606" t="s">
        <v>3434</v>
      </c>
      <c r="D27" s="1606" t="s">
        <v>10</v>
      </c>
      <c r="E27" s="1606" t="s">
        <v>3</v>
      </c>
    </row>
    <row r="28" spans="1:5">
      <c r="A28" s="1606">
        <f t="shared" si="1"/>
        <v>26</v>
      </c>
      <c r="B28" s="1606" t="s">
        <v>4</v>
      </c>
      <c r="C28" s="1606" t="s">
        <v>3438</v>
      </c>
      <c r="D28" s="1606" t="s">
        <v>10</v>
      </c>
    </row>
    <row r="29" spans="1:5">
      <c r="A29" s="1606">
        <f t="shared" si="1"/>
        <v>27</v>
      </c>
      <c r="B29" s="1606" t="s">
        <v>989</v>
      </c>
      <c r="C29" s="1606" t="s">
        <v>3442</v>
      </c>
      <c r="D29" s="1606" t="s">
        <v>10</v>
      </c>
    </row>
    <row r="30" spans="1:5">
      <c r="A30" s="1606">
        <f t="shared" si="1"/>
        <v>28</v>
      </c>
      <c r="B30" s="1606" t="s">
        <v>990</v>
      </c>
      <c r="C30" s="1606" t="s">
        <v>3043</v>
      </c>
      <c r="D30" s="1606" t="s">
        <v>10</v>
      </c>
    </row>
    <row r="31" spans="1:5">
      <c r="A31" s="1606">
        <f t="shared" si="1"/>
        <v>29</v>
      </c>
      <c r="B31" s="1606" t="s">
        <v>991</v>
      </c>
      <c r="C31" s="1606" t="s">
        <v>2868</v>
      </c>
      <c r="D31" s="1606" t="s">
        <v>10</v>
      </c>
      <c r="E31" s="1606" t="s">
        <v>1334</v>
      </c>
    </row>
    <row r="32" spans="1:5">
      <c r="A32" s="1606">
        <f t="shared" si="1"/>
        <v>30</v>
      </c>
      <c r="B32" s="1606" t="s">
        <v>1335</v>
      </c>
      <c r="C32" s="1606" t="s">
        <v>3444</v>
      </c>
      <c r="D32" s="1606" t="s">
        <v>10</v>
      </c>
      <c r="E32" s="1606" t="s">
        <v>1336</v>
      </c>
    </row>
    <row r="33" spans="1:4">
      <c r="A33" s="1606">
        <f t="shared" si="1"/>
        <v>31</v>
      </c>
      <c r="B33" s="1606" t="s">
        <v>1337</v>
      </c>
      <c r="C33" s="1606" t="s">
        <v>3622</v>
      </c>
      <c r="D33" s="1606" t="s">
        <v>10</v>
      </c>
    </row>
    <row r="34" spans="1:4">
      <c r="A34" s="1606">
        <f t="shared" si="1"/>
        <v>32</v>
      </c>
      <c r="B34" s="1606" t="s">
        <v>1338</v>
      </c>
      <c r="C34" s="1606" t="s">
        <v>3446</v>
      </c>
      <c r="D34" s="1606" t="s">
        <v>2150</v>
      </c>
    </row>
    <row r="35" spans="1:4">
      <c r="A35" s="1606">
        <f t="shared" si="1"/>
        <v>33</v>
      </c>
      <c r="B35" s="1606" t="s">
        <v>1339</v>
      </c>
      <c r="C35" s="1606" t="s">
        <v>2542</v>
      </c>
      <c r="D35" s="1606" t="s">
        <v>2150</v>
      </c>
    </row>
    <row r="36" spans="1:4">
      <c r="A36" s="1606">
        <f t="shared" si="1"/>
        <v>34</v>
      </c>
      <c r="B36" s="1606" t="s">
        <v>1340</v>
      </c>
      <c r="C36" s="1606" t="s">
        <v>2558</v>
      </c>
      <c r="D36" s="1606" t="s">
        <v>10</v>
      </c>
    </row>
    <row r="37" spans="1:4">
      <c r="A37" s="1606">
        <f t="shared" si="1"/>
        <v>35</v>
      </c>
      <c r="B37" s="1606" t="s">
        <v>1341</v>
      </c>
      <c r="C37" s="1606" t="s">
        <v>2562</v>
      </c>
      <c r="D37" s="1606" t="s">
        <v>10</v>
      </c>
    </row>
    <row r="38" spans="1:4">
      <c r="A38" s="1606">
        <f t="shared" si="1"/>
        <v>36</v>
      </c>
      <c r="B38" s="1606" t="s">
        <v>1342</v>
      </c>
      <c r="C38" s="1606" t="s">
        <v>2573</v>
      </c>
      <c r="D38" s="1606" t="s">
        <v>10</v>
      </c>
    </row>
    <row r="39" spans="1:4">
      <c r="A39" s="1606">
        <f t="shared" si="1"/>
        <v>37</v>
      </c>
      <c r="B39" s="1606" t="s">
        <v>1343</v>
      </c>
      <c r="C39" s="1606" t="s">
        <v>3353</v>
      </c>
      <c r="D39" s="1606" t="s">
        <v>10</v>
      </c>
    </row>
    <row r="40" spans="1:4">
      <c r="A40" s="1606">
        <f t="shared" si="1"/>
        <v>38</v>
      </c>
      <c r="B40" s="1606" t="s">
        <v>1344</v>
      </c>
      <c r="C40" s="1606" t="s">
        <v>3356</v>
      </c>
      <c r="D40" s="1606" t="s">
        <v>10</v>
      </c>
    </row>
    <row r="41" spans="1:4">
      <c r="A41" s="1606">
        <f t="shared" si="1"/>
        <v>39</v>
      </c>
      <c r="B41" s="1606" t="s">
        <v>1345</v>
      </c>
      <c r="C41" s="1606" t="s">
        <v>62</v>
      </c>
      <c r="D41" s="1606" t="s">
        <v>10</v>
      </c>
    </row>
    <row r="42" spans="1:4">
      <c r="A42" s="1606">
        <f t="shared" si="1"/>
        <v>40</v>
      </c>
      <c r="B42" s="1606" t="s">
        <v>1346</v>
      </c>
      <c r="C42" s="1606" t="s">
        <v>1942</v>
      </c>
      <c r="D42" s="1606" t="s">
        <v>10</v>
      </c>
    </row>
    <row r="43" spans="1:4">
      <c r="A43" s="1606">
        <f t="shared" si="1"/>
        <v>41</v>
      </c>
      <c r="B43" s="1606" t="s">
        <v>1347</v>
      </c>
      <c r="C43" s="1606" t="s">
        <v>1944</v>
      </c>
      <c r="D43" s="1606" t="s">
        <v>10</v>
      </c>
    </row>
    <row r="44" spans="1:4">
      <c r="A44" s="1606">
        <f t="shared" si="1"/>
        <v>42</v>
      </c>
      <c r="B44" s="1606" t="s">
        <v>1348</v>
      </c>
      <c r="C44" s="1606" t="s">
        <v>699</v>
      </c>
      <c r="D44" s="1606" t="s">
        <v>10</v>
      </c>
    </row>
    <row r="45" spans="1:4">
      <c r="A45" s="1606">
        <f t="shared" si="1"/>
        <v>43</v>
      </c>
      <c r="B45" s="1606" t="s">
        <v>1349</v>
      </c>
      <c r="C45" s="1606" t="s">
        <v>3906</v>
      </c>
      <c r="D45" s="1606" t="s">
        <v>10</v>
      </c>
    </row>
    <row r="46" spans="1:4">
      <c r="A46" s="1606">
        <f t="shared" si="1"/>
        <v>44</v>
      </c>
      <c r="B46" s="1606" t="s">
        <v>1350</v>
      </c>
      <c r="C46" s="1606" t="s">
        <v>742</v>
      </c>
      <c r="D46" s="1606" t="s">
        <v>10</v>
      </c>
    </row>
    <row r="47" spans="1:4">
      <c r="A47" s="1606">
        <f t="shared" si="1"/>
        <v>45</v>
      </c>
      <c r="B47" s="1606" t="s">
        <v>1351</v>
      </c>
      <c r="C47" s="1606" t="s">
        <v>2509</v>
      </c>
      <c r="D47" s="1606" t="s">
        <v>2150</v>
      </c>
    </row>
    <row r="48" spans="1:4">
      <c r="A48" s="1606">
        <f t="shared" si="1"/>
        <v>46</v>
      </c>
      <c r="B48" s="1606" t="s">
        <v>1352</v>
      </c>
      <c r="C48" s="1606" t="s">
        <v>746</v>
      </c>
      <c r="D48" s="1606" t="s">
        <v>10</v>
      </c>
    </row>
    <row r="49" spans="1:4">
      <c r="A49" s="1606">
        <f t="shared" si="1"/>
        <v>47</v>
      </c>
      <c r="B49" s="1606" t="s">
        <v>1353</v>
      </c>
      <c r="C49" s="1606" t="s">
        <v>1278</v>
      </c>
      <c r="D49" s="1606" t="s">
        <v>2150</v>
      </c>
    </row>
    <row r="50" spans="1:4">
      <c r="A50" s="1606">
        <f t="shared" si="1"/>
        <v>48</v>
      </c>
      <c r="B50" s="1606" t="s">
        <v>1354</v>
      </c>
      <c r="C50" s="1606" t="s">
        <v>542</v>
      </c>
      <c r="D50" s="1606" t="s">
        <v>2150</v>
      </c>
    </row>
    <row r="51" spans="1:4">
      <c r="A51" s="1606">
        <f t="shared" si="1"/>
        <v>49</v>
      </c>
      <c r="B51" s="1606" t="s">
        <v>1355</v>
      </c>
      <c r="C51" s="1606" t="s">
        <v>550</v>
      </c>
      <c r="D51" s="1606" t="s">
        <v>10</v>
      </c>
    </row>
    <row r="52" spans="1:4">
      <c r="A52" s="1606">
        <f t="shared" si="1"/>
        <v>50</v>
      </c>
      <c r="B52" s="1606" t="s">
        <v>1356</v>
      </c>
      <c r="C52" s="1606" t="s">
        <v>1033</v>
      </c>
      <c r="D52" s="1606" t="s">
        <v>10</v>
      </c>
    </row>
    <row r="54" spans="1:4" hidden="1" outlineLevel="1">
      <c r="B54" s="1606" t="s">
        <v>1357</v>
      </c>
      <c r="C54" s="1606" t="s">
        <v>1358</v>
      </c>
    </row>
    <row r="55" spans="1:4" hidden="1" outlineLevel="1">
      <c r="B55" s="1606" t="s">
        <v>1359</v>
      </c>
      <c r="C55" s="1606" t="s">
        <v>1360</v>
      </c>
    </row>
    <row r="56" spans="1:4" hidden="1" outlineLevel="1">
      <c r="B56" s="1606" t="s">
        <v>1361</v>
      </c>
      <c r="C56" s="1606" t="s">
        <v>1362</v>
      </c>
    </row>
    <row r="57" spans="1:4" hidden="1" outlineLevel="1">
      <c r="B57" s="1606" t="s">
        <v>1363</v>
      </c>
      <c r="C57" s="1606" t="s">
        <v>1364</v>
      </c>
    </row>
    <row r="58" spans="1:4" hidden="1" outlineLevel="1">
      <c r="B58" s="1606" t="s">
        <v>1365</v>
      </c>
      <c r="C58" s="1606" t="s">
        <v>1366</v>
      </c>
    </row>
    <row r="59" spans="1:4" hidden="1" outlineLevel="1">
      <c r="B59" s="1606" t="s">
        <v>1367</v>
      </c>
      <c r="C59" s="1606" t="s">
        <v>1368</v>
      </c>
    </row>
    <row r="60" spans="1:4" hidden="1" outlineLevel="1">
      <c r="B60" s="1606" t="s">
        <v>1369</v>
      </c>
      <c r="C60" s="1606" t="s">
        <v>2894</v>
      </c>
    </row>
    <row r="61" spans="1:4" hidden="1" outlineLevel="1">
      <c r="B61" s="1606" t="s">
        <v>2895</v>
      </c>
      <c r="C61" s="1606" t="s">
        <v>2896</v>
      </c>
    </row>
    <row r="62" spans="1:4" collapsed="1"/>
  </sheetData>
  <sheetProtection sheet="1" objects="1" scenarios="1"/>
  <phoneticPr fontId="35" type="noConversion"/>
  <pageMargins left="0.75" right="0.75" top="1" bottom="1" header="0.5" footer="0.5"/>
  <pageSetup orientation="portrait" r:id="rId1"/>
  <headerFooter alignWithMargins="0"/>
</worksheet>
</file>

<file path=xl/worksheets/sheet43.xml><?xml version="1.0" encoding="utf-8"?>
<worksheet xmlns="http://schemas.openxmlformats.org/spreadsheetml/2006/main" xmlns:r="http://schemas.openxmlformats.org/officeDocument/2006/relationships">
  <sheetPr codeName="Sheet38"/>
  <dimension ref="A1:D62"/>
  <sheetViews>
    <sheetView zoomScale="75" workbookViewId="0">
      <pane ySplit="1" topLeftCell="A2" activePane="bottomLeft" state="frozen"/>
      <selection activeCell="B2" sqref="B2"/>
      <selection pane="bottomLeft" activeCell="D2" sqref="D2"/>
    </sheetView>
  </sheetViews>
  <sheetFormatPr defaultRowHeight="12.75" outlineLevelRow="1"/>
  <cols>
    <col min="1" max="1" width="3" style="1607" bestFit="1" customWidth="1"/>
    <col min="2" max="2" width="36.42578125" style="1607" bestFit="1" customWidth="1"/>
    <col min="3" max="3" width="13.140625" style="1607" bestFit="1" customWidth="1"/>
    <col min="4" max="16384" width="9.140625" style="1607"/>
  </cols>
  <sheetData>
    <row r="1" spans="1:4">
      <c r="B1" t="s">
        <v>3566</v>
      </c>
      <c r="C1" t="s">
        <v>3567</v>
      </c>
      <c r="D1" t="s">
        <v>2898</v>
      </c>
    </row>
    <row r="2" spans="1:4">
      <c r="A2" s="1607">
        <v>1</v>
      </c>
      <c r="B2" t="s">
        <v>3570</v>
      </c>
      <c r="C2" t="s">
        <v>2000</v>
      </c>
      <c r="D2" t="s">
        <v>2899</v>
      </c>
    </row>
    <row r="3" spans="1:4">
      <c r="A3" s="1607">
        <f t="shared" ref="A3:A9" si="0">A2+1</f>
        <v>2</v>
      </c>
      <c r="B3" t="s">
        <v>3572</v>
      </c>
      <c r="C3" t="s">
        <v>988</v>
      </c>
      <c r="D3" t="s">
        <v>2897</v>
      </c>
    </row>
    <row r="4" spans="1:4">
      <c r="A4" s="1607">
        <f t="shared" si="0"/>
        <v>3</v>
      </c>
      <c r="B4" t="s">
        <v>3574</v>
      </c>
      <c r="C4" t="s">
        <v>562</v>
      </c>
      <c r="D4" t="s">
        <v>2897</v>
      </c>
    </row>
    <row r="5" spans="1:4">
      <c r="A5" s="1607">
        <f t="shared" si="0"/>
        <v>4</v>
      </c>
      <c r="B5" t="s">
        <v>3575</v>
      </c>
      <c r="C5" t="s">
        <v>566</v>
      </c>
      <c r="D5" t="s">
        <v>2897</v>
      </c>
    </row>
    <row r="6" spans="1:4">
      <c r="A6" s="1607">
        <f t="shared" si="0"/>
        <v>5</v>
      </c>
      <c r="B6" t="s">
        <v>3783</v>
      </c>
      <c r="C6" t="s">
        <v>3106</v>
      </c>
      <c r="D6" t="s">
        <v>2897</v>
      </c>
    </row>
    <row r="7" spans="1:4">
      <c r="A7" s="1607">
        <f t="shared" si="0"/>
        <v>6</v>
      </c>
      <c r="B7" t="s">
        <v>3784</v>
      </c>
      <c r="C7" t="s">
        <v>3108</v>
      </c>
      <c r="D7" t="s">
        <v>2897</v>
      </c>
    </row>
    <row r="8" spans="1:4">
      <c r="A8" s="1607">
        <f t="shared" si="0"/>
        <v>7</v>
      </c>
      <c r="B8" t="s">
        <v>3785</v>
      </c>
      <c r="C8" t="s">
        <v>1178</v>
      </c>
      <c r="D8" t="s">
        <v>2899</v>
      </c>
    </row>
    <row r="9" spans="1:4">
      <c r="A9" s="1607">
        <f t="shared" si="0"/>
        <v>8</v>
      </c>
      <c r="B9" t="s">
        <v>3786</v>
      </c>
      <c r="C9" t="s">
        <v>2017</v>
      </c>
      <c r="D9" t="s">
        <v>2899</v>
      </c>
    </row>
    <row r="10" spans="1:4">
      <c r="B10" t="s">
        <v>3787</v>
      </c>
      <c r="C10" t="s">
        <v>583</v>
      </c>
      <c r="D10" t="s">
        <v>2899</v>
      </c>
    </row>
    <row r="11" spans="1:4">
      <c r="A11" s="1607">
        <f>A9+1</f>
        <v>9</v>
      </c>
      <c r="B11" t="s">
        <v>3788</v>
      </c>
      <c r="C11" t="s">
        <v>3594</v>
      </c>
      <c r="D11" t="s">
        <v>2899</v>
      </c>
    </row>
    <row r="12" spans="1:4">
      <c r="A12" s="1607">
        <f t="shared" ref="A12:A52" si="1">A11+1</f>
        <v>10</v>
      </c>
      <c r="B12" t="s">
        <v>3789</v>
      </c>
      <c r="C12" t="s">
        <v>3602</v>
      </c>
      <c r="D12" t="s">
        <v>2899</v>
      </c>
    </row>
    <row r="13" spans="1:4">
      <c r="A13" s="1607">
        <f t="shared" si="1"/>
        <v>11</v>
      </c>
      <c r="B13" t="s">
        <v>3790</v>
      </c>
      <c r="C13" t="s">
        <v>3873</v>
      </c>
      <c r="D13" t="s">
        <v>2897</v>
      </c>
    </row>
    <row r="14" spans="1:4">
      <c r="A14" s="1607">
        <f t="shared" si="1"/>
        <v>12</v>
      </c>
      <c r="B14" t="s">
        <v>3791</v>
      </c>
      <c r="C14" t="s">
        <v>3875</v>
      </c>
      <c r="D14" t="s">
        <v>2897</v>
      </c>
    </row>
    <row r="15" spans="1:4">
      <c r="A15" s="1607">
        <f t="shared" si="1"/>
        <v>13</v>
      </c>
      <c r="B15" t="s">
        <v>2382</v>
      </c>
      <c r="C15" t="s">
        <v>2019</v>
      </c>
      <c r="D15" t="s">
        <v>2897</v>
      </c>
    </row>
    <row r="16" spans="1:4">
      <c r="A16" s="1607">
        <f t="shared" si="1"/>
        <v>14</v>
      </c>
      <c r="B16" t="s">
        <v>2383</v>
      </c>
      <c r="C16" t="s">
        <v>2021</v>
      </c>
      <c r="D16" t="s">
        <v>2899</v>
      </c>
    </row>
    <row r="17" spans="1:4">
      <c r="A17" s="1607">
        <f t="shared" si="1"/>
        <v>15</v>
      </c>
      <c r="B17" t="s">
        <v>2384</v>
      </c>
      <c r="C17" t="s">
        <v>2031</v>
      </c>
      <c r="D17" t="s">
        <v>2897</v>
      </c>
    </row>
    <row r="18" spans="1:4">
      <c r="A18" s="1607">
        <f t="shared" si="1"/>
        <v>16</v>
      </c>
      <c r="B18" t="s">
        <v>2385</v>
      </c>
      <c r="C18" t="s">
        <v>663</v>
      </c>
      <c r="D18" t="s">
        <v>2897</v>
      </c>
    </row>
    <row r="19" spans="1:4">
      <c r="A19" s="1607">
        <f t="shared" si="1"/>
        <v>17</v>
      </c>
      <c r="B19" t="s">
        <v>2386</v>
      </c>
      <c r="C19" t="s">
        <v>529</v>
      </c>
      <c r="D19" t="s">
        <v>2899</v>
      </c>
    </row>
    <row r="20" spans="1:4">
      <c r="A20" s="1607">
        <f t="shared" si="1"/>
        <v>18</v>
      </c>
      <c r="B20" t="s">
        <v>2388</v>
      </c>
      <c r="C20" t="s">
        <v>535</v>
      </c>
      <c r="D20" t="s">
        <v>2897</v>
      </c>
    </row>
    <row r="21" spans="1:4">
      <c r="A21" s="1607">
        <f t="shared" si="1"/>
        <v>19</v>
      </c>
      <c r="B21" t="s">
        <v>2389</v>
      </c>
      <c r="C21" t="s">
        <v>1922</v>
      </c>
      <c r="D21" t="s">
        <v>2899</v>
      </c>
    </row>
    <row r="22" spans="1:4">
      <c r="A22" s="1607">
        <f t="shared" si="1"/>
        <v>20</v>
      </c>
      <c r="B22" t="s">
        <v>2390</v>
      </c>
      <c r="C22" t="s">
        <v>2087</v>
      </c>
      <c r="D22" t="s">
        <v>2899</v>
      </c>
    </row>
    <row r="23" spans="1:4">
      <c r="A23" s="1607">
        <f t="shared" si="1"/>
        <v>21</v>
      </c>
      <c r="B23" t="s">
        <v>2391</v>
      </c>
      <c r="C23" t="s">
        <v>1228</v>
      </c>
      <c r="D23" t="s">
        <v>2899</v>
      </c>
    </row>
    <row r="24" spans="1:4">
      <c r="A24" s="1607">
        <f t="shared" si="1"/>
        <v>22</v>
      </c>
      <c r="B24" t="s">
        <v>2393</v>
      </c>
      <c r="C24" t="s">
        <v>2090</v>
      </c>
      <c r="D24" t="s">
        <v>2899</v>
      </c>
    </row>
    <row r="25" spans="1:4">
      <c r="A25" s="1607">
        <f t="shared" si="1"/>
        <v>23</v>
      </c>
      <c r="B25" t="s">
        <v>0</v>
      </c>
      <c r="C25" t="s">
        <v>3429</v>
      </c>
      <c r="D25" t="s">
        <v>2897</v>
      </c>
    </row>
    <row r="26" spans="1:4">
      <c r="A26" s="1607">
        <f t="shared" si="1"/>
        <v>24</v>
      </c>
      <c r="B26" t="s">
        <v>1</v>
      </c>
      <c r="C26" t="s">
        <v>3035</v>
      </c>
      <c r="D26" t="s">
        <v>2897</v>
      </c>
    </row>
    <row r="27" spans="1:4">
      <c r="A27" s="1607">
        <f t="shared" si="1"/>
        <v>25</v>
      </c>
      <c r="B27" t="s">
        <v>2</v>
      </c>
      <c r="C27" t="s">
        <v>3434</v>
      </c>
      <c r="D27" t="s">
        <v>2897</v>
      </c>
    </row>
    <row r="28" spans="1:4">
      <c r="A28" s="1607">
        <f t="shared" si="1"/>
        <v>26</v>
      </c>
      <c r="B28" t="s">
        <v>4</v>
      </c>
      <c r="C28" t="s">
        <v>3438</v>
      </c>
      <c r="D28" t="s">
        <v>2897</v>
      </c>
    </row>
    <row r="29" spans="1:4">
      <c r="A29" s="1607">
        <f t="shared" si="1"/>
        <v>27</v>
      </c>
      <c r="B29" t="s">
        <v>989</v>
      </c>
      <c r="C29" t="s">
        <v>3442</v>
      </c>
      <c r="D29" t="s">
        <v>2897</v>
      </c>
    </row>
    <row r="30" spans="1:4">
      <c r="A30" s="1607">
        <f t="shared" si="1"/>
        <v>28</v>
      </c>
      <c r="B30" t="s">
        <v>990</v>
      </c>
      <c r="C30" t="s">
        <v>3043</v>
      </c>
      <c r="D30" t="s">
        <v>2897</v>
      </c>
    </row>
    <row r="31" spans="1:4">
      <c r="A31" s="1607">
        <f t="shared" si="1"/>
        <v>29</v>
      </c>
      <c r="B31" t="s">
        <v>991</v>
      </c>
      <c r="C31" t="s">
        <v>2868</v>
      </c>
      <c r="D31" t="s">
        <v>2899</v>
      </c>
    </row>
    <row r="32" spans="1:4">
      <c r="A32" s="1607">
        <f t="shared" si="1"/>
        <v>30</v>
      </c>
      <c r="B32" t="s">
        <v>1335</v>
      </c>
      <c r="C32" t="s">
        <v>3444</v>
      </c>
      <c r="D32" t="s">
        <v>2899</v>
      </c>
    </row>
    <row r="33" spans="1:4">
      <c r="A33" s="1607">
        <f t="shared" si="1"/>
        <v>31</v>
      </c>
      <c r="B33" t="s">
        <v>1337</v>
      </c>
      <c r="C33" t="s">
        <v>3622</v>
      </c>
      <c r="D33" t="s">
        <v>2897</v>
      </c>
    </row>
    <row r="34" spans="1:4">
      <c r="A34" s="1607">
        <f t="shared" si="1"/>
        <v>32</v>
      </c>
      <c r="B34" t="s">
        <v>1338</v>
      </c>
      <c r="C34" t="s">
        <v>3446</v>
      </c>
      <c r="D34" t="s">
        <v>2899</v>
      </c>
    </row>
    <row r="35" spans="1:4">
      <c r="A35" s="1607">
        <f t="shared" si="1"/>
        <v>33</v>
      </c>
      <c r="B35" t="s">
        <v>1339</v>
      </c>
      <c r="C35" t="s">
        <v>2542</v>
      </c>
      <c r="D35" t="s">
        <v>2899</v>
      </c>
    </row>
    <row r="36" spans="1:4">
      <c r="A36" s="1607">
        <f t="shared" si="1"/>
        <v>34</v>
      </c>
      <c r="B36" t="s">
        <v>1340</v>
      </c>
      <c r="C36" t="s">
        <v>2558</v>
      </c>
      <c r="D36" t="s">
        <v>2897</v>
      </c>
    </row>
    <row r="37" spans="1:4">
      <c r="A37" s="1607">
        <f t="shared" si="1"/>
        <v>35</v>
      </c>
      <c r="B37" t="s">
        <v>1341</v>
      </c>
      <c r="C37" t="s">
        <v>2562</v>
      </c>
      <c r="D37" t="s">
        <v>2899</v>
      </c>
    </row>
    <row r="38" spans="1:4">
      <c r="A38" s="1607">
        <f t="shared" si="1"/>
        <v>36</v>
      </c>
      <c r="B38" t="s">
        <v>1342</v>
      </c>
      <c r="C38" t="s">
        <v>2573</v>
      </c>
      <c r="D38" t="s">
        <v>2897</v>
      </c>
    </row>
    <row r="39" spans="1:4">
      <c r="A39" s="1607">
        <f t="shared" si="1"/>
        <v>37</v>
      </c>
      <c r="B39" t="s">
        <v>1343</v>
      </c>
      <c r="C39" t="s">
        <v>3353</v>
      </c>
      <c r="D39" t="s">
        <v>2897</v>
      </c>
    </row>
    <row r="40" spans="1:4">
      <c r="A40" s="1607">
        <f t="shared" si="1"/>
        <v>38</v>
      </c>
      <c r="B40" t="s">
        <v>1344</v>
      </c>
      <c r="C40" t="s">
        <v>3356</v>
      </c>
      <c r="D40" t="s">
        <v>2899</v>
      </c>
    </row>
    <row r="41" spans="1:4">
      <c r="A41" s="1607">
        <f t="shared" si="1"/>
        <v>39</v>
      </c>
      <c r="B41" t="s">
        <v>1345</v>
      </c>
      <c r="C41" t="s">
        <v>62</v>
      </c>
      <c r="D41" t="s">
        <v>2899</v>
      </c>
    </row>
    <row r="42" spans="1:4">
      <c r="A42" s="1607">
        <f t="shared" si="1"/>
        <v>40</v>
      </c>
      <c r="B42" t="s">
        <v>1346</v>
      </c>
      <c r="C42" t="s">
        <v>1942</v>
      </c>
      <c r="D42" t="s">
        <v>2899</v>
      </c>
    </row>
    <row r="43" spans="1:4">
      <c r="A43" s="1607">
        <f t="shared" si="1"/>
        <v>41</v>
      </c>
      <c r="B43" t="s">
        <v>1347</v>
      </c>
      <c r="C43" t="s">
        <v>1944</v>
      </c>
      <c r="D43" t="s">
        <v>2897</v>
      </c>
    </row>
    <row r="44" spans="1:4">
      <c r="A44" s="1607">
        <f t="shared" si="1"/>
        <v>42</v>
      </c>
      <c r="B44" t="s">
        <v>1348</v>
      </c>
      <c r="C44" t="s">
        <v>699</v>
      </c>
      <c r="D44" t="s">
        <v>2899</v>
      </c>
    </row>
    <row r="45" spans="1:4">
      <c r="A45" s="1607">
        <f t="shared" si="1"/>
        <v>43</v>
      </c>
      <c r="B45" t="s">
        <v>1349</v>
      </c>
      <c r="C45" t="s">
        <v>3906</v>
      </c>
      <c r="D45" t="s">
        <v>2897</v>
      </c>
    </row>
    <row r="46" spans="1:4">
      <c r="A46" s="1607">
        <f t="shared" si="1"/>
        <v>44</v>
      </c>
      <c r="B46" t="s">
        <v>1350</v>
      </c>
      <c r="C46" t="s">
        <v>742</v>
      </c>
      <c r="D46" t="s">
        <v>2897</v>
      </c>
    </row>
    <row r="47" spans="1:4">
      <c r="A47" s="1607">
        <f t="shared" si="1"/>
        <v>45</v>
      </c>
      <c r="B47" t="s">
        <v>1351</v>
      </c>
      <c r="C47" t="s">
        <v>2509</v>
      </c>
      <c r="D47" t="s">
        <v>2899</v>
      </c>
    </row>
    <row r="48" spans="1:4">
      <c r="A48" s="1607">
        <f t="shared" si="1"/>
        <v>46</v>
      </c>
      <c r="B48" t="s">
        <v>1352</v>
      </c>
      <c r="C48" t="s">
        <v>746</v>
      </c>
      <c r="D48" t="s">
        <v>2899</v>
      </c>
    </row>
    <row r="49" spans="1:4">
      <c r="A49" s="1607">
        <f t="shared" si="1"/>
        <v>47</v>
      </c>
      <c r="B49" t="s">
        <v>1353</v>
      </c>
      <c r="C49" t="s">
        <v>1278</v>
      </c>
      <c r="D49" t="s">
        <v>2897</v>
      </c>
    </row>
    <row r="50" spans="1:4">
      <c r="A50" s="1607">
        <f t="shared" si="1"/>
        <v>48</v>
      </c>
      <c r="B50" t="s">
        <v>1354</v>
      </c>
      <c r="C50" t="s">
        <v>542</v>
      </c>
      <c r="D50" t="s">
        <v>2899</v>
      </c>
    </row>
    <row r="51" spans="1:4">
      <c r="A51" s="1607">
        <f t="shared" si="1"/>
        <v>49</v>
      </c>
      <c r="B51" t="s">
        <v>1355</v>
      </c>
      <c r="C51" t="s">
        <v>550</v>
      </c>
      <c r="D51" t="s">
        <v>2897</v>
      </c>
    </row>
    <row r="52" spans="1:4">
      <c r="A52" s="1607">
        <f t="shared" si="1"/>
        <v>50</v>
      </c>
      <c r="B52" t="s">
        <v>1356</v>
      </c>
      <c r="C52" t="s">
        <v>1033</v>
      </c>
      <c r="D52" t="s">
        <v>2897</v>
      </c>
    </row>
    <row r="54" spans="1:4" hidden="1" outlineLevel="1">
      <c r="B54" s="1607" t="s">
        <v>1357</v>
      </c>
      <c r="C54" s="1607" t="s">
        <v>1358</v>
      </c>
    </row>
    <row r="55" spans="1:4" hidden="1" outlineLevel="1">
      <c r="B55" s="1607" t="s">
        <v>1359</v>
      </c>
      <c r="C55" s="1607" t="s">
        <v>1360</v>
      </c>
    </row>
    <row r="56" spans="1:4" hidden="1" outlineLevel="1">
      <c r="B56" s="1607" t="s">
        <v>1361</v>
      </c>
      <c r="C56" s="1607" t="s">
        <v>1362</v>
      </c>
    </row>
    <row r="57" spans="1:4" hidden="1" outlineLevel="1">
      <c r="B57" s="1607" t="s">
        <v>1363</v>
      </c>
      <c r="C57" s="1607" t="s">
        <v>1364</v>
      </c>
    </row>
    <row r="58" spans="1:4" hidden="1" outlineLevel="1">
      <c r="B58" s="1607" t="s">
        <v>1365</v>
      </c>
      <c r="C58" s="1607" t="s">
        <v>1366</v>
      </c>
    </row>
    <row r="59" spans="1:4" hidden="1" outlineLevel="1">
      <c r="B59" s="1607" t="s">
        <v>1367</v>
      </c>
      <c r="C59" s="1607" t="s">
        <v>1368</v>
      </c>
    </row>
    <row r="60" spans="1:4" hidden="1" outlineLevel="1">
      <c r="B60" s="1607" t="s">
        <v>1369</v>
      </c>
      <c r="C60" s="1607" t="s">
        <v>2894</v>
      </c>
    </row>
    <row r="61" spans="1:4" hidden="1" outlineLevel="1">
      <c r="B61" s="1607" t="s">
        <v>2895</v>
      </c>
      <c r="C61" s="1607" t="s">
        <v>2896</v>
      </c>
    </row>
    <row r="62" spans="1:4" collapsed="1"/>
  </sheetData>
  <sheetProtection password="CC45" sheet="1" objects="1" scenarios="1"/>
  <phoneticPr fontId="35" type="noConversion"/>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sheetPr codeName="Sheet33"/>
  <dimension ref="B2:E8"/>
  <sheetViews>
    <sheetView showGridLines="0" workbookViewId="0"/>
  </sheetViews>
  <sheetFormatPr defaultColWidth="8.7109375" defaultRowHeight="12.75"/>
  <cols>
    <col min="1" max="1" width="2.7109375" style="1503" customWidth="1"/>
    <col min="2" max="2" width="12.7109375" style="1503" customWidth="1"/>
    <col min="3" max="3" width="35.7109375" style="1503" customWidth="1"/>
    <col min="4" max="4" width="25.7109375" style="1503" customWidth="1"/>
    <col min="5" max="5" width="35.7109375" style="1503" customWidth="1"/>
    <col min="6" max="16384" width="8.7109375" style="1503"/>
  </cols>
  <sheetData>
    <row r="2" spans="2:5">
      <c r="B2" s="1502" t="s">
        <v>2143</v>
      </c>
    </row>
    <row r="4" spans="2:5" ht="30" customHeight="1">
      <c r="C4" s="1504" t="s">
        <v>3529</v>
      </c>
      <c r="D4" s="1504" t="s">
        <v>1214</v>
      </c>
      <c r="E4" s="1504" t="s">
        <v>2169</v>
      </c>
    </row>
    <row r="5" spans="2:5" ht="60" customHeight="1">
      <c r="B5" s="1506" t="s">
        <v>1825</v>
      </c>
      <c r="C5" s="1505" t="s">
        <v>883</v>
      </c>
      <c r="D5" s="1505" t="s">
        <v>3858</v>
      </c>
      <c r="E5" s="1505" t="s">
        <v>515</v>
      </c>
    </row>
    <row r="6" spans="2:5" ht="60" customHeight="1">
      <c r="B6" s="1506" t="s">
        <v>1215</v>
      </c>
      <c r="C6" s="1505" t="s">
        <v>514</v>
      </c>
      <c r="D6" s="1505" t="s">
        <v>790</v>
      </c>
      <c r="E6" s="1505" t="s">
        <v>789</v>
      </c>
    </row>
    <row r="7" spans="2:5" ht="60" customHeight="1">
      <c r="B7" s="1506" t="s">
        <v>2144</v>
      </c>
      <c r="C7" s="1505" t="s">
        <v>3859</v>
      </c>
      <c r="D7" s="1505" t="s">
        <v>791</v>
      </c>
      <c r="E7" s="1505" t="s">
        <v>792</v>
      </c>
    </row>
    <row r="8" spans="2:5" ht="60" customHeight="1">
      <c r="B8" s="1506" t="s">
        <v>1213</v>
      </c>
      <c r="C8" s="1505" t="s">
        <v>3857</v>
      </c>
      <c r="D8" s="1505" t="s">
        <v>2291</v>
      </c>
      <c r="E8" s="1505" t="s">
        <v>2290</v>
      </c>
    </row>
  </sheetData>
  <phoneticPr fontId="18" type="noConversion"/>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sheetPr codeName="Sheet3"/>
  <dimension ref="B2:B86"/>
  <sheetViews>
    <sheetView showGridLines="0" topLeftCell="A43" workbookViewId="0">
      <selection activeCell="B68" sqref="B68"/>
    </sheetView>
  </sheetViews>
  <sheetFormatPr defaultColWidth="8.7109375" defaultRowHeight="11.25"/>
  <cols>
    <col min="1" max="1" width="2.7109375" style="109" customWidth="1"/>
    <col min="2" max="2" width="16.7109375" style="109" customWidth="1"/>
    <col min="3" max="3" width="2.7109375" style="109" customWidth="1"/>
    <col min="4" max="16384" width="8.7109375" style="109"/>
  </cols>
  <sheetData>
    <row r="2" spans="2:2">
      <c r="B2" s="112" t="s">
        <v>2149</v>
      </c>
    </row>
    <row r="3" spans="2:2">
      <c r="B3" s="110" t="s">
        <v>2150</v>
      </c>
    </row>
    <row r="4" spans="2:2">
      <c r="B4" s="111" t="s">
        <v>10</v>
      </c>
    </row>
    <row r="6" spans="2:2">
      <c r="B6" s="112" t="s">
        <v>2528</v>
      </c>
    </row>
    <row r="7" spans="2:2">
      <c r="B7" s="110" t="s">
        <v>2054</v>
      </c>
    </row>
    <row r="8" spans="2:2">
      <c r="B8" s="111" t="s">
        <v>2055</v>
      </c>
    </row>
    <row r="10" spans="2:2">
      <c r="B10" s="112" t="s">
        <v>3193</v>
      </c>
    </row>
    <row r="11" spans="2:2">
      <c r="B11" s="110" t="s">
        <v>3194</v>
      </c>
    </row>
    <row r="12" spans="2:2">
      <c r="B12" s="110" t="s">
        <v>3195</v>
      </c>
    </row>
    <row r="13" spans="2:2">
      <c r="B13" s="111" t="s">
        <v>109</v>
      </c>
    </row>
    <row r="15" spans="2:2">
      <c r="B15" s="112" t="s">
        <v>711</v>
      </c>
    </row>
    <row r="16" spans="2:2">
      <c r="B16" s="110" t="s">
        <v>1933</v>
      </c>
    </row>
    <row r="17" spans="2:2">
      <c r="B17" s="110" t="s">
        <v>1934</v>
      </c>
    </row>
    <row r="18" spans="2:2">
      <c r="B18" s="110" t="s">
        <v>712</v>
      </c>
    </row>
    <row r="19" spans="2:2">
      <c r="B19" s="110" t="s">
        <v>1083</v>
      </c>
    </row>
    <row r="20" spans="2:2">
      <c r="B20" s="111" t="s">
        <v>1935</v>
      </c>
    </row>
    <row r="22" spans="2:2">
      <c r="B22" s="112" t="s">
        <v>2195</v>
      </c>
    </row>
    <row r="23" spans="2:2">
      <c r="B23" s="110" t="s">
        <v>1773</v>
      </c>
    </row>
    <row r="24" spans="2:2">
      <c r="B24" s="111" t="s">
        <v>2196</v>
      </c>
    </row>
    <row r="26" spans="2:2">
      <c r="B26" s="112" t="s">
        <v>885</v>
      </c>
    </row>
    <row r="27" spans="2:2">
      <c r="B27" s="110" t="s">
        <v>1858</v>
      </c>
    </row>
    <row r="28" spans="2:2">
      <c r="B28" s="110" t="s">
        <v>1848</v>
      </c>
    </row>
    <row r="29" spans="2:2">
      <c r="B29" s="111" t="s">
        <v>1849</v>
      </c>
    </row>
    <row r="31" spans="2:2">
      <c r="B31" s="112" t="s">
        <v>887</v>
      </c>
    </row>
    <row r="32" spans="2:2">
      <c r="B32" s="110" t="s">
        <v>886</v>
      </c>
    </row>
    <row r="33" spans="2:2">
      <c r="B33" s="111" t="s">
        <v>3954</v>
      </c>
    </row>
    <row r="35" spans="2:2">
      <c r="B35" s="112" t="s">
        <v>3470</v>
      </c>
    </row>
    <row r="36" spans="2:2">
      <c r="B36" s="110" t="s">
        <v>3139</v>
      </c>
    </row>
    <row r="37" spans="2:2">
      <c r="B37" s="110" t="s">
        <v>3143</v>
      </c>
    </row>
    <row r="38" spans="2:2">
      <c r="B38" s="110" t="s">
        <v>3144</v>
      </c>
    </row>
    <row r="39" spans="2:2">
      <c r="B39" s="110" t="s">
        <v>3145</v>
      </c>
    </row>
    <row r="40" spans="2:2">
      <c r="B40" s="110" t="s">
        <v>3146</v>
      </c>
    </row>
    <row r="41" spans="2:2">
      <c r="B41" s="110" t="s">
        <v>3147</v>
      </c>
    </row>
    <row r="42" spans="2:2">
      <c r="B42" s="110" t="s">
        <v>3148</v>
      </c>
    </row>
    <row r="43" spans="2:2">
      <c r="B43" s="110" t="s">
        <v>3149</v>
      </c>
    </row>
    <row r="44" spans="2:2">
      <c r="B44" s="110" t="s">
        <v>3150</v>
      </c>
    </row>
    <row r="45" spans="2:2">
      <c r="B45" s="110" t="s">
        <v>3151</v>
      </c>
    </row>
    <row r="46" spans="2:2">
      <c r="B46" s="110" t="s">
        <v>3152</v>
      </c>
    </row>
    <row r="47" spans="2:2">
      <c r="B47" s="111" t="s">
        <v>3153</v>
      </c>
    </row>
    <row r="49" spans="2:2">
      <c r="B49" s="273" t="s">
        <v>3639</v>
      </c>
    </row>
    <row r="50" spans="2:2">
      <c r="B50" s="271">
        <v>2005</v>
      </c>
    </row>
    <row r="51" spans="2:2">
      <c r="B51" s="271">
        <f>B50+1</f>
        <v>2006</v>
      </c>
    </row>
    <row r="52" spans="2:2">
      <c r="B52" s="271">
        <f t="shared" ref="B52:B62" si="0">B51+1</f>
        <v>2007</v>
      </c>
    </row>
    <row r="53" spans="2:2">
      <c r="B53" s="271">
        <f t="shared" si="0"/>
        <v>2008</v>
      </c>
    </row>
    <row r="54" spans="2:2">
      <c r="B54" s="271">
        <f t="shared" si="0"/>
        <v>2009</v>
      </c>
    </row>
    <row r="55" spans="2:2">
      <c r="B55" s="271">
        <f t="shared" si="0"/>
        <v>2010</v>
      </c>
    </row>
    <row r="56" spans="2:2">
      <c r="B56" s="271">
        <f t="shared" si="0"/>
        <v>2011</v>
      </c>
    </row>
    <row r="57" spans="2:2">
      <c r="B57" s="271">
        <f t="shared" si="0"/>
        <v>2012</v>
      </c>
    </row>
    <row r="58" spans="2:2">
      <c r="B58" s="271">
        <f t="shared" si="0"/>
        <v>2013</v>
      </c>
    </row>
    <row r="59" spans="2:2">
      <c r="B59" s="271">
        <f t="shared" si="0"/>
        <v>2014</v>
      </c>
    </row>
    <row r="60" spans="2:2">
      <c r="B60" s="271">
        <f t="shared" si="0"/>
        <v>2015</v>
      </c>
    </row>
    <row r="61" spans="2:2">
      <c r="B61" s="271">
        <f t="shared" si="0"/>
        <v>2016</v>
      </c>
    </row>
    <row r="62" spans="2:2">
      <c r="B62" s="271">
        <f t="shared" si="0"/>
        <v>2017</v>
      </c>
    </row>
    <row r="63" spans="2:2">
      <c r="B63" s="271">
        <f>B62+1</f>
        <v>2018</v>
      </c>
    </row>
    <row r="64" spans="2:2">
      <c r="B64" s="271">
        <f>B63+1</f>
        <v>2019</v>
      </c>
    </row>
    <row r="65" spans="2:2">
      <c r="B65" s="272">
        <f>B64+1</f>
        <v>2020</v>
      </c>
    </row>
    <row r="67" spans="2:2">
      <c r="B67" s="112" t="s">
        <v>3471</v>
      </c>
    </row>
    <row r="68" spans="2:2">
      <c r="B68" s="2238" t="s">
        <v>3137</v>
      </c>
    </row>
    <row r="69" spans="2:2">
      <c r="B69" s="110" t="s">
        <v>3138</v>
      </c>
    </row>
    <row r="70" spans="2:2">
      <c r="B70" s="110" t="s">
        <v>3139</v>
      </c>
    </row>
    <row r="71" spans="2:2">
      <c r="B71" s="110" t="s">
        <v>3143</v>
      </c>
    </row>
    <row r="72" spans="2:2">
      <c r="B72" s="110" t="s">
        <v>3144</v>
      </c>
    </row>
    <row r="73" spans="2:2">
      <c r="B73" s="110" t="s">
        <v>3145</v>
      </c>
    </row>
    <row r="74" spans="2:2">
      <c r="B74" s="110" t="s">
        <v>3146</v>
      </c>
    </row>
    <row r="75" spans="2:2">
      <c r="B75" s="110" t="s">
        <v>3147</v>
      </c>
    </row>
    <row r="76" spans="2:2">
      <c r="B76" s="110" t="s">
        <v>3148</v>
      </c>
    </row>
    <row r="77" spans="2:2">
      <c r="B77" s="110" t="s">
        <v>3149</v>
      </c>
    </row>
    <row r="78" spans="2:2">
      <c r="B78" s="110" t="s">
        <v>3150</v>
      </c>
    </row>
    <row r="79" spans="2:2">
      <c r="B79" s="110" t="s">
        <v>3151</v>
      </c>
    </row>
    <row r="80" spans="2:2">
      <c r="B80" s="110" t="s">
        <v>3152</v>
      </c>
    </row>
    <row r="81" spans="2:2">
      <c r="B81" s="110" t="s">
        <v>3153</v>
      </c>
    </row>
    <row r="82" spans="2:2">
      <c r="B82" s="111" t="s">
        <v>1630</v>
      </c>
    </row>
    <row r="84" spans="2:2">
      <c r="B84" s="112" t="s">
        <v>2046</v>
      </c>
    </row>
    <row r="85" spans="2:2">
      <c r="B85" s="110" t="s">
        <v>1803</v>
      </c>
    </row>
    <row r="86" spans="2:2">
      <c r="B86" s="111" t="s">
        <v>1802</v>
      </c>
    </row>
  </sheetData>
  <phoneticPr fontId="18" type="noConversion"/>
  <pageMargins left="0.75" right="0.75" top="1" bottom="1" header="0.5" footer="0.5"/>
  <pageSetup orientation="portrait" r:id="rId1"/>
  <headerFooter alignWithMargins="0"/>
</worksheet>
</file>

<file path=xl/worksheets/sheet46.xml><?xml version="1.0" encoding="utf-8"?>
<worksheet xmlns="http://schemas.openxmlformats.org/spreadsheetml/2006/main" xmlns:r="http://schemas.openxmlformats.org/officeDocument/2006/relationships">
  <sheetPr codeName="Sheet13"/>
  <dimension ref="A1:D3145"/>
  <sheetViews>
    <sheetView showGridLines="0" workbookViewId="0">
      <pane ySplit="4" topLeftCell="A5" activePane="bottomLeft" state="frozen"/>
      <selection pane="bottomLeft" activeCell="A5" sqref="A5"/>
    </sheetView>
  </sheetViews>
  <sheetFormatPr defaultRowHeight="11.25"/>
  <cols>
    <col min="1" max="1" width="7.7109375" style="184" customWidth="1"/>
    <col min="2" max="2" width="16.7109375" style="184" customWidth="1"/>
    <col min="3" max="3" width="22" style="184" bestFit="1" customWidth="1"/>
    <col min="4" max="4" width="11.5703125" style="187" bestFit="1" customWidth="1"/>
    <col min="5" max="16384" width="9.140625" style="184"/>
  </cols>
  <sheetData>
    <row r="1" spans="1:4">
      <c r="A1" s="184" t="s">
        <v>1240</v>
      </c>
    </row>
    <row r="2" spans="1:4">
      <c r="A2" s="184" t="s">
        <v>1238</v>
      </c>
    </row>
    <row r="3" spans="1:4" s="186" customFormat="1">
      <c r="D3" s="190"/>
    </row>
    <row r="4" spans="1:4" s="185" customFormat="1">
      <c r="A4" s="185" t="s">
        <v>1998</v>
      </c>
      <c r="B4" s="185" t="s">
        <v>1999</v>
      </c>
      <c r="C4" s="185" t="s">
        <v>1239</v>
      </c>
      <c r="D4" s="187" t="s">
        <v>2691</v>
      </c>
    </row>
    <row r="5" spans="1:4">
      <c r="A5" s="184" t="s">
        <v>1942</v>
      </c>
      <c r="B5" s="184" t="s">
        <v>66</v>
      </c>
      <c r="C5" s="184" t="str">
        <f>B5&amp;", "&amp;A5</f>
        <v>Abbeville, SC</v>
      </c>
      <c r="D5" s="187">
        <v>4.3999999999999997E-2</v>
      </c>
    </row>
    <row r="6" spans="1:4">
      <c r="A6" s="184" t="s">
        <v>535</v>
      </c>
      <c r="B6" s="184" t="s">
        <v>536</v>
      </c>
      <c r="C6" s="184" t="str">
        <f t="shared" ref="C6:C69" si="0">B6&amp;", "&amp;A6</f>
        <v>Acadia, LA</v>
      </c>
      <c r="D6" s="187">
        <v>0.09</v>
      </c>
    </row>
    <row r="7" spans="1:4">
      <c r="A7" s="184" t="s">
        <v>746</v>
      </c>
      <c r="B7" s="184" t="s">
        <v>391</v>
      </c>
      <c r="C7" s="184" t="str">
        <f t="shared" si="0"/>
        <v>Accomack, VA</v>
      </c>
      <c r="D7" s="187">
        <v>4.3999999999999997E-2</v>
      </c>
    </row>
    <row r="8" spans="1:4">
      <c r="A8" s="184" t="s">
        <v>3875</v>
      </c>
      <c r="B8" s="184" t="s">
        <v>3876</v>
      </c>
      <c r="C8" s="184" t="str">
        <f t="shared" si="0"/>
        <v>Ada, ID</v>
      </c>
      <c r="D8" s="187">
        <v>6.0999999999999999E-2</v>
      </c>
    </row>
    <row r="9" spans="1:4">
      <c r="A9" s="184" t="s">
        <v>2031</v>
      </c>
      <c r="B9" s="184" t="s">
        <v>2844</v>
      </c>
      <c r="C9" s="184" t="str">
        <f t="shared" si="0"/>
        <v>Adair, IA</v>
      </c>
      <c r="D9" s="187">
        <v>0.09</v>
      </c>
    </row>
    <row r="10" spans="1:4">
      <c r="A10" s="184" t="s">
        <v>529</v>
      </c>
      <c r="B10" s="184" t="s">
        <v>2844</v>
      </c>
      <c r="C10" s="184" t="str">
        <f t="shared" si="0"/>
        <v>Adair, KY</v>
      </c>
      <c r="D10" s="187">
        <v>0.09</v>
      </c>
    </row>
    <row r="11" spans="1:4">
      <c r="A11" s="184" t="s">
        <v>3434</v>
      </c>
      <c r="B11" s="184" t="s">
        <v>2844</v>
      </c>
      <c r="C11" s="184" t="str">
        <f t="shared" si="0"/>
        <v>Adair, MO</v>
      </c>
      <c r="D11" s="187">
        <v>0.09</v>
      </c>
    </row>
    <row r="12" spans="1:4">
      <c r="A12" s="184" t="s">
        <v>2573</v>
      </c>
      <c r="B12" s="184" t="s">
        <v>2844</v>
      </c>
      <c r="C12" s="184" t="str">
        <f t="shared" si="0"/>
        <v>Adair, OK</v>
      </c>
      <c r="D12" s="187">
        <v>0.09</v>
      </c>
    </row>
    <row r="13" spans="1:4">
      <c r="A13" s="184" t="s">
        <v>3108</v>
      </c>
      <c r="B13" s="184" t="s">
        <v>1627</v>
      </c>
      <c r="C13" s="184" t="str">
        <f t="shared" si="0"/>
        <v>Adams, CO</v>
      </c>
      <c r="D13" s="187">
        <v>5.7000000000000002E-2</v>
      </c>
    </row>
    <row r="14" spans="1:4">
      <c r="A14" s="184" t="s">
        <v>2031</v>
      </c>
      <c r="B14" s="184" t="s">
        <v>1627</v>
      </c>
      <c r="C14" s="184" t="str">
        <f t="shared" si="0"/>
        <v>Adams, IA</v>
      </c>
      <c r="D14" s="187">
        <v>0.09</v>
      </c>
    </row>
    <row r="15" spans="1:4">
      <c r="A15" s="184" t="s">
        <v>3875</v>
      </c>
      <c r="B15" s="184" t="s">
        <v>1627</v>
      </c>
      <c r="C15" s="184" t="str">
        <f t="shared" si="0"/>
        <v>Adams, ID</v>
      </c>
      <c r="D15" s="187">
        <v>4.3999999999999997E-2</v>
      </c>
    </row>
    <row r="16" spans="1:4">
      <c r="A16" s="184" t="s">
        <v>2019</v>
      </c>
      <c r="B16" s="184" t="s">
        <v>1627</v>
      </c>
      <c r="C16" s="184" t="str">
        <f t="shared" si="0"/>
        <v>Adams, IL</v>
      </c>
      <c r="D16" s="187">
        <v>0.09</v>
      </c>
    </row>
    <row r="17" spans="1:4">
      <c r="A17" s="184" t="s">
        <v>2021</v>
      </c>
      <c r="B17" s="184" t="s">
        <v>1627</v>
      </c>
      <c r="C17" s="184" t="str">
        <f t="shared" si="0"/>
        <v>Adams, IN</v>
      </c>
      <c r="D17" s="187">
        <v>6.0999999999999999E-2</v>
      </c>
    </row>
    <row r="18" spans="1:4">
      <c r="A18" s="184" t="s">
        <v>3035</v>
      </c>
      <c r="B18" s="184" t="s">
        <v>1627</v>
      </c>
      <c r="C18" s="184" t="str">
        <f t="shared" si="0"/>
        <v>Adams, MS</v>
      </c>
      <c r="D18" s="187">
        <v>5.7000000000000002E-2</v>
      </c>
    </row>
    <row r="19" spans="1:4">
      <c r="A19" s="184" t="s">
        <v>2558</v>
      </c>
      <c r="B19" s="184" t="s">
        <v>1627</v>
      </c>
      <c r="C19" s="184" t="str">
        <f t="shared" si="0"/>
        <v>Adams, ND</v>
      </c>
      <c r="D19" s="187">
        <v>0.09</v>
      </c>
    </row>
    <row r="20" spans="1:4">
      <c r="A20" s="184" t="s">
        <v>3442</v>
      </c>
      <c r="B20" s="184" t="s">
        <v>1627</v>
      </c>
      <c r="C20" s="184" t="str">
        <f t="shared" si="0"/>
        <v>Adams, NE</v>
      </c>
      <c r="D20" s="187">
        <v>0.09</v>
      </c>
    </row>
    <row r="21" spans="1:4">
      <c r="A21" s="184" t="s">
        <v>2562</v>
      </c>
      <c r="B21" s="184" t="s">
        <v>1627</v>
      </c>
      <c r="C21" s="184" t="str">
        <f t="shared" si="0"/>
        <v>Adams, OH</v>
      </c>
      <c r="D21" s="187">
        <v>0.09</v>
      </c>
    </row>
    <row r="22" spans="1:4">
      <c r="A22" s="184" t="s">
        <v>3356</v>
      </c>
      <c r="B22" s="184" t="s">
        <v>1627</v>
      </c>
      <c r="C22" s="184" t="str">
        <f t="shared" si="0"/>
        <v>Adams, PA</v>
      </c>
      <c r="D22" s="187">
        <v>0.09</v>
      </c>
    </row>
    <row r="23" spans="1:4">
      <c r="A23" s="184" t="s">
        <v>1278</v>
      </c>
      <c r="B23" s="184" t="s">
        <v>1627</v>
      </c>
      <c r="C23" s="184" t="str">
        <f t="shared" si="0"/>
        <v>Adams, WA</v>
      </c>
      <c r="D23" s="187">
        <v>0.09</v>
      </c>
    </row>
    <row r="24" spans="1:4">
      <c r="A24" s="184" t="s">
        <v>550</v>
      </c>
      <c r="B24" s="184" t="s">
        <v>1627</v>
      </c>
      <c r="C24" s="184" t="str">
        <f t="shared" si="0"/>
        <v>Adams, WI</v>
      </c>
      <c r="D24" s="187">
        <v>0.09</v>
      </c>
    </row>
    <row r="25" spans="1:4">
      <c r="A25" s="184" t="s">
        <v>2509</v>
      </c>
      <c r="B25" s="184" t="s">
        <v>2510</v>
      </c>
      <c r="C25" s="184" t="str">
        <f t="shared" si="0"/>
        <v>Addison, VT</v>
      </c>
      <c r="D25" s="187">
        <v>0.09</v>
      </c>
    </row>
    <row r="26" spans="1:4">
      <c r="A26" s="184" t="s">
        <v>1942</v>
      </c>
      <c r="B26" s="184" t="s">
        <v>3652</v>
      </c>
      <c r="C26" s="184" t="str">
        <f t="shared" si="0"/>
        <v>Aiken, SC</v>
      </c>
      <c r="D26" s="187">
        <v>4.3999999999999997E-2</v>
      </c>
    </row>
    <row r="27" spans="1:4">
      <c r="A27" s="184" t="s">
        <v>3429</v>
      </c>
      <c r="B27" s="184" t="s">
        <v>1474</v>
      </c>
      <c r="C27" s="184" t="str">
        <f t="shared" si="0"/>
        <v>Aitkin, MN</v>
      </c>
      <c r="D27" s="187">
        <v>0.09</v>
      </c>
    </row>
    <row r="28" spans="1:4">
      <c r="A28" s="184" t="s">
        <v>3594</v>
      </c>
      <c r="B28" s="184" t="s">
        <v>472</v>
      </c>
      <c r="C28" s="184" t="str">
        <f t="shared" si="0"/>
        <v>Alachua, FL</v>
      </c>
      <c r="D28" s="187">
        <v>4.3999999999999997E-2</v>
      </c>
    </row>
    <row r="29" spans="1:4">
      <c r="A29" s="184" t="s">
        <v>2542</v>
      </c>
      <c r="B29" s="184" t="s">
        <v>2543</v>
      </c>
      <c r="C29" s="184" t="str">
        <f t="shared" si="0"/>
        <v>Alamance, NC</v>
      </c>
      <c r="D29" s="187">
        <v>6.0999999999999999E-2</v>
      </c>
    </row>
    <row r="30" spans="1:4">
      <c r="A30" s="184" t="s">
        <v>3106</v>
      </c>
      <c r="B30" s="184" t="s">
        <v>3548</v>
      </c>
      <c r="C30" s="184" t="str">
        <f t="shared" si="0"/>
        <v>Alameda, CA</v>
      </c>
      <c r="D30" s="187">
        <v>2.4E-2</v>
      </c>
    </row>
    <row r="31" spans="1:4">
      <c r="A31" s="184" t="s">
        <v>3108</v>
      </c>
      <c r="B31" s="184" t="s">
        <v>3413</v>
      </c>
      <c r="C31" s="184" t="str">
        <f t="shared" si="0"/>
        <v>Alamosa, CO</v>
      </c>
      <c r="D31" s="187">
        <v>5.7000000000000002E-2</v>
      </c>
    </row>
    <row r="32" spans="1:4">
      <c r="A32" s="184" t="s">
        <v>3446</v>
      </c>
      <c r="B32" s="184" t="s">
        <v>866</v>
      </c>
      <c r="C32" s="184" t="str">
        <f t="shared" si="0"/>
        <v>Albany, NY</v>
      </c>
      <c r="D32" s="187">
        <v>3.5000000000000003E-2</v>
      </c>
    </row>
    <row r="33" spans="1:4">
      <c r="A33" s="184" t="s">
        <v>1033</v>
      </c>
      <c r="B33" s="184" t="s">
        <v>866</v>
      </c>
      <c r="C33" s="184" t="str">
        <f t="shared" si="0"/>
        <v>Albany, WY</v>
      </c>
      <c r="D33" s="187">
        <v>0.09</v>
      </c>
    </row>
    <row r="34" spans="1:4">
      <c r="A34" s="184" t="s">
        <v>746</v>
      </c>
      <c r="B34" s="184" t="s">
        <v>747</v>
      </c>
      <c r="C34" s="184" t="str">
        <f t="shared" si="0"/>
        <v>Albemarle, VA</v>
      </c>
      <c r="D34" s="187">
        <v>6.0999999999999999E-2</v>
      </c>
    </row>
    <row r="35" spans="1:4">
      <c r="A35" s="184" t="s">
        <v>2090</v>
      </c>
      <c r="B35" s="184" t="s">
        <v>1232</v>
      </c>
      <c r="C35" s="184" t="str">
        <f t="shared" si="0"/>
        <v>Alcona, MI</v>
      </c>
      <c r="D35" s="187">
        <v>0.09</v>
      </c>
    </row>
    <row r="36" spans="1:4">
      <c r="A36" s="184" t="s">
        <v>3035</v>
      </c>
      <c r="B36" s="184" t="s">
        <v>1925</v>
      </c>
      <c r="C36" s="184" t="str">
        <f t="shared" si="0"/>
        <v>Alcorn, MS</v>
      </c>
      <c r="D36" s="187">
        <v>4.3999999999999997E-2</v>
      </c>
    </row>
    <row r="37" spans="1:4">
      <c r="A37" s="184" t="s">
        <v>988</v>
      </c>
      <c r="B37" s="184" t="s">
        <v>3898</v>
      </c>
      <c r="C37" s="184" t="str">
        <f t="shared" si="0"/>
        <v>Aleutians East, AK</v>
      </c>
      <c r="D37" s="187">
        <v>6.0999999999999999E-2</v>
      </c>
    </row>
    <row r="38" spans="1:4">
      <c r="A38" s="184" t="s">
        <v>988</v>
      </c>
      <c r="B38" s="184" t="s">
        <v>2967</v>
      </c>
      <c r="C38" s="184" t="str">
        <f t="shared" si="0"/>
        <v>Aleutians West, AK</v>
      </c>
      <c r="D38" s="187">
        <v>6.0999999999999999E-2</v>
      </c>
    </row>
    <row r="39" spans="1:4">
      <c r="A39" s="184" t="s">
        <v>2019</v>
      </c>
      <c r="B39" s="184" t="s">
        <v>3315</v>
      </c>
      <c r="C39" s="184" t="str">
        <f t="shared" si="0"/>
        <v>Alexander, IL</v>
      </c>
      <c r="D39" s="187">
        <v>5.7000000000000002E-2</v>
      </c>
    </row>
    <row r="40" spans="1:4">
      <c r="A40" s="184" t="s">
        <v>2542</v>
      </c>
      <c r="B40" s="184" t="s">
        <v>3315</v>
      </c>
      <c r="C40" s="184" t="str">
        <f t="shared" si="0"/>
        <v>Alexander, NC</v>
      </c>
      <c r="D40" s="187">
        <v>4.3999999999999997E-2</v>
      </c>
    </row>
    <row r="41" spans="1:4">
      <c r="A41" s="184" t="s">
        <v>746</v>
      </c>
      <c r="B41" s="184" t="s">
        <v>3169</v>
      </c>
      <c r="C41" s="184" t="str">
        <f t="shared" si="0"/>
        <v>Alexandria City, VA</v>
      </c>
      <c r="D41" s="187">
        <v>6.0999999999999999E-2</v>
      </c>
    </row>
    <row r="42" spans="1:4">
      <c r="A42" s="184" t="s">
        <v>2573</v>
      </c>
      <c r="B42" s="184" t="s">
        <v>880</v>
      </c>
      <c r="C42" s="184" t="str">
        <f t="shared" si="0"/>
        <v>Alfalfa, OK</v>
      </c>
      <c r="D42" s="187">
        <v>0.09</v>
      </c>
    </row>
    <row r="43" spans="1:4">
      <c r="A43" s="184" t="s">
        <v>2090</v>
      </c>
      <c r="B43" s="184" t="s">
        <v>3974</v>
      </c>
      <c r="C43" s="184" t="str">
        <f t="shared" si="0"/>
        <v>Alger, MI</v>
      </c>
      <c r="D43" s="187">
        <v>0.09</v>
      </c>
    </row>
    <row r="44" spans="1:4">
      <c r="A44" s="184" t="s">
        <v>2031</v>
      </c>
      <c r="B44" s="184" t="s">
        <v>2845</v>
      </c>
      <c r="C44" s="184" t="str">
        <f t="shared" si="0"/>
        <v>Allamakee, IA</v>
      </c>
      <c r="D44" s="187">
        <v>0.09</v>
      </c>
    </row>
    <row r="45" spans="1:4">
      <c r="A45" s="184" t="s">
        <v>2090</v>
      </c>
      <c r="B45" s="184" t="s">
        <v>2753</v>
      </c>
      <c r="C45" s="184" t="str">
        <f t="shared" si="0"/>
        <v>Allegan, MI</v>
      </c>
      <c r="D45" s="187">
        <v>6.0999999999999999E-2</v>
      </c>
    </row>
    <row r="46" spans="1:4">
      <c r="A46" s="184" t="s">
        <v>2087</v>
      </c>
      <c r="B46" s="184" t="s">
        <v>2088</v>
      </c>
      <c r="C46" s="184" t="str">
        <f t="shared" si="0"/>
        <v>Allegany, MD</v>
      </c>
      <c r="D46" s="187">
        <v>0.09</v>
      </c>
    </row>
    <row r="47" spans="1:4">
      <c r="A47" s="184" t="s">
        <v>3446</v>
      </c>
      <c r="B47" s="184" t="s">
        <v>2088</v>
      </c>
      <c r="C47" s="184" t="str">
        <f t="shared" si="0"/>
        <v>Allegany, NY</v>
      </c>
      <c r="D47" s="187">
        <v>0.09</v>
      </c>
    </row>
    <row r="48" spans="1:4">
      <c r="A48" s="184" t="s">
        <v>2542</v>
      </c>
      <c r="B48" s="184" t="s">
        <v>779</v>
      </c>
      <c r="C48" s="184" t="str">
        <f t="shared" si="0"/>
        <v>Alleghany, NC</v>
      </c>
      <c r="D48" s="187">
        <v>4.3999999999999997E-2</v>
      </c>
    </row>
    <row r="49" spans="1:4">
      <c r="A49" s="184" t="s">
        <v>746</v>
      </c>
      <c r="B49" s="184" t="s">
        <v>779</v>
      </c>
      <c r="C49" s="184" t="str">
        <f t="shared" si="0"/>
        <v>Alleghany, VA</v>
      </c>
      <c r="D49" s="187">
        <v>4.3999999999999997E-2</v>
      </c>
    </row>
    <row r="50" spans="1:4">
      <c r="A50" s="184" t="s">
        <v>3356</v>
      </c>
      <c r="B50" s="184" t="s">
        <v>3076</v>
      </c>
      <c r="C50" s="184" t="str">
        <f t="shared" si="0"/>
        <v>Allegheny, PA</v>
      </c>
      <c r="D50" s="187">
        <v>6.0999999999999999E-2</v>
      </c>
    </row>
    <row r="51" spans="1:4">
      <c r="A51" s="184" t="s">
        <v>2021</v>
      </c>
      <c r="B51" s="184" t="s">
        <v>2563</v>
      </c>
      <c r="C51" s="184" t="str">
        <f t="shared" si="0"/>
        <v>Allen, IN</v>
      </c>
      <c r="D51" s="187">
        <v>6.0999999999999999E-2</v>
      </c>
    </row>
    <row r="52" spans="1:4">
      <c r="A52" s="184" t="s">
        <v>663</v>
      </c>
      <c r="B52" s="184" t="s">
        <v>2563</v>
      </c>
      <c r="C52" s="184" t="str">
        <f t="shared" si="0"/>
        <v>Allen, KS</v>
      </c>
      <c r="D52" s="187">
        <v>0.09</v>
      </c>
    </row>
    <row r="53" spans="1:4">
      <c r="A53" s="184" t="s">
        <v>529</v>
      </c>
      <c r="B53" s="184" t="s">
        <v>2563</v>
      </c>
      <c r="C53" s="184" t="str">
        <f t="shared" si="0"/>
        <v>Allen, KY</v>
      </c>
      <c r="D53" s="187">
        <v>0.09</v>
      </c>
    </row>
    <row r="54" spans="1:4">
      <c r="A54" s="184" t="s">
        <v>535</v>
      </c>
      <c r="B54" s="184" t="s">
        <v>2563</v>
      </c>
      <c r="C54" s="184" t="str">
        <f t="shared" si="0"/>
        <v>Allen, LA</v>
      </c>
      <c r="D54" s="187">
        <v>0.09</v>
      </c>
    </row>
    <row r="55" spans="1:4">
      <c r="A55" s="184" t="s">
        <v>2562</v>
      </c>
      <c r="B55" s="184" t="s">
        <v>2563</v>
      </c>
      <c r="C55" s="184" t="str">
        <f t="shared" si="0"/>
        <v>Allen, OH</v>
      </c>
      <c r="D55" s="187">
        <v>0.09</v>
      </c>
    </row>
    <row r="56" spans="1:4">
      <c r="A56" s="184" t="s">
        <v>1942</v>
      </c>
      <c r="B56" s="184" t="s">
        <v>67</v>
      </c>
      <c r="C56" s="184" t="str">
        <f t="shared" si="0"/>
        <v>Allendale, SC</v>
      </c>
      <c r="D56" s="187">
        <v>4.3999999999999997E-2</v>
      </c>
    </row>
    <row r="57" spans="1:4">
      <c r="A57" s="184" t="s">
        <v>2090</v>
      </c>
      <c r="B57" s="184" t="s">
        <v>3975</v>
      </c>
      <c r="C57" s="184" t="str">
        <f t="shared" si="0"/>
        <v>Alpena, MI</v>
      </c>
      <c r="D57" s="187">
        <v>0.09</v>
      </c>
    </row>
    <row r="58" spans="1:4">
      <c r="A58" s="184" t="s">
        <v>3106</v>
      </c>
      <c r="B58" s="184" t="s">
        <v>3014</v>
      </c>
      <c r="C58" s="184" t="str">
        <f t="shared" si="0"/>
        <v>Alpine, CA</v>
      </c>
      <c r="D58" s="187">
        <v>0.09</v>
      </c>
    </row>
    <row r="59" spans="1:4">
      <c r="A59" s="184" t="s">
        <v>3106</v>
      </c>
      <c r="B59" s="184" t="s">
        <v>3015</v>
      </c>
      <c r="C59" s="184" t="str">
        <f t="shared" si="0"/>
        <v>Amador, CA</v>
      </c>
      <c r="D59" s="187">
        <v>0.09</v>
      </c>
    </row>
    <row r="60" spans="1:4">
      <c r="A60" s="184" t="s">
        <v>746</v>
      </c>
      <c r="B60" s="184" t="s">
        <v>392</v>
      </c>
      <c r="C60" s="184" t="str">
        <f t="shared" si="0"/>
        <v>Amelia, VA</v>
      </c>
      <c r="D60" s="187">
        <v>4.3999999999999997E-2</v>
      </c>
    </row>
    <row r="61" spans="1:4">
      <c r="A61" s="184" t="s">
        <v>746</v>
      </c>
      <c r="B61" s="184" t="s">
        <v>2599</v>
      </c>
      <c r="C61" s="184" t="str">
        <f t="shared" si="0"/>
        <v>Amherst, VA</v>
      </c>
      <c r="D61" s="187">
        <v>4.3999999999999997E-2</v>
      </c>
    </row>
    <row r="62" spans="1:4">
      <c r="A62" s="184" t="s">
        <v>3035</v>
      </c>
      <c r="B62" s="184" t="s">
        <v>1926</v>
      </c>
      <c r="C62" s="184" t="str">
        <f t="shared" si="0"/>
        <v>Amite, MS</v>
      </c>
      <c r="D62" s="187">
        <v>4.3999999999999997E-2</v>
      </c>
    </row>
    <row r="63" spans="1:4">
      <c r="A63" s="184" t="s">
        <v>988</v>
      </c>
      <c r="B63" s="184" t="s">
        <v>561</v>
      </c>
      <c r="C63" s="184" t="str">
        <f t="shared" si="0"/>
        <v>Anchorage, AK</v>
      </c>
      <c r="D63" s="187">
        <v>6.0999999999999999E-2</v>
      </c>
    </row>
    <row r="64" spans="1:4">
      <c r="A64" s="184" t="s">
        <v>663</v>
      </c>
      <c r="B64" s="184" t="s">
        <v>700</v>
      </c>
      <c r="C64" s="184" t="str">
        <f t="shared" si="0"/>
        <v>Anderson, KS</v>
      </c>
      <c r="D64" s="187">
        <v>0.09</v>
      </c>
    </row>
    <row r="65" spans="1:4">
      <c r="A65" s="184" t="s">
        <v>529</v>
      </c>
      <c r="B65" s="184" t="s">
        <v>700</v>
      </c>
      <c r="C65" s="184" t="str">
        <f t="shared" si="0"/>
        <v>Anderson, KY</v>
      </c>
      <c r="D65" s="187">
        <v>0.09</v>
      </c>
    </row>
    <row r="66" spans="1:4">
      <c r="A66" s="184" t="s">
        <v>1942</v>
      </c>
      <c r="B66" s="184" t="s">
        <v>700</v>
      </c>
      <c r="C66" s="184" t="str">
        <f t="shared" si="0"/>
        <v>Anderson, SC</v>
      </c>
      <c r="D66" s="187">
        <v>4.3999999999999997E-2</v>
      </c>
    </row>
    <row r="67" spans="1:4">
      <c r="A67" s="184" t="s">
        <v>699</v>
      </c>
      <c r="B67" s="184" t="s">
        <v>700</v>
      </c>
      <c r="C67" s="184" t="str">
        <f t="shared" si="0"/>
        <v>Anderson, TN</v>
      </c>
      <c r="D67" s="187">
        <v>0.09</v>
      </c>
    </row>
    <row r="68" spans="1:4">
      <c r="A68" s="184" t="s">
        <v>3906</v>
      </c>
      <c r="B68" s="184" t="s">
        <v>700</v>
      </c>
      <c r="C68" s="184" t="str">
        <f t="shared" si="0"/>
        <v>Anderson, TX</v>
      </c>
      <c r="D68" s="187">
        <v>4.3999999999999997E-2</v>
      </c>
    </row>
    <row r="69" spans="1:4">
      <c r="A69" s="184" t="s">
        <v>3434</v>
      </c>
      <c r="B69" s="184" t="s">
        <v>3435</v>
      </c>
      <c r="C69" s="184" t="str">
        <f t="shared" si="0"/>
        <v>Andrew, MO</v>
      </c>
      <c r="D69" s="187">
        <v>0.09</v>
      </c>
    </row>
    <row r="70" spans="1:4">
      <c r="A70" s="184" t="s">
        <v>3906</v>
      </c>
      <c r="B70" s="184" t="s">
        <v>971</v>
      </c>
      <c r="C70" s="184" t="str">
        <f t="shared" ref="C70:C133" si="1">B70&amp;", "&amp;A70</f>
        <v>Andrews, TX</v>
      </c>
      <c r="D70" s="187">
        <v>4.3999999999999997E-2</v>
      </c>
    </row>
    <row r="71" spans="1:4">
      <c r="A71" s="184" t="s">
        <v>1922</v>
      </c>
      <c r="B71" s="184" t="s">
        <v>1923</v>
      </c>
      <c r="C71" s="184" t="str">
        <f t="shared" si="1"/>
        <v>Androscoggin, ME</v>
      </c>
      <c r="D71" s="187">
        <v>0.09</v>
      </c>
    </row>
    <row r="72" spans="1:4">
      <c r="A72" s="184" t="s">
        <v>3906</v>
      </c>
      <c r="B72" s="184" t="s">
        <v>972</v>
      </c>
      <c r="C72" s="184" t="str">
        <f t="shared" si="1"/>
        <v>Angelina, TX</v>
      </c>
      <c r="D72" s="187">
        <v>4.3999999999999997E-2</v>
      </c>
    </row>
    <row r="73" spans="1:4">
      <c r="A73" s="184" t="s">
        <v>2087</v>
      </c>
      <c r="B73" s="184" t="s">
        <v>2907</v>
      </c>
      <c r="C73" s="184" t="str">
        <f t="shared" si="1"/>
        <v>Anne Arundel, MD</v>
      </c>
      <c r="D73" s="187">
        <v>6.0999999999999999E-2</v>
      </c>
    </row>
    <row r="74" spans="1:4">
      <c r="A74" s="184" t="s">
        <v>3429</v>
      </c>
      <c r="B74" s="184" t="s">
        <v>2761</v>
      </c>
      <c r="C74" s="184" t="str">
        <f t="shared" si="1"/>
        <v>Anoka, MN</v>
      </c>
      <c r="D74" s="187">
        <v>6.0999999999999999E-2</v>
      </c>
    </row>
    <row r="75" spans="1:4">
      <c r="A75" s="184" t="s">
        <v>2542</v>
      </c>
      <c r="B75" s="184" t="s">
        <v>780</v>
      </c>
      <c r="C75" s="184" t="str">
        <f t="shared" si="1"/>
        <v>Anson, NC</v>
      </c>
      <c r="D75" s="187">
        <v>4.3999999999999997E-2</v>
      </c>
    </row>
    <row r="76" spans="1:4">
      <c r="A76" s="184" t="s">
        <v>3442</v>
      </c>
      <c r="B76" s="184" t="s">
        <v>3090</v>
      </c>
      <c r="C76" s="184" t="str">
        <f t="shared" si="1"/>
        <v>Antelope, NE</v>
      </c>
      <c r="D76" s="187">
        <v>0.09</v>
      </c>
    </row>
    <row r="77" spans="1:4">
      <c r="A77" s="184" t="s">
        <v>2090</v>
      </c>
      <c r="B77" s="184" t="s">
        <v>3976</v>
      </c>
      <c r="C77" s="184" t="str">
        <f t="shared" si="1"/>
        <v>Antrim, MI</v>
      </c>
      <c r="D77" s="187">
        <v>0.09</v>
      </c>
    </row>
    <row r="78" spans="1:4">
      <c r="A78" s="184" t="s">
        <v>562</v>
      </c>
      <c r="B78" s="184" t="s">
        <v>2989</v>
      </c>
      <c r="C78" s="184" t="str">
        <f t="shared" si="1"/>
        <v>Apache, AZ</v>
      </c>
      <c r="D78" s="187">
        <v>4.3999999999999997E-2</v>
      </c>
    </row>
    <row r="79" spans="1:4">
      <c r="A79" s="184" t="s">
        <v>2031</v>
      </c>
      <c r="B79" s="184" t="s">
        <v>2846</v>
      </c>
      <c r="C79" s="184" t="str">
        <f t="shared" si="1"/>
        <v>Appanoose, IA</v>
      </c>
      <c r="D79" s="187">
        <v>0.09</v>
      </c>
    </row>
    <row r="80" spans="1:4">
      <c r="A80" s="184" t="s">
        <v>3602</v>
      </c>
      <c r="B80" s="184" t="s">
        <v>204</v>
      </c>
      <c r="C80" s="184" t="str">
        <f t="shared" si="1"/>
        <v>Appling, GA</v>
      </c>
      <c r="D80" s="187">
        <v>4.3999999999999997E-2</v>
      </c>
    </row>
    <row r="81" spans="1:4">
      <c r="A81" s="184" t="s">
        <v>746</v>
      </c>
      <c r="B81" s="184" t="s">
        <v>393</v>
      </c>
      <c r="C81" s="184" t="str">
        <f t="shared" si="1"/>
        <v>Appomattox, VA</v>
      </c>
      <c r="D81" s="187">
        <v>4.3999999999999997E-2</v>
      </c>
    </row>
    <row r="82" spans="1:4">
      <c r="A82" s="184" t="s">
        <v>3906</v>
      </c>
      <c r="B82" s="184" t="s">
        <v>973</v>
      </c>
      <c r="C82" s="184" t="str">
        <f t="shared" si="1"/>
        <v>Aransas, TX</v>
      </c>
      <c r="D82" s="187">
        <v>4.3999999999999997E-2</v>
      </c>
    </row>
    <row r="83" spans="1:4">
      <c r="A83" s="184" t="s">
        <v>3108</v>
      </c>
      <c r="B83" s="184" t="s">
        <v>3414</v>
      </c>
      <c r="C83" s="184" t="str">
        <f t="shared" si="1"/>
        <v>Arapahoe, CO</v>
      </c>
      <c r="D83" s="187">
        <v>5.7000000000000002E-2</v>
      </c>
    </row>
    <row r="84" spans="1:4">
      <c r="A84" s="184" t="s">
        <v>3906</v>
      </c>
      <c r="B84" s="184" t="s">
        <v>101</v>
      </c>
      <c r="C84" s="184" t="str">
        <f t="shared" si="1"/>
        <v>Archer, TX</v>
      </c>
      <c r="D84" s="187">
        <v>4.3999999999999997E-2</v>
      </c>
    </row>
    <row r="85" spans="1:4">
      <c r="A85" s="184" t="s">
        <v>3108</v>
      </c>
      <c r="B85" s="184" t="s">
        <v>2962</v>
      </c>
      <c r="C85" s="184" t="str">
        <f t="shared" si="1"/>
        <v>Archuleta, CO</v>
      </c>
      <c r="D85" s="187">
        <v>4.3999999999999997E-2</v>
      </c>
    </row>
    <row r="86" spans="1:4">
      <c r="A86" s="184" t="s">
        <v>2090</v>
      </c>
      <c r="B86" s="184" t="s">
        <v>3977</v>
      </c>
      <c r="C86" s="184" t="str">
        <f t="shared" si="1"/>
        <v>Arenac, MI</v>
      </c>
      <c r="D86" s="187">
        <v>0.09</v>
      </c>
    </row>
    <row r="87" spans="1:4">
      <c r="A87" s="184" t="s">
        <v>566</v>
      </c>
      <c r="B87" s="184" t="s">
        <v>2996</v>
      </c>
      <c r="C87" s="184" t="str">
        <f t="shared" si="1"/>
        <v>Arkansas, AR</v>
      </c>
      <c r="D87" s="187">
        <v>4.3999999999999997E-2</v>
      </c>
    </row>
    <row r="88" spans="1:4">
      <c r="A88" s="184" t="s">
        <v>746</v>
      </c>
      <c r="B88" s="184" t="s">
        <v>748</v>
      </c>
      <c r="C88" s="184" t="str">
        <f t="shared" si="1"/>
        <v>Arlington, VA</v>
      </c>
      <c r="D88" s="187">
        <v>6.0999999999999999E-2</v>
      </c>
    </row>
    <row r="89" spans="1:4">
      <c r="A89" s="184" t="s">
        <v>3356</v>
      </c>
      <c r="B89" s="184" t="s">
        <v>2271</v>
      </c>
      <c r="C89" s="184" t="str">
        <f t="shared" si="1"/>
        <v>Armstrong, PA</v>
      </c>
      <c r="D89" s="187">
        <v>0.09</v>
      </c>
    </row>
    <row r="90" spans="1:4">
      <c r="A90" s="184" t="s">
        <v>3906</v>
      </c>
      <c r="B90" s="184" t="s">
        <v>2271</v>
      </c>
      <c r="C90" s="184" t="str">
        <f t="shared" si="1"/>
        <v>Armstrong, TX</v>
      </c>
      <c r="D90" s="187">
        <v>4.3999999999999997E-2</v>
      </c>
    </row>
    <row r="91" spans="1:4">
      <c r="A91" s="184" t="s">
        <v>1922</v>
      </c>
      <c r="B91" s="184" t="s">
        <v>3116</v>
      </c>
      <c r="C91" s="184" t="str">
        <f t="shared" si="1"/>
        <v>Aroostook, ME</v>
      </c>
      <c r="D91" s="187">
        <v>5.7000000000000002E-2</v>
      </c>
    </row>
    <row r="92" spans="1:4">
      <c r="A92" s="184" t="s">
        <v>3442</v>
      </c>
      <c r="B92" s="184" t="s">
        <v>3091</v>
      </c>
      <c r="C92" s="184" t="str">
        <f t="shared" si="1"/>
        <v>Arthur, NE</v>
      </c>
      <c r="D92" s="187">
        <v>0.09</v>
      </c>
    </row>
    <row r="93" spans="1:4">
      <c r="A93" s="184" t="s">
        <v>535</v>
      </c>
      <c r="B93" s="184" t="s">
        <v>537</v>
      </c>
      <c r="C93" s="184" t="str">
        <f t="shared" si="1"/>
        <v>Ascension, LA</v>
      </c>
      <c r="D93" s="187">
        <v>0.09</v>
      </c>
    </row>
    <row r="94" spans="1:4">
      <c r="A94" s="184" t="s">
        <v>2542</v>
      </c>
      <c r="B94" s="184" t="s">
        <v>781</v>
      </c>
      <c r="C94" s="184" t="str">
        <f t="shared" si="1"/>
        <v>Ashe, NC</v>
      </c>
      <c r="D94" s="187">
        <v>4.3999999999999997E-2</v>
      </c>
    </row>
    <row r="95" spans="1:4">
      <c r="A95" s="184" t="s">
        <v>2562</v>
      </c>
      <c r="B95" s="184" t="s">
        <v>3965</v>
      </c>
      <c r="C95" s="184" t="str">
        <f t="shared" si="1"/>
        <v>Ashland, OH</v>
      </c>
      <c r="D95" s="187">
        <v>0.09</v>
      </c>
    </row>
    <row r="96" spans="1:4">
      <c r="A96" s="184" t="s">
        <v>550</v>
      </c>
      <c r="B96" s="184" t="s">
        <v>3965</v>
      </c>
      <c r="C96" s="184" t="str">
        <f t="shared" si="1"/>
        <v>Ashland, WI</v>
      </c>
      <c r="D96" s="187">
        <v>5.7000000000000002E-2</v>
      </c>
    </row>
    <row r="97" spans="1:4">
      <c r="A97" s="184" t="s">
        <v>566</v>
      </c>
      <c r="B97" s="184" t="s">
        <v>2997</v>
      </c>
      <c r="C97" s="184" t="str">
        <f t="shared" si="1"/>
        <v>Ashley, AR</v>
      </c>
      <c r="D97" s="187">
        <v>4.3999999999999997E-2</v>
      </c>
    </row>
    <row r="98" spans="1:4">
      <c r="A98" s="184" t="s">
        <v>2562</v>
      </c>
      <c r="B98" s="184" t="s">
        <v>2671</v>
      </c>
      <c r="C98" s="184" t="str">
        <f t="shared" si="1"/>
        <v>Ashtabula, OH</v>
      </c>
      <c r="D98" s="187">
        <v>6.0999999999999999E-2</v>
      </c>
    </row>
    <row r="99" spans="1:4">
      <c r="A99" s="184" t="s">
        <v>1278</v>
      </c>
      <c r="B99" s="184" t="s">
        <v>3207</v>
      </c>
      <c r="C99" s="184" t="str">
        <f t="shared" si="1"/>
        <v>Asotin, WA</v>
      </c>
      <c r="D99" s="187">
        <v>0.09</v>
      </c>
    </row>
    <row r="100" spans="1:4">
      <c r="A100" s="184" t="s">
        <v>535</v>
      </c>
      <c r="B100" s="184" t="s">
        <v>756</v>
      </c>
      <c r="C100" s="184" t="str">
        <f t="shared" si="1"/>
        <v>Assumption, LA</v>
      </c>
      <c r="D100" s="187">
        <v>0.09</v>
      </c>
    </row>
    <row r="101" spans="1:4">
      <c r="A101" s="184" t="s">
        <v>3906</v>
      </c>
      <c r="B101" s="184" t="s">
        <v>974</v>
      </c>
      <c r="C101" s="184" t="str">
        <f t="shared" si="1"/>
        <v>Atascosa, TX</v>
      </c>
      <c r="D101" s="187">
        <v>4.3999999999999997E-2</v>
      </c>
    </row>
    <row r="102" spans="1:4">
      <c r="A102" s="184" t="s">
        <v>663</v>
      </c>
      <c r="B102" s="184" t="s">
        <v>1390</v>
      </c>
      <c r="C102" s="184" t="str">
        <f t="shared" si="1"/>
        <v>Atchison, KS</v>
      </c>
      <c r="D102" s="187">
        <v>0.09</v>
      </c>
    </row>
    <row r="103" spans="1:4">
      <c r="A103" s="184" t="s">
        <v>3434</v>
      </c>
      <c r="B103" s="184" t="s">
        <v>1390</v>
      </c>
      <c r="C103" s="184" t="str">
        <f t="shared" si="1"/>
        <v>Atchison, MO</v>
      </c>
      <c r="D103" s="187">
        <v>0.09</v>
      </c>
    </row>
    <row r="104" spans="1:4">
      <c r="A104" s="184" t="s">
        <v>2562</v>
      </c>
      <c r="B104" s="184" t="s">
        <v>3966</v>
      </c>
      <c r="C104" s="184" t="str">
        <f t="shared" si="1"/>
        <v>Athens, OH</v>
      </c>
      <c r="D104" s="187">
        <v>0.09</v>
      </c>
    </row>
    <row r="105" spans="1:4">
      <c r="A105" s="184" t="s">
        <v>3602</v>
      </c>
      <c r="B105" s="184" t="s">
        <v>205</v>
      </c>
      <c r="C105" s="184" t="str">
        <f t="shared" si="1"/>
        <v>Atkinson, GA</v>
      </c>
      <c r="D105" s="187">
        <v>4.3999999999999997E-2</v>
      </c>
    </row>
    <row r="106" spans="1:4">
      <c r="A106" s="184" t="s">
        <v>3444</v>
      </c>
      <c r="B106" s="184" t="s">
        <v>3607</v>
      </c>
      <c r="C106" s="184" t="str">
        <f t="shared" si="1"/>
        <v>Atlantic, NJ</v>
      </c>
      <c r="D106" s="187">
        <v>6.0999999999999999E-2</v>
      </c>
    </row>
    <row r="107" spans="1:4">
      <c r="A107" s="184" t="s">
        <v>2573</v>
      </c>
      <c r="B107" s="184" t="s">
        <v>881</v>
      </c>
      <c r="C107" s="184" t="str">
        <f t="shared" si="1"/>
        <v>Atoka, OK</v>
      </c>
      <c r="D107" s="187">
        <v>0.09</v>
      </c>
    </row>
    <row r="108" spans="1:4">
      <c r="A108" s="184" t="s">
        <v>3035</v>
      </c>
      <c r="B108" s="184" t="s">
        <v>2420</v>
      </c>
      <c r="C108" s="184" t="str">
        <f t="shared" si="1"/>
        <v>Attala, MS</v>
      </c>
      <c r="D108" s="187">
        <v>5.7000000000000002E-2</v>
      </c>
    </row>
    <row r="109" spans="1:4">
      <c r="A109" s="184" t="s">
        <v>3434</v>
      </c>
      <c r="B109" s="184" t="s">
        <v>2920</v>
      </c>
      <c r="C109" s="184" t="str">
        <f t="shared" si="1"/>
        <v>Audrain, MO</v>
      </c>
      <c r="D109" s="187">
        <v>0.09</v>
      </c>
    </row>
    <row r="110" spans="1:4">
      <c r="A110" s="184" t="s">
        <v>2031</v>
      </c>
      <c r="B110" s="184" t="s">
        <v>2847</v>
      </c>
      <c r="C110" s="184" t="str">
        <f t="shared" si="1"/>
        <v>Audubon, IA</v>
      </c>
      <c r="D110" s="187">
        <v>0.09</v>
      </c>
    </row>
    <row r="111" spans="1:4">
      <c r="A111" s="184" t="s">
        <v>2562</v>
      </c>
      <c r="B111" s="184" t="s">
        <v>2564</v>
      </c>
      <c r="C111" s="184" t="str">
        <f t="shared" si="1"/>
        <v>Auglaize, OH</v>
      </c>
      <c r="D111" s="187">
        <v>0.09</v>
      </c>
    </row>
    <row r="112" spans="1:4">
      <c r="A112" s="184" t="s">
        <v>746</v>
      </c>
      <c r="B112" s="184" t="s">
        <v>394</v>
      </c>
      <c r="C112" s="184" t="str">
        <f t="shared" si="1"/>
        <v>Augusta, VA</v>
      </c>
      <c r="D112" s="187">
        <v>4.3999999999999997E-2</v>
      </c>
    </row>
    <row r="113" spans="1:4">
      <c r="A113" s="184" t="s">
        <v>1944</v>
      </c>
      <c r="B113" s="184" t="s">
        <v>83</v>
      </c>
      <c r="C113" s="184" t="str">
        <f t="shared" si="1"/>
        <v>Aurora, SD</v>
      </c>
      <c r="D113" s="187">
        <v>4.3999999999999997E-2</v>
      </c>
    </row>
    <row r="114" spans="1:4">
      <c r="A114" s="184" t="s">
        <v>3906</v>
      </c>
      <c r="B114" s="184" t="s">
        <v>975</v>
      </c>
      <c r="C114" s="184" t="str">
        <f t="shared" si="1"/>
        <v>Austin, TX</v>
      </c>
      <c r="D114" s="187">
        <v>4.3999999999999997E-2</v>
      </c>
    </row>
    <row r="115" spans="1:4">
      <c r="A115" s="184" t="s">
        <v>2000</v>
      </c>
      <c r="B115" s="184" t="s">
        <v>2001</v>
      </c>
      <c r="C115" s="184" t="str">
        <f t="shared" si="1"/>
        <v>Autauga, AL</v>
      </c>
      <c r="D115" s="187">
        <v>0.09</v>
      </c>
    </row>
    <row r="116" spans="1:4">
      <c r="A116" s="184" t="s">
        <v>2542</v>
      </c>
      <c r="B116" s="184" t="s">
        <v>782</v>
      </c>
      <c r="C116" s="184" t="str">
        <f t="shared" si="1"/>
        <v>Avery, NC</v>
      </c>
      <c r="D116" s="187">
        <v>4.3999999999999997E-2</v>
      </c>
    </row>
    <row r="117" spans="1:4">
      <c r="A117" s="184" t="s">
        <v>535</v>
      </c>
      <c r="B117" s="184" t="s">
        <v>757</v>
      </c>
      <c r="C117" s="184" t="str">
        <f t="shared" si="1"/>
        <v>Avoyelles, LA</v>
      </c>
      <c r="D117" s="187">
        <v>0.09</v>
      </c>
    </row>
    <row r="118" spans="1:4">
      <c r="A118" s="184" t="s">
        <v>3108</v>
      </c>
      <c r="B118" s="184" t="s">
        <v>1136</v>
      </c>
      <c r="C118" s="184" t="str">
        <f t="shared" si="1"/>
        <v>Baca, CO</v>
      </c>
      <c r="D118" s="187">
        <v>4.3999999999999997E-2</v>
      </c>
    </row>
    <row r="119" spans="1:4">
      <c r="A119" s="184" t="s">
        <v>3602</v>
      </c>
      <c r="B119" s="184" t="s">
        <v>206</v>
      </c>
      <c r="C119" s="184" t="str">
        <f t="shared" si="1"/>
        <v>Bacon, GA</v>
      </c>
      <c r="D119" s="187">
        <v>4.3999999999999997E-2</v>
      </c>
    </row>
    <row r="120" spans="1:4">
      <c r="A120" s="184" t="s">
        <v>3906</v>
      </c>
      <c r="B120" s="184" t="s">
        <v>976</v>
      </c>
      <c r="C120" s="184" t="str">
        <f t="shared" si="1"/>
        <v>Bailey, TX</v>
      </c>
      <c r="D120" s="187">
        <v>4.3999999999999997E-2</v>
      </c>
    </row>
    <row r="121" spans="1:4">
      <c r="A121" s="184" t="s">
        <v>3594</v>
      </c>
      <c r="B121" s="184" t="s">
        <v>207</v>
      </c>
      <c r="C121" s="184" t="str">
        <f t="shared" si="1"/>
        <v>Baker, FL</v>
      </c>
      <c r="D121" s="187">
        <v>5.7000000000000002E-2</v>
      </c>
    </row>
    <row r="122" spans="1:4">
      <c r="A122" s="184" t="s">
        <v>3602</v>
      </c>
      <c r="B122" s="184" t="s">
        <v>207</v>
      </c>
      <c r="C122" s="184" t="str">
        <f t="shared" si="1"/>
        <v>Baker, GA</v>
      </c>
      <c r="D122" s="187">
        <v>4.3999999999999997E-2</v>
      </c>
    </row>
    <row r="123" spans="1:4">
      <c r="A123" s="184" t="s">
        <v>3353</v>
      </c>
      <c r="B123" s="184" t="s">
        <v>207</v>
      </c>
      <c r="C123" s="184" t="str">
        <f t="shared" si="1"/>
        <v>Baker, OR</v>
      </c>
      <c r="D123" s="187">
        <v>0.09</v>
      </c>
    </row>
    <row r="124" spans="1:4">
      <c r="A124" s="184" t="s">
        <v>2000</v>
      </c>
      <c r="B124" s="184" t="s">
        <v>2002</v>
      </c>
      <c r="C124" s="184" t="str">
        <f t="shared" si="1"/>
        <v>Baldwin, AL</v>
      </c>
      <c r="D124" s="187">
        <v>0.09</v>
      </c>
    </row>
    <row r="125" spans="1:4">
      <c r="A125" s="184" t="s">
        <v>3602</v>
      </c>
      <c r="B125" s="184" t="s">
        <v>2002</v>
      </c>
      <c r="C125" s="184" t="str">
        <f t="shared" si="1"/>
        <v>Baldwin, GA</v>
      </c>
      <c r="D125" s="187">
        <v>4.3999999999999997E-2</v>
      </c>
    </row>
    <row r="126" spans="1:4">
      <c r="A126" s="184" t="s">
        <v>529</v>
      </c>
      <c r="B126" s="184" t="s">
        <v>400</v>
      </c>
      <c r="C126" s="184" t="str">
        <f t="shared" si="1"/>
        <v>Ballard, KY</v>
      </c>
      <c r="D126" s="187">
        <v>0.09</v>
      </c>
    </row>
    <row r="127" spans="1:4">
      <c r="A127" s="184" t="s">
        <v>2087</v>
      </c>
      <c r="B127" s="184" t="s">
        <v>2746</v>
      </c>
      <c r="C127" s="184" t="str">
        <f t="shared" si="1"/>
        <v>Baltimore, MD</v>
      </c>
      <c r="D127" s="187">
        <v>6.0999999999999999E-2</v>
      </c>
    </row>
    <row r="128" spans="1:4">
      <c r="A128" s="184" t="s">
        <v>2087</v>
      </c>
      <c r="B128" s="184" t="s">
        <v>951</v>
      </c>
      <c r="C128" s="184" t="str">
        <f t="shared" si="1"/>
        <v>Baltimore City, MD</v>
      </c>
      <c r="D128" s="187">
        <v>3.5000000000000003E-2</v>
      </c>
    </row>
    <row r="129" spans="1:4">
      <c r="A129" s="184" t="s">
        <v>1942</v>
      </c>
      <c r="B129" s="184" t="s">
        <v>68</v>
      </c>
      <c r="C129" s="184" t="str">
        <f t="shared" si="1"/>
        <v>Bamberg, SC</v>
      </c>
      <c r="D129" s="187">
        <v>4.3999999999999997E-2</v>
      </c>
    </row>
    <row r="130" spans="1:4">
      <c r="A130" s="184" t="s">
        <v>3906</v>
      </c>
      <c r="B130" s="184" t="s">
        <v>977</v>
      </c>
      <c r="C130" s="184" t="str">
        <f t="shared" si="1"/>
        <v>Bandera, TX</v>
      </c>
      <c r="D130" s="187">
        <v>4.3999999999999997E-2</v>
      </c>
    </row>
    <row r="131" spans="1:4">
      <c r="A131" s="184" t="s">
        <v>3602</v>
      </c>
      <c r="B131" s="184" t="s">
        <v>208</v>
      </c>
      <c r="C131" s="184" t="str">
        <f t="shared" si="1"/>
        <v>Banks, GA</v>
      </c>
      <c r="D131" s="187">
        <v>4.3999999999999997E-2</v>
      </c>
    </row>
    <row r="132" spans="1:4">
      <c r="A132" s="184" t="s">
        <v>3442</v>
      </c>
      <c r="B132" s="184" t="s">
        <v>3092</v>
      </c>
      <c r="C132" s="184" t="str">
        <f t="shared" si="1"/>
        <v>Banner, NE</v>
      </c>
      <c r="D132" s="187">
        <v>0.09</v>
      </c>
    </row>
    <row r="133" spans="1:4">
      <c r="A133" s="184" t="s">
        <v>3875</v>
      </c>
      <c r="B133" s="184" t="s">
        <v>3307</v>
      </c>
      <c r="C133" s="184" t="str">
        <f t="shared" si="1"/>
        <v>Bannock, ID</v>
      </c>
      <c r="D133" s="187">
        <v>4.3999999999999997E-2</v>
      </c>
    </row>
    <row r="134" spans="1:4">
      <c r="A134" s="184" t="s">
        <v>2090</v>
      </c>
      <c r="B134" s="184" t="s">
        <v>3978</v>
      </c>
      <c r="C134" s="184" t="str">
        <f t="shared" ref="C134:C197" si="2">B134&amp;", "&amp;A134</f>
        <v>Baraga, MI</v>
      </c>
      <c r="D134" s="187">
        <v>0.09</v>
      </c>
    </row>
    <row r="135" spans="1:4">
      <c r="A135" s="184" t="s">
        <v>663</v>
      </c>
      <c r="B135" s="184" t="s">
        <v>1391</v>
      </c>
      <c r="C135" s="184" t="str">
        <f t="shared" si="2"/>
        <v>Barber, KS</v>
      </c>
      <c r="D135" s="187">
        <v>0.09</v>
      </c>
    </row>
    <row r="136" spans="1:4">
      <c r="A136" s="184" t="s">
        <v>2000</v>
      </c>
      <c r="B136" s="184" t="s">
        <v>3879</v>
      </c>
      <c r="C136" s="184" t="str">
        <f t="shared" si="2"/>
        <v>Barbour, AL</v>
      </c>
      <c r="D136" s="187">
        <v>0.09</v>
      </c>
    </row>
    <row r="137" spans="1:4">
      <c r="A137" s="184" t="s">
        <v>542</v>
      </c>
      <c r="B137" s="184" t="s">
        <v>3879</v>
      </c>
      <c r="C137" s="184" t="str">
        <f t="shared" si="2"/>
        <v>Barbour, WV</v>
      </c>
      <c r="D137" s="187">
        <v>0.09</v>
      </c>
    </row>
    <row r="138" spans="1:4">
      <c r="A138" s="184" t="s">
        <v>2558</v>
      </c>
      <c r="B138" s="184" t="s">
        <v>3285</v>
      </c>
      <c r="C138" s="184" t="str">
        <f t="shared" si="2"/>
        <v>Barnes, ND</v>
      </c>
      <c r="D138" s="187">
        <v>0.09</v>
      </c>
    </row>
    <row r="139" spans="1:4">
      <c r="A139" s="184" t="s">
        <v>1228</v>
      </c>
      <c r="B139" s="184" t="s">
        <v>1229</v>
      </c>
      <c r="C139" s="184" t="str">
        <f t="shared" si="2"/>
        <v>Barnstable, MA</v>
      </c>
      <c r="D139" s="187">
        <v>0.09</v>
      </c>
    </row>
    <row r="140" spans="1:4">
      <c r="A140" s="184" t="s">
        <v>1942</v>
      </c>
      <c r="B140" s="184" t="s">
        <v>69</v>
      </c>
      <c r="C140" s="184" t="str">
        <f t="shared" si="2"/>
        <v>Barnwell, SC</v>
      </c>
      <c r="D140" s="187">
        <v>4.3999999999999997E-2</v>
      </c>
    </row>
    <row r="141" spans="1:4">
      <c r="A141" s="184" t="s">
        <v>529</v>
      </c>
      <c r="B141" s="184" t="s">
        <v>401</v>
      </c>
      <c r="C141" s="184" t="str">
        <f t="shared" si="2"/>
        <v>Barren, KY</v>
      </c>
      <c r="D141" s="187">
        <v>0.09</v>
      </c>
    </row>
    <row r="142" spans="1:4">
      <c r="A142" s="184" t="s">
        <v>550</v>
      </c>
      <c r="B142" s="184" t="s">
        <v>845</v>
      </c>
      <c r="C142" s="184" t="str">
        <f t="shared" si="2"/>
        <v>Barron, WI</v>
      </c>
      <c r="D142" s="187">
        <v>0.09</v>
      </c>
    </row>
    <row r="143" spans="1:4">
      <c r="A143" s="184" t="s">
        <v>3602</v>
      </c>
      <c r="B143" s="184" t="s">
        <v>3425</v>
      </c>
      <c r="C143" s="184" t="str">
        <f t="shared" si="2"/>
        <v>Barrow, GA</v>
      </c>
      <c r="D143" s="187">
        <v>5.7000000000000002E-2</v>
      </c>
    </row>
    <row r="144" spans="1:4">
      <c r="A144" s="184" t="s">
        <v>2090</v>
      </c>
      <c r="B144" s="184" t="s">
        <v>3979</v>
      </c>
      <c r="C144" s="184" t="str">
        <f t="shared" si="2"/>
        <v>Barry, MI</v>
      </c>
      <c r="D144" s="187">
        <v>0.09</v>
      </c>
    </row>
    <row r="145" spans="1:4">
      <c r="A145" s="184" t="s">
        <v>3434</v>
      </c>
      <c r="B145" s="184" t="s">
        <v>3979</v>
      </c>
      <c r="C145" s="184" t="str">
        <f t="shared" si="2"/>
        <v>Barry, MO</v>
      </c>
      <c r="D145" s="187">
        <v>0.09</v>
      </c>
    </row>
    <row r="146" spans="1:4">
      <c r="A146" s="184" t="s">
        <v>2021</v>
      </c>
      <c r="B146" s="184" t="s">
        <v>2825</v>
      </c>
      <c r="C146" s="184" t="str">
        <f t="shared" si="2"/>
        <v>Bartholomew, IN</v>
      </c>
      <c r="D146" s="187">
        <v>0.09</v>
      </c>
    </row>
    <row r="147" spans="1:4">
      <c r="A147" s="184" t="s">
        <v>663</v>
      </c>
      <c r="B147" s="184" t="s">
        <v>1426</v>
      </c>
      <c r="C147" s="184" t="str">
        <f t="shared" si="2"/>
        <v>Barton, KS</v>
      </c>
      <c r="D147" s="187">
        <v>0.09</v>
      </c>
    </row>
    <row r="148" spans="1:4">
      <c r="A148" s="184" t="s">
        <v>3434</v>
      </c>
      <c r="B148" s="184" t="s">
        <v>1426</v>
      </c>
      <c r="C148" s="184" t="str">
        <f t="shared" si="2"/>
        <v>Barton, MO</v>
      </c>
      <c r="D148" s="187">
        <v>0.09</v>
      </c>
    </row>
    <row r="149" spans="1:4">
      <c r="A149" s="184" t="s">
        <v>3602</v>
      </c>
      <c r="B149" s="184" t="s">
        <v>3603</v>
      </c>
      <c r="C149" s="184" t="str">
        <f t="shared" si="2"/>
        <v>Bartow, GA</v>
      </c>
      <c r="D149" s="187">
        <v>6.0999999999999999E-2</v>
      </c>
    </row>
    <row r="150" spans="1:4">
      <c r="A150" s="184" t="s">
        <v>3906</v>
      </c>
      <c r="B150" s="184" t="s">
        <v>3907</v>
      </c>
      <c r="C150" s="184" t="str">
        <f t="shared" si="2"/>
        <v>Bastrop, TX</v>
      </c>
      <c r="D150" s="187">
        <v>6.0999999999999999E-2</v>
      </c>
    </row>
    <row r="151" spans="1:4">
      <c r="A151" s="184" t="s">
        <v>3434</v>
      </c>
      <c r="B151" s="184" t="s">
        <v>2921</v>
      </c>
      <c r="C151" s="184" t="str">
        <f t="shared" si="2"/>
        <v>Bates, MO</v>
      </c>
      <c r="D151" s="187">
        <v>0.09</v>
      </c>
    </row>
    <row r="152" spans="1:4">
      <c r="A152" s="184" t="s">
        <v>529</v>
      </c>
      <c r="B152" s="184" t="s">
        <v>402</v>
      </c>
      <c r="C152" s="184" t="str">
        <f t="shared" si="2"/>
        <v>Bath, KY</v>
      </c>
      <c r="D152" s="187">
        <v>0.09</v>
      </c>
    </row>
    <row r="153" spans="1:4">
      <c r="A153" s="184" t="s">
        <v>746</v>
      </c>
      <c r="B153" s="184" t="s">
        <v>402</v>
      </c>
      <c r="C153" s="184" t="str">
        <f t="shared" si="2"/>
        <v>Bath, VA</v>
      </c>
      <c r="D153" s="187">
        <v>4.3999999999999997E-2</v>
      </c>
    </row>
    <row r="154" spans="1:4">
      <c r="A154" s="184" t="s">
        <v>566</v>
      </c>
      <c r="B154" s="184" t="s">
        <v>2998</v>
      </c>
      <c r="C154" s="184" t="str">
        <f t="shared" si="2"/>
        <v>Baxter, AR</v>
      </c>
      <c r="D154" s="187">
        <v>4.3999999999999997E-2</v>
      </c>
    </row>
    <row r="155" spans="1:4">
      <c r="A155" s="184" t="s">
        <v>3594</v>
      </c>
      <c r="B155" s="184" t="s">
        <v>2091</v>
      </c>
      <c r="C155" s="184" t="str">
        <f t="shared" si="2"/>
        <v>Bay, FL</v>
      </c>
      <c r="D155" s="187">
        <v>4.3999999999999997E-2</v>
      </c>
    </row>
    <row r="156" spans="1:4">
      <c r="A156" s="184" t="s">
        <v>2090</v>
      </c>
      <c r="B156" s="184" t="s">
        <v>2091</v>
      </c>
      <c r="C156" s="184" t="str">
        <f t="shared" si="2"/>
        <v>Bay, MI</v>
      </c>
      <c r="D156" s="187">
        <v>0.09</v>
      </c>
    </row>
    <row r="157" spans="1:4">
      <c r="A157" s="184" t="s">
        <v>550</v>
      </c>
      <c r="B157" s="184" t="s">
        <v>846</v>
      </c>
      <c r="C157" s="184" t="str">
        <f t="shared" si="2"/>
        <v>Bayfield, WI</v>
      </c>
      <c r="D157" s="187">
        <v>0.09</v>
      </c>
    </row>
    <row r="158" spans="1:4">
      <c r="A158" s="184" t="s">
        <v>3906</v>
      </c>
      <c r="B158" s="184" t="s">
        <v>978</v>
      </c>
      <c r="C158" s="184" t="str">
        <f t="shared" si="2"/>
        <v>Baylor, TX</v>
      </c>
      <c r="D158" s="187">
        <v>4.3999999999999997E-2</v>
      </c>
    </row>
    <row r="159" spans="1:4">
      <c r="A159" s="184" t="s">
        <v>1944</v>
      </c>
      <c r="B159" s="184" t="s">
        <v>84</v>
      </c>
      <c r="C159" s="184" t="str">
        <f t="shared" si="2"/>
        <v>Beadle, SD</v>
      </c>
      <c r="D159" s="187">
        <v>4.3999999999999997E-2</v>
      </c>
    </row>
    <row r="160" spans="1:4">
      <c r="A160" s="184" t="s">
        <v>3875</v>
      </c>
      <c r="B160" s="184" t="s">
        <v>1054</v>
      </c>
      <c r="C160" s="184" t="str">
        <f t="shared" si="2"/>
        <v>Bear Lake, ID</v>
      </c>
      <c r="D160" s="187">
        <v>4.3999999999999997E-2</v>
      </c>
    </row>
    <row r="161" spans="1:4">
      <c r="A161" s="184" t="s">
        <v>2542</v>
      </c>
      <c r="B161" s="184" t="s">
        <v>783</v>
      </c>
      <c r="C161" s="184" t="str">
        <f t="shared" si="2"/>
        <v>Beaufort, NC</v>
      </c>
      <c r="D161" s="187">
        <v>4.3999999999999997E-2</v>
      </c>
    </row>
    <row r="162" spans="1:4">
      <c r="A162" s="184" t="s">
        <v>1942</v>
      </c>
      <c r="B162" s="184" t="s">
        <v>783</v>
      </c>
      <c r="C162" s="184" t="str">
        <f t="shared" si="2"/>
        <v>Beaufort, SC</v>
      </c>
      <c r="D162" s="187">
        <v>4.3999999999999997E-2</v>
      </c>
    </row>
    <row r="163" spans="1:4">
      <c r="A163" s="184" t="s">
        <v>535</v>
      </c>
      <c r="B163" s="184" t="s">
        <v>758</v>
      </c>
      <c r="C163" s="184" t="str">
        <f t="shared" si="2"/>
        <v>Beauregard, LA</v>
      </c>
      <c r="D163" s="187">
        <v>0.09</v>
      </c>
    </row>
    <row r="164" spans="1:4">
      <c r="A164" s="184" t="s">
        <v>2573</v>
      </c>
      <c r="B164" s="184" t="s">
        <v>3077</v>
      </c>
      <c r="C164" s="184" t="str">
        <f t="shared" si="2"/>
        <v>Beaver, OK</v>
      </c>
      <c r="D164" s="187">
        <v>0.09</v>
      </c>
    </row>
    <row r="165" spans="1:4">
      <c r="A165" s="184" t="s">
        <v>3356</v>
      </c>
      <c r="B165" s="184" t="s">
        <v>3077</v>
      </c>
      <c r="C165" s="184" t="str">
        <f t="shared" si="2"/>
        <v>Beaver, PA</v>
      </c>
      <c r="D165" s="187">
        <v>6.0999999999999999E-2</v>
      </c>
    </row>
    <row r="166" spans="1:4">
      <c r="A166" s="184" t="s">
        <v>742</v>
      </c>
      <c r="B166" s="184" t="s">
        <v>3077</v>
      </c>
      <c r="C166" s="184" t="str">
        <f t="shared" si="2"/>
        <v>Beaver, UT</v>
      </c>
      <c r="D166" s="187">
        <v>4.3999999999999997E-2</v>
      </c>
    </row>
    <row r="167" spans="1:4">
      <c r="A167" s="184" t="s">
        <v>3438</v>
      </c>
      <c r="B167" s="184" t="s">
        <v>2800</v>
      </c>
      <c r="C167" s="184" t="str">
        <f t="shared" si="2"/>
        <v>Beaverhead, MT</v>
      </c>
      <c r="D167" s="187">
        <v>0.09</v>
      </c>
    </row>
    <row r="168" spans="1:4">
      <c r="A168" s="184" t="s">
        <v>3429</v>
      </c>
      <c r="B168" s="184" t="s">
        <v>1475</v>
      </c>
      <c r="C168" s="184" t="str">
        <f t="shared" si="2"/>
        <v>Becker, MN</v>
      </c>
      <c r="D168" s="187">
        <v>0.09</v>
      </c>
    </row>
    <row r="169" spans="1:4">
      <c r="A169" s="184" t="s">
        <v>2573</v>
      </c>
      <c r="B169" s="184" t="s">
        <v>882</v>
      </c>
      <c r="C169" s="184" t="str">
        <f t="shared" si="2"/>
        <v>Beckham, OK</v>
      </c>
      <c r="D169" s="187">
        <v>0.09</v>
      </c>
    </row>
    <row r="170" spans="1:4">
      <c r="A170" s="184" t="s">
        <v>3356</v>
      </c>
      <c r="B170" s="184" t="s">
        <v>2600</v>
      </c>
      <c r="C170" s="184" t="str">
        <f t="shared" si="2"/>
        <v>Bedford, PA</v>
      </c>
      <c r="D170" s="187">
        <v>0.09</v>
      </c>
    </row>
    <row r="171" spans="1:4">
      <c r="A171" s="184" t="s">
        <v>699</v>
      </c>
      <c r="B171" s="184" t="s">
        <v>2600</v>
      </c>
      <c r="C171" s="184" t="str">
        <f t="shared" si="2"/>
        <v>Bedford, TN</v>
      </c>
      <c r="D171" s="187">
        <v>0.09</v>
      </c>
    </row>
    <row r="172" spans="1:4">
      <c r="A172" s="184" t="s">
        <v>746</v>
      </c>
      <c r="B172" s="184" t="s">
        <v>2600</v>
      </c>
      <c r="C172" s="184" t="str">
        <f t="shared" si="2"/>
        <v>Bedford, VA</v>
      </c>
      <c r="D172" s="187">
        <v>4.3999999999999997E-2</v>
      </c>
    </row>
    <row r="173" spans="1:4">
      <c r="A173" s="184" t="s">
        <v>746</v>
      </c>
      <c r="B173" s="184" t="s">
        <v>3541</v>
      </c>
      <c r="C173" s="184" t="str">
        <f t="shared" si="2"/>
        <v>Bedford City, VA</v>
      </c>
      <c r="D173" s="187">
        <v>3.5000000000000003E-2</v>
      </c>
    </row>
    <row r="174" spans="1:4">
      <c r="A174" s="184" t="s">
        <v>3906</v>
      </c>
      <c r="B174" s="184" t="s">
        <v>979</v>
      </c>
      <c r="C174" s="184" t="str">
        <f t="shared" si="2"/>
        <v>Bee, TX</v>
      </c>
      <c r="D174" s="187">
        <v>4.3999999999999997E-2</v>
      </c>
    </row>
    <row r="175" spans="1:4">
      <c r="A175" s="184" t="s">
        <v>2868</v>
      </c>
      <c r="B175" s="184" t="s">
        <v>18</v>
      </c>
      <c r="C175" s="184" t="str">
        <f t="shared" si="2"/>
        <v>Belknap, NH</v>
      </c>
      <c r="D175" s="187">
        <v>5.7000000000000002E-2</v>
      </c>
    </row>
    <row r="176" spans="1:4">
      <c r="A176" s="184" t="s">
        <v>529</v>
      </c>
      <c r="B176" s="184" t="s">
        <v>102</v>
      </c>
      <c r="C176" s="184" t="str">
        <f t="shared" si="2"/>
        <v>Bell, KY</v>
      </c>
      <c r="D176" s="187">
        <v>5.7000000000000002E-2</v>
      </c>
    </row>
    <row r="177" spans="1:4">
      <c r="A177" s="184" t="s">
        <v>3906</v>
      </c>
      <c r="B177" s="184" t="s">
        <v>102</v>
      </c>
      <c r="C177" s="184" t="str">
        <f t="shared" si="2"/>
        <v>Bell, TX</v>
      </c>
      <c r="D177" s="187">
        <v>4.3999999999999997E-2</v>
      </c>
    </row>
    <row r="178" spans="1:4">
      <c r="A178" s="184" t="s">
        <v>2562</v>
      </c>
      <c r="B178" s="184" t="s">
        <v>37</v>
      </c>
      <c r="C178" s="184" t="str">
        <f t="shared" si="2"/>
        <v>Belmont, OH</v>
      </c>
      <c r="D178" s="187">
        <v>5.7000000000000002E-2</v>
      </c>
    </row>
    <row r="179" spans="1:4">
      <c r="A179" s="184" t="s">
        <v>3429</v>
      </c>
      <c r="B179" s="184" t="s">
        <v>1476</v>
      </c>
      <c r="C179" s="184" t="str">
        <f t="shared" si="2"/>
        <v>Beltrami, MN</v>
      </c>
      <c r="D179" s="187">
        <v>0.09</v>
      </c>
    </row>
    <row r="180" spans="1:4">
      <c r="A180" s="184" t="s">
        <v>3602</v>
      </c>
      <c r="B180" s="184" t="s">
        <v>2855</v>
      </c>
      <c r="C180" s="184" t="str">
        <f t="shared" si="2"/>
        <v>Ben Hill, GA</v>
      </c>
      <c r="D180" s="187">
        <v>4.3999999999999997E-2</v>
      </c>
    </row>
    <row r="181" spans="1:4">
      <c r="A181" s="184" t="s">
        <v>3875</v>
      </c>
      <c r="B181" s="184" t="s">
        <v>1055</v>
      </c>
      <c r="C181" s="184" t="str">
        <f t="shared" si="2"/>
        <v>Benewah, ID</v>
      </c>
      <c r="D181" s="187">
        <v>4.3999999999999997E-2</v>
      </c>
    </row>
    <row r="182" spans="1:4">
      <c r="A182" s="184" t="s">
        <v>1944</v>
      </c>
      <c r="B182" s="184" t="s">
        <v>85</v>
      </c>
      <c r="C182" s="184" t="str">
        <f t="shared" si="2"/>
        <v>Bennett, SD</v>
      </c>
      <c r="D182" s="187">
        <v>4.3999999999999997E-2</v>
      </c>
    </row>
    <row r="183" spans="1:4">
      <c r="A183" s="184" t="s">
        <v>2509</v>
      </c>
      <c r="B183" s="184" t="s">
        <v>3540</v>
      </c>
      <c r="C183" s="184" t="str">
        <f t="shared" si="2"/>
        <v>Bennington, VT</v>
      </c>
      <c r="D183" s="187">
        <v>3.5000000000000003E-2</v>
      </c>
    </row>
    <row r="184" spans="1:4">
      <c r="A184" s="184" t="s">
        <v>2558</v>
      </c>
      <c r="B184" s="184" t="s">
        <v>3286</v>
      </c>
      <c r="C184" s="184" t="str">
        <f t="shared" si="2"/>
        <v>Benson, ND</v>
      </c>
      <c r="D184" s="187">
        <v>0.09</v>
      </c>
    </row>
    <row r="185" spans="1:4">
      <c r="A185" s="184" t="s">
        <v>3108</v>
      </c>
      <c r="B185" s="184" t="s">
        <v>1137</v>
      </c>
      <c r="C185" s="184" t="str">
        <f t="shared" si="2"/>
        <v>Bent, CO</v>
      </c>
      <c r="D185" s="187">
        <v>4.3999999999999997E-2</v>
      </c>
    </row>
    <row r="186" spans="1:4">
      <c r="A186" s="184" t="s">
        <v>566</v>
      </c>
      <c r="B186" s="184" t="s">
        <v>3430</v>
      </c>
      <c r="C186" s="184" t="str">
        <f t="shared" si="2"/>
        <v>Benton, AR</v>
      </c>
      <c r="D186" s="187">
        <v>4.3999999999999997E-2</v>
      </c>
    </row>
    <row r="187" spans="1:4">
      <c r="A187" s="184" t="s">
        <v>2031</v>
      </c>
      <c r="B187" s="184" t="s">
        <v>3430</v>
      </c>
      <c r="C187" s="184" t="str">
        <f t="shared" si="2"/>
        <v>Benton, IA</v>
      </c>
      <c r="D187" s="187">
        <v>0.09</v>
      </c>
    </row>
    <row r="188" spans="1:4">
      <c r="A188" s="184" t="s">
        <v>2021</v>
      </c>
      <c r="B188" s="184" t="s">
        <v>3430</v>
      </c>
      <c r="C188" s="184" t="str">
        <f t="shared" si="2"/>
        <v>Benton, IN</v>
      </c>
      <c r="D188" s="187">
        <v>0.09</v>
      </c>
    </row>
    <row r="189" spans="1:4">
      <c r="A189" s="184" t="s">
        <v>3429</v>
      </c>
      <c r="B189" s="184" t="s">
        <v>3430</v>
      </c>
      <c r="C189" s="184" t="str">
        <f t="shared" si="2"/>
        <v>Benton, MN</v>
      </c>
      <c r="D189" s="187">
        <v>0.09</v>
      </c>
    </row>
    <row r="190" spans="1:4">
      <c r="A190" s="184" t="s">
        <v>3434</v>
      </c>
      <c r="B190" s="184" t="s">
        <v>3430</v>
      </c>
      <c r="C190" s="184" t="str">
        <f t="shared" si="2"/>
        <v>Benton, MO</v>
      </c>
      <c r="D190" s="187">
        <v>0.09</v>
      </c>
    </row>
    <row r="191" spans="1:4">
      <c r="A191" s="184" t="s">
        <v>3035</v>
      </c>
      <c r="B191" s="184" t="s">
        <v>3430</v>
      </c>
      <c r="C191" s="184" t="str">
        <f t="shared" si="2"/>
        <v>Benton, MS</v>
      </c>
      <c r="D191" s="187">
        <v>5.7000000000000002E-2</v>
      </c>
    </row>
    <row r="192" spans="1:4">
      <c r="A192" s="184" t="s">
        <v>3353</v>
      </c>
      <c r="B192" s="184" t="s">
        <v>3430</v>
      </c>
      <c r="C192" s="184" t="str">
        <f t="shared" si="2"/>
        <v>Benton, OR</v>
      </c>
      <c r="D192" s="187">
        <v>6.0999999999999999E-2</v>
      </c>
    </row>
    <row r="193" spans="1:4">
      <c r="A193" s="184" t="s">
        <v>699</v>
      </c>
      <c r="B193" s="184" t="s">
        <v>3430</v>
      </c>
      <c r="C193" s="184" t="str">
        <f t="shared" si="2"/>
        <v>Benton, TN</v>
      </c>
      <c r="D193" s="187">
        <v>0.09</v>
      </c>
    </row>
    <row r="194" spans="1:4">
      <c r="A194" s="184" t="s">
        <v>1278</v>
      </c>
      <c r="B194" s="184" t="s">
        <v>3430</v>
      </c>
      <c r="C194" s="184" t="str">
        <f t="shared" si="2"/>
        <v>Benton, WA</v>
      </c>
      <c r="D194" s="187">
        <v>0.09</v>
      </c>
    </row>
    <row r="195" spans="1:4">
      <c r="A195" s="184" t="s">
        <v>2090</v>
      </c>
      <c r="B195" s="184" t="s">
        <v>3980</v>
      </c>
      <c r="C195" s="184" t="str">
        <f t="shared" si="2"/>
        <v>Benzie, MI</v>
      </c>
      <c r="D195" s="187">
        <v>0.09</v>
      </c>
    </row>
    <row r="196" spans="1:4">
      <c r="A196" s="184" t="s">
        <v>3444</v>
      </c>
      <c r="B196" s="184" t="s">
        <v>3608</v>
      </c>
      <c r="C196" s="184" t="str">
        <f t="shared" si="2"/>
        <v>Bergen, NJ</v>
      </c>
      <c r="D196" s="187">
        <v>6.0999999999999999E-2</v>
      </c>
    </row>
    <row r="197" spans="1:4">
      <c r="A197" s="184" t="s">
        <v>1942</v>
      </c>
      <c r="B197" s="184" t="s">
        <v>3186</v>
      </c>
      <c r="C197" s="184" t="str">
        <f t="shared" si="2"/>
        <v>Berkeley, SC</v>
      </c>
      <c r="D197" s="187">
        <v>4.3999999999999997E-2</v>
      </c>
    </row>
    <row r="198" spans="1:4">
      <c r="A198" s="184" t="s">
        <v>542</v>
      </c>
      <c r="B198" s="184" t="s">
        <v>3186</v>
      </c>
      <c r="C198" s="184" t="str">
        <f t="shared" ref="C198:C261" si="3">B198&amp;", "&amp;A198</f>
        <v>Berkeley, WV</v>
      </c>
      <c r="D198" s="187">
        <v>6.0999999999999999E-2</v>
      </c>
    </row>
    <row r="199" spans="1:4">
      <c r="A199" s="184" t="s">
        <v>3356</v>
      </c>
      <c r="B199" s="184" t="s">
        <v>248</v>
      </c>
      <c r="C199" s="184" t="str">
        <f t="shared" si="3"/>
        <v>Berks, PA</v>
      </c>
      <c r="D199" s="187">
        <v>6.0999999999999999E-2</v>
      </c>
    </row>
    <row r="200" spans="1:4">
      <c r="A200" s="184" t="s">
        <v>1228</v>
      </c>
      <c r="B200" s="184" t="s">
        <v>952</v>
      </c>
      <c r="C200" s="184" t="str">
        <f t="shared" si="3"/>
        <v>Berkshire, MA</v>
      </c>
      <c r="D200" s="187">
        <v>3.5000000000000003E-2</v>
      </c>
    </row>
    <row r="201" spans="1:4">
      <c r="A201" s="184" t="s">
        <v>3622</v>
      </c>
      <c r="B201" s="184" t="s">
        <v>3313</v>
      </c>
      <c r="C201" s="184" t="str">
        <f t="shared" si="3"/>
        <v>Bernalillo, NM</v>
      </c>
      <c r="D201" s="187">
        <v>4.3999999999999997E-2</v>
      </c>
    </row>
    <row r="202" spans="1:4">
      <c r="A202" s="184" t="s">
        <v>3602</v>
      </c>
      <c r="B202" s="184" t="s">
        <v>2092</v>
      </c>
      <c r="C202" s="184" t="str">
        <f t="shared" si="3"/>
        <v>Berrien, GA</v>
      </c>
      <c r="D202" s="187">
        <v>4.3999999999999997E-2</v>
      </c>
    </row>
    <row r="203" spans="1:4">
      <c r="A203" s="184" t="s">
        <v>2090</v>
      </c>
      <c r="B203" s="184" t="s">
        <v>2092</v>
      </c>
      <c r="C203" s="184" t="str">
        <f t="shared" si="3"/>
        <v>Berrien, MI</v>
      </c>
      <c r="D203" s="187">
        <v>0.09</v>
      </c>
    </row>
    <row r="204" spans="1:4">
      <c r="A204" s="184" t="s">
        <v>2542</v>
      </c>
      <c r="B204" s="184" t="s">
        <v>31</v>
      </c>
      <c r="C204" s="184" t="str">
        <f t="shared" si="3"/>
        <v>Bertie, NC</v>
      </c>
      <c r="D204" s="187">
        <v>5.7000000000000002E-2</v>
      </c>
    </row>
    <row r="205" spans="1:4">
      <c r="A205" s="184" t="s">
        <v>988</v>
      </c>
      <c r="B205" s="184" t="s">
        <v>2968</v>
      </c>
      <c r="C205" s="184" t="str">
        <f t="shared" si="3"/>
        <v>Bethel, AK</v>
      </c>
      <c r="D205" s="187">
        <v>6.0999999999999999E-2</v>
      </c>
    </row>
    <row r="206" spans="1:4">
      <c r="A206" s="184" t="s">
        <v>3906</v>
      </c>
      <c r="B206" s="184" t="s">
        <v>492</v>
      </c>
      <c r="C206" s="184" t="str">
        <f t="shared" si="3"/>
        <v>Bexar, TX</v>
      </c>
      <c r="D206" s="187">
        <v>4.3999999999999997E-2</v>
      </c>
    </row>
    <row r="207" spans="1:4">
      <c r="A207" s="184" t="s">
        <v>2000</v>
      </c>
      <c r="B207" s="184" t="s">
        <v>475</v>
      </c>
      <c r="C207" s="184" t="str">
        <f t="shared" si="3"/>
        <v>Bibb, AL</v>
      </c>
      <c r="D207" s="187">
        <v>0.09</v>
      </c>
    </row>
    <row r="208" spans="1:4">
      <c r="A208" s="184" t="s">
        <v>3602</v>
      </c>
      <c r="B208" s="184" t="s">
        <v>475</v>
      </c>
      <c r="C208" s="184" t="str">
        <f t="shared" si="3"/>
        <v>Bibb, GA</v>
      </c>
      <c r="D208" s="187">
        <v>4.3999999999999997E-2</v>
      </c>
    </row>
    <row r="209" spans="1:4">
      <c r="A209" s="184" t="s">
        <v>535</v>
      </c>
      <c r="B209" s="184" t="s">
        <v>3460</v>
      </c>
      <c r="C209" s="184" t="str">
        <f t="shared" si="3"/>
        <v>Bienville, LA</v>
      </c>
      <c r="D209" s="187">
        <v>5.7000000000000002E-2</v>
      </c>
    </row>
    <row r="210" spans="1:4">
      <c r="A210" s="184" t="s">
        <v>3438</v>
      </c>
      <c r="B210" s="184" t="s">
        <v>2801</v>
      </c>
      <c r="C210" s="184" t="str">
        <f t="shared" si="3"/>
        <v>Big Horn, MT</v>
      </c>
      <c r="D210" s="187">
        <v>0.09</v>
      </c>
    </row>
    <row r="211" spans="1:4">
      <c r="A211" s="184" t="s">
        <v>1033</v>
      </c>
      <c r="B211" s="184" t="s">
        <v>2801</v>
      </c>
      <c r="C211" s="184" t="str">
        <f t="shared" si="3"/>
        <v>Big Horn, WY</v>
      </c>
      <c r="D211" s="187">
        <v>0.09</v>
      </c>
    </row>
    <row r="212" spans="1:4">
      <c r="A212" s="184" t="s">
        <v>3429</v>
      </c>
      <c r="B212" s="184" t="s">
        <v>1477</v>
      </c>
      <c r="C212" s="184" t="str">
        <f t="shared" si="3"/>
        <v>Big Stone, MN</v>
      </c>
      <c r="D212" s="187">
        <v>0.09</v>
      </c>
    </row>
    <row r="213" spans="1:4">
      <c r="A213" s="184" t="s">
        <v>2558</v>
      </c>
      <c r="B213" s="184" t="s">
        <v>3287</v>
      </c>
      <c r="C213" s="184" t="str">
        <f t="shared" si="3"/>
        <v>Billings, ND</v>
      </c>
      <c r="D213" s="187">
        <v>0.09</v>
      </c>
    </row>
    <row r="214" spans="1:4">
      <c r="A214" s="184" t="s">
        <v>3875</v>
      </c>
      <c r="B214" s="184" t="s">
        <v>1056</v>
      </c>
      <c r="C214" s="184" t="str">
        <f t="shared" si="3"/>
        <v>Bingham, ID</v>
      </c>
      <c r="D214" s="187">
        <v>4.3999999999999997E-2</v>
      </c>
    </row>
    <row r="215" spans="1:4">
      <c r="A215" s="184" t="s">
        <v>2031</v>
      </c>
      <c r="B215" s="184" t="s">
        <v>2032</v>
      </c>
      <c r="C215" s="184" t="str">
        <f t="shared" si="3"/>
        <v>Black Hawk, IA</v>
      </c>
      <c r="D215" s="187">
        <v>0.09</v>
      </c>
    </row>
    <row r="216" spans="1:4">
      <c r="A216" s="184" t="s">
        <v>2021</v>
      </c>
      <c r="B216" s="184" t="s">
        <v>2826</v>
      </c>
      <c r="C216" s="184" t="str">
        <f t="shared" si="3"/>
        <v>Blackford, IN</v>
      </c>
      <c r="D216" s="187">
        <v>0.09</v>
      </c>
    </row>
    <row r="217" spans="1:4">
      <c r="A217" s="184" t="s">
        <v>2542</v>
      </c>
      <c r="B217" s="184" t="s">
        <v>784</v>
      </c>
      <c r="C217" s="184" t="str">
        <f t="shared" si="3"/>
        <v>Bladen, NC</v>
      </c>
      <c r="D217" s="187">
        <v>4.3999999999999997E-2</v>
      </c>
    </row>
    <row r="218" spans="1:4">
      <c r="A218" s="184" t="s">
        <v>3875</v>
      </c>
      <c r="B218" s="184" t="s">
        <v>1057</v>
      </c>
      <c r="C218" s="184" t="str">
        <f t="shared" si="3"/>
        <v>Blaine, ID</v>
      </c>
      <c r="D218" s="187">
        <v>6.0999999999999999E-2</v>
      </c>
    </row>
    <row r="219" spans="1:4">
      <c r="A219" s="184" t="s">
        <v>3438</v>
      </c>
      <c r="B219" s="184" t="s">
        <v>1057</v>
      </c>
      <c r="C219" s="184" t="str">
        <f t="shared" si="3"/>
        <v>Blaine, MT</v>
      </c>
      <c r="D219" s="187">
        <v>0.09</v>
      </c>
    </row>
    <row r="220" spans="1:4">
      <c r="A220" s="184" t="s">
        <v>3442</v>
      </c>
      <c r="B220" s="184" t="s">
        <v>1057</v>
      </c>
      <c r="C220" s="184" t="str">
        <f t="shared" si="3"/>
        <v>Blaine, NE</v>
      </c>
      <c r="D220" s="187">
        <v>0.09</v>
      </c>
    </row>
    <row r="221" spans="1:4">
      <c r="A221" s="184" t="s">
        <v>2573</v>
      </c>
      <c r="B221" s="184" t="s">
        <v>1057</v>
      </c>
      <c r="C221" s="184" t="str">
        <f t="shared" si="3"/>
        <v>Blaine, OK</v>
      </c>
      <c r="D221" s="187">
        <v>0.09</v>
      </c>
    </row>
    <row r="222" spans="1:4">
      <c r="A222" s="184" t="s">
        <v>3356</v>
      </c>
      <c r="B222" s="184" t="s">
        <v>3357</v>
      </c>
      <c r="C222" s="184" t="str">
        <f t="shared" si="3"/>
        <v>Blair, PA</v>
      </c>
      <c r="D222" s="187">
        <v>0.09</v>
      </c>
    </row>
    <row r="223" spans="1:4">
      <c r="A223" s="184" t="s">
        <v>3906</v>
      </c>
      <c r="B223" s="184" t="s">
        <v>3238</v>
      </c>
      <c r="C223" s="184" t="str">
        <f t="shared" si="3"/>
        <v>Blanco, TX</v>
      </c>
      <c r="D223" s="187">
        <v>5.7000000000000002E-2</v>
      </c>
    </row>
    <row r="224" spans="1:4">
      <c r="A224" s="184" t="s">
        <v>746</v>
      </c>
      <c r="B224" s="184" t="s">
        <v>395</v>
      </c>
      <c r="C224" s="184" t="str">
        <f t="shared" si="3"/>
        <v>Bland, VA</v>
      </c>
      <c r="D224" s="187">
        <v>4.3999999999999997E-2</v>
      </c>
    </row>
    <row r="225" spans="1:4">
      <c r="A225" s="184" t="s">
        <v>3602</v>
      </c>
      <c r="B225" s="184" t="s">
        <v>2856</v>
      </c>
      <c r="C225" s="184" t="str">
        <f t="shared" si="3"/>
        <v>Bleckley, GA</v>
      </c>
      <c r="D225" s="187">
        <v>4.3999999999999997E-2</v>
      </c>
    </row>
    <row r="226" spans="1:4">
      <c r="A226" s="184" t="s">
        <v>699</v>
      </c>
      <c r="B226" s="184" t="s">
        <v>1735</v>
      </c>
      <c r="C226" s="184" t="str">
        <f t="shared" si="3"/>
        <v>Bledsoe, TN</v>
      </c>
      <c r="D226" s="187">
        <v>0.09</v>
      </c>
    </row>
    <row r="227" spans="1:4">
      <c r="A227" s="184" t="s">
        <v>2000</v>
      </c>
      <c r="B227" s="184" t="s">
        <v>701</v>
      </c>
      <c r="C227" s="184" t="str">
        <f t="shared" si="3"/>
        <v>Blount, AL</v>
      </c>
      <c r="D227" s="187">
        <v>6.0999999999999999E-2</v>
      </c>
    </row>
    <row r="228" spans="1:4">
      <c r="A228" s="184" t="s">
        <v>699</v>
      </c>
      <c r="B228" s="184" t="s">
        <v>701</v>
      </c>
      <c r="C228" s="184" t="str">
        <f t="shared" si="3"/>
        <v>Blount, TN</v>
      </c>
      <c r="D228" s="187">
        <v>0.09</v>
      </c>
    </row>
    <row r="229" spans="1:4">
      <c r="A229" s="184" t="s">
        <v>3429</v>
      </c>
      <c r="B229" s="184" t="s">
        <v>1478</v>
      </c>
      <c r="C229" s="184" t="str">
        <f t="shared" si="3"/>
        <v>Blue Earth, MN</v>
      </c>
      <c r="D229" s="187">
        <v>0.09</v>
      </c>
    </row>
    <row r="230" spans="1:4">
      <c r="A230" s="184" t="s">
        <v>3875</v>
      </c>
      <c r="B230" s="184" t="s">
        <v>1058</v>
      </c>
      <c r="C230" s="184" t="str">
        <f t="shared" si="3"/>
        <v>Boise, ID</v>
      </c>
      <c r="D230" s="187">
        <v>4.3999999999999997E-2</v>
      </c>
    </row>
    <row r="231" spans="1:4">
      <c r="A231" s="184" t="s">
        <v>3035</v>
      </c>
      <c r="B231" s="184" t="s">
        <v>2421</v>
      </c>
      <c r="C231" s="184" t="str">
        <f t="shared" si="3"/>
        <v>Bolivar, MS</v>
      </c>
      <c r="D231" s="187">
        <v>5.7000000000000002E-2</v>
      </c>
    </row>
    <row r="232" spans="1:4">
      <c r="A232" s="184" t="s">
        <v>3434</v>
      </c>
      <c r="B232" s="184" t="s">
        <v>2922</v>
      </c>
      <c r="C232" s="184" t="str">
        <f t="shared" si="3"/>
        <v>Bollinger, MO</v>
      </c>
      <c r="D232" s="187">
        <v>0.09</v>
      </c>
    </row>
    <row r="233" spans="1:4">
      <c r="A233" s="184" t="s">
        <v>1944</v>
      </c>
      <c r="B233" s="184" t="s">
        <v>86</v>
      </c>
      <c r="C233" s="184" t="str">
        <f t="shared" si="3"/>
        <v>Bon Homme, SD</v>
      </c>
      <c r="D233" s="187">
        <v>4.3999999999999997E-2</v>
      </c>
    </row>
    <row r="234" spans="1:4">
      <c r="A234" s="184" t="s">
        <v>2019</v>
      </c>
      <c r="B234" s="184" t="s">
        <v>1016</v>
      </c>
      <c r="C234" s="184" t="str">
        <f t="shared" si="3"/>
        <v>Bond, IL</v>
      </c>
      <c r="D234" s="187">
        <v>0.09</v>
      </c>
    </row>
    <row r="235" spans="1:4">
      <c r="A235" s="184" t="s">
        <v>3875</v>
      </c>
      <c r="B235" s="184" t="s">
        <v>1059</v>
      </c>
      <c r="C235" s="184" t="str">
        <f t="shared" si="3"/>
        <v>Bonner, ID</v>
      </c>
      <c r="D235" s="187">
        <v>4.3999999999999997E-2</v>
      </c>
    </row>
    <row r="236" spans="1:4">
      <c r="A236" s="184" t="s">
        <v>3875</v>
      </c>
      <c r="B236" s="184" t="s">
        <v>2744</v>
      </c>
      <c r="C236" s="184" t="str">
        <f t="shared" si="3"/>
        <v>Bonneville, ID</v>
      </c>
      <c r="D236" s="187">
        <v>4.3999999999999997E-2</v>
      </c>
    </row>
    <row r="237" spans="1:4">
      <c r="A237" s="184" t="s">
        <v>566</v>
      </c>
      <c r="B237" s="184" t="s">
        <v>1628</v>
      </c>
      <c r="C237" s="184" t="str">
        <f t="shared" si="3"/>
        <v>Boone, AR</v>
      </c>
      <c r="D237" s="187">
        <v>4.3999999999999997E-2</v>
      </c>
    </row>
    <row r="238" spans="1:4">
      <c r="A238" s="184" t="s">
        <v>2031</v>
      </c>
      <c r="B238" s="184" t="s">
        <v>1628</v>
      </c>
      <c r="C238" s="184" t="str">
        <f t="shared" si="3"/>
        <v>Boone, IA</v>
      </c>
      <c r="D238" s="187">
        <v>0.09</v>
      </c>
    </row>
    <row r="239" spans="1:4">
      <c r="A239" s="184" t="s">
        <v>2019</v>
      </c>
      <c r="B239" s="184" t="s">
        <v>1628</v>
      </c>
      <c r="C239" s="184" t="str">
        <f t="shared" si="3"/>
        <v>Boone, IL</v>
      </c>
      <c r="D239" s="187">
        <v>5.7000000000000002E-2</v>
      </c>
    </row>
    <row r="240" spans="1:4">
      <c r="A240" s="184" t="s">
        <v>2021</v>
      </c>
      <c r="B240" s="184" t="s">
        <v>1628</v>
      </c>
      <c r="C240" s="184" t="str">
        <f t="shared" si="3"/>
        <v>Boone, IN</v>
      </c>
      <c r="D240" s="187">
        <v>6.0999999999999999E-2</v>
      </c>
    </row>
    <row r="241" spans="1:4">
      <c r="A241" s="184" t="s">
        <v>529</v>
      </c>
      <c r="B241" s="184" t="s">
        <v>1628</v>
      </c>
      <c r="C241" s="184" t="str">
        <f t="shared" si="3"/>
        <v>Boone, KY</v>
      </c>
      <c r="D241" s="187">
        <v>6.0999999999999999E-2</v>
      </c>
    </row>
    <row r="242" spans="1:4">
      <c r="A242" s="184" t="s">
        <v>3434</v>
      </c>
      <c r="B242" s="184" t="s">
        <v>1628</v>
      </c>
      <c r="C242" s="184" t="str">
        <f t="shared" si="3"/>
        <v>Boone, MO</v>
      </c>
      <c r="D242" s="187">
        <v>6.0999999999999999E-2</v>
      </c>
    </row>
    <row r="243" spans="1:4">
      <c r="A243" s="184" t="s">
        <v>3442</v>
      </c>
      <c r="B243" s="184" t="s">
        <v>1628</v>
      </c>
      <c r="C243" s="184" t="str">
        <f t="shared" si="3"/>
        <v>Boone, NE</v>
      </c>
      <c r="D243" s="187">
        <v>0.09</v>
      </c>
    </row>
    <row r="244" spans="1:4">
      <c r="A244" s="184" t="s">
        <v>542</v>
      </c>
      <c r="B244" s="184" t="s">
        <v>1628</v>
      </c>
      <c r="C244" s="184" t="str">
        <f t="shared" si="3"/>
        <v>Boone, WV</v>
      </c>
      <c r="D244" s="187">
        <v>0.09</v>
      </c>
    </row>
    <row r="245" spans="1:4">
      <c r="A245" s="184" t="s">
        <v>3906</v>
      </c>
      <c r="B245" s="184" t="s">
        <v>980</v>
      </c>
      <c r="C245" s="184" t="str">
        <f t="shared" si="3"/>
        <v>Borden, TX</v>
      </c>
      <c r="D245" s="187">
        <v>4.3999999999999997E-2</v>
      </c>
    </row>
    <row r="246" spans="1:4">
      <c r="A246" s="184" t="s">
        <v>3906</v>
      </c>
      <c r="B246" s="184" t="s">
        <v>3239</v>
      </c>
      <c r="C246" s="184" t="str">
        <f t="shared" si="3"/>
        <v>Bosque, TX</v>
      </c>
      <c r="D246" s="187">
        <v>5.7000000000000002E-2</v>
      </c>
    </row>
    <row r="247" spans="1:4">
      <c r="A247" s="184" t="s">
        <v>535</v>
      </c>
      <c r="B247" s="184" t="s">
        <v>354</v>
      </c>
      <c r="C247" s="184" t="str">
        <f t="shared" si="3"/>
        <v>Bossier, LA</v>
      </c>
      <c r="D247" s="187">
        <v>0.09</v>
      </c>
    </row>
    <row r="248" spans="1:4">
      <c r="A248" s="184" t="s">
        <v>746</v>
      </c>
      <c r="B248" s="184" t="s">
        <v>749</v>
      </c>
      <c r="C248" s="184" t="str">
        <f t="shared" si="3"/>
        <v>Botetourt, VA</v>
      </c>
      <c r="D248" s="187">
        <v>6.0999999999999999E-2</v>
      </c>
    </row>
    <row r="249" spans="1:4">
      <c r="A249" s="184" t="s">
        <v>2558</v>
      </c>
      <c r="B249" s="184" t="s">
        <v>1241</v>
      </c>
      <c r="C249" s="184" t="str">
        <f t="shared" si="3"/>
        <v>Bottineau, ND</v>
      </c>
      <c r="D249" s="187">
        <v>0.09</v>
      </c>
    </row>
    <row r="250" spans="1:4">
      <c r="A250" s="184" t="s">
        <v>3108</v>
      </c>
      <c r="B250" s="184" t="s">
        <v>3109</v>
      </c>
      <c r="C250" s="184" t="str">
        <f t="shared" si="3"/>
        <v>Boulder, CO</v>
      </c>
      <c r="D250" s="187">
        <v>6.0999999999999999E-2</v>
      </c>
    </row>
    <row r="251" spans="1:4">
      <c r="A251" s="184" t="s">
        <v>3875</v>
      </c>
      <c r="B251" s="184" t="s">
        <v>2745</v>
      </c>
      <c r="C251" s="184" t="str">
        <f t="shared" si="3"/>
        <v>Boundary, ID</v>
      </c>
      <c r="D251" s="187">
        <v>4.3999999999999997E-2</v>
      </c>
    </row>
    <row r="252" spans="1:4">
      <c r="A252" s="184" t="s">
        <v>663</v>
      </c>
      <c r="B252" s="184" t="s">
        <v>1427</v>
      </c>
      <c r="C252" s="184" t="str">
        <f t="shared" si="3"/>
        <v>Bourbon, KS</v>
      </c>
      <c r="D252" s="187">
        <v>0.09</v>
      </c>
    </row>
    <row r="253" spans="1:4">
      <c r="A253" s="184" t="s">
        <v>529</v>
      </c>
      <c r="B253" s="184" t="s">
        <v>1427</v>
      </c>
      <c r="C253" s="184" t="str">
        <f t="shared" si="3"/>
        <v>Bourbon, KY</v>
      </c>
      <c r="D253" s="187">
        <v>3.5000000000000003E-2</v>
      </c>
    </row>
    <row r="254" spans="1:4">
      <c r="A254" s="184" t="s">
        <v>3906</v>
      </c>
      <c r="B254" s="184" t="s">
        <v>493</v>
      </c>
      <c r="C254" s="184" t="str">
        <f t="shared" si="3"/>
        <v>Bowie, TX</v>
      </c>
      <c r="D254" s="187">
        <v>4.3999999999999997E-2</v>
      </c>
    </row>
    <row r="255" spans="1:4">
      <c r="A255" s="184" t="s">
        <v>2558</v>
      </c>
      <c r="B255" s="184" t="s">
        <v>1242</v>
      </c>
      <c r="C255" s="184" t="str">
        <f t="shared" si="3"/>
        <v>Bowman, ND</v>
      </c>
      <c r="D255" s="187">
        <v>0.09</v>
      </c>
    </row>
    <row r="256" spans="1:4">
      <c r="A256" s="184" t="s">
        <v>3442</v>
      </c>
      <c r="B256" s="184" t="s">
        <v>3093</v>
      </c>
      <c r="C256" s="184" t="str">
        <f t="shared" si="3"/>
        <v>Box Butte, NE</v>
      </c>
      <c r="D256" s="187">
        <v>0.09</v>
      </c>
    </row>
    <row r="257" spans="1:4">
      <c r="A257" s="184" t="s">
        <v>742</v>
      </c>
      <c r="B257" s="184" t="s">
        <v>380</v>
      </c>
      <c r="C257" s="184" t="str">
        <f t="shared" si="3"/>
        <v>Box Elder, UT</v>
      </c>
      <c r="D257" s="187">
        <v>4.3999999999999997E-2</v>
      </c>
    </row>
    <row r="258" spans="1:4">
      <c r="A258" s="184" t="s">
        <v>529</v>
      </c>
      <c r="B258" s="184" t="s">
        <v>530</v>
      </c>
      <c r="C258" s="184" t="str">
        <f t="shared" si="3"/>
        <v>Boyd, KY</v>
      </c>
      <c r="D258" s="187">
        <v>0.09</v>
      </c>
    </row>
    <row r="259" spans="1:4">
      <c r="A259" s="184" t="s">
        <v>3442</v>
      </c>
      <c r="B259" s="184" t="s">
        <v>530</v>
      </c>
      <c r="C259" s="184" t="str">
        <f t="shared" si="3"/>
        <v>Boyd, NE</v>
      </c>
      <c r="D259" s="187">
        <v>0.09</v>
      </c>
    </row>
    <row r="260" spans="1:4">
      <c r="A260" s="184" t="s">
        <v>529</v>
      </c>
      <c r="B260" s="184" t="s">
        <v>403</v>
      </c>
      <c r="C260" s="184" t="str">
        <f t="shared" si="3"/>
        <v>Boyle, KY</v>
      </c>
      <c r="D260" s="187">
        <v>0.09</v>
      </c>
    </row>
    <row r="261" spans="1:4">
      <c r="A261" s="184" t="s">
        <v>529</v>
      </c>
      <c r="B261" s="184" t="s">
        <v>404</v>
      </c>
      <c r="C261" s="184" t="str">
        <f t="shared" si="3"/>
        <v>Bracken, KY</v>
      </c>
      <c r="D261" s="187">
        <v>0.09</v>
      </c>
    </row>
    <row r="262" spans="1:4">
      <c r="A262" s="184" t="s">
        <v>3594</v>
      </c>
      <c r="B262" s="184" t="s">
        <v>1183</v>
      </c>
      <c r="C262" s="184" t="str">
        <f t="shared" ref="C262:C325" si="4">B262&amp;", "&amp;A262</f>
        <v>Bradford, FL</v>
      </c>
      <c r="D262" s="187">
        <v>4.3999999999999997E-2</v>
      </c>
    </row>
    <row r="263" spans="1:4">
      <c r="A263" s="184" t="s">
        <v>3356</v>
      </c>
      <c r="B263" s="184" t="s">
        <v>1183</v>
      </c>
      <c r="C263" s="184" t="str">
        <f t="shared" si="4"/>
        <v>Bradford, PA</v>
      </c>
      <c r="D263" s="187">
        <v>0.09</v>
      </c>
    </row>
    <row r="264" spans="1:4">
      <c r="A264" s="184" t="s">
        <v>566</v>
      </c>
      <c r="B264" s="184" t="s">
        <v>2999</v>
      </c>
      <c r="C264" s="184" t="str">
        <f t="shared" si="4"/>
        <v>Bradley, AR</v>
      </c>
      <c r="D264" s="187">
        <v>4.3999999999999997E-2</v>
      </c>
    </row>
    <row r="265" spans="1:4">
      <c r="A265" s="184" t="s">
        <v>699</v>
      </c>
      <c r="B265" s="184" t="s">
        <v>2999</v>
      </c>
      <c r="C265" s="184" t="str">
        <f t="shared" si="4"/>
        <v>Bradley, TN</v>
      </c>
      <c r="D265" s="187">
        <v>0.09</v>
      </c>
    </row>
    <row r="266" spans="1:4">
      <c r="A266" s="184" t="s">
        <v>2090</v>
      </c>
      <c r="B266" s="184" t="s">
        <v>637</v>
      </c>
      <c r="C266" s="184" t="str">
        <f t="shared" si="4"/>
        <v>Branch, MI</v>
      </c>
      <c r="D266" s="187">
        <v>0.09</v>
      </c>
    </row>
    <row r="267" spans="1:4">
      <c r="A267" s="184" t="s">
        <v>3602</v>
      </c>
      <c r="B267" s="184" t="s">
        <v>3095</v>
      </c>
      <c r="C267" s="184" t="str">
        <f t="shared" si="4"/>
        <v>Brantley, GA</v>
      </c>
      <c r="D267" s="187">
        <v>4.3999999999999997E-2</v>
      </c>
    </row>
    <row r="268" spans="1:4">
      <c r="A268" s="184" t="s">
        <v>542</v>
      </c>
      <c r="B268" s="184" t="s">
        <v>1845</v>
      </c>
      <c r="C268" s="184" t="str">
        <f t="shared" si="4"/>
        <v>Braxton, WV</v>
      </c>
      <c r="D268" s="187">
        <v>0.09</v>
      </c>
    </row>
    <row r="269" spans="1:4">
      <c r="A269" s="184" t="s">
        <v>3906</v>
      </c>
      <c r="B269" s="184" t="s">
        <v>494</v>
      </c>
      <c r="C269" s="184" t="str">
        <f t="shared" si="4"/>
        <v>Brazoria, TX</v>
      </c>
      <c r="D269" s="187">
        <v>4.3999999999999997E-2</v>
      </c>
    </row>
    <row r="270" spans="1:4">
      <c r="A270" s="184" t="s">
        <v>3906</v>
      </c>
      <c r="B270" s="184" t="s">
        <v>495</v>
      </c>
      <c r="C270" s="184" t="str">
        <f t="shared" si="4"/>
        <v>Brazos, TX</v>
      </c>
      <c r="D270" s="187">
        <v>4.3999999999999997E-2</v>
      </c>
    </row>
    <row r="271" spans="1:4">
      <c r="A271" s="184" t="s">
        <v>529</v>
      </c>
      <c r="B271" s="184" t="s">
        <v>3453</v>
      </c>
      <c r="C271" s="184" t="str">
        <f t="shared" si="4"/>
        <v>Breathitt, KY</v>
      </c>
      <c r="D271" s="187">
        <v>5.7000000000000002E-2</v>
      </c>
    </row>
    <row r="272" spans="1:4">
      <c r="A272" s="184" t="s">
        <v>529</v>
      </c>
      <c r="B272" s="184" t="s">
        <v>405</v>
      </c>
      <c r="C272" s="184" t="str">
        <f t="shared" si="4"/>
        <v>Breckinridge, KY</v>
      </c>
      <c r="D272" s="187">
        <v>0.09</v>
      </c>
    </row>
    <row r="273" spans="1:4">
      <c r="A273" s="184" t="s">
        <v>2031</v>
      </c>
      <c r="B273" s="184" t="s">
        <v>2848</v>
      </c>
      <c r="C273" s="184" t="str">
        <f t="shared" si="4"/>
        <v>Bremer, IA</v>
      </c>
      <c r="D273" s="187">
        <v>0.09</v>
      </c>
    </row>
    <row r="274" spans="1:4">
      <c r="A274" s="184" t="s">
        <v>3594</v>
      </c>
      <c r="B274" s="184" t="s">
        <v>3418</v>
      </c>
      <c r="C274" s="184" t="str">
        <f t="shared" si="4"/>
        <v>Brevard, FL</v>
      </c>
      <c r="D274" s="187">
        <v>5.7000000000000002E-2</v>
      </c>
    </row>
    <row r="275" spans="1:4">
      <c r="A275" s="184" t="s">
        <v>3906</v>
      </c>
      <c r="B275" s="184" t="s">
        <v>981</v>
      </c>
      <c r="C275" s="184" t="str">
        <f t="shared" si="4"/>
        <v>Brewster, TX</v>
      </c>
      <c r="D275" s="187">
        <v>4.3999999999999997E-2</v>
      </c>
    </row>
    <row r="276" spans="1:4">
      <c r="A276" s="184" t="s">
        <v>3906</v>
      </c>
      <c r="B276" s="184" t="s">
        <v>982</v>
      </c>
      <c r="C276" s="184" t="str">
        <f t="shared" si="4"/>
        <v>Briscoe, TX</v>
      </c>
      <c r="D276" s="187">
        <v>4.3999999999999997E-2</v>
      </c>
    </row>
    <row r="277" spans="1:4">
      <c r="A277" s="184" t="s">
        <v>1228</v>
      </c>
      <c r="B277" s="184" t="s">
        <v>63</v>
      </c>
      <c r="C277" s="184" t="str">
        <f t="shared" si="4"/>
        <v>Bristol, MA</v>
      </c>
      <c r="D277" s="187">
        <v>2.4E-2</v>
      </c>
    </row>
    <row r="278" spans="1:4">
      <c r="A278" s="184" t="s">
        <v>62</v>
      </c>
      <c r="B278" s="184" t="s">
        <v>63</v>
      </c>
      <c r="C278" s="184" t="str">
        <f t="shared" si="4"/>
        <v>Bristol, RI</v>
      </c>
      <c r="D278" s="187">
        <v>6.0999999999999999E-2</v>
      </c>
    </row>
    <row r="279" spans="1:4">
      <c r="A279" s="184" t="s">
        <v>988</v>
      </c>
      <c r="B279" s="184" t="s">
        <v>2969</v>
      </c>
      <c r="C279" s="184" t="str">
        <f t="shared" si="4"/>
        <v>Bristol Bay, AK</v>
      </c>
      <c r="D279" s="187">
        <v>6.0999999999999999E-2</v>
      </c>
    </row>
    <row r="280" spans="1:4">
      <c r="A280" s="184" t="s">
        <v>746</v>
      </c>
      <c r="B280" s="184" t="s">
        <v>2602</v>
      </c>
      <c r="C280" s="184" t="str">
        <f t="shared" si="4"/>
        <v>Bristol City, VA</v>
      </c>
      <c r="D280" s="187">
        <v>4.3999999999999997E-2</v>
      </c>
    </row>
    <row r="281" spans="1:4">
      <c r="A281" s="184" t="s">
        <v>3438</v>
      </c>
      <c r="B281" s="184" t="s">
        <v>2802</v>
      </c>
      <c r="C281" s="184" t="str">
        <f t="shared" si="4"/>
        <v>Broadwater, MT</v>
      </c>
      <c r="D281" s="187">
        <v>0.09</v>
      </c>
    </row>
    <row r="282" spans="1:4">
      <c r="A282" s="184" t="s">
        <v>3446</v>
      </c>
      <c r="B282" s="184" t="s">
        <v>3624</v>
      </c>
      <c r="C282" s="184" t="str">
        <f t="shared" si="4"/>
        <v>Bronx, NY</v>
      </c>
      <c r="D282" s="187">
        <v>6.0999999999999999E-2</v>
      </c>
    </row>
    <row r="283" spans="1:4">
      <c r="A283" s="184" t="s">
        <v>542</v>
      </c>
      <c r="B283" s="184" t="s">
        <v>543</v>
      </c>
      <c r="C283" s="184" t="str">
        <f t="shared" si="4"/>
        <v>Brooke, WV</v>
      </c>
      <c r="D283" s="187">
        <v>0.09</v>
      </c>
    </row>
    <row r="284" spans="1:4">
      <c r="A284" s="184" t="s">
        <v>1944</v>
      </c>
      <c r="B284" s="184" t="s">
        <v>87</v>
      </c>
      <c r="C284" s="184" t="str">
        <f t="shared" si="4"/>
        <v>Brookings, SD</v>
      </c>
      <c r="D284" s="187">
        <v>4.3999999999999997E-2</v>
      </c>
    </row>
    <row r="285" spans="1:4">
      <c r="A285" s="184" t="s">
        <v>3602</v>
      </c>
      <c r="B285" s="184" t="s">
        <v>3096</v>
      </c>
      <c r="C285" s="184" t="str">
        <f t="shared" si="4"/>
        <v>Brooks, GA</v>
      </c>
      <c r="D285" s="187">
        <v>4.3999999999999997E-2</v>
      </c>
    </row>
    <row r="286" spans="1:4">
      <c r="A286" s="184" t="s">
        <v>3906</v>
      </c>
      <c r="B286" s="184" t="s">
        <v>3096</v>
      </c>
      <c r="C286" s="184" t="str">
        <f t="shared" si="4"/>
        <v>Brooks, TX</v>
      </c>
      <c r="D286" s="187">
        <v>5.7000000000000002E-2</v>
      </c>
    </row>
    <row r="287" spans="1:4">
      <c r="A287" s="184" t="s">
        <v>3446</v>
      </c>
      <c r="B287" s="184" t="s">
        <v>2548</v>
      </c>
      <c r="C287" s="184" t="str">
        <f t="shared" si="4"/>
        <v>Broome, NY</v>
      </c>
      <c r="D287" s="187">
        <v>0.09</v>
      </c>
    </row>
    <row r="288" spans="1:4">
      <c r="A288" s="184" t="s">
        <v>3594</v>
      </c>
      <c r="B288" s="184" t="s">
        <v>585</v>
      </c>
      <c r="C288" s="184" t="str">
        <f t="shared" si="4"/>
        <v>Broward, FL</v>
      </c>
      <c r="D288" s="187">
        <v>2.1999999999999999E-2</v>
      </c>
    </row>
    <row r="289" spans="1:4">
      <c r="A289" s="184" t="s">
        <v>2019</v>
      </c>
      <c r="B289" s="184" t="s">
        <v>2672</v>
      </c>
      <c r="C289" s="184" t="str">
        <f t="shared" si="4"/>
        <v>Brown, IL</v>
      </c>
      <c r="D289" s="187">
        <v>0.09</v>
      </c>
    </row>
    <row r="290" spans="1:4">
      <c r="A290" s="184" t="s">
        <v>2021</v>
      </c>
      <c r="B290" s="184" t="s">
        <v>2672</v>
      </c>
      <c r="C290" s="184" t="str">
        <f t="shared" si="4"/>
        <v>Brown, IN</v>
      </c>
      <c r="D290" s="187">
        <v>0.09</v>
      </c>
    </row>
    <row r="291" spans="1:4">
      <c r="A291" s="184" t="s">
        <v>663</v>
      </c>
      <c r="B291" s="184" t="s">
        <v>2672</v>
      </c>
      <c r="C291" s="184" t="str">
        <f t="shared" si="4"/>
        <v>Brown, KS</v>
      </c>
      <c r="D291" s="187">
        <v>0.09</v>
      </c>
    </row>
    <row r="292" spans="1:4">
      <c r="A292" s="184" t="s">
        <v>3429</v>
      </c>
      <c r="B292" s="184" t="s">
        <v>2672</v>
      </c>
      <c r="C292" s="184" t="str">
        <f t="shared" si="4"/>
        <v>Brown, MN</v>
      </c>
      <c r="D292" s="187">
        <v>0.09</v>
      </c>
    </row>
    <row r="293" spans="1:4">
      <c r="A293" s="184" t="s">
        <v>3442</v>
      </c>
      <c r="B293" s="184" t="s">
        <v>2672</v>
      </c>
      <c r="C293" s="184" t="str">
        <f t="shared" si="4"/>
        <v>Brown, NE</v>
      </c>
      <c r="D293" s="187">
        <v>0.09</v>
      </c>
    </row>
    <row r="294" spans="1:4">
      <c r="A294" s="184" t="s">
        <v>2562</v>
      </c>
      <c r="B294" s="184" t="s">
        <v>2672</v>
      </c>
      <c r="C294" s="184" t="str">
        <f t="shared" si="4"/>
        <v>Brown, OH</v>
      </c>
      <c r="D294" s="187">
        <v>6.0999999999999999E-2</v>
      </c>
    </row>
    <row r="295" spans="1:4">
      <c r="A295" s="184" t="s">
        <v>1944</v>
      </c>
      <c r="B295" s="184" t="s">
        <v>2672</v>
      </c>
      <c r="C295" s="184" t="str">
        <f t="shared" si="4"/>
        <v>Brown, SD</v>
      </c>
      <c r="D295" s="187">
        <v>4.3999999999999997E-2</v>
      </c>
    </row>
    <row r="296" spans="1:4">
      <c r="A296" s="184" t="s">
        <v>3906</v>
      </c>
      <c r="B296" s="184" t="s">
        <v>2672</v>
      </c>
      <c r="C296" s="184" t="str">
        <f t="shared" si="4"/>
        <v>Brown, TX</v>
      </c>
      <c r="D296" s="187">
        <v>4.3999999999999997E-2</v>
      </c>
    </row>
    <row r="297" spans="1:4">
      <c r="A297" s="184" t="s">
        <v>550</v>
      </c>
      <c r="B297" s="184" t="s">
        <v>2672</v>
      </c>
      <c r="C297" s="184" t="str">
        <f t="shared" si="4"/>
        <v>Brown, WI</v>
      </c>
      <c r="D297" s="187">
        <v>6.0999999999999999E-2</v>
      </c>
    </row>
    <row r="298" spans="1:4">
      <c r="A298" s="184" t="s">
        <v>1944</v>
      </c>
      <c r="B298" s="184" t="s">
        <v>88</v>
      </c>
      <c r="C298" s="184" t="str">
        <f t="shared" si="4"/>
        <v>Brule, SD</v>
      </c>
      <c r="D298" s="187">
        <v>4.3999999999999997E-2</v>
      </c>
    </row>
    <row r="299" spans="1:4">
      <c r="A299" s="184" t="s">
        <v>2542</v>
      </c>
      <c r="B299" s="184" t="s">
        <v>3316</v>
      </c>
      <c r="C299" s="184" t="str">
        <f t="shared" si="4"/>
        <v>Brunswick, NC</v>
      </c>
      <c r="D299" s="187">
        <v>4.3999999999999997E-2</v>
      </c>
    </row>
    <row r="300" spans="1:4">
      <c r="A300" s="184" t="s">
        <v>746</v>
      </c>
      <c r="B300" s="184" t="s">
        <v>3316</v>
      </c>
      <c r="C300" s="184" t="str">
        <f t="shared" si="4"/>
        <v>Brunswick, VA</v>
      </c>
      <c r="D300" s="187">
        <v>4.3999999999999997E-2</v>
      </c>
    </row>
    <row r="301" spans="1:4">
      <c r="A301" s="184" t="s">
        <v>3602</v>
      </c>
      <c r="B301" s="184" t="s">
        <v>3604</v>
      </c>
      <c r="C301" s="184" t="str">
        <f t="shared" si="4"/>
        <v>Bryan, GA</v>
      </c>
      <c r="D301" s="187">
        <v>6.0999999999999999E-2</v>
      </c>
    </row>
    <row r="302" spans="1:4">
      <c r="A302" s="184" t="s">
        <v>2573</v>
      </c>
      <c r="B302" s="184" t="s">
        <v>3604</v>
      </c>
      <c r="C302" s="184" t="str">
        <f t="shared" si="4"/>
        <v>Bryan, OK</v>
      </c>
      <c r="D302" s="187">
        <v>0.09</v>
      </c>
    </row>
    <row r="303" spans="1:4">
      <c r="A303" s="184" t="s">
        <v>2031</v>
      </c>
      <c r="B303" s="184" t="s">
        <v>2849</v>
      </c>
      <c r="C303" s="184" t="str">
        <f t="shared" si="4"/>
        <v>Buchanan, IA</v>
      </c>
      <c r="D303" s="187">
        <v>0.09</v>
      </c>
    </row>
    <row r="304" spans="1:4">
      <c r="A304" s="184" t="s">
        <v>3434</v>
      </c>
      <c r="B304" s="184" t="s">
        <v>2849</v>
      </c>
      <c r="C304" s="184" t="str">
        <f t="shared" si="4"/>
        <v>Buchanan, MO</v>
      </c>
      <c r="D304" s="187">
        <v>5.7000000000000002E-2</v>
      </c>
    </row>
    <row r="305" spans="1:4">
      <c r="A305" s="184" t="s">
        <v>746</v>
      </c>
      <c r="B305" s="184" t="s">
        <v>2849</v>
      </c>
      <c r="C305" s="184" t="str">
        <f t="shared" si="4"/>
        <v>Buchanan, VA</v>
      </c>
      <c r="D305" s="187">
        <v>4.3999999999999997E-2</v>
      </c>
    </row>
    <row r="306" spans="1:4">
      <c r="A306" s="184" t="s">
        <v>746</v>
      </c>
      <c r="B306" s="184" t="s">
        <v>824</v>
      </c>
      <c r="C306" s="184" t="str">
        <f t="shared" si="4"/>
        <v>Buckingham, VA</v>
      </c>
      <c r="D306" s="187">
        <v>4.3999999999999997E-2</v>
      </c>
    </row>
    <row r="307" spans="1:4">
      <c r="A307" s="184" t="s">
        <v>3356</v>
      </c>
      <c r="B307" s="184" t="s">
        <v>249</v>
      </c>
      <c r="C307" s="184" t="str">
        <f t="shared" si="4"/>
        <v>Bucks, PA</v>
      </c>
      <c r="D307" s="187">
        <v>6.0999999999999999E-2</v>
      </c>
    </row>
    <row r="308" spans="1:4">
      <c r="A308" s="184" t="s">
        <v>2031</v>
      </c>
      <c r="B308" s="184" t="s">
        <v>2850</v>
      </c>
      <c r="C308" s="184" t="str">
        <f t="shared" si="4"/>
        <v>Buena Vista, IA</v>
      </c>
      <c r="D308" s="187">
        <v>0.09</v>
      </c>
    </row>
    <row r="309" spans="1:4">
      <c r="A309" s="184" t="s">
        <v>746</v>
      </c>
      <c r="B309" s="184" t="s">
        <v>2071</v>
      </c>
      <c r="C309" s="184" t="str">
        <f t="shared" si="4"/>
        <v>Buena Vista City, VA</v>
      </c>
      <c r="D309" s="187">
        <v>4.3999999999999997E-2</v>
      </c>
    </row>
    <row r="310" spans="1:4">
      <c r="A310" s="184" t="s">
        <v>3442</v>
      </c>
      <c r="B310" s="184" t="s">
        <v>3094</v>
      </c>
      <c r="C310" s="184" t="str">
        <f t="shared" si="4"/>
        <v>Buffalo, NE</v>
      </c>
      <c r="D310" s="187">
        <v>0.09</v>
      </c>
    </row>
    <row r="311" spans="1:4">
      <c r="A311" s="184" t="s">
        <v>1944</v>
      </c>
      <c r="B311" s="184" t="s">
        <v>3094</v>
      </c>
      <c r="C311" s="184" t="str">
        <f t="shared" si="4"/>
        <v>Buffalo, SD</v>
      </c>
      <c r="D311" s="187">
        <v>4.3999999999999997E-2</v>
      </c>
    </row>
    <row r="312" spans="1:4">
      <c r="A312" s="184" t="s">
        <v>550</v>
      </c>
      <c r="B312" s="184" t="s">
        <v>3094</v>
      </c>
      <c r="C312" s="184" t="str">
        <f t="shared" si="4"/>
        <v>Buffalo, WI</v>
      </c>
      <c r="D312" s="187">
        <v>0.09</v>
      </c>
    </row>
    <row r="313" spans="1:4">
      <c r="A313" s="184" t="s">
        <v>529</v>
      </c>
      <c r="B313" s="184" t="s">
        <v>2340</v>
      </c>
      <c r="C313" s="184" t="str">
        <f t="shared" si="4"/>
        <v>Bullitt, KY</v>
      </c>
      <c r="D313" s="187">
        <v>6.0999999999999999E-2</v>
      </c>
    </row>
    <row r="314" spans="1:4">
      <c r="A314" s="184" t="s">
        <v>3602</v>
      </c>
      <c r="B314" s="184" t="s">
        <v>3097</v>
      </c>
      <c r="C314" s="184" t="str">
        <f t="shared" si="4"/>
        <v>Bulloch, GA</v>
      </c>
      <c r="D314" s="187">
        <v>4.3999999999999997E-2</v>
      </c>
    </row>
    <row r="315" spans="1:4">
      <c r="A315" s="184" t="s">
        <v>2000</v>
      </c>
      <c r="B315" s="184" t="s">
        <v>3880</v>
      </c>
      <c r="C315" s="184" t="str">
        <f t="shared" si="4"/>
        <v>Bullock, AL</v>
      </c>
      <c r="D315" s="187">
        <v>0.09</v>
      </c>
    </row>
    <row r="316" spans="1:4">
      <c r="A316" s="184" t="s">
        <v>2542</v>
      </c>
      <c r="B316" s="184" t="s">
        <v>2544</v>
      </c>
      <c r="C316" s="184" t="str">
        <f t="shared" si="4"/>
        <v>Buncombe, NC</v>
      </c>
      <c r="D316" s="187">
        <v>6.0999999999999999E-2</v>
      </c>
    </row>
    <row r="317" spans="1:4">
      <c r="A317" s="184" t="s">
        <v>2019</v>
      </c>
      <c r="B317" s="184" t="s">
        <v>1017</v>
      </c>
      <c r="C317" s="184" t="str">
        <f t="shared" si="4"/>
        <v>Bureau, IL</v>
      </c>
      <c r="D317" s="187">
        <v>0.09</v>
      </c>
    </row>
    <row r="318" spans="1:4">
      <c r="A318" s="184" t="s">
        <v>3602</v>
      </c>
      <c r="B318" s="184" t="s">
        <v>2187</v>
      </c>
      <c r="C318" s="184" t="str">
        <f t="shared" si="4"/>
        <v>Burke, GA</v>
      </c>
      <c r="D318" s="187">
        <v>5.7000000000000002E-2</v>
      </c>
    </row>
    <row r="319" spans="1:4">
      <c r="A319" s="184" t="s">
        <v>2542</v>
      </c>
      <c r="B319" s="184" t="s">
        <v>2187</v>
      </c>
      <c r="C319" s="184" t="str">
        <f t="shared" si="4"/>
        <v>Burke, NC</v>
      </c>
      <c r="D319" s="187">
        <v>4.3999999999999997E-2</v>
      </c>
    </row>
    <row r="320" spans="1:4">
      <c r="A320" s="184" t="s">
        <v>2558</v>
      </c>
      <c r="B320" s="184" t="s">
        <v>2187</v>
      </c>
      <c r="C320" s="184" t="str">
        <f t="shared" si="4"/>
        <v>Burke, ND</v>
      </c>
      <c r="D320" s="187">
        <v>0.09</v>
      </c>
    </row>
    <row r="321" spans="1:4">
      <c r="A321" s="184" t="s">
        <v>2558</v>
      </c>
      <c r="B321" s="184" t="s">
        <v>2559</v>
      </c>
      <c r="C321" s="184" t="str">
        <f t="shared" si="4"/>
        <v>Burleigh, ND</v>
      </c>
      <c r="D321" s="187">
        <v>0.09</v>
      </c>
    </row>
    <row r="322" spans="1:4">
      <c r="A322" s="184" t="s">
        <v>3906</v>
      </c>
      <c r="B322" s="184" t="s">
        <v>3240</v>
      </c>
      <c r="C322" s="184" t="str">
        <f t="shared" si="4"/>
        <v>Burleson, TX</v>
      </c>
      <c r="D322" s="187">
        <v>5.7000000000000002E-2</v>
      </c>
    </row>
    <row r="323" spans="1:4">
      <c r="A323" s="184" t="s">
        <v>3444</v>
      </c>
      <c r="B323" s="184" t="s">
        <v>3609</v>
      </c>
      <c r="C323" s="184" t="str">
        <f t="shared" si="4"/>
        <v>Burlington, NJ</v>
      </c>
      <c r="D323" s="187">
        <v>6.0999999999999999E-2</v>
      </c>
    </row>
    <row r="324" spans="1:4">
      <c r="A324" s="184" t="s">
        <v>3906</v>
      </c>
      <c r="B324" s="184" t="s">
        <v>983</v>
      </c>
      <c r="C324" s="184" t="str">
        <f t="shared" si="4"/>
        <v>Burnet, TX</v>
      </c>
      <c r="D324" s="187">
        <v>4.3999999999999997E-2</v>
      </c>
    </row>
    <row r="325" spans="1:4">
      <c r="A325" s="184" t="s">
        <v>550</v>
      </c>
      <c r="B325" s="184" t="s">
        <v>847</v>
      </c>
      <c r="C325" s="184" t="str">
        <f t="shared" si="4"/>
        <v>Burnett, WI</v>
      </c>
      <c r="D325" s="187">
        <v>0.09</v>
      </c>
    </row>
    <row r="326" spans="1:4">
      <c r="A326" s="184" t="s">
        <v>3442</v>
      </c>
      <c r="B326" s="184" t="s">
        <v>1251</v>
      </c>
      <c r="C326" s="184" t="str">
        <f t="shared" ref="C326:C389" si="5">B326&amp;", "&amp;A326</f>
        <v>Burt, NE</v>
      </c>
      <c r="D326" s="187">
        <v>0.09</v>
      </c>
    </row>
    <row r="327" spans="1:4">
      <c r="A327" s="184" t="s">
        <v>2000</v>
      </c>
      <c r="B327" s="184" t="s">
        <v>2333</v>
      </c>
      <c r="C327" s="184" t="str">
        <f t="shared" si="5"/>
        <v>Butler, AL</v>
      </c>
      <c r="D327" s="187">
        <v>0.09</v>
      </c>
    </row>
    <row r="328" spans="1:4">
      <c r="A328" s="184" t="s">
        <v>2031</v>
      </c>
      <c r="B328" s="184" t="s">
        <v>2333</v>
      </c>
      <c r="C328" s="184" t="str">
        <f t="shared" si="5"/>
        <v>Butler, IA</v>
      </c>
      <c r="D328" s="187">
        <v>0.09</v>
      </c>
    </row>
    <row r="329" spans="1:4">
      <c r="A329" s="184" t="s">
        <v>663</v>
      </c>
      <c r="B329" s="184" t="s">
        <v>2333</v>
      </c>
      <c r="C329" s="184" t="str">
        <f t="shared" si="5"/>
        <v>Butler, KS</v>
      </c>
      <c r="D329" s="187">
        <v>6.0999999999999999E-2</v>
      </c>
    </row>
    <row r="330" spans="1:4">
      <c r="A330" s="184" t="s">
        <v>529</v>
      </c>
      <c r="B330" s="184" t="s">
        <v>2333</v>
      </c>
      <c r="C330" s="184" t="str">
        <f t="shared" si="5"/>
        <v>Butler, KY</v>
      </c>
      <c r="D330" s="187">
        <v>0.09</v>
      </c>
    </row>
    <row r="331" spans="1:4">
      <c r="A331" s="184" t="s">
        <v>3434</v>
      </c>
      <c r="B331" s="184" t="s">
        <v>2333</v>
      </c>
      <c r="C331" s="184" t="str">
        <f t="shared" si="5"/>
        <v>Butler, MO</v>
      </c>
      <c r="D331" s="187">
        <v>0.09</v>
      </c>
    </row>
    <row r="332" spans="1:4">
      <c r="A332" s="184" t="s">
        <v>3442</v>
      </c>
      <c r="B332" s="184" t="s">
        <v>2333</v>
      </c>
      <c r="C332" s="184" t="str">
        <f t="shared" si="5"/>
        <v>Butler, NE</v>
      </c>
      <c r="D332" s="187">
        <v>0.09</v>
      </c>
    </row>
    <row r="333" spans="1:4">
      <c r="A333" s="184" t="s">
        <v>2562</v>
      </c>
      <c r="B333" s="184" t="s">
        <v>2333</v>
      </c>
      <c r="C333" s="184" t="str">
        <f t="shared" si="5"/>
        <v>Butler, OH</v>
      </c>
      <c r="D333" s="187">
        <v>6.0999999999999999E-2</v>
      </c>
    </row>
    <row r="334" spans="1:4">
      <c r="A334" s="184" t="s">
        <v>3356</v>
      </c>
      <c r="B334" s="184" t="s">
        <v>2333</v>
      </c>
      <c r="C334" s="184" t="str">
        <f t="shared" si="5"/>
        <v>Butler, PA</v>
      </c>
      <c r="D334" s="187">
        <v>6.0999999999999999E-2</v>
      </c>
    </row>
    <row r="335" spans="1:4">
      <c r="A335" s="184" t="s">
        <v>3106</v>
      </c>
      <c r="B335" s="184" t="s">
        <v>1258</v>
      </c>
      <c r="C335" s="184" t="str">
        <f t="shared" si="5"/>
        <v>Butte, CA</v>
      </c>
      <c r="D335" s="187">
        <v>5.7000000000000002E-2</v>
      </c>
    </row>
    <row r="336" spans="1:4">
      <c r="A336" s="184" t="s">
        <v>3875</v>
      </c>
      <c r="B336" s="184" t="s">
        <v>1258</v>
      </c>
      <c r="C336" s="184" t="str">
        <f t="shared" si="5"/>
        <v>Butte, ID</v>
      </c>
      <c r="D336" s="187">
        <v>4.3999999999999997E-2</v>
      </c>
    </row>
    <row r="337" spans="1:4">
      <c r="A337" s="184" t="s">
        <v>1944</v>
      </c>
      <c r="B337" s="184" t="s">
        <v>1258</v>
      </c>
      <c r="C337" s="184" t="str">
        <f t="shared" si="5"/>
        <v>Butte, SD</v>
      </c>
      <c r="D337" s="187">
        <v>4.3999999999999997E-2</v>
      </c>
    </row>
    <row r="338" spans="1:4">
      <c r="A338" s="184" t="s">
        <v>3602</v>
      </c>
      <c r="B338" s="184" t="s">
        <v>3426</v>
      </c>
      <c r="C338" s="184" t="str">
        <f t="shared" si="5"/>
        <v>Butts, GA</v>
      </c>
      <c r="D338" s="187">
        <v>5.7000000000000002E-2</v>
      </c>
    </row>
    <row r="339" spans="1:4">
      <c r="A339" s="184" t="s">
        <v>2542</v>
      </c>
      <c r="B339" s="184" t="s">
        <v>2545</v>
      </c>
      <c r="C339" s="184" t="str">
        <f t="shared" si="5"/>
        <v>Cabarrus, NC</v>
      </c>
      <c r="D339" s="187">
        <v>6.0999999999999999E-2</v>
      </c>
    </row>
    <row r="340" spans="1:4">
      <c r="A340" s="184" t="s">
        <v>542</v>
      </c>
      <c r="B340" s="184" t="s">
        <v>544</v>
      </c>
      <c r="C340" s="184" t="str">
        <f t="shared" si="5"/>
        <v>Cabell, WV</v>
      </c>
      <c r="D340" s="187">
        <v>0.09</v>
      </c>
    </row>
    <row r="341" spans="1:4">
      <c r="A341" s="184" t="s">
        <v>742</v>
      </c>
      <c r="B341" s="184" t="s">
        <v>381</v>
      </c>
      <c r="C341" s="184" t="str">
        <f t="shared" si="5"/>
        <v>Cache, UT</v>
      </c>
      <c r="D341" s="187">
        <v>4.3999999999999997E-2</v>
      </c>
    </row>
    <row r="342" spans="1:4">
      <c r="A342" s="184" t="s">
        <v>535</v>
      </c>
      <c r="B342" s="184" t="s">
        <v>435</v>
      </c>
      <c r="C342" s="184" t="str">
        <f t="shared" si="5"/>
        <v>Caddo, LA</v>
      </c>
      <c r="D342" s="187">
        <v>5.7000000000000002E-2</v>
      </c>
    </row>
    <row r="343" spans="1:4">
      <c r="A343" s="184" t="s">
        <v>2573</v>
      </c>
      <c r="B343" s="184" t="s">
        <v>435</v>
      </c>
      <c r="C343" s="184" t="str">
        <f t="shared" si="5"/>
        <v>Caddo, OK</v>
      </c>
      <c r="D343" s="187">
        <v>0.09</v>
      </c>
    </row>
    <row r="344" spans="1:4">
      <c r="A344" s="184" t="s">
        <v>3106</v>
      </c>
      <c r="B344" s="184" t="s">
        <v>3016</v>
      </c>
      <c r="C344" s="184" t="str">
        <f t="shared" si="5"/>
        <v>Calaveras, CA</v>
      </c>
      <c r="D344" s="187">
        <v>0.09</v>
      </c>
    </row>
    <row r="345" spans="1:4">
      <c r="A345" s="184" t="s">
        <v>535</v>
      </c>
      <c r="B345" s="184" t="s">
        <v>355</v>
      </c>
      <c r="C345" s="184" t="str">
        <f t="shared" si="5"/>
        <v>Calcasieu, LA</v>
      </c>
      <c r="D345" s="187">
        <v>0.09</v>
      </c>
    </row>
    <row r="346" spans="1:4">
      <c r="A346" s="184" t="s">
        <v>529</v>
      </c>
      <c r="B346" s="184" t="s">
        <v>3908</v>
      </c>
      <c r="C346" s="184" t="str">
        <f t="shared" si="5"/>
        <v>Caldwell, KY</v>
      </c>
      <c r="D346" s="187">
        <v>0.09</v>
      </c>
    </row>
    <row r="347" spans="1:4">
      <c r="A347" s="184" t="s">
        <v>535</v>
      </c>
      <c r="B347" s="184" t="s">
        <v>3908</v>
      </c>
      <c r="C347" s="184" t="str">
        <f t="shared" si="5"/>
        <v>Caldwell, LA</v>
      </c>
      <c r="D347" s="187">
        <v>0.09</v>
      </c>
    </row>
    <row r="348" spans="1:4">
      <c r="A348" s="184" t="s">
        <v>3434</v>
      </c>
      <c r="B348" s="184" t="s">
        <v>3908</v>
      </c>
      <c r="C348" s="184" t="str">
        <f t="shared" si="5"/>
        <v>Caldwell, MO</v>
      </c>
      <c r="D348" s="187">
        <v>0.09</v>
      </c>
    </row>
    <row r="349" spans="1:4">
      <c r="A349" s="184" t="s">
        <v>2542</v>
      </c>
      <c r="B349" s="184" t="s">
        <v>3908</v>
      </c>
      <c r="C349" s="184" t="str">
        <f t="shared" si="5"/>
        <v>Caldwell, NC</v>
      </c>
      <c r="D349" s="187">
        <v>4.3999999999999997E-2</v>
      </c>
    </row>
    <row r="350" spans="1:4">
      <c r="A350" s="184" t="s">
        <v>3906</v>
      </c>
      <c r="B350" s="184" t="s">
        <v>3908</v>
      </c>
      <c r="C350" s="184" t="str">
        <f t="shared" si="5"/>
        <v>Caldwell, TX</v>
      </c>
      <c r="D350" s="187">
        <v>6.0999999999999999E-2</v>
      </c>
    </row>
    <row r="351" spans="1:4">
      <c r="A351" s="184" t="s">
        <v>2509</v>
      </c>
      <c r="B351" s="184" t="s">
        <v>2511</v>
      </c>
      <c r="C351" s="184" t="str">
        <f t="shared" si="5"/>
        <v>Caledonia, VT</v>
      </c>
      <c r="D351" s="187">
        <v>0.09</v>
      </c>
    </row>
    <row r="352" spans="1:4">
      <c r="A352" s="184" t="s">
        <v>2000</v>
      </c>
      <c r="B352" s="184" t="s">
        <v>2003</v>
      </c>
      <c r="C352" s="184" t="str">
        <f t="shared" si="5"/>
        <v>Calhoun, AL</v>
      </c>
      <c r="D352" s="187">
        <v>0.09</v>
      </c>
    </row>
    <row r="353" spans="1:4">
      <c r="A353" s="184" t="s">
        <v>566</v>
      </c>
      <c r="B353" s="184" t="s">
        <v>2003</v>
      </c>
      <c r="C353" s="184" t="str">
        <f t="shared" si="5"/>
        <v>Calhoun, AR</v>
      </c>
      <c r="D353" s="187">
        <v>4.3999999999999997E-2</v>
      </c>
    </row>
    <row r="354" spans="1:4">
      <c r="A354" s="184" t="s">
        <v>3594</v>
      </c>
      <c r="B354" s="184" t="s">
        <v>2003</v>
      </c>
      <c r="C354" s="184" t="str">
        <f t="shared" si="5"/>
        <v>Calhoun, FL</v>
      </c>
      <c r="D354" s="187">
        <v>4.3999999999999997E-2</v>
      </c>
    </row>
    <row r="355" spans="1:4">
      <c r="A355" s="184" t="s">
        <v>3602</v>
      </c>
      <c r="B355" s="184" t="s">
        <v>2003</v>
      </c>
      <c r="C355" s="184" t="str">
        <f t="shared" si="5"/>
        <v>Calhoun, GA</v>
      </c>
      <c r="D355" s="187">
        <v>4.3999999999999997E-2</v>
      </c>
    </row>
    <row r="356" spans="1:4">
      <c r="A356" s="184" t="s">
        <v>2031</v>
      </c>
      <c r="B356" s="184" t="s">
        <v>2003</v>
      </c>
      <c r="C356" s="184" t="str">
        <f t="shared" si="5"/>
        <v>Calhoun, IA</v>
      </c>
      <c r="D356" s="187">
        <v>0.09</v>
      </c>
    </row>
    <row r="357" spans="1:4">
      <c r="A357" s="184" t="s">
        <v>2019</v>
      </c>
      <c r="B357" s="184" t="s">
        <v>2003</v>
      </c>
      <c r="C357" s="184" t="str">
        <f t="shared" si="5"/>
        <v>Calhoun, IL</v>
      </c>
      <c r="D357" s="187">
        <v>0.09</v>
      </c>
    </row>
    <row r="358" spans="1:4">
      <c r="A358" s="184" t="s">
        <v>2090</v>
      </c>
      <c r="B358" s="184" t="s">
        <v>2003</v>
      </c>
      <c r="C358" s="184" t="str">
        <f t="shared" si="5"/>
        <v>Calhoun, MI</v>
      </c>
      <c r="D358" s="187">
        <v>0.09</v>
      </c>
    </row>
    <row r="359" spans="1:4">
      <c r="A359" s="184" t="s">
        <v>3035</v>
      </c>
      <c r="B359" s="184" t="s">
        <v>2003</v>
      </c>
      <c r="C359" s="184" t="str">
        <f t="shared" si="5"/>
        <v>Calhoun, MS</v>
      </c>
      <c r="D359" s="187">
        <v>4.3999999999999997E-2</v>
      </c>
    </row>
    <row r="360" spans="1:4">
      <c r="A360" s="184" t="s">
        <v>1942</v>
      </c>
      <c r="B360" s="184" t="s">
        <v>2003</v>
      </c>
      <c r="C360" s="184" t="str">
        <f t="shared" si="5"/>
        <v>Calhoun, SC</v>
      </c>
      <c r="D360" s="187">
        <v>4.3999999999999997E-2</v>
      </c>
    </row>
    <row r="361" spans="1:4">
      <c r="A361" s="184" t="s">
        <v>3906</v>
      </c>
      <c r="B361" s="184" t="s">
        <v>2003</v>
      </c>
      <c r="C361" s="184" t="str">
        <f t="shared" si="5"/>
        <v>Calhoun, TX</v>
      </c>
      <c r="D361" s="187">
        <v>4.3999999999999997E-2</v>
      </c>
    </row>
    <row r="362" spans="1:4">
      <c r="A362" s="184" t="s">
        <v>542</v>
      </c>
      <c r="B362" s="184" t="s">
        <v>2003</v>
      </c>
      <c r="C362" s="184" t="str">
        <f t="shared" si="5"/>
        <v>Calhoun, WV</v>
      </c>
      <c r="D362" s="187">
        <v>0.09</v>
      </c>
    </row>
    <row r="363" spans="1:4">
      <c r="A363" s="184" t="s">
        <v>3906</v>
      </c>
      <c r="B363" s="184" t="s">
        <v>984</v>
      </c>
      <c r="C363" s="184" t="str">
        <f t="shared" si="5"/>
        <v>Callahan, TX</v>
      </c>
      <c r="D363" s="187">
        <v>4.3999999999999997E-2</v>
      </c>
    </row>
    <row r="364" spans="1:4">
      <c r="A364" s="184" t="s">
        <v>3434</v>
      </c>
      <c r="B364" s="184" t="s">
        <v>2923</v>
      </c>
      <c r="C364" s="184" t="str">
        <f t="shared" si="5"/>
        <v>Callaway, MO</v>
      </c>
      <c r="D364" s="187">
        <v>0.09</v>
      </c>
    </row>
    <row r="365" spans="1:4">
      <c r="A365" s="184" t="s">
        <v>529</v>
      </c>
      <c r="B365" s="184" t="s">
        <v>406</v>
      </c>
      <c r="C365" s="184" t="str">
        <f t="shared" si="5"/>
        <v>Calloway, KY</v>
      </c>
      <c r="D365" s="187">
        <v>0.09</v>
      </c>
    </row>
    <row r="366" spans="1:4">
      <c r="A366" s="184" t="s">
        <v>550</v>
      </c>
      <c r="B366" s="184" t="s">
        <v>1025</v>
      </c>
      <c r="C366" s="184" t="str">
        <f t="shared" si="5"/>
        <v>Calumet, WI</v>
      </c>
      <c r="D366" s="187">
        <v>6.0999999999999999E-2</v>
      </c>
    </row>
    <row r="367" spans="1:4">
      <c r="A367" s="184" t="s">
        <v>2087</v>
      </c>
      <c r="B367" s="184" t="s">
        <v>2747</v>
      </c>
      <c r="C367" s="184" t="str">
        <f t="shared" si="5"/>
        <v>Calvert, MD</v>
      </c>
      <c r="D367" s="187">
        <v>6.0999999999999999E-2</v>
      </c>
    </row>
    <row r="368" spans="1:4">
      <c r="A368" s="184" t="s">
        <v>3875</v>
      </c>
      <c r="B368" s="184" t="s">
        <v>1259</v>
      </c>
      <c r="C368" s="184" t="str">
        <f t="shared" si="5"/>
        <v>Camas, ID</v>
      </c>
      <c r="D368" s="187">
        <v>4.3999999999999997E-2</v>
      </c>
    </row>
    <row r="369" spans="1:4">
      <c r="A369" s="184" t="s">
        <v>3356</v>
      </c>
      <c r="B369" s="184" t="s">
        <v>3358</v>
      </c>
      <c r="C369" s="184" t="str">
        <f t="shared" si="5"/>
        <v>Cambria, PA</v>
      </c>
      <c r="D369" s="187">
        <v>0.09</v>
      </c>
    </row>
    <row r="370" spans="1:4">
      <c r="A370" s="184" t="s">
        <v>3602</v>
      </c>
      <c r="B370" s="184" t="s">
        <v>3610</v>
      </c>
      <c r="C370" s="184" t="str">
        <f t="shared" si="5"/>
        <v>Camden, GA</v>
      </c>
      <c r="D370" s="187">
        <v>4.3999999999999997E-2</v>
      </c>
    </row>
    <row r="371" spans="1:4">
      <c r="A371" s="184" t="s">
        <v>3434</v>
      </c>
      <c r="B371" s="184" t="s">
        <v>3610</v>
      </c>
      <c r="C371" s="184" t="str">
        <f t="shared" si="5"/>
        <v>Camden, MO</v>
      </c>
      <c r="D371" s="187">
        <v>0.09</v>
      </c>
    </row>
    <row r="372" spans="1:4">
      <c r="A372" s="184" t="s">
        <v>2542</v>
      </c>
      <c r="B372" s="184" t="s">
        <v>3610</v>
      </c>
      <c r="C372" s="184" t="str">
        <f t="shared" si="5"/>
        <v>Camden, NC</v>
      </c>
      <c r="D372" s="187">
        <v>4.3999999999999997E-2</v>
      </c>
    </row>
    <row r="373" spans="1:4">
      <c r="A373" s="184" t="s">
        <v>3444</v>
      </c>
      <c r="B373" s="184" t="s">
        <v>3610</v>
      </c>
      <c r="C373" s="184" t="str">
        <f t="shared" si="5"/>
        <v>Camden, NJ</v>
      </c>
      <c r="D373" s="187">
        <v>6.0999999999999999E-2</v>
      </c>
    </row>
    <row r="374" spans="1:4">
      <c r="A374" s="184" t="s">
        <v>535</v>
      </c>
      <c r="B374" s="184" t="s">
        <v>496</v>
      </c>
      <c r="C374" s="184" t="str">
        <f t="shared" si="5"/>
        <v>Cameron, LA</v>
      </c>
      <c r="D374" s="187">
        <v>0.09</v>
      </c>
    </row>
    <row r="375" spans="1:4">
      <c r="A375" s="184" t="s">
        <v>3356</v>
      </c>
      <c r="B375" s="184" t="s">
        <v>496</v>
      </c>
      <c r="C375" s="184" t="str">
        <f t="shared" si="5"/>
        <v>Cameron, PA</v>
      </c>
      <c r="D375" s="187">
        <v>0.09</v>
      </c>
    </row>
    <row r="376" spans="1:4">
      <c r="A376" s="184" t="s">
        <v>3906</v>
      </c>
      <c r="B376" s="184" t="s">
        <v>496</v>
      </c>
      <c r="C376" s="184" t="str">
        <f t="shared" si="5"/>
        <v>Cameron, TX</v>
      </c>
      <c r="D376" s="187">
        <v>4.3999999999999997E-2</v>
      </c>
    </row>
    <row r="377" spans="1:4">
      <c r="A377" s="184" t="s">
        <v>3906</v>
      </c>
      <c r="B377" s="184" t="s">
        <v>1061</v>
      </c>
      <c r="C377" s="184" t="str">
        <f t="shared" si="5"/>
        <v>Camp, TX</v>
      </c>
      <c r="D377" s="187">
        <v>4.3999999999999997E-2</v>
      </c>
    </row>
    <row r="378" spans="1:4">
      <c r="A378" s="184" t="s">
        <v>529</v>
      </c>
      <c r="B378" s="184" t="s">
        <v>2341</v>
      </c>
      <c r="C378" s="184" t="str">
        <f t="shared" si="5"/>
        <v>Campbell, KY</v>
      </c>
      <c r="D378" s="187">
        <v>6.0999999999999999E-2</v>
      </c>
    </row>
    <row r="379" spans="1:4">
      <c r="A379" s="184" t="s">
        <v>1944</v>
      </c>
      <c r="B379" s="184" t="s">
        <v>2341</v>
      </c>
      <c r="C379" s="184" t="str">
        <f t="shared" si="5"/>
        <v>Campbell, SD</v>
      </c>
      <c r="D379" s="187">
        <v>4.3999999999999997E-2</v>
      </c>
    </row>
    <row r="380" spans="1:4">
      <c r="A380" s="184" t="s">
        <v>699</v>
      </c>
      <c r="B380" s="184" t="s">
        <v>2341</v>
      </c>
      <c r="C380" s="184" t="str">
        <f t="shared" si="5"/>
        <v>Campbell, TN</v>
      </c>
      <c r="D380" s="187">
        <v>0.09</v>
      </c>
    </row>
    <row r="381" spans="1:4">
      <c r="A381" s="184" t="s">
        <v>746</v>
      </c>
      <c r="B381" s="184" t="s">
        <v>2341</v>
      </c>
      <c r="C381" s="184" t="str">
        <f t="shared" si="5"/>
        <v>Campbell, VA</v>
      </c>
      <c r="D381" s="187">
        <v>4.3999999999999997E-2</v>
      </c>
    </row>
    <row r="382" spans="1:4">
      <c r="A382" s="184" t="s">
        <v>1033</v>
      </c>
      <c r="B382" s="184" t="s">
        <v>2341</v>
      </c>
      <c r="C382" s="184" t="str">
        <f t="shared" si="5"/>
        <v>Campbell, WY</v>
      </c>
      <c r="D382" s="187">
        <v>0.09</v>
      </c>
    </row>
    <row r="383" spans="1:4">
      <c r="A383" s="184" t="s">
        <v>2573</v>
      </c>
      <c r="B383" s="184" t="s">
        <v>2574</v>
      </c>
      <c r="C383" s="184" t="str">
        <f t="shared" si="5"/>
        <v>Canadian, OK</v>
      </c>
      <c r="D383" s="187">
        <v>0.09</v>
      </c>
    </row>
    <row r="384" spans="1:4">
      <c r="A384" s="184" t="s">
        <v>3602</v>
      </c>
      <c r="B384" s="184" t="s">
        <v>314</v>
      </c>
      <c r="C384" s="184" t="str">
        <f t="shared" si="5"/>
        <v>Candler, GA</v>
      </c>
      <c r="D384" s="187">
        <v>4.3999999999999997E-2</v>
      </c>
    </row>
    <row r="385" spans="1:4">
      <c r="A385" s="184" t="s">
        <v>699</v>
      </c>
      <c r="B385" s="184" t="s">
        <v>1736</v>
      </c>
      <c r="C385" s="184" t="str">
        <f t="shared" si="5"/>
        <v>Cannon, TN</v>
      </c>
      <c r="D385" s="187">
        <v>0.09</v>
      </c>
    </row>
    <row r="386" spans="1:4">
      <c r="A386" s="184" t="s">
        <v>3875</v>
      </c>
      <c r="B386" s="184" t="s">
        <v>2283</v>
      </c>
      <c r="C386" s="184" t="str">
        <f t="shared" si="5"/>
        <v>Canyon, ID</v>
      </c>
      <c r="D386" s="187">
        <v>6.0999999999999999E-2</v>
      </c>
    </row>
    <row r="387" spans="1:4">
      <c r="A387" s="184" t="s">
        <v>3434</v>
      </c>
      <c r="B387" s="184" t="s">
        <v>2924</v>
      </c>
      <c r="C387" s="184" t="str">
        <f t="shared" si="5"/>
        <v>Cape Girardeau, MO</v>
      </c>
      <c r="D387" s="187">
        <v>0.09</v>
      </c>
    </row>
    <row r="388" spans="1:4">
      <c r="A388" s="184" t="s">
        <v>3444</v>
      </c>
      <c r="B388" s="184" t="s">
        <v>3611</v>
      </c>
      <c r="C388" s="184" t="str">
        <f t="shared" si="5"/>
        <v>Cape May, NJ</v>
      </c>
      <c r="D388" s="187">
        <v>6.0999999999999999E-2</v>
      </c>
    </row>
    <row r="389" spans="1:4">
      <c r="A389" s="184" t="s">
        <v>3438</v>
      </c>
      <c r="B389" s="184" t="s">
        <v>250</v>
      </c>
      <c r="C389" s="184" t="str">
        <f t="shared" si="5"/>
        <v>Carbon, MT</v>
      </c>
      <c r="D389" s="187">
        <v>0.09</v>
      </c>
    </row>
    <row r="390" spans="1:4">
      <c r="A390" s="184" t="s">
        <v>3356</v>
      </c>
      <c r="B390" s="184" t="s">
        <v>250</v>
      </c>
      <c r="C390" s="184" t="str">
        <f t="shared" ref="C390:C453" si="6">B390&amp;", "&amp;A390</f>
        <v>Carbon, PA</v>
      </c>
      <c r="D390" s="187">
        <v>6.0999999999999999E-2</v>
      </c>
    </row>
    <row r="391" spans="1:4">
      <c r="A391" s="184" t="s">
        <v>742</v>
      </c>
      <c r="B391" s="184" t="s">
        <v>250</v>
      </c>
      <c r="C391" s="184" t="str">
        <f t="shared" si="6"/>
        <v>Carbon, UT</v>
      </c>
      <c r="D391" s="187">
        <v>4.3999999999999997E-2</v>
      </c>
    </row>
    <row r="392" spans="1:4">
      <c r="A392" s="184" t="s">
        <v>1033</v>
      </c>
      <c r="B392" s="184" t="s">
        <v>250</v>
      </c>
      <c r="C392" s="184" t="str">
        <f t="shared" si="6"/>
        <v>Carbon, WY</v>
      </c>
      <c r="D392" s="187">
        <v>0.09</v>
      </c>
    </row>
    <row r="393" spans="1:4">
      <c r="A393" s="184" t="s">
        <v>3875</v>
      </c>
      <c r="B393" s="184" t="s">
        <v>1260</v>
      </c>
      <c r="C393" s="184" t="str">
        <f t="shared" si="6"/>
        <v>Caribou, ID</v>
      </c>
      <c r="D393" s="187">
        <v>4.3999999999999997E-2</v>
      </c>
    </row>
    <row r="394" spans="1:4">
      <c r="A394" s="184" t="s">
        <v>529</v>
      </c>
      <c r="B394" s="184" t="s">
        <v>407</v>
      </c>
      <c r="C394" s="184" t="str">
        <f t="shared" si="6"/>
        <v>Carlisle, KY</v>
      </c>
      <c r="D394" s="187">
        <v>0.09</v>
      </c>
    </row>
    <row r="395" spans="1:4">
      <c r="A395" s="184" t="s">
        <v>3429</v>
      </c>
      <c r="B395" s="184" t="s">
        <v>1479</v>
      </c>
      <c r="C395" s="184" t="str">
        <f t="shared" si="6"/>
        <v>Carlton, MN</v>
      </c>
      <c r="D395" s="187">
        <v>0.09</v>
      </c>
    </row>
    <row r="396" spans="1:4">
      <c r="A396" s="184" t="s">
        <v>2087</v>
      </c>
      <c r="B396" s="184" t="s">
        <v>825</v>
      </c>
      <c r="C396" s="184" t="str">
        <f t="shared" si="6"/>
        <v>Caroline, MD</v>
      </c>
      <c r="D396" s="187">
        <v>5.7000000000000002E-2</v>
      </c>
    </row>
    <row r="397" spans="1:4">
      <c r="A397" s="184" t="s">
        <v>746</v>
      </c>
      <c r="B397" s="184" t="s">
        <v>825</v>
      </c>
      <c r="C397" s="184" t="str">
        <f t="shared" si="6"/>
        <v>Caroline, VA</v>
      </c>
      <c r="D397" s="187">
        <v>4.3999999999999997E-2</v>
      </c>
    </row>
    <row r="398" spans="1:4">
      <c r="A398" s="184" t="s">
        <v>566</v>
      </c>
      <c r="B398" s="184" t="s">
        <v>2565</v>
      </c>
      <c r="C398" s="184" t="str">
        <f t="shared" si="6"/>
        <v>Carroll, AR</v>
      </c>
      <c r="D398" s="187">
        <v>4.3999999999999997E-2</v>
      </c>
    </row>
    <row r="399" spans="1:4">
      <c r="A399" s="184" t="s">
        <v>3602</v>
      </c>
      <c r="B399" s="184" t="s">
        <v>2565</v>
      </c>
      <c r="C399" s="184" t="str">
        <f t="shared" si="6"/>
        <v>Carroll, GA</v>
      </c>
      <c r="D399" s="187">
        <v>6.0999999999999999E-2</v>
      </c>
    </row>
    <row r="400" spans="1:4">
      <c r="A400" s="184" t="s">
        <v>2031</v>
      </c>
      <c r="B400" s="184" t="s">
        <v>2565</v>
      </c>
      <c r="C400" s="184" t="str">
        <f t="shared" si="6"/>
        <v>Carroll, IA</v>
      </c>
      <c r="D400" s="187">
        <v>0.09</v>
      </c>
    </row>
    <row r="401" spans="1:4">
      <c r="A401" s="184" t="s">
        <v>2019</v>
      </c>
      <c r="B401" s="184" t="s">
        <v>2565</v>
      </c>
      <c r="C401" s="184" t="str">
        <f t="shared" si="6"/>
        <v>Carroll, IL</v>
      </c>
      <c r="D401" s="187">
        <v>0.09</v>
      </c>
    </row>
    <row r="402" spans="1:4">
      <c r="A402" s="184" t="s">
        <v>2021</v>
      </c>
      <c r="B402" s="184" t="s">
        <v>2565</v>
      </c>
      <c r="C402" s="184" t="str">
        <f t="shared" si="6"/>
        <v>Carroll, IN</v>
      </c>
      <c r="D402" s="187">
        <v>0.09</v>
      </c>
    </row>
    <row r="403" spans="1:4">
      <c r="A403" s="184" t="s">
        <v>529</v>
      </c>
      <c r="B403" s="184" t="s">
        <v>2565</v>
      </c>
      <c r="C403" s="184" t="str">
        <f t="shared" si="6"/>
        <v>Carroll, KY</v>
      </c>
      <c r="D403" s="187">
        <v>0.09</v>
      </c>
    </row>
    <row r="404" spans="1:4">
      <c r="A404" s="184" t="s">
        <v>2087</v>
      </c>
      <c r="B404" s="184" t="s">
        <v>2565</v>
      </c>
      <c r="C404" s="184" t="str">
        <f t="shared" si="6"/>
        <v>Carroll, MD</v>
      </c>
      <c r="D404" s="187">
        <v>6.0999999999999999E-2</v>
      </c>
    </row>
    <row r="405" spans="1:4">
      <c r="A405" s="184" t="s">
        <v>3434</v>
      </c>
      <c r="B405" s="184" t="s">
        <v>2565</v>
      </c>
      <c r="C405" s="184" t="str">
        <f t="shared" si="6"/>
        <v>Carroll, MO</v>
      </c>
      <c r="D405" s="187">
        <v>0.09</v>
      </c>
    </row>
    <row r="406" spans="1:4">
      <c r="A406" s="184" t="s">
        <v>3035</v>
      </c>
      <c r="B406" s="184" t="s">
        <v>2565</v>
      </c>
      <c r="C406" s="184" t="str">
        <f t="shared" si="6"/>
        <v>Carroll, MS</v>
      </c>
      <c r="D406" s="187">
        <v>4.3999999999999997E-2</v>
      </c>
    </row>
    <row r="407" spans="1:4">
      <c r="A407" s="184" t="s">
        <v>2868</v>
      </c>
      <c r="B407" s="184" t="s">
        <v>2565</v>
      </c>
      <c r="C407" s="184" t="str">
        <f t="shared" si="6"/>
        <v>Carroll, NH</v>
      </c>
      <c r="D407" s="187">
        <v>0.09</v>
      </c>
    </row>
    <row r="408" spans="1:4">
      <c r="A408" s="184" t="s">
        <v>2562</v>
      </c>
      <c r="B408" s="184" t="s">
        <v>2565</v>
      </c>
      <c r="C408" s="184" t="str">
        <f t="shared" si="6"/>
        <v>Carroll, OH</v>
      </c>
      <c r="D408" s="187">
        <v>0.09</v>
      </c>
    </row>
    <row r="409" spans="1:4">
      <c r="A409" s="184" t="s">
        <v>699</v>
      </c>
      <c r="B409" s="184" t="s">
        <v>2565</v>
      </c>
      <c r="C409" s="184" t="str">
        <f t="shared" si="6"/>
        <v>Carroll, TN</v>
      </c>
      <c r="D409" s="187">
        <v>0.09</v>
      </c>
    </row>
    <row r="410" spans="1:4">
      <c r="A410" s="184" t="s">
        <v>746</v>
      </c>
      <c r="B410" s="184" t="s">
        <v>2565</v>
      </c>
      <c r="C410" s="184" t="str">
        <f t="shared" si="6"/>
        <v>Carroll, VA</v>
      </c>
      <c r="D410" s="187">
        <v>4.3999999999999997E-2</v>
      </c>
    </row>
    <row r="411" spans="1:4">
      <c r="A411" s="184" t="s">
        <v>3906</v>
      </c>
      <c r="B411" s="184" t="s">
        <v>1062</v>
      </c>
      <c r="C411" s="184" t="str">
        <f t="shared" si="6"/>
        <v>Carson, TX</v>
      </c>
      <c r="D411" s="187">
        <v>4.3999999999999997E-2</v>
      </c>
    </row>
    <row r="412" spans="1:4">
      <c r="A412" s="184" t="s">
        <v>3043</v>
      </c>
      <c r="B412" s="184" t="s">
        <v>2867</v>
      </c>
      <c r="C412" s="184" t="str">
        <f t="shared" si="6"/>
        <v>Carson City, NV</v>
      </c>
      <c r="D412" s="187">
        <v>0.09</v>
      </c>
    </row>
    <row r="413" spans="1:4">
      <c r="A413" s="184" t="s">
        <v>529</v>
      </c>
      <c r="B413" s="184" t="s">
        <v>531</v>
      </c>
      <c r="C413" s="184" t="str">
        <f t="shared" si="6"/>
        <v>Carter, KY</v>
      </c>
      <c r="D413" s="187">
        <v>0.09</v>
      </c>
    </row>
    <row r="414" spans="1:4">
      <c r="A414" s="184" t="s">
        <v>3434</v>
      </c>
      <c r="B414" s="184" t="s">
        <v>531</v>
      </c>
      <c r="C414" s="184" t="str">
        <f t="shared" si="6"/>
        <v>Carter, MO</v>
      </c>
      <c r="D414" s="187">
        <v>5.7000000000000002E-2</v>
      </c>
    </row>
    <row r="415" spans="1:4">
      <c r="A415" s="184" t="s">
        <v>3438</v>
      </c>
      <c r="B415" s="184" t="s">
        <v>531</v>
      </c>
      <c r="C415" s="184" t="str">
        <f t="shared" si="6"/>
        <v>Carter, MT</v>
      </c>
      <c r="D415" s="187">
        <v>0.09</v>
      </c>
    </row>
    <row r="416" spans="1:4">
      <c r="A416" s="184" t="s">
        <v>2573</v>
      </c>
      <c r="B416" s="184" t="s">
        <v>531</v>
      </c>
      <c r="C416" s="184" t="str">
        <f t="shared" si="6"/>
        <v>Carter, OK</v>
      </c>
      <c r="D416" s="187">
        <v>0.09</v>
      </c>
    </row>
    <row r="417" spans="1:4">
      <c r="A417" s="184" t="s">
        <v>699</v>
      </c>
      <c r="B417" s="184" t="s">
        <v>531</v>
      </c>
      <c r="C417" s="184" t="str">
        <f t="shared" si="6"/>
        <v>Carter, TN</v>
      </c>
      <c r="D417" s="187">
        <v>0.09</v>
      </c>
    </row>
    <row r="418" spans="1:4">
      <c r="A418" s="184" t="s">
        <v>2542</v>
      </c>
      <c r="B418" s="184" t="s">
        <v>785</v>
      </c>
      <c r="C418" s="184" t="str">
        <f t="shared" si="6"/>
        <v>Carteret, NC</v>
      </c>
      <c r="D418" s="187">
        <v>4.3999999999999997E-2</v>
      </c>
    </row>
    <row r="419" spans="1:4">
      <c r="A419" s="184" t="s">
        <v>3429</v>
      </c>
      <c r="B419" s="184" t="s">
        <v>2762</v>
      </c>
      <c r="C419" s="184" t="str">
        <f t="shared" si="6"/>
        <v>Carver, MN</v>
      </c>
      <c r="D419" s="187">
        <v>6.0999999999999999E-2</v>
      </c>
    </row>
    <row r="420" spans="1:4">
      <c r="A420" s="184" t="s">
        <v>3438</v>
      </c>
      <c r="B420" s="184" t="s">
        <v>3439</v>
      </c>
      <c r="C420" s="184" t="str">
        <f t="shared" si="6"/>
        <v>Cascade, MT</v>
      </c>
      <c r="D420" s="187">
        <v>0.09</v>
      </c>
    </row>
    <row r="421" spans="1:4">
      <c r="A421" s="184" t="s">
        <v>529</v>
      </c>
      <c r="B421" s="184" t="s">
        <v>408</v>
      </c>
      <c r="C421" s="184" t="str">
        <f t="shared" si="6"/>
        <v>Casey, KY</v>
      </c>
      <c r="D421" s="187">
        <v>0.09</v>
      </c>
    </row>
    <row r="422" spans="1:4">
      <c r="A422" s="184" t="s">
        <v>2031</v>
      </c>
      <c r="B422" s="184" t="s">
        <v>3037</v>
      </c>
      <c r="C422" s="184" t="str">
        <f t="shared" si="6"/>
        <v>Cass, IA</v>
      </c>
      <c r="D422" s="187">
        <v>0.09</v>
      </c>
    </row>
    <row r="423" spans="1:4">
      <c r="A423" s="184" t="s">
        <v>2019</v>
      </c>
      <c r="B423" s="184" t="s">
        <v>3037</v>
      </c>
      <c r="C423" s="184" t="str">
        <f t="shared" si="6"/>
        <v>Cass, IL</v>
      </c>
      <c r="D423" s="187">
        <v>0.09</v>
      </c>
    </row>
    <row r="424" spans="1:4">
      <c r="A424" s="184" t="s">
        <v>2021</v>
      </c>
      <c r="B424" s="184" t="s">
        <v>3037</v>
      </c>
      <c r="C424" s="184" t="str">
        <f t="shared" si="6"/>
        <v>Cass, IN</v>
      </c>
      <c r="D424" s="187">
        <v>0.09</v>
      </c>
    </row>
    <row r="425" spans="1:4">
      <c r="A425" s="184" t="s">
        <v>2090</v>
      </c>
      <c r="B425" s="184" t="s">
        <v>3037</v>
      </c>
      <c r="C425" s="184" t="str">
        <f t="shared" si="6"/>
        <v>Cass, MI</v>
      </c>
      <c r="D425" s="187">
        <v>0.09</v>
      </c>
    </row>
    <row r="426" spans="1:4">
      <c r="A426" s="184" t="s">
        <v>3429</v>
      </c>
      <c r="B426" s="184" t="s">
        <v>3037</v>
      </c>
      <c r="C426" s="184" t="str">
        <f t="shared" si="6"/>
        <v>Cass, MN</v>
      </c>
      <c r="D426" s="187">
        <v>0.09</v>
      </c>
    </row>
    <row r="427" spans="1:4">
      <c r="A427" s="184" t="s">
        <v>3434</v>
      </c>
      <c r="B427" s="184" t="s">
        <v>3037</v>
      </c>
      <c r="C427" s="184" t="str">
        <f t="shared" si="6"/>
        <v>Cass, MO</v>
      </c>
      <c r="D427" s="187">
        <v>6.0999999999999999E-2</v>
      </c>
    </row>
    <row r="428" spans="1:4">
      <c r="A428" s="184" t="s">
        <v>2558</v>
      </c>
      <c r="B428" s="184" t="s">
        <v>3037</v>
      </c>
      <c r="C428" s="184" t="str">
        <f t="shared" si="6"/>
        <v>Cass, ND</v>
      </c>
      <c r="D428" s="187">
        <v>6.0999999999999999E-2</v>
      </c>
    </row>
    <row r="429" spans="1:4">
      <c r="A429" s="184" t="s">
        <v>3442</v>
      </c>
      <c r="B429" s="184" t="s">
        <v>3037</v>
      </c>
      <c r="C429" s="184" t="str">
        <f t="shared" si="6"/>
        <v>Cass, NE</v>
      </c>
      <c r="D429" s="187">
        <v>6.0999999999999999E-2</v>
      </c>
    </row>
    <row r="430" spans="1:4">
      <c r="A430" s="184" t="s">
        <v>3906</v>
      </c>
      <c r="B430" s="184" t="s">
        <v>3037</v>
      </c>
      <c r="C430" s="184" t="str">
        <f t="shared" si="6"/>
        <v>Cass, TX</v>
      </c>
      <c r="D430" s="187">
        <v>4.3999999999999997E-2</v>
      </c>
    </row>
    <row r="431" spans="1:4">
      <c r="A431" s="184" t="s">
        <v>3875</v>
      </c>
      <c r="B431" s="184" t="s">
        <v>1261</v>
      </c>
      <c r="C431" s="184" t="str">
        <f t="shared" si="6"/>
        <v>Cassia, ID</v>
      </c>
      <c r="D431" s="187">
        <v>4.3999999999999997E-2</v>
      </c>
    </row>
    <row r="432" spans="1:4">
      <c r="A432" s="184" t="s">
        <v>3906</v>
      </c>
      <c r="B432" s="184" t="s">
        <v>1063</v>
      </c>
      <c r="C432" s="184" t="str">
        <f t="shared" si="6"/>
        <v>Castro, TX</v>
      </c>
      <c r="D432" s="187">
        <v>4.3999999999999997E-2</v>
      </c>
    </row>
    <row r="433" spans="1:4">
      <c r="A433" s="184" t="s">
        <v>2542</v>
      </c>
      <c r="B433" s="184" t="s">
        <v>786</v>
      </c>
      <c r="C433" s="184" t="str">
        <f t="shared" si="6"/>
        <v>Caswell, NC</v>
      </c>
      <c r="D433" s="187">
        <v>4.3999999999999997E-2</v>
      </c>
    </row>
    <row r="434" spans="1:4">
      <c r="A434" s="184" t="s">
        <v>535</v>
      </c>
      <c r="B434" s="184" t="s">
        <v>759</v>
      </c>
      <c r="C434" s="184" t="str">
        <f t="shared" si="6"/>
        <v>Catahoula, LA</v>
      </c>
      <c r="D434" s="187">
        <v>0.09</v>
      </c>
    </row>
    <row r="435" spans="1:4">
      <c r="A435" s="184" t="s">
        <v>2542</v>
      </c>
      <c r="B435" s="184" t="s">
        <v>2188</v>
      </c>
      <c r="C435" s="184" t="str">
        <f t="shared" si="6"/>
        <v>Catawba, NC</v>
      </c>
      <c r="D435" s="187">
        <v>4.3999999999999997E-2</v>
      </c>
    </row>
    <row r="436" spans="1:4">
      <c r="A436" s="184" t="s">
        <v>3602</v>
      </c>
      <c r="B436" s="184" t="s">
        <v>3295</v>
      </c>
      <c r="C436" s="184" t="str">
        <f t="shared" si="6"/>
        <v>Catoosa, GA</v>
      </c>
      <c r="D436" s="187">
        <v>4.3999999999999997E-2</v>
      </c>
    </row>
    <row r="437" spans="1:4">
      <c r="A437" s="184" t="s">
        <v>3622</v>
      </c>
      <c r="B437" s="184" t="s">
        <v>772</v>
      </c>
      <c r="C437" s="184" t="str">
        <f t="shared" si="6"/>
        <v>Catron, NM</v>
      </c>
      <c r="D437" s="187">
        <v>4.3999999999999997E-2</v>
      </c>
    </row>
    <row r="438" spans="1:4">
      <c r="A438" s="184" t="s">
        <v>3446</v>
      </c>
      <c r="B438" s="184" t="s">
        <v>3530</v>
      </c>
      <c r="C438" s="184" t="str">
        <f t="shared" si="6"/>
        <v>Cattaraugus, NY</v>
      </c>
      <c r="D438" s="187">
        <v>3.5000000000000003E-2</v>
      </c>
    </row>
    <row r="439" spans="1:4">
      <c r="A439" s="184" t="s">
        <v>2558</v>
      </c>
      <c r="B439" s="184" t="s">
        <v>1243</v>
      </c>
      <c r="C439" s="184" t="str">
        <f t="shared" si="6"/>
        <v>Cavalier, ND</v>
      </c>
      <c r="D439" s="187">
        <v>0.09</v>
      </c>
    </row>
    <row r="440" spans="1:4">
      <c r="A440" s="184" t="s">
        <v>3446</v>
      </c>
      <c r="B440" s="184" t="s">
        <v>2549</v>
      </c>
      <c r="C440" s="184" t="str">
        <f t="shared" si="6"/>
        <v>Cayuga, NY</v>
      </c>
      <c r="D440" s="187">
        <v>0.09</v>
      </c>
    </row>
    <row r="441" spans="1:4">
      <c r="A441" s="184" t="s">
        <v>2087</v>
      </c>
      <c r="B441" s="184" t="s">
        <v>2748</v>
      </c>
      <c r="C441" s="184" t="str">
        <f t="shared" si="6"/>
        <v>Cecil, MD</v>
      </c>
      <c r="D441" s="187">
        <v>6.0999999999999999E-2</v>
      </c>
    </row>
    <row r="442" spans="1:4">
      <c r="A442" s="184" t="s">
        <v>2031</v>
      </c>
      <c r="B442" s="184" t="s">
        <v>2851</v>
      </c>
      <c r="C442" s="184" t="str">
        <f t="shared" si="6"/>
        <v>Cedar, IA</v>
      </c>
      <c r="D442" s="187">
        <v>0.09</v>
      </c>
    </row>
    <row r="443" spans="1:4">
      <c r="A443" s="184" t="s">
        <v>3434</v>
      </c>
      <c r="B443" s="184" t="s">
        <v>2851</v>
      </c>
      <c r="C443" s="184" t="str">
        <f t="shared" si="6"/>
        <v>Cedar, MO</v>
      </c>
      <c r="D443" s="187">
        <v>0.09</v>
      </c>
    </row>
    <row r="444" spans="1:4">
      <c r="A444" s="184" t="s">
        <v>3442</v>
      </c>
      <c r="B444" s="184" t="s">
        <v>2851</v>
      </c>
      <c r="C444" s="184" t="str">
        <f t="shared" si="6"/>
        <v>Cedar, NE</v>
      </c>
      <c r="D444" s="187">
        <v>0.09</v>
      </c>
    </row>
    <row r="445" spans="1:4">
      <c r="A445" s="184" t="s">
        <v>3356</v>
      </c>
      <c r="B445" s="184" t="s">
        <v>694</v>
      </c>
      <c r="C445" s="184" t="str">
        <f t="shared" si="6"/>
        <v>Centre, PA</v>
      </c>
      <c r="D445" s="187">
        <v>0.09</v>
      </c>
    </row>
    <row r="446" spans="1:4">
      <c r="A446" s="184" t="s">
        <v>2031</v>
      </c>
      <c r="B446" s="184" t="s">
        <v>2852</v>
      </c>
      <c r="C446" s="184" t="str">
        <f t="shared" si="6"/>
        <v>Cerro Gordo, IA</v>
      </c>
      <c r="D446" s="187">
        <v>0.09</v>
      </c>
    </row>
    <row r="447" spans="1:4">
      <c r="A447" s="184" t="s">
        <v>3108</v>
      </c>
      <c r="B447" s="184" t="s">
        <v>1138</v>
      </c>
      <c r="C447" s="184" t="str">
        <f t="shared" si="6"/>
        <v>Chaffee, CO</v>
      </c>
      <c r="D447" s="187">
        <v>4.3999999999999997E-2</v>
      </c>
    </row>
    <row r="448" spans="1:4">
      <c r="A448" s="184" t="s">
        <v>2000</v>
      </c>
      <c r="B448" s="184" t="s">
        <v>3909</v>
      </c>
      <c r="C448" s="184" t="str">
        <f t="shared" si="6"/>
        <v>Chambers, AL</v>
      </c>
      <c r="D448" s="187">
        <v>0.09</v>
      </c>
    </row>
    <row r="449" spans="1:4">
      <c r="A449" s="184" t="s">
        <v>3906</v>
      </c>
      <c r="B449" s="184" t="s">
        <v>3909</v>
      </c>
      <c r="C449" s="184" t="str">
        <f t="shared" si="6"/>
        <v>Chambers, TX</v>
      </c>
      <c r="D449" s="187">
        <v>6.0999999999999999E-2</v>
      </c>
    </row>
    <row r="450" spans="1:4">
      <c r="A450" s="184" t="s">
        <v>2019</v>
      </c>
      <c r="B450" s="184" t="s">
        <v>3967</v>
      </c>
      <c r="C450" s="184" t="str">
        <f t="shared" si="6"/>
        <v>Champaign, IL</v>
      </c>
      <c r="D450" s="187">
        <v>3.5000000000000003E-2</v>
      </c>
    </row>
    <row r="451" spans="1:4">
      <c r="A451" s="184" t="s">
        <v>2562</v>
      </c>
      <c r="B451" s="184" t="s">
        <v>3967</v>
      </c>
      <c r="C451" s="184" t="str">
        <f t="shared" si="6"/>
        <v>Champaign, OH</v>
      </c>
      <c r="D451" s="187">
        <v>0.09</v>
      </c>
    </row>
    <row r="452" spans="1:4">
      <c r="A452" s="184" t="s">
        <v>3434</v>
      </c>
      <c r="B452" s="184" t="s">
        <v>2776</v>
      </c>
      <c r="C452" s="184" t="str">
        <f t="shared" si="6"/>
        <v>Chariton, MO</v>
      </c>
      <c r="D452" s="187">
        <v>0.09</v>
      </c>
    </row>
    <row r="453" spans="1:4">
      <c r="A453" s="184" t="s">
        <v>2087</v>
      </c>
      <c r="B453" s="184" t="s">
        <v>2749</v>
      </c>
      <c r="C453" s="184" t="str">
        <f t="shared" si="6"/>
        <v>Charles, MD</v>
      </c>
      <c r="D453" s="187">
        <v>6.0999999999999999E-2</v>
      </c>
    </row>
    <row r="454" spans="1:4">
      <c r="A454" s="184" t="s">
        <v>746</v>
      </c>
      <c r="B454" s="184" t="s">
        <v>3026</v>
      </c>
      <c r="C454" s="184" t="str">
        <f t="shared" ref="C454:C517" si="7">B454&amp;", "&amp;A454</f>
        <v>Charles City, VA</v>
      </c>
      <c r="D454" s="187">
        <v>6.0999999999999999E-2</v>
      </c>
    </row>
    <row r="455" spans="1:4">
      <c r="A455" s="184" t="s">
        <v>1944</v>
      </c>
      <c r="B455" s="184" t="s">
        <v>89</v>
      </c>
      <c r="C455" s="184" t="str">
        <f t="shared" si="7"/>
        <v>Charles Mix, SD</v>
      </c>
      <c r="D455" s="187">
        <v>4.3999999999999997E-2</v>
      </c>
    </row>
    <row r="456" spans="1:4">
      <c r="A456" s="184" t="s">
        <v>1942</v>
      </c>
      <c r="B456" s="184" t="s">
        <v>834</v>
      </c>
      <c r="C456" s="184" t="str">
        <f t="shared" si="7"/>
        <v>Charleston, SC</v>
      </c>
      <c r="D456" s="187">
        <v>4.3999999999999997E-2</v>
      </c>
    </row>
    <row r="457" spans="1:4">
      <c r="A457" s="184" t="s">
        <v>2090</v>
      </c>
      <c r="B457" s="184" t="s">
        <v>638</v>
      </c>
      <c r="C457" s="184" t="str">
        <f t="shared" si="7"/>
        <v>Charlevoix, MI</v>
      </c>
      <c r="D457" s="187">
        <v>0.09</v>
      </c>
    </row>
    <row r="458" spans="1:4">
      <c r="A458" s="184" t="s">
        <v>3594</v>
      </c>
      <c r="B458" s="184" t="s">
        <v>3595</v>
      </c>
      <c r="C458" s="184" t="str">
        <f t="shared" si="7"/>
        <v>Charlotte, FL</v>
      </c>
      <c r="D458" s="187">
        <v>6.0999999999999999E-2</v>
      </c>
    </row>
    <row r="459" spans="1:4">
      <c r="A459" s="184" t="s">
        <v>746</v>
      </c>
      <c r="B459" s="184" t="s">
        <v>3595</v>
      </c>
      <c r="C459" s="184" t="str">
        <f t="shared" si="7"/>
        <v>Charlotte, VA</v>
      </c>
      <c r="D459" s="187">
        <v>4.3999999999999997E-2</v>
      </c>
    </row>
    <row r="460" spans="1:4">
      <c r="A460" s="184" t="s">
        <v>746</v>
      </c>
      <c r="B460" s="184" t="s">
        <v>3170</v>
      </c>
      <c r="C460" s="184" t="str">
        <f t="shared" si="7"/>
        <v>Charlottesville City, VA</v>
      </c>
      <c r="D460" s="187">
        <v>6.0999999999999999E-2</v>
      </c>
    </row>
    <row r="461" spans="1:4">
      <c r="A461" s="184" t="s">
        <v>3602</v>
      </c>
      <c r="B461" s="184" t="s">
        <v>315</v>
      </c>
      <c r="C461" s="184" t="str">
        <f t="shared" si="7"/>
        <v>Charlton, GA</v>
      </c>
      <c r="D461" s="187">
        <v>4.3999999999999997E-2</v>
      </c>
    </row>
    <row r="462" spans="1:4">
      <c r="A462" s="184" t="s">
        <v>663</v>
      </c>
      <c r="B462" s="184" t="s">
        <v>1428</v>
      </c>
      <c r="C462" s="184" t="str">
        <f t="shared" si="7"/>
        <v>Chase, KS</v>
      </c>
      <c r="D462" s="187">
        <v>0.09</v>
      </c>
    </row>
    <row r="463" spans="1:4">
      <c r="A463" s="184" t="s">
        <v>3442</v>
      </c>
      <c r="B463" s="184" t="s">
        <v>1428</v>
      </c>
      <c r="C463" s="184" t="str">
        <f t="shared" si="7"/>
        <v>Chase, NE</v>
      </c>
      <c r="D463" s="187">
        <v>0.09</v>
      </c>
    </row>
    <row r="464" spans="1:4">
      <c r="A464" s="184" t="s">
        <v>3602</v>
      </c>
      <c r="B464" s="184" t="s">
        <v>3605</v>
      </c>
      <c r="C464" s="184" t="str">
        <f t="shared" si="7"/>
        <v>Chatham, GA</v>
      </c>
      <c r="D464" s="187">
        <v>6.0999999999999999E-2</v>
      </c>
    </row>
    <row r="465" spans="1:4">
      <c r="A465" s="184" t="s">
        <v>2542</v>
      </c>
      <c r="B465" s="184" t="s">
        <v>3605</v>
      </c>
      <c r="C465" s="184" t="str">
        <f t="shared" si="7"/>
        <v>Chatham, NC</v>
      </c>
      <c r="D465" s="187">
        <v>6.0999999999999999E-2</v>
      </c>
    </row>
    <row r="466" spans="1:4">
      <c r="A466" s="184" t="s">
        <v>3602</v>
      </c>
      <c r="B466" s="184" t="s">
        <v>3296</v>
      </c>
      <c r="C466" s="184" t="str">
        <f t="shared" si="7"/>
        <v>Chattahoochee, GA</v>
      </c>
      <c r="D466" s="187">
        <v>4.3999999999999997E-2</v>
      </c>
    </row>
    <row r="467" spans="1:4">
      <c r="A467" s="184" t="s">
        <v>3602</v>
      </c>
      <c r="B467" s="184" t="s">
        <v>316</v>
      </c>
      <c r="C467" s="184" t="str">
        <f t="shared" si="7"/>
        <v>Chattooga, GA</v>
      </c>
      <c r="D467" s="187">
        <v>4.3999999999999997E-2</v>
      </c>
    </row>
    <row r="468" spans="1:4">
      <c r="A468" s="184" t="s">
        <v>663</v>
      </c>
      <c r="B468" s="184" t="s">
        <v>2550</v>
      </c>
      <c r="C468" s="184" t="str">
        <f t="shared" si="7"/>
        <v>Chautauqua, KS</v>
      </c>
      <c r="D468" s="187">
        <v>0.09</v>
      </c>
    </row>
    <row r="469" spans="1:4">
      <c r="A469" s="184" t="s">
        <v>3446</v>
      </c>
      <c r="B469" s="184" t="s">
        <v>2550</v>
      </c>
      <c r="C469" s="184" t="str">
        <f t="shared" si="7"/>
        <v>Chautauqua, NY</v>
      </c>
      <c r="D469" s="187">
        <v>0.09</v>
      </c>
    </row>
    <row r="470" spans="1:4">
      <c r="A470" s="184" t="s">
        <v>3622</v>
      </c>
      <c r="B470" s="184" t="s">
        <v>957</v>
      </c>
      <c r="C470" s="184" t="str">
        <f t="shared" si="7"/>
        <v>Chaves, NM</v>
      </c>
      <c r="D470" s="187">
        <v>3.5000000000000003E-2</v>
      </c>
    </row>
    <row r="471" spans="1:4">
      <c r="A471" s="184" t="s">
        <v>699</v>
      </c>
      <c r="B471" s="184" t="s">
        <v>1947</v>
      </c>
      <c r="C471" s="184" t="str">
        <f t="shared" si="7"/>
        <v>Cheatham, TN</v>
      </c>
      <c r="D471" s="187">
        <v>6.0999999999999999E-2</v>
      </c>
    </row>
    <row r="472" spans="1:4">
      <c r="A472" s="184" t="s">
        <v>2090</v>
      </c>
      <c r="B472" s="184" t="s">
        <v>639</v>
      </c>
      <c r="C472" s="184" t="str">
        <f t="shared" si="7"/>
        <v>Cheboygan, MI</v>
      </c>
      <c r="D472" s="187">
        <v>0.09</v>
      </c>
    </row>
    <row r="473" spans="1:4">
      <c r="A473" s="184" t="s">
        <v>1278</v>
      </c>
      <c r="B473" s="184" t="s">
        <v>3208</v>
      </c>
      <c r="C473" s="184" t="str">
        <f t="shared" si="7"/>
        <v>Chelan, WA</v>
      </c>
      <c r="D473" s="187">
        <v>0.09</v>
      </c>
    </row>
    <row r="474" spans="1:4">
      <c r="A474" s="184" t="s">
        <v>3446</v>
      </c>
      <c r="B474" s="184" t="s">
        <v>2551</v>
      </c>
      <c r="C474" s="184" t="str">
        <f t="shared" si="7"/>
        <v>Chemung, NY</v>
      </c>
      <c r="D474" s="187">
        <v>0.09</v>
      </c>
    </row>
    <row r="475" spans="1:4">
      <c r="A475" s="184" t="s">
        <v>3446</v>
      </c>
      <c r="B475" s="184" t="s">
        <v>773</v>
      </c>
      <c r="C475" s="184" t="str">
        <f t="shared" si="7"/>
        <v>Chenango, NY</v>
      </c>
      <c r="D475" s="187">
        <v>0.09</v>
      </c>
    </row>
    <row r="476" spans="1:4">
      <c r="A476" s="184" t="s">
        <v>2000</v>
      </c>
      <c r="B476" s="184" t="s">
        <v>3860</v>
      </c>
      <c r="C476" s="184" t="str">
        <f t="shared" si="7"/>
        <v>Cherokee, AL</v>
      </c>
      <c r="D476" s="187">
        <v>0.09</v>
      </c>
    </row>
    <row r="477" spans="1:4">
      <c r="A477" s="184" t="s">
        <v>3602</v>
      </c>
      <c r="B477" s="184" t="s">
        <v>3860</v>
      </c>
      <c r="C477" s="184" t="str">
        <f t="shared" si="7"/>
        <v>Cherokee, GA</v>
      </c>
      <c r="D477" s="187">
        <v>6.0999999999999999E-2</v>
      </c>
    </row>
    <row r="478" spans="1:4">
      <c r="A478" s="184" t="s">
        <v>2031</v>
      </c>
      <c r="B478" s="184" t="s">
        <v>3860</v>
      </c>
      <c r="C478" s="184" t="str">
        <f t="shared" si="7"/>
        <v>Cherokee, IA</v>
      </c>
      <c r="D478" s="187">
        <v>0.09</v>
      </c>
    </row>
    <row r="479" spans="1:4">
      <c r="A479" s="184" t="s">
        <v>663</v>
      </c>
      <c r="B479" s="184" t="s">
        <v>3860</v>
      </c>
      <c r="C479" s="184" t="str">
        <f t="shared" si="7"/>
        <v>Cherokee, KS</v>
      </c>
      <c r="D479" s="187">
        <v>0.09</v>
      </c>
    </row>
    <row r="480" spans="1:4">
      <c r="A480" s="184" t="s">
        <v>2542</v>
      </c>
      <c r="B480" s="184" t="s">
        <v>3860</v>
      </c>
      <c r="C480" s="184" t="str">
        <f t="shared" si="7"/>
        <v>Cherokee, NC</v>
      </c>
      <c r="D480" s="187">
        <v>4.3999999999999997E-2</v>
      </c>
    </row>
    <row r="481" spans="1:4">
      <c r="A481" s="184" t="s">
        <v>2573</v>
      </c>
      <c r="B481" s="184" t="s">
        <v>3860</v>
      </c>
      <c r="C481" s="184" t="str">
        <f t="shared" si="7"/>
        <v>Cherokee, OK</v>
      </c>
      <c r="D481" s="187">
        <v>0.09</v>
      </c>
    </row>
    <row r="482" spans="1:4">
      <c r="A482" s="184" t="s">
        <v>1942</v>
      </c>
      <c r="B482" s="184" t="s">
        <v>3860</v>
      </c>
      <c r="C482" s="184" t="str">
        <f t="shared" si="7"/>
        <v>Cherokee, SC</v>
      </c>
      <c r="D482" s="187">
        <v>4.3999999999999997E-2</v>
      </c>
    </row>
    <row r="483" spans="1:4">
      <c r="A483" s="184" t="s">
        <v>3906</v>
      </c>
      <c r="B483" s="184" t="s">
        <v>3860</v>
      </c>
      <c r="C483" s="184" t="str">
        <f t="shared" si="7"/>
        <v>Cherokee, TX</v>
      </c>
      <c r="D483" s="187">
        <v>4.3999999999999997E-2</v>
      </c>
    </row>
    <row r="484" spans="1:4">
      <c r="A484" s="184" t="s">
        <v>3442</v>
      </c>
      <c r="B484" s="184" t="s">
        <v>1252</v>
      </c>
      <c r="C484" s="184" t="str">
        <f t="shared" si="7"/>
        <v>Cherry, NE</v>
      </c>
      <c r="D484" s="187">
        <v>0.09</v>
      </c>
    </row>
    <row r="485" spans="1:4">
      <c r="A485" s="184" t="s">
        <v>746</v>
      </c>
      <c r="B485" s="184" t="s">
        <v>3171</v>
      </c>
      <c r="C485" s="184" t="str">
        <f t="shared" si="7"/>
        <v>Chesapeake City, VA</v>
      </c>
      <c r="D485" s="187">
        <v>6.0999999999999999E-2</v>
      </c>
    </row>
    <row r="486" spans="1:4">
      <c r="A486" s="184" t="s">
        <v>2868</v>
      </c>
      <c r="B486" s="184" t="s">
        <v>2869</v>
      </c>
      <c r="C486" s="184" t="str">
        <f t="shared" si="7"/>
        <v>Cheshire, NH</v>
      </c>
      <c r="D486" s="187">
        <v>0.09</v>
      </c>
    </row>
    <row r="487" spans="1:4">
      <c r="A487" s="184" t="s">
        <v>3356</v>
      </c>
      <c r="B487" s="184" t="s">
        <v>702</v>
      </c>
      <c r="C487" s="184" t="str">
        <f t="shared" si="7"/>
        <v>Chester, PA</v>
      </c>
      <c r="D487" s="187">
        <v>6.0999999999999999E-2</v>
      </c>
    </row>
    <row r="488" spans="1:4">
      <c r="A488" s="184" t="s">
        <v>1942</v>
      </c>
      <c r="B488" s="184" t="s">
        <v>702</v>
      </c>
      <c r="C488" s="184" t="str">
        <f t="shared" si="7"/>
        <v>Chester, SC</v>
      </c>
      <c r="D488" s="187">
        <v>4.3999999999999997E-2</v>
      </c>
    </row>
    <row r="489" spans="1:4">
      <c r="A489" s="184" t="s">
        <v>699</v>
      </c>
      <c r="B489" s="184" t="s">
        <v>702</v>
      </c>
      <c r="C489" s="184" t="str">
        <f t="shared" si="7"/>
        <v>Chester, TN</v>
      </c>
      <c r="D489" s="187">
        <v>0.09</v>
      </c>
    </row>
    <row r="490" spans="1:4">
      <c r="A490" s="184" t="s">
        <v>1942</v>
      </c>
      <c r="B490" s="184" t="s">
        <v>196</v>
      </c>
      <c r="C490" s="184" t="str">
        <f t="shared" si="7"/>
        <v>Chesterfield, SC</v>
      </c>
      <c r="D490" s="187">
        <v>4.3999999999999997E-2</v>
      </c>
    </row>
    <row r="491" spans="1:4">
      <c r="A491" s="184" t="s">
        <v>746</v>
      </c>
      <c r="B491" s="184" t="s">
        <v>196</v>
      </c>
      <c r="C491" s="184" t="str">
        <f t="shared" si="7"/>
        <v>Chesterfield, VA</v>
      </c>
      <c r="D491" s="187">
        <v>6.0999999999999999E-2</v>
      </c>
    </row>
    <row r="492" spans="1:4">
      <c r="A492" s="184" t="s">
        <v>3108</v>
      </c>
      <c r="B492" s="184" t="s">
        <v>1139</v>
      </c>
      <c r="C492" s="184" t="str">
        <f t="shared" si="7"/>
        <v>Cheyenne, CO</v>
      </c>
      <c r="D492" s="187">
        <v>4.3999999999999997E-2</v>
      </c>
    </row>
    <row r="493" spans="1:4">
      <c r="A493" s="184" t="s">
        <v>663</v>
      </c>
      <c r="B493" s="184" t="s">
        <v>1139</v>
      </c>
      <c r="C493" s="184" t="str">
        <f t="shared" si="7"/>
        <v>Cheyenne, KS</v>
      </c>
      <c r="D493" s="187">
        <v>0.09</v>
      </c>
    </row>
    <row r="494" spans="1:4">
      <c r="A494" s="184" t="s">
        <v>3442</v>
      </c>
      <c r="B494" s="184" t="s">
        <v>1139</v>
      </c>
      <c r="C494" s="184" t="str">
        <f t="shared" si="7"/>
        <v>Cheyenne, NE</v>
      </c>
      <c r="D494" s="187">
        <v>0.09</v>
      </c>
    </row>
    <row r="495" spans="1:4">
      <c r="A495" s="184" t="s">
        <v>2031</v>
      </c>
      <c r="B495" s="184" t="s">
        <v>2853</v>
      </c>
      <c r="C495" s="184" t="str">
        <f t="shared" si="7"/>
        <v>Chickasaw, IA</v>
      </c>
      <c r="D495" s="187">
        <v>0.09</v>
      </c>
    </row>
    <row r="496" spans="1:4">
      <c r="A496" s="184" t="s">
        <v>3035</v>
      </c>
      <c r="B496" s="184" t="s">
        <v>2853</v>
      </c>
      <c r="C496" s="184" t="str">
        <f t="shared" si="7"/>
        <v>Chickasaw, MS</v>
      </c>
      <c r="D496" s="187">
        <v>4.3999999999999997E-2</v>
      </c>
    </row>
    <row r="497" spans="1:4">
      <c r="A497" s="184" t="s">
        <v>566</v>
      </c>
      <c r="B497" s="184" t="s">
        <v>1208</v>
      </c>
      <c r="C497" s="184" t="str">
        <f t="shared" si="7"/>
        <v>Chicot, AR</v>
      </c>
      <c r="D497" s="187">
        <v>5.7000000000000002E-2</v>
      </c>
    </row>
    <row r="498" spans="1:4">
      <c r="A498" s="184" t="s">
        <v>3906</v>
      </c>
      <c r="B498" s="184" t="s">
        <v>1064</v>
      </c>
      <c r="C498" s="184" t="str">
        <f t="shared" si="7"/>
        <v>Childress, TX</v>
      </c>
      <c r="D498" s="187">
        <v>4.3999999999999997E-2</v>
      </c>
    </row>
    <row r="499" spans="1:4">
      <c r="A499" s="184" t="s">
        <v>2000</v>
      </c>
      <c r="B499" s="184" t="s">
        <v>3881</v>
      </c>
      <c r="C499" s="184" t="str">
        <f t="shared" si="7"/>
        <v>Chilton, AL</v>
      </c>
      <c r="D499" s="187">
        <v>0.09</v>
      </c>
    </row>
    <row r="500" spans="1:4">
      <c r="A500" s="184" t="s">
        <v>2090</v>
      </c>
      <c r="B500" s="184" t="s">
        <v>551</v>
      </c>
      <c r="C500" s="184" t="str">
        <f t="shared" si="7"/>
        <v>Chippewa, MI</v>
      </c>
      <c r="D500" s="187">
        <v>0.09</v>
      </c>
    </row>
    <row r="501" spans="1:4">
      <c r="A501" s="184" t="s">
        <v>3429</v>
      </c>
      <c r="B501" s="184" t="s">
        <v>551</v>
      </c>
      <c r="C501" s="184" t="str">
        <f t="shared" si="7"/>
        <v>Chippewa, MN</v>
      </c>
      <c r="D501" s="187">
        <v>0.09</v>
      </c>
    </row>
    <row r="502" spans="1:4">
      <c r="A502" s="184" t="s">
        <v>550</v>
      </c>
      <c r="B502" s="184" t="s">
        <v>551</v>
      </c>
      <c r="C502" s="184" t="str">
        <f t="shared" si="7"/>
        <v>Chippewa, WI</v>
      </c>
      <c r="D502" s="187">
        <v>0.09</v>
      </c>
    </row>
    <row r="503" spans="1:4">
      <c r="A503" s="184" t="s">
        <v>3429</v>
      </c>
      <c r="B503" s="184" t="s">
        <v>2763</v>
      </c>
      <c r="C503" s="184" t="str">
        <f t="shared" si="7"/>
        <v>Chisago, MN</v>
      </c>
      <c r="D503" s="187">
        <v>6.0999999999999999E-2</v>
      </c>
    </row>
    <row r="504" spans="1:4">
      <c r="A504" s="184" t="s">
        <v>2509</v>
      </c>
      <c r="B504" s="184" t="s">
        <v>2512</v>
      </c>
      <c r="C504" s="184" t="str">
        <f t="shared" si="7"/>
        <v>Chittenden, VT</v>
      </c>
      <c r="D504" s="187">
        <v>0.09</v>
      </c>
    </row>
    <row r="505" spans="1:4">
      <c r="A505" s="184" t="s">
        <v>2000</v>
      </c>
      <c r="B505" s="184" t="s">
        <v>3882</v>
      </c>
      <c r="C505" s="184" t="str">
        <f t="shared" si="7"/>
        <v>Choctaw, AL</v>
      </c>
      <c r="D505" s="187">
        <v>0.09</v>
      </c>
    </row>
    <row r="506" spans="1:4">
      <c r="A506" s="184" t="s">
        <v>3035</v>
      </c>
      <c r="B506" s="184" t="s">
        <v>3882</v>
      </c>
      <c r="C506" s="184" t="str">
        <f t="shared" si="7"/>
        <v>Choctaw, MS</v>
      </c>
      <c r="D506" s="187">
        <v>4.3999999999999997E-2</v>
      </c>
    </row>
    <row r="507" spans="1:4">
      <c r="A507" s="184" t="s">
        <v>2573</v>
      </c>
      <c r="B507" s="184" t="s">
        <v>3882</v>
      </c>
      <c r="C507" s="184" t="str">
        <f t="shared" si="7"/>
        <v>Choctaw, OK</v>
      </c>
      <c r="D507" s="187">
        <v>0.09</v>
      </c>
    </row>
    <row r="508" spans="1:4">
      <c r="A508" s="184" t="s">
        <v>3438</v>
      </c>
      <c r="B508" s="184" t="s">
        <v>2803</v>
      </c>
      <c r="C508" s="184" t="str">
        <f t="shared" si="7"/>
        <v>Chouteau, MT</v>
      </c>
      <c r="D508" s="187">
        <v>0.09</v>
      </c>
    </row>
    <row r="509" spans="1:4">
      <c r="A509" s="184" t="s">
        <v>2542</v>
      </c>
      <c r="B509" s="184" t="s">
        <v>787</v>
      </c>
      <c r="C509" s="184" t="str">
        <f t="shared" si="7"/>
        <v>Chowan, NC</v>
      </c>
      <c r="D509" s="187">
        <v>4.3999999999999997E-2</v>
      </c>
    </row>
    <row r="510" spans="1:4">
      <c r="A510" s="184" t="s">
        <v>2019</v>
      </c>
      <c r="B510" s="184" t="s">
        <v>532</v>
      </c>
      <c r="C510" s="184" t="str">
        <f t="shared" si="7"/>
        <v>Christian, IL</v>
      </c>
      <c r="D510" s="187">
        <v>0.09</v>
      </c>
    </row>
    <row r="511" spans="1:4">
      <c r="A511" s="184" t="s">
        <v>529</v>
      </c>
      <c r="B511" s="184" t="s">
        <v>532</v>
      </c>
      <c r="C511" s="184" t="str">
        <f t="shared" si="7"/>
        <v>Christian, KY</v>
      </c>
      <c r="D511" s="187">
        <v>0.09</v>
      </c>
    </row>
    <row r="512" spans="1:4">
      <c r="A512" s="184" t="s">
        <v>3434</v>
      </c>
      <c r="B512" s="184" t="s">
        <v>532</v>
      </c>
      <c r="C512" s="184" t="str">
        <f t="shared" si="7"/>
        <v>Christian, MO</v>
      </c>
      <c r="D512" s="187">
        <v>5.7000000000000002E-2</v>
      </c>
    </row>
    <row r="513" spans="1:4">
      <c r="A513" s="184" t="s">
        <v>3043</v>
      </c>
      <c r="B513" s="184" t="s">
        <v>1125</v>
      </c>
      <c r="C513" s="184" t="str">
        <f t="shared" si="7"/>
        <v>Churchill, NV</v>
      </c>
      <c r="D513" s="187">
        <v>0.09</v>
      </c>
    </row>
    <row r="514" spans="1:4">
      <c r="A514" s="184" t="s">
        <v>3622</v>
      </c>
      <c r="B514" s="184" t="s">
        <v>20</v>
      </c>
      <c r="C514" s="184" t="str">
        <f t="shared" si="7"/>
        <v>Cibola, NM</v>
      </c>
      <c r="D514" s="187">
        <v>5.7000000000000002E-2</v>
      </c>
    </row>
    <row r="515" spans="1:4">
      <c r="A515" s="184" t="s">
        <v>2573</v>
      </c>
      <c r="B515" s="184" t="s">
        <v>436</v>
      </c>
      <c r="C515" s="184" t="str">
        <f t="shared" si="7"/>
        <v>Cimarron, OK</v>
      </c>
      <c r="D515" s="187">
        <v>0.09</v>
      </c>
    </row>
    <row r="516" spans="1:4">
      <c r="A516" s="184" t="s">
        <v>3594</v>
      </c>
      <c r="B516" s="184" t="s">
        <v>1184</v>
      </c>
      <c r="C516" s="184" t="str">
        <f t="shared" si="7"/>
        <v>Citrus, FL</v>
      </c>
      <c r="D516" s="187">
        <v>4.3999999999999997E-2</v>
      </c>
    </row>
    <row r="517" spans="1:4">
      <c r="A517" s="184" t="s">
        <v>3353</v>
      </c>
      <c r="B517" s="184" t="s">
        <v>3073</v>
      </c>
      <c r="C517" s="184" t="str">
        <f t="shared" si="7"/>
        <v>Clackamas, OR</v>
      </c>
      <c r="D517" s="187">
        <v>6.0999999999999999E-2</v>
      </c>
    </row>
    <row r="518" spans="1:4">
      <c r="A518" s="184" t="s">
        <v>535</v>
      </c>
      <c r="B518" s="184" t="s">
        <v>760</v>
      </c>
      <c r="C518" s="184" t="str">
        <f t="shared" ref="C518:C581" si="8">B518&amp;", "&amp;A518</f>
        <v>Claiborne, LA</v>
      </c>
      <c r="D518" s="187">
        <v>0.09</v>
      </c>
    </row>
    <row r="519" spans="1:4">
      <c r="A519" s="184" t="s">
        <v>3035</v>
      </c>
      <c r="B519" s="184" t="s">
        <v>760</v>
      </c>
      <c r="C519" s="184" t="str">
        <f t="shared" si="8"/>
        <v>Claiborne, MS</v>
      </c>
      <c r="D519" s="187">
        <v>4.3999999999999997E-2</v>
      </c>
    </row>
    <row r="520" spans="1:4">
      <c r="A520" s="184" t="s">
        <v>699</v>
      </c>
      <c r="B520" s="184" t="s">
        <v>760</v>
      </c>
      <c r="C520" s="184" t="str">
        <f t="shared" si="8"/>
        <v>Claiborne, TN</v>
      </c>
      <c r="D520" s="187">
        <v>0.09</v>
      </c>
    </row>
    <row r="521" spans="1:4">
      <c r="A521" s="184" t="s">
        <v>1278</v>
      </c>
      <c r="B521" s="184" t="s">
        <v>3782</v>
      </c>
      <c r="C521" s="184" t="str">
        <f t="shared" si="8"/>
        <v>Clallam, WA</v>
      </c>
      <c r="D521" s="187">
        <v>0.09</v>
      </c>
    </row>
    <row r="522" spans="1:4">
      <c r="A522" s="184" t="s">
        <v>2090</v>
      </c>
      <c r="B522" s="184" t="s">
        <v>640</v>
      </c>
      <c r="C522" s="184" t="str">
        <f t="shared" si="8"/>
        <v>Clare, MI</v>
      </c>
      <c r="D522" s="187">
        <v>0.09</v>
      </c>
    </row>
    <row r="523" spans="1:4">
      <c r="A523" s="184" t="s">
        <v>1942</v>
      </c>
      <c r="B523" s="184" t="s">
        <v>70</v>
      </c>
      <c r="C523" s="184" t="str">
        <f t="shared" si="8"/>
        <v>Clarendon, SC</v>
      </c>
      <c r="D523" s="187">
        <v>4.3999999999999997E-2</v>
      </c>
    </row>
    <row r="524" spans="1:4">
      <c r="A524" s="184" t="s">
        <v>3356</v>
      </c>
      <c r="B524" s="184" t="s">
        <v>2272</v>
      </c>
      <c r="C524" s="184" t="str">
        <f t="shared" si="8"/>
        <v>Clarion, PA</v>
      </c>
      <c r="D524" s="187">
        <v>0.09</v>
      </c>
    </row>
    <row r="525" spans="1:4">
      <c r="A525" s="184" t="s">
        <v>566</v>
      </c>
      <c r="B525" s="184" t="s">
        <v>3044</v>
      </c>
      <c r="C525" s="184" t="str">
        <f t="shared" si="8"/>
        <v>Clark, AR</v>
      </c>
      <c r="D525" s="187">
        <v>4.3999999999999997E-2</v>
      </c>
    </row>
    <row r="526" spans="1:4">
      <c r="A526" s="184" t="s">
        <v>3875</v>
      </c>
      <c r="B526" s="184" t="s">
        <v>3044</v>
      </c>
      <c r="C526" s="184" t="str">
        <f t="shared" si="8"/>
        <v>Clark, ID</v>
      </c>
      <c r="D526" s="187">
        <v>4.3999999999999997E-2</v>
      </c>
    </row>
    <row r="527" spans="1:4">
      <c r="A527" s="184" t="s">
        <v>2019</v>
      </c>
      <c r="B527" s="184" t="s">
        <v>3044</v>
      </c>
      <c r="C527" s="184" t="str">
        <f t="shared" si="8"/>
        <v>Clark, IL</v>
      </c>
      <c r="D527" s="187">
        <v>0.09</v>
      </c>
    </row>
    <row r="528" spans="1:4">
      <c r="A528" s="184" t="s">
        <v>2021</v>
      </c>
      <c r="B528" s="184" t="s">
        <v>3044</v>
      </c>
      <c r="C528" s="184" t="str">
        <f t="shared" si="8"/>
        <v>Clark, IN</v>
      </c>
      <c r="D528" s="187">
        <v>5.7000000000000002E-2</v>
      </c>
    </row>
    <row r="529" spans="1:4">
      <c r="A529" s="184" t="s">
        <v>663</v>
      </c>
      <c r="B529" s="184" t="s">
        <v>3044</v>
      </c>
      <c r="C529" s="184" t="str">
        <f t="shared" si="8"/>
        <v>Clark, KS</v>
      </c>
      <c r="D529" s="187">
        <v>0.09</v>
      </c>
    </row>
    <row r="530" spans="1:4">
      <c r="A530" s="184" t="s">
        <v>529</v>
      </c>
      <c r="B530" s="184" t="s">
        <v>3044</v>
      </c>
      <c r="C530" s="184" t="str">
        <f t="shared" si="8"/>
        <v>Clark, KY</v>
      </c>
      <c r="D530" s="187">
        <v>3.5000000000000003E-2</v>
      </c>
    </row>
    <row r="531" spans="1:4">
      <c r="A531" s="184" t="s">
        <v>3434</v>
      </c>
      <c r="B531" s="184" t="s">
        <v>3044</v>
      </c>
      <c r="C531" s="184" t="str">
        <f t="shared" si="8"/>
        <v>Clark, MO</v>
      </c>
      <c r="D531" s="187">
        <v>0.09</v>
      </c>
    </row>
    <row r="532" spans="1:4">
      <c r="A532" s="184" t="s">
        <v>3043</v>
      </c>
      <c r="B532" s="184" t="s">
        <v>3044</v>
      </c>
      <c r="C532" s="184" t="str">
        <f t="shared" si="8"/>
        <v>Clark, NV</v>
      </c>
      <c r="D532" s="187">
        <v>6.0999999999999999E-2</v>
      </c>
    </row>
    <row r="533" spans="1:4">
      <c r="A533" s="184" t="s">
        <v>2562</v>
      </c>
      <c r="B533" s="184" t="s">
        <v>3044</v>
      </c>
      <c r="C533" s="184" t="str">
        <f t="shared" si="8"/>
        <v>Clark, OH</v>
      </c>
      <c r="D533" s="187">
        <v>5.7000000000000002E-2</v>
      </c>
    </row>
    <row r="534" spans="1:4">
      <c r="A534" s="184" t="s">
        <v>1944</v>
      </c>
      <c r="B534" s="184" t="s">
        <v>3044</v>
      </c>
      <c r="C534" s="184" t="str">
        <f t="shared" si="8"/>
        <v>Clark, SD</v>
      </c>
      <c r="D534" s="187">
        <v>4.3999999999999997E-2</v>
      </c>
    </row>
    <row r="535" spans="1:4">
      <c r="A535" s="184" t="s">
        <v>1278</v>
      </c>
      <c r="B535" s="184" t="s">
        <v>3044</v>
      </c>
      <c r="C535" s="184" t="str">
        <f t="shared" si="8"/>
        <v>Clark, WA</v>
      </c>
      <c r="D535" s="187">
        <v>5.7000000000000002E-2</v>
      </c>
    </row>
    <row r="536" spans="1:4">
      <c r="A536" s="184" t="s">
        <v>550</v>
      </c>
      <c r="B536" s="184" t="s">
        <v>3044</v>
      </c>
      <c r="C536" s="184" t="str">
        <f t="shared" si="8"/>
        <v>Clark, WI</v>
      </c>
      <c r="D536" s="187">
        <v>0.09</v>
      </c>
    </row>
    <row r="537" spans="1:4">
      <c r="A537" s="184" t="s">
        <v>2000</v>
      </c>
      <c r="B537" s="184" t="s">
        <v>197</v>
      </c>
      <c r="C537" s="184" t="str">
        <f t="shared" si="8"/>
        <v>Clarke, AL</v>
      </c>
      <c r="D537" s="187">
        <v>0.09</v>
      </c>
    </row>
    <row r="538" spans="1:4">
      <c r="A538" s="184" t="s">
        <v>3602</v>
      </c>
      <c r="B538" s="184" t="s">
        <v>197</v>
      </c>
      <c r="C538" s="184" t="str">
        <f t="shared" si="8"/>
        <v>Clarke, GA</v>
      </c>
      <c r="D538" s="187">
        <v>4.3999999999999997E-2</v>
      </c>
    </row>
    <row r="539" spans="1:4">
      <c r="A539" s="184" t="s">
        <v>2031</v>
      </c>
      <c r="B539" s="184" t="s">
        <v>197</v>
      </c>
      <c r="C539" s="184" t="str">
        <f t="shared" si="8"/>
        <v>Clarke, IA</v>
      </c>
      <c r="D539" s="187">
        <v>0.09</v>
      </c>
    </row>
    <row r="540" spans="1:4">
      <c r="A540" s="184" t="s">
        <v>3035</v>
      </c>
      <c r="B540" s="184" t="s">
        <v>197</v>
      </c>
      <c r="C540" s="184" t="str">
        <f t="shared" si="8"/>
        <v>Clarke, MS</v>
      </c>
      <c r="D540" s="187">
        <v>4.3999999999999997E-2</v>
      </c>
    </row>
    <row r="541" spans="1:4">
      <c r="A541" s="184" t="s">
        <v>746</v>
      </c>
      <c r="B541" s="184" t="s">
        <v>197</v>
      </c>
      <c r="C541" s="184" t="str">
        <f t="shared" si="8"/>
        <v>Clarke, VA</v>
      </c>
      <c r="D541" s="187">
        <v>6.0999999999999999E-2</v>
      </c>
    </row>
    <row r="542" spans="1:4">
      <c r="A542" s="184" t="s">
        <v>3353</v>
      </c>
      <c r="B542" s="184" t="s">
        <v>2256</v>
      </c>
      <c r="C542" s="184" t="str">
        <f t="shared" si="8"/>
        <v>Clatsop, OR</v>
      </c>
      <c r="D542" s="187">
        <v>0.09</v>
      </c>
    </row>
    <row r="543" spans="1:4">
      <c r="A543" s="184" t="s">
        <v>2000</v>
      </c>
      <c r="B543" s="184" t="s">
        <v>2022</v>
      </c>
      <c r="C543" s="184" t="str">
        <f t="shared" si="8"/>
        <v>Clay, AL</v>
      </c>
      <c r="D543" s="187">
        <v>0.09</v>
      </c>
    </row>
    <row r="544" spans="1:4">
      <c r="A544" s="184" t="s">
        <v>566</v>
      </c>
      <c r="B544" s="184" t="s">
        <v>2022</v>
      </c>
      <c r="C544" s="184" t="str">
        <f t="shared" si="8"/>
        <v>Clay, AR</v>
      </c>
      <c r="D544" s="187">
        <v>4.3999999999999997E-2</v>
      </c>
    </row>
    <row r="545" spans="1:4">
      <c r="A545" s="184" t="s">
        <v>3594</v>
      </c>
      <c r="B545" s="184" t="s">
        <v>2022</v>
      </c>
      <c r="C545" s="184" t="str">
        <f t="shared" si="8"/>
        <v>Clay, FL</v>
      </c>
      <c r="D545" s="187">
        <v>6.0999999999999999E-2</v>
      </c>
    </row>
    <row r="546" spans="1:4">
      <c r="A546" s="184" t="s">
        <v>3602</v>
      </c>
      <c r="B546" s="184" t="s">
        <v>2022</v>
      </c>
      <c r="C546" s="184" t="str">
        <f t="shared" si="8"/>
        <v>Clay, GA</v>
      </c>
      <c r="D546" s="187" t="s">
        <v>3930</v>
      </c>
    </row>
    <row r="547" spans="1:4">
      <c r="A547" s="184" t="s">
        <v>2031</v>
      </c>
      <c r="B547" s="184" t="s">
        <v>2022</v>
      </c>
      <c r="C547" s="184" t="str">
        <f t="shared" si="8"/>
        <v>Clay, IA</v>
      </c>
      <c r="D547" s="187">
        <v>0.09</v>
      </c>
    </row>
    <row r="548" spans="1:4">
      <c r="A548" s="184" t="s">
        <v>2019</v>
      </c>
      <c r="B548" s="184" t="s">
        <v>2022</v>
      </c>
      <c r="C548" s="184" t="str">
        <f t="shared" si="8"/>
        <v>Clay, IL</v>
      </c>
      <c r="D548" s="187">
        <v>0.09</v>
      </c>
    </row>
    <row r="549" spans="1:4">
      <c r="A549" s="184" t="s">
        <v>2021</v>
      </c>
      <c r="B549" s="184" t="s">
        <v>2022</v>
      </c>
      <c r="C549" s="184" t="str">
        <f t="shared" si="8"/>
        <v>Clay, IN</v>
      </c>
      <c r="D549" s="187">
        <v>0.09</v>
      </c>
    </row>
    <row r="550" spans="1:4">
      <c r="A550" s="184" t="s">
        <v>663</v>
      </c>
      <c r="B550" s="184" t="s">
        <v>2022</v>
      </c>
      <c r="C550" s="184" t="str">
        <f t="shared" si="8"/>
        <v>Clay, KS</v>
      </c>
      <c r="D550" s="187">
        <v>0.09</v>
      </c>
    </row>
    <row r="551" spans="1:4">
      <c r="A551" s="184" t="s">
        <v>529</v>
      </c>
      <c r="B551" s="184" t="s">
        <v>2022</v>
      </c>
      <c r="C551" s="184" t="str">
        <f t="shared" si="8"/>
        <v>Clay, KY</v>
      </c>
      <c r="D551" s="187">
        <v>5.7000000000000002E-2</v>
      </c>
    </row>
    <row r="552" spans="1:4">
      <c r="A552" s="184" t="s">
        <v>3429</v>
      </c>
      <c r="B552" s="184" t="s">
        <v>2022</v>
      </c>
      <c r="C552" s="184" t="str">
        <f t="shared" si="8"/>
        <v>Clay, MN</v>
      </c>
      <c r="D552" s="187">
        <v>6.0999999999999999E-2</v>
      </c>
    </row>
    <row r="553" spans="1:4">
      <c r="A553" s="184" t="s">
        <v>3434</v>
      </c>
      <c r="B553" s="184" t="s">
        <v>2022</v>
      </c>
      <c r="C553" s="184" t="str">
        <f t="shared" si="8"/>
        <v>Clay, MO</v>
      </c>
      <c r="D553" s="187">
        <v>6.0999999999999999E-2</v>
      </c>
    </row>
    <row r="554" spans="1:4">
      <c r="A554" s="184" t="s">
        <v>3035</v>
      </c>
      <c r="B554" s="184" t="s">
        <v>2022</v>
      </c>
      <c r="C554" s="184" t="str">
        <f t="shared" si="8"/>
        <v>Clay, MS</v>
      </c>
      <c r="D554" s="187">
        <v>5.7000000000000002E-2</v>
      </c>
    </row>
    <row r="555" spans="1:4">
      <c r="A555" s="184" t="s">
        <v>2542</v>
      </c>
      <c r="B555" s="184" t="s">
        <v>2022</v>
      </c>
      <c r="C555" s="184" t="str">
        <f t="shared" si="8"/>
        <v>Clay, NC</v>
      </c>
      <c r="D555" s="187">
        <v>4.3999999999999997E-2</v>
      </c>
    </row>
    <row r="556" spans="1:4">
      <c r="A556" s="184" t="s">
        <v>3442</v>
      </c>
      <c r="B556" s="184" t="s">
        <v>2022</v>
      </c>
      <c r="C556" s="184" t="str">
        <f t="shared" si="8"/>
        <v>Clay, NE</v>
      </c>
      <c r="D556" s="187">
        <v>0.09</v>
      </c>
    </row>
    <row r="557" spans="1:4">
      <c r="A557" s="184" t="s">
        <v>1944</v>
      </c>
      <c r="B557" s="184" t="s">
        <v>2022</v>
      </c>
      <c r="C557" s="184" t="str">
        <f t="shared" si="8"/>
        <v>Clay, SD</v>
      </c>
      <c r="D557" s="187">
        <v>4.3999999999999997E-2</v>
      </c>
    </row>
    <row r="558" spans="1:4">
      <c r="A558" s="184" t="s">
        <v>699</v>
      </c>
      <c r="B558" s="184" t="s">
        <v>2022</v>
      </c>
      <c r="C558" s="184" t="str">
        <f t="shared" si="8"/>
        <v>Clay, TN</v>
      </c>
      <c r="D558" s="187">
        <v>0.09</v>
      </c>
    </row>
    <row r="559" spans="1:4">
      <c r="A559" s="184" t="s">
        <v>3906</v>
      </c>
      <c r="B559" s="184" t="s">
        <v>2022</v>
      </c>
      <c r="C559" s="184" t="str">
        <f t="shared" si="8"/>
        <v>Clay, TX</v>
      </c>
      <c r="D559" s="187">
        <v>4.3999999999999997E-2</v>
      </c>
    </row>
    <row r="560" spans="1:4">
      <c r="A560" s="184" t="s">
        <v>542</v>
      </c>
      <c r="B560" s="184" t="s">
        <v>2022</v>
      </c>
      <c r="C560" s="184" t="str">
        <f t="shared" si="8"/>
        <v>Clay, WV</v>
      </c>
      <c r="D560" s="187">
        <v>0.09</v>
      </c>
    </row>
    <row r="561" spans="1:4">
      <c r="A561" s="184" t="s">
        <v>3602</v>
      </c>
      <c r="B561" s="184" t="s">
        <v>2854</v>
      </c>
      <c r="C561" s="184" t="str">
        <f t="shared" si="8"/>
        <v>Clayton, GA</v>
      </c>
      <c r="D561" s="187">
        <v>4.4999999999999998E-2</v>
      </c>
    </row>
    <row r="562" spans="1:4">
      <c r="A562" s="184" t="s">
        <v>2031</v>
      </c>
      <c r="B562" s="184" t="s">
        <v>2854</v>
      </c>
      <c r="C562" s="184" t="str">
        <f t="shared" si="8"/>
        <v>Clayton, IA</v>
      </c>
      <c r="D562" s="187">
        <v>0.09</v>
      </c>
    </row>
    <row r="563" spans="1:4">
      <c r="A563" s="184" t="s">
        <v>3108</v>
      </c>
      <c r="B563" s="184" t="s">
        <v>1140</v>
      </c>
      <c r="C563" s="184" t="str">
        <f t="shared" si="8"/>
        <v>Clear Creek, CO</v>
      </c>
      <c r="D563" s="187">
        <v>4.3999999999999997E-2</v>
      </c>
    </row>
    <row r="564" spans="1:4">
      <c r="A564" s="184" t="s">
        <v>3356</v>
      </c>
      <c r="B564" s="184" t="s">
        <v>2273</v>
      </c>
      <c r="C564" s="184" t="str">
        <f t="shared" si="8"/>
        <v>Clearfield, PA</v>
      </c>
      <c r="D564" s="187">
        <v>0.09</v>
      </c>
    </row>
    <row r="565" spans="1:4">
      <c r="A565" s="184" t="s">
        <v>3875</v>
      </c>
      <c r="B565" s="184" t="s">
        <v>1262</v>
      </c>
      <c r="C565" s="184" t="str">
        <f t="shared" si="8"/>
        <v>Clearwater, ID</v>
      </c>
      <c r="D565" s="187">
        <v>4.3999999999999997E-2</v>
      </c>
    </row>
    <row r="566" spans="1:4">
      <c r="A566" s="184" t="s">
        <v>3429</v>
      </c>
      <c r="B566" s="184" t="s">
        <v>1262</v>
      </c>
      <c r="C566" s="184" t="str">
        <f t="shared" si="8"/>
        <v>Clearwater, MN</v>
      </c>
      <c r="D566" s="187">
        <v>0.09</v>
      </c>
    </row>
    <row r="567" spans="1:4">
      <c r="A567" s="184" t="s">
        <v>2000</v>
      </c>
      <c r="B567" s="184" t="s">
        <v>3883</v>
      </c>
      <c r="C567" s="184" t="str">
        <f t="shared" si="8"/>
        <v>Cleburne, AL</v>
      </c>
      <c r="D567" s="187">
        <v>0.09</v>
      </c>
    </row>
    <row r="568" spans="1:4">
      <c r="A568" s="184" t="s">
        <v>566</v>
      </c>
      <c r="B568" s="184" t="s">
        <v>3883</v>
      </c>
      <c r="C568" s="184" t="str">
        <f t="shared" si="8"/>
        <v>Cleburne, AR</v>
      </c>
      <c r="D568" s="187">
        <v>4.3999999999999997E-2</v>
      </c>
    </row>
    <row r="569" spans="1:4">
      <c r="A569" s="184" t="s">
        <v>2562</v>
      </c>
      <c r="B569" s="184" t="s">
        <v>2673</v>
      </c>
      <c r="C569" s="184" t="str">
        <f t="shared" si="8"/>
        <v>Clermont, OH</v>
      </c>
      <c r="D569" s="187">
        <v>6.0999999999999999E-2</v>
      </c>
    </row>
    <row r="570" spans="1:4">
      <c r="A570" s="184" t="s">
        <v>566</v>
      </c>
      <c r="B570" s="184" t="s">
        <v>2575</v>
      </c>
      <c r="C570" s="184" t="str">
        <f t="shared" si="8"/>
        <v>Cleveland, AR</v>
      </c>
      <c r="D570" s="187">
        <v>4.3999999999999997E-2</v>
      </c>
    </row>
    <row r="571" spans="1:4">
      <c r="A571" s="184" t="s">
        <v>2542</v>
      </c>
      <c r="B571" s="184" t="s">
        <v>2575</v>
      </c>
      <c r="C571" s="184" t="str">
        <f t="shared" si="8"/>
        <v>Cleveland, NC</v>
      </c>
      <c r="D571" s="187">
        <v>4.3999999999999997E-2</v>
      </c>
    </row>
    <row r="572" spans="1:4">
      <c r="A572" s="184" t="s">
        <v>2573</v>
      </c>
      <c r="B572" s="184" t="s">
        <v>2575</v>
      </c>
      <c r="C572" s="184" t="str">
        <f t="shared" si="8"/>
        <v>Cleveland, OK</v>
      </c>
      <c r="D572" s="187">
        <v>0.09</v>
      </c>
    </row>
    <row r="573" spans="1:4">
      <c r="A573" s="184" t="s">
        <v>746</v>
      </c>
      <c r="B573" s="184" t="s">
        <v>2072</v>
      </c>
      <c r="C573" s="184" t="str">
        <f t="shared" si="8"/>
        <v>Clifton Forge City, VA</v>
      </c>
      <c r="D573" s="187">
        <v>4.3999999999999997E-2</v>
      </c>
    </row>
    <row r="574" spans="1:4">
      <c r="A574" s="184" t="s">
        <v>3602</v>
      </c>
      <c r="B574" s="184" t="s">
        <v>317</v>
      </c>
      <c r="C574" s="184" t="str">
        <f t="shared" si="8"/>
        <v>Clinch, GA</v>
      </c>
      <c r="D574" s="187">
        <v>4.3999999999999997E-2</v>
      </c>
    </row>
    <row r="575" spans="1:4">
      <c r="A575" s="184" t="s">
        <v>2031</v>
      </c>
      <c r="B575" s="184" t="s">
        <v>2023</v>
      </c>
      <c r="C575" s="184" t="str">
        <f t="shared" si="8"/>
        <v>Clinton, IA</v>
      </c>
      <c r="D575" s="187">
        <v>0.09</v>
      </c>
    </row>
    <row r="576" spans="1:4">
      <c r="A576" s="184" t="s">
        <v>2019</v>
      </c>
      <c r="B576" s="184" t="s">
        <v>2023</v>
      </c>
      <c r="C576" s="184" t="str">
        <f t="shared" si="8"/>
        <v>Clinton, IL</v>
      </c>
      <c r="D576" s="187">
        <v>6.0999999999999999E-2</v>
      </c>
    </row>
    <row r="577" spans="1:4">
      <c r="A577" s="184" t="s">
        <v>2021</v>
      </c>
      <c r="B577" s="184" t="s">
        <v>2023</v>
      </c>
      <c r="C577" s="184" t="str">
        <f t="shared" si="8"/>
        <v>Clinton, IN</v>
      </c>
      <c r="D577" s="187">
        <v>0.09</v>
      </c>
    </row>
    <row r="578" spans="1:4">
      <c r="A578" s="184" t="s">
        <v>529</v>
      </c>
      <c r="B578" s="184" t="s">
        <v>2023</v>
      </c>
      <c r="C578" s="184" t="str">
        <f t="shared" si="8"/>
        <v>Clinton, KY</v>
      </c>
      <c r="D578" s="187">
        <v>5.7000000000000002E-2</v>
      </c>
    </row>
    <row r="579" spans="1:4">
      <c r="A579" s="184" t="s">
        <v>2090</v>
      </c>
      <c r="B579" s="184" t="s">
        <v>2023</v>
      </c>
      <c r="C579" s="184" t="str">
        <f t="shared" si="8"/>
        <v>Clinton, MI</v>
      </c>
      <c r="D579" s="187">
        <v>6.0999999999999999E-2</v>
      </c>
    </row>
    <row r="580" spans="1:4">
      <c r="A580" s="184" t="s">
        <v>3434</v>
      </c>
      <c r="B580" s="184" t="s">
        <v>2023</v>
      </c>
      <c r="C580" s="184" t="str">
        <f t="shared" si="8"/>
        <v>Clinton, MO</v>
      </c>
      <c r="D580" s="187">
        <v>6.0999999999999999E-2</v>
      </c>
    </row>
    <row r="581" spans="1:4">
      <c r="A581" s="184" t="s">
        <v>3446</v>
      </c>
      <c r="B581" s="184" t="s">
        <v>2023</v>
      </c>
      <c r="C581" s="184" t="str">
        <f t="shared" si="8"/>
        <v>Clinton, NY</v>
      </c>
      <c r="D581" s="187">
        <v>0.09</v>
      </c>
    </row>
    <row r="582" spans="1:4">
      <c r="A582" s="184" t="s">
        <v>2562</v>
      </c>
      <c r="B582" s="184" t="s">
        <v>2023</v>
      </c>
      <c r="C582" s="184" t="str">
        <f t="shared" ref="C582:C645" si="9">B582&amp;", "&amp;A582</f>
        <v>Clinton, OH</v>
      </c>
      <c r="D582" s="187">
        <v>0.09</v>
      </c>
    </row>
    <row r="583" spans="1:4">
      <c r="A583" s="184" t="s">
        <v>3356</v>
      </c>
      <c r="B583" s="184" t="s">
        <v>2023</v>
      </c>
      <c r="C583" s="184" t="str">
        <f t="shared" si="9"/>
        <v>Clinton, PA</v>
      </c>
      <c r="D583" s="187">
        <v>0.09</v>
      </c>
    </row>
    <row r="584" spans="1:4">
      <c r="A584" s="184" t="s">
        <v>663</v>
      </c>
      <c r="B584" s="184" t="s">
        <v>1429</v>
      </c>
      <c r="C584" s="184" t="str">
        <f t="shared" si="9"/>
        <v>Cloud, KS</v>
      </c>
      <c r="D584" s="187">
        <v>0.09</v>
      </c>
    </row>
    <row r="585" spans="1:4">
      <c r="A585" s="184" t="s">
        <v>3035</v>
      </c>
      <c r="B585" s="184" t="s">
        <v>2422</v>
      </c>
      <c r="C585" s="184" t="str">
        <f t="shared" si="9"/>
        <v>Coahoma, MS</v>
      </c>
      <c r="D585" s="187">
        <v>5.7000000000000002E-2</v>
      </c>
    </row>
    <row r="586" spans="1:4">
      <c r="A586" s="184" t="s">
        <v>2573</v>
      </c>
      <c r="B586" s="184" t="s">
        <v>437</v>
      </c>
      <c r="C586" s="184" t="str">
        <f t="shared" si="9"/>
        <v>Coal, OK</v>
      </c>
      <c r="D586" s="187">
        <v>0.09</v>
      </c>
    </row>
    <row r="587" spans="1:4">
      <c r="A587" s="184" t="s">
        <v>3602</v>
      </c>
      <c r="B587" s="184" t="s">
        <v>3861</v>
      </c>
      <c r="C587" s="184" t="str">
        <f t="shared" si="9"/>
        <v>Cobb, GA</v>
      </c>
      <c r="D587" s="187">
        <v>6.0999999999999999E-2</v>
      </c>
    </row>
    <row r="588" spans="1:4">
      <c r="A588" s="184" t="s">
        <v>562</v>
      </c>
      <c r="B588" s="184" t="s">
        <v>1205</v>
      </c>
      <c r="C588" s="184" t="str">
        <f t="shared" si="9"/>
        <v>Cochise, AZ</v>
      </c>
      <c r="D588" s="187">
        <v>5.7000000000000002E-2</v>
      </c>
    </row>
    <row r="589" spans="1:4">
      <c r="A589" s="184" t="s">
        <v>3906</v>
      </c>
      <c r="B589" s="184" t="s">
        <v>1065</v>
      </c>
      <c r="C589" s="184" t="str">
        <f t="shared" si="9"/>
        <v>Cochran, TX</v>
      </c>
      <c r="D589" s="187">
        <v>4.3999999999999997E-2</v>
      </c>
    </row>
    <row r="590" spans="1:4">
      <c r="A590" s="184" t="s">
        <v>699</v>
      </c>
      <c r="B590" s="184" t="s">
        <v>1737</v>
      </c>
      <c r="C590" s="184" t="str">
        <f t="shared" si="9"/>
        <v>Cocke, TN</v>
      </c>
      <c r="D590" s="187">
        <v>0.09</v>
      </c>
    </row>
    <row r="591" spans="1:4">
      <c r="A591" s="184" t="s">
        <v>562</v>
      </c>
      <c r="B591" s="184" t="s">
        <v>1036</v>
      </c>
      <c r="C591" s="184" t="str">
        <f t="shared" si="9"/>
        <v>Coconino, AZ</v>
      </c>
      <c r="D591" s="187">
        <v>4.3999999999999997E-2</v>
      </c>
    </row>
    <row r="592" spans="1:4">
      <c r="A592" s="184" t="s">
        <v>1944</v>
      </c>
      <c r="B592" s="184" t="s">
        <v>2051</v>
      </c>
      <c r="C592" s="184" t="str">
        <f t="shared" si="9"/>
        <v>Codington, SD</v>
      </c>
      <c r="D592" s="187">
        <v>4.3999999999999997E-2</v>
      </c>
    </row>
    <row r="593" spans="1:4">
      <c r="A593" s="184" t="s">
        <v>2000</v>
      </c>
      <c r="B593" s="184" t="s">
        <v>3884</v>
      </c>
      <c r="C593" s="184" t="str">
        <f t="shared" si="9"/>
        <v>Coffee, AL</v>
      </c>
      <c r="D593" s="187">
        <v>0.09</v>
      </c>
    </row>
    <row r="594" spans="1:4">
      <c r="A594" s="184" t="s">
        <v>3602</v>
      </c>
      <c r="B594" s="184" t="s">
        <v>3884</v>
      </c>
      <c r="C594" s="184" t="str">
        <f t="shared" si="9"/>
        <v>Coffee, GA</v>
      </c>
      <c r="D594" s="187">
        <v>4.3999999999999997E-2</v>
      </c>
    </row>
    <row r="595" spans="1:4">
      <c r="A595" s="184" t="s">
        <v>699</v>
      </c>
      <c r="B595" s="184" t="s">
        <v>3884</v>
      </c>
      <c r="C595" s="184" t="str">
        <f t="shared" si="9"/>
        <v>Coffee, TN</v>
      </c>
      <c r="D595" s="187">
        <v>0.09</v>
      </c>
    </row>
    <row r="596" spans="1:4">
      <c r="A596" s="184" t="s">
        <v>663</v>
      </c>
      <c r="B596" s="184" t="s">
        <v>1430</v>
      </c>
      <c r="C596" s="184" t="str">
        <f t="shared" si="9"/>
        <v>Coffey, KS</v>
      </c>
      <c r="D596" s="187">
        <v>0.09</v>
      </c>
    </row>
    <row r="597" spans="1:4">
      <c r="A597" s="184" t="s">
        <v>3906</v>
      </c>
      <c r="B597" s="184" t="s">
        <v>1066</v>
      </c>
      <c r="C597" s="184" t="str">
        <f t="shared" si="9"/>
        <v>Coke, TX</v>
      </c>
      <c r="D597" s="187">
        <v>4.3999999999999997E-2</v>
      </c>
    </row>
    <row r="598" spans="1:4">
      <c r="A598" s="184" t="s">
        <v>2000</v>
      </c>
      <c r="B598" s="184" t="s">
        <v>2004</v>
      </c>
      <c r="C598" s="184" t="str">
        <f t="shared" si="9"/>
        <v>Colbert, AL</v>
      </c>
      <c r="D598" s="187">
        <v>0.09</v>
      </c>
    </row>
    <row r="599" spans="1:4">
      <c r="A599" s="184" t="s">
        <v>3434</v>
      </c>
      <c r="B599" s="184" t="s">
        <v>2777</v>
      </c>
      <c r="C599" s="184" t="str">
        <f t="shared" si="9"/>
        <v>Cole, MO</v>
      </c>
      <c r="D599" s="187">
        <v>0.09</v>
      </c>
    </row>
    <row r="600" spans="1:4">
      <c r="A600" s="184" t="s">
        <v>3906</v>
      </c>
      <c r="B600" s="184" t="s">
        <v>3241</v>
      </c>
      <c r="C600" s="184" t="str">
        <f t="shared" si="9"/>
        <v>Coleman, TX</v>
      </c>
      <c r="D600" s="187">
        <v>5.7000000000000002E-2</v>
      </c>
    </row>
    <row r="601" spans="1:4">
      <c r="A601" s="184" t="s">
        <v>2019</v>
      </c>
      <c r="B601" s="184" t="s">
        <v>1018</v>
      </c>
      <c r="C601" s="184" t="str">
        <f t="shared" si="9"/>
        <v>Coles, IL</v>
      </c>
      <c r="D601" s="187">
        <v>0.09</v>
      </c>
    </row>
    <row r="602" spans="1:4">
      <c r="A602" s="184" t="s">
        <v>3442</v>
      </c>
      <c r="B602" s="184" t="s">
        <v>1253</v>
      </c>
      <c r="C602" s="184" t="str">
        <f t="shared" si="9"/>
        <v>Colfax, NE</v>
      </c>
      <c r="D602" s="187">
        <v>0.09</v>
      </c>
    </row>
    <row r="603" spans="1:4">
      <c r="A603" s="184" t="s">
        <v>3622</v>
      </c>
      <c r="B603" s="184" t="s">
        <v>1253</v>
      </c>
      <c r="C603" s="184" t="str">
        <f t="shared" si="9"/>
        <v>Colfax, NM</v>
      </c>
      <c r="D603" s="187">
        <v>5.7000000000000002E-2</v>
      </c>
    </row>
    <row r="604" spans="1:4">
      <c r="A604" s="184" t="s">
        <v>1942</v>
      </c>
      <c r="B604" s="184" t="s">
        <v>71</v>
      </c>
      <c r="C604" s="184" t="str">
        <f t="shared" si="9"/>
        <v>Colleton, SC</v>
      </c>
      <c r="D604" s="187">
        <v>4.3999999999999997E-2</v>
      </c>
    </row>
    <row r="605" spans="1:4">
      <c r="A605" s="184" t="s">
        <v>3594</v>
      </c>
      <c r="B605" s="184" t="s">
        <v>3596</v>
      </c>
      <c r="C605" s="184" t="str">
        <f t="shared" si="9"/>
        <v>Collier, FL</v>
      </c>
      <c r="D605" s="187">
        <v>6.0999999999999999E-2</v>
      </c>
    </row>
    <row r="606" spans="1:4">
      <c r="A606" s="184" t="s">
        <v>3906</v>
      </c>
      <c r="B606" s="184" t="s">
        <v>3910</v>
      </c>
      <c r="C606" s="184" t="str">
        <f t="shared" si="9"/>
        <v>Collin, TX</v>
      </c>
      <c r="D606" s="187">
        <v>6.0999999999999999E-2</v>
      </c>
    </row>
    <row r="607" spans="1:4">
      <c r="A607" s="184" t="s">
        <v>3906</v>
      </c>
      <c r="B607" s="184" t="s">
        <v>1067</v>
      </c>
      <c r="C607" s="184" t="str">
        <f t="shared" si="9"/>
        <v>Collingsworth, TX</v>
      </c>
      <c r="D607" s="187">
        <v>4.3999999999999997E-2</v>
      </c>
    </row>
    <row r="608" spans="1:4">
      <c r="A608" s="184" t="s">
        <v>746</v>
      </c>
      <c r="B608" s="184" t="s">
        <v>3172</v>
      </c>
      <c r="C608" s="184" t="str">
        <f t="shared" si="9"/>
        <v>Colonial Heights City, VA</v>
      </c>
      <c r="D608" s="187">
        <v>6.0999999999999999E-2</v>
      </c>
    </row>
    <row r="609" spans="1:4">
      <c r="A609" s="184" t="s">
        <v>3906</v>
      </c>
      <c r="B609" s="184" t="s">
        <v>1068</v>
      </c>
      <c r="C609" s="184" t="str">
        <f t="shared" si="9"/>
        <v>Colorado, TX</v>
      </c>
      <c r="D609" s="187">
        <v>4.3999999999999997E-2</v>
      </c>
    </row>
    <row r="610" spans="1:4">
      <c r="A610" s="184" t="s">
        <v>3602</v>
      </c>
      <c r="B610" s="184" t="s">
        <v>318</v>
      </c>
      <c r="C610" s="184" t="str">
        <f t="shared" si="9"/>
        <v>Colquitt, GA</v>
      </c>
      <c r="D610" s="187">
        <v>4.3999999999999997E-2</v>
      </c>
    </row>
    <row r="611" spans="1:4">
      <c r="A611" s="184" t="s">
        <v>566</v>
      </c>
      <c r="B611" s="184" t="s">
        <v>3074</v>
      </c>
      <c r="C611" s="184" t="str">
        <f t="shared" si="9"/>
        <v>Columbia, AR</v>
      </c>
      <c r="D611" s="187">
        <v>4.3999999999999997E-2</v>
      </c>
    </row>
    <row r="612" spans="1:4">
      <c r="A612" s="184" t="s">
        <v>3594</v>
      </c>
      <c r="B612" s="184" t="s">
        <v>3074</v>
      </c>
      <c r="C612" s="184" t="str">
        <f t="shared" si="9"/>
        <v>Columbia, FL</v>
      </c>
      <c r="D612" s="187">
        <v>4.3999999999999997E-2</v>
      </c>
    </row>
    <row r="613" spans="1:4">
      <c r="A613" s="184" t="s">
        <v>3602</v>
      </c>
      <c r="B613" s="184" t="s">
        <v>3074</v>
      </c>
      <c r="C613" s="184" t="str">
        <f t="shared" si="9"/>
        <v>Columbia, GA</v>
      </c>
      <c r="D613" s="187">
        <v>4.3999999999999997E-2</v>
      </c>
    </row>
    <row r="614" spans="1:4">
      <c r="A614" s="184" t="s">
        <v>3446</v>
      </c>
      <c r="B614" s="184" t="s">
        <v>3074</v>
      </c>
      <c r="C614" s="184" t="str">
        <f t="shared" si="9"/>
        <v>Columbia, NY</v>
      </c>
      <c r="D614" s="187">
        <v>5.7000000000000002E-2</v>
      </c>
    </row>
    <row r="615" spans="1:4">
      <c r="A615" s="184" t="s">
        <v>3353</v>
      </c>
      <c r="B615" s="184" t="s">
        <v>3074</v>
      </c>
      <c r="C615" s="184" t="str">
        <f t="shared" si="9"/>
        <v>Columbia, OR</v>
      </c>
      <c r="D615" s="187">
        <v>6.0999999999999999E-2</v>
      </c>
    </row>
    <row r="616" spans="1:4">
      <c r="A616" s="184" t="s">
        <v>3356</v>
      </c>
      <c r="B616" s="184" t="s">
        <v>3074</v>
      </c>
      <c r="C616" s="184" t="str">
        <f t="shared" si="9"/>
        <v>Columbia, PA</v>
      </c>
      <c r="D616" s="187">
        <v>5.7000000000000002E-2</v>
      </c>
    </row>
    <row r="617" spans="1:4">
      <c r="A617" s="184" t="s">
        <v>1278</v>
      </c>
      <c r="B617" s="184" t="s">
        <v>3074</v>
      </c>
      <c r="C617" s="184" t="str">
        <f t="shared" si="9"/>
        <v>Columbia, WA</v>
      </c>
      <c r="D617" s="187">
        <v>0.09</v>
      </c>
    </row>
    <row r="618" spans="1:4">
      <c r="A618" s="184" t="s">
        <v>550</v>
      </c>
      <c r="B618" s="184" t="s">
        <v>3074</v>
      </c>
      <c r="C618" s="184" t="str">
        <f t="shared" si="9"/>
        <v>Columbia, WI</v>
      </c>
      <c r="D618" s="187">
        <v>0.09</v>
      </c>
    </row>
    <row r="619" spans="1:4">
      <c r="A619" s="184" t="s">
        <v>2562</v>
      </c>
      <c r="B619" s="184" t="s">
        <v>2566</v>
      </c>
      <c r="C619" s="184" t="str">
        <f t="shared" si="9"/>
        <v>Columbiana, OH</v>
      </c>
      <c r="D619" s="187">
        <v>0.09</v>
      </c>
    </row>
    <row r="620" spans="1:4">
      <c r="A620" s="184" t="s">
        <v>2542</v>
      </c>
      <c r="B620" s="184" t="s">
        <v>32</v>
      </c>
      <c r="C620" s="184" t="str">
        <f t="shared" si="9"/>
        <v>Columbus, NC</v>
      </c>
      <c r="D620" s="187">
        <v>5.7000000000000002E-2</v>
      </c>
    </row>
    <row r="621" spans="1:4">
      <c r="A621" s="184" t="s">
        <v>3106</v>
      </c>
      <c r="B621" s="184" t="s">
        <v>3017</v>
      </c>
      <c r="C621" s="184" t="str">
        <f t="shared" si="9"/>
        <v>Colusa, CA</v>
      </c>
      <c r="D621" s="187">
        <v>0.09</v>
      </c>
    </row>
    <row r="622" spans="1:4">
      <c r="A622" s="184" t="s">
        <v>3906</v>
      </c>
      <c r="B622" s="184" t="s">
        <v>497</v>
      </c>
      <c r="C622" s="184" t="str">
        <f t="shared" si="9"/>
        <v>Comal, TX</v>
      </c>
      <c r="D622" s="187">
        <v>4.3999999999999997E-2</v>
      </c>
    </row>
    <row r="623" spans="1:4">
      <c r="A623" s="184" t="s">
        <v>663</v>
      </c>
      <c r="B623" s="184" t="s">
        <v>2576</v>
      </c>
      <c r="C623" s="184" t="str">
        <f t="shared" si="9"/>
        <v>Comanche, KS</v>
      </c>
      <c r="D623" s="187">
        <v>0.09</v>
      </c>
    </row>
    <row r="624" spans="1:4">
      <c r="A624" s="184" t="s">
        <v>2573</v>
      </c>
      <c r="B624" s="184" t="s">
        <v>2576</v>
      </c>
      <c r="C624" s="184" t="str">
        <f t="shared" si="9"/>
        <v>Comanche, OK</v>
      </c>
      <c r="D624" s="187">
        <v>0.09</v>
      </c>
    </row>
    <row r="625" spans="1:4">
      <c r="A625" s="184" t="s">
        <v>3906</v>
      </c>
      <c r="B625" s="184" t="s">
        <v>2576</v>
      </c>
      <c r="C625" s="184" t="str">
        <f t="shared" si="9"/>
        <v>Comanche, TX</v>
      </c>
      <c r="D625" s="187">
        <v>4.3999999999999997E-2</v>
      </c>
    </row>
    <row r="626" spans="1:4">
      <c r="A626" s="184" t="s">
        <v>3906</v>
      </c>
      <c r="B626" s="184" t="s">
        <v>1069</v>
      </c>
      <c r="C626" s="184" t="str">
        <f t="shared" si="9"/>
        <v>Concho, TX</v>
      </c>
      <c r="D626" s="187">
        <v>4.3999999999999997E-2</v>
      </c>
    </row>
    <row r="627" spans="1:4">
      <c r="A627" s="184" t="s">
        <v>535</v>
      </c>
      <c r="B627" s="184" t="s">
        <v>761</v>
      </c>
      <c r="C627" s="184" t="str">
        <f t="shared" si="9"/>
        <v>Concordia, LA</v>
      </c>
      <c r="D627" s="187">
        <v>0.09</v>
      </c>
    </row>
    <row r="628" spans="1:4">
      <c r="A628" s="184" t="s">
        <v>2000</v>
      </c>
      <c r="B628" s="184" t="s">
        <v>3885</v>
      </c>
      <c r="C628" s="184" t="str">
        <f t="shared" si="9"/>
        <v>Conecuh, AL</v>
      </c>
      <c r="D628" s="187">
        <v>0.09</v>
      </c>
    </row>
    <row r="629" spans="1:4">
      <c r="A629" s="184" t="s">
        <v>3108</v>
      </c>
      <c r="B629" s="184" t="s">
        <v>3415</v>
      </c>
      <c r="C629" s="184" t="str">
        <f t="shared" si="9"/>
        <v>Conejos, CO</v>
      </c>
      <c r="D629" s="187">
        <v>5.7000000000000002E-2</v>
      </c>
    </row>
    <row r="630" spans="1:4">
      <c r="A630" s="184" t="s">
        <v>3106</v>
      </c>
      <c r="B630" s="184" t="s">
        <v>3549</v>
      </c>
      <c r="C630" s="184" t="str">
        <f t="shared" si="9"/>
        <v>Contra Costa, CA</v>
      </c>
      <c r="D630" s="187">
        <v>2.4E-2</v>
      </c>
    </row>
    <row r="631" spans="1:4">
      <c r="A631" s="184" t="s">
        <v>1033</v>
      </c>
      <c r="B631" s="184" t="s">
        <v>867</v>
      </c>
      <c r="C631" s="184" t="str">
        <f t="shared" si="9"/>
        <v>Converse, WY</v>
      </c>
      <c r="D631" s="187">
        <v>0.09</v>
      </c>
    </row>
    <row r="632" spans="1:4">
      <c r="A632" s="184" t="s">
        <v>566</v>
      </c>
      <c r="B632" s="184" t="s">
        <v>1209</v>
      </c>
      <c r="C632" s="184" t="str">
        <f t="shared" si="9"/>
        <v>Conway, AR</v>
      </c>
      <c r="D632" s="187">
        <v>5.7000000000000002E-2</v>
      </c>
    </row>
    <row r="633" spans="1:4">
      <c r="A633" s="184" t="s">
        <v>3602</v>
      </c>
      <c r="B633" s="184" t="s">
        <v>2284</v>
      </c>
      <c r="C633" s="184" t="str">
        <f t="shared" si="9"/>
        <v>Cook, GA</v>
      </c>
      <c r="D633" s="187">
        <v>4.3999999999999997E-2</v>
      </c>
    </row>
    <row r="634" spans="1:4">
      <c r="A634" s="184" t="s">
        <v>2019</v>
      </c>
      <c r="B634" s="184" t="s">
        <v>2284</v>
      </c>
      <c r="C634" s="184" t="str">
        <f t="shared" si="9"/>
        <v>Cook, IL</v>
      </c>
      <c r="D634" s="187">
        <v>6.0999999999999999E-2</v>
      </c>
    </row>
    <row r="635" spans="1:4">
      <c r="A635" s="184" t="s">
        <v>3429</v>
      </c>
      <c r="B635" s="184" t="s">
        <v>2284</v>
      </c>
      <c r="C635" s="184" t="str">
        <f t="shared" si="9"/>
        <v>Cook, MN</v>
      </c>
      <c r="D635" s="187">
        <v>0.09</v>
      </c>
    </row>
    <row r="636" spans="1:4">
      <c r="A636" s="184" t="s">
        <v>3906</v>
      </c>
      <c r="B636" s="184" t="s">
        <v>1070</v>
      </c>
      <c r="C636" s="184" t="str">
        <f t="shared" si="9"/>
        <v>Cooke, TX</v>
      </c>
      <c r="D636" s="187">
        <v>4.3999999999999997E-2</v>
      </c>
    </row>
    <row r="637" spans="1:4">
      <c r="A637" s="184" t="s">
        <v>3434</v>
      </c>
      <c r="B637" s="184" t="s">
        <v>2778</v>
      </c>
      <c r="C637" s="184" t="str">
        <f t="shared" si="9"/>
        <v>Cooper, MO</v>
      </c>
      <c r="D637" s="187">
        <v>0.09</v>
      </c>
    </row>
    <row r="638" spans="1:4">
      <c r="A638" s="184" t="s">
        <v>2868</v>
      </c>
      <c r="B638" s="184" t="s">
        <v>2257</v>
      </c>
      <c r="C638" s="184" t="str">
        <f t="shared" si="9"/>
        <v>Coos, NH</v>
      </c>
      <c r="D638" s="187">
        <v>3.5000000000000003E-2</v>
      </c>
    </row>
    <row r="639" spans="1:4">
      <c r="A639" s="184" t="s">
        <v>3353</v>
      </c>
      <c r="B639" s="184" t="s">
        <v>2257</v>
      </c>
      <c r="C639" s="184" t="str">
        <f t="shared" si="9"/>
        <v>Coos, OR</v>
      </c>
      <c r="D639" s="187">
        <v>0.09</v>
      </c>
    </row>
    <row r="640" spans="1:4">
      <c r="A640" s="184" t="s">
        <v>2000</v>
      </c>
      <c r="B640" s="184" t="s">
        <v>3886</v>
      </c>
      <c r="C640" s="184" t="str">
        <f t="shared" si="9"/>
        <v>Coosa, AL</v>
      </c>
      <c r="D640" s="187">
        <v>0.09</v>
      </c>
    </row>
    <row r="641" spans="1:4">
      <c r="A641" s="184" t="s">
        <v>3035</v>
      </c>
      <c r="B641" s="184" t="s">
        <v>1927</v>
      </c>
      <c r="C641" s="184" t="str">
        <f t="shared" si="9"/>
        <v>Copiah, MS</v>
      </c>
      <c r="D641" s="187">
        <v>4.3999999999999997E-2</v>
      </c>
    </row>
    <row r="642" spans="1:4">
      <c r="A642" s="184" t="s">
        <v>1944</v>
      </c>
      <c r="B642" s="184" t="s">
        <v>3237</v>
      </c>
      <c r="C642" s="184" t="str">
        <f t="shared" si="9"/>
        <v>Corson, SD</v>
      </c>
      <c r="D642" s="187">
        <v>5.7000000000000002E-2</v>
      </c>
    </row>
    <row r="643" spans="1:4">
      <c r="A643" s="184" t="s">
        <v>3446</v>
      </c>
      <c r="B643" s="184" t="s">
        <v>774</v>
      </c>
      <c r="C643" s="184" t="str">
        <f t="shared" si="9"/>
        <v>Cortland, NY</v>
      </c>
      <c r="D643" s="187">
        <v>0.09</v>
      </c>
    </row>
    <row r="644" spans="1:4">
      <c r="A644" s="184" t="s">
        <v>3906</v>
      </c>
      <c r="B644" s="184" t="s">
        <v>498</v>
      </c>
      <c r="C644" s="184" t="str">
        <f t="shared" si="9"/>
        <v>Coryell, TX</v>
      </c>
      <c r="D644" s="187">
        <v>4.3999999999999997E-2</v>
      </c>
    </row>
    <row r="645" spans="1:4">
      <c r="A645" s="184" t="s">
        <v>2562</v>
      </c>
      <c r="B645" s="184" t="s">
        <v>3968</v>
      </c>
      <c r="C645" s="184" t="str">
        <f t="shared" si="9"/>
        <v>Coshocton, OH</v>
      </c>
      <c r="D645" s="187">
        <v>0.09</v>
      </c>
    </row>
    <row r="646" spans="1:4">
      <c r="A646" s="184" t="s">
        <v>3108</v>
      </c>
      <c r="B646" s="184" t="s">
        <v>943</v>
      </c>
      <c r="C646" s="184" t="str">
        <f t="shared" ref="C646:C709" si="10">B646&amp;", "&amp;A646</f>
        <v>Costilla, CO</v>
      </c>
      <c r="D646" s="187">
        <v>3.5000000000000003E-2</v>
      </c>
    </row>
    <row r="647" spans="1:4">
      <c r="A647" s="184" t="s">
        <v>3906</v>
      </c>
      <c r="B647" s="184" t="s">
        <v>993</v>
      </c>
      <c r="C647" s="184" t="str">
        <f t="shared" si="10"/>
        <v>Cottle, TX</v>
      </c>
      <c r="D647" s="187">
        <v>5.7000000000000002E-2</v>
      </c>
    </row>
    <row r="648" spans="1:4">
      <c r="A648" s="184" t="s">
        <v>2573</v>
      </c>
      <c r="B648" s="184" t="s">
        <v>438</v>
      </c>
      <c r="C648" s="184" t="str">
        <f t="shared" si="10"/>
        <v>Cotton, OK</v>
      </c>
      <c r="D648" s="187">
        <v>0.09</v>
      </c>
    </row>
    <row r="649" spans="1:4">
      <c r="A649" s="184" t="s">
        <v>3429</v>
      </c>
      <c r="B649" s="184" t="s">
        <v>1480</v>
      </c>
      <c r="C649" s="184" t="str">
        <f t="shared" si="10"/>
        <v>Cottonwood, MN</v>
      </c>
      <c r="D649" s="187">
        <v>0.09</v>
      </c>
    </row>
    <row r="650" spans="1:4">
      <c r="A650" s="184" t="s">
        <v>2000</v>
      </c>
      <c r="B650" s="184" t="s">
        <v>3887</v>
      </c>
      <c r="C650" s="184" t="str">
        <f t="shared" si="10"/>
        <v>Covington, AL</v>
      </c>
      <c r="D650" s="187">
        <v>0.09</v>
      </c>
    </row>
    <row r="651" spans="1:4">
      <c r="A651" s="184" t="s">
        <v>3035</v>
      </c>
      <c r="B651" s="184" t="s">
        <v>3887</v>
      </c>
      <c r="C651" s="184" t="str">
        <f t="shared" si="10"/>
        <v>Covington, MS</v>
      </c>
      <c r="D651" s="187">
        <v>4.3999999999999997E-2</v>
      </c>
    </row>
    <row r="652" spans="1:4">
      <c r="A652" s="184" t="s">
        <v>746</v>
      </c>
      <c r="B652" s="184" t="s">
        <v>2883</v>
      </c>
      <c r="C652" s="184" t="str">
        <f t="shared" si="10"/>
        <v>Covington City, VA</v>
      </c>
      <c r="D652" s="187" t="s">
        <v>3930</v>
      </c>
    </row>
    <row r="653" spans="1:4">
      <c r="A653" s="184" t="s">
        <v>3602</v>
      </c>
      <c r="B653" s="184" t="s">
        <v>3862</v>
      </c>
      <c r="C653" s="184" t="str">
        <f t="shared" si="10"/>
        <v>Coweta, GA</v>
      </c>
      <c r="D653" s="187">
        <v>6.0999999999999999E-2</v>
      </c>
    </row>
    <row r="654" spans="1:4">
      <c r="A654" s="184" t="s">
        <v>663</v>
      </c>
      <c r="B654" s="184" t="s">
        <v>1431</v>
      </c>
      <c r="C654" s="184" t="str">
        <f t="shared" si="10"/>
        <v>Cowley, KS</v>
      </c>
      <c r="D654" s="187">
        <v>0.09</v>
      </c>
    </row>
    <row r="655" spans="1:4">
      <c r="A655" s="184" t="s">
        <v>1278</v>
      </c>
      <c r="B655" s="184" t="s">
        <v>3545</v>
      </c>
      <c r="C655" s="184" t="str">
        <f t="shared" si="10"/>
        <v>Cowlitz, WA</v>
      </c>
      <c r="D655" s="187">
        <v>3.5000000000000003E-2</v>
      </c>
    </row>
    <row r="656" spans="1:4">
      <c r="A656" s="184" t="s">
        <v>2573</v>
      </c>
      <c r="B656" s="184" t="s">
        <v>439</v>
      </c>
      <c r="C656" s="184" t="str">
        <f t="shared" si="10"/>
        <v>Craig, OK</v>
      </c>
      <c r="D656" s="187">
        <v>0.09</v>
      </c>
    </row>
    <row r="657" spans="1:4">
      <c r="A657" s="184" t="s">
        <v>746</v>
      </c>
      <c r="B657" s="184" t="s">
        <v>439</v>
      </c>
      <c r="C657" s="184" t="str">
        <f t="shared" si="10"/>
        <v>Craig, VA</v>
      </c>
      <c r="D657" s="187">
        <v>4.3999999999999997E-2</v>
      </c>
    </row>
    <row r="658" spans="1:4">
      <c r="A658" s="184" t="s">
        <v>566</v>
      </c>
      <c r="B658" s="184" t="s">
        <v>468</v>
      </c>
      <c r="C658" s="184" t="str">
        <f t="shared" si="10"/>
        <v>Craighead, AR</v>
      </c>
      <c r="D658" s="187">
        <v>4.3999999999999997E-2</v>
      </c>
    </row>
    <row r="659" spans="1:4">
      <c r="A659" s="184" t="s">
        <v>3906</v>
      </c>
      <c r="B659" s="184" t="s">
        <v>1071</v>
      </c>
      <c r="C659" s="184" t="str">
        <f t="shared" si="10"/>
        <v>Crane, TX</v>
      </c>
      <c r="D659" s="187">
        <v>4.3999999999999997E-2</v>
      </c>
    </row>
    <row r="660" spans="1:4">
      <c r="A660" s="184" t="s">
        <v>2542</v>
      </c>
      <c r="B660" s="184" t="s">
        <v>3256</v>
      </c>
      <c r="C660" s="184" t="str">
        <f t="shared" si="10"/>
        <v>Craven, NC</v>
      </c>
      <c r="D660" s="187">
        <v>4.3999999999999997E-2</v>
      </c>
    </row>
    <row r="661" spans="1:4">
      <c r="A661" s="184" t="s">
        <v>566</v>
      </c>
      <c r="B661" s="184" t="s">
        <v>2567</v>
      </c>
      <c r="C661" s="184" t="str">
        <f t="shared" si="10"/>
        <v>Crawford, AR</v>
      </c>
      <c r="D661" s="187">
        <v>4.3999999999999997E-2</v>
      </c>
    </row>
    <row r="662" spans="1:4">
      <c r="A662" s="184" t="s">
        <v>3602</v>
      </c>
      <c r="B662" s="184" t="s">
        <v>2567</v>
      </c>
      <c r="C662" s="184" t="str">
        <f t="shared" si="10"/>
        <v>Crawford, GA</v>
      </c>
      <c r="D662" s="187">
        <v>4.3999999999999997E-2</v>
      </c>
    </row>
    <row r="663" spans="1:4">
      <c r="A663" s="184" t="s">
        <v>2031</v>
      </c>
      <c r="B663" s="184" t="s">
        <v>2567</v>
      </c>
      <c r="C663" s="184" t="str">
        <f t="shared" si="10"/>
        <v>Crawford, IA</v>
      </c>
      <c r="D663" s="187">
        <v>0.09</v>
      </c>
    </row>
    <row r="664" spans="1:4">
      <c r="A664" s="184" t="s">
        <v>2019</v>
      </c>
      <c r="B664" s="184" t="s">
        <v>2567</v>
      </c>
      <c r="C664" s="184" t="str">
        <f t="shared" si="10"/>
        <v>Crawford, IL</v>
      </c>
      <c r="D664" s="187">
        <v>0.09</v>
      </c>
    </row>
    <row r="665" spans="1:4">
      <c r="A665" s="184" t="s">
        <v>2021</v>
      </c>
      <c r="B665" s="184" t="s">
        <v>2567</v>
      </c>
      <c r="C665" s="184" t="str">
        <f t="shared" si="10"/>
        <v>Crawford, IN</v>
      </c>
      <c r="D665" s="187">
        <v>0.09</v>
      </c>
    </row>
    <row r="666" spans="1:4">
      <c r="A666" s="184" t="s">
        <v>663</v>
      </c>
      <c r="B666" s="184" t="s">
        <v>2567</v>
      </c>
      <c r="C666" s="184" t="str">
        <f t="shared" si="10"/>
        <v>Crawford, KS</v>
      </c>
      <c r="D666" s="187">
        <v>0.09</v>
      </c>
    </row>
    <row r="667" spans="1:4">
      <c r="A667" s="184" t="s">
        <v>2090</v>
      </c>
      <c r="B667" s="184" t="s">
        <v>2567</v>
      </c>
      <c r="C667" s="184" t="str">
        <f t="shared" si="10"/>
        <v>Crawford, MI</v>
      </c>
      <c r="D667" s="187">
        <v>0.09</v>
      </c>
    </row>
    <row r="668" spans="1:4">
      <c r="A668" s="184" t="s">
        <v>3434</v>
      </c>
      <c r="B668" s="184" t="s">
        <v>2567</v>
      </c>
      <c r="C668" s="184" t="str">
        <f t="shared" si="10"/>
        <v>Crawford, MO</v>
      </c>
      <c r="D668" s="187">
        <v>5.7000000000000002E-2</v>
      </c>
    </row>
    <row r="669" spans="1:4">
      <c r="A669" s="184" t="s">
        <v>2562</v>
      </c>
      <c r="B669" s="184" t="s">
        <v>2567</v>
      </c>
      <c r="C669" s="184" t="str">
        <f t="shared" si="10"/>
        <v>Crawford, OH</v>
      </c>
      <c r="D669" s="187">
        <v>0.09</v>
      </c>
    </row>
    <row r="670" spans="1:4">
      <c r="A670" s="184" t="s">
        <v>3356</v>
      </c>
      <c r="B670" s="184" t="s">
        <v>2567</v>
      </c>
      <c r="C670" s="184" t="str">
        <f t="shared" si="10"/>
        <v>Crawford, PA</v>
      </c>
      <c r="D670" s="187">
        <v>0.09</v>
      </c>
    </row>
    <row r="671" spans="1:4">
      <c r="A671" s="184" t="s">
        <v>550</v>
      </c>
      <c r="B671" s="184" t="s">
        <v>2567</v>
      </c>
      <c r="C671" s="184" t="str">
        <f t="shared" si="10"/>
        <v>Crawford, WI</v>
      </c>
      <c r="D671" s="187">
        <v>0.09</v>
      </c>
    </row>
    <row r="672" spans="1:4">
      <c r="A672" s="184" t="s">
        <v>2573</v>
      </c>
      <c r="B672" s="184" t="s">
        <v>3068</v>
      </c>
      <c r="C672" s="184" t="str">
        <f t="shared" si="10"/>
        <v>Creek, OK</v>
      </c>
      <c r="D672" s="187">
        <v>6.0999999999999999E-2</v>
      </c>
    </row>
    <row r="673" spans="1:4">
      <c r="A673" s="184" t="s">
        <v>2000</v>
      </c>
      <c r="B673" s="184" t="s">
        <v>3888</v>
      </c>
      <c r="C673" s="184" t="str">
        <f t="shared" si="10"/>
        <v>Crenshaw, AL</v>
      </c>
      <c r="D673" s="187">
        <v>0.09</v>
      </c>
    </row>
    <row r="674" spans="1:4">
      <c r="A674" s="184" t="s">
        <v>3602</v>
      </c>
      <c r="B674" s="184" t="s">
        <v>319</v>
      </c>
      <c r="C674" s="184" t="str">
        <f t="shared" si="10"/>
        <v>Crisp, GA</v>
      </c>
      <c r="D674" s="187">
        <v>4.3999999999999997E-2</v>
      </c>
    </row>
    <row r="675" spans="1:4">
      <c r="A675" s="184" t="s">
        <v>566</v>
      </c>
      <c r="B675" s="184" t="s">
        <v>567</v>
      </c>
      <c r="C675" s="184" t="str">
        <f t="shared" si="10"/>
        <v>Crittenden, AR</v>
      </c>
      <c r="D675" s="187">
        <v>6.0999999999999999E-2</v>
      </c>
    </row>
    <row r="676" spans="1:4">
      <c r="A676" s="184" t="s">
        <v>529</v>
      </c>
      <c r="B676" s="184" t="s">
        <v>567</v>
      </c>
      <c r="C676" s="184" t="str">
        <f t="shared" si="10"/>
        <v>Crittenden, KY</v>
      </c>
      <c r="D676" s="187">
        <v>0.09</v>
      </c>
    </row>
    <row r="677" spans="1:4">
      <c r="A677" s="184" t="s">
        <v>699</v>
      </c>
      <c r="B677" s="184" t="s">
        <v>1738</v>
      </c>
      <c r="C677" s="184" t="str">
        <f t="shared" si="10"/>
        <v>Crockett, TN</v>
      </c>
      <c r="D677" s="187">
        <v>0.09</v>
      </c>
    </row>
    <row r="678" spans="1:4">
      <c r="A678" s="184" t="s">
        <v>3906</v>
      </c>
      <c r="B678" s="184" t="s">
        <v>1738</v>
      </c>
      <c r="C678" s="184" t="str">
        <f t="shared" si="10"/>
        <v>Crockett, TX</v>
      </c>
      <c r="D678" s="187">
        <v>4.3999999999999997E-2</v>
      </c>
    </row>
    <row r="679" spans="1:4">
      <c r="A679" s="184" t="s">
        <v>3353</v>
      </c>
      <c r="B679" s="184" t="s">
        <v>2258</v>
      </c>
      <c r="C679" s="184" t="str">
        <f t="shared" si="10"/>
        <v>Crook, OR</v>
      </c>
      <c r="D679" s="187">
        <v>0.09</v>
      </c>
    </row>
    <row r="680" spans="1:4">
      <c r="A680" s="184" t="s">
        <v>1033</v>
      </c>
      <c r="B680" s="184" t="s">
        <v>2258</v>
      </c>
      <c r="C680" s="184" t="str">
        <f t="shared" si="10"/>
        <v>Crook, WY</v>
      </c>
      <c r="D680" s="187">
        <v>0.09</v>
      </c>
    </row>
    <row r="681" spans="1:4">
      <c r="A681" s="184" t="s">
        <v>3906</v>
      </c>
      <c r="B681" s="184" t="s">
        <v>1072</v>
      </c>
      <c r="C681" s="184" t="str">
        <f t="shared" si="10"/>
        <v>Crosby, TX</v>
      </c>
      <c r="D681" s="187">
        <v>4.3999999999999997E-2</v>
      </c>
    </row>
    <row r="682" spans="1:4">
      <c r="A682" s="184" t="s">
        <v>566</v>
      </c>
      <c r="B682" s="184" t="s">
        <v>3000</v>
      </c>
      <c r="C682" s="184" t="str">
        <f t="shared" si="10"/>
        <v>Cross, AR</v>
      </c>
      <c r="D682" s="187">
        <v>4.3999999999999997E-2</v>
      </c>
    </row>
    <row r="683" spans="1:4">
      <c r="A683" s="184" t="s">
        <v>3429</v>
      </c>
      <c r="B683" s="184" t="s">
        <v>1481</v>
      </c>
      <c r="C683" s="184" t="str">
        <f t="shared" si="10"/>
        <v>Crow Wing, MN</v>
      </c>
      <c r="D683" s="187">
        <v>0.09</v>
      </c>
    </row>
    <row r="684" spans="1:4">
      <c r="A684" s="184" t="s">
        <v>3108</v>
      </c>
      <c r="B684" s="184" t="s">
        <v>1141</v>
      </c>
      <c r="C684" s="184" t="str">
        <f t="shared" si="10"/>
        <v>Crowley, CO</v>
      </c>
      <c r="D684" s="187">
        <v>4.3999999999999997E-2</v>
      </c>
    </row>
    <row r="685" spans="1:4">
      <c r="A685" s="184" t="s">
        <v>3906</v>
      </c>
      <c r="B685" s="184" t="s">
        <v>1073</v>
      </c>
      <c r="C685" s="184" t="str">
        <f t="shared" si="10"/>
        <v>Culberson, TX</v>
      </c>
      <c r="D685" s="187">
        <v>4.3999999999999997E-2</v>
      </c>
    </row>
    <row r="686" spans="1:4">
      <c r="A686" s="184" t="s">
        <v>2000</v>
      </c>
      <c r="B686" s="184" t="s">
        <v>3889</v>
      </c>
      <c r="C686" s="184" t="str">
        <f t="shared" si="10"/>
        <v>Cullman, AL</v>
      </c>
      <c r="D686" s="187">
        <v>0.09</v>
      </c>
    </row>
    <row r="687" spans="1:4">
      <c r="A687" s="184" t="s">
        <v>746</v>
      </c>
      <c r="B687" s="184" t="s">
        <v>198</v>
      </c>
      <c r="C687" s="184" t="str">
        <f t="shared" si="10"/>
        <v>Culpeper, VA</v>
      </c>
      <c r="D687" s="187">
        <v>6.0999999999999999E-2</v>
      </c>
    </row>
    <row r="688" spans="1:4">
      <c r="A688" s="184" t="s">
        <v>2019</v>
      </c>
      <c r="B688" s="184" t="s">
        <v>251</v>
      </c>
      <c r="C688" s="184" t="str">
        <f t="shared" si="10"/>
        <v>Cumberland, IL</v>
      </c>
      <c r="D688" s="187">
        <v>0.09</v>
      </c>
    </row>
    <row r="689" spans="1:4">
      <c r="A689" s="184" t="s">
        <v>529</v>
      </c>
      <c r="B689" s="184" t="s">
        <v>251</v>
      </c>
      <c r="C689" s="184" t="str">
        <f t="shared" si="10"/>
        <v>Cumberland, KY</v>
      </c>
      <c r="D689" s="187">
        <v>0.09</v>
      </c>
    </row>
    <row r="690" spans="1:4">
      <c r="A690" s="184" t="s">
        <v>1922</v>
      </c>
      <c r="B690" s="184" t="s">
        <v>251</v>
      </c>
      <c r="C690" s="184" t="str">
        <f t="shared" si="10"/>
        <v>Cumberland, ME</v>
      </c>
      <c r="D690" s="187">
        <v>5.7000000000000002E-2</v>
      </c>
    </row>
    <row r="691" spans="1:4">
      <c r="A691" s="184" t="s">
        <v>2542</v>
      </c>
      <c r="B691" s="184" t="s">
        <v>251</v>
      </c>
      <c r="C691" s="184" t="str">
        <f t="shared" si="10"/>
        <v>Cumberland, NC</v>
      </c>
      <c r="D691" s="187">
        <v>4.3999999999999997E-2</v>
      </c>
    </row>
    <row r="692" spans="1:4">
      <c r="A692" s="184" t="s">
        <v>3444</v>
      </c>
      <c r="B692" s="184" t="s">
        <v>251</v>
      </c>
      <c r="C692" s="184" t="str">
        <f t="shared" si="10"/>
        <v>Cumberland, NJ</v>
      </c>
      <c r="D692" s="187">
        <v>5.7000000000000002E-2</v>
      </c>
    </row>
    <row r="693" spans="1:4">
      <c r="A693" s="184" t="s">
        <v>3356</v>
      </c>
      <c r="B693" s="184" t="s">
        <v>251</v>
      </c>
      <c r="C693" s="184" t="str">
        <f t="shared" si="10"/>
        <v>Cumberland, PA</v>
      </c>
      <c r="D693" s="187">
        <v>6.0999999999999999E-2</v>
      </c>
    </row>
    <row r="694" spans="1:4">
      <c r="A694" s="184" t="s">
        <v>699</v>
      </c>
      <c r="B694" s="184" t="s">
        <v>251</v>
      </c>
      <c r="C694" s="184" t="str">
        <f t="shared" si="10"/>
        <v>Cumberland, TN</v>
      </c>
      <c r="D694" s="187">
        <v>0.09</v>
      </c>
    </row>
    <row r="695" spans="1:4">
      <c r="A695" s="184" t="s">
        <v>746</v>
      </c>
      <c r="B695" s="184" t="s">
        <v>251</v>
      </c>
      <c r="C695" s="184" t="str">
        <f t="shared" si="10"/>
        <v>Cumberland, VA</v>
      </c>
      <c r="D695" s="187">
        <v>4.3999999999999997E-2</v>
      </c>
    </row>
    <row r="696" spans="1:4">
      <c r="A696" s="184" t="s">
        <v>3442</v>
      </c>
      <c r="B696" s="184" t="s">
        <v>1254</v>
      </c>
      <c r="C696" s="184" t="str">
        <f t="shared" si="10"/>
        <v>Cuming, NE</v>
      </c>
      <c r="D696" s="187">
        <v>0.09</v>
      </c>
    </row>
    <row r="697" spans="1:4">
      <c r="A697" s="184" t="s">
        <v>2542</v>
      </c>
      <c r="B697" s="184" t="s">
        <v>2546</v>
      </c>
      <c r="C697" s="184" t="str">
        <f t="shared" si="10"/>
        <v>Currituck, NC</v>
      </c>
      <c r="D697" s="187">
        <v>6.0999999999999999E-2</v>
      </c>
    </row>
    <row r="698" spans="1:4">
      <c r="A698" s="184" t="s">
        <v>3622</v>
      </c>
      <c r="B698" s="184" t="s">
        <v>2259</v>
      </c>
      <c r="C698" s="184" t="str">
        <f t="shared" si="10"/>
        <v>Curry, NM</v>
      </c>
      <c r="D698" s="187">
        <v>5.7000000000000002E-2</v>
      </c>
    </row>
    <row r="699" spans="1:4">
      <c r="A699" s="184" t="s">
        <v>3353</v>
      </c>
      <c r="B699" s="184" t="s">
        <v>2259</v>
      </c>
      <c r="C699" s="184" t="str">
        <f t="shared" si="10"/>
        <v>Curry, OR</v>
      </c>
      <c r="D699" s="187">
        <v>0.09</v>
      </c>
    </row>
    <row r="700" spans="1:4">
      <c r="A700" s="184" t="s">
        <v>3108</v>
      </c>
      <c r="B700" s="184" t="s">
        <v>1142</v>
      </c>
      <c r="C700" s="184" t="str">
        <f t="shared" si="10"/>
        <v>Custer, CO</v>
      </c>
      <c r="D700" s="187">
        <v>4.3999999999999997E-2</v>
      </c>
    </row>
    <row r="701" spans="1:4">
      <c r="A701" s="184" t="s">
        <v>3875</v>
      </c>
      <c r="B701" s="184" t="s">
        <v>1142</v>
      </c>
      <c r="C701" s="184" t="str">
        <f t="shared" si="10"/>
        <v>Custer, ID</v>
      </c>
      <c r="D701" s="187">
        <v>4.3999999999999997E-2</v>
      </c>
    </row>
    <row r="702" spans="1:4">
      <c r="A702" s="184" t="s">
        <v>3438</v>
      </c>
      <c r="B702" s="184" t="s">
        <v>1142</v>
      </c>
      <c r="C702" s="184" t="str">
        <f t="shared" si="10"/>
        <v>Custer, MT</v>
      </c>
      <c r="D702" s="187">
        <v>0.09</v>
      </c>
    </row>
    <row r="703" spans="1:4">
      <c r="A703" s="184" t="s">
        <v>3442</v>
      </c>
      <c r="B703" s="184" t="s">
        <v>1142</v>
      </c>
      <c r="C703" s="184" t="str">
        <f t="shared" si="10"/>
        <v>Custer, NE</v>
      </c>
      <c r="D703" s="187">
        <v>0.09</v>
      </c>
    </row>
    <row r="704" spans="1:4">
      <c r="A704" s="184" t="s">
        <v>2573</v>
      </c>
      <c r="B704" s="184" t="s">
        <v>1142</v>
      </c>
      <c r="C704" s="184" t="str">
        <f t="shared" si="10"/>
        <v>Custer, OK</v>
      </c>
      <c r="D704" s="187">
        <v>0.09</v>
      </c>
    </row>
    <row r="705" spans="1:4">
      <c r="A705" s="184" t="s">
        <v>1944</v>
      </c>
      <c r="B705" s="184" t="s">
        <v>1142</v>
      </c>
      <c r="C705" s="184" t="str">
        <f t="shared" si="10"/>
        <v>Custer, SD</v>
      </c>
      <c r="D705" s="187">
        <v>4.3999999999999997E-2</v>
      </c>
    </row>
    <row r="706" spans="1:4">
      <c r="A706" s="184" t="s">
        <v>2562</v>
      </c>
      <c r="B706" s="184" t="s">
        <v>2674</v>
      </c>
      <c r="C706" s="184" t="str">
        <f t="shared" si="10"/>
        <v>Cuyahoga, OH</v>
      </c>
      <c r="D706" s="187">
        <v>6.0999999999999999E-2</v>
      </c>
    </row>
    <row r="707" spans="1:4">
      <c r="A707" s="184" t="s">
        <v>3594</v>
      </c>
      <c r="B707" s="184" t="s">
        <v>3297</v>
      </c>
      <c r="C707" s="184" t="str">
        <f t="shared" si="10"/>
        <v>Dade, FL</v>
      </c>
      <c r="D707" s="187">
        <v>2.4E-2</v>
      </c>
    </row>
    <row r="708" spans="1:4">
      <c r="A708" s="184" t="s">
        <v>3602</v>
      </c>
      <c r="B708" s="184" t="s">
        <v>3297</v>
      </c>
      <c r="C708" s="184" t="str">
        <f t="shared" si="10"/>
        <v>Dade, GA</v>
      </c>
      <c r="D708" s="187">
        <v>4.3999999999999997E-2</v>
      </c>
    </row>
    <row r="709" spans="1:4">
      <c r="A709" s="184" t="s">
        <v>3434</v>
      </c>
      <c r="B709" s="184" t="s">
        <v>3297</v>
      </c>
      <c r="C709" s="184" t="str">
        <f t="shared" si="10"/>
        <v>Dade, MO</v>
      </c>
      <c r="D709" s="187">
        <v>0.09</v>
      </c>
    </row>
    <row r="710" spans="1:4">
      <c r="A710" s="184" t="s">
        <v>742</v>
      </c>
      <c r="B710" s="184" t="s">
        <v>382</v>
      </c>
      <c r="C710" s="184" t="str">
        <f t="shared" ref="C710:C773" si="11">B710&amp;", "&amp;A710</f>
        <v>Daggett, UT</v>
      </c>
      <c r="D710" s="187">
        <v>4.3999999999999997E-2</v>
      </c>
    </row>
    <row r="711" spans="1:4">
      <c r="A711" s="184" t="s">
        <v>3429</v>
      </c>
      <c r="B711" s="184" t="s">
        <v>3443</v>
      </c>
      <c r="C711" s="184" t="str">
        <f t="shared" si="11"/>
        <v>Dakota, MN</v>
      </c>
      <c r="D711" s="187">
        <v>6.0999999999999999E-2</v>
      </c>
    </row>
    <row r="712" spans="1:4">
      <c r="A712" s="184" t="s">
        <v>3442</v>
      </c>
      <c r="B712" s="184" t="s">
        <v>3443</v>
      </c>
      <c r="C712" s="184" t="str">
        <f t="shared" si="11"/>
        <v>Dakota, NE</v>
      </c>
      <c r="D712" s="187">
        <v>0.09</v>
      </c>
    </row>
    <row r="713" spans="1:4">
      <c r="A713" s="184" t="s">
        <v>2000</v>
      </c>
      <c r="B713" s="184" t="s">
        <v>2005</v>
      </c>
      <c r="C713" s="184" t="str">
        <f t="shared" si="11"/>
        <v>Dale, AL</v>
      </c>
      <c r="D713" s="187">
        <v>0.09</v>
      </c>
    </row>
    <row r="714" spans="1:4">
      <c r="A714" s="184" t="s">
        <v>3906</v>
      </c>
      <c r="B714" s="184" t="s">
        <v>994</v>
      </c>
      <c r="C714" s="184" t="str">
        <f t="shared" si="11"/>
        <v>Dallam, TX</v>
      </c>
      <c r="D714" s="187">
        <v>5.7000000000000002E-2</v>
      </c>
    </row>
    <row r="715" spans="1:4">
      <c r="A715" s="184" t="s">
        <v>2000</v>
      </c>
      <c r="B715" s="184" t="s">
        <v>2328</v>
      </c>
      <c r="C715" s="184" t="str">
        <f t="shared" si="11"/>
        <v>Dallas, AL</v>
      </c>
      <c r="D715" s="187">
        <v>5.7000000000000002E-2</v>
      </c>
    </row>
    <row r="716" spans="1:4">
      <c r="A716" s="184" t="s">
        <v>566</v>
      </c>
      <c r="B716" s="184" t="s">
        <v>2328</v>
      </c>
      <c r="C716" s="184" t="str">
        <f t="shared" si="11"/>
        <v>Dallas, AR</v>
      </c>
      <c r="D716" s="187">
        <v>4.3999999999999997E-2</v>
      </c>
    </row>
    <row r="717" spans="1:4">
      <c r="A717" s="184" t="s">
        <v>2031</v>
      </c>
      <c r="B717" s="184" t="s">
        <v>2328</v>
      </c>
      <c r="C717" s="184" t="str">
        <f t="shared" si="11"/>
        <v>Dallas, IA</v>
      </c>
      <c r="D717" s="187">
        <v>6.0999999999999999E-2</v>
      </c>
    </row>
    <row r="718" spans="1:4">
      <c r="A718" s="184" t="s">
        <v>3434</v>
      </c>
      <c r="B718" s="184" t="s">
        <v>2328</v>
      </c>
      <c r="C718" s="184" t="str">
        <f t="shared" si="11"/>
        <v>Dallas, MO</v>
      </c>
      <c r="D718" s="187">
        <v>0.09</v>
      </c>
    </row>
    <row r="719" spans="1:4">
      <c r="A719" s="184" t="s">
        <v>3906</v>
      </c>
      <c r="B719" s="184" t="s">
        <v>2328</v>
      </c>
      <c r="C719" s="184" t="str">
        <f t="shared" si="11"/>
        <v>Dallas, TX</v>
      </c>
      <c r="D719" s="187">
        <v>6.0999999999999999E-2</v>
      </c>
    </row>
    <row r="720" spans="1:4">
      <c r="A720" s="184" t="s">
        <v>550</v>
      </c>
      <c r="B720" s="184" t="s">
        <v>1204</v>
      </c>
      <c r="C720" s="184" t="str">
        <f t="shared" si="11"/>
        <v>Dane, WI</v>
      </c>
      <c r="D720" s="187">
        <v>2.4E-2</v>
      </c>
    </row>
    <row r="721" spans="1:4">
      <c r="A721" s="184" t="s">
        <v>3438</v>
      </c>
      <c r="B721" s="184" t="s">
        <v>2804</v>
      </c>
      <c r="C721" s="184" t="str">
        <f t="shared" si="11"/>
        <v>Daniels, MT</v>
      </c>
      <c r="D721" s="187">
        <v>0.09</v>
      </c>
    </row>
    <row r="722" spans="1:4">
      <c r="A722" s="184" t="s">
        <v>746</v>
      </c>
      <c r="B722" s="184" t="s">
        <v>3877</v>
      </c>
      <c r="C722" s="184" t="str">
        <f t="shared" si="11"/>
        <v>Danville City, VA</v>
      </c>
      <c r="D722" s="187">
        <v>4.3999999999999997E-2</v>
      </c>
    </row>
    <row r="723" spans="1:4">
      <c r="A723" s="184" t="s">
        <v>2542</v>
      </c>
      <c r="B723" s="184" t="s">
        <v>3257</v>
      </c>
      <c r="C723" s="184" t="str">
        <f t="shared" si="11"/>
        <v>Dare, NC</v>
      </c>
      <c r="D723" s="187">
        <v>4.3999999999999997E-2</v>
      </c>
    </row>
    <row r="724" spans="1:4">
      <c r="A724" s="184" t="s">
        <v>2562</v>
      </c>
      <c r="B724" s="184" t="s">
        <v>3969</v>
      </c>
      <c r="C724" s="184" t="str">
        <f t="shared" si="11"/>
        <v>Darke, OH</v>
      </c>
      <c r="D724" s="187">
        <v>0.09</v>
      </c>
    </row>
    <row r="725" spans="1:4">
      <c r="A725" s="184" t="s">
        <v>1942</v>
      </c>
      <c r="B725" s="184" t="s">
        <v>72</v>
      </c>
      <c r="C725" s="184" t="str">
        <f t="shared" si="11"/>
        <v>Darlington, SC</v>
      </c>
      <c r="D725" s="187">
        <v>4.3999999999999997E-2</v>
      </c>
    </row>
    <row r="726" spans="1:4">
      <c r="A726" s="184" t="s">
        <v>3356</v>
      </c>
      <c r="B726" s="184" t="s">
        <v>252</v>
      </c>
      <c r="C726" s="184" t="str">
        <f t="shared" si="11"/>
        <v>Dauphin, PA</v>
      </c>
      <c r="D726" s="187">
        <v>6.0999999999999999E-2</v>
      </c>
    </row>
    <row r="727" spans="1:4">
      <c r="A727" s="184" t="s">
        <v>2542</v>
      </c>
      <c r="B727" s="184" t="s">
        <v>2547</v>
      </c>
      <c r="C727" s="184" t="str">
        <f t="shared" si="11"/>
        <v>Davidson, NC</v>
      </c>
      <c r="D727" s="187">
        <v>6.0999999999999999E-2</v>
      </c>
    </row>
    <row r="728" spans="1:4">
      <c r="A728" s="184" t="s">
        <v>699</v>
      </c>
      <c r="B728" s="184" t="s">
        <v>2547</v>
      </c>
      <c r="C728" s="184" t="str">
        <f t="shared" si="11"/>
        <v>Davidson, TN</v>
      </c>
      <c r="D728" s="187">
        <v>6.0999999999999999E-2</v>
      </c>
    </row>
    <row r="729" spans="1:4">
      <c r="A729" s="184" t="s">
        <v>2542</v>
      </c>
      <c r="B729" s="184" t="s">
        <v>2276</v>
      </c>
      <c r="C729" s="184" t="str">
        <f t="shared" si="11"/>
        <v>Davie, NC</v>
      </c>
      <c r="D729" s="187">
        <v>6.0999999999999999E-2</v>
      </c>
    </row>
    <row r="730" spans="1:4">
      <c r="A730" s="184" t="s">
        <v>2021</v>
      </c>
      <c r="B730" s="184" t="s">
        <v>533</v>
      </c>
      <c r="C730" s="184" t="str">
        <f t="shared" si="11"/>
        <v>Daviess, IN</v>
      </c>
      <c r="D730" s="187">
        <v>0.09</v>
      </c>
    </row>
    <row r="731" spans="1:4">
      <c r="A731" s="184" t="s">
        <v>529</v>
      </c>
      <c r="B731" s="184" t="s">
        <v>533</v>
      </c>
      <c r="C731" s="184" t="str">
        <f t="shared" si="11"/>
        <v>Daviess, KY</v>
      </c>
      <c r="D731" s="187">
        <v>0.09</v>
      </c>
    </row>
    <row r="732" spans="1:4">
      <c r="A732" s="184" t="s">
        <v>3434</v>
      </c>
      <c r="B732" s="184" t="s">
        <v>533</v>
      </c>
      <c r="C732" s="184" t="str">
        <f t="shared" si="11"/>
        <v>Daviess, MO</v>
      </c>
      <c r="D732" s="187">
        <v>0.09</v>
      </c>
    </row>
    <row r="733" spans="1:4">
      <c r="A733" s="184" t="s">
        <v>2031</v>
      </c>
      <c r="B733" s="184" t="s">
        <v>743</v>
      </c>
      <c r="C733" s="184" t="str">
        <f t="shared" si="11"/>
        <v>Davis, IA</v>
      </c>
      <c r="D733" s="187">
        <v>0.09</v>
      </c>
    </row>
    <row r="734" spans="1:4">
      <c r="A734" s="184" t="s">
        <v>742</v>
      </c>
      <c r="B734" s="184" t="s">
        <v>743</v>
      </c>
      <c r="C734" s="184" t="str">
        <f t="shared" si="11"/>
        <v>Davis, UT</v>
      </c>
      <c r="D734" s="187">
        <v>6.0999999999999999E-2</v>
      </c>
    </row>
    <row r="735" spans="1:4">
      <c r="A735" s="184" t="s">
        <v>1944</v>
      </c>
      <c r="B735" s="184" t="s">
        <v>2052</v>
      </c>
      <c r="C735" s="184" t="str">
        <f t="shared" si="11"/>
        <v>Davison, SD</v>
      </c>
      <c r="D735" s="187">
        <v>4.3999999999999997E-2</v>
      </c>
    </row>
    <row r="736" spans="1:4">
      <c r="A736" s="184" t="s">
        <v>3442</v>
      </c>
      <c r="B736" s="184" t="s">
        <v>1255</v>
      </c>
      <c r="C736" s="184" t="str">
        <f t="shared" si="11"/>
        <v>Dawes, NE</v>
      </c>
      <c r="D736" s="187">
        <v>0.09</v>
      </c>
    </row>
    <row r="737" spans="1:4">
      <c r="A737" s="184" t="s">
        <v>3602</v>
      </c>
      <c r="B737" s="184" t="s">
        <v>320</v>
      </c>
      <c r="C737" s="184" t="str">
        <f t="shared" si="11"/>
        <v>Dawson, GA</v>
      </c>
      <c r="D737" s="187">
        <v>4.3999999999999997E-2</v>
      </c>
    </row>
    <row r="738" spans="1:4">
      <c r="A738" s="184" t="s">
        <v>3438</v>
      </c>
      <c r="B738" s="184" t="s">
        <v>320</v>
      </c>
      <c r="C738" s="184" t="str">
        <f t="shared" si="11"/>
        <v>Dawson, MT</v>
      </c>
      <c r="D738" s="187">
        <v>0.09</v>
      </c>
    </row>
    <row r="739" spans="1:4">
      <c r="A739" s="184" t="s">
        <v>3442</v>
      </c>
      <c r="B739" s="184" t="s">
        <v>320</v>
      </c>
      <c r="C739" s="184" t="str">
        <f t="shared" si="11"/>
        <v>Dawson, NE</v>
      </c>
      <c r="D739" s="187">
        <v>0.09</v>
      </c>
    </row>
    <row r="740" spans="1:4">
      <c r="A740" s="184" t="s">
        <v>3906</v>
      </c>
      <c r="B740" s="184" t="s">
        <v>320</v>
      </c>
      <c r="C740" s="184" t="str">
        <f t="shared" si="11"/>
        <v>Dawson, TX</v>
      </c>
      <c r="D740" s="187">
        <v>4.3999999999999997E-2</v>
      </c>
    </row>
    <row r="741" spans="1:4">
      <c r="A741" s="184" t="s">
        <v>1944</v>
      </c>
      <c r="B741" s="184" t="s">
        <v>2053</v>
      </c>
      <c r="C741" s="184" t="str">
        <f t="shared" si="11"/>
        <v>Day, SD</v>
      </c>
      <c r="D741" s="187">
        <v>4.3999999999999997E-2</v>
      </c>
    </row>
    <row r="742" spans="1:4">
      <c r="A742" s="184" t="s">
        <v>2000</v>
      </c>
      <c r="B742" s="184" t="s">
        <v>2314</v>
      </c>
      <c r="C742" s="184" t="str">
        <f t="shared" si="11"/>
        <v>De Kalb, AL</v>
      </c>
      <c r="D742" s="187">
        <v>0.09</v>
      </c>
    </row>
    <row r="743" spans="1:4">
      <c r="A743" s="184" t="s">
        <v>2021</v>
      </c>
      <c r="B743" s="184" t="s">
        <v>2314</v>
      </c>
      <c r="C743" s="184" t="str">
        <f t="shared" si="11"/>
        <v>De Kalb, IN</v>
      </c>
      <c r="D743" s="187">
        <v>6.0999999999999999E-2</v>
      </c>
    </row>
    <row r="744" spans="1:4">
      <c r="A744" s="184" t="s">
        <v>3594</v>
      </c>
      <c r="B744" s="184" t="s">
        <v>1185</v>
      </c>
      <c r="C744" s="184" t="str">
        <f t="shared" si="11"/>
        <v>De Soto, FL</v>
      </c>
      <c r="D744" s="187">
        <v>4.3999999999999997E-2</v>
      </c>
    </row>
    <row r="745" spans="1:4">
      <c r="A745" s="184" t="s">
        <v>535</v>
      </c>
      <c r="B745" s="184" t="s">
        <v>1185</v>
      </c>
      <c r="C745" s="184" t="str">
        <f t="shared" si="11"/>
        <v>De Soto, LA</v>
      </c>
      <c r="D745" s="187">
        <v>5.7000000000000002E-2</v>
      </c>
    </row>
    <row r="746" spans="1:4">
      <c r="A746" s="184" t="s">
        <v>2019</v>
      </c>
      <c r="B746" s="184" t="s">
        <v>1019</v>
      </c>
      <c r="C746" s="184" t="str">
        <f t="shared" si="11"/>
        <v>De Witt, IL</v>
      </c>
      <c r="D746" s="187">
        <v>0.09</v>
      </c>
    </row>
    <row r="747" spans="1:4">
      <c r="A747" s="184" t="s">
        <v>3906</v>
      </c>
      <c r="B747" s="184" t="s">
        <v>1074</v>
      </c>
      <c r="C747" s="184" t="str">
        <f t="shared" si="11"/>
        <v>Deaf Smith, TX</v>
      </c>
      <c r="D747" s="187">
        <v>4.3999999999999997E-2</v>
      </c>
    </row>
    <row r="748" spans="1:4">
      <c r="A748" s="184" t="s">
        <v>2021</v>
      </c>
      <c r="B748" s="184" t="s">
        <v>2313</v>
      </c>
      <c r="C748" s="184" t="str">
        <f t="shared" si="11"/>
        <v>Dearborn, IN</v>
      </c>
      <c r="D748" s="187">
        <v>6.0999999999999999E-2</v>
      </c>
    </row>
    <row r="749" spans="1:4">
      <c r="A749" s="184" t="s">
        <v>3622</v>
      </c>
      <c r="B749" s="184" t="s">
        <v>592</v>
      </c>
      <c r="C749" s="184" t="str">
        <f t="shared" si="11"/>
        <v>DeBaca, NM</v>
      </c>
      <c r="D749" s="187" t="s">
        <v>3930</v>
      </c>
    </row>
    <row r="750" spans="1:4">
      <c r="A750" s="184" t="s">
        <v>3602</v>
      </c>
      <c r="B750" s="184" t="s">
        <v>321</v>
      </c>
      <c r="C750" s="184" t="str">
        <f t="shared" si="11"/>
        <v>Decatur, GA</v>
      </c>
      <c r="D750" s="187">
        <v>4.3999999999999997E-2</v>
      </c>
    </row>
    <row r="751" spans="1:4">
      <c r="A751" s="184" t="s">
        <v>2031</v>
      </c>
      <c r="B751" s="184" t="s">
        <v>321</v>
      </c>
      <c r="C751" s="184" t="str">
        <f t="shared" si="11"/>
        <v>Decatur, IA</v>
      </c>
      <c r="D751" s="187">
        <v>0.09</v>
      </c>
    </row>
    <row r="752" spans="1:4">
      <c r="A752" s="184" t="s">
        <v>2021</v>
      </c>
      <c r="B752" s="184" t="s">
        <v>321</v>
      </c>
      <c r="C752" s="184" t="str">
        <f t="shared" si="11"/>
        <v>Decatur, IN</v>
      </c>
      <c r="D752" s="187">
        <v>0.09</v>
      </c>
    </row>
    <row r="753" spans="1:4">
      <c r="A753" s="184" t="s">
        <v>663</v>
      </c>
      <c r="B753" s="184" t="s">
        <v>321</v>
      </c>
      <c r="C753" s="184" t="str">
        <f t="shared" si="11"/>
        <v>Decatur, KS</v>
      </c>
      <c r="D753" s="187">
        <v>0.09</v>
      </c>
    </row>
    <row r="754" spans="1:4">
      <c r="A754" s="184" t="s">
        <v>699</v>
      </c>
      <c r="B754" s="184" t="s">
        <v>321</v>
      </c>
      <c r="C754" s="184" t="str">
        <f t="shared" si="11"/>
        <v>Decatur, TN</v>
      </c>
      <c r="D754" s="187">
        <v>0.09</v>
      </c>
    </row>
    <row r="755" spans="1:4">
      <c r="A755" s="184" t="s">
        <v>3438</v>
      </c>
      <c r="B755" s="184" t="s">
        <v>2805</v>
      </c>
      <c r="C755" s="184" t="str">
        <f t="shared" si="11"/>
        <v>Deer Lodge, MT</v>
      </c>
      <c r="D755" s="187">
        <v>0.09</v>
      </c>
    </row>
    <row r="756" spans="1:4">
      <c r="A756" s="184" t="s">
        <v>2562</v>
      </c>
      <c r="B756" s="184" t="s">
        <v>3970</v>
      </c>
      <c r="C756" s="184" t="str">
        <f t="shared" si="11"/>
        <v>Defiance, OH</v>
      </c>
      <c r="D756" s="187">
        <v>0.09</v>
      </c>
    </row>
    <row r="757" spans="1:4">
      <c r="A757" s="184" t="s">
        <v>3602</v>
      </c>
      <c r="B757" s="184" t="s">
        <v>3863</v>
      </c>
      <c r="C757" s="184" t="str">
        <f t="shared" si="11"/>
        <v>DeKalb, GA</v>
      </c>
      <c r="D757" s="187">
        <v>6.0999999999999999E-2</v>
      </c>
    </row>
    <row r="758" spans="1:4">
      <c r="A758" s="184" t="s">
        <v>2019</v>
      </c>
      <c r="B758" s="184" t="s">
        <v>3863</v>
      </c>
      <c r="C758" s="184" t="str">
        <f t="shared" si="11"/>
        <v>DeKalb, IL</v>
      </c>
      <c r="D758" s="187">
        <v>6.0999999999999999E-2</v>
      </c>
    </row>
    <row r="759" spans="1:4">
      <c r="A759" s="184" t="s">
        <v>3434</v>
      </c>
      <c r="B759" s="184" t="s">
        <v>3863</v>
      </c>
      <c r="C759" s="184" t="str">
        <f t="shared" si="11"/>
        <v>DeKalb, MO</v>
      </c>
      <c r="D759" s="187">
        <v>0.09</v>
      </c>
    </row>
    <row r="760" spans="1:4">
      <c r="A760" s="184" t="s">
        <v>699</v>
      </c>
      <c r="B760" s="184" t="s">
        <v>3863</v>
      </c>
      <c r="C760" s="184" t="str">
        <f t="shared" si="11"/>
        <v>DeKalb, TN</v>
      </c>
      <c r="D760" s="187">
        <v>0.09</v>
      </c>
    </row>
    <row r="761" spans="1:4">
      <c r="A761" s="184" t="s">
        <v>3106</v>
      </c>
      <c r="B761" s="184" t="s">
        <v>3018</v>
      </c>
      <c r="C761" s="184" t="str">
        <f t="shared" si="11"/>
        <v>Del Norte, CA</v>
      </c>
      <c r="D761" s="187">
        <v>0.09</v>
      </c>
    </row>
    <row r="762" spans="1:4">
      <c r="A762" s="184" t="s">
        <v>2031</v>
      </c>
      <c r="B762" s="184" t="s">
        <v>2024</v>
      </c>
      <c r="C762" s="184" t="str">
        <f t="shared" si="11"/>
        <v>Delaware, IA</v>
      </c>
      <c r="D762" s="187">
        <v>0.09</v>
      </c>
    </row>
    <row r="763" spans="1:4">
      <c r="A763" s="184" t="s">
        <v>2021</v>
      </c>
      <c r="B763" s="184" t="s">
        <v>2024</v>
      </c>
      <c r="C763" s="184" t="str">
        <f t="shared" si="11"/>
        <v>Delaware, IN</v>
      </c>
      <c r="D763" s="187">
        <v>0.09</v>
      </c>
    </row>
    <row r="764" spans="1:4">
      <c r="A764" s="184" t="s">
        <v>3446</v>
      </c>
      <c r="B764" s="184" t="s">
        <v>2024</v>
      </c>
      <c r="C764" s="184" t="str">
        <f t="shared" si="11"/>
        <v>Delaware, NY</v>
      </c>
      <c r="D764" s="187">
        <v>0.09</v>
      </c>
    </row>
    <row r="765" spans="1:4">
      <c r="A765" s="184" t="s">
        <v>2562</v>
      </c>
      <c r="B765" s="184" t="s">
        <v>2024</v>
      </c>
      <c r="C765" s="184" t="str">
        <f t="shared" si="11"/>
        <v>Delaware, OH</v>
      </c>
      <c r="D765" s="187">
        <v>6.0999999999999999E-2</v>
      </c>
    </row>
    <row r="766" spans="1:4">
      <c r="A766" s="184" t="s">
        <v>2573</v>
      </c>
      <c r="B766" s="184" t="s">
        <v>2024</v>
      </c>
      <c r="C766" s="184" t="str">
        <f t="shared" si="11"/>
        <v>Delaware, OK</v>
      </c>
      <c r="D766" s="187">
        <v>0.09</v>
      </c>
    </row>
    <row r="767" spans="1:4">
      <c r="A767" s="184" t="s">
        <v>3356</v>
      </c>
      <c r="B767" s="184" t="s">
        <v>2024</v>
      </c>
      <c r="C767" s="184" t="str">
        <f t="shared" si="11"/>
        <v>Delaware, PA</v>
      </c>
      <c r="D767" s="187">
        <v>6.0999999999999999E-2</v>
      </c>
    </row>
    <row r="768" spans="1:4">
      <c r="A768" s="184" t="s">
        <v>3108</v>
      </c>
      <c r="B768" s="184" t="s">
        <v>1143</v>
      </c>
      <c r="C768" s="184" t="str">
        <f t="shared" si="11"/>
        <v>Delta, CO</v>
      </c>
      <c r="D768" s="187">
        <v>4.3999999999999997E-2</v>
      </c>
    </row>
    <row r="769" spans="1:4">
      <c r="A769" s="184" t="s">
        <v>2090</v>
      </c>
      <c r="B769" s="184" t="s">
        <v>1143</v>
      </c>
      <c r="C769" s="184" t="str">
        <f t="shared" si="11"/>
        <v>Delta, MI</v>
      </c>
      <c r="D769" s="187">
        <v>0.09</v>
      </c>
    </row>
    <row r="770" spans="1:4">
      <c r="A770" s="184" t="s">
        <v>3906</v>
      </c>
      <c r="B770" s="184" t="s">
        <v>1143</v>
      </c>
      <c r="C770" s="184" t="str">
        <f t="shared" si="11"/>
        <v>Delta, TX</v>
      </c>
      <c r="D770" s="187">
        <v>4.3999999999999997E-2</v>
      </c>
    </row>
    <row r="771" spans="1:4">
      <c r="A771" s="184" t="s">
        <v>3434</v>
      </c>
      <c r="B771" s="184" t="s">
        <v>311</v>
      </c>
      <c r="C771" s="184" t="str">
        <f t="shared" si="11"/>
        <v>Dent, MO</v>
      </c>
      <c r="D771" s="187">
        <v>5.7000000000000002E-2</v>
      </c>
    </row>
    <row r="772" spans="1:4">
      <c r="A772" s="184" t="s">
        <v>3906</v>
      </c>
      <c r="B772" s="184" t="s">
        <v>3911</v>
      </c>
      <c r="C772" s="184" t="str">
        <f t="shared" si="11"/>
        <v>Denton, TX</v>
      </c>
      <c r="D772" s="187">
        <v>6.0999999999999999E-2</v>
      </c>
    </row>
    <row r="773" spans="1:4">
      <c r="A773" s="184" t="s">
        <v>3108</v>
      </c>
      <c r="B773" s="184" t="s">
        <v>1006</v>
      </c>
      <c r="C773" s="184" t="str">
        <f t="shared" si="11"/>
        <v>Denver, CO</v>
      </c>
      <c r="D773" s="187">
        <v>4.4999999999999998E-2</v>
      </c>
    </row>
    <row r="774" spans="1:4">
      <c r="A774" s="184" t="s">
        <v>2031</v>
      </c>
      <c r="B774" s="184" t="s">
        <v>1962</v>
      </c>
      <c r="C774" s="184" t="str">
        <f t="shared" ref="C774:C837" si="12">B774&amp;", "&amp;A774</f>
        <v>Des Moines, IA</v>
      </c>
      <c r="D774" s="187">
        <v>0.09</v>
      </c>
    </row>
    <row r="775" spans="1:4">
      <c r="A775" s="184" t="s">
        <v>3353</v>
      </c>
      <c r="B775" s="184" t="s">
        <v>2260</v>
      </c>
      <c r="C775" s="184" t="str">
        <f t="shared" si="12"/>
        <v>Deschutes, OR</v>
      </c>
      <c r="D775" s="187">
        <v>0.09</v>
      </c>
    </row>
    <row r="776" spans="1:4">
      <c r="A776" s="184" t="s">
        <v>566</v>
      </c>
      <c r="B776" s="184" t="s">
        <v>1210</v>
      </c>
      <c r="C776" s="184" t="str">
        <f t="shared" si="12"/>
        <v>Desha, AR</v>
      </c>
      <c r="D776" s="187">
        <v>5.7000000000000002E-2</v>
      </c>
    </row>
    <row r="777" spans="1:4">
      <c r="A777" s="184" t="s">
        <v>3035</v>
      </c>
      <c r="B777" s="184" t="s">
        <v>3036</v>
      </c>
      <c r="C777" s="184" t="str">
        <f t="shared" si="12"/>
        <v>DeSoto, MS</v>
      </c>
      <c r="D777" s="187">
        <v>6.0999999999999999E-2</v>
      </c>
    </row>
    <row r="778" spans="1:4">
      <c r="A778" s="184" t="s">
        <v>3442</v>
      </c>
      <c r="B778" s="184" t="s">
        <v>1256</v>
      </c>
      <c r="C778" s="184" t="str">
        <f t="shared" si="12"/>
        <v>Deuel, NE</v>
      </c>
      <c r="D778" s="187">
        <v>0.09</v>
      </c>
    </row>
    <row r="779" spans="1:4">
      <c r="A779" s="184" t="s">
        <v>1944</v>
      </c>
      <c r="B779" s="184" t="s">
        <v>1256</v>
      </c>
      <c r="C779" s="184" t="str">
        <f t="shared" si="12"/>
        <v>Deuel, SD</v>
      </c>
      <c r="D779" s="187">
        <v>4.3999999999999997E-2</v>
      </c>
    </row>
    <row r="780" spans="1:4">
      <c r="A780" s="184" t="s">
        <v>2573</v>
      </c>
      <c r="B780" s="184" t="s">
        <v>440</v>
      </c>
      <c r="C780" s="184" t="str">
        <f t="shared" si="12"/>
        <v>Dewey, OK</v>
      </c>
      <c r="D780" s="187">
        <v>0.09</v>
      </c>
    </row>
    <row r="781" spans="1:4">
      <c r="A781" s="184" t="s">
        <v>1944</v>
      </c>
      <c r="B781" s="184" t="s">
        <v>440</v>
      </c>
      <c r="C781" s="184" t="str">
        <f t="shared" si="12"/>
        <v>Dewey, SD</v>
      </c>
      <c r="D781" s="187">
        <v>4.3999999999999997E-2</v>
      </c>
    </row>
    <row r="782" spans="1:4">
      <c r="A782" s="184" t="s">
        <v>3906</v>
      </c>
      <c r="B782" s="184" t="s">
        <v>1075</v>
      </c>
      <c r="C782" s="184" t="str">
        <f t="shared" si="12"/>
        <v>DeWitt, TX</v>
      </c>
      <c r="D782" s="187">
        <v>4.3999999999999997E-2</v>
      </c>
    </row>
    <row r="783" spans="1:4">
      <c r="A783" s="184" t="s">
        <v>3906</v>
      </c>
      <c r="B783" s="184" t="s">
        <v>1076</v>
      </c>
      <c r="C783" s="184" t="str">
        <f t="shared" si="12"/>
        <v>Dickens, TX</v>
      </c>
      <c r="D783" s="187">
        <v>4.3999999999999997E-2</v>
      </c>
    </row>
    <row r="784" spans="1:4">
      <c r="A784" s="184" t="s">
        <v>746</v>
      </c>
      <c r="B784" s="184" t="s">
        <v>826</v>
      </c>
      <c r="C784" s="184" t="str">
        <f t="shared" si="12"/>
        <v>Dickenson, VA</v>
      </c>
      <c r="D784" s="187">
        <v>4.3999999999999997E-2</v>
      </c>
    </row>
    <row r="785" spans="1:4">
      <c r="A785" s="184" t="s">
        <v>2558</v>
      </c>
      <c r="B785" s="184" t="s">
        <v>1244</v>
      </c>
      <c r="C785" s="184" t="str">
        <f t="shared" si="12"/>
        <v>Dickey, ND</v>
      </c>
      <c r="D785" s="187">
        <v>0.09</v>
      </c>
    </row>
    <row r="786" spans="1:4">
      <c r="A786" s="184" t="s">
        <v>2031</v>
      </c>
      <c r="B786" s="184" t="s">
        <v>1963</v>
      </c>
      <c r="C786" s="184" t="str">
        <f t="shared" si="12"/>
        <v>Dickinson, IA</v>
      </c>
      <c r="D786" s="187">
        <v>0.09</v>
      </c>
    </row>
    <row r="787" spans="1:4">
      <c r="A787" s="184" t="s">
        <v>663</v>
      </c>
      <c r="B787" s="184" t="s">
        <v>1963</v>
      </c>
      <c r="C787" s="184" t="str">
        <f t="shared" si="12"/>
        <v>Dickinson, KS</v>
      </c>
      <c r="D787" s="187">
        <v>0.09</v>
      </c>
    </row>
    <row r="788" spans="1:4">
      <c r="A788" s="184" t="s">
        <v>2090</v>
      </c>
      <c r="B788" s="184" t="s">
        <v>1963</v>
      </c>
      <c r="C788" s="184" t="str">
        <f t="shared" si="12"/>
        <v>Dickinson, MI</v>
      </c>
      <c r="D788" s="187">
        <v>0.09</v>
      </c>
    </row>
    <row r="789" spans="1:4">
      <c r="A789" s="184" t="s">
        <v>699</v>
      </c>
      <c r="B789" s="184" t="s">
        <v>1948</v>
      </c>
      <c r="C789" s="184" t="str">
        <f t="shared" si="12"/>
        <v>Dickson, TN</v>
      </c>
      <c r="D789" s="187">
        <v>6.0999999999999999E-2</v>
      </c>
    </row>
    <row r="790" spans="1:4">
      <c r="A790" s="184" t="s">
        <v>988</v>
      </c>
      <c r="B790" s="184" t="s">
        <v>2970</v>
      </c>
      <c r="C790" s="184" t="str">
        <f t="shared" si="12"/>
        <v>Dillingham, AK</v>
      </c>
      <c r="D790" s="187">
        <v>0.09</v>
      </c>
    </row>
    <row r="791" spans="1:4">
      <c r="A791" s="184" t="s">
        <v>1942</v>
      </c>
      <c r="B791" s="184" t="s">
        <v>73</v>
      </c>
      <c r="C791" s="184" t="str">
        <f t="shared" si="12"/>
        <v>Dillon, SC</v>
      </c>
      <c r="D791" s="187">
        <v>4.3999999999999997E-2</v>
      </c>
    </row>
    <row r="792" spans="1:4">
      <c r="A792" s="184" t="s">
        <v>3906</v>
      </c>
      <c r="B792" s="184" t="s">
        <v>2878</v>
      </c>
      <c r="C792" s="184" t="str">
        <f t="shared" si="12"/>
        <v>Dimmit, TX</v>
      </c>
      <c r="D792" s="187" t="s">
        <v>3930</v>
      </c>
    </row>
    <row r="793" spans="1:4">
      <c r="A793" s="184" t="s">
        <v>746</v>
      </c>
      <c r="B793" s="184" t="s">
        <v>199</v>
      </c>
      <c r="C793" s="184" t="str">
        <f t="shared" si="12"/>
        <v>Dinwiddie, VA</v>
      </c>
      <c r="D793" s="187">
        <v>6.0999999999999999E-2</v>
      </c>
    </row>
    <row r="794" spans="1:4">
      <c r="A794" s="184" t="s">
        <v>583</v>
      </c>
      <c r="B794" s="184" t="s">
        <v>584</v>
      </c>
      <c r="C794" s="184" t="str">
        <f t="shared" si="12"/>
        <v>District of Columbia, DC</v>
      </c>
      <c r="D794" s="187">
        <v>2.1999999999999999E-2</v>
      </c>
    </row>
    <row r="795" spans="1:4">
      <c r="A795" s="184" t="s">
        <v>2558</v>
      </c>
      <c r="B795" s="184" t="s">
        <v>1245</v>
      </c>
      <c r="C795" s="184" t="str">
        <f t="shared" si="12"/>
        <v>Divide, ND</v>
      </c>
      <c r="D795" s="187">
        <v>0.09</v>
      </c>
    </row>
    <row r="796" spans="1:4">
      <c r="A796" s="184" t="s">
        <v>3594</v>
      </c>
      <c r="B796" s="184" t="s">
        <v>1186</v>
      </c>
      <c r="C796" s="184" t="str">
        <f t="shared" si="12"/>
        <v>Dixie, FL</v>
      </c>
      <c r="D796" s="187">
        <v>4.3999999999999997E-2</v>
      </c>
    </row>
    <row r="797" spans="1:4">
      <c r="A797" s="184" t="s">
        <v>3442</v>
      </c>
      <c r="B797" s="184" t="s">
        <v>1257</v>
      </c>
      <c r="C797" s="184" t="str">
        <f t="shared" si="12"/>
        <v>Dixon, NE</v>
      </c>
      <c r="D797" s="187">
        <v>0.09</v>
      </c>
    </row>
    <row r="798" spans="1:4">
      <c r="A798" s="184" t="s">
        <v>542</v>
      </c>
      <c r="B798" s="184" t="s">
        <v>2506</v>
      </c>
      <c r="C798" s="184" t="str">
        <f t="shared" si="12"/>
        <v>Doddridge, WV</v>
      </c>
      <c r="D798" s="187">
        <v>0.09</v>
      </c>
    </row>
    <row r="799" spans="1:4">
      <c r="A799" s="184" t="s">
        <v>3602</v>
      </c>
      <c r="B799" s="184" t="s">
        <v>322</v>
      </c>
      <c r="C799" s="184" t="str">
        <f t="shared" si="12"/>
        <v>Dodge, GA</v>
      </c>
      <c r="D799" s="187">
        <v>4.3999999999999997E-2</v>
      </c>
    </row>
    <row r="800" spans="1:4">
      <c r="A800" s="184" t="s">
        <v>3429</v>
      </c>
      <c r="B800" s="184" t="s">
        <v>322</v>
      </c>
      <c r="C800" s="184" t="str">
        <f t="shared" si="12"/>
        <v>Dodge, MN</v>
      </c>
      <c r="D800" s="187">
        <v>0.09</v>
      </c>
    </row>
    <row r="801" spans="1:4">
      <c r="A801" s="184" t="s">
        <v>3442</v>
      </c>
      <c r="B801" s="184" t="s">
        <v>322</v>
      </c>
      <c r="C801" s="184" t="str">
        <f t="shared" si="12"/>
        <v>Dodge, NE</v>
      </c>
      <c r="D801" s="187">
        <v>0.09</v>
      </c>
    </row>
    <row r="802" spans="1:4">
      <c r="A802" s="184" t="s">
        <v>550</v>
      </c>
      <c r="B802" s="184" t="s">
        <v>322</v>
      </c>
      <c r="C802" s="184" t="str">
        <f t="shared" si="12"/>
        <v>Dodge, WI</v>
      </c>
      <c r="D802" s="187">
        <v>0.09</v>
      </c>
    </row>
    <row r="803" spans="1:4">
      <c r="A803" s="184" t="s">
        <v>3108</v>
      </c>
      <c r="B803" s="184" t="s">
        <v>1144</v>
      </c>
      <c r="C803" s="184" t="str">
        <f t="shared" si="12"/>
        <v>Dolores, CO</v>
      </c>
      <c r="D803" s="187">
        <v>4.3999999999999997E-2</v>
      </c>
    </row>
    <row r="804" spans="1:4">
      <c r="A804" s="184" t="s">
        <v>3622</v>
      </c>
      <c r="B804" s="184" t="s">
        <v>958</v>
      </c>
      <c r="C804" s="184" t="str">
        <f t="shared" si="12"/>
        <v>Dona Ana, NM</v>
      </c>
      <c r="D804" s="187">
        <v>3.5000000000000003E-2</v>
      </c>
    </row>
    <row r="805" spans="1:4">
      <c r="A805" s="184" t="s">
        <v>663</v>
      </c>
      <c r="B805" s="184" t="s">
        <v>1432</v>
      </c>
      <c r="C805" s="184" t="str">
        <f t="shared" si="12"/>
        <v>Doniphan, KS</v>
      </c>
      <c r="D805" s="187">
        <v>0.09</v>
      </c>
    </row>
    <row r="806" spans="1:4">
      <c r="A806" s="184" t="s">
        <v>3906</v>
      </c>
      <c r="B806" s="184" t="s">
        <v>1077</v>
      </c>
      <c r="C806" s="184" t="str">
        <f t="shared" si="12"/>
        <v>Donley, TX</v>
      </c>
      <c r="D806" s="187">
        <v>4.3999999999999997E-2</v>
      </c>
    </row>
    <row r="807" spans="1:4">
      <c r="A807" s="184" t="s">
        <v>3602</v>
      </c>
      <c r="B807" s="184" t="s">
        <v>323</v>
      </c>
      <c r="C807" s="184" t="str">
        <f t="shared" si="12"/>
        <v>Dooly, GA</v>
      </c>
      <c r="D807" s="187">
        <v>4.3999999999999997E-2</v>
      </c>
    </row>
    <row r="808" spans="1:4">
      <c r="A808" s="184" t="s">
        <v>550</v>
      </c>
      <c r="B808" s="184" t="s">
        <v>848</v>
      </c>
      <c r="C808" s="184" t="str">
        <f t="shared" si="12"/>
        <v>Door, WI</v>
      </c>
      <c r="D808" s="187">
        <v>0.09</v>
      </c>
    </row>
    <row r="809" spans="1:4">
      <c r="A809" s="184" t="s">
        <v>2087</v>
      </c>
      <c r="B809" s="184" t="s">
        <v>94</v>
      </c>
      <c r="C809" s="184" t="str">
        <f t="shared" si="12"/>
        <v>Dorchester, MD</v>
      </c>
      <c r="D809" s="187">
        <v>5.7000000000000002E-2</v>
      </c>
    </row>
    <row r="810" spans="1:4">
      <c r="A810" s="184" t="s">
        <v>1942</v>
      </c>
      <c r="B810" s="184" t="s">
        <v>94</v>
      </c>
      <c r="C810" s="184" t="str">
        <f t="shared" si="12"/>
        <v>Dorchester, SC</v>
      </c>
      <c r="D810" s="187">
        <v>4.3999999999999997E-2</v>
      </c>
    </row>
    <row r="811" spans="1:4">
      <c r="A811" s="184" t="s">
        <v>3602</v>
      </c>
      <c r="B811" s="184" t="s">
        <v>3298</v>
      </c>
      <c r="C811" s="184" t="str">
        <f t="shared" si="12"/>
        <v>Dougherty, GA</v>
      </c>
      <c r="D811" s="187">
        <v>4.3999999999999997E-2</v>
      </c>
    </row>
    <row r="812" spans="1:4">
      <c r="A812" s="184" t="s">
        <v>3108</v>
      </c>
      <c r="B812" s="184" t="s">
        <v>528</v>
      </c>
      <c r="C812" s="184" t="str">
        <f t="shared" si="12"/>
        <v>Douglas, CO</v>
      </c>
      <c r="D812" s="187">
        <v>6.0999999999999999E-2</v>
      </c>
    </row>
    <row r="813" spans="1:4">
      <c r="A813" s="184" t="s">
        <v>3602</v>
      </c>
      <c r="B813" s="184" t="s">
        <v>528</v>
      </c>
      <c r="C813" s="184" t="str">
        <f t="shared" si="12"/>
        <v>Douglas, GA</v>
      </c>
      <c r="D813" s="187">
        <v>6.0999999999999999E-2</v>
      </c>
    </row>
    <row r="814" spans="1:4">
      <c r="A814" s="184" t="s">
        <v>2019</v>
      </c>
      <c r="B814" s="184" t="s">
        <v>528</v>
      </c>
      <c r="C814" s="184" t="str">
        <f t="shared" si="12"/>
        <v>Douglas, IL</v>
      </c>
      <c r="D814" s="187">
        <v>0.09</v>
      </c>
    </row>
    <row r="815" spans="1:4">
      <c r="A815" s="184" t="s">
        <v>663</v>
      </c>
      <c r="B815" s="184" t="s">
        <v>528</v>
      </c>
      <c r="C815" s="184" t="str">
        <f t="shared" si="12"/>
        <v>Douglas, KS</v>
      </c>
      <c r="D815" s="187">
        <v>0.09</v>
      </c>
    </row>
    <row r="816" spans="1:4">
      <c r="A816" s="184" t="s">
        <v>3429</v>
      </c>
      <c r="B816" s="184" t="s">
        <v>528</v>
      </c>
      <c r="C816" s="184" t="str">
        <f t="shared" si="12"/>
        <v>Douglas, MN</v>
      </c>
      <c r="D816" s="187">
        <v>0.09</v>
      </c>
    </row>
    <row r="817" spans="1:4">
      <c r="A817" s="184" t="s">
        <v>3434</v>
      </c>
      <c r="B817" s="184" t="s">
        <v>528</v>
      </c>
      <c r="C817" s="184" t="str">
        <f t="shared" si="12"/>
        <v>Douglas, MO</v>
      </c>
      <c r="D817" s="187">
        <v>0.09</v>
      </c>
    </row>
    <row r="818" spans="1:4">
      <c r="A818" s="184" t="s">
        <v>3442</v>
      </c>
      <c r="B818" s="184" t="s">
        <v>528</v>
      </c>
      <c r="C818" s="184" t="str">
        <f t="shared" si="12"/>
        <v>Douglas, NE</v>
      </c>
      <c r="D818" s="187">
        <v>6.0999999999999999E-2</v>
      </c>
    </row>
    <row r="819" spans="1:4">
      <c r="A819" s="184" t="s">
        <v>3043</v>
      </c>
      <c r="B819" s="184" t="s">
        <v>528</v>
      </c>
      <c r="C819" s="184" t="str">
        <f t="shared" si="12"/>
        <v>Douglas, NV</v>
      </c>
      <c r="D819" s="187">
        <v>6.0999999999999999E-2</v>
      </c>
    </row>
    <row r="820" spans="1:4">
      <c r="A820" s="184" t="s">
        <v>3353</v>
      </c>
      <c r="B820" s="184" t="s">
        <v>528</v>
      </c>
      <c r="C820" s="184" t="str">
        <f t="shared" si="12"/>
        <v>Douglas, OR</v>
      </c>
      <c r="D820" s="187">
        <v>0.09</v>
      </c>
    </row>
    <row r="821" spans="1:4">
      <c r="A821" s="184" t="s">
        <v>1944</v>
      </c>
      <c r="B821" s="184" t="s">
        <v>528</v>
      </c>
      <c r="C821" s="184" t="str">
        <f t="shared" si="12"/>
        <v>Douglas, SD</v>
      </c>
      <c r="D821" s="187">
        <v>4.3999999999999997E-2</v>
      </c>
    </row>
    <row r="822" spans="1:4">
      <c r="A822" s="184" t="s">
        <v>1278</v>
      </c>
      <c r="B822" s="184" t="s">
        <v>528</v>
      </c>
      <c r="C822" s="184" t="str">
        <f t="shared" si="12"/>
        <v>Douglas, WA</v>
      </c>
      <c r="D822" s="187">
        <v>0.09</v>
      </c>
    </row>
    <row r="823" spans="1:4">
      <c r="A823" s="184" t="s">
        <v>550</v>
      </c>
      <c r="B823" s="184" t="s">
        <v>528</v>
      </c>
      <c r="C823" s="184" t="str">
        <f t="shared" si="12"/>
        <v>Douglas, WI</v>
      </c>
      <c r="D823" s="187">
        <v>0.09</v>
      </c>
    </row>
    <row r="824" spans="1:4">
      <c r="A824" s="184" t="s">
        <v>566</v>
      </c>
      <c r="B824" s="184" t="s">
        <v>3001</v>
      </c>
      <c r="C824" s="184" t="str">
        <f t="shared" si="12"/>
        <v>Drew, AR</v>
      </c>
      <c r="D824" s="187">
        <v>4.3999999999999997E-2</v>
      </c>
    </row>
    <row r="825" spans="1:4">
      <c r="A825" s="184" t="s">
        <v>2021</v>
      </c>
      <c r="B825" s="184" t="s">
        <v>2827</v>
      </c>
      <c r="C825" s="184" t="str">
        <f t="shared" si="12"/>
        <v>Dubois, IN</v>
      </c>
      <c r="D825" s="187">
        <v>6.0999999999999999E-2</v>
      </c>
    </row>
    <row r="826" spans="1:4">
      <c r="A826" s="184" t="s">
        <v>2031</v>
      </c>
      <c r="B826" s="184" t="s">
        <v>3452</v>
      </c>
      <c r="C826" s="184" t="str">
        <f t="shared" si="12"/>
        <v>Dubuque, IA</v>
      </c>
      <c r="D826" s="187">
        <v>5.7000000000000002E-2</v>
      </c>
    </row>
    <row r="827" spans="1:4">
      <c r="A827" s="184" t="s">
        <v>742</v>
      </c>
      <c r="B827" s="184" t="s">
        <v>383</v>
      </c>
      <c r="C827" s="184" t="str">
        <f t="shared" si="12"/>
        <v>Duchesne, UT</v>
      </c>
      <c r="D827" s="187">
        <v>4.3999999999999997E-2</v>
      </c>
    </row>
    <row r="828" spans="1:4">
      <c r="A828" s="184" t="s">
        <v>1228</v>
      </c>
      <c r="B828" s="184" t="s">
        <v>1230</v>
      </c>
      <c r="C828" s="184" t="str">
        <f t="shared" si="12"/>
        <v>Dukes, MA</v>
      </c>
      <c r="D828" s="187">
        <v>0.09</v>
      </c>
    </row>
    <row r="829" spans="1:4">
      <c r="A829" s="184" t="s">
        <v>3442</v>
      </c>
      <c r="B829" s="184" t="s">
        <v>3246</v>
      </c>
      <c r="C829" s="184" t="str">
        <f t="shared" si="12"/>
        <v>Dundy, NE</v>
      </c>
      <c r="D829" s="187">
        <v>0.09</v>
      </c>
    </row>
    <row r="830" spans="1:4">
      <c r="A830" s="184" t="s">
        <v>3434</v>
      </c>
      <c r="B830" s="184" t="s">
        <v>312</v>
      </c>
      <c r="C830" s="184" t="str">
        <f t="shared" si="12"/>
        <v>Dunklin, MO</v>
      </c>
      <c r="D830" s="187">
        <v>5.7000000000000002E-2</v>
      </c>
    </row>
    <row r="831" spans="1:4">
      <c r="A831" s="184" t="s">
        <v>2558</v>
      </c>
      <c r="B831" s="184" t="s">
        <v>1246</v>
      </c>
      <c r="C831" s="184" t="str">
        <f t="shared" si="12"/>
        <v>Dunn, ND</v>
      </c>
      <c r="D831" s="187">
        <v>0.09</v>
      </c>
    </row>
    <row r="832" spans="1:4">
      <c r="A832" s="184" t="s">
        <v>550</v>
      </c>
      <c r="B832" s="184" t="s">
        <v>1246</v>
      </c>
      <c r="C832" s="184" t="str">
        <f t="shared" si="12"/>
        <v>Dunn, WI</v>
      </c>
      <c r="D832" s="187">
        <v>0.09</v>
      </c>
    </row>
    <row r="833" spans="1:4">
      <c r="A833" s="184" t="s">
        <v>2019</v>
      </c>
      <c r="B833" s="184" t="s">
        <v>2285</v>
      </c>
      <c r="C833" s="184" t="str">
        <f t="shared" si="12"/>
        <v>DuPage, IL</v>
      </c>
      <c r="D833" s="187">
        <v>6.0999999999999999E-2</v>
      </c>
    </row>
    <row r="834" spans="1:4">
      <c r="A834" s="184" t="s">
        <v>2542</v>
      </c>
      <c r="B834" s="184" t="s">
        <v>3258</v>
      </c>
      <c r="C834" s="184" t="str">
        <f t="shared" si="12"/>
        <v>Duplin, NC</v>
      </c>
      <c r="D834" s="187">
        <v>4.3999999999999997E-2</v>
      </c>
    </row>
    <row r="835" spans="1:4">
      <c r="A835" s="184" t="s">
        <v>2542</v>
      </c>
      <c r="B835" s="184" t="s">
        <v>2277</v>
      </c>
      <c r="C835" s="184" t="str">
        <f t="shared" si="12"/>
        <v>Durham, NC</v>
      </c>
      <c r="D835" s="187">
        <v>6.0999999999999999E-2</v>
      </c>
    </row>
    <row r="836" spans="1:4">
      <c r="A836" s="184" t="s">
        <v>3446</v>
      </c>
      <c r="B836" s="184" t="s">
        <v>28</v>
      </c>
      <c r="C836" s="184" t="str">
        <f t="shared" si="12"/>
        <v>Dutchess, NY</v>
      </c>
      <c r="D836" s="187">
        <v>5.7000000000000002E-2</v>
      </c>
    </row>
    <row r="837" spans="1:4">
      <c r="A837" s="184" t="s">
        <v>3594</v>
      </c>
      <c r="B837" s="184" t="s">
        <v>1078</v>
      </c>
      <c r="C837" s="184" t="str">
        <f t="shared" si="12"/>
        <v>Duval, FL</v>
      </c>
      <c r="D837" s="187">
        <v>5.7000000000000002E-2</v>
      </c>
    </row>
    <row r="838" spans="1:4">
      <c r="A838" s="184" t="s">
        <v>3906</v>
      </c>
      <c r="B838" s="184" t="s">
        <v>1078</v>
      </c>
      <c r="C838" s="184" t="str">
        <f t="shared" ref="C838:C901" si="13">B838&amp;", "&amp;A838</f>
        <v>Duval, TX</v>
      </c>
      <c r="D838" s="187">
        <v>4.3999999999999997E-2</v>
      </c>
    </row>
    <row r="839" spans="1:4">
      <c r="A839" s="184" t="s">
        <v>699</v>
      </c>
      <c r="B839" s="184" t="s">
        <v>1739</v>
      </c>
      <c r="C839" s="184" t="str">
        <f t="shared" si="13"/>
        <v>Dyer, TN</v>
      </c>
      <c r="D839" s="187">
        <v>0.09</v>
      </c>
    </row>
    <row r="840" spans="1:4">
      <c r="A840" s="184" t="s">
        <v>3108</v>
      </c>
      <c r="B840" s="184" t="s">
        <v>1145</v>
      </c>
      <c r="C840" s="184" t="str">
        <f t="shared" si="13"/>
        <v>Eagle, CO</v>
      </c>
      <c r="D840" s="187">
        <v>6.0999999999999999E-2</v>
      </c>
    </row>
    <row r="841" spans="1:4">
      <c r="A841" s="184" t="s">
        <v>3602</v>
      </c>
      <c r="B841" s="184" t="s">
        <v>591</v>
      </c>
      <c r="C841" s="184" t="str">
        <f t="shared" si="13"/>
        <v>Early, GA</v>
      </c>
      <c r="D841" s="187" t="s">
        <v>3930</v>
      </c>
    </row>
    <row r="842" spans="1:4">
      <c r="A842" s="184" t="s">
        <v>535</v>
      </c>
      <c r="B842" s="184" t="s">
        <v>2074</v>
      </c>
      <c r="C842" s="184" t="str">
        <f t="shared" si="13"/>
        <v>East Baton Rouge, LA</v>
      </c>
      <c r="D842" s="187">
        <v>0.09</v>
      </c>
    </row>
    <row r="843" spans="1:4">
      <c r="A843" s="184" t="s">
        <v>535</v>
      </c>
      <c r="B843" s="184" t="s">
        <v>3461</v>
      </c>
      <c r="C843" s="184" t="str">
        <f t="shared" si="13"/>
        <v>East Carroll, LA</v>
      </c>
      <c r="D843" s="187">
        <v>5.7000000000000002E-2</v>
      </c>
    </row>
    <row r="844" spans="1:4">
      <c r="A844" s="184" t="s">
        <v>535</v>
      </c>
      <c r="B844" s="184" t="s">
        <v>762</v>
      </c>
      <c r="C844" s="184" t="str">
        <f t="shared" si="13"/>
        <v>East Feliciana, LA</v>
      </c>
      <c r="D844" s="187">
        <v>0.09</v>
      </c>
    </row>
    <row r="845" spans="1:4">
      <c r="A845" s="184" t="s">
        <v>3906</v>
      </c>
      <c r="B845" s="184" t="s">
        <v>2428</v>
      </c>
      <c r="C845" s="184" t="str">
        <f t="shared" si="13"/>
        <v>Eastland, TX</v>
      </c>
      <c r="D845" s="187">
        <v>4.3999999999999997E-2</v>
      </c>
    </row>
    <row r="846" spans="1:4">
      <c r="A846" s="184" t="s">
        <v>2090</v>
      </c>
      <c r="B846" s="184" t="s">
        <v>2754</v>
      </c>
      <c r="C846" s="184" t="str">
        <f t="shared" si="13"/>
        <v>Eaton, MI</v>
      </c>
      <c r="D846" s="187">
        <v>6.0999999999999999E-2</v>
      </c>
    </row>
    <row r="847" spans="1:4">
      <c r="A847" s="184" t="s">
        <v>550</v>
      </c>
      <c r="B847" s="184" t="s">
        <v>552</v>
      </c>
      <c r="C847" s="184" t="str">
        <f t="shared" si="13"/>
        <v>Eau Claire, WI</v>
      </c>
      <c r="D847" s="187">
        <v>0.09</v>
      </c>
    </row>
    <row r="848" spans="1:4">
      <c r="A848" s="184" t="s">
        <v>3602</v>
      </c>
      <c r="B848" s="184" t="s">
        <v>324</v>
      </c>
      <c r="C848" s="184" t="str">
        <f t="shared" si="13"/>
        <v>Echols, GA</v>
      </c>
      <c r="D848" s="187">
        <v>4.3999999999999997E-2</v>
      </c>
    </row>
    <row r="849" spans="1:4">
      <c r="A849" s="184" t="s">
        <v>3906</v>
      </c>
      <c r="B849" s="184" t="s">
        <v>3912</v>
      </c>
      <c r="C849" s="184" t="str">
        <f t="shared" si="13"/>
        <v>Ector, TX</v>
      </c>
      <c r="D849" s="187">
        <v>6.0999999999999999E-2</v>
      </c>
    </row>
    <row r="850" spans="1:4">
      <c r="A850" s="184" t="s">
        <v>2558</v>
      </c>
      <c r="B850" s="184" t="s">
        <v>1247</v>
      </c>
      <c r="C850" s="184" t="str">
        <f t="shared" si="13"/>
        <v>Eddy, ND</v>
      </c>
      <c r="D850" s="187">
        <v>0.09</v>
      </c>
    </row>
    <row r="851" spans="1:4">
      <c r="A851" s="184" t="s">
        <v>3622</v>
      </c>
      <c r="B851" s="184" t="s">
        <v>1247</v>
      </c>
      <c r="C851" s="184" t="str">
        <f t="shared" si="13"/>
        <v>Eddy, NM</v>
      </c>
      <c r="D851" s="187">
        <v>5.7000000000000002E-2</v>
      </c>
    </row>
    <row r="852" spans="1:4">
      <c r="A852" s="184" t="s">
        <v>2019</v>
      </c>
      <c r="B852" s="184" t="s">
        <v>1020</v>
      </c>
      <c r="C852" s="184" t="str">
        <f t="shared" si="13"/>
        <v>Edgar, IL</v>
      </c>
      <c r="D852" s="187">
        <v>0.09</v>
      </c>
    </row>
    <row r="853" spans="1:4">
      <c r="A853" s="184" t="s">
        <v>2542</v>
      </c>
      <c r="B853" s="184" t="s">
        <v>33</v>
      </c>
      <c r="C853" s="184" t="str">
        <f t="shared" si="13"/>
        <v>Edgecombe, NC</v>
      </c>
      <c r="D853" s="187">
        <v>5.7000000000000002E-2</v>
      </c>
    </row>
    <row r="854" spans="1:4">
      <c r="A854" s="184" t="s">
        <v>1942</v>
      </c>
      <c r="B854" s="184" t="s">
        <v>95</v>
      </c>
      <c r="C854" s="184" t="str">
        <f t="shared" si="13"/>
        <v>Edgefield, SC</v>
      </c>
      <c r="D854" s="187">
        <v>4.3999999999999997E-2</v>
      </c>
    </row>
    <row r="855" spans="1:4">
      <c r="A855" s="184" t="s">
        <v>529</v>
      </c>
      <c r="B855" s="184" t="s">
        <v>409</v>
      </c>
      <c r="C855" s="184" t="str">
        <f t="shared" si="13"/>
        <v>Edmonson, KY</v>
      </c>
      <c r="D855" s="187">
        <v>0.09</v>
      </c>
    </row>
    <row r="856" spans="1:4">
      <c r="A856" s="184" t="s">
        <v>1944</v>
      </c>
      <c r="B856" s="184" t="s">
        <v>1709</v>
      </c>
      <c r="C856" s="184" t="str">
        <f t="shared" si="13"/>
        <v>Edmunds, SD</v>
      </c>
      <c r="D856" s="187">
        <v>4.3999999999999997E-2</v>
      </c>
    </row>
    <row r="857" spans="1:4">
      <c r="A857" s="184" t="s">
        <v>2019</v>
      </c>
      <c r="B857" s="184" t="s">
        <v>1021</v>
      </c>
      <c r="C857" s="184" t="str">
        <f t="shared" si="13"/>
        <v>Edwards, IL</v>
      </c>
      <c r="D857" s="187">
        <v>0.09</v>
      </c>
    </row>
    <row r="858" spans="1:4">
      <c r="A858" s="184" t="s">
        <v>663</v>
      </c>
      <c r="B858" s="184" t="s">
        <v>1021</v>
      </c>
      <c r="C858" s="184" t="str">
        <f t="shared" si="13"/>
        <v>Edwards, KS</v>
      </c>
      <c r="D858" s="187">
        <v>0.09</v>
      </c>
    </row>
    <row r="859" spans="1:4">
      <c r="A859" s="184" t="s">
        <v>3906</v>
      </c>
      <c r="B859" s="184" t="s">
        <v>1021</v>
      </c>
      <c r="C859" s="184" t="str">
        <f t="shared" si="13"/>
        <v>Edwards, TX</v>
      </c>
      <c r="D859" s="187">
        <v>3.5000000000000003E-2</v>
      </c>
    </row>
    <row r="860" spans="1:4">
      <c r="A860" s="184" t="s">
        <v>3602</v>
      </c>
      <c r="B860" s="184" t="s">
        <v>3864</v>
      </c>
      <c r="C860" s="184" t="str">
        <f t="shared" si="13"/>
        <v>Effingham, GA</v>
      </c>
      <c r="D860" s="187">
        <v>6.0999999999999999E-2</v>
      </c>
    </row>
    <row r="861" spans="1:4">
      <c r="A861" s="184" t="s">
        <v>2019</v>
      </c>
      <c r="B861" s="184" t="s">
        <v>3864</v>
      </c>
      <c r="C861" s="184" t="str">
        <f t="shared" si="13"/>
        <v>Effingham, IL</v>
      </c>
      <c r="D861" s="187">
        <v>0.09</v>
      </c>
    </row>
    <row r="862" spans="1:4">
      <c r="A862" s="184" t="s">
        <v>3106</v>
      </c>
      <c r="B862" s="184" t="s">
        <v>3404</v>
      </c>
      <c r="C862" s="184" t="str">
        <f t="shared" si="13"/>
        <v>El Dorado, CA</v>
      </c>
      <c r="D862" s="187">
        <v>5.7000000000000002E-2</v>
      </c>
    </row>
    <row r="863" spans="1:4">
      <c r="A863" s="184" t="s">
        <v>3108</v>
      </c>
      <c r="B863" s="184" t="s">
        <v>3110</v>
      </c>
      <c r="C863" s="184" t="str">
        <f t="shared" si="13"/>
        <v>El Paso, CO</v>
      </c>
      <c r="D863" s="187">
        <v>6.0999999999999999E-2</v>
      </c>
    </row>
    <row r="864" spans="1:4">
      <c r="A864" s="184" t="s">
        <v>3906</v>
      </c>
      <c r="B864" s="184" t="s">
        <v>3110</v>
      </c>
      <c r="C864" s="184" t="str">
        <f t="shared" si="13"/>
        <v>El Paso, TX</v>
      </c>
      <c r="D864" s="187">
        <v>4.3999999999999997E-2</v>
      </c>
    </row>
    <row r="865" spans="1:4">
      <c r="A865" s="184" t="s">
        <v>3108</v>
      </c>
      <c r="B865" s="184" t="s">
        <v>1152</v>
      </c>
      <c r="C865" s="184" t="str">
        <f t="shared" si="13"/>
        <v>Elbert, CO</v>
      </c>
      <c r="D865" s="187">
        <v>4.3999999999999997E-2</v>
      </c>
    </row>
    <row r="866" spans="1:4">
      <c r="A866" s="184" t="s">
        <v>3602</v>
      </c>
      <c r="B866" s="184" t="s">
        <v>1152</v>
      </c>
      <c r="C866" s="184" t="str">
        <f t="shared" si="13"/>
        <v>Elbert, GA</v>
      </c>
      <c r="D866" s="187">
        <v>5.7000000000000002E-2</v>
      </c>
    </row>
    <row r="867" spans="1:4">
      <c r="A867" s="184" t="s">
        <v>663</v>
      </c>
      <c r="B867" s="184" t="s">
        <v>1433</v>
      </c>
      <c r="C867" s="184" t="str">
        <f t="shared" si="13"/>
        <v>Elk, KS</v>
      </c>
      <c r="D867" s="187">
        <v>0.09</v>
      </c>
    </row>
    <row r="868" spans="1:4">
      <c r="A868" s="184" t="s">
        <v>3356</v>
      </c>
      <c r="B868" s="184" t="s">
        <v>1433</v>
      </c>
      <c r="C868" s="184" t="str">
        <f t="shared" si="13"/>
        <v>Elk, PA</v>
      </c>
      <c r="D868" s="187">
        <v>0.09</v>
      </c>
    </row>
    <row r="869" spans="1:4">
      <c r="A869" s="184" t="s">
        <v>2021</v>
      </c>
      <c r="B869" s="184" t="s">
        <v>2315</v>
      </c>
      <c r="C869" s="184" t="str">
        <f t="shared" si="13"/>
        <v>Elkhart, IN</v>
      </c>
      <c r="D869" s="187">
        <v>6.0999999999999999E-2</v>
      </c>
    </row>
    <row r="870" spans="1:4">
      <c r="A870" s="184" t="s">
        <v>3043</v>
      </c>
      <c r="B870" s="184" t="s">
        <v>1126</v>
      </c>
      <c r="C870" s="184" t="str">
        <f t="shared" si="13"/>
        <v>Elko, NV</v>
      </c>
      <c r="D870" s="187">
        <v>0.09</v>
      </c>
    </row>
    <row r="871" spans="1:4">
      <c r="A871" s="184" t="s">
        <v>529</v>
      </c>
      <c r="B871" s="184" t="s">
        <v>410</v>
      </c>
      <c r="C871" s="184" t="str">
        <f t="shared" si="13"/>
        <v>Elliott, KY</v>
      </c>
      <c r="D871" s="187">
        <v>0.09</v>
      </c>
    </row>
    <row r="872" spans="1:4">
      <c r="A872" s="184" t="s">
        <v>663</v>
      </c>
      <c r="B872" s="184" t="s">
        <v>3913</v>
      </c>
      <c r="C872" s="184" t="str">
        <f t="shared" si="13"/>
        <v>Ellis, KS</v>
      </c>
      <c r="D872" s="187">
        <v>0.09</v>
      </c>
    </row>
    <row r="873" spans="1:4">
      <c r="A873" s="184" t="s">
        <v>2573</v>
      </c>
      <c r="B873" s="184" t="s">
        <v>3913</v>
      </c>
      <c r="C873" s="184" t="str">
        <f t="shared" si="13"/>
        <v>Ellis, OK</v>
      </c>
      <c r="D873" s="187">
        <v>0.09</v>
      </c>
    </row>
    <row r="874" spans="1:4">
      <c r="A874" s="184" t="s">
        <v>3906</v>
      </c>
      <c r="B874" s="184" t="s">
        <v>3913</v>
      </c>
      <c r="C874" s="184" t="str">
        <f t="shared" si="13"/>
        <v>Ellis, TX</v>
      </c>
      <c r="D874" s="187">
        <v>6.0999999999999999E-2</v>
      </c>
    </row>
    <row r="875" spans="1:4">
      <c r="A875" s="184" t="s">
        <v>663</v>
      </c>
      <c r="B875" s="184" t="s">
        <v>1434</v>
      </c>
      <c r="C875" s="184" t="str">
        <f t="shared" si="13"/>
        <v>Ellsworth, KS</v>
      </c>
      <c r="D875" s="187">
        <v>0.09</v>
      </c>
    </row>
    <row r="876" spans="1:4">
      <c r="A876" s="184" t="s">
        <v>2000</v>
      </c>
      <c r="B876" s="184" t="s">
        <v>2006</v>
      </c>
      <c r="C876" s="184" t="str">
        <f t="shared" si="13"/>
        <v>Elmore, AL</v>
      </c>
      <c r="D876" s="187">
        <v>0.09</v>
      </c>
    </row>
    <row r="877" spans="1:4">
      <c r="A877" s="184" t="s">
        <v>3875</v>
      </c>
      <c r="B877" s="184" t="s">
        <v>2006</v>
      </c>
      <c r="C877" s="184" t="str">
        <f t="shared" si="13"/>
        <v>Elmore, ID</v>
      </c>
      <c r="D877" s="187">
        <v>4.3999999999999997E-2</v>
      </c>
    </row>
    <row r="878" spans="1:4">
      <c r="A878" s="184" t="s">
        <v>3602</v>
      </c>
      <c r="B878" s="184" t="s">
        <v>325</v>
      </c>
      <c r="C878" s="184" t="str">
        <f t="shared" si="13"/>
        <v>Emanuel, GA</v>
      </c>
      <c r="D878" s="187">
        <v>4.3999999999999997E-2</v>
      </c>
    </row>
    <row r="879" spans="1:4">
      <c r="A879" s="184" t="s">
        <v>742</v>
      </c>
      <c r="B879" s="184" t="s">
        <v>384</v>
      </c>
      <c r="C879" s="184" t="str">
        <f t="shared" si="13"/>
        <v>Emery, UT</v>
      </c>
      <c r="D879" s="187">
        <v>4.3999999999999997E-2</v>
      </c>
    </row>
    <row r="880" spans="1:4">
      <c r="A880" s="184" t="s">
        <v>2031</v>
      </c>
      <c r="B880" s="184" t="s">
        <v>1964</v>
      </c>
      <c r="C880" s="184" t="str">
        <f t="shared" si="13"/>
        <v>Emmet, IA</v>
      </c>
      <c r="D880" s="187">
        <v>0.09</v>
      </c>
    </row>
    <row r="881" spans="1:4">
      <c r="A881" s="184" t="s">
        <v>2090</v>
      </c>
      <c r="B881" s="184" t="s">
        <v>1964</v>
      </c>
      <c r="C881" s="184" t="str">
        <f t="shared" si="13"/>
        <v>Emmet, MI</v>
      </c>
      <c r="D881" s="187">
        <v>0.09</v>
      </c>
    </row>
    <row r="882" spans="1:4">
      <c r="A882" s="184" t="s">
        <v>2558</v>
      </c>
      <c r="B882" s="184" t="s">
        <v>1248</v>
      </c>
      <c r="C882" s="184" t="str">
        <f t="shared" si="13"/>
        <v>Emmons, ND</v>
      </c>
      <c r="D882" s="187">
        <v>0.09</v>
      </c>
    </row>
    <row r="883" spans="1:4">
      <c r="A883" s="184" t="s">
        <v>746</v>
      </c>
      <c r="B883" s="184" t="s">
        <v>2073</v>
      </c>
      <c r="C883" s="184" t="str">
        <f t="shared" si="13"/>
        <v>Emporia City, VA</v>
      </c>
      <c r="D883" s="187">
        <v>4.3999999999999997E-2</v>
      </c>
    </row>
    <row r="884" spans="1:4">
      <c r="A884" s="184" t="s">
        <v>3906</v>
      </c>
      <c r="B884" s="184" t="s">
        <v>2429</v>
      </c>
      <c r="C884" s="184" t="str">
        <f t="shared" si="13"/>
        <v>Erath, TX</v>
      </c>
      <c r="D884" s="187">
        <v>4.3999999999999997E-2</v>
      </c>
    </row>
    <row r="885" spans="1:4">
      <c r="A885" s="184" t="s">
        <v>3446</v>
      </c>
      <c r="B885" s="184" t="s">
        <v>695</v>
      </c>
      <c r="C885" s="184" t="str">
        <f t="shared" si="13"/>
        <v>Erie, NY</v>
      </c>
      <c r="D885" s="187">
        <v>3.5000000000000003E-2</v>
      </c>
    </row>
    <row r="886" spans="1:4">
      <c r="A886" s="184" t="s">
        <v>2562</v>
      </c>
      <c r="B886" s="184" t="s">
        <v>695</v>
      </c>
      <c r="C886" s="184" t="str">
        <f t="shared" si="13"/>
        <v>Erie, OH</v>
      </c>
      <c r="D886" s="187">
        <v>0.09</v>
      </c>
    </row>
    <row r="887" spans="1:4">
      <c r="A887" s="184" t="s">
        <v>3356</v>
      </c>
      <c r="B887" s="184" t="s">
        <v>695</v>
      </c>
      <c r="C887" s="184" t="str">
        <f t="shared" si="13"/>
        <v>Erie, PA</v>
      </c>
      <c r="D887" s="187">
        <v>0.09</v>
      </c>
    </row>
    <row r="888" spans="1:4">
      <c r="A888" s="184" t="s">
        <v>2000</v>
      </c>
      <c r="B888" s="184" t="s">
        <v>3890</v>
      </c>
      <c r="C888" s="184" t="str">
        <f t="shared" si="13"/>
        <v>Escambia, AL</v>
      </c>
      <c r="D888" s="187">
        <v>0.09</v>
      </c>
    </row>
    <row r="889" spans="1:4">
      <c r="A889" s="184" t="s">
        <v>3594</v>
      </c>
      <c r="B889" s="184" t="s">
        <v>3890</v>
      </c>
      <c r="C889" s="184" t="str">
        <f t="shared" si="13"/>
        <v>Escambia, FL</v>
      </c>
      <c r="D889" s="187">
        <v>5.7000000000000002E-2</v>
      </c>
    </row>
    <row r="890" spans="1:4">
      <c r="A890" s="184" t="s">
        <v>3043</v>
      </c>
      <c r="B890" s="184" t="s">
        <v>1127</v>
      </c>
      <c r="C890" s="184" t="str">
        <f t="shared" si="13"/>
        <v>Esmeralda, NV</v>
      </c>
      <c r="D890" s="187">
        <v>0.09</v>
      </c>
    </row>
    <row r="891" spans="1:4">
      <c r="A891" s="184" t="s">
        <v>1228</v>
      </c>
      <c r="B891" s="184" t="s">
        <v>3612</v>
      </c>
      <c r="C891" s="184" t="str">
        <f t="shared" si="13"/>
        <v>Essex, MA</v>
      </c>
      <c r="D891" s="187">
        <v>4.4999999999999998E-2</v>
      </c>
    </row>
    <row r="892" spans="1:4">
      <c r="A892" s="184" t="s">
        <v>3444</v>
      </c>
      <c r="B892" s="184" t="s">
        <v>3612</v>
      </c>
      <c r="C892" s="184" t="str">
        <f t="shared" si="13"/>
        <v>Essex, NJ</v>
      </c>
      <c r="D892" s="187">
        <v>6.0999999999999999E-2</v>
      </c>
    </row>
    <row r="893" spans="1:4">
      <c r="A893" s="184" t="s">
        <v>3446</v>
      </c>
      <c r="B893" s="184" t="s">
        <v>3612</v>
      </c>
      <c r="C893" s="184" t="str">
        <f t="shared" si="13"/>
        <v>Essex, NY</v>
      </c>
      <c r="D893" s="187">
        <v>0.09</v>
      </c>
    </row>
    <row r="894" spans="1:4">
      <c r="A894" s="184" t="s">
        <v>746</v>
      </c>
      <c r="B894" s="184" t="s">
        <v>3612</v>
      </c>
      <c r="C894" s="184" t="str">
        <f t="shared" si="13"/>
        <v>Essex, VA</v>
      </c>
      <c r="D894" s="187">
        <v>4.3999999999999997E-2</v>
      </c>
    </row>
    <row r="895" spans="1:4">
      <c r="A895" s="184" t="s">
        <v>2509</v>
      </c>
      <c r="B895" s="184" t="s">
        <v>3612</v>
      </c>
      <c r="C895" s="184" t="str">
        <f t="shared" si="13"/>
        <v>Essex, VT</v>
      </c>
      <c r="D895" s="187">
        <v>0.09</v>
      </c>
    </row>
    <row r="896" spans="1:4">
      <c r="A896" s="184" t="s">
        <v>529</v>
      </c>
      <c r="B896" s="184" t="s">
        <v>3454</v>
      </c>
      <c r="C896" s="184" t="str">
        <f t="shared" si="13"/>
        <v>Estill, KY</v>
      </c>
      <c r="D896" s="187">
        <v>5.7000000000000002E-2</v>
      </c>
    </row>
    <row r="897" spans="1:4">
      <c r="A897" s="184" t="s">
        <v>2000</v>
      </c>
      <c r="B897" s="184" t="s">
        <v>2007</v>
      </c>
      <c r="C897" s="184" t="str">
        <f t="shared" si="13"/>
        <v>Etowah, AL</v>
      </c>
      <c r="D897" s="187">
        <v>0.09</v>
      </c>
    </row>
    <row r="898" spans="1:4">
      <c r="A898" s="184" t="s">
        <v>3043</v>
      </c>
      <c r="B898" s="184" t="s">
        <v>1128</v>
      </c>
      <c r="C898" s="184" t="str">
        <f t="shared" si="13"/>
        <v>Eureka, NV</v>
      </c>
      <c r="D898" s="187">
        <v>6.0999999999999999E-2</v>
      </c>
    </row>
    <row r="899" spans="1:4">
      <c r="A899" s="184" t="s">
        <v>535</v>
      </c>
      <c r="B899" s="184" t="s">
        <v>3462</v>
      </c>
      <c r="C899" s="184" t="str">
        <f t="shared" si="13"/>
        <v>Evangeline, LA</v>
      </c>
      <c r="D899" s="187">
        <v>5.7000000000000002E-2</v>
      </c>
    </row>
    <row r="900" spans="1:4">
      <c r="A900" s="184" t="s">
        <v>3602</v>
      </c>
      <c r="B900" s="184" t="s">
        <v>214</v>
      </c>
      <c r="C900" s="184" t="str">
        <f t="shared" si="13"/>
        <v>Evans, GA</v>
      </c>
      <c r="D900" s="187">
        <v>4.3999999999999997E-2</v>
      </c>
    </row>
    <row r="901" spans="1:4">
      <c r="A901" s="184" t="s">
        <v>988</v>
      </c>
      <c r="B901" s="184" t="s">
        <v>2971</v>
      </c>
      <c r="C901" s="184" t="str">
        <f t="shared" si="13"/>
        <v>Fairbanks North Star, AK</v>
      </c>
      <c r="D901" s="187">
        <v>0.09</v>
      </c>
    </row>
    <row r="902" spans="1:4">
      <c r="A902" s="184" t="s">
        <v>746</v>
      </c>
      <c r="B902" s="184" t="s">
        <v>200</v>
      </c>
      <c r="C902" s="184" t="str">
        <f t="shared" ref="C902:C965" si="14">B902&amp;", "&amp;A902</f>
        <v>Fairfax, VA</v>
      </c>
      <c r="D902" s="187">
        <v>6.0999999999999999E-2</v>
      </c>
    </row>
    <row r="903" spans="1:4">
      <c r="A903" s="184" t="s">
        <v>746</v>
      </c>
      <c r="B903" s="184" t="s">
        <v>1201</v>
      </c>
      <c r="C903" s="184" t="str">
        <f t="shared" si="14"/>
        <v>Fairfax City, VA</v>
      </c>
      <c r="D903" s="187">
        <v>2.4E-2</v>
      </c>
    </row>
    <row r="904" spans="1:4">
      <c r="A904" s="184" t="s">
        <v>1178</v>
      </c>
      <c r="B904" s="184" t="s">
        <v>2675</v>
      </c>
      <c r="C904" s="184" t="str">
        <f t="shared" si="14"/>
        <v>Fairfield, CT</v>
      </c>
      <c r="D904" s="187">
        <v>6.0999999999999999E-2</v>
      </c>
    </row>
    <row r="905" spans="1:4">
      <c r="A905" s="184" t="s">
        <v>2562</v>
      </c>
      <c r="B905" s="184" t="s">
        <v>2675</v>
      </c>
      <c r="C905" s="184" t="str">
        <f t="shared" si="14"/>
        <v>Fairfield, OH</v>
      </c>
      <c r="D905" s="187">
        <v>6.0999999999999999E-2</v>
      </c>
    </row>
    <row r="906" spans="1:4">
      <c r="A906" s="184" t="s">
        <v>1942</v>
      </c>
      <c r="B906" s="184" t="s">
        <v>2675</v>
      </c>
      <c r="C906" s="184" t="str">
        <f t="shared" si="14"/>
        <v>Fairfield, SC</v>
      </c>
      <c r="D906" s="187">
        <v>4.3999999999999997E-2</v>
      </c>
    </row>
    <row r="907" spans="1:4">
      <c r="A907" s="184" t="s">
        <v>1944</v>
      </c>
      <c r="B907" s="184" t="s">
        <v>1710</v>
      </c>
      <c r="C907" s="184" t="str">
        <f t="shared" si="14"/>
        <v>Fall River, SD</v>
      </c>
      <c r="D907" s="187">
        <v>4.3999999999999997E-2</v>
      </c>
    </row>
    <row r="908" spans="1:4">
      <c r="A908" s="184" t="s">
        <v>3438</v>
      </c>
      <c r="B908" s="184" t="s">
        <v>2806</v>
      </c>
      <c r="C908" s="184" t="str">
        <f t="shared" si="14"/>
        <v>Fallon, MT</v>
      </c>
      <c r="D908" s="187">
        <v>0.09</v>
      </c>
    </row>
    <row r="909" spans="1:4">
      <c r="A909" s="184" t="s">
        <v>3906</v>
      </c>
      <c r="B909" s="184" t="s">
        <v>995</v>
      </c>
      <c r="C909" s="184" t="str">
        <f t="shared" si="14"/>
        <v>Falls, TX</v>
      </c>
      <c r="D909" s="187">
        <v>5.7000000000000002E-2</v>
      </c>
    </row>
    <row r="910" spans="1:4">
      <c r="A910" s="184" t="s">
        <v>746</v>
      </c>
      <c r="B910" s="184" t="s">
        <v>1202</v>
      </c>
      <c r="C910" s="184" t="str">
        <f t="shared" si="14"/>
        <v>Falls Church City, VA</v>
      </c>
      <c r="D910" s="187">
        <v>2.4E-2</v>
      </c>
    </row>
    <row r="911" spans="1:4">
      <c r="A911" s="184" t="s">
        <v>3602</v>
      </c>
      <c r="B911" s="184" t="s">
        <v>215</v>
      </c>
      <c r="C911" s="184" t="str">
        <f t="shared" si="14"/>
        <v>Fannin, GA</v>
      </c>
      <c r="D911" s="187">
        <v>4.3999999999999997E-2</v>
      </c>
    </row>
    <row r="912" spans="1:4">
      <c r="A912" s="184" t="s">
        <v>3906</v>
      </c>
      <c r="B912" s="184" t="s">
        <v>215</v>
      </c>
      <c r="C912" s="184" t="str">
        <f t="shared" si="14"/>
        <v>Fannin, TX</v>
      </c>
      <c r="D912" s="187">
        <v>4.3999999999999997E-2</v>
      </c>
    </row>
    <row r="913" spans="1:4">
      <c r="A913" s="184" t="s">
        <v>3429</v>
      </c>
      <c r="B913" s="184" t="s">
        <v>1482</v>
      </c>
      <c r="C913" s="184" t="str">
        <f t="shared" si="14"/>
        <v>Faribault, MN</v>
      </c>
      <c r="D913" s="187">
        <v>0.09</v>
      </c>
    </row>
    <row r="914" spans="1:4">
      <c r="A914" s="184" t="s">
        <v>1944</v>
      </c>
      <c r="B914" s="184" t="s">
        <v>1711</v>
      </c>
      <c r="C914" s="184" t="str">
        <f t="shared" si="14"/>
        <v>Faulk, SD</v>
      </c>
      <c r="D914" s="187">
        <v>4.3999999999999997E-2</v>
      </c>
    </row>
    <row r="915" spans="1:4">
      <c r="A915" s="184" t="s">
        <v>566</v>
      </c>
      <c r="B915" s="184" t="s">
        <v>568</v>
      </c>
      <c r="C915" s="184" t="str">
        <f t="shared" si="14"/>
        <v>Faulkner, AR</v>
      </c>
      <c r="D915" s="187">
        <v>6.0999999999999999E-2</v>
      </c>
    </row>
    <row r="916" spans="1:4">
      <c r="A916" s="184" t="s">
        <v>746</v>
      </c>
      <c r="B916" s="184" t="s">
        <v>201</v>
      </c>
      <c r="C916" s="184" t="str">
        <f t="shared" si="14"/>
        <v>Fauquier, VA</v>
      </c>
      <c r="D916" s="187">
        <v>6.0999999999999999E-2</v>
      </c>
    </row>
    <row r="917" spans="1:4">
      <c r="A917" s="184" t="s">
        <v>2000</v>
      </c>
      <c r="B917" s="184" t="s">
        <v>3865</v>
      </c>
      <c r="C917" s="184" t="str">
        <f t="shared" si="14"/>
        <v>Fayette, AL</v>
      </c>
      <c r="D917" s="187">
        <v>0.09</v>
      </c>
    </row>
    <row r="918" spans="1:4">
      <c r="A918" s="184" t="s">
        <v>3602</v>
      </c>
      <c r="B918" s="184" t="s">
        <v>3865</v>
      </c>
      <c r="C918" s="184" t="str">
        <f t="shared" si="14"/>
        <v>Fayette, GA</v>
      </c>
      <c r="D918" s="187">
        <v>6.0999999999999999E-2</v>
      </c>
    </row>
    <row r="919" spans="1:4">
      <c r="A919" s="184" t="s">
        <v>2031</v>
      </c>
      <c r="B919" s="184" t="s">
        <v>3865</v>
      </c>
      <c r="C919" s="184" t="str">
        <f t="shared" si="14"/>
        <v>Fayette, IA</v>
      </c>
      <c r="D919" s="187">
        <v>0.09</v>
      </c>
    </row>
    <row r="920" spans="1:4">
      <c r="A920" s="184" t="s">
        <v>2019</v>
      </c>
      <c r="B920" s="184" t="s">
        <v>3865</v>
      </c>
      <c r="C920" s="184" t="str">
        <f t="shared" si="14"/>
        <v>Fayette, IL</v>
      </c>
      <c r="D920" s="187">
        <v>0.09</v>
      </c>
    </row>
    <row r="921" spans="1:4">
      <c r="A921" s="184" t="s">
        <v>2021</v>
      </c>
      <c r="B921" s="184" t="s">
        <v>3865</v>
      </c>
      <c r="C921" s="184" t="str">
        <f t="shared" si="14"/>
        <v>Fayette, IN</v>
      </c>
      <c r="D921" s="187">
        <v>0.09</v>
      </c>
    </row>
    <row r="922" spans="1:4">
      <c r="A922" s="184" t="s">
        <v>529</v>
      </c>
      <c r="B922" s="184" t="s">
        <v>3865</v>
      </c>
      <c r="C922" s="184" t="str">
        <f t="shared" si="14"/>
        <v>Fayette, KY</v>
      </c>
      <c r="D922" s="187">
        <v>3.5000000000000003E-2</v>
      </c>
    </row>
    <row r="923" spans="1:4">
      <c r="A923" s="184" t="s">
        <v>2562</v>
      </c>
      <c r="B923" s="184" t="s">
        <v>3865</v>
      </c>
      <c r="C923" s="184" t="str">
        <f t="shared" si="14"/>
        <v>Fayette, OH</v>
      </c>
      <c r="D923" s="187">
        <v>0.09</v>
      </c>
    </row>
    <row r="924" spans="1:4">
      <c r="A924" s="184" t="s">
        <v>3356</v>
      </c>
      <c r="B924" s="184" t="s">
        <v>3865</v>
      </c>
      <c r="C924" s="184" t="str">
        <f t="shared" si="14"/>
        <v>Fayette, PA</v>
      </c>
      <c r="D924" s="187">
        <v>6.0999999999999999E-2</v>
      </c>
    </row>
    <row r="925" spans="1:4">
      <c r="A925" s="184" t="s">
        <v>699</v>
      </c>
      <c r="B925" s="184" t="s">
        <v>3865</v>
      </c>
      <c r="C925" s="184" t="str">
        <f t="shared" si="14"/>
        <v>Fayette, TN</v>
      </c>
      <c r="D925" s="187">
        <v>6.0999999999999999E-2</v>
      </c>
    </row>
    <row r="926" spans="1:4">
      <c r="A926" s="184" t="s">
        <v>3906</v>
      </c>
      <c r="B926" s="184" t="s">
        <v>3865</v>
      </c>
      <c r="C926" s="184" t="str">
        <f t="shared" si="14"/>
        <v>Fayette, TX</v>
      </c>
      <c r="D926" s="187">
        <v>4.3999999999999997E-2</v>
      </c>
    </row>
    <row r="927" spans="1:4">
      <c r="A927" s="184" t="s">
        <v>542</v>
      </c>
      <c r="B927" s="184" t="s">
        <v>3865</v>
      </c>
      <c r="C927" s="184" t="str">
        <f t="shared" si="14"/>
        <v>Fayette, WV</v>
      </c>
      <c r="D927" s="187">
        <v>0.09</v>
      </c>
    </row>
    <row r="928" spans="1:4">
      <c r="A928" s="184" t="s">
        <v>699</v>
      </c>
      <c r="B928" s="184" t="s">
        <v>1740</v>
      </c>
      <c r="C928" s="184" t="str">
        <f t="shared" si="14"/>
        <v>Fentress, TN</v>
      </c>
      <c r="D928" s="187">
        <v>0.09</v>
      </c>
    </row>
    <row r="929" spans="1:4">
      <c r="A929" s="184" t="s">
        <v>3438</v>
      </c>
      <c r="B929" s="184" t="s">
        <v>2807</v>
      </c>
      <c r="C929" s="184" t="str">
        <f t="shared" si="14"/>
        <v>Fergus, MT</v>
      </c>
      <c r="D929" s="187">
        <v>0.09</v>
      </c>
    </row>
    <row r="930" spans="1:4">
      <c r="A930" s="184" t="s">
        <v>1278</v>
      </c>
      <c r="B930" s="184" t="s">
        <v>1087</v>
      </c>
      <c r="C930" s="184" t="str">
        <f t="shared" si="14"/>
        <v>Ferry, WA</v>
      </c>
      <c r="D930" s="187">
        <v>0.09</v>
      </c>
    </row>
    <row r="931" spans="1:4">
      <c r="A931" s="184" t="s">
        <v>3429</v>
      </c>
      <c r="B931" s="184" t="s">
        <v>1483</v>
      </c>
      <c r="C931" s="184" t="str">
        <f t="shared" si="14"/>
        <v>Fillmore, MN</v>
      </c>
      <c r="D931" s="187">
        <v>0.09</v>
      </c>
    </row>
    <row r="932" spans="1:4">
      <c r="A932" s="184" t="s">
        <v>3442</v>
      </c>
      <c r="B932" s="184" t="s">
        <v>1483</v>
      </c>
      <c r="C932" s="184" t="str">
        <f t="shared" si="14"/>
        <v>Fillmore, NE</v>
      </c>
      <c r="D932" s="187">
        <v>0.09</v>
      </c>
    </row>
    <row r="933" spans="1:4">
      <c r="A933" s="184" t="s">
        <v>663</v>
      </c>
      <c r="B933" s="184" t="s">
        <v>1435</v>
      </c>
      <c r="C933" s="184" t="str">
        <f t="shared" si="14"/>
        <v>Finney, KS</v>
      </c>
      <c r="D933" s="187">
        <v>0.09</v>
      </c>
    </row>
    <row r="934" spans="1:4">
      <c r="A934" s="184" t="s">
        <v>3906</v>
      </c>
      <c r="B934" s="184" t="s">
        <v>2430</v>
      </c>
      <c r="C934" s="184" t="str">
        <f t="shared" si="14"/>
        <v>Fisher, TX</v>
      </c>
      <c r="D934" s="187">
        <v>4.3999999999999997E-2</v>
      </c>
    </row>
    <row r="935" spans="1:4">
      <c r="A935" s="184" t="s">
        <v>3594</v>
      </c>
      <c r="B935" s="184" t="s">
        <v>473</v>
      </c>
      <c r="C935" s="184" t="str">
        <f t="shared" si="14"/>
        <v>Flagler, FL</v>
      </c>
      <c r="D935" s="187">
        <v>4.3999999999999997E-2</v>
      </c>
    </row>
    <row r="936" spans="1:4">
      <c r="A936" s="184" t="s">
        <v>3438</v>
      </c>
      <c r="B936" s="184" t="s">
        <v>2808</v>
      </c>
      <c r="C936" s="184" t="str">
        <f t="shared" si="14"/>
        <v>Flathead, MT</v>
      </c>
      <c r="D936" s="187">
        <v>0.09</v>
      </c>
    </row>
    <row r="937" spans="1:4">
      <c r="A937" s="184" t="s">
        <v>529</v>
      </c>
      <c r="B937" s="184" t="s">
        <v>411</v>
      </c>
      <c r="C937" s="184" t="str">
        <f t="shared" si="14"/>
        <v>Fleming, KY</v>
      </c>
      <c r="D937" s="187">
        <v>0.09</v>
      </c>
    </row>
    <row r="938" spans="1:4">
      <c r="A938" s="184" t="s">
        <v>1942</v>
      </c>
      <c r="B938" s="184" t="s">
        <v>96</v>
      </c>
      <c r="C938" s="184" t="str">
        <f t="shared" si="14"/>
        <v>Florence, SC</v>
      </c>
      <c r="D938" s="187">
        <v>4.3999999999999997E-2</v>
      </c>
    </row>
    <row r="939" spans="1:4">
      <c r="A939" s="184" t="s">
        <v>550</v>
      </c>
      <c r="B939" s="184" t="s">
        <v>96</v>
      </c>
      <c r="C939" s="184" t="str">
        <f t="shared" si="14"/>
        <v>Florence, WI</v>
      </c>
      <c r="D939" s="187">
        <v>0.09</v>
      </c>
    </row>
    <row r="940" spans="1:4">
      <c r="A940" s="184" t="s">
        <v>3602</v>
      </c>
      <c r="B940" s="184" t="s">
        <v>216</v>
      </c>
      <c r="C940" s="184" t="str">
        <f t="shared" si="14"/>
        <v>Floyd, GA</v>
      </c>
      <c r="D940" s="187">
        <v>4.3999999999999997E-2</v>
      </c>
    </row>
    <row r="941" spans="1:4">
      <c r="A941" s="184" t="s">
        <v>2031</v>
      </c>
      <c r="B941" s="184" t="s">
        <v>216</v>
      </c>
      <c r="C941" s="184" t="str">
        <f t="shared" si="14"/>
        <v>Floyd, IA</v>
      </c>
      <c r="D941" s="187">
        <v>0.09</v>
      </c>
    </row>
    <row r="942" spans="1:4">
      <c r="A942" s="184" t="s">
        <v>2021</v>
      </c>
      <c r="B942" s="184" t="s">
        <v>216</v>
      </c>
      <c r="C942" s="184" t="str">
        <f t="shared" si="14"/>
        <v>Floyd, IN</v>
      </c>
      <c r="D942" s="187">
        <v>5.7000000000000002E-2</v>
      </c>
    </row>
    <row r="943" spans="1:4">
      <c r="A943" s="184" t="s">
        <v>529</v>
      </c>
      <c r="B943" s="184" t="s">
        <v>216</v>
      </c>
      <c r="C943" s="184" t="str">
        <f t="shared" si="14"/>
        <v>Floyd, KY</v>
      </c>
      <c r="D943" s="187">
        <v>5.7000000000000002E-2</v>
      </c>
    </row>
    <row r="944" spans="1:4">
      <c r="A944" s="184" t="s">
        <v>3906</v>
      </c>
      <c r="B944" s="184" t="s">
        <v>216</v>
      </c>
      <c r="C944" s="184" t="str">
        <f t="shared" si="14"/>
        <v>Floyd, TX</v>
      </c>
      <c r="D944" s="187">
        <v>4.3999999999999997E-2</v>
      </c>
    </row>
    <row r="945" spans="1:4">
      <c r="A945" s="184" t="s">
        <v>746</v>
      </c>
      <c r="B945" s="184" t="s">
        <v>216</v>
      </c>
      <c r="C945" s="184" t="str">
        <f t="shared" si="14"/>
        <v>Floyd, VA</v>
      </c>
      <c r="D945" s="187">
        <v>4.3999999999999997E-2</v>
      </c>
    </row>
    <row r="946" spans="1:4">
      <c r="A946" s="184" t="s">
        <v>746</v>
      </c>
      <c r="B946" s="184" t="s">
        <v>202</v>
      </c>
      <c r="C946" s="184" t="str">
        <f t="shared" si="14"/>
        <v>Fluvanna, VA</v>
      </c>
      <c r="D946" s="187">
        <v>6.0999999999999999E-2</v>
      </c>
    </row>
    <row r="947" spans="1:4">
      <c r="A947" s="184" t="s">
        <v>3906</v>
      </c>
      <c r="B947" s="184" t="s">
        <v>2431</v>
      </c>
      <c r="C947" s="184" t="str">
        <f t="shared" si="14"/>
        <v>Foard, TX</v>
      </c>
      <c r="D947" s="187">
        <v>4.3999999999999997E-2</v>
      </c>
    </row>
    <row r="948" spans="1:4">
      <c r="A948" s="184" t="s">
        <v>550</v>
      </c>
      <c r="B948" s="184" t="s">
        <v>849</v>
      </c>
      <c r="C948" s="184" t="str">
        <f t="shared" si="14"/>
        <v>Fond du Lac, WI</v>
      </c>
      <c r="D948" s="187">
        <v>0.09</v>
      </c>
    </row>
    <row r="949" spans="1:4">
      <c r="A949" s="184" t="s">
        <v>2019</v>
      </c>
      <c r="B949" s="184" t="s">
        <v>1022</v>
      </c>
      <c r="C949" s="184" t="str">
        <f t="shared" si="14"/>
        <v>Ford, IL</v>
      </c>
      <c r="D949" s="187">
        <v>0.09</v>
      </c>
    </row>
    <row r="950" spans="1:4">
      <c r="A950" s="184" t="s">
        <v>663</v>
      </c>
      <c r="B950" s="184" t="s">
        <v>1022</v>
      </c>
      <c r="C950" s="184" t="str">
        <f t="shared" si="14"/>
        <v>Ford, KS</v>
      </c>
      <c r="D950" s="187">
        <v>0.09</v>
      </c>
    </row>
    <row r="951" spans="1:4">
      <c r="A951" s="184" t="s">
        <v>3356</v>
      </c>
      <c r="B951" s="184" t="s">
        <v>850</v>
      </c>
      <c r="C951" s="184" t="str">
        <f t="shared" si="14"/>
        <v>Forest, PA</v>
      </c>
      <c r="D951" s="187">
        <v>5.7000000000000002E-2</v>
      </c>
    </row>
    <row r="952" spans="1:4">
      <c r="A952" s="184" t="s">
        <v>550</v>
      </c>
      <c r="B952" s="184" t="s">
        <v>850</v>
      </c>
      <c r="C952" s="184" t="str">
        <f t="shared" si="14"/>
        <v>Forest, WI</v>
      </c>
      <c r="D952" s="187">
        <v>0.09</v>
      </c>
    </row>
    <row r="953" spans="1:4">
      <c r="A953" s="184" t="s">
        <v>3035</v>
      </c>
      <c r="B953" s="184" t="s">
        <v>3308</v>
      </c>
      <c r="C953" s="184" t="str">
        <f t="shared" si="14"/>
        <v>Forrest, MS</v>
      </c>
      <c r="D953" s="187">
        <v>4.3999999999999997E-2</v>
      </c>
    </row>
    <row r="954" spans="1:4">
      <c r="A954" s="184" t="s">
        <v>3602</v>
      </c>
      <c r="B954" s="184" t="s">
        <v>3866</v>
      </c>
      <c r="C954" s="184" t="str">
        <f t="shared" si="14"/>
        <v>Forsyth, GA</v>
      </c>
      <c r="D954" s="187">
        <v>6.0999999999999999E-2</v>
      </c>
    </row>
    <row r="955" spans="1:4">
      <c r="A955" s="184" t="s">
        <v>2542</v>
      </c>
      <c r="B955" s="184" t="s">
        <v>3866</v>
      </c>
      <c r="C955" s="184" t="str">
        <f t="shared" si="14"/>
        <v>Forsyth, NC</v>
      </c>
      <c r="D955" s="187">
        <v>5.7000000000000002E-2</v>
      </c>
    </row>
    <row r="956" spans="1:4">
      <c r="A956" s="184" t="s">
        <v>3906</v>
      </c>
      <c r="B956" s="184" t="s">
        <v>713</v>
      </c>
      <c r="C956" s="184" t="str">
        <f t="shared" si="14"/>
        <v>Fort Bend, TX</v>
      </c>
      <c r="D956" s="187">
        <v>6.0999999999999999E-2</v>
      </c>
    </row>
    <row r="957" spans="1:4">
      <c r="A957" s="184" t="s">
        <v>2558</v>
      </c>
      <c r="B957" s="184" t="s">
        <v>185</v>
      </c>
      <c r="C957" s="184" t="str">
        <f t="shared" si="14"/>
        <v>Foster, ND</v>
      </c>
      <c r="D957" s="187">
        <v>0.09</v>
      </c>
    </row>
    <row r="958" spans="1:4">
      <c r="A958" s="184" t="s">
        <v>2021</v>
      </c>
      <c r="B958" s="184" t="s">
        <v>2828</v>
      </c>
      <c r="C958" s="184" t="str">
        <f t="shared" si="14"/>
        <v>Fountain, IN</v>
      </c>
      <c r="D958" s="187">
        <v>0.09</v>
      </c>
    </row>
    <row r="959" spans="1:4">
      <c r="A959" s="184" t="s">
        <v>2000</v>
      </c>
      <c r="B959" s="184" t="s">
        <v>1279</v>
      </c>
      <c r="C959" s="184" t="str">
        <f t="shared" si="14"/>
        <v>Franklin, AL</v>
      </c>
      <c r="D959" s="187">
        <v>0.09</v>
      </c>
    </row>
    <row r="960" spans="1:4">
      <c r="A960" s="184" t="s">
        <v>566</v>
      </c>
      <c r="B960" s="184" t="s">
        <v>1279</v>
      </c>
      <c r="C960" s="184" t="str">
        <f t="shared" si="14"/>
        <v>Franklin, AR</v>
      </c>
      <c r="D960" s="187">
        <v>4.3999999999999997E-2</v>
      </c>
    </row>
    <row r="961" spans="1:4">
      <c r="A961" s="184" t="s">
        <v>3594</v>
      </c>
      <c r="B961" s="184" t="s">
        <v>1279</v>
      </c>
      <c r="C961" s="184" t="str">
        <f t="shared" si="14"/>
        <v>Franklin, FL</v>
      </c>
      <c r="D961" s="187">
        <v>4.3999999999999997E-2</v>
      </c>
    </row>
    <row r="962" spans="1:4">
      <c r="A962" s="184" t="s">
        <v>3602</v>
      </c>
      <c r="B962" s="184" t="s">
        <v>1279</v>
      </c>
      <c r="C962" s="184" t="str">
        <f t="shared" si="14"/>
        <v>Franklin, GA</v>
      </c>
      <c r="D962" s="187">
        <v>4.3999999999999997E-2</v>
      </c>
    </row>
    <row r="963" spans="1:4">
      <c r="A963" s="184" t="s">
        <v>2031</v>
      </c>
      <c r="B963" s="184" t="s">
        <v>1279</v>
      </c>
      <c r="C963" s="184" t="str">
        <f t="shared" si="14"/>
        <v>Franklin, IA</v>
      </c>
      <c r="D963" s="187">
        <v>0.09</v>
      </c>
    </row>
    <row r="964" spans="1:4">
      <c r="A964" s="184" t="s">
        <v>3875</v>
      </c>
      <c r="B964" s="184" t="s">
        <v>1279</v>
      </c>
      <c r="C964" s="184" t="str">
        <f t="shared" si="14"/>
        <v>Franklin, ID</v>
      </c>
      <c r="D964" s="187">
        <v>4.3999999999999997E-2</v>
      </c>
    </row>
    <row r="965" spans="1:4">
      <c r="A965" s="184" t="s">
        <v>2019</v>
      </c>
      <c r="B965" s="184" t="s">
        <v>1279</v>
      </c>
      <c r="C965" s="184" t="str">
        <f t="shared" si="14"/>
        <v>Franklin, IL</v>
      </c>
      <c r="D965" s="187">
        <v>0.09</v>
      </c>
    </row>
    <row r="966" spans="1:4">
      <c r="A966" s="184" t="s">
        <v>2021</v>
      </c>
      <c r="B966" s="184" t="s">
        <v>1279</v>
      </c>
      <c r="C966" s="184" t="str">
        <f t="shared" ref="C966:C1029" si="15">B966&amp;", "&amp;A966</f>
        <v>Franklin, IN</v>
      </c>
      <c r="D966" s="187">
        <v>0.09</v>
      </c>
    </row>
    <row r="967" spans="1:4">
      <c r="A967" s="184" t="s">
        <v>663</v>
      </c>
      <c r="B967" s="184" t="s">
        <v>1279</v>
      </c>
      <c r="C967" s="184" t="str">
        <f t="shared" si="15"/>
        <v>Franklin, KS</v>
      </c>
      <c r="D967" s="187">
        <v>0.09</v>
      </c>
    </row>
    <row r="968" spans="1:4">
      <c r="A968" s="184" t="s">
        <v>529</v>
      </c>
      <c r="B968" s="184" t="s">
        <v>1279</v>
      </c>
      <c r="C968" s="184" t="str">
        <f t="shared" si="15"/>
        <v>Franklin, KY</v>
      </c>
      <c r="D968" s="187">
        <v>0.09</v>
      </c>
    </row>
    <row r="969" spans="1:4">
      <c r="A969" s="184" t="s">
        <v>535</v>
      </c>
      <c r="B969" s="184" t="s">
        <v>1279</v>
      </c>
      <c r="C969" s="184" t="str">
        <f t="shared" si="15"/>
        <v>Franklin, LA</v>
      </c>
      <c r="D969" s="187">
        <v>0.09</v>
      </c>
    </row>
    <row r="970" spans="1:4">
      <c r="A970" s="184" t="s">
        <v>1228</v>
      </c>
      <c r="B970" s="184" t="s">
        <v>1279</v>
      </c>
      <c r="C970" s="184" t="str">
        <f t="shared" si="15"/>
        <v>Franklin, MA</v>
      </c>
      <c r="D970" s="187">
        <v>5.7000000000000002E-2</v>
      </c>
    </row>
    <row r="971" spans="1:4">
      <c r="A971" s="184" t="s">
        <v>1922</v>
      </c>
      <c r="B971" s="184" t="s">
        <v>1279</v>
      </c>
      <c r="C971" s="184" t="str">
        <f t="shared" si="15"/>
        <v>Franklin, ME</v>
      </c>
      <c r="D971" s="187">
        <v>0.09</v>
      </c>
    </row>
    <row r="972" spans="1:4">
      <c r="A972" s="184" t="s">
        <v>3434</v>
      </c>
      <c r="B972" s="184" t="s">
        <v>1279</v>
      </c>
      <c r="C972" s="184" t="str">
        <f t="shared" si="15"/>
        <v>Franklin, MO</v>
      </c>
      <c r="D972" s="187">
        <v>5.7000000000000002E-2</v>
      </c>
    </row>
    <row r="973" spans="1:4">
      <c r="A973" s="184" t="s">
        <v>3035</v>
      </c>
      <c r="B973" s="184" t="s">
        <v>1279</v>
      </c>
      <c r="C973" s="184" t="str">
        <f t="shared" si="15"/>
        <v>Franklin, MS</v>
      </c>
      <c r="D973" s="187">
        <v>4.3999999999999997E-2</v>
      </c>
    </row>
    <row r="974" spans="1:4">
      <c r="A974" s="184" t="s">
        <v>2542</v>
      </c>
      <c r="B974" s="184" t="s">
        <v>1279</v>
      </c>
      <c r="C974" s="184" t="str">
        <f t="shared" si="15"/>
        <v>Franklin, NC</v>
      </c>
      <c r="D974" s="187">
        <v>6.0999999999999999E-2</v>
      </c>
    </row>
    <row r="975" spans="1:4">
      <c r="A975" s="184" t="s">
        <v>3442</v>
      </c>
      <c r="B975" s="184" t="s">
        <v>1279</v>
      </c>
      <c r="C975" s="184" t="str">
        <f t="shared" si="15"/>
        <v>Franklin, NE</v>
      </c>
      <c r="D975" s="187">
        <v>0.09</v>
      </c>
    </row>
    <row r="976" spans="1:4">
      <c r="A976" s="184" t="s">
        <v>3446</v>
      </c>
      <c r="B976" s="184" t="s">
        <v>1279</v>
      </c>
      <c r="C976" s="184" t="str">
        <f t="shared" si="15"/>
        <v>Franklin, NY</v>
      </c>
      <c r="D976" s="187">
        <v>0.09</v>
      </c>
    </row>
    <row r="977" spans="1:4">
      <c r="A977" s="184" t="s">
        <v>2562</v>
      </c>
      <c r="B977" s="184" t="s">
        <v>1279</v>
      </c>
      <c r="C977" s="184" t="str">
        <f t="shared" si="15"/>
        <v>Franklin, OH</v>
      </c>
      <c r="D977" s="187">
        <v>6.0999999999999999E-2</v>
      </c>
    </row>
    <row r="978" spans="1:4">
      <c r="A978" s="184" t="s">
        <v>3356</v>
      </c>
      <c r="B978" s="184" t="s">
        <v>1279</v>
      </c>
      <c r="C978" s="184" t="str">
        <f t="shared" si="15"/>
        <v>Franklin, PA</v>
      </c>
      <c r="D978" s="187">
        <v>0.09</v>
      </c>
    </row>
    <row r="979" spans="1:4">
      <c r="A979" s="184" t="s">
        <v>699</v>
      </c>
      <c r="B979" s="184" t="s">
        <v>1279</v>
      </c>
      <c r="C979" s="184" t="str">
        <f t="shared" si="15"/>
        <v>Franklin, TN</v>
      </c>
      <c r="D979" s="187">
        <v>0.09</v>
      </c>
    </row>
    <row r="980" spans="1:4">
      <c r="A980" s="184" t="s">
        <v>3906</v>
      </c>
      <c r="B980" s="184" t="s">
        <v>1279</v>
      </c>
      <c r="C980" s="184" t="str">
        <f t="shared" si="15"/>
        <v>Franklin, TX</v>
      </c>
      <c r="D980" s="187">
        <v>4.3999999999999997E-2</v>
      </c>
    </row>
    <row r="981" spans="1:4">
      <c r="A981" s="184" t="s">
        <v>746</v>
      </c>
      <c r="B981" s="184" t="s">
        <v>1279</v>
      </c>
      <c r="C981" s="184" t="str">
        <f t="shared" si="15"/>
        <v>Franklin, VA</v>
      </c>
      <c r="D981" s="187">
        <v>4.3999999999999997E-2</v>
      </c>
    </row>
    <row r="982" spans="1:4">
      <c r="A982" s="184" t="s">
        <v>2509</v>
      </c>
      <c r="B982" s="184" t="s">
        <v>1279</v>
      </c>
      <c r="C982" s="184" t="str">
        <f t="shared" si="15"/>
        <v>Franklin, VT</v>
      </c>
      <c r="D982" s="187">
        <v>0.09</v>
      </c>
    </row>
    <row r="983" spans="1:4">
      <c r="A983" s="184" t="s">
        <v>1278</v>
      </c>
      <c r="B983" s="184" t="s">
        <v>1279</v>
      </c>
      <c r="C983" s="184" t="str">
        <f t="shared" si="15"/>
        <v>Franklin, WA</v>
      </c>
      <c r="D983" s="187">
        <v>0.09</v>
      </c>
    </row>
    <row r="984" spans="1:4">
      <c r="A984" s="184" t="s">
        <v>746</v>
      </c>
      <c r="B984" s="184" t="s">
        <v>3200</v>
      </c>
      <c r="C984" s="184" t="str">
        <f t="shared" si="15"/>
        <v>Franklin City, VA</v>
      </c>
      <c r="D984" s="187">
        <v>4.3999999999999997E-2</v>
      </c>
    </row>
    <row r="985" spans="1:4">
      <c r="A985" s="184" t="s">
        <v>2087</v>
      </c>
      <c r="B985" s="184" t="s">
        <v>2750</v>
      </c>
      <c r="C985" s="184" t="str">
        <f t="shared" si="15"/>
        <v>Frederick, MD</v>
      </c>
      <c r="D985" s="187">
        <v>6.0999999999999999E-2</v>
      </c>
    </row>
    <row r="986" spans="1:4">
      <c r="A986" s="184" t="s">
        <v>746</v>
      </c>
      <c r="B986" s="184" t="s">
        <v>2750</v>
      </c>
      <c r="C986" s="184" t="str">
        <f t="shared" si="15"/>
        <v>Frederick, VA</v>
      </c>
      <c r="D986" s="187">
        <v>4.3999999999999997E-2</v>
      </c>
    </row>
    <row r="987" spans="1:4">
      <c r="A987" s="184" t="s">
        <v>746</v>
      </c>
      <c r="B987" s="184" t="s">
        <v>3542</v>
      </c>
      <c r="C987" s="184" t="str">
        <f t="shared" si="15"/>
        <v>Fredericksburg City, VA</v>
      </c>
      <c r="D987" s="187">
        <v>3.5000000000000003E-2</v>
      </c>
    </row>
    <row r="988" spans="1:4">
      <c r="A988" s="184" t="s">
        <v>3429</v>
      </c>
      <c r="B988" s="184" t="s">
        <v>1484</v>
      </c>
      <c r="C988" s="184" t="str">
        <f t="shared" si="15"/>
        <v>Freeborn, MN</v>
      </c>
      <c r="D988" s="187">
        <v>0.09</v>
      </c>
    </row>
    <row r="989" spans="1:4">
      <c r="A989" s="184" t="s">
        <v>3906</v>
      </c>
      <c r="B989" s="184" t="s">
        <v>2432</v>
      </c>
      <c r="C989" s="184" t="str">
        <f t="shared" si="15"/>
        <v>Freestone, TX</v>
      </c>
      <c r="D989" s="187">
        <v>4.3999999999999997E-2</v>
      </c>
    </row>
    <row r="990" spans="1:4">
      <c r="A990" s="184" t="s">
        <v>3108</v>
      </c>
      <c r="B990" s="184" t="s">
        <v>1153</v>
      </c>
      <c r="C990" s="184" t="str">
        <f t="shared" si="15"/>
        <v>Fremont, CO</v>
      </c>
      <c r="D990" s="187">
        <v>4.3999999999999997E-2</v>
      </c>
    </row>
    <row r="991" spans="1:4">
      <c r="A991" s="184" t="s">
        <v>2031</v>
      </c>
      <c r="B991" s="184" t="s">
        <v>1153</v>
      </c>
      <c r="C991" s="184" t="str">
        <f t="shared" si="15"/>
        <v>Fremont, IA</v>
      </c>
      <c r="D991" s="187">
        <v>0.09</v>
      </c>
    </row>
    <row r="992" spans="1:4">
      <c r="A992" s="184" t="s">
        <v>3875</v>
      </c>
      <c r="B992" s="184" t="s">
        <v>1153</v>
      </c>
      <c r="C992" s="184" t="str">
        <f t="shared" si="15"/>
        <v>Fremont, ID</v>
      </c>
      <c r="D992" s="187">
        <v>4.3999999999999997E-2</v>
      </c>
    </row>
    <row r="993" spans="1:4">
      <c r="A993" s="184" t="s">
        <v>1033</v>
      </c>
      <c r="B993" s="184" t="s">
        <v>1153</v>
      </c>
      <c r="C993" s="184" t="str">
        <f t="shared" si="15"/>
        <v>Fremont, WY</v>
      </c>
      <c r="D993" s="187">
        <v>0.09</v>
      </c>
    </row>
    <row r="994" spans="1:4">
      <c r="A994" s="184" t="s">
        <v>3106</v>
      </c>
      <c r="B994" s="184" t="s">
        <v>932</v>
      </c>
      <c r="C994" s="184" t="str">
        <f t="shared" si="15"/>
        <v>Fresno, CA</v>
      </c>
      <c r="D994" s="187">
        <v>3.5000000000000003E-2</v>
      </c>
    </row>
    <row r="995" spans="1:4">
      <c r="A995" s="184" t="s">
        <v>3906</v>
      </c>
      <c r="B995" s="184" t="s">
        <v>2433</v>
      </c>
      <c r="C995" s="184" t="str">
        <f t="shared" si="15"/>
        <v>Frio, TX</v>
      </c>
      <c r="D995" s="187">
        <v>4.3999999999999997E-2</v>
      </c>
    </row>
    <row r="996" spans="1:4">
      <c r="A996" s="184" t="s">
        <v>3442</v>
      </c>
      <c r="B996" s="184" t="s">
        <v>3247</v>
      </c>
      <c r="C996" s="184" t="str">
        <f t="shared" si="15"/>
        <v>Frontier, NE</v>
      </c>
      <c r="D996" s="187">
        <v>0.09</v>
      </c>
    </row>
    <row r="997" spans="1:4">
      <c r="A997" s="184" t="s">
        <v>566</v>
      </c>
      <c r="B997" s="184" t="s">
        <v>2676</v>
      </c>
      <c r="C997" s="184" t="str">
        <f t="shared" si="15"/>
        <v>Fulton, AR</v>
      </c>
      <c r="D997" s="187">
        <v>5.7000000000000002E-2</v>
      </c>
    </row>
    <row r="998" spans="1:4">
      <c r="A998" s="184" t="s">
        <v>3602</v>
      </c>
      <c r="B998" s="184" t="s">
        <v>2676</v>
      </c>
      <c r="C998" s="184" t="str">
        <f t="shared" si="15"/>
        <v>Fulton, GA</v>
      </c>
      <c r="D998" s="187">
        <v>4.4999999999999998E-2</v>
      </c>
    </row>
    <row r="999" spans="1:4">
      <c r="A999" s="184" t="s">
        <v>2019</v>
      </c>
      <c r="B999" s="184" t="s">
        <v>2676</v>
      </c>
      <c r="C999" s="184" t="str">
        <f t="shared" si="15"/>
        <v>Fulton, IL</v>
      </c>
      <c r="D999" s="187">
        <v>0.09</v>
      </c>
    </row>
    <row r="1000" spans="1:4">
      <c r="A1000" s="184" t="s">
        <v>2021</v>
      </c>
      <c r="B1000" s="184" t="s">
        <v>2676</v>
      </c>
      <c r="C1000" s="184" t="str">
        <f t="shared" si="15"/>
        <v>Fulton, IN</v>
      </c>
      <c r="D1000" s="187">
        <v>0.09</v>
      </c>
    </row>
    <row r="1001" spans="1:4">
      <c r="A1001" s="184" t="s">
        <v>529</v>
      </c>
      <c r="B1001" s="184" t="s">
        <v>2676</v>
      </c>
      <c r="C1001" s="184" t="str">
        <f t="shared" si="15"/>
        <v>Fulton, KY</v>
      </c>
      <c r="D1001" s="187">
        <v>0.09</v>
      </c>
    </row>
    <row r="1002" spans="1:4">
      <c r="A1002" s="184" t="s">
        <v>3446</v>
      </c>
      <c r="B1002" s="184" t="s">
        <v>2676</v>
      </c>
      <c r="C1002" s="184" t="str">
        <f t="shared" si="15"/>
        <v>Fulton, NY</v>
      </c>
      <c r="D1002" s="187">
        <v>5.7000000000000002E-2</v>
      </c>
    </row>
    <row r="1003" spans="1:4">
      <c r="A1003" s="184" t="s">
        <v>2562</v>
      </c>
      <c r="B1003" s="184" t="s">
        <v>2676</v>
      </c>
      <c r="C1003" s="184" t="str">
        <f t="shared" si="15"/>
        <v>Fulton, OH</v>
      </c>
      <c r="D1003" s="187">
        <v>6.0999999999999999E-2</v>
      </c>
    </row>
    <row r="1004" spans="1:4">
      <c r="A1004" s="184" t="s">
        <v>3356</v>
      </c>
      <c r="B1004" s="184" t="s">
        <v>2676</v>
      </c>
      <c r="C1004" s="184" t="str">
        <f t="shared" si="15"/>
        <v>Fulton, PA</v>
      </c>
      <c r="D1004" s="187">
        <v>0.09</v>
      </c>
    </row>
    <row r="1005" spans="1:4">
      <c r="A1005" s="184" t="s">
        <v>3442</v>
      </c>
      <c r="B1005" s="184" t="s">
        <v>3248</v>
      </c>
      <c r="C1005" s="184" t="str">
        <f t="shared" si="15"/>
        <v>Furnas, NE</v>
      </c>
      <c r="D1005" s="187">
        <v>0.09</v>
      </c>
    </row>
    <row r="1006" spans="1:4">
      <c r="A1006" s="184" t="s">
        <v>3594</v>
      </c>
      <c r="B1006" s="184" t="s">
        <v>946</v>
      </c>
      <c r="C1006" s="184" t="str">
        <f t="shared" si="15"/>
        <v>Gadsden, FL</v>
      </c>
      <c r="D1006" s="187">
        <v>3.5000000000000003E-2</v>
      </c>
    </row>
    <row r="1007" spans="1:4">
      <c r="A1007" s="184" t="s">
        <v>3442</v>
      </c>
      <c r="B1007" s="184" t="s">
        <v>3249</v>
      </c>
      <c r="C1007" s="184" t="str">
        <f t="shared" si="15"/>
        <v>Gage, NE</v>
      </c>
      <c r="D1007" s="187">
        <v>0.09</v>
      </c>
    </row>
    <row r="1008" spans="1:4">
      <c r="A1008" s="184" t="s">
        <v>3906</v>
      </c>
      <c r="B1008" s="184" t="s">
        <v>2434</v>
      </c>
      <c r="C1008" s="184" t="str">
        <f t="shared" si="15"/>
        <v>Gaines, TX</v>
      </c>
      <c r="D1008" s="187">
        <v>4.3999999999999997E-2</v>
      </c>
    </row>
    <row r="1009" spans="1:4">
      <c r="A1009" s="184" t="s">
        <v>746</v>
      </c>
      <c r="B1009" s="184" t="s">
        <v>3543</v>
      </c>
      <c r="C1009" s="184" t="str">
        <f t="shared" si="15"/>
        <v>Galax City, VA</v>
      </c>
      <c r="D1009" s="187">
        <v>3.5000000000000003E-2</v>
      </c>
    </row>
    <row r="1010" spans="1:4">
      <c r="A1010" s="184" t="s">
        <v>2019</v>
      </c>
      <c r="B1010" s="184" t="s">
        <v>2342</v>
      </c>
      <c r="C1010" s="184" t="str">
        <f t="shared" si="15"/>
        <v>Gallatin, IL</v>
      </c>
      <c r="D1010" s="187">
        <v>0.09</v>
      </c>
    </row>
    <row r="1011" spans="1:4">
      <c r="A1011" s="184" t="s">
        <v>529</v>
      </c>
      <c r="B1011" s="184" t="s">
        <v>2342</v>
      </c>
      <c r="C1011" s="184" t="str">
        <f t="shared" si="15"/>
        <v>Gallatin, KY</v>
      </c>
      <c r="D1011" s="187">
        <v>6.0999999999999999E-2</v>
      </c>
    </row>
    <row r="1012" spans="1:4">
      <c r="A1012" s="184" t="s">
        <v>3438</v>
      </c>
      <c r="B1012" s="184" t="s">
        <v>2342</v>
      </c>
      <c r="C1012" s="184" t="str">
        <f t="shared" si="15"/>
        <v>Gallatin, MT</v>
      </c>
      <c r="D1012" s="187">
        <v>0.09</v>
      </c>
    </row>
    <row r="1013" spans="1:4">
      <c r="A1013" s="184" t="s">
        <v>2562</v>
      </c>
      <c r="B1013" s="184" t="s">
        <v>3971</v>
      </c>
      <c r="C1013" s="184" t="str">
        <f t="shared" si="15"/>
        <v>Gallia, OH</v>
      </c>
      <c r="D1013" s="187">
        <v>0.09</v>
      </c>
    </row>
    <row r="1014" spans="1:4">
      <c r="A1014" s="184" t="s">
        <v>3906</v>
      </c>
      <c r="B1014" s="184" t="s">
        <v>499</v>
      </c>
      <c r="C1014" s="184" t="str">
        <f t="shared" si="15"/>
        <v>Galveston, TX</v>
      </c>
      <c r="D1014" s="187">
        <v>4.3999999999999997E-2</v>
      </c>
    </row>
    <row r="1015" spans="1:4">
      <c r="A1015" s="184" t="s">
        <v>3442</v>
      </c>
      <c r="B1015" s="184" t="s">
        <v>3250</v>
      </c>
      <c r="C1015" s="184" t="str">
        <f t="shared" si="15"/>
        <v>Garden, NE</v>
      </c>
      <c r="D1015" s="187">
        <v>0.09</v>
      </c>
    </row>
    <row r="1016" spans="1:4">
      <c r="A1016" s="184" t="s">
        <v>3108</v>
      </c>
      <c r="B1016" s="184" t="s">
        <v>3347</v>
      </c>
      <c r="C1016" s="184" t="str">
        <f t="shared" si="15"/>
        <v>Garfield, CO</v>
      </c>
      <c r="D1016" s="187">
        <v>4.3999999999999997E-2</v>
      </c>
    </row>
    <row r="1017" spans="1:4">
      <c r="A1017" s="184" t="s">
        <v>3438</v>
      </c>
      <c r="B1017" s="184" t="s">
        <v>3347</v>
      </c>
      <c r="C1017" s="184" t="str">
        <f t="shared" si="15"/>
        <v>Garfield, MT</v>
      </c>
      <c r="D1017" s="187">
        <v>0.09</v>
      </c>
    </row>
    <row r="1018" spans="1:4">
      <c r="A1018" s="184" t="s">
        <v>3442</v>
      </c>
      <c r="B1018" s="184" t="s">
        <v>3347</v>
      </c>
      <c r="C1018" s="184" t="str">
        <f t="shared" si="15"/>
        <v>Garfield, NE</v>
      </c>
      <c r="D1018" s="187">
        <v>0.09</v>
      </c>
    </row>
    <row r="1019" spans="1:4">
      <c r="A1019" s="184" t="s">
        <v>2573</v>
      </c>
      <c r="B1019" s="184" t="s">
        <v>3347</v>
      </c>
      <c r="C1019" s="184" t="str">
        <f t="shared" si="15"/>
        <v>Garfield, OK</v>
      </c>
      <c r="D1019" s="187">
        <v>0.09</v>
      </c>
    </row>
    <row r="1020" spans="1:4">
      <c r="A1020" s="184" t="s">
        <v>742</v>
      </c>
      <c r="B1020" s="184" t="s">
        <v>3347</v>
      </c>
      <c r="C1020" s="184" t="str">
        <f t="shared" si="15"/>
        <v>Garfield, UT</v>
      </c>
      <c r="D1020" s="187">
        <v>4.3999999999999997E-2</v>
      </c>
    </row>
    <row r="1021" spans="1:4">
      <c r="A1021" s="184" t="s">
        <v>1278</v>
      </c>
      <c r="B1021" s="184" t="s">
        <v>3347</v>
      </c>
      <c r="C1021" s="184" t="str">
        <f t="shared" si="15"/>
        <v>Garfield, WA</v>
      </c>
      <c r="D1021" s="187">
        <v>0.09</v>
      </c>
    </row>
    <row r="1022" spans="1:4">
      <c r="A1022" s="184" t="s">
        <v>566</v>
      </c>
      <c r="B1022" s="184" t="s">
        <v>1211</v>
      </c>
      <c r="C1022" s="184" t="str">
        <f t="shared" si="15"/>
        <v>Garland, AR</v>
      </c>
      <c r="D1022" s="187">
        <v>5.7000000000000002E-2</v>
      </c>
    </row>
    <row r="1023" spans="1:4">
      <c r="A1023" s="184" t="s">
        <v>529</v>
      </c>
      <c r="B1023" s="184" t="s">
        <v>412</v>
      </c>
      <c r="C1023" s="184" t="str">
        <f t="shared" si="15"/>
        <v>Garrard, KY</v>
      </c>
      <c r="D1023" s="187">
        <v>0.09</v>
      </c>
    </row>
    <row r="1024" spans="1:4">
      <c r="A1024" s="184" t="s">
        <v>2087</v>
      </c>
      <c r="B1024" s="184" t="s">
        <v>1224</v>
      </c>
      <c r="C1024" s="184" t="str">
        <f t="shared" si="15"/>
        <v>Garrett, MD</v>
      </c>
      <c r="D1024" s="187">
        <v>0.09</v>
      </c>
    </row>
    <row r="1025" spans="1:4">
      <c r="A1025" s="184" t="s">
        <v>2573</v>
      </c>
      <c r="B1025" s="184" t="s">
        <v>441</v>
      </c>
      <c r="C1025" s="184" t="str">
        <f t="shared" si="15"/>
        <v>Garvin, OK</v>
      </c>
      <c r="D1025" s="187">
        <v>0.09</v>
      </c>
    </row>
    <row r="1026" spans="1:4">
      <c r="A1026" s="184" t="s">
        <v>3906</v>
      </c>
      <c r="B1026" s="184" t="s">
        <v>2435</v>
      </c>
      <c r="C1026" s="184" t="str">
        <f t="shared" si="15"/>
        <v>Garza, TX</v>
      </c>
      <c r="D1026" s="187">
        <v>4.3999999999999997E-2</v>
      </c>
    </row>
    <row r="1027" spans="1:4">
      <c r="A1027" s="184" t="s">
        <v>3434</v>
      </c>
      <c r="B1027" s="184" t="s">
        <v>313</v>
      </c>
      <c r="C1027" s="184" t="str">
        <f t="shared" si="15"/>
        <v>Gasconade, MO</v>
      </c>
      <c r="D1027" s="187">
        <v>5.7000000000000002E-2</v>
      </c>
    </row>
    <row r="1028" spans="1:4">
      <c r="A1028" s="184" t="s">
        <v>2542</v>
      </c>
      <c r="B1028" s="184" t="s">
        <v>34</v>
      </c>
      <c r="C1028" s="184" t="str">
        <f t="shared" si="15"/>
        <v>Gaston, NC</v>
      </c>
      <c r="D1028" s="187">
        <v>5.7000000000000002E-2</v>
      </c>
    </row>
    <row r="1029" spans="1:4">
      <c r="A1029" s="184" t="s">
        <v>2542</v>
      </c>
      <c r="B1029" s="184" t="s">
        <v>3259</v>
      </c>
      <c r="C1029" s="184" t="str">
        <f t="shared" si="15"/>
        <v>Gates, NC</v>
      </c>
      <c r="D1029" s="187">
        <v>4.3999999999999997E-2</v>
      </c>
    </row>
    <row r="1030" spans="1:4">
      <c r="A1030" s="184" t="s">
        <v>663</v>
      </c>
      <c r="B1030" s="184" t="s">
        <v>1436</v>
      </c>
      <c r="C1030" s="184" t="str">
        <f t="shared" ref="C1030:C1093" si="16">B1030&amp;", "&amp;A1030</f>
        <v>Geary, KS</v>
      </c>
      <c r="D1030" s="187">
        <v>0.09</v>
      </c>
    </row>
    <row r="1031" spans="1:4">
      <c r="A1031" s="184" t="s">
        <v>2562</v>
      </c>
      <c r="B1031" s="184" t="s">
        <v>2677</v>
      </c>
      <c r="C1031" s="184" t="str">
        <f t="shared" si="16"/>
        <v>Geauga, OH</v>
      </c>
      <c r="D1031" s="187">
        <v>6.0999999999999999E-2</v>
      </c>
    </row>
    <row r="1032" spans="1:4">
      <c r="A1032" s="184" t="s">
        <v>3875</v>
      </c>
      <c r="B1032" s="184" t="s">
        <v>1263</v>
      </c>
      <c r="C1032" s="184" t="str">
        <f t="shared" si="16"/>
        <v>Gem, ID</v>
      </c>
      <c r="D1032" s="187">
        <v>4.3999999999999997E-2</v>
      </c>
    </row>
    <row r="1033" spans="1:4">
      <c r="A1033" s="184" t="s">
        <v>2090</v>
      </c>
      <c r="B1033" s="184" t="s">
        <v>2093</v>
      </c>
      <c r="C1033" s="184" t="str">
        <f t="shared" si="16"/>
        <v>Genesee, MI</v>
      </c>
      <c r="D1033" s="187">
        <v>0.09</v>
      </c>
    </row>
    <row r="1034" spans="1:4">
      <c r="A1034" s="184" t="s">
        <v>3446</v>
      </c>
      <c r="B1034" s="184" t="s">
        <v>2093</v>
      </c>
      <c r="C1034" s="184" t="str">
        <f t="shared" si="16"/>
        <v>Genesee, NY</v>
      </c>
      <c r="D1034" s="187">
        <v>3.5000000000000003E-2</v>
      </c>
    </row>
    <row r="1035" spans="1:4">
      <c r="A1035" s="184" t="s">
        <v>2000</v>
      </c>
      <c r="B1035" s="184" t="s">
        <v>3891</v>
      </c>
      <c r="C1035" s="184" t="str">
        <f t="shared" si="16"/>
        <v>Geneva, AL</v>
      </c>
      <c r="D1035" s="187">
        <v>0.09</v>
      </c>
    </row>
    <row r="1036" spans="1:4">
      <c r="A1036" s="184" t="s">
        <v>3434</v>
      </c>
      <c r="B1036" s="184" t="s">
        <v>2779</v>
      </c>
      <c r="C1036" s="184" t="str">
        <f t="shared" si="16"/>
        <v>Gentry, MO</v>
      </c>
      <c r="D1036" s="187">
        <v>0.09</v>
      </c>
    </row>
    <row r="1037" spans="1:4">
      <c r="A1037" s="184" t="s">
        <v>3035</v>
      </c>
      <c r="B1037" s="184" t="s">
        <v>1928</v>
      </c>
      <c r="C1037" s="184" t="str">
        <f t="shared" si="16"/>
        <v>George, MS</v>
      </c>
      <c r="D1037" s="187">
        <v>4.3999999999999997E-2</v>
      </c>
    </row>
    <row r="1038" spans="1:4">
      <c r="A1038" s="184" t="s">
        <v>1942</v>
      </c>
      <c r="B1038" s="184" t="s">
        <v>74</v>
      </c>
      <c r="C1038" s="184" t="str">
        <f t="shared" si="16"/>
        <v>Georgetown, SC</v>
      </c>
      <c r="D1038" s="187">
        <v>4.3999999999999997E-2</v>
      </c>
    </row>
    <row r="1039" spans="1:4">
      <c r="A1039" s="184" t="s">
        <v>2021</v>
      </c>
      <c r="B1039" s="184" t="s">
        <v>2829</v>
      </c>
      <c r="C1039" s="184" t="str">
        <f t="shared" si="16"/>
        <v>Gibson, IN</v>
      </c>
      <c r="D1039" s="187">
        <v>0.09</v>
      </c>
    </row>
    <row r="1040" spans="1:4">
      <c r="A1040" s="184" t="s">
        <v>699</v>
      </c>
      <c r="B1040" s="184" t="s">
        <v>2829</v>
      </c>
      <c r="C1040" s="184" t="str">
        <f t="shared" si="16"/>
        <v>Gibson, TN</v>
      </c>
      <c r="D1040" s="187">
        <v>0.09</v>
      </c>
    </row>
    <row r="1041" spans="1:4">
      <c r="A1041" s="184" t="s">
        <v>562</v>
      </c>
      <c r="B1041" s="184" t="s">
        <v>2990</v>
      </c>
      <c r="C1041" s="184" t="str">
        <f t="shared" si="16"/>
        <v>Gila, AZ</v>
      </c>
      <c r="D1041" s="187">
        <v>4.3999999999999997E-2</v>
      </c>
    </row>
    <row r="1042" spans="1:4">
      <c r="A1042" s="184" t="s">
        <v>3594</v>
      </c>
      <c r="B1042" s="184" t="s">
        <v>1187</v>
      </c>
      <c r="C1042" s="184" t="str">
        <f t="shared" si="16"/>
        <v>Gilchrist, FL</v>
      </c>
      <c r="D1042" s="187">
        <v>4.3999999999999997E-2</v>
      </c>
    </row>
    <row r="1043" spans="1:4">
      <c r="A1043" s="184" t="s">
        <v>699</v>
      </c>
      <c r="B1043" s="184" t="s">
        <v>1741</v>
      </c>
      <c r="C1043" s="184" t="str">
        <f t="shared" si="16"/>
        <v>Giles, TN</v>
      </c>
      <c r="D1043" s="187">
        <v>0.09</v>
      </c>
    </row>
    <row r="1044" spans="1:4">
      <c r="A1044" s="184" t="s">
        <v>746</v>
      </c>
      <c r="B1044" s="184" t="s">
        <v>1741</v>
      </c>
      <c r="C1044" s="184" t="str">
        <f t="shared" si="16"/>
        <v>Giles, VA</v>
      </c>
      <c r="D1044" s="187">
        <v>4.3999999999999997E-2</v>
      </c>
    </row>
    <row r="1045" spans="1:4">
      <c r="A1045" s="184" t="s">
        <v>3906</v>
      </c>
      <c r="B1045" s="184" t="s">
        <v>2436</v>
      </c>
      <c r="C1045" s="184" t="str">
        <f t="shared" si="16"/>
        <v>Gillespie, TX</v>
      </c>
      <c r="D1045" s="187">
        <v>4.3999999999999997E-2</v>
      </c>
    </row>
    <row r="1046" spans="1:4">
      <c r="A1046" s="184" t="s">
        <v>3353</v>
      </c>
      <c r="B1046" s="184" t="s">
        <v>2261</v>
      </c>
      <c r="C1046" s="184" t="str">
        <f t="shared" si="16"/>
        <v>Gilliam, OR</v>
      </c>
      <c r="D1046" s="187">
        <v>0.09</v>
      </c>
    </row>
    <row r="1047" spans="1:4">
      <c r="A1047" s="184" t="s">
        <v>3602</v>
      </c>
      <c r="B1047" s="184" t="s">
        <v>217</v>
      </c>
      <c r="C1047" s="184" t="str">
        <f t="shared" si="16"/>
        <v>Gilmer, GA</v>
      </c>
      <c r="D1047" s="187">
        <v>4.3999999999999997E-2</v>
      </c>
    </row>
    <row r="1048" spans="1:4">
      <c r="A1048" s="184" t="s">
        <v>542</v>
      </c>
      <c r="B1048" s="184" t="s">
        <v>217</v>
      </c>
      <c r="C1048" s="184" t="str">
        <f t="shared" si="16"/>
        <v>Gilmer, WV</v>
      </c>
      <c r="D1048" s="187">
        <v>0.09</v>
      </c>
    </row>
    <row r="1049" spans="1:4">
      <c r="A1049" s="184" t="s">
        <v>3108</v>
      </c>
      <c r="B1049" s="184" t="s">
        <v>1154</v>
      </c>
      <c r="C1049" s="184" t="str">
        <f t="shared" si="16"/>
        <v>Gilpin, CO</v>
      </c>
      <c r="D1049" s="187">
        <v>4.3999999999999997E-2</v>
      </c>
    </row>
    <row r="1050" spans="1:4">
      <c r="A1050" s="184" t="s">
        <v>3438</v>
      </c>
      <c r="B1050" s="184" t="s">
        <v>2809</v>
      </c>
      <c r="C1050" s="184" t="str">
        <f t="shared" si="16"/>
        <v>Glacier, MT</v>
      </c>
      <c r="D1050" s="187">
        <v>0.09</v>
      </c>
    </row>
    <row r="1051" spans="1:4">
      <c r="A1051" s="184" t="s">
        <v>3594</v>
      </c>
      <c r="B1051" s="184" t="s">
        <v>1188</v>
      </c>
      <c r="C1051" s="184" t="str">
        <f t="shared" si="16"/>
        <v>Glades, FL</v>
      </c>
      <c r="D1051" s="187">
        <v>4.3999999999999997E-2</v>
      </c>
    </row>
    <row r="1052" spans="1:4">
      <c r="A1052" s="184" t="s">
        <v>2090</v>
      </c>
      <c r="B1052" s="184" t="s">
        <v>641</v>
      </c>
      <c r="C1052" s="184" t="str">
        <f t="shared" si="16"/>
        <v>Gladwin, MI</v>
      </c>
      <c r="D1052" s="187">
        <v>0.09</v>
      </c>
    </row>
    <row r="1053" spans="1:4">
      <c r="A1053" s="184" t="s">
        <v>3602</v>
      </c>
      <c r="B1053" s="184" t="s">
        <v>218</v>
      </c>
      <c r="C1053" s="184" t="str">
        <f t="shared" si="16"/>
        <v>Glascock, GA</v>
      </c>
      <c r="D1053" s="187">
        <v>4.3999999999999997E-2</v>
      </c>
    </row>
    <row r="1054" spans="1:4">
      <c r="A1054" s="184" t="s">
        <v>3906</v>
      </c>
      <c r="B1054" s="184" t="s">
        <v>2437</v>
      </c>
      <c r="C1054" s="184" t="str">
        <f t="shared" si="16"/>
        <v>Glasscock, TX</v>
      </c>
      <c r="D1054" s="187">
        <v>4.3999999999999997E-2</v>
      </c>
    </row>
    <row r="1055" spans="1:4">
      <c r="A1055" s="184" t="s">
        <v>3106</v>
      </c>
      <c r="B1055" s="184" t="s">
        <v>3405</v>
      </c>
      <c r="C1055" s="184" t="str">
        <f t="shared" si="16"/>
        <v>Glenn, CA</v>
      </c>
      <c r="D1055" s="187">
        <v>5.7000000000000002E-2</v>
      </c>
    </row>
    <row r="1056" spans="1:4">
      <c r="A1056" s="184" t="s">
        <v>3444</v>
      </c>
      <c r="B1056" s="184" t="s">
        <v>3613</v>
      </c>
      <c r="C1056" s="184" t="str">
        <f t="shared" si="16"/>
        <v>Gloucester, NJ</v>
      </c>
      <c r="D1056" s="187">
        <v>6.0999999999999999E-2</v>
      </c>
    </row>
    <row r="1057" spans="1:4">
      <c r="A1057" s="184" t="s">
        <v>746</v>
      </c>
      <c r="B1057" s="184" t="s">
        <v>3613</v>
      </c>
      <c r="C1057" s="184" t="str">
        <f t="shared" si="16"/>
        <v>Gloucester, VA</v>
      </c>
      <c r="D1057" s="187">
        <v>6.0999999999999999E-2</v>
      </c>
    </row>
    <row r="1058" spans="1:4">
      <c r="A1058" s="184" t="s">
        <v>3602</v>
      </c>
      <c r="B1058" s="184" t="s">
        <v>219</v>
      </c>
      <c r="C1058" s="184" t="str">
        <f t="shared" si="16"/>
        <v>Glynn, GA</v>
      </c>
      <c r="D1058" s="187">
        <v>4.3999999999999997E-2</v>
      </c>
    </row>
    <row r="1059" spans="1:4">
      <c r="A1059" s="184" t="s">
        <v>2090</v>
      </c>
      <c r="B1059" s="184" t="s">
        <v>642</v>
      </c>
      <c r="C1059" s="184" t="str">
        <f t="shared" si="16"/>
        <v>Gogebic, MI</v>
      </c>
      <c r="D1059" s="187">
        <v>0.09</v>
      </c>
    </row>
    <row r="1060" spans="1:4">
      <c r="A1060" s="184" t="s">
        <v>3438</v>
      </c>
      <c r="B1060" s="184" t="s">
        <v>2810</v>
      </c>
      <c r="C1060" s="184" t="str">
        <f t="shared" si="16"/>
        <v>Golden Valley, MT</v>
      </c>
      <c r="D1060" s="187">
        <v>0.09</v>
      </c>
    </row>
    <row r="1061" spans="1:4">
      <c r="A1061" s="184" t="s">
        <v>2558</v>
      </c>
      <c r="B1061" s="184" t="s">
        <v>2810</v>
      </c>
      <c r="C1061" s="184" t="str">
        <f t="shared" si="16"/>
        <v>Golden Valley, ND</v>
      </c>
      <c r="D1061" s="187">
        <v>0.09</v>
      </c>
    </row>
    <row r="1062" spans="1:4">
      <c r="A1062" s="184" t="s">
        <v>3906</v>
      </c>
      <c r="B1062" s="184" t="s">
        <v>2438</v>
      </c>
      <c r="C1062" s="184" t="str">
        <f t="shared" si="16"/>
        <v>Goliad, TX</v>
      </c>
      <c r="D1062" s="187">
        <v>4.3999999999999997E-2</v>
      </c>
    </row>
    <row r="1063" spans="1:4">
      <c r="A1063" s="184" t="s">
        <v>3906</v>
      </c>
      <c r="B1063" s="184" t="s">
        <v>2439</v>
      </c>
      <c r="C1063" s="184" t="str">
        <f t="shared" si="16"/>
        <v>Gonzales, TX</v>
      </c>
      <c r="D1063" s="187">
        <v>4.3999999999999997E-2</v>
      </c>
    </row>
    <row r="1064" spans="1:4">
      <c r="A1064" s="184" t="s">
        <v>746</v>
      </c>
      <c r="B1064" s="184" t="s">
        <v>2900</v>
      </c>
      <c r="C1064" s="184" t="str">
        <f t="shared" si="16"/>
        <v>Goochland, VA</v>
      </c>
      <c r="D1064" s="187">
        <v>6.0999999999999999E-2</v>
      </c>
    </row>
    <row r="1065" spans="1:4">
      <c r="A1065" s="184" t="s">
        <v>3429</v>
      </c>
      <c r="B1065" s="184" t="s">
        <v>1485</v>
      </c>
      <c r="C1065" s="184" t="str">
        <f t="shared" si="16"/>
        <v>Goodhue, MN</v>
      </c>
      <c r="D1065" s="187">
        <v>0.09</v>
      </c>
    </row>
    <row r="1066" spans="1:4">
      <c r="A1066" s="184" t="s">
        <v>3875</v>
      </c>
      <c r="B1066" s="184" t="s">
        <v>1264</v>
      </c>
      <c r="C1066" s="184" t="str">
        <f t="shared" si="16"/>
        <v>Gooding, ID</v>
      </c>
      <c r="D1066" s="187">
        <v>4.3999999999999997E-2</v>
      </c>
    </row>
    <row r="1067" spans="1:4">
      <c r="A1067" s="184" t="s">
        <v>3602</v>
      </c>
      <c r="B1067" s="184" t="s">
        <v>220</v>
      </c>
      <c r="C1067" s="184" t="str">
        <f t="shared" si="16"/>
        <v>Gordon, GA</v>
      </c>
      <c r="D1067" s="187">
        <v>4.3999999999999997E-2</v>
      </c>
    </row>
    <row r="1068" spans="1:4">
      <c r="A1068" s="184" t="s">
        <v>1033</v>
      </c>
      <c r="B1068" s="184" t="s">
        <v>868</v>
      </c>
      <c r="C1068" s="184" t="str">
        <f t="shared" si="16"/>
        <v>Goshen, WY</v>
      </c>
      <c r="D1068" s="187">
        <v>0.09</v>
      </c>
    </row>
    <row r="1069" spans="1:4">
      <c r="A1069" s="184" t="s">
        <v>3442</v>
      </c>
      <c r="B1069" s="184" t="s">
        <v>3251</v>
      </c>
      <c r="C1069" s="184" t="str">
        <f t="shared" si="16"/>
        <v>Gosper, NE</v>
      </c>
      <c r="D1069" s="187">
        <v>0.09</v>
      </c>
    </row>
    <row r="1070" spans="1:4">
      <c r="A1070" s="184" t="s">
        <v>663</v>
      </c>
      <c r="B1070" s="184" t="s">
        <v>1437</v>
      </c>
      <c r="C1070" s="184" t="str">
        <f t="shared" si="16"/>
        <v>Gove, KS</v>
      </c>
      <c r="D1070" s="187">
        <v>0.09</v>
      </c>
    </row>
    <row r="1071" spans="1:4">
      <c r="A1071" s="184" t="s">
        <v>3602</v>
      </c>
      <c r="B1071" s="184" t="s">
        <v>221</v>
      </c>
      <c r="C1071" s="184" t="str">
        <f t="shared" si="16"/>
        <v>Grady, GA</v>
      </c>
      <c r="D1071" s="187">
        <v>4.3999999999999997E-2</v>
      </c>
    </row>
    <row r="1072" spans="1:4">
      <c r="A1072" s="184" t="s">
        <v>2573</v>
      </c>
      <c r="B1072" s="184" t="s">
        <v>221</v>
      </c>
      <c r="C1072" s="184" t="str">
        <f t="shared" si="16"/>
        <v>Grady, OK</v>
      </c>
      <c r="D1072" s="187">
        <v>0.09</v>
      </c>
    </row>
    <row r="1073" spans="1:4">
      <c r="A1073" s="184" t="s">
        <v>2868</v>
      </c>
      <c r="B1073" s="184" t="s">
        <v>2870</v>
      </c>
      <c r="C1073" s="184" t="str">
        <f t="shared" si="16"/>
        <v>Grafton, NH</v>
      </c>
      <c r="D1073" s="187">
        <v>0.09</v>
      </c>
    </row>
    <row r="1074" spans="1:4">
      <c r="A1074" s="184" t="s">
        <v>562</v>
      </c>
      <c r="B1074" s="184" t="s">
        <v>2991</v>
      </c>
      <c r="C1074" s="184" t="str">
        <f t="shared" si="16"/>
        <v>Graham, AZ</v>
      </c>
      <c r="D1074" s="187">
        <v>4.3999999999999997E-2</v>
      </c>
    </row>
    <row r="1075" spans="1:4">
      <c r="A1075" s="184" t="s">
        <v>663</v>
      </c>
      <c r="B1075" s="184" t="s">
        <v>2991</v>
      </c>
      <c r="C1075" s="184" t="str">
        <f t="shared" si="16"/>
        <v>Graham, KS</v>
      </c>
      <c r="D1075" s="187">
        <v>0.09</v>
      </c>
    </row>
    <row r="1076" spans="1:4">
      <c r="A1076" s="184" t="s">
        <v>2542</v>
      </c>
      <c r="B1076" s="184" t="s">
        <v>2991</v>
      </c>
      <c r="C1076" s="184" t="str">
        <f t="shared" si="16"/>
        <v>Graham, NC</v>
      </c>
      <c r="D1076" s="187">
        <v>4.3999999999999997E-2</v>
      </c>
    </row>
    <row r="1077" spans="1:4">
      <c r="A1077" s="184" t="s">
        <v>699</v>
      </c>
      <c r="B1077" s="184" t="s">
        <v>1742</v>
      </c>
      <c r="C1077" s="184" t="str">
        <f t="shared" si="16"/>
        <v>Grainger, TN</v>
      </c>
      <c r="D1077" s="187">
        <v>0.09</v>
      </c>
    </row>
    <row r="1078" spans="1:4">
      <c r="A1078" s="184" t="s">
        <v>3108</v>
      </c>
      <c r="B1078" s="184" t="s">
        <v>1155</v>
      </c>
      <c r="C1078" s="184" t="str">
        <f t="shared" si="16"/>
        <v>Grand, CO</v>
      </c>
      <c r="D1078" s="187">
        <v>4.3999999999999997E-2</v>
      </c>
    </row>
    <row r="1079" spans="1:4">
      <c r="A1079" s="184" t="s">
        <v>742</v>
      </c>
      <c r="B1079" s="184" t="s">
        <v>1155</v>
      </c>
      <c r="C1079" s="184" t="str">
        <f t="shared" si="16"/>
        <v>Grand, UT</v>
      </c>
      <c r="D1079" s="187">
        <v>4.3999999999999997E-2</v>
      </c>
    </row>
    <row r="1080" spans="1:4">
      <c r="A1080" s="184" t="s">
        <v>2558</v>
      </c>
      <c r="B1080" s="184" t="s">
        <v>2560</v>
      </c>
      <c r="C1080" s="184" t="str">
        <f t="shared" si="16"/>
        <v>Grand Forks, ND</v>
      </c>
      <c r="D1080" s="187">
        <v>0.09</v>
      </c>
    </row>
    <row r="1081" spans="1:4">
      <c r="A1081" s="184" t="s">
        <v>2509</v>
      </c>
      <c r="B1081" s="184" t="s">
        <v>2513</v>
      </c>
      <c r="C1081" s="184" t="str">
        <f t="shared" si="16"/>
        <v>Grand Isle, VT</v>
      </c>
      <c r="D1081" s="187">
        <v>0.09</v>
      </c>
    </row>
    <row r="1082" spans="1:4">
      <c r="A1082" s="184" t="s">
        <v>2090</v>
      </c>
      <c r="B1082" s="184" t="s">
        <v>643</v>
      </c>
      <c r="C1082" s="184" t="str">
        <f t="shared" si="16"/>
        <v>Grand Traverse, MI</v>
      </c>
      <c r="D1082" s="187">
        <v>0.09</v>
      </c>
    </row>
    <row r="1083" spans="1:4">
      <c r="A1083" s="184" t="s">
        <v>3438</v>
      </c>
      <c r="B1083" s="184" t="s">
        <v>2811</v>
      </c>
      <c r="C1083" s="184" t="str">
        <f t="shared" si="16"/>
        <v>Granite, MT</v>
      </c>
      <c r="D1083" s="187">
        <v>0.09</v>
      </c>
    </row>
    <row r="1084" spans="1:4">
      <c r="A1084" s="184" t="s">
        <v>566</v>
      </c>
      <c r="B1084" s="184" t="s">
        <v>2343</v>
      </c>
      <c r="C1084" s="184" t="str">
        <f t="shared" si="16"/>
        <v>Grant, AR</v>
      </c>
      <c r="D1084" s="187">
        <v>4.3999999999999997E-2</v>
      </c>
    </row>
    <row r="1085" spans="1:4">
      <c r="A1085" s="184" t="s">
        <v>2021</v>
      </c>
      <c r="B1085" s="184" t="s">
        <v>2343</v>
      </c>
      <c r="C1085" s="184" t="str">
        <f t="shared" si="16"/>
        <v>Grant, IN</v>
      </c>
      <c r="D1085" s="187">
        <v>0.09</v>
      </c>
    </row>
    <row r="1086" spans="1:4">
      <c r="A1086" s="184" t="s">
        <v>663</v>
      </c>
      <c r="B1086" s="184" t="s">
        <v>2343</v>
      </c>
      <c r="C1086" s="184" t="str">
        <f t="shared" si="16"/>
        <v>Grant, KS</v>
      </c>
      <c r="D1086" s="187">
        <v>0.09</v>
      </c>
    </row>
    <row r="1087" spans="1:4">
      <c r="A1087" s="184" t="s">
        <v>529</v>
      </c>
      <c r="B1087" s="184" t="s">
        <v>2343</v>
      </c>
      <c r="C1087" s="184" t="str">
        <f t="shared" si="16"/>
        <v>Grant, KY</v>
      </c>
      <c r="D1087" s="187">
        <v>6.0999999999999999E-2</v>
      </c>
    </row>
    <row r="1088" spans="1:4">
      <c r="A1088" s="184" t="s">
        <v>535</v>
      </c>
      <c r="B1088" s="184" t="s">
        <v>2343</v>
      </c>
      <c r="C1088" s="184" t="str">
        <f t="shared" si="16"/>
        <v>Grant, LA</v>
      </c>
      <c r="D1088" s="187">
        <v>0.09</v>
      </c>
    </row>
    <row r="1089" spans="1:4">
      <c r="A1089" s="184" t="s">
        <v>3429</v>
      </c>
      <c r="B1089" s="184" t="s">
        <v>2343</v>
      </c>
      <c r="C1089" s="184" t="str">
        <f t="shared" si="16"/>
        <v>Grant, MN</v>
      </c>
      <c r="D1089" s="187">
        <v>0.09</v>
      </c>
    </row>
    <row r="1090" spans="1:4">
      <c r="A1090" s="184" t="s">
        <v>2558</v>
      </c>
      <c r="B1090" s="184" t="s">
        <v>2343</v>
      </c>
      <c r="C1090" s="184" t="str">
        <f t="shared" si="16"/>
        <v>Grant, ND</v>
      </c>
      <c r="D1090" s="187">
        <v>0.09</v>
      </c>
    </row>
    <row r="1091" spans="1:4">
      <c r="A1091" s="184" t="s">
        <v>3442</v>
      </c>
      <c r="B1091" s="184" t="s">
        <v>2343</v>
      </c>
      <c r="C1091" s="184" t="str">
        <f t="shared" si="16"/>
        <v>Grant, NE</v>
      </c>
      <c r="D1091" s="187">
        <v>0.09</v>
      </c>
    </row>
    <row r="1092" spans="1:4">
      <c r="A1092" s="184" t="s">
        <v>3622</v>
      </c>
      <c r="B1092" s="184" t="s">
        <v>2343</v>
      </c>
      <c r="C1092" s="184" t="str">
        <f t="shared" si="16"/>
        <v>Grant, NM</v>
      </c>
      <c r="D1092" s="187">
        <v>5.7000000000000002E-2</v>
      </c>
    </row>
    <row r="1093" spans="1:4">
      <c r="A1093" s="184" t="s">
        <v>2573</v>
      </c>
      <c r="B1093" s="184" t="s">
        <v>2343</v>
      </c>
      <c r="C1093" s="184" t="str">
        <f t="shared" si="16"/>
        <v>Grant, OK</v>
      </c>
      <c r="D1093" s="187">
        <v>0.09</v>
      </c>
    </row>
    <row r="1094" spans="1:4">
      <c r="A1094" s="184" t="s">
        <v>3353</v>
      </c>
      <c r="B1094" s="184" t="s">
        <v>2343</v>
      </c>
      <c r="C1094" s="184" t="str">
        <f t="shared" ref="C1094:C1157" si="17">B1094&amp;", "&amp;A1094</f>
        <v>Grant, OR</v>
      </c>
      <c r="D1094" s="187">
        <v>0.09</v>
      </c>
    </row>
    <row r="1095" spans="1:4">
      <c r="A1095" s="184" t="s">
        <v>1944</v>
      </c>
      <c r="B1095" s="184" t="s">
        <v>2343</v>
      </c>
      <c r="C1095" s="184" t="str">
        <f t="shared" si="17"/>
        <v>Grant, SD</v>
      </c>
      <c r="D1095" s="187">
        <v>4.3999999999999997E-2</v>
      </c>
    </row>
    <row r="1096" spans="1:4">
      <c r="A1096" s="184" t="s">
        <v>1278</v>
      </c>
      <c r="B1096" s="184" t="s">
        <v>2343</v>
      </c>
      <c r="C1096" s="184" t="str">
        <f t="shared" si="17"/>
        <v>Grant, WA</v>
      </c>
      <c r="D1096" s="187">
        <v>0.09</v>
      </c>
    </row>
    <row r="1097" spans="1:4">
      <c r="A1097" s="184" t="s">
        <v>550</v>
      </c>
      <c r="B1097" s="184" t="s">
        <v>2343</v>
      </c>
      <c r="C1097" s="184" t="str">
        <f t="shared" si="17"/>
        <v>Grant, WI</v>
      </c>
      <c r="D1097" s="187">
        <v>0.09</v>
      </c>
    </row>
    <row r="1098" spans="1:4">
      <c r="A1098" s="184" t="s">
        <v>542</v>
      </c>
      <c r="B1098" s="184" t="s">
        <v>2343</v>
      </c>
      <c r="C1098" s="184" t="str">
        <f t="shared" si="17"/>
        <v>Grant, WV</v>
      </c>
      <c r="D1098" s="187">
        <v>0.09</v>
      </c>
    </row>
    <row r="1099" spans="1:4">
      <c r="A1099" s="184" t="s">
        <v>2542</v>
      </c>
      <c r="B1099" s="184" t="s">
        <v>3260</v>
      </c>
      <c r="C1099" s="184" t="str">
        <f t="shared" si="17"/>
        <v>Granville, NC</v>
      </c>
      <c r="D1099" s="187">
        <v>4.3999999999999997E-2</v>
      </c>
    </row>
    <row r="1100" spans="1:4">
      <c r="A1100" s="184" t="s">
        <v>2090</v>
      </c>
      <c r="B1100" s="184" t="s">
        <v>644</v>
      </c>
      <c r="C1100" s="184" t="str">
        <f t="shared" si="17"/>
        <v>Gratiot, MI</v>
      </c>
      <c r="D1100" s="187">
        <v>0.09</v>
      </c>
    </row>
    <row r="1101" spans="1:4">
      <c r="A1101" s="184" t="s">
        <v>529</v>
      </c>
      <c r="B1101" s="184" t="s">
        <v>413</v>
      </c>
      <c r="C1101" s="184" t="str">
        <f t="shared" si="17"/>
        <v>Graves, KY</v>
      </c>
      <c r="D1101" s="187">
        <v>0.09</v>
      </c>
    </row>
    <row r="1102" spans="1:4">
      <c r="A1102" s="184" t="s">
        <v>663</v>
      </c>
      <c r="B1102" s="184" t="s">
        <v>1438</v>
      </c>
      <c r="C1102" s="184" t="str">
        <f t="shared" si="17"/>
        <v>Gray, KS</v>
      </c>
      <c r="D1102" s="187">
        <v>0.09</v>
      </c>
    </row>
    <row r="1103" spans="1:4">
      <c r="A1103" s="184" t="s">
        <v>3906</v>
      </c>
      <c r="B1103" s="184" t="s">
        <v>1438</v>
      </c>
      <c r="C1103" s="184" t="str">
        <f t="shared" si="17"/>
        <v>Gray, TX</v>
      </c>
      <c r="D1103" s="187">
        <v>4.3999999999999997E-2</v>
      </c>
    </row>
    <row r="1104" spans="1:4">
      <c r="A1104" s="184" t="s">
        <v>1278</v>
      </c>
      <c r="B1104" s="184" t="s">
        <v>3317</v>
      </c>
      <c r="C1104" s="184" t="str">
        <f t="shared" si="17"/>
        <v>Grays Harbor, WA</v>
      </c>
      <c r="D1104" s="187">
        <v>0.09</v>
      </c>
    </row>
    <row r="1105" spans="1:4">
      <c r="A1105" s="184" t="s">
        <v>529</v>
      </c>
      <c r="B1105" s="184" t="s">
        <v>500</v>
      </c>
      <c r="C1105" s="184" t="str">
        <f t="shared" si="17"/>
        <v>Grayson, KY</v>
      </c>
      <c r="D1105" s="187">
        <v>0.09</v>
      </c>
    </row>
    <row r="1106" spans="1:4">
      <c r="A1106" s="184" t="s">
        <v>3906</v>
      </c>
      <c r="B1106" s="184" t="s">
        <v>500</v>
      </c>
      <c r="C1106" s="184" t="str">
        <f t="shared" si="17"/>
        <v>Grayson, TX</v>
      </c>
      <c r="D1106" s="187">
        <v>4.3999999999999997E-2</v>
      </c>
    </row>
    <row r="1107" spans="1:4">
      <c r="A1107" s="184" t="s">
        <v>746</v>
      </c>
      <c r="B1107" s="184" t="s">
        <v>500</v>
      </c>
      <c r="C1107" s="184" t="str">
        <f t="shared" si="17"/>
        <v>Grayson, VA</v>
      </c>
      <c r="D1107" s="187">
        <v>4.3999999999999997E-2</v>
      </c>
    </row>
    <row r="1108" spans="1:4">
      <c r="A1108" s="184" t="s">
        <v>663</v>
      </c>
      <c r="B1108" s="184" t="s">
        <v>1439</v>
      </c>
      <c r="C1108" s="184" t="str">
        <f t="shared" si="17"/>
        <v>Greeley, KS</v>
      </c>
      <c r="D1108" s="187">
        <v>0.09</v>
      </c>
    </row>
    <row r="1109" spans="1:4">
      <c r="A1109" s="184" t="s">
        <v>3442</v>
      </c>
      <c r="B1109" s="184" t="s">
        <v>1439</v>
      </c>
      <c r="C1109" s="184" t="str">
        <f t="shared" si="17"/>
        <v>Greeley, NE</v>
      </c>
      <c r="D1109" s="187">
        <v>0.09</v>
      </c>
    </row>
    <row r="1110" spans="1:4">
      <c r="A1110" s="184" t="s">
        <v>529</v>
      </c>
      <c r="B1110" s="184" t="s">
        <v>414</v>
      </c>
      <c r="C1110" s="184" t="str">
        <f t="shared" si="17"/>
        <v>Green, KY</v>
      </c>
      <c r="D1110" s="187">
        <v>0.09</v>
      </c>
    </row>
    <row r="1111" spans="1:4">
      <c r="A1111" s="184" t="s">
        <v>550</v>
      </c>
      <c r="B1111" s="184" t="s">
        <v>414</v>
      </c>
      <c r="C1111" s="184" t="str">
        <f t="shared" si="17"/>
        <v>Green, WI</v>
      </c>
      <c r="D1111" s="187">
        <v>0.09</v>
      </c>
    </row>
    <row r="1112" spans="1:4">
      <c r="A1112" s="184" t="s">
        <v>550</v>
      </c>
      <c r="B1112" s="184" t="s">
        <v>851</v>
      </c>
      <c r="C1112" s="184" t="str">
        <f t="shared" si="17"/>
        <v>Green Lake, WI</v>
      </c>
      <c r="D1112" s="187">
        <v>0.09</v>
      </c>
    </row>
    <row r="1113" spans="1:4">
      <c r="A1113" s="184" t="s">
        <v>542</v>
      </c>
      <c r="B1113" s="184" t="s">
        <v>2507</v>
      </c>
      <c r="C1113" s="184" t="str">
        <f t="shared" si="17"/>
        <v>Greenbrier, WV</v>
      </c>
      <c r="D1113" s="187">
        <v>0.09</v>
      </c>
    </row>
    <row r="1114" spans="1:4">
      <c r="A1114" s="184" t="s">
        <v>2000</v>
      </c>
      <c r="B1114" s="184" t="s">
        <v>2678</v>
      </c>
      <c r="C1114" s="184" t="str">
        <f t="shared" si="17"/>
        <v>Greene, AL</v>
      </c>
      <c r="D1114" s="187">
        <v>0.09</v>
      </c>
    </row>
    <row r="1115" spans="1:4">
      <c r="A1115" s="184" t="s">
        <v>566</v>
      </c>
      <c r="B1115" s="184" t="s">
        <v>2678</v>
      </c>
      <c r="C1115" s="184" t="str">
        <f t="shared" si="17"/>
        <v>Greene, AR</v>
      </c>
      <c r="D1115" s="187">
        <v>4.3999999999999997E-2</v>
      </c>
    </row>
    <row r="1116" spans="1:4">
      <c r="A1116" s="184" t="s">
        <v>3602</v>
      </c>
      <c r="B1116" s="184" t="s">
        <v>2678</v>
      </c>
      <c r="C1116" s="184" t="str">
        <f t="shared" si="17"/>
        <v>Greene, GA</v>
      </c>
      <c r="D1116" s="187">
        <v>4.3999999999999997E-2</v>
      </c>
    </row>
    <row r="1117" spans="1:4">
      <c r="A1117" s="184" t="s">
        <v>2031</v>
      </c>
      <c r="B1117" s="184" t="s">
        <v>2678</v>
      </c>
      <c r="C1117" s="184" t="str">
        <f t="shared" si="17"/>
        <v>Greene, IA</v>
      </c>
      <c r="D1117" s="187">
        <v>0.09</v>
      </c>
    </row>
    <row r="1118" spans="1:4">
      <c r="A1118" s="184" t="s">
        <v>2019</v>
      </c>
      <c r="B1118" s="184" t="s">
        <v>2678</v>
      </c>
      <c r="C1118" s="184" t="str">
        <f t="shared" si="17"/>
        <v>Greene, IL</v>
      </c>
      <c r="D1118" s="187">
        <v>0.09</v>
      </c>
    </row>
    <row r="1119" spans="1:4">
      <c r="A1119" s="184" t="s">
        <v>2021</v>
      </c>
      <c r="B1119" s="184" t="s">
        <v>2678</v>
      </c>
      <c r="C1119" s="184" t="str">
        <f t="shared" si="17"/>
        <v>Greene, IN</v>
      </c>
      <c r="D1119" s="187">
        <v>0.09</v>
      </c>
    </row>
    <row r="1120" spans="1:4">
      <c r="A1120" s="184" t="s">
        <v>3434</v>
      </c>
      <c r="B1120" s="184" t="s">
        <v>2678</v>
      </c>
      <c r="C1120" s="184" t="str">
        <f t="shared" si="17"/>
        <v>Greene, MO</v>
      </c>
      <c r="D1120" s="187">
        <v>5.7000000000000002E-2</v>
      </c>
    </row>
    <row r="1121" spans="1:4">
      <c r="A1121" s="184" t="s">
        <v>3035</v>
      </c>
      <c r="B1121" s="184" t="s">
        <v>2678</v>
      </c>
      <c r="C1121" s="184" t="str">
        <f t="shared" si="17"/>
        <v>Greene, MS</v>
      </c>
      <c r="D1121" s="187">
        <v>4.3999999999999997E-2</v>
      </c>
    </row>
    <row r="1122" spans="1:4">
      <c r="A1122" s="184" t="s">
        <v>2542</v>
      </c>
      <c r="B1122" s="184" t="s">
        <v>2678</v>
      </c>
      <c r="C1122" s="184" t="str">
        <f t="shared" si="17"/>
        <v>Greene, NC</v>
      </c>
      <c r="D1122" s="187">
        <v>4.3999999999999997E-2</v>
      </c>
    </row>
    <row r="1123" spans="1:4">
      <c r="A1123" s="184" t="s">
        <v>3446</v>
      </c>
      <c r="B1123" s="184" t="s">
        <v>2678</v>
      </c>
      <c r="C1123" s="184" t="str">
        <f t="shared" si="17"/>
        <v>Greene, NY</v>
      </c>
      <c r="D1123" s="187">
        <v>5.7000000000000002E-2</v>
      </c>
    </row>
    <row r="1124" spans="1:4">
      <c r="A1124" s="184" t="s">
        <v>2562</v>
      </c>
      <c r="B1124" s="184" t="s">
        <v>2678</v>
      </c>
      <c r="C1124" s="184" t="str">
        <f t="shared" si="17"/>
        <v>Greene, OH</v>
      </c>
      <c r="D1124" s="187">
        <v>6.0999999999999999E-2</v>
      </c>
    </row>
    <row r="1125" spans="1:4">
      <c r="A1125" s="184" t="s">
        <v>3356</v>
      </c>
      <c r="B1125" s="184" t="s">
        <v>2678</v>
      </c>
      <c r="C1125" s="184" t="str">
        <f t="shared" si="17"/>
        <v>Greene, PA</v>
      </c>
      <c r="D1125" s="187">
        <v>0.09</v>
      </c>
    </row>
    <row r="1126" spans="1:4">
      <c r="A1126" s="184" t="s">
        <v>699</v>
      </c>
      <c r="B1126" s="184" t="s">
        <v>2678</v>
      </c>
      <c r="C1126" s="184" t="str">
        <f t="shared" si="17"/>
        <v>Greene, TN</v>
      </c>
      <c r="D1126" s="187">
        <v>0.09</v>
      </c>
    </row>
    <row r="1127" spans="1:4">
      <c r="A1127" s="184" t="s">
        <v>746</v>
      </c>
      <c r="B1127" s="184" t="s">
        <v>2678</v>
      </c>
      <c r="C1127" s="184" t="str">
        <f t="shared" si="17"/>
        <v>Greene, VA</v>
      </c>
      <c r="D1127" s="187">
        <v>6.0999999999999999E-2</v>
      </c>
    </row>
    <row r="1128" spans="1:4">
      <c r="A1128" s="184" t="s">
        <v>562</v>
      </c>
      <c r="B1128" s="184" t="s">
        <v>2992</v>
      </c>
      <c r="C1128" s="184" t="str">
        <f t="shared" si="17"/>
        <v>Greenlee, AZ</v>
      </c>
      <c r="D1128" s="187">
        <v>4.3999999999999997E-2</v>
      </c>
    </row>
    <row r="1129" spans="1:4">
      <c r="A1129" s="184" t="s">
        <v>746</v>
      </c>
      <c r="B1129" s="184" t="s">
        <v>827</v>
      </c>
      <c r="C1129" s="184" t="str">
        <f t="shared" si="17"/>
        <v>Greensville, VA</v>
      </c>
      <c r="D1129" s="187">
        <v>4.3999999999999997E-2</v>
      </c>
    </row>
    <row r="1130" spans="1:4">
      <c r="A1130" s="184" t="s">
        <v>529</v>
      </c>
      <c r="B1130" s="184" t="s">
        <v>534</v>
      </c>
      <c r="C1130" s="184" t="str">
        <f t="shared" si="17"/>
        <v>Greenup, KY</v>
      </c>
      <c r="D1130" s="187">
        <v>0.09</v>
      </c>
    </row>
    <row r="1131" spans="1:4">
      <c r="A1131" s="184" t="s">
        <v>1942</v>
      </c>
      <c r="B1131" s="184" t="s">
        <v>97</v>
      </c>
      <c r="C1131" s="184" t="str">
        <f t="shared" si="17"/>
        <v>Greenville, SC</v>
      </c>
      <c r="D1131" s="187">
        <v>4.3999999999999997E-2</v>
      </c>
    </row>
    <row r="1132" spans="1:4">
      <c r="A1132" s="184" t="s">
        <v>663</v>
      </c>
      <c r="B1132" s="184" t="s">
        <v>1440</v>
      </c>
      <c r="C1132" s="184" t="str">
        <f t="shared" si="17"/>
        <v>Greenwood, KS</v>
      </c>
      <c r="D1132" s="187">
        <v>0.09</v>
      </c>
    </row>
    <row r="1133" spans="1:4">
      <c r="A1133" s="184" t="s">
        <v>1942</v>
      </c>
      <c r="B1133" s="184" t="s">
        <v>1440</v>
      </c>
      <c r="C1133" s="184" t="str">
        <f t="shared" si="17"/>
        <v>Greenwood, SC</v>
      </c>
      <c r="D1133" s="187">
        <v>4.3999999999999997E-2</v>
      </c>
    </row>
    <row r="1134" spans="1:4">
      <c r="A1134" s="184" t="s">
        <v>2573</v>
      </c>
      <c r="B1134" s="184" t="s">
        <v>442</v>
      </c>
      <c r="C1134" s="184" t="str">
        <f t="shared" si="17"/>
        <v>Greer, OK</v>
      </c>
      <c r="D1134" s="187">
        <v>0.09</v>
      </c>
    </row>
    <row r="1135" spans="1:4">
      <c r="A1135" s="184" t="s">
        <v>3906</v>
      </c>
      <c r="B1135" s="184" t="s">
        <v>501</v>
      </c>
      <c r="C1135" s="184" t="str">
        <f t="shared" si="17"/>
        <v>Gregg, TX</v>
      </c>
      <c r="D1135" s="187">
        <v>4.3999999999999997E-2</v>
      </c>
    </row>
    <row r="1136" spans="1:4">
      <c r="A1136" s="184" t="s">
        <v>1944</v>
      </c>
      <c r="B1136" s="184" t="s">
        <v>1712</v>
      </c>
      <c r="C1136" s="184" t="str">
        <f t="shared" si="17"/>
        <v>Gregory, SD</v>
      </c>
      <c r="D1136" s="187">
        <v>4.3999999999999997E-2</v>
      </c>
    </row>
    <row r="1137" spans="1:4">
      <c r="A1137" s="184" t="s">
        <v>3035</v>
      </c>
      <c r="B1137" s="184" t="s">
        <v>3840</v>
      </c>
      <c r="C1137" s="184" t="str">
        <f t="shared" si="17"/>
        <v>Grenada, MS</v>
      </c>
      <c r="D1137" s="187">
        <v>4.3999999999999997E-2</v>
      </c>
    </row>
    <row r="1138" spans="1:4">
      <c r="A1138" s="184" t="s">
        <v>2558</v>
      </c>
      <c r="B1138" s="184" t="s">
        <v>186</v>
      </c>
      <c r="C1138" s="184" t="str">
        <f t="shared" si="17"/>
        <v>Griggs, ND</v>
      </c>
      <c r="D1138" s="187">
        <v>0.09</v>
      </c>
    </row>
    <row r="1139" spans="1:4">
      <c r="A1139" s="184" t="s">
        <v>3906</v>
      </c>
      <c r="B1139" s="184" t="s">
        <v>2440</v>
      </c>
      <c r="C1139" s="184" t="str">
        <f t="shared" si="17"/>
        <v>Grimes, TX</v>
      </c>
      <c r="D1139" s="187">
        <v>4.3999999999999997E-2</v>
      </c>
    </row>
    <row r="1140" spans="1:4">
      <c r="A1140" s="184" t="s">
        <v>2031</v>
      </c>
      <c r="B1140" s="184" t="s">
        <v>2286</v>
      </c>
      <c r="C1140" s="184" t="str">
        <f t="shared" si="17"/>
        <v>Grundy, IA</v>
      </c>
      <c r="D1140" s="187">
        <v>0.09</v>
      </c>
    </row>
    <row r="1141" spans="1:4">
      <c r="A1141" s="184" t="s">
        <v>2019</v>
      </c>
      <c r="B1141" s="184" t="s">
        <v>2286</v>
      </c>
      <c r="C1141" s="184" t="str">
        <f t="shared" si="17"/>
        <v>Grundy, IL</v>
      </c>
      <c r="D1141" s="187">
        <v>6.0999999999999999E-2</v>
      </c>
    </row>
    <row r="1142" spans="1:4">
      <c r="A1142" s="184" t="s">
        <v>3434</v>
      </c>
      <c r="B1142" s="184" t="s">
        <v>2286</v>
      </c>
      <c r="C1142" s="184" t="str">
        <f t="shared" si="17"/>
        <v>Grundy, MO</v>
      </c>
      <c r="D1142" s="187">
        <v>0.09</v>
      </c>
    </row>
    <row r="1143" spans="1:4">
      <c r="A1143" s="184" t="s">
        <v>699</v>
      </c>
      <c r="B1143" s="184" t="s">
        <v>2286</v>
      </c>
      <c r="C1143" s="184" t="str">
        <f t="shared" si="17"/>
        <v>Grundy, TN</v>
      </c>
      <c r="D1143" s="187">
        <v>0.09</v>
      </c>
    </row>
    <row r="1144" spans="1:4">
      <c r="A1144" s="184" t="s">
        <v>3622</v>
      </c>
      <c r="B1144" s="184" t="s">
        <v>502</v>
      </c>
      <c r="C1144" s="184" t="str">
        <f t="shared" si="17"/>
        <v>Guadalupe, NM</v>
      </c>
      <c r="D1144" s="187">
        <v>3.5000000000000003E-2</v>
      </c>
    </row>
    <row r="1145" spans="1:4">
      <c r="A1145" s="184" t="s">
        <v>3906</v>
      </c>
      <c r="B1145" s="184" t="s">
        <v>502</v>
      </c>
      <c r="C1145" s="184" t="str">
        <f t="shared" si="17"/>
        <v>Guadalupe, TX</v>
      </c>
      <c r="D1145" s="187">
        <v>4.3999999999999997E-2</v>
      </c>
    </row>
    <row r="1146" spans="1:4">
      <c r="A1146" s="184" t="s">
        <v>2562</v>
      </c>
      <c r="B1146" s="184" t="s">
        <v>3972</v>
      </c>
      <c r="C1146" s="184" t="str">
        <f t="shared" si="17"/>
        <v>Guernsey, OH</v>
      </c>
      <c r="D1146" s="187">
        <v>0.09</v>
      </c>
    </row>
    <row r="1147" spans="1:4">
      <c r="A1147" s="184" t="s">
        <v>2542</v>
      </c>
      <c r="B1147" s="184" t="s">
        <v>2278</v>
      </c>
      <c r="C1147" s="184" t="str">
        <f t="shared" si="17"/>
        <v>Guilford, NC</v>
      </c>
      <c r="D1147" s="187">
        <v>6.0999999999999999E-2</v>
      </c>
    </row>
    <row r="1148" spans="1:4">
      <c r="A1148" s="184" t="s">
        <v>3594</v>
      </c>
      <c r="B1148" s="184" t="s">
        <v>1189</v>
      </c>
      <c r="C1148" s="184" t="str">
        <f t="shared" si="17"/>
        <v>Gulf, FL</v>
      </c>
      <c r="D1148" s="187">
        <v>4.3999999999999997E-2</v>
      </c>
    </row>
    <row r="1149" spans="1:4">
      <c r="A1149" s="184" t="s">
        <v>3108</v>
      </c>
      <c r="B1149" s="184" t="s">
        <v>1156</v>
      </c>
      <c r="C1149" s="184" t="str">
        <f t="shared" si="17"/>
        <v>Gunnison, CO</v>
      </c>
      <c r="D1149" s="187">
        <v>4.3999999999999997E-2</v>
      </c>
    </row>
    <row r="1150" spans="1:4">
      <c r="A1150" s="184" t="s">
        <v>2031</v>
      </c>
      <c r="B1150" s="184" t="s">
        <v>1965</v>
      </c>
      <c r="C1150" s="184" t="str">
        <f t="shared" si="17"/>
        <v>Guthrie, IA</v>
      </c>
      <c r="D1150" s="187">
        <v>0.09</v>
      </c>
    </row>
    <row r="1151" spans="1:4">
      <c r="A1151" s="184" t="s">
        <v>3602</v>
      </c>
      <c r="B1151" s="184" t="s">
        <v>3867</v>
      </c>
      <c r="C1151" s="184" t="str">
        <f t="shared" si="17"/>
        <v>Gwinnett, GA</v>
      </c>
      <c r="D1151" s="187">
        <v>6.0999999999999999E-2</v>
      </c>
    </row>
    <row r="1152" spans="1:4">
      <c r="A1152" s="184" t="s">
        <v>1944</v>
      </c>
      <c r="B1152" s="184" t="s">
        <v>1713</v>
      </c>
      <c r="C1152" s="184" t="str">
        <f t="shared" si="17"/>
        <v>Haakon, SD</v>
      </c>
      <c r="D1152" s="187">
        <v>4.3999999999999997E-2</v>
      </c>
    </row>
    <row r="1153" spans="1:4">
      <c r="A1153" s="184" t="s">
        <v>3602</v>
      </c>
      <c r="B1153" s="184" t="s">
        <v>222</v>
      </c>
      <c r="C1153" s="184" t="str">
        <f t="shared" si="17"/>
        <v>Habersham, GA</v>
      </c>
      <c r="D1153" s="187">
        <v>4.3999999999999997E-2</v>
      </c>
    </row>
    <row r="1154" spans="1:4">
      <c r="A1154" s="184" t="s">
        <v>988</v>
      </c>
      <c r="B1154" s="184" t="s">
        <v>2972</v>
      </c>
      <c r="C1154" s="184" t="str">
        <f t="shared" si="17"/>
        <v>Haines, AK</v>
      </c>
      <c r="D1154" s="187">
        <v>0.09</v>
      </c>
    </row>
    <row r="1155" spans="1:4">
      <c r="A1155" s="184" t="s">
        <v>2000</v>
      </c>
      <c r="B1155" s="184" t="s">
        <v>3892</v>
      </c>
      <c r="C1155" s="184" t="str">
        <f t="shared" si="17"/>
        <v>Hale, AL</v>
      </c>
      <c r="D1155" s="187">
        <v>0.09</v>
      </c>
    </row>
    <row r="1156" spans="1:4">
      <c r="A1156" s="184" t="s">
        <v>3906</v>
      </c>
      <c r="B1156" s="184" t="s">
        <v>3892</v>
      </c>
      <c r="C1156" s="184" t="str">
        <f t="shared" si="17"/>
        <v>Hale, TX</v>
      </c>
      <c r="D1156" s="187">
        <v>4.3999999999999997E-2</v>
      </c>
    </row>
    <row r="1157" spans="1:4">
      <c r="A1157" s="184" t="s">
        <v>2542</v>
      </c>
      <c r="B1157" s="184" t="s">
        <v>3261</v>
      </c>
      <c r="C1157" s="184" t="str">
        <f t="shared" si="17"/>
        <v>Halifax, NC</v>
      </c>
      <c r="D1157" s="187">
        <v>4.3999999999999997E-2</v>
      </c>
    </row>
    <row r="1158" spans="1:4">
      <c r="A1158" s="184" t="s">
        <v>746</v>
      </c>
      <c r="B1158" s="184" t="s">
        <v>3261</v>
      </c>
      <c r="C1158" s="184" t="str">
        <f t="shared" ref="C1158:C1221" si="18">B1158&amp;", "&amp;A1158</f>
        <v>Halifax, VA</v>
      </c>
      <c r="D1158" s="187">
        <v>4.3999999999999997E-2</v>
      </c>
    </row>
    <row r="1159" spans="1:4">
      <c r="A1159" s="184" t="s">
        <v>3602</v>
      </c>
      <c r="B1159" s="184" t="s">
        <v>223</v>
      </c>
      <c r="C1159" s="184" t="str">
        <f t="shared" si="18"/>
        <v>Hall, GA</v>
      </c>
      <c r="D1159" s="187">
        <v>4.3999999999999997E-2</v>
      </c>
    </row>
    <row r="1160" spans="1:4">
      <c r="A1160" s="184" t="s">
        <v>3442</v>
      </c>
      <c r="B1160" s="184" t="s">
        <v>223</v>
      </c>
      <c r="C1160" s="184" t="str">
        <f t="shared" si="18"/>
        <v>Hall, NE</v>
      </c>
      <c r="D1160" s="187">
        <v>0.09</v>
      </c>
    </row>
    <row r="1161" spans="1:4">
      <c r="A1161" s="184" t="s">
        <v>3906</v>
      </c>
      <c r="B1161" s="184" t="s">
        <v>223</v>
      </c>
      <c r="C1161" s="184" t="str">
        <f t="shared" si="18"/>
        <v>Hall, TX</v>
      </c>
      <c r="D1161" s="187">
        <v>4.3999999999999997E-2</v>
      </c>
    </row>
    <row r="1162" spans="1:4">
      <c r="A1162" s="184" t="s">
        <v>699</v>
      </c>
      <c r="B1162" s="184" t="s">
        <v>1743</v>
      </c>
      <c r="C1162" s="184" t="str">
        <f t="shared" si="18"/>
        <v>Hamblen, TN</v>
      </c>
      <c r="D1162" s="187">
        <v>0.09</v>
      </c>
    </row>
    <row r="1163" spans="1:4">
      <c r="A1163" s="184" t="s">
        <v>3594</v>
      </c>
      <c r="B1163" s="184" t="s">
        <v>703</v>
      </c>
      <c r="C1163" s="184" t="str">
        <f t="shared" si="18"/>
        <v>Hamilton, FL</v>
      </c>
      <c r="D1163" s="187">
        <v>4.3999999999999997E-2</v>
      </c>
    </row>
    <row r="1164" spans="1:4">
      <c r="A1164" s="184" t="s">
        <v>2031</v>
      </c>
      <c r="B1164" s="184" t="s">
        <v>703</v>
      </c>
      <c r="C1164" s="184" t="str">
        <f t="shared" si="18"/>
        <v>Hamilton, IA</v>
      </c>
      <c r="D1164" s="187">
        <v>0.09</v>
      </c>
    </row>
    <row r="1165" spans="1:4">
      <c r="A1165" s="184" t="s">
        <v>2019</v>
      </c>
      <c r="B1165" s="184" t="s">
        <v>703</v>
      </c>
      <c r="C1165" s="184" t="str">
        <f t="shared" si="18"/>
        <v>Hamilton, IL</v>
      </c>
      <c r="D1165" s="187">
        <v>0.09</v>
      </c>
    </row>
    <row r="1166" spans="1:4">
      <c r="A1166" s="184" t="s">
        <v>2021</v>
      </c>
      <c r="B1166" s="184" t="s">
        <v>703</v>
      </c>
      <c r="C1166" s="184" t="str">
        <f t="shared" si="18"/>
        <v>Hamilton, IN</v>
      </c>
      <c r="D1166" s="187">
        <v>6.0999999999999999E-2</v>
      </c>
    </row>
    <row r="1167" spans="1:4">
      <c r="A1167" s="184" t="s">
        <v>663</v>
      </c>
      <c r="B1167" s="184" t="s">
        <v>703</v>
      </c>
      <c r="C1167" s="184" t="str">
        <f t="shared" si="18"/>
        <v>Hamilton, KS</v>
      </c>
      <c r="D1167" s="187">
        <v>0.09</v>
      </c>
    </row>
    <row r="1168" spans="1:4">
      <c r="A1168" s="184" t="s">
        <v>3442</v>
      </c>
      <c r="B1168" s="184" t="s">
        <v>703</v>
      </c>
      <c r="C1168" s="184" t="str">
        <f t="shared" si="18"/>
        <v>Hamilton, NE</v>
      </c>
      <c r="D1168" s="187">
        <v>0.09</v>
      </c>
    </row>
    <row r="1169" spans="1:4">
      <c r="A1169" s="184" t="s">
        <v>3446</v>
      </c>
      <c r="B1169" s="184" t="s">
        <v>703</v>
      </c>
      <c r="C1169" s="184" t="str">
        <f t="shared" si="18"/>
        <v>Hamilton, NY</v>
      </c>
      <c r="D1169" s="187">
        <v>5.7000000000000002E-2</v>
      </c>
    </row>
    <row r="1170" spans="1:4">
      <c r="A1170" s="184" t="s">
        <v>2562</v>
      </c>
      <c r="B1170" s="184" t="s">
        <v>703</v>
      </c>
      <c r="C1170" s="184" t="str">
        <f t="shared" si="18"/>
        <v>Hamilton, OH</v>
      </c>
      <c r="D1170" s="187">
        <v>4.4999999999999998E-2</v>
      </c>
    </row>
    <row r="1171" spans="1:4">
      <c r="A1171" s="184" t="s">
        <v>699</v>
      </c>
      <c r="B1171" s="184" t="s">
        <v>703</v>
      </c>
      <c r="C1171" s="184" t="str">
        <f t="shared" si="18"/>
        <v>Hamilton, TN</v>
      </c>
      <c r="D1171" s="187">
        <v>0.09</v>
      </c>
    </row>
    <row r="1172" spans="1:4">
      <c r="A1172" s="184" t="s">
        <v>3906</v>
      </c>
      <c r="B1172" s="184" t="s">
        <v>703</v>
      </c>
      <c r="C1172" s="184" t="str">
        <f t="shared" si="18"/>
        <v>Hamilton, TX</v>
      </c>
      <c r="D1172" s="187">
        <v>5.7000000000000002E-2</v>
      </c>
    </row>
    <row r="1173" spans="1:4">
      <c r="A1173" s="184" t="s">
        <v>1944</v>
      </c>
      <c r="B1173" s="184" t="s">
        <v>1714</v>
      </c>
      <c r="C1173" s="184" t="str">
        <f t="shared" si="18"/>
        <v>Hamlin, SD</v>
      </c>
      <c r="D1173" s="187">
        <v>4.3999999999999997E-2</v>
      </c>
    </row>
    <row r="1174" spans="1:4">
      <c r="A1174" s="184" t="s">
        <v>1228</v>
      </c>
      <c r="B1174" s="184" t="s">
        <v>953</v>
      </c>
      <c r="C1174" s="184" t="str">
        <f t="shared" si="18"/>
        <v>Hampden, MA</v>
      </c>
      <c r="D1174" s="187">
        <v>3.5000000000000003E-2</v>
      </c>
    </row>
    <row r="1175" spans="1:4">
      <c r="A1175" s="184" t="s">
        <v>1228</v>
      </c>
      <c r="B1175" s="184" t="s">
        <v>1891</v>
      </c>
      <c r="C1175" s="184" t="str">
        <f t="shared" si="18"/>
        <v>Hampshire, MA</v>
      </c>
      <c r="D1175" s="187">
        <v>5.7000000000000002E-2</v>
      </c>
    </row>
    <row r="1176" spans="1:4">
      <c r="A1176" s="184" t="s">
        <v>542</v>
      </c>
      <c r="B1176" s="184" t="s">
        <v>1891</v>
      </c>
      <c r="C1176" s="184" t="str">
        <f t="shared" si="18"/>
        <v>Hampshire, WV</v>
      </c>
      <c r="D1176" s="187">
        <v>0.09</v>
      </c>
    </row>
    <row r="1177" spans="1:4">
      <c r="A1177" s="184" t="s">
        <v>1942</v>
      </c>
      <c r="B1177" s="184" t="s">
        <v>75</v>
      </c>
      <c r="C1177" s="184" t="str">
        <f t="shared" si="18"/>
        <v>Hampton, SC</v>
      </c>
      <c r="D1177" s="187">
        <v>4.3999999999999997E-2</v>
      </c>
    </row>
    <row r="1178" spans="1:4">
      <c r="A1178" s="184" t="s">
        <v>746</v>
      </c>
      <c r="B1178" s="184" t="s">
        <v>3173</v>
      </c>
      <c r="C1178" s="184" t="str">
        <f t="shared" si="18"/>
        <v>Hampton City, VA</v>
      </c>
      <c r="D1178" s="187">
        <v>6.0999999999999999E-2</v>
      </c>
    </row>
    <row r="1179" spans="1:4">
      <c r="A1179" s="184" t="s">
        <v>3602</v>
      </c>
      <c r="B1179" s="184" t="s">
        <v>545</v>
      </c>
      <c r="C1179" s="184" t="str">
        <f t="shared" si="18"/>
        <v>Hancock, GA</v>
      </c>
      <c r="D1179" s="187">
        <v>4.3999999999999997E-2</v>
      </c>
    </row>
    <row r="1180" spans="1:4">
      <c r="A1180" s="184" t="s">
        <v>2031</v>
      </c>
      <c r="B1180" s="184" t="s">
        <v>545</v>
      </c>
      <c r="C1180" s="184" t="str">
        <f t="shared" si="18"/>
        <v>Hancock, IA</v>
      </c>
      <c r="D1180" s="187">
        <v>0.09</v>
      </c>
    </row>
    <row r="1181" spans="1:4">
      <c r="A1181" s="184" t="s">
        <v>2019</v>
      </c>
      <c r="B1181" s="184" t="s">
        <v>545</v>
      </c>
      <c r="C1181" s="184" t="str">
        <f t="shared" si="18"/>
        <v>Hancock, IL</v>
      </c>
      <c r="D1181" s="187">
        <v>0.09</v>
      </c>
    </row>
    <row r="1182" spans="1:4">
      <c r="A1182" s="184" t="s">
        <v>2021</v>
      </c>
      <c r="B1182" s="184" t="s">
        <v>545</v>
      </c>
      <c r="C1182" s="184" t="str">
        <f t="shared" si="18"/>
        <v>Hancock, IN</v>
      </c>
      <c r="D1182" s="187">
        <v>6.0999999999999999E-2</v>
      </c>
    </row>
    <row r="1183" spans="1:4">
      <c r="A1183" s="184" t="s">
        <v>529</v>
      </c>
      <c r="B1183" s="184" t="s">
        <v>545</v>
      </c>
      <c r="C1183" s="184" t="str">
        <f t="shared" si="18"/>
        <v>Hancock, KY</v>
      </c>
      <c r="D1183" s="187">
        <v>0.09</v>
      </c>
    </row>
    <row r="1184" spans="1:4">
      <c r="A1184" s="184" t="s">
        <v>1922</v>
      </c>
      <c r="B1184" s="184" t="s">
        <v>545</v>
      </c>
      <c r="C1184" s="184" t="str">
        <f t="shared" si="18"/>
        <v>Hancock, ME</v>
      </c>
      <c r="D1184" s="187">
        <v>0.09</v>
      </c>
    </row>
    <row r="1185" spans="1:4">
      <c r="A1185" s="184" t="s">
        <v>3035</v>
      </c>
      <c r="B1185" s="184" t="s">
        <v>545</v>
      </c>
      <c r="C1185" s="184" t="str">
        <f t="shared" si="18"/>
        <v>Hancock, MS</v>
      </c>
      <c r="D1185" s="187">
        <v>4.3999999999999997E-2</v>
      </c>
    </row>
    <row r="1186" spans="1:4">
      <c r="A1186" s="184" t="s">
        <v>2562</v>
      </c>
      <c r="B1186" s="184" t="s">
        <v>545</v>
      </c>
      <c r="C1186" s="184" t="str">
        <f t="shared" si="18"/>
        <v>Hancock, OH</v>
      </c>
      <c r="D1186" s="187">
        <v>0.09</v>
      </c>
    </row>
    <row r="1187" spans="1:4">
      <c r="A1187" s="184" t="s">
        <v>699</v>
      </c>
      <c r="B1187" s="184" t="s">
        <v>545</v>
      </c>
      <c r="C1187" s="184" t="str">
        <f t="shared" si="18"/>
        <v>Hancock, TN</v>
      </c>
      <c r="D1187" s="187">
        <v>0.09</v>
      </c>
    </row>
    <row r="1188" spans="1:4">
      <c r="A1188" s="184" t="s">
        <v>542</v>
      </c>
      <c r="B1188" s="184" t="s">
        <v>545</v>
      </c>
      <c r="C1188" s="184" t="str">
        <f t="shared" si="18"/>
        <v>Hancock, WV</v>
      </c>
      <c r="D1188" s="187">
        <v>0.09</v>
      </c>
    </row>
    <row r="1189" spans="1:4">
      <c r="A1189" s="184" t="s">
        <v>1944</v>
      </c>
      <c r="B1189" s="184" t="s">
        <v>1715</v>
      </c>
      <c r="C1189" s="184" t="str">
        <f t="shared" si="18"/>
        <v>Hand, SD</v>
      </c>
      <c r="D1189" s="187">
        <v>4.3999999999999997E-2</v>
      </c>
    </row>
    <row r="1190" spans="1:4">
      <c r="A1190" s="184" t="s">
        <v>746</v>
      </c>
      <c r="B1190" s="184" t="s">
        <v>2901</v>
      </c>
      <c r="C1190" s="184" t="str">
        <f t="shared" si="18"/>
        <v>Hanover, VA</v>
      </c>
      <c r="D1190" s="187">
        <v>6.0999999999999999E-2</v>
      </c>
    </row>
    <row r="1191" spans="1:4">
      <c r="A1191" s="184" t="s">
        <v>3906</v>
      </c>
      <c r="B1191" s="184" t="s">
        <v>2441</v>
      </c>
      <c r="C1191" s="184" t="str">
        <f t="shared" si="18"/>
        <v>Hansford, TX</v>
      </c>
      <c r="D1191" s="187">
        <v>6.0999999999999999E-2</v>
      </c>
    </row>
    <row r="1192" spans="1:4">
      <c r="A1192" s="184" t="s">
        <v>1944</v>
      </c>
      <c r="B1192" s="184" t="s">
        <v>1716</v>
      </c>
      <c r="C1192" s="184" t="str">
        <f t="shared" si="18"/>
        <v>Hanson, SD</v>
      </c>
      <c r="D1192" s="187">
        <v>4.3999999999999997E-2</v>
      </c>
    </row>
    <row r="1193" spans="1:4">
      <c r="A1193" s="184" t="s">
        <v>3602</v>
      </c>
      <c r="B1193" s="184" t="s">
        <v>224</v>
      </c>
      <c r="C1193" s="184" t="str">
        <f t="shared" si="18"/>
        <v>Haralson, GA</v>
      </c>
      <c r="D1193" s="187">
        <v>4.3999999999999997E-2</v>
      </c>
    </row>
    <row r="1194" spans="1:4">
      <c r="A1194" s="184" t="s">
        <v>3594</v>
      </c>
      <c r="B1194" s="184" t="s">
        <v>1190</v>
      </c>
      <c r="C1194" s="184" t="str">
        <f t="shared" si="18"/>
        <v>Hardee, FL</v>
      </c>
      <c r="D1194" s="187">
        <v>4.3999999999999997E-2</v>
      </c>
    </row>
    <row r="1195" spans="1:4">
      <c r="A1195" s="184" t="s">
        <v>699</v>
      </c>
      <c r="B1195" s="184" t="s">
        <v>2033</v>
      </c>
      <c r="C1195" s="184" t="str">
        <f t="shared" si="18"/>
        <v>Hardeman, TN</v>
      </c>
      <c r="D1195" s="187">
        <v>0.09</v>
      </c>
    </row>
    <row r="1196" spans="1:4">
      <c r="A1196" s="184" t="s">
        <v>3906</v>
      </c>
      <c r="B1196" s="184" t="s">
        <v>2033</v>
      </c>
      <c r="C1196" s="184" t="str">
        <f t="shared" si="18"/>
        <v>Hardeman, TX</v>
      </c>
      <c r="D1196" s="187">
        <v>4.3999999999999997E-2</v>
      </c>
    </row>
    <row r="1197" spans="1:4">
      <c r="A1197" s="184" t="s">
        <v>2031</v>
      </c>
      <c r="B1197" s="184" t="s">
        <v>1023</v>
      </c>
      <c r="C1197" s="184" t="str">
        <f t="shared" si="18"/>
        <v>Hardin, IA</v>
      </c>
      <c r="D1197" s="187">
        <v>0.09</v>
      </c>
    </row>
    <row r="1198" spans="1:4">
      <c r="A1198" s="184" t="s">
        <v>2019</v>
      </c>
      <c r="B1198" s="184" t="s">
        <v>1023</v>
      </c>
      <c r="C1198" s="184" t="str">
        <f t="shared" si="18"/>
        <v>Hardin, IL</v>
      </c>
      <c r="D1198" s="187">
        <v>0.09</v>
      </c>
    </row>
    <row r="1199" spans="1:4">
      <c r="A1199" s="184" t="s">
        <v>529</v>
      </c>
      <c r="B1199" s="184" t="s">
        <v>1023</v>
      </c>
      <c r="C1199" s="184" t="str">
        <f t="shared" si="18"/>
        <v>Hardin, KY</v>
      </c>
      <c r="D1199" s="187">
        <v>0.09</v>
      </c>
    </row>
    <row r="1200" spans="1:4">
      <c r="A1200" s="184" t="s">
        <v>2562</v>
      </c>
      <c r="B1200" s="184" t="s">
        <v>1023</v>
      </c>
      <c r="C1200" s="184" t="str">
        <f t="shared" si="18"/>
        <v>Hardin, OH</v>
      </c>
      <c r="D1200" s="187">
        <v>0.09</v>
      </c>
    </row>
    <row r="1201" spans="1:4">
      <c r="A1201" s="184" t="s">
        <v>699</v>
      </c>
      <c r="B1201" s="184" t="s">
        <v>1023</v>
      </c>
      <c r="C1201" s="184" t="str">
        <f t="shared" si="18"/>
        <v>Hardin, TN</v>
      </c>
      <c r="D1201" s="187">
        <v>0.09</v>
      </c>
    </row>
    <row r="1202" spans="1:4">
      <c r="A1202" s="184" t="s">
        <v>3906</v>
      </c>
      <c r="B1202" s="184" t="s">
        <v>1023</v>
      </c>
      <c r="C1202" s="184" t="str">
        <f t="shared" si="18"/>
        <v>Hardin, TX</v>
      </c>
      <c r="D1202" s="187">
        <v>5.7000000000000002E-2</v>
      </c>
    </row>
    <row r="1203" spans="1:4">
      <c r="A1203" s="184" t="s">
        <v>3622</v>
      </c>
      <c r="B1203" s="184" t="s">
        <v>1717</v>
      </c>
      <c r="C1203" s="184" t="str">
        <f t="shared" si="18"/>
        <v>Harding, NM</v>
      </c>
      <c r="D1203" s="187">
        <v>5.7000000000000002E-2</v>
      </c>
    </row>
    <row r="1204" spans="1:4">
      <c r="A1204" s="184" t="s">
        <v>1944</v>
      </c>
      <c r="B1204" s="184" t="s">
        <v>1717</v>
      </c>
      <c r="C1204" s="184" t="str">
        <f t="shared" si="18"/>
        <v>Harding, SD</v>
      </c>
      <c r="D1204" s="187">
        <v>4.3999999999999997E-2</v>
      </c>
    </row>
    <row r="1205" spans="1:4">
      <c r="A1205" s="184" t="s">
        <v>542</v>
      </c>
      <c r="B1205" s="184" t="s">
        <v>1892</v>
      </c>
      <c r="C1205" s="184" t="str">
        <f t="shared" si="18"/>
        <v>Hardy, WV</v>
      </c>
      <c r="D1205" s="187">
        <v>0.09</v>
      </c>
    </row>
    <row r="1206" spans="1:4">
      <c r="A1206" s="184" t="s">
        <v>2087</v>
      </c>
      <c r="B1206" s="184" t="s">
        <v>2751</v>
      </c>
      <c r="C1206" s="184" t="str">
        <f t="shared" si="18"/>
        <v>Harford, MD</v>
      </c>
      <c r="D1206" s="187">
        <v>6.0999999999999999E-2</v>
      </c>
    </row>
    <row r="1207" spans="1:4">
      <c r="A1207" s="184" t="s">
        <v>529</v>
      </c>
      <c r="B1207" s="184" t="s">
        <v>3252</v>
      </c>
      <c r="C1207" s="184" t="str">
        <f t="shared" si="18"/>
        <v>Harlan, KY</v>
      </c>
      <c r="D1207" s="187">
        <v>5.7000000000000002E-2</v>
      </c>
    </row>
    <row r="1208" spans="1:4">
      <c r="A1208" s="184" t="s">
        <v>3442</v>
      </c>
      <c r="B1208" s="184" t="s">
        <v>3252</v>
      </c>
      <c r="C1208" s="184" t="str">
        <f t="shared" si="18"/>
        <v>Harlan, NE</v>
      </c>
      <c r="D1208" s="187">
        <v>0.09</v>
      </c>
    </row>
    <row r="1209" spans="1:4">
      <c r="A1209" s="184" t="s">
        <v>2573</v>
      </c>
      <c r="B1209" s="184" t="s">
        <v>443</v>
      </c>
      <c r="C1209" s="184" t="str">
        <f t="shared" si="18"/>
        <v>Harmon, OK</v>
      </c>
      <c r="D1209" s="187">
        <v>0.09</v>
      </c>
    </row>
    <row r="1210" spans="1:4">
      <c r="A1210" s="184" t="s">
        <v>2542</v>
      </c>
      <c r="B1210" s="184" t="s">
        <v>3262</v>
      </c>
      <c r="C1210" s="184" t="str">
        <f t="shared" si="18"/>
        <v>Harnett, NC</v>
      </c>
      <c r="D1210" s="187">
        <v>4.3999999999999997E-2</v>
      </c>
    </row>
    <row r="1211" spans="1:4">
      <c r="A1211" s="184" t="s">
        <v>3353</v>
      </c>
      <c r="B1211" s="184" t="s">
        <v>2262</v>
      </c>
      <c r="C1211" s="184" t="str">
        <f t="shared" si="18"/>
        <v>Harney, OR</v>
      </c>
      <c r="D1211" s="187">
        <v>0.09</v>
      </c>
    </row>
    <row r="1212" spans="1:4">
      <c r="A1212" s="184" t="s">
        <v>663</v>
      </c>
      <c r="B1212" s="184" t="s">
        <v>1441</v>
      </c>
      <c r="C1212" s="184" t="str">
        <f t="shared" si="18"/>
        <v>Harper, KS</v>
      </c>
      <c r="D1212" s="187">
        <v>0.09</v>
      </c>
    </row>
    <row r="1213" spans="1:4">
      <c r="A1213" s="184" t="s">
        <v>2573</v>
      </c>
      <c r="B1213" s="184" t="s">
        <v>1441</v>
      </c>
      <c r="C1213" s="184" t="str">
        <f t="shared" si="18"/>
        <v>Harper, OK</v>
      </c>
      <c r="D1213" s="187">
        <v>0.09</v>
      </c>
    </row>
    <row r="1214" spans="1:4">
      <c r="A1214" s="184" t="s">
        <v>3602</v>
      </c>
      <c r="B1214" s="184" t="s">
        <v>714</v>
      </c>
      <c r="C1214" s="184" t="str">
        <f t="shared" si="18"/>
        <v>Harris, GA</v>
      </c>
      <c r="D1214" s="187">
        <v>4.3999999999999997E-2</v>
      </c>
    </row>
    <row r="1215" spans="1:4">
      <c r="A1215" s="184" t="s">
        <v>3906</v>
      </c>
      <c r="B1215" s="184" t="s">
        <v>714</v>
      </c>
      <c r="C1215" s="184" t="str">
        <f t="shared" si="18"/>
        <v>Harris, TX</v>
      </c>
      <c r="D1215" s="187">
        <v>6.0999999999999999E-2</v>
      </c>
    </row>
    <row r="1216" spans="1:4">
      <c r="A1216" s="184" t="s">
        <v>2031</v>
      </c>
      <c r="B1216" s="184" t="s">
        <v>3309</v>
      </c>
      <c r="C1216" s="184" t="str">
        <f t="shared" si="18"/>
        <v>Harrison, IA</v>
      </c>
      <c r="D1216" s="187">
        <v>0.09</v>
      </c>
    </row>
    <row r="1217" spans="1:4">
      <c r="A1217" s="184" t="s">
        <v>2021</v>
      </c>
      <c r="B1217" s="184" t="s">
        <v>3309</v>
      </c>
      <c r="C1217" s="184" t="str">
        <f t="shared" si="18"/>
        <v>Harrison, IN</v>
      </c>
      <c r="D1217" s="187">
        <v>5.7000000000000002E-2</v>
      </c>
    </row>
    <row r="1218" spans="1:4">
      <c r="A1218" s="184" t="s">
        <v>529</v>
      </c>
      <c r="B1218" s="184" t="s">
        <v>3309</v>
      </c>
      <c r="C1218" s="184" t="str">
        <f t="shared" si="18"/>
        <v>Harrison, KY</v>
      </c>
      <c r="D1218" s="187">
        <v>0.09</v>
      </c>
    </row>
    <row r="1219" spans="1:4">
      <c r="A1219" s="184" t="s">
        <v>3434</v>
      </c>
      <c r="B1219" s="184" t="s">
        <v>3309</v>
      </c>
      <c r="C1219" s="184" t="str">
        <f t="shared" si="18"/>
        <v>Harrison, MO</v>
      </c>
      <c r="D1219" s="187">
        <v>0.09</v>
      </c>
    </row>
    <row r="1220" spans="1:4">
      <c r="A1220" s="184" t="s">
        <v>3035</v>
      </c>
      <c r="B1220" s="184" t="s">
        <v>3309</v>
      </c>
      <c r="C1220" s="184" t="str">
        <f t="shared" si="18"/>
        <v>Harrison, MS</v>
      </c>
      <c r="D1220" s="187">
        <v>4.3999999999999997E-2</v>
      </c>
    </row>
    <row r="1221" spans="1:4">
      <c r="A1221" s="184" t="s">
        <v>2562</v>
      </c>
      <c r="B1221" s="184" t="s">
        <v>3309</v>
      </c>
      <c r="C1221" s="184" t="str">
        <f t="shared" si="18"/>
        <v>Harrison, OH</v>
      </c>
      <c r="D1221" s="187">
        <v>0.09</v>
      </c>
    </row>
    <row r="1222" spans="1:4">
      <c r="A1222" s="184" t="s">
        <v>3906</v>
      </c>
      <c r="B1222" s="184" t="s">
        <v>3309</v>
      </c>
      <c r="C1222" s="184" t="str">
        <f t="shared" ref="C1222:C1285" si="19">B1222&amp;", "&amp;A1222</f>
        <v>Harrison, TX</v>
      </c>
      <c r="D1222" s="187">
        <v>4.3999999999999997E-2</v>
      </c>
    </row>
    <row r="1223" spans="1:4">
      <c r="A1223" s="184" t="s">
        <v>542</v>
      </c>
      <c r="B1223" s="184" t="s">
        <v>3309</v>
      </c>
      <c r="C1223" s="184" t="str">
        <f t="shared" si="19"/>
        <v>Harrison, WV</v>
      </c>
      <c r="D1223" s="187">
        <v>0.09</v>
      </c>
    </row>
    <row r="1224" spans="1:4">
      <c r="A1224" s="184" t="s">
        <v>746</v>
      </c>
      <c r="B1224" s="184" t="s">
        <v>3201</v>
      </c>
      <c r="C1224" s="184" t="str">
        <f t="shared" si="19"/>
        <v>Harrisonburg City, VA</v>
      </c>
      <c r="D1224" s="187">
        <v>4.3999999999999997E-2</v>
      </c>
    </row>
    <row r="1225" spans="1:4">
      <c r="A1225" s="184" t="s">
        <v>3602</v>
      </c>
      <c r="B1225" s="184" t="s">
        <v>225</v>
      </c>
      <c r="C1225" s="184" t="str">
        <f t="shared" si="19"/>
        <v>Hart, GA</v>
      </c>
      <c r="D1225" s="187">
        <v>4.3999999999999997E-2</v>
      </c>
    </row>
    <row r="1226" spans="1:4">
      <c r="A1226" s="184" t="s">
        <v>529</v>
      </c>
      <c r="B1226" s="184" t="s">
        <v>225</v>
      </c>
      <c r="C1226" s="184" t="str">
        <f t="shared" si="19"/>
        <v>Hart, KY</v>
      </c>
      <c r="D1226" s="187">
        <v>0.09</v>
      </c>
    </row>
    <row r="1227" spans="1:4">
      <c r="A1227" s="184" t="s">
        <v>1178</v>
      </c>
      <c r="B1227" s="184" t="s">
        <v>1007</v>
      </c>
      <c r="C1227" s="184" t="str">
        <f t="shared" si="19"/>
        <v>Hartford, CT</v>
      </c>
      <c r="D1227" s="187">
        <v>4.4999999999999998E-2</v>
      </c>
    </row>
    <row r="1228" spans="1:4">
      <c r="A1228" s="184" t="s">
        <v>3906</v>
      </c>
      <c r="B1228" s="184" t="s">
        <v>2442</v>
      </c>
      <c r="C1228" s="184" t="str">
        <f t="shared" si="19"/>
        <v>Hartley, TX</v>
      </c>
      <c r="D1228" s="187">
        <v>4.3999999999999997E-2</v>
      </c>
    </row>
    <row r="1229" spans="1:4">
      <c r="A1229" s="184" t="s">
        <v>663</v>
      </c>
      <c r="B1229" s="184" t="s">
        <v>2334</v>
      </c>
      <c r="C1229" s="184" t="str">
        <f t="shared" si="19"/>
        <v>Harvey, KS</v>
      </c>
      <c r="D1229" s="187">
        <v>6.0999999999999999E-2</v>
      </c>
    </row>
    <row r="1230" spans="1:4">
      <c r="A1230" s="184" t="s">
        <v>663</v>
      </c>
      <c r="B1230" s="184" t="s">
        <v>1442</v>
      </c>
      <c r="C1230" s="184" t="str">
        <f t="shared" si="19"/>
        <v>Haskell, KS</v>
      </c>
      <c r="D1230" s="187">
        <v>0.09</v>
      </c>
    </row>
    <row r="1231" spans="1:4">
      <c r="A1231" s="184" t="s">
        <v>2573</v>
      </c>
      <c r="B1231" s="184" t="s">
        <v>1442</v>
      </c>
      <c r="C1231" s="184" t="str">
        <f t="shared" si="19"/>
        <v>Haskell, OK</v>
      </c>
      <c r="D1231" s="187">
        <v>0.09</v>
      </c>
    </row>
    <row r="1232" spans="1:4">
      <c r="A1232" s="184" t="s">
        <v>3906</v>
      </c>
      <c r="B1232" s="184" t="s">
        <v>1442</v>
      </c>
      <c r="C1232" s="184" t="str">
        <f t="shared" si="19"/>
        <v>Haskell, TX</v>
      </c>
      <c r="D1232" s="187">
        <v>5.7000000000000002E-2</v>
      </c>
    </row>
    <row r="1233" spans="1:4">
      <c r="A1233" s="184" t="s">
        <v>3873</v>
      </c>
      <c r="B1233" s="184" t="s">
        <v>3449</v>
      </c>
      <c r="C1233" s="184" t="str">
        <f t="shared" si="19"/>
        <v>Hawaii, HI</v>
      </c>
      <c r="D1233" s="187">
        <v>5.7000000000000002E-2</v>
      </c>
    </row>
    <row r="1234" spans="1:4">
      <c r="A1234" s="184" t="s">
        <v>699</v>
      </c>
      <c r="B1234" s="184" t="s">
        <v>704</v>
      </c>
      <c r="C1234" s="184" t="str">
        <f t="shared" si="19"/>
        <v>Hawkins, TN</v>
      </c>
      <c r="D1234" s="187">
        <v>0.09</v>
      </c>
    </row>
    <row r="1235" spans="1:4">
      <c r="A1235" s="184" t="s">
        <v>3442</v>
      </c>
      <c r="B1235" s="184" t="s">
        <v>1105</v>
      </c>
      <c r="C1235" s="184" t="str">
        <f t="shared" si="19"/>
        <v>Hayes, NE</v>
      </c>
      <c r="D1235" s="187">
        <v>0.09</v>
      </c>
    </row>
    <row r="1236" spans="1:4">
      <c r="A1236" s="184" t="s">
        <v>3906</v>
      </c>
      <c r="B1236" s="184" t="s">
        <v>715</v>
      </c>
      <c r="C1236" s="184" t="str">
        <f t="shared" si="19"/>
        <v>Hays, TX</v>
      </c>
      <c r="D1236" s="187">
        <v>6.0999999999999999E-2</v>
      </c>
    </row>
    <row r="1237" spans="1:4">
      <c r="A1237" s="184" t="s">
        <v>2542</v>
      </c>
      <c r="B1237" s="184" t="s">
        <v>3263</v>
      </c>
      <c r="C1237" s="184" t="str">
        <f t="shared" si="19"/>
        <v>Haywood, NC</v>
      </c>
      <c r="D1237" s="187">
        <v>4.3999999999999997E-2</v>
      </c>
    </row>
    <row r="1238" spans="1:4">
      <c r="A1238" s="184" t="s">
        <v>699</v>
      </c>
      <c r="B1238" s="184" t="s">
        <v>3263</v>
      </c>
      <c r="C1238" s="184" t="str">
        <f t="shared" si="19"/>
        <v>Haywood, TN</v>
      </c>
      <c r="D1238" s="187">
        <v>0.09</v>
      </c>
    </row>
    <row r="1239" spans="1:4">
      <c r="A1239" s="184" t="s">
        <v>3602</v>
      </c>
      <c r="B1239" s="184" t="s">
        <v>226</v>
      </c>
      <c r="C1239" s="184" t="str">
        <f t="shared" si="19"/>
        <v>Heard, GA</v>
      </c>
      <c r="D1239" s="187">
        <v>4.3999999999999997E-2</v>
      </c>
    </row>
    <row r="1240" spans="1:4">
      <c r="A1240" s="184" t="s">
        <v>3906</v>
      </c>
      <c r="B1240" s="184" t="s">
        <v>2443</v>
      </c>
      <c r="C1240" s="184" t="str">
        <f t="shared" si="19"/>
        <v>Hemphill, TX</v>
      </c>
      <c r="D1240" s="187">
        <v>4.3999999999999997E-2</v>
      </c>
    </row>
    <row r="1241" spans="1:4">
      <c r="A1241" s="184" t="s">
        <v>566</v>
      </c>
      <c r="B1241" s="184" t="s">
        <v>3002</v>
      </c>
      <c r="C1241" s="184" t="str">
        <f t="shared" si="19"/>
        <v>Hempstead, AR</v>
      </c>
      <c r="D1241" s="187">
        <v>4.3999999999999997E-2</v>
      </c>
    </row>
    <row r="1242" spans="1:4">
      <c r="A1242" s="184" t="s">
        <v>2019</v>
      </c>
      <c r="B1242" s="184" t="s">
        <v>2344</v>
      </c>
      <c r="C1242" s="184" t="str">
        <f t="shared" si="19"/>
        <v>Henderson, IL</v>
      </c>
      <c r="D1242" s="187">
        <v>0.09</v>
      </c>
    </row>
    <row r="1243" spans="1:4">
      <c r="A1243" s="184" t="s">
        <v>529</v>
      </c>
      <c r="B1243" s="184" t="s">
        <v>2344</v>
      </c>
      <c r="C1243" s="184" t="str">
        <f t="shared" si="19"/>
        <v>Henderson, KY</v>
      </c>
      <c r="D1243" s="187">
        <v>6.0999999999999999E-2</v>
      </c>
    </row>
    <row r="1244" spans="1:4">
      <c r="A1244" s="184" t="s">
        <v>2542</v>
      </c>
      <c r="B1244" s="184" t="s">
        <v>2344</v>
      </c>
      <c r="C1244" s="184" t="str">
        <f t="shared" si="19"/>
        <v>Henderson, NC</v>
      </c>
      <c r="D1244" s="187">
        <v>4.3999999999999997E-2</v>
      </c>
    </row>
    <row r="1245" spans="1:4">
      <c r="A1245" s="184" t="s">
        <v>699</v>
      </c>
      <c r="B1245" s="184" t="s">
        <v>2344</v>
      </c>
      <c r="C1245" s="184" t="str">
        <f t="shared" si="19"/>
        <v>Henderson, TN</v>
      </c>
      <c r="D1245" s="187">
        <v>0.09</v>
      </c>
    </row>
    <row r="1246" spans="1:4">
      <c r="A1246" s="184" t="s">
        <v>3906</v>
      </c>
      <c r="B1246" s="184" t="s">
        <v>2344</v>
      </c>
      <c r="C1246" s="184" t="str">
        <f t="shared" si="19"/>
        <v>Henderson, TX</v>
      </c>
      <c r="D1246" s="187">
        <v>6.0999999999999999E-2</v>
      </c>
    </row>
    <row r="1247" spans="1:4">
      <c r="A1247" s="184" t="s">
        <v>2021</v>
      </c>
      <c r="B1247" s="184" t="s">
        <v>2316</v>
      </c>
      <c r="C1247" s="184" t="str">
        <f t="shared" si="19"/>
        <v>Hendricks, IN</v>
      </c>
      <c r="D1247" s="187">
        <v>6.0999999999999999E-2</v>
      </c>
    </row>
    <row r="1248" spans="1:4">
      <c r="A1248" s="184" t="s">
        <v>3594</v>
      </c>
      <c r="B1248" s="184" t="s">
        <v>1191</v>
      </c>
      <c r="C1248" s="184" t="str">
        <f t="shared" si="19"/>
        <v>Hendry, FL</v>
      </c>
      <c r="D1248" s="187">
        <v>4.3999999999999997E-2</v>
      </c>
    </row>
    <row r="1249" spans="1:4">
      <c r="A1249" s="184" t="s">
        <v>3429</v>
      </c>
      <c r="B1249" s="184" t="s">
        <v>2764</v>
      </c>
      <c r="C1249" s="184" t="str">
        <f t="shared" si="19"/>
        <v>Hennepin, MN</v>
      </c>
      <c r="D1249" s="187">
        <v>6.0999999999999999E-2</v>
      </c>
    </row>
    <row r="1250" spans="1:4">
      <c r="A1250" s="184" t="s">
        <v>746</v>
      </c>
      <c r="B1250" s="184" t="s">
        <v>2902</v>
      </c>
      <c r="C1250" s="184" t="str">
        <f t="shared" si="19"/>
        <v>Henrico, VA</v>
      </c>
      <c r="D1250" s="187">
        <v>6.0999999999999999E-2</v>
      </c>
    </row>
    <row r="1251" spans="1:4">
      <c r="A1251" s="184" t="s">
        <v>2000</v>
      </c>
      <c r="B1251" s="184" t="s">
        <v>3868</v>
      </c>
      <c r="C1251" s="184" t="str">
        <f t="shared" si="19"/>
        <v>Henry, AL</v>
      </c>
      <c r="D1251" s="187">
        <v>0.09</v>
      </c>
    </row>
    <row r="1252" spans="1:4">
      <c r="A1252" s="184" t="s">
        <v>3602</v>
      </c>
      <c r="B1252" s="184" t="s">
        <v>3868</v>
      </c>
      <c r="C1252" s="184" t="str">
        <f t="shared" si="19"/>
        <v>Henry, GA</v>
      </c>
      <c r="D1252" s="187">
        <v>6.0999999999999999E-2</v>
      </c>
    </row>
    <row r="1253" spans="1:4">
      <c r="A1253" s="184" t="s">
        <v>2031</v>
      </c>
      <c r="B1253" s="184" t="s">
        <v>3868</v>
      </c>
      <c r="C1253" s="184" t="str">
        <f t="shared" si="19"/>
        <v>Henry, IA</v>
      </c>
      <c r="D1253" s="187">
        <v>0.09</v>
      </c>
    </row>
    <row r="1254" spans="1:4">
      <c r="A1254" s="184" t="s">
        <v>2019</v>
      </c>
      <c r="B1254" s="184" t="s">
        <v>3868</v>
      </c>
      <c r="C1254" s="184" t="str">
        <f t="shared" si="19"/>
        <v>Henry, IL</v>
      </c>
      <c r="D1254" s="187">
        <v>6.0999999999999999E-2</v>
      </c>
    </row>
    <row r="1255" spans="1:4">
      <c r="A1255" s="184" t="s">
        <v>2021</v>
      </c>
      <c r="B1255" s="184" t="s">
        <v>3868</v>
      </c>
      <c r="C1255" s="184" t="str">
        <f t="shared" si="19"/>
        <v>Henry, IN</v>
      </c>
      <c r="D1255" s="187">
        <v>0.09</v>
      </c>
    </row>
    <row r="1256" spans="1:4">
      <c r="A1256" s="184" t="s">
        <v>529</v>
      </c>
      <c r="B1256" s="184" t="s">
        <v>3868</v>
      </c>
      <c r="C1256" s="184" t="str">
        <f t="shared" si="19"/>
        <v>Henry, KY</v>
      </c>
      <c r="D1256" s="187">
        <v>0.09</v>
      </c>
    </row>
    <row r="1257" spans="1:4">
      <c r="A1257" s="184" t="s">
        <v>3434</v>
      </c>
      <c r="B1257" s="184" t="s">
        <v>3868</v>
      </c>
      <c r="C1257" s="184" t="str">
        <f t="shared" si="19"/>
        <v>Henry, MO</v>
      </c>
      <c r="D1257" s="187">
        <v>0.09</v>
      </c>
    </row>
    <row r="1258" spans="1:4">
      <c r="A1258" s="184" t="s">
        <v>2562</v>
      </c>
      <c r="B1258" s="184" t="s">
        <v>3868</v>
      </c>
      <c r="C1258" s="184" t="str">
        <f t="shared" si="19"/>
        <v>Henry, OH</v>
      </c>
      <c r="D1258" s="187">
        <v>0.09</v>
      </c>
    </row>
    <row r="1259" spans="1:4">
      <c r="A1259" s="184" t="s">
        <v>699</v>
      </c>
      <c r="B1259" s="184" t="s">
        <v>3868</v>
      </c>
      <c r="C1259" s="184" t="str">
        <f t="shared" si="19"/>
        <v>Henry, TN</v>
      </c>
      <c r="D1259" s="187">
        <v>0.09</v>
      </c>
    </row>
    <row r="1260" spans="1:4">
      <c r="A1260" s="184" t="s">
        <v>746</v>
      </c>
      <c r="B1260" s="184" t="s">
        <v>3868</v>
      </c>
      <c r="C1260" s="184" t="str">
        <f t="shared" si="19"/>
        <v>Henry, VA</v>
      </c>
      <c r="D1260" s="187">
        <v>4.3999999999999997E-2</v>
      </c>
    </row>
    <row r="1261" spans="1:4">
      <c r="A1261" s="184" t="s">
        <v>3446</v>
      </c>
      <c r="B1261" s="184" t="s">
        <v>2552</v>
      </c>
      <c r="C1261" s="184" t="str">
        <f t="shared" si="19"/>
        <v>Herkimer, NY</v>
      </c>
      <c r="D1261" s="187">
        <v>0.09</v>
      </c>
    </row>
    <row r="1262" spans="1:4">
      <c r="A1262" s="184" t="s">
        <v>3594</v>
      </c>
      <c r="B1262" s="184" t="s">
        <v>3419</v>
      </c>
      <c r="C1262" s="184" t="str">
        <f t="shared" si="19"/>
        <v>Hernando, FL</v>
      </c>
      <c r="D1262" s="187">
        <v>5.7000000000000002E-2</v>
      </c>
    </row>
    <row r="1263" spans="1:4">
      <c r="A1263" s="184" t="s">
        <v>2542</v>
      </c>
      <c r="B1263" s="184" t="s">
        <v>3264</v>
      </c>
      <c r="C1263" s="184" t="str">
        <f t="shared" si="19"/>
        <v>Hertford, NC</v>
      </c>
      <c r="D1263" s="187">
        <v>4.3999999999999997E-2</v>
      </c>
    </row>
    <row r="1264" spans="1:4">
      <c r="A1264" s="184" t="s">
        <v>2558</v>
      </c>
      <c r="B1264" s="184" t="s">
        <v>187</v>
      </c>
      <c r="C1264" s="184" t="str">
        <f t="shared" si="19"/>
        <v>Hettinger, ND</v>
      </c>
      <c r="D1264" s="187">
        <v>0.09</v>
      </c>
    </row>
    <row r="1265" spans="1:4">
      <c r="A1265" s="184" t="s">
        <v>529</v>
      </c>
      <c r="B1265" s="184" t="s">
        <v>415</v>
      </c>
      <c r="C1265" s="184" t="str">
        <f t="shared" si="19"/>
        <v>Hickman, KY</v>
      </c>
      <c r="D1265" s="187">
        <v>0.09</v>
      </c>
    </row>
    <row r="1266" spans="1:4">
      <c r="A1266" s="184" t="s">
        <v>699</v>
      </c>
      <c r="B1266" s="184" t="s">
        <v>415</v>
      </c>
      <c r="C1266" s="184" t="str">
        <f t="shared" si="19"/>
        <v>Hickman, TN</v>
      </c>
      <c r="D1266" s="187">
        <v>0.09</v>
      </c>
    </row>
    <row r="1267" spans="1:4">
      <c r="A1267" s="184" t="s">
        <v>3434</v>
      </c>
      <c r="B1267" s="184" t="s">
        <v>2780</v>
      </c>
      <c r="C1267" s="184" t="str">
        <f t="shared" si="19"/>
        <v>Hickory, MO</v>
      </c>
      <c r="D1267" s="187">
        <v>0.09</v>
      </c>
    </row>
    <row r="1268" spans="1:4">
      <c r="A1268" s="184" t="s">
        <v>3622</v>
      </c>
      <c r="B1268" s="184" t="s">
        <v>503</v>
      </c>
      <c r="C1268" s="184" t="str">
        <f t="shared" si="19"/>
        <v>Hidalgo, NM</v>
      </c>
      <c r="D1268" s="187">
        <v>5.7000000000000002E-2</v>
      </c>
    </row>
    <row r="1269" spans="1:4">
      <c r="A1269" s="184" t="s">
        <v>3906</v>
      </c>
      <c r="B1269" s="184" t="s">
        <v>503</v>
      </c>
      <c r="C1269" s="184" t="str">
        <f t="shared" si="19"/>
        <v>Hidalgo, TX</v>
      </c>
      <c r="D1269" s="187">
        <v>4.3999999999999997E-2</v>
      </c>
    </row>
    <row r="1270" spans="1:4">
      <c r="A1270" s="184" t="s">
        <v>2562</v>
      </c>
      <c r="B1270" s="184" t="s">
        <v>3973</v>
      </c>
      <c r="C1270" s="184" t="str">
        <f t="shared" si="19"/>
        <v>Highland, OH</v>
      </c>
      <c r="D1270" s="187">
        <v>0.09</v>
      </c>
    </row>
    <row r="1271" spans="1:4">
      <c r="A1271" s="184" t="s">
        <v>746</v>
      </c>
      <c r="B1271" s="184" t="s">
        <v>3973</v>
      </c>
      <c r="C1271" s="184" t="str">
        <f t="shared" si="19"/>
        <v>Highland, VA</v>
      </c>
      <c r="D1271" s="187">
        <v>4.3999999999999997E-2</v>
      </c>
    </row>
    <row r="1272" spans="1:4">
      <c r="A1272" s="184" t="s">
        <v>3594</v>
      </c>
      <c r="B1272" s="184" t="s">
        <v>172</v>
      </c>
      <c r="C1272" s="184" t="str">
        <f t="shared" si="19"/>
        <v>Highlands, FL</v>
      </c>
      <c r="D1272" s="187">
        <v>4.3999999999999997E-2</v>
      </c>
    </row>
    <row r="1273" spans="1:4">
      <c r="A1273" s="184" t="s">
        <v>3438</v>
      </c>
      <c r="B1273" s="184" t="s">
        <v>2812</v>
      </c>
      <c r="C1273" s="184" t="str">
        <f t="shared" si="19"/>
        <v>Hill, MT</v>
      </c>
      <c r="D1273" s="187">
        <v>0.09</v>
      </c>
    </row>
    <row r="1274" spans="1:4">
      <c r="A1274" s="184" t="s">
        <v>3906</v>
      </c>
      <c r="B1274" s="184" t="s">
        <v>2812</v>
      </c>
      <c r="C1274" s="184" t="str">
        <f t="shared" si="19"/>
        <v>Hill, TX</v>
      </c>
      <c r="D1274" s="187">
        <v>4.3999999999999997E-2</v>
      </c>
    </row>
    <row r="1275" spans="1:4">
      <c r="A1275" s="184" t="s">
        <v>3594</v>
      </c>
      <c r="B1275" s="184" t="s">
        <v>769</v>
      </c>
      <c r="C1275" s="184" t="str">
        <f t="shared" si="19"/>
        <v>Hillsborough, FL</v>
      </c>
      <c r="D1275" s="187">
        <v>2.1999999999999999E-2</v>
      </c>
    </row>
    <row r="1276" spans="1:4">
      <c r="A1276" s="184" t="s">
        <v>2868</v>
      </c>
      <c r="B1276" s="184" t="s">
        <v>769</v>
      </c>
      <c r="C1276" s="184" t="str">
        <f t="shared" si="19"/>
        <v>Hillsborough, NH</v>
      </c>
      <c r="D1276" s="187">
        <v>6.0999999999999999E-2</v>
      </c>
    </row>
    <row r="1277" spans="1:4">
      <c r="A1277" s="184" t="s">
        <v>2090</v>
      </c>
      <c r="B1277" s="184" t="s">
        <v>645</v>
      </c>
      <c r="C1277" s="184" t="str">
        <f t="shared" si="19"/>
        <v>Hillsdale, MI</v>
      </c>
      <c r="D1277" s="187">
        <v>0.09</v>
      </c>
    </row>
    <row r="1278" spans="1:4">
      <c r="A1278" s="184" t="s">
        <v>3035</v>
      </c>
      <c r="B1278" s="184" t="s">
        <v>3310</v>
      </c>
      <c r="C1278" s="184" t="str">
        <f t="shared" si="19"/>
        <v>Hinds, MS</v>
      </c>
      <c r="D1278" s="187">
        <v>4.3999999999999997E-2</v>
      </c>
    </row>
    <row r="1279" spans="1:4">
      <c r="A1279" s="184" t="s">
        <v>3108</v>
      </c>
      <c r="B1279" s="184" t="s">
        <v>1157</v>
      </c>
      <c r="C1279" s="184" t="str">
        <f t="shared" si="19"/>
        <v>Hinsdale, CO</v>
      </c>
      <c r="D1279" s="187">
        <v>4.3999999999999997E-2</v>
      </c>
    </row>
    <row r="1280" spans="1:4">
      <c r="A1280" s="184" t="s">
        <v>3442</v>
      </c>
      <c r="B1280" s="184" t="s">
        <v>1106</v>
      </c>
      <c r="C1280" s="184" t="str">
        <f t="shared" si="19"/>
        <v>Hitchcock, NE</v>
      </c>
      <c r="D1280" s="187">
        <v>0.09</v>
      </c>
    </row>
    <row r="1281" spans="1:4">
      <c r="A1281" s="184" t="s">
        <v>2562</v>
      </c>
      <c r="B1281" s="184" t="s">
        <v>2163</v>
      </c>
      <c r="C1281" s="184" t="str">
        <f t="shared" si="19"/>
        <v>Hocking, OH</v>
      </c>
      <c r="D1281" s="187">
        <v>0.09</v>
      </c>
    </row>
    <row r="1282" spans="1:4">
      <c r="A1282" s="184" t="s">
        <v>3906</v>
      </c>
      <c r="B1282" s="184" t="s">
        <v>2444</v>
      </c>
      <c r="C1282" s="184" t="str">
        <f t="shared" si="19"/>
        <v>Hockley, TX</v>
      </c>
      <c r="D1282" s="187">
        <v>4.3999999999999997E-2</v>
      </c>
    </row>
    <row r="1283" spans="1:4">
      <c r="A1283" s="184" t="s">
        <v>663</v>
      </c>
      <c r="B1283" s="184" t="s">
        <v>1443</v>
      </c>
      <c r="C1283" s="184" t="str">
        <f t="shared" si="19"/>
        <v>Hodgeman, KS</v>
      </c>
      <c r="D1283" s="187">
        <v>0.09</v>
      </c>
    </row>
    <row r="1284" spans="1:4">
      <c r="A1284" s="184" t="s">
        <v>2542</v>
      </c>
      <c r="B1284" s="184" t="s">
        <v>3265</v>
      </c>
      <c r="C1284" s="184" t="str">
        <f t="shared" si="19"/>
        <v>Hoke, NC</v>
      </c>
      <c r="D1284" s="187">
        <v>4.3999999999999997E-2</v>
      </c>
    </row>
    <row r="1285" spans="1:4">
      <c r="A1285" s="184" t="s">
        <v>3594</v>
      </c>
      <c r="B1285" s="184" t="s">
        <v>173</v>
      </c>
      <c r="C1285" s="184" t="str">
        <f t="shared" si="19"/>
        <v>Holmes, FL</v>
      </c>
      <c r="D1285" s="187">
        <v>4.3999999999999997E-2</v>
      </c>
    </row>
    <row r="1286" spans="1:4">
      <c r="A1286" s="184" t="s">
        <v>3035</v>
      </c>
      <c r="B1286" s="184" t="s">
        <v>173</v>
      </c>
      <c r="C1286" s="184" t="str">
        <f t="shared" ref="C1286:C1349" si="20">B1286&amp;", "&amp;A1286</f>
        <v>Holmes, MS</v>
      </c>
      <c r="D1286" s="187">
        <v>3.5000000000000003E-2</v>
      </c>
    </row>
    <row r="1287" spans="1:4">
      <c r="A1287" s="184" t="s">
        <v>2562</v>
      </c>
      <c r="B1287" s="184" t="s">
        <v>173</v>
      </c>
      <c r="C1287" s="184" t="str">
        <f t="shared" si="20"/>
        <v>Holmes, OH</v>
      </c>
      <c r="D1287" s="187">
        <v>0.09</v>
      </c>
    </row>
    <row r="1288" spans="1:4">
      <c r="A1288" s="184" t="s">
        <v>3434</v>
      </c>
      <c r="B1288" s="184" t="s">
        <v>2781</v>
      </c>
      <c r="C1288" s="184" t="str">
        <f t="shared" si="20"/>
        <v>Holt, MO</v>
      </c>
      <c r="D1288" s="187">
        <v>0.09</v>
      </c>
    </row>
    <row r="1289" spans="1:4">
      <c r="A1289" s="184" t="s">
        <v>3442</v>
      </c>
      <c r="B1289" s="184" t="s">
        <v>2781</v>
      </c>
      <c r="C1289" s="184" t="str">
        <f t="shared" si="20"/>
        <v>Holt, NE</v>
      </c>
      <c r="D1289" s="187">
        <v>0.09</v>
      </c>
    </row>
    <row r="1290" spans="1:4">
      <c r="A1290" s="184" t="s">
        <v>3873</v>
      </c>
      <c r="B1290" s="184" t="s">
        <v>3874</v>
      </c>
      <c r="C1290" s="184" t="str">
        <f t="shared" si="20"/>
        <v>Honolulu, HI</v>
      </c>
      <c r="D1290" s="187">
        <v>6.0999999999999999E-2</v>
      </c>
    </row>
    <row r="1291" spans="1:4">
      <c r="A1291" s="184" t="s">
        <v>3906</v>
      </c>
      <c r="B1291" s="184" t="s">
        <v>3537</v>
      </c>
      <c r="C1291" s="184" t="str">
        <f t="shared" si="20"/>
        <v>Hood, TX</v>
      </c>
      <c r="D1291" s="187">
        <v>3.5000000000000003E-2</v>
      </c>
    </row>
    <row r="1292" spans="1:4">
      <c r="A1292" s="184" t="s">
        <v>3353</v>
      </c>
      <c r="B1292" s="184" t="s">
        <v>2263</v>
      </c>
      <c r="C1292" s="184" t="str">
        <f t="shared" si="20"/>
        <v>Hood River, OR</v>
      </c>
      <c r="D1292" s="187">
        <v>0.09</v>
      </c>
    </row>
    <row r="1293" spans="1:4">
      <c r="A1293" s="184" t="s">
        <v>3442</v>
      </c>
      <c r="B1293" s="184" t="s">
        <v>1107</v>
      </c>
      <c r="C1293" s="184" t="str">
        <f t="shared" si="20"/>
        <v>Hooker, NE</v>
      </c>
      <c r="D1293" s="187">
        <v>0.09</v>
      </c>
    </row>
    <row r="1294" spans="1:4">
      <c r="A1294" s="184" t="s">
        <v>746</v>
      </c>
      <c r="B1294" s="184" t="s">
        <v>578</v>
      </c>
      <c r="C1294" s="184" t="str">
        <f t="shared" si="20"/>
        <v>Hopewell City, VA</v>
      </c>
      <c r="D1294" s="187">
        <v>4.4999999999999998E-2</v>
      </c>
    </row>
    <row r="1295" spans="1:4">
      <c r="A1295" s="184" t="s">
        <v>529</v>
      </c>
      <c r="B1295" s="184" t="s">
        <v>416</v>
      </c>
      <c r="C1295" s="184" t="str">
        <f t="shared" si="20"/>
        <v>Hopkins, KY</v>
      </c>
      <c r="D1295" s="187">
        <v>0.09</v>
      </c>
    </row>
    <row r="1296" spans="1:4">
      <c r="A1296" s="184" t="s">
        <v>3906</v>
      </c>
      <c r="B1296" s="184" t="s">
        <v>416</v>
      </c>
      <c r="C1296" s="184" t="str">
        <f t="shared" si="20"/>
        <v>Hopkins, TX</v>
      </c>
      <c r="D1296" s="187">
        <v>4.3999999999999997E-2</v>
      </c>
    </row>
    <row r="1297" spans="1:4">
      <c r="A1297" s="184" t="s">
        <v>1942</v>
      </c>
      <c r="B1297" s="184" t="s">
        <v>98</v>
      </c>
      <c r="C1297" s="184" t="str">
        <f t="shared" si="20"/>
        <v>Horry, SC</v>
      </c>
      <c r="D1297" s="187">
        <v>4.3999999999999997E-2</v>
      </c>
    </row>
    <row r="1298" spans="1:4">
      <c r="A1298" s="184" t="s">
        <v>566</v>
      </c>
      <c r="B1298" s="184" t="s">
        <v>3003</v>
      </c>
      <c r="C1298" s="184" t="str">
        <f t="shared" si="20"/>
        <v>Hot Spring, AR</v>
      </c>
      <c r="D1298" s="187">
        <v>4.3999999999999997E-2</v>
      </c>
    </row>
    <row r="1299" spans="1:4">
      <c r="A1299" s="184" t="s">
        <v>1033</v>
      </c>
      <c r="B1299" s="184" t="s">
        <v>869</v>
      </c>
      <c r="C1299" s="184" t="str">
        <f t="shared" si="20"/>
        <v>Hot Springs, WY</v>
      </c>
      <c r="D1299" s="187">
        <v>0.09</v>
      </c>
    </row>
    <row r="1300" spans="1:4">
      <c r="A1300" s="184" t="s">
        <v>2090</v>
      </c>
      <c r="B1300" s="184" t="s">
        <v>646</v>
      </c>
      <c r="C1300" s="184" t="str">
        <f t="shared" si="20"/>
        <v>Houghton, MI</v>
      </c>
      <c r="D1300" s="187">
        <v>0.09</v>
      </c>
    </row>
    <row r="1301" spans="1:4">
      <c r="A1301" s="184" t="s">
        <v>2000</v>
      </c>
      <c r="B1301" s="184" t="s">
        <v>2008</v>
      </c>
      <c r="C1301" s="184" t="str">
        <f t="shared" si="20"/>
        <v>Houston, AL</v>
      </c>
      <c r="D1301" s="187">
        <v>0.09</v>
      </c>
    </row>
    <row r="1302" spans="1:4">
      <c r="A1302" s="184" t="s">
        <v>3602</v>
      </c>
      <c r="B1302" s="184" t="s">
        <v>2008</v>
      </c>
      <c r="C1302" s="184" t="str">
        <f t="shared" si="20"/>
        <v>Houston, GA</v>
      </c>
      <c r="D1302" s="187">
        <v>4.3999999999999997E-2</v>
      </c>
    </row>
    <row r="1303" spans="1:4">
      <c r="A1303" s="184" t="s">
        <v>3429</v>
      </c>
      <c r="B1303" s="184" t="s">
        <v>2008</v>
      </c>
      <c r="C1303" s="184" t="str">
        <f t="shared" si="20"/>
        <v>Houston, MN</v>
      </c>
      <c r="D1303" s="187">
        <v>6.0999999999999999E-2</v>
      </c>
    </row>
    <row r="1304" spans="1:4">
      <c r="A1304" s="184" t="s">
        <v>699</v>
      </c>
      <c r="B1304" s="184" t="s">
        <v>2008</v>
      </c>
      <c r="C1304" s="184" t="str">
        <f t="shared" si="20"/>
        <v>Houston, TN</v>
      </c>
      <c r="D1304" s="187">
        <v>0.09</v>
      </c>
    </row>
    <row r="1305" spans="1:4">
      <c r="A1305" s="184" t="s">
        <v>3906</v>
      </c>
      <c r="B1305" s="184" t="s">
        <v>2008</v>
      </c>
      <c r="C1305" s="184" t="str">
        <f t="shared" si="20"/>
        <v>Houston, TX</v>
      </c>
      <c r="D1305" s="187">
        <v>5.7000000000000002E-2</v>
      </c>
    </row>
    <row r="1306" spans="1:4">
      <c r="A1306" s="184" t="s">
        <v>566</v>
      </c>
      <c r="B1306" s="184" t="s">
        <v>2317</v>
      </c>
      <c r="C1306" s="184" t="str">
        <f t="shared" si="20"/>
        <v>Howard, AR</v>
      </c>
      <c r="D1306" s="187">
        <v>4.3999999999999997E-2</v>
      </c>
    </row>
    <row r="1307" spans="1:4">
      <c r="A1307" s="184" t="s">
        <v>2031</v>
      </c>
      <c r="B1307" s="184" t="s">
        <v>2317</v>
      </c>
      <c r="C1307" s="184" t="str">
        <f t="shared" si="20"/>
        <v>Howard, IA</v>
      </c>
      <c r="D1307" s="187">
        <v>0.09</v>
      </c>
    </row>
    <row r="1308" spans="1:4">
      <c r="A1308" s="184" t="s">
        <v>2021</v>
      </c>
      <c r="B1308" s="184" t="s">
        <v>2317</v>
      </c>
      <c r="C1308" s="184" t="str">
        <f t="shared" si="20"/>
        <v>Howard, IN</v>
      </c>
      <c r="D1308" s="187">
        <v>6.0999999999999999E-2</v>
      </c>
    </row>
    <row r="1309" spans="1:4">
      <c r="A1309" s="184" t="s">
        <v>2087</v>
      </c>
      <c r="B1309" s="184" t="s">
        <v>2317</v>
      </c>
      <c r="C1309" s="184" t="str">
        <f t="shared" si="20"/>
        <v>Howard, MD</v>
      </c>
      <c r="D1309" s="187">
        <v>6.0999999999999999E-2</v>
      </c>
    </row>
    <row r="1310" spans="1:4">
      <c r="A1310" s="184" t="s">
        <v>3434</v>
      </c>
      <c r="B1310" s="184" t="s">
        <v>2317</v>
      </c>
      <c r="C1310" s="184" t="str">
        <f t="shared" si="20"/>
        <v>Howard, MO</v>
      </c>
      <c r="D1310" s="187">
        <v>0.09</v>
      </c>
    </row>
    <row r="1311" spans="1:4">
      <c r="A1311" s="184" t="s">
        <v>3442</v>
      </c>
      <c r="B1311" s="184" t="s">
        <v>2317</v>
      </c>
      <c r="C1311" s="184" t="str">
        <f t="shared" si="20"/>
        <v>Howard, NE</v>
      </c>
      <c r="D1311" s="187">
        <v>0.09</v>
      </c>
    </row>
    <row r="1312" spans="1:4">
      <c r="A1312" s="184" t="s">
        <v>3906</v>
      </c>
      <c r="B1312" s="184" t="s">
        <v>2317</v>
      </c>
      <c r="C1312" s="184" t="str">
        <f t="shared" si="20"/>
        <v>Howard, TX</v>
      </c>
      <c r="D1312" s="187">
        <v>4.3999999999999997E-2</v>
      </c>
    </row>
    <row r="1313" spans="1:4">
      <c r="A1313" s="184" t="s">
        <v>3434</v>
      </c>
      <c r="B1313" s="184" t="s">
        <v>2782</v>
      </c>
      <c r="C1313" s="184" t="str">
        <f t="shared" si="20"/>
        <v>Howell, MO</v>
      </c>
      <c r="D1313" s="187">
        <v>0.09</v>
      </c>
    </row>
    <row r="1314" spans="1:4">
      <c r="A1314" s="184" t="s">
        <v>3429</v>
      </c>
      <c r="B1314" s="184" t="s">
        <v>1486</v>
      </c>
      <c r="C1314" s="184" t="str">
        <f t="shared" si="20"/>
        <v>Hubbard, MN</v>
      </c>
      <c r="D1314" s="187">
        <v>0.09</v>
      </c>
    </row>
    <row r="1315" spans="1:4">
      <c r="A1315" s="184" t="s">
        <v>3444</v>
      </c>
      <c r="B1315" s="184" t="s">
        <v>3445</v>
      </c>
      <c r="C1315" s="184" t="str">
        <f t="shared" si="20"/>
        <v>Hudson, NJ</v>
      </c>
      <c r="D1315" s="187">
        <v>0.09</v>
      </c>
    </row>
    <row r="1316" spans="1:4">
      <c r="A1316" s="184" t="s">
        <v>3906</v>
      </c>
      <c r="B1316" s="184" t="s">
        <v>2445</v>
      </c>
      <c r="C1316" s="184" t="str">
        <f t="shared" si="20"/>
        <v>Hudspeth, TX</v>
      </c>
      <c r="D1316" s="187">
        <v>4.3999999999999997E-2</v>
      </c>
    </row>
    <row r="1317" spans="1:4">
      <c r="A1317" s="184" t="s">
        <v>3108</v>
      </c>
      <c r="B1317" s="184" t="s">
        <v>1158</v>
      </c>
      <c r="C1317" s="184" t="str">
        <f t="shared" si="20"/>
        <v>Huerfano, CO</v>
      </c>
      <c r="D1317" s="187">
        <v>4.3999999999999997E-2</v>
      </c>
    </row>
    <row r="1318" spans="1:4">
      <c r="A1318" s="184" t="s">
        <v>2573</v>
      </c>
      <c r="B1318" s="184" t="s">
        <v>444</v>
      </c>
      <c r="C1318" s="184" t="str">
        <f t="shared" si="20"/>
        <v>Hughes, OK</v>
      </c>
      <c r="D1318" s="187">
        <v>0.09</v>
      </c>
    </row>
    <row r="1319" spans="1:4">
      <c r="A1319" s="184" t="s">
        <v>1944</v>
      </c>
      <c r="B1319" s="184" t="s">
        <v>444</v>
      </c>
      <c r="C1319" s="184" t="str">
        <f t="shared" si="20"/>
        <v>Hughes, SD</v>
      </c>
      <c r="D1319" s="187">
        <v>4.3999999999999997E-2</v>
      </c>
    </row>
    <row r="1320" spans="1:4">
      <c r="A1320" s="184" t="s">
        <v>3106</v>
      </c>
      <c r="B1320" s="184" t="s">
        <v>1966</v>
      </c>
      <c r="C1320" s="184" t="str">
        <f t="shared" si="20"/>
        <v>Humboldt, CA</v>
      </c>
      <c r="D1320" s="187">
        <v>5.7000000000000002E-2</v>
      </c>
    </row>
    <row r="1321" spans="1:4">
      <c r="A1321" s="184" t="s">
        <v>2031</v>
      </c>
      <c r="B1321" s="184" t="s">
        <v>1966</v>
      </c>
      <c r="C1321" s="184" t="str">
        <f t="shared" si="20"/>
        <v>Humboldt, IA</v>
      </c>
      <c r="D1321" s="187">
        <v>0.09</v>
      </c>
    </row>
    <row r="1322" spans="1:4">
      <c r="A1322" s="184" t="s">
        <v>3043</v>
      </c>
      <c r="B1322" s="184" t="s">
        <v>1966</v>
      </c>
      <c r="C1322" s="184" t="str">
        <f t="shared" si="20"/>
        <v>Humboldt, NV</v>
      </c>
      <c r="D1322" s="187">
        <v>0.09</v>
      </c>
    </row>
    <row r="1323" spans="1:4">
      <c r="A1323" s="184" t="s">
        <v>3035</v>
      </c>
      <c r="B1323" s="184" t="s">
        <v>2034</v>
      </c>
      <c r="C1323" s="184" t="str">
        <f t="shared" si="20"/>
        <v>Humphreys, MS</v>
      </c>
      <c r="D1323" s="187">
        <v>3.5000000000000003E-2</v>
      </c>
    </row>
    <row r="1324" spans="1:4">
      <c r="A1324" s="184" t="s">
        <v>699</v>
      </c>
      <c r="B1324" s="184" t="s">
        <v>2034</v>
      </c>
      <c r="C1324" s="184" t="str">
        <f t="shared" si="20"/>
        <v>Humphreys, TN</v>
      </c>
      <c r="D1324" s="187">
        <v>0.09</v>
      </c>
    </row>
    <row r="1325" spans="1:4">
      <c r="A1325" s="184" t="s">
        <v>3906</v>
      </c>
      <c r="B1325" s="184" t="s">
        <v>716</v>
      </c>
      <c r="C1325" s="184" t="str">
        <f t="shared" si="20"/>
        <v>Hunt, TX</v>
      </c>
      <c r="D1325" s="187">
        <v>6.0999999999999999E-2</v>
      </c>
    </row>
    <row r="1326" spans="1:4">
      <c r="A1326" s="184" t="s">
        <v>3444</v>
      </c>
      <c r="B1326" s="184" t="s">
        <v>3614</v>
      </c>
      <c r="C1326" s="184" t="str">
        <f t="shared" si="20"/>
        <v>Hunterdon, NJ</v>
      </c>
      <c r="D1326" s="187">
        <v>6.0999999999999999E-2</v>
      </c>
    </row>
    <row r="1327" spans="1:4">
      <c r="A1327" s="184" t="s">
        <v>3356</v>
      </c>
      <c r="B1327" s="184" t="s">
        <v>2274</v>
      </c>
      <c r="C1327" s="184" t="str">
        <f t="shared" si="20"/>
        <v>Huntingdon, PA</v>
      </c>
      <c r="D1327" s="187">
        <v>0.09</v>
      </c>
    </row>
    <row r="1328" spans="1:4">
      <c r="A1328" s="184" t="s">
        <v>2021</v>
      </c>
      <c r="B1328" s="184" t="s">
        <v>2318</v>
      </c>
      <c r="C1328" s="184" t="str">
        <f t="shared" si="20"/>
        <v>Huntington, IN</v>
      </c>
      <c r="D1328" s="187">
        <v>6.0999999999999999E-2</v>
      </c>
    </row>
    <row r="1329" spans="1:4">
      <c r="A1329" s="184" t="s">
        <v>2090</v>
      </c>
      <c r="B1329" s="184" t="s">
        <v>647</v>
      </c>
      <c r="C1329" s="184" t="str">
        <f t="shared" si="20"/>
        <v>Huron, MI</v>
      </c>
      <c r="D1329" s="187">
        <v>0.09</v>
      </c>
    </row>
    <row r="1330" spans="1:4">
      <c r="A1330" s="184" t="s">
        <v>2562</v>
      </c>
      <c r="B1330" s="184" t="s">
        <v>647</v>
      </c>
      <c r="C1330" s="184" t="str">
        <f t="shared" si="20"/>
        <v>Huron, OH</v>
      </c>
      <c r="D1330" s="187">
        <v>0.09</v>
      </c>
    </row>
    <row r="1331" spans="1:4">
      <c r="A1331" s="184" t="s">
        <v>1944</v>
      </c>
      <c r="B1331" s="184" t="s">
        <v>1718</v>
      </c>
      <c r="C1331" s="184" t="str">
        <f t="shared" si="20"/>
        <v>Hutchinson, SD</v>
      </c>
      <c r="D1331" s="187">
        <v>4.3999999999999997E-2</v>
      </c>
    </row>
    <row r="1332" spans="1:4">
      <c r="A1332" s="184" t="s">
        <v>3906</v>
      </c>
      <c r="B1332" s="184" t="s">
        <v>1718</v>
      </c>
      <c r="C1332" s="184" t="str">
        <f t="shared" si="20"/>
        <v>Hutchinson, TX</v>
      </c>
      <c r="D1332" s="187">
        <v>4.3999999999999997E-2</v>
      </c>
    </row>
    <row r="1333" spans="1:4">
      <c r="A1333" s="184" t="s">
        <v>2542</v>
      </c>
      <c r="B1333" s="184" t="s">
        <v>3266</v>
      </c>
      <c r="C1333" s="184" t="str">
        <f t="shared" si="20"/>
        <v>Hyde, NC</v>
      </c>
      <c r="D1333" s="187">
        <v>4.3999999999999997E-2</v>
      </c>
    </row>
    <row r="1334" spans="1:4">
      <c r="A1334" s="184" t="s">
        <v>1944</v>
      </c>
      <c r="B1334" s="184" t="s">
        <v>3266</v>
      </c>
      <c r="C1334" s="184" t="str">
        <f t="shared" si="20"/>
        <v>Hyde, SD</v>
      </c>
      <c r="D1334" s="187">
        <v>4.3999999999999997E-2</v>
      </c>
    </row>
    <row r="1335" spans="1:4">
      <c r="A1335" s="184" t="s">
        <v>535</v>
      </c>
      <c r="B1335" s="184" t="s">
        <v>763</v>
      </c>
      <c r="C1335" s="184" t="str">
        <f t="shared" si="20"/>
        <v>Iberia, LA</v>
      </c>
      <c r="D1335" s="187">
        <v>0.09</v>
      </c>
    </row>
    <row r="1336" spans="1:4">
      <c r="A1336" s="184" t="s">
        <v>535</v>
      </c>
      <c r="B1336" s="184" t="s">
        <v>1574</v>
      </c>
      <c r="C1336" s="184" t="str">
        <f t="shared" si="20"/>
        <v>Iberville, LA</v>
      </c>
      <c r="D1336" s="187">
        <v>5.7000000000000002E-2</v>
      </c>
    </row>
    <row r="1337" spans="1:4">
      <c r="A1337" s="184" t="s">
        <v>2031</v>
      </c>
      <c r="B1337" s="184" t="s">
        <v>1967</v>
      </c>
      <c r="C1337" s="184" t="str">
        <f t="shared" si="20"/>
        <v>Ida, IA</v>
      </c>
      <c r="D1337" s="187">
        <v>0.09</v>
      </c>
    </row>
    <row r="1338" spans="1:4">
      <c r="A1338" s="184" t="s">
        <v>3875</v>
      </c>
      <c r="B1338" s="184" t="s">
        <v>1265</v>
      </c>
      <c r="C1338" s="184" t="str">
        <f t="shared" si="20"/>
        <v>Idaho, ID</v>
      </c>
      <c r="D1338" s="187">
        <v>4.3999999999999997E-2</v>
      </c>
    </row>
    <row r="1339" spans="1:4">
      <c r="A1339" s="184" t="s">
        <v>3106</v>
      </c>
      <c r="B1339" s="184" t="s">
        <v>3406</v>
      </c>
      <c r="C1339" s="184" t="str">
        <f t="shared" si="20"/>
        <v>Imperial, CA</v>
      </c>
      <c r="D1339" s="187">
        <v>5.7000000000000002E-2</v>
      </c>
    </row>
    <row r="1340" spans="1:4">
      <c r="A1340" s="184" t="s">
        <v>566</v>
      </c>
      <c r="B1340" s="184" t="s">
        <v>3004</v>
      </c>
      <c r="C1340" s="184" t="str">
        <f t="shared" si="20"/>
        <v>Independence, AR</v>
      </c>
      <c r="D1340" s="187">
        <v>4.3999999999999997E-2</v>
      </c>
    </row>
    <row r="1341" spans="1:4">
      <c r="A1341" s="184" t="s">
        <v>3594</v>
      </c>
      <c r="B1341" s="184" t="s">
        <v>174</v>
      </c>
      <c r="C1341" s="184" t="str">
        <f t="shared" si="20"/>
        <v>Indian River, FL</v>
      </c>
      <c r="D1341" s="187">
        <v>4.3999999999999997E-2</v>
      </c>
    </row>
    <row r="1342" spans="1:4">
      <c r="A1342" s="184" t="s">
        <v>3356</v>
      </c>
      <c r="B1342" s="184" t="s">
        <v>2275</v>
      </c>
      <c r="C1342" s="184" t="str">
        <f t="shared" si="20"/>
        <v>Indiana, PA</v>
      </c>
      <c r="D1342" s="187">
        <v>0.09</v>
      </c>
    </row>
    <row r="1343" spans="1:4">
      <c r="A1343" s="184" t="s">
        <v>2090</v>
      </c>
      <c r="B1343" s="184" t="s">
        <v>2418</v>
      </c>
      <c r="C1343" s="184" t="str">
        <f t="shared" si="20"/>
        <v>Ingham, MI</v>
      </c>
      <c r="D1343" s="187">
        <v>5.7000000000000002E-2</v>
      </c>
    </row>
    <row r="1344" spans="1:4">
      <c r="A1344" s="184" t="s">
        <v>3106</v>
      </c>
      <c r="B1344" s="184" t="s">
        <v>3019</v>
      </c>
      <c r="C1344" s="184" t="str">
        <f t="shared" si="20"/>
        <v>Inyo, CA</v>
      </c>
      <c r="D1344" s="187">
        <v>0.09</v>
      </c>
    </row>
    <row r="1345" spans="1:4">
      <c r="A1345" s="184" t="s">
        <v>2090</v>
      </c>
      <c r="B1345" s="184" t="s">
        <v>648</v>
      </c>
      <c r="C1345" s="184" t="str">
        <f t="shared" si="20"/>
        <v>Ionia, MI</v>
      </c>
      <c r="D1345" s="187">
        <v>0.09</v>
      </c>
    </row>
    <row r="1346" spans="1:4">
      <c r="A1346" s="184" t="s">
        <v>2090</v>
      </c>
      <c r="B1346" s="184" t="s">
        <v>649</v>
      </c>
      <c r="C1346" s="184" t="str">
        <f t="shared" si="20"/>
        <v>Iosco, MI</v>
      </c>
      <c r="D1346" s="187">
        <v>0.09</v>
      </c>
    </row>
    <row r="1347" spans="1:4">
      <c r="A1347" s="184" t="s">
        <v>2031</v>
      </c>
      <c r="B1347" s="184" t="s">
        <v>1968</v>
      </c>
      <c r="C1347" s="184" t="str">
        <f t="shared" si="20"/>
        <v>Iowa, IA</v>
      </c>
      <c r="D1347" s="187">
        <v>0.09</v>
      </c>
    </row>
    <row r="1348" spans="1:4">
      <c r="A1348" s="184" t="s">
        <v>550</v>
      </c>
      <c r="B1348" s="184" t="s">
        <v>1968</v>
      </c>
      <c r="C1348" s="184" t="str">
        <f t="shared" si="20"/>
        <v>Iowa, WI</v>
      </c>
      <c r="D1348" s="187">
        <v>0.09</v>
      </c>
    </row>
    <row r="1349" spans="1:4">
      <c r="A1349" s="184" t="s">
        <v>2542</v>
      </c>
      <c r="B1349" s="184" t="s">
        <v>3267</v>
      </c>
      <c r="C1349" s="184" t="str">
        <f t="shared" si="20"/>
        <v>Iredell, NC</v>
      </c>
      <c r="D1349" s="187">
        <v>4.3999999999999997E-2</v>
      </c>
    </row>
    <row r="1350" spans="1:4">
      <c r="A1350" s="184" t="s">
        <v>3906</v>
      </c>
      <c r="B1350" s="184" t="s">
        <v>2446</v>
      </c>
      <c r="C1350" s="184" t="str">
        <f t="shared" ref="C1350:C1413" si="21">B1350&amp;", "&amp;A1350</f>
        <v>Irion, TX</v>
      </c>
      <c r="D1350" s="187">
        <v>4.3999999999999997E-2</v>
      </c>
    </row>
    <row r="1351" spans="1:4">
      <c r="A1351" s="184" t="s">
        <v>2090</v>
      </c>
      <c r="B1351" s="184" t="s">
        <v>2464</v>
      </c>
      <c r="C1351" s="184" t="str">
        <f t="shared" si="21"/>
        <v>Iron, MI</v>
      </c>
      <c r="D1351" s="187">
        <v>0.09</v>
      </c>
    </row>
    <row r="1352" spans="1:4">
      <c r="A1352" s="184" t="s">
        <v>3434</v>
      </c>
      <c r="B1352" s="184" t="s">
        <v>2464</v>
      </c>
      <c r="C1352" s="184" t="str">
        <f t="shared" si="21"/>
        <v>Iron, MO</v>
      </c>
      <c r="D1352" s="187">
        <v>3.5000000000000003E-2</v>
      </c>
    </row>
    <row r="1353" spans="1:4">
      <c r="A1353" s="184" t="s">
        <v>742</v>
      </c>
      <c r="B1353" s="184" t="s">
        <v>2464</v>
      </c>
      <c r="C1353" s="184" t="str">
        <f t="shared" si="21"/>
        <v>Iron, UT</v>
      </c>
      <c r="D1353" s="187">
        <v>4.3999999999999997E-2</v>
      </c>
    </row>
    <row r="1354" spans="1:4">
      <c r="A1354" s="184" t="s">
        <v>550</v>
      </c>
      <c r="B1354" s="184" t="s">
        <v>2464</v>
      </c>
      <c r="C1354" s="184" t="str">
        <f t="shared" si="21"/>
        <v>Iron, WI</v>
      </c>
      <c r="D1354" s="187">
        <v>0.09</v>
      </c>
    </row>
    <row r="1355" spans="1:4">
      <c r="A1355" s="184" t="s">
        <v>2019</v>
      </c>
      <c r="B1355" s="184" t="s">
        <v>3368</v>
      </c>
      <c r="C1355" s="184" t="str">
        <f t="shared" si="21"/>
        <v>Iroquois, IL</v>
      </c>
      <c r="D1355" s="187">
        <v>0.09</v>
      </c>
    </row>
    <row r="1356" spans="1:4">
      <c r="A1356" s="184" t="s">
        <v>3602</v>
      </c>
      <c r="B1356" s="184" t="s">
        <v>227</v>
      </c>
      <c r="C1356" s="184" t="str">
        <f t="shared" si="21"/>
        <v>Irwin, GA</v>
      </c>
      <c r="D1356" s="187">
        <v>4.3999999999999997E-2</v>
      </c>
    </row>
    <row r="1357" spans="1:4">
      <c r="A1357" s="184" t="s">
        <v>2090</v>
      </c>
      <c r="B1357" s="184" t="s">
        <v>650</v>
      </c>
      <c r="C1357" s="184" t="str">
        <f t="shared" si="21"/>
        <v>Isabella, MI</v>
      </c>
      <c r="D1357" s="187">
        <v>0.09</v>
      </c>
    </row>
    <row r="1358" spans="1:4">
      <c r="A1358" s="184" t="s">
        <v>3429</v>
      </c>
      <c r="B1358" s="184" t="s">
        <v>2765</v>
      </c>
      <c r="C1358" s="184" t="str">
        <f t="shared" si="21"/>
        <v>Isanti, MN</v>
      </c>
      <c r="D1358" s="187">
        <v>6.0999999999999999E-2</v>
      </c>
    </row>
    <row r="1359" spans="1:4">
      <c r="A1359" s="184" t="s">
        <v>1278</v>
      </c>
      <c r="B1359" s="184" t="s">
        <v>3183</v>
      </c>
      <c r="C1359" s="184" t="str">
        <f t="shared" si="21"/>
        <v>Island, WA</v>
      </c>
      <c r="D1359" s="187">
        <v>6.0999999999999999E-2</v>
      </c>
    </row>
    <row r="1360" spans="1:4">
      <c r="A1360" s="184" t="s">
        <v>746</v>
      </c>
      <c r="B1360" s="184" t="s">
        <v>2903</v>
      </c>
      <c r="C1360" s="184" t="str">
        <f t="shared" si="21"/>
        <v>Isle of Wight, VA</v>
      </c>
      <c r="D1360" s="187">
        <v>6.0999999999999999E-2</v>
      </c>
    </row>
    <row r="1361" spans="1:4">
      <c r="A1361" s="184" t="s">
        <v>3035</v>
      </c>
      <c r="B1361" s="184" t="s">
        <v>3841</v>
      </c>
      <c r="C1361" s="184" t="str">
        <f t="shared" si="21"/>
        <v>Issaquena, MS</v>
      </c>
      <c r="D1361" s="187">
        <v>4.3999999999999997E-2</v>
      </c>
    </row>
    <row r="1362" spans="1:4">
      <c r="A1362" s="184" t="s">
        <v>3429</v>
      </c>
      <c r="B1362" s="184" t="s">
        <v>1487</v>
      </c>
      <c r="C1362" s="184" t="str">
        <f t="shared" si="21"/>
        <v>Itasca, MN</v>
      </c>
      <c r="D1362" s="187">
        <v>0.09</v>
      </c>
    </row>
    <row r="1363" spans="1:4">
      <c r="A1363" s="184" t="s">
        <v>3035</v>
      </c>
      <c r="B1363" s="184" t="s">
        <v>3842</v>
      </c>
      <c r="C1363" s="184" t="str">
        <f t="shared" si="21"/>
        <v>Itawamba, MS</v>
      </c>
      <c r="D1363" s="187">
        <v>4.3999999999999997E-2</v>
      </c>
    </row>
    <row r="1364" spans="1:4">
      <c r="A1364" s="184" t="s">
        <v>566</v>
      </c>
      <c r="B1364" s="184" t="s">
        <v>3005</v>
      </c>
      <c r="C1364" s="184" t="str">
        <f t="shared" si="21"/>
        <v>Izard, AR</v>
      </c>
      <c r="D1364" s="187">
        <v>4.3999999999999997E-2</v>
      </c>
    </row>
    <row r="1365" spans="1:4">
      <c r="A1365" s="184" t="s">
        <v>3906</v>
      </c>
      <c r="B1365" s="184" t="s">
        <v>2447</v>
      </c>
      <c r="C1365" s="184" t="str">
        <f t="shared" si="21"/>
        <v>Jack, TX</v>
      </c>
      <c r="D1365" s="187">
        <v>4.3999999999999997E-2</v>
      </c>
    </row>
    <row r="1366" spans="1:4">
      <c r="A1366" s="184" t="s">
        <v>2000</v>
      </c>
      <c r="B1366" s="184" t="s">
        <v>3354</v>
      </c>
      <c r="C1366" s="184" t="str">
        <f t="shared" si="21"/>
        <v>Jackson, AL</v>
      </c>
      <c r="D1366" s="187">
        <v>0.09</v>
      </c>
    </row>
    <row r="1367" spans="1:4">
      <c r="A1367" s="184" t="s">
        <v>566</v>
      </c>
      <c r="B1367" s="184" t="s">
        <v>3354</v>
      </c>
      <c r="C1367" s="184" t="str">
        <f t="shared" si="21"/>
        <v>Jackson, AR</v>
      </c>
      <c r="D1367" s="187">
        <v>5.7000000000000002E-2</v>
      </c>
    </row>
    <row r="1368" spans="1:4">
      <c r="A1368" s="184" t="s">
        <v>3108</v>
      </c>
      <c r="B1368" s="184" t="s">
        <v>3354</v>
      </c>
      <c r="C1368" s="184" t="str">
        <f t="shared" si="21"/>
        <v>Jackson, CO</v>
      </c>
      <c r="D1368" s="187">
        <v>4.3999999999999997E-2</v>
      </c>
    </row>
    <row r="1369" spans="1:4">
      <c r="A1369" s="184" t="s">
        <v>3594</v>
      </c>
      <c r="B1369" s="184" t="s">
        <v>3354</v>
      </c>
      <c r="C1369" s="184" t="str">
        <f t="shared" si="21"/>
        <v>Jackson, FL</v>
      </c>
      <c r="D1369" s="187">
        <v>4.3999999999999997E-2</v>
      </c>
    </row>
    <row r="1370" spans="1:4">
      <c r="A1370" s="184" t="s">
        <v>3602</v>
      </c>
      <c r="B1370" s="184" t="s">
        <v>3354</v>
      </c>
      <c r="C1370" s="184" t="str">
        <f t="shared" si="21"/>
        <v>Jackson, GA</v>
      </c>
      <c r="D1370" s="187">
        <v>4.3999999999999997E-2</v>
      </c>
    </row>
    <row r="1371" spans="1:4">
      <c r="A1371" s="184" t="s">
        <v>2031</v>
      </c>
      <c r="B1371" s="184" t="s">
        <v>3354</v>
      </c>
      <c r="C1371" s="184" t="str">
        <f t="shared" si="21"/>
        <v>Jackson, IA</v>
      </c>
      <c r="D1371" s="187">
        <v>0.09</v>
      </c>
    </row>
    <row r="1372" spans="1:4">
      <c r="A1372" s="184" t="s">
        <v>2019</v>
      </c>
      <c r="B1372" s="184" t="s">
        <v>3354</v>
      </c>
      <c r="C1372" s="184" t="str">
        <f t="shared" si="21"/>
        <v>Jackson, IL</v>
      </c>
      <c r="D1372" s="187">
        <v>0.09</v>
      </c>
    </row>
    <row r="1373" spans="1:4">
      <c r="A1373" s="184" t="s">
        <v>2021</v>
      </c>
      <c r="B1373" s="184" t="s">
        <v>3354</v>
      </c>
      <c r="C1373" s="184" t="str">
        <f t="shared" si="21"/>
        <v>Jackson, IN</v>
      </c>
      <c r="D1373" s="187">
        <v>0.09</v>
      </c>
    </row>
    <row r="1374" spans="1:4">
      <c r="A1374" s="184" t="s">
        <v>663</v>
      </c>
      <c r="B1374" s="184" t="s">
        <v>3354</v>
      </c>
      <c r="C1374" s="184" t="str">
        <f t="shared" si="21"/>
        <v>Jackson, KS</v>
      </c>
      <c r="D1374" s="187">
        <v>0.09</v>
      </c>
    </row>
    <row r="1375" spans="1:4">
      <c r="A1375" s="184" t="s">
        <v>529</v>
      </c>
      <c r="B1375" s="184" t="s">
        <v>3354</v>
      </c>
      <c r="C1375" s="184" t="str">
        <f t="shared" si="21"/>
        <v>Jackson, KY</v>
      </c>
      <c r="D1375" s="187">
        <v>5.7000000000000002E-2</v>
      </c>
    </row>
    <row r="1376" spans="1:4">
      <c r="A1376" s="184" t="s">
        <v>535</v>
      </c>
      <c r="B1376" s="184" t="s">
        <v>3354</v>
      </c>
      <c r="C1376" s="184" t="str">
        <f t="shared" si="21"/>
        <v>Jackson, LA</v>
      </c>
      <c r="D1376" s="187">
        <v>0.09</v>
      </c>
    </row>
    <row r="1377" spans="1:4">
      <c r="A1377" s="184" t="s">
        <v>2090</v>
      </c>
      <c r="B1377" s="184" t="s">
        <v>3354</v>
      </c>
      <c r="C1377" s="184" t="str">
        <f t="shared" si="21"/>
        <v>Jackson, MI</v>
      </c>
      <c r="D1377" s="187">
        <v>5.7000000000000002E-2</v>
      </c>
    </row>
    <row r="1378" spans="1:4">
      <c r="A1378" s="184" t="s">
        <v>3429</v>
      </c>
      <c r="B1378" s="184" t="s">
        <v>3354</v>
      </c>
      <c r="C1378" s="184" t="str">
        <f t="shared" si="21"/>
        <v>Jackson, MN</v>
      </c>
      <c r="D1378" s="187">
        <v>0.09</v>
      </c>
    </row>
    <row r="1379" spans="1:4">
      <c r="A1379" s="184" t="s">
        <v>3434</v>
      </c>
      <c r="B1379" s="184" t="s">
        <v>3354</v>
      </c>
      <c r="C1379" s="184" t="str">
        <f t="shared" si="21"/>
        <v>Jackson, MO</v>
      </c>
      <c r="D1379" s="187">
        <v>2.1999999999999999E-2</v>
      </c>
    </row>
    <row r="1380" spans="1:4">
      <c r="A1380" s="184" t="s">
        <v>3035</v>
      </c>
      <c r="B1380" s="184" t="s">
        <v>3354</v>
      </c>
      <c r="C1380" s="184" t="str">
        <f t="shared" si="21"/>
        <v>Jackson, MS</v>
      </c>
      <c r="D1380" s="187">
        <v>4.3999999999999997E-2</v>
      </c>
    </row>
    <row r="1381" spans="1:4">
      <c r="A1381" s="184" t="s">
        <v>2542</v>
      </c>
      <c r="B1381" s="184" t="s">
        <v>3354</v>
      </c>
      <c r="C1381" s="184" t="str">
        <f t="shared" si="21"/>
        <v>Jackson, NC</v>
      </c>
      <c r="D1381" s="187">
        <v>4.3999999999999997E-2</v>
      </c>
    </row>
    <row r="1382" spans="1:4">
      <c r="A1382" s="184" t="s">
        <v>2562</v>
      </c>
      <c r="B1382" s="184" t="s">
        <v>3354</v>
      </c>
      <c r="C1382" s="184" t="str">
        <f t="shared" si="21"/>
        <v>Jackson, OH</v>
      </c>
      <c r="D1382" s="187">
        <v>0.09</v>
      </c>
    </row>
    <row r="1383" spans="1:4">
      <c r="A1383" s="184" t="s">
        <v>2573</v>
      </c>
      <c r="B1383" s="184" t="s">
        <v>3354</v>
      </c>
      <c r="C1383" s="184" t="str">
        <f t="shared" si="21"/>
        <v>Jackson, OK</v>
      </c>
      <c r="D1383" s="187">
        <v>0.09</v>
      </c>
    </row>
    <row r="1384" spans="1:4">
      <c r="A1384" s="184" t="s">
        <v>3353</v>
      </c>
      <c r="B1384" s="184" t="s">
        <v>3354</v>
      </c>
      <c r="C1384" s="184" t="str">
        <f t="shared" si="21"/>
        <v>Jackson, OR</v>
      </c>
      <c r="D1384" s="187">
        <v>0.09</v>
      </c>
    </row>
    <row r="1385" spans="1:4">
      <c r="A1385" s="184" t="s">
        <v>1944</v>
      </c>
      <c r="B1385" s="184" t="s">
        <v>3354</v>
      </c>
      <c r="C1385" s="184" t="str">
        <f t="shared" si="21"/>
        <v>Jackson, SD</v>
      </c>
      <c r="D1385" s="187">
        <v>4.3999999999999997E-2</v>
      </c>
    </row>
    <row r="1386" spans="1:4">
      <c r="A1386" s="184" t="s">
        <v>699</v>
      </c>
      <c r="B1386" s="184" t="s">
        <v>3354</v>
      </c>
      <c r="C1386" s="184" t="str">
        <f t="shared" si="21"/>
        <v>Jackson, TN</v>
      </c>
      <c r="D1386" s="187">
        <v>0.09</v>
      </c>
    </row>
    <row r="1387" spans="1:4">
      <c r="A1387" s="184" t="s">
        <v>3906</v>
      </c>
      <c r="B1387" s="184" t="s">
        <v>3354</v>
      </c>
      <c r="C1387" s="184" t="str">
        <f t="shared" si="21"/>
        <v>Jackson, TX</v>
      </c>
      <c r="D1387" s="187">
        <v>4.3999999999999997E-2</v>
      </c>
    </row>
    <row r="1388" spans="1:4">
      <c r="A1388" s="184" t="s">
        <v>550</v>
      </c>
      <c r="B1388" s="184" t="s">
        <v>3354</v>
      </c>
      <c r="C1388" s="184" t="str">
        <f t="shared" si="21"/>
        <v>Jackson, WI</v>
      </c>
      <c r="D1388" s="187">
        <v>0.09</v>
      </c>
    </row>
    <row r="1389" spans="1:4">
      <c r="A1389" s="184" t="s">
        <v>542</v>
      </c>
      <c r="B1389" s="184" t="s">
        <v>3354</v>
      </c>
      <c r="C1389" s="184" t="str">
        <f t="shared" si="21"/>
        <v>Jackson, WV</v>
      </c>
      <c r="D1389" s="187">
        <v>0.09</v>
      </c>
    </row>
    <row r="1390" spans="1:4">
      <c r="A1390" s="184" t="s">
        <v>746</v>
      </c>
      <c r="B1390" s="184" t="s">
        <v>2904</v>
      </c>
      <c r="C1390" s="184" t="str">
        <f t="shared" si="21"/>
        <v>James City, VA</v>
      </c>
      <c r="D1390" s="187">
        <v>6.0999999999999999E-2</v>
      </c>
    </row>
    <row r="1391" spans="1:4">
      <c r="A1391" s="184" t="s">
        <v>3602</v>
      </c>
      <c r="B1391" s="184" t="s">
        <v>3436</v>
      </c>
      <c r="C1391" s="184" t="str">
        <f t="shared" si="21"/>
        <v>Jasper, GA</v>
      </c>
      <c r="D1391" s="187">
        <v>4.3999999999999997E-2</v>
      </c>
    </row>
    <row r="1392" spans="1:4">
      <c r="A1392" s="184" t="s">
        <v>2031</v>
      </c>
      <c r="B1392" s="184" t="s">
        <v>3436</v>
      </c>
      <c r="C1392" s="184" t="str">
        <f t="shared" si="21"/>
        <v>Jasper, IA</v>
      </c>
      <c r="D1392" s="187">
        <v>0.09</v>
      </c>
    </row>
    <row r="1393" spans="1:4">
      <c r="A1393" s="184" t="s">
        <v>2019</v>
      </c>
      <c r="B1393" s="184" t="s">
        <v>3436</v>
      </c>
      <c r="C1393" s="184" t="str">
        <f t="shared" si="21"/>
        <v>Jasper, IL</v>
      </c>
      <c r="D1393" s="187">
        <v>0.09</v>
      </c>
    </row>
    <row r="1394" spans="1:4">
      <c r="A1394" s="184" t="s">
        <v>2021</v>
      </c>
      <c r="B1394" s="184" t="s">
        <v>3436</v>
      </c>
      <c r="C1394" s="184" t="str">
        <f t="shared" si="21"/>
        <v>Jasper, IN</v>
      </c>
      <c r="D1394" s="187">
        <v>0.09</v>
      </c>
    </row>
    <row r="1395" spans="1:4">
      <c r="A1395" s="184" t="s">
        <v>3434</v>
      </c>
      <c r="B1395" s="184" t="s">
        <v>3436</v>
      </c>
      <c r="C1395" s="184" t="str">
        <f t="shared" si="21"/>
        <v>Jasper, MO</v>
      </c>
      <c r="D1395" s="187">
        <v>0.09</v>
      </c>
    </row>
    <row r="1396" spans="1:4">
      <c r="A1396" s="184" t="s">
        <v>3035</v>
      </c>
      <c r="B1396" s="184" t="s">
        <v>3436</v>
      </c>
      <c r="C1396" s="184" t="str">
        <f t="shared" si="21"/>
        <v>Jasper, MS</v>
      </c>
      <c r="D1396" s="187">
        <v>4.3999999999999997E-2</v>
      </c>
    </row>
    <row r="1397" spans="1:4">
      <c r="A1397" s="184" t="s">
        <v>1942</v>
      </c>
      <c r="B1397" s="184" t="s">
        <v>3436</v>
      </c>
      <c r="C1397" s="184" t="str">
        <f t="shared" si="21"/>
        <v>Jasper, SC</v>
      </c>
      <c r="D1397" s="187">
        <v>4.3999999999999997E-2</v>
      </c>
    </row>
    <row r="1398" spans="1:4">
      <c r="A1398" s="184" t="s">
        <v>3906</v>
      </c>
      <c r="B1398" s="184" t="s">
        <v>3436</v>
      </c>
      <c r="C1398" s="184" t="str">
        <f t="shared" si="21"/>
        <v>Jasper, TX</v>
      </c>
      <c r="D1398" s="187">
        <v>4.3999999999999997E-2</v>
      </c>
    </row>
    <row r="1399" spans="1:4">
      <c r="A1399" s="184" t="s">
        <v>2021</v>
      </c>
      <c r="B1399" s="184" t="s">
        <v>2830</v>
      </c>
      <c r="C1399" s="184" t="str">
        <f t="shared" si="21"/>
        <v>Jay, IN</v>
      </c>
      <c r="D1399" s="187">
        <v>0.09</v>
      </c>
    </row>
    <row r="1400" spans="1:4">
      <c r="A1400" s="184" t="s">
        <v>3602</v>
      </c>
      <c r="B1400" s="184" t="s">
        <v>228</v>
      </c>
      <c r="C1400" s="184" t="str">
        <f t="shared" si="21"/>
        <v>Jeff Davis, GA</v>
      </c>
      <c r="D1400" s="187">
        <v>4.3999999999999997E-2</v>
      </c>
    </row>
    <row r="1401" spans="1:4">
      <c r="A1401" s="184" t="s">
        <v>3906</v>
      </c>
      <c r="B1401" s="184" t="s">
        <v>228</v>
      </c>
      <c r="C1401" s="184" t="str">
        <f t="shared" si="21"/>
        <v>Jeff Davis, TX</v>
      </c>
      <c r="D1401" s="187">
        <v>4.3999999999999997E-2</v>
      </c>
    </row>
    <row r="1402" spans="1:4">
      <c r="A1402" s="184" t="s">
        <v>2000</v>
      </c>
      <c r="B1402" s="184" t="s">
        <v>2568</v>
      </c>
      <c r="C1402" s="184" t="str">
        <f t="shared" si="21"/>
        <v>Jefferson, AL</v>
      </c>
      <c r="D1402" s="187">
        <v>6.0999999999999999E-2</v>
      </c>
    </row>
    <row r="1403" spans="1:4">
      <c r="A1403" s="184" t="s">
        <v>566</v>
      </c>
      <c r="B1403" s="184" t="s">
        <v>2568</v>
      </c>
      <c r="C1403" s="184" t="str">
        <f t="shared" si="21"/>
        <v>Jefferson, AR</v>
      </c>
      <c r="D1403" s="187">
        <v>4.3999999999999997E-2</v>
      </c>
    </row>
    <row r="1404" spans="1:4">
      <c r="A1404" s="184" t="s">
        <v>3108</v>
      </c>
      <c r="B1404" s="184" t="s">
        <v>2568</v>
      </c>
      <c r="C1404" s="184" t="str">
        <f t="shared" si="21"/>
        <v>Jefferson, CO</v>
      </c>
      <c r="D1404" s="187">
        <v>5.7000000000000002E-2</v>
      </c>
    </row>
    <row r="1405" spans="1:4">
      <c r="A1405" s="184" t="s">
        <v>3594</v>
      </c>
      <c r="B1405" s="184" t="s">
        <v>2568</v>
      </c>
      <c r="C1405" s="184" t="str">
        <f t="shared" si="21"/>
        <v>Jefferson, FL</v>
      </c>
      <c r="D1405" s="187">
        <v>3.5000000000000003E-2</v>
      </c>
    </row>
    <row r="1406" spans="1:4">
      <c r="A1406" s="184" t="s">
        <v>3602</v>
      </c>
      <c r="B1406" s="184" t="s">
        <v>2568</v>
      </c>
      <c r="C1406" s="184" t="str">
        <f t="shared" si="21"/>
        <v>Jefferson, GA</v>
      </c>
      <c r="D1406" s="187">
        <v>5.7000000000000002E-2</v>
      </c>
    </row>
    <row r="1407" spans="1:4">
      <c r="A1407" s="184" t="s">
        <v>2031</v>
      </c>
      <c r="B1407" s="184" t="s">
        <v>2568</v>
      </c>
      <c r="C1407" s="184" t="str">
        <f t="shared" si="21"/>
        <v>Jefferson, IA</v>
      </c>
      <c r="D1407" s="187">
        <v>0.09</v>
      </c>
    </row>
    <row r="1408" spans="1:4">
      <c r="A1408" s="184" t="s">
        <v>3875</v>
      </c>
      <c r="B1408" s="184" t="s">
        <v>2568</v>
      </c>
      <c r="C1408" s="184" t="str">
        <f t="shared" si="21"/>
        <v>Jefferson, ID</v>
      </c>
      <c r="D1408" s="187">
        <v>4.3999999999999997E-2</v>
      </c>
    </row>
    <row r="1409" spans="1:4">
      <c r="A1409" s="184" t="s">
        <v>2019</v>
      </c>
      <c r="B1409" s="184" t="s">
        <v>2568</v>
      </c>
      <c r="C1409" s="184" t="str">
        <f t="shared" si="21"/>
        <v>Jefferson, IL</v>
      </c>
      <c r="D1409" s="187">
        <v>0.09</v>
      </c>
    </row>
    <row r="1410" spans="1:4">
      <c r="A1410" s="184" t="s">
        <v>2021</v>
      </c>
      <c r="B1410" s="184" t="s">
        <v>2568</v>
      </c>
      <c r="C1410" s="184" t="str">
        <f t="shared" si="21"/>
        <v>Jefferson, IN</v>
      </c>
      <c r="D1410" s="187">
        <v>0.09</v>
      </c>
    </row>
    <row r="1411" spans="1:4">
      <c r="A1411" s="184" t="s">
        <v>663</v>
      </c>
      <c r="B1411" s="184" t="s">
        <v>2568</v>
      </c>
      <c r="C1411" s="184" t="str">
        <f t="shared" si="21"/>
        <v>Jefferson, KS</v>
      </c>
      <c r="D1411" s="187">
        <v>0.09</v>
      </c>
    </row>
    <row r="1412" spans="1:4">
      <c r="A1412" s="184" t="s">
        <v>529</v>
      </c>
      <c r="B1412" s="184" t="s">
        <v>2568</v>
      </c>
      <c r="C1412" s="184" t="str">
        <f t="shared" si="21"/>
        <v>Jefferson, KY</v>
      </c>
      <c r="D1412" s="187">
        <v>4.4999999999999998E-2</v>
      </c>
    </row>
    <row r="1413" spans="1:4">
      <c r="A1413" s="184" t="s">
        <v>535</v>
      </c>
      <c r="B1413" s="184" t="s">
        <v>2568</v>
      </c>
      <c r="C1413" s="184" t="str">
        <f t="shared" si="21"/>
        <v>Jefferson, LA</v>
      </c>
      <c r="D1413" s="187">
        <v>5.7000000000000002E-2</v>
      </c>
    </row>
    <row r="1414" spans="1:4">
      <c r="A1414" s="184" t="s">
        <v>3434</v>
      </c>
      <c r="B1414" s="184" t="s">
        <v>2568</v>
      </c>
      <c r="C1414" s="184" t="str">
        <f t="shared" ref="C1414:C1477" si="22">B1414&amp;", "&amp;A1414</f>
        <v>Jefferson, MO</v>
      </c>
      <c r="D1414" s="187">
        <v>6.0999999999999999E-2</v>
      </c>
    </row>
    <row r="1415" spans="1:4">
      <c r="A1415" s="184" t="s">
        <v>3035</v>
      </c>
      <c r="B1415" s="184" t="s">
        <v>2568</v>
      </c>
      <c r="C1415" s="184" t="str">
        <f t="shared" si="22"/>
        <v>Jefferson, MS</v>
      </c>
      <c r="D1415" s="187">
        <v>5.7000000000000002E-2</v>
      </c>
    </row>
    <row r="1416" spans="1:4">
      <c r="A1416" s="184" t="s">
        <v>3438</v>
      </c>
      <c r="B1416" s="184" t="s">
        <v>2568</v>
      </c>
      <c r="C1416" s="184" t="str">
        <f t="shared" si="22"/>
        <v>Jefferson, MT</v>
      </c>
      <c r="D1416" s="187">
        <v>0.09</v>
      </c>
    </row>
    <row r="1417" spans="1:4">
      <c r="A1417" s="184" t="s">
        <v>3442</v>
      </c>
      <c r="B1417" s="184" t="s">
        <v>2568</v>
      </c>
      <c r="C1417" s="184" t="str">
        <f t="shared" si="22"/>
        <v>Jefferson, NE</v>
      </c>
      <c r="D1417" s="187">
        <v>0.09</v>
      </c>
    </row>
    <row r="1418" spans="1:4">
      <c r="A1418" s="184" t="s">
        <v>3446</v>
      </c>
      <c r="B1418" s="184" t="s">
        <v>2568</v>
      </c>
      <c r="C1418" s="184" t="str">
        <f t="shared" si="22"/>
        <v>Jefferson, NY</v>
      </c>
      <c r="D1418" s="187">
        <v>0.09</v>
      </c>
    </row>
    <row r="1419" spans="1:4">
      <c r="A1419" s="184" t="s">
        <v>2562</v>
      </c>
      <c r="B1419" s="184" t="s">
        <v>2568</v>
      </c>
      <c r="C1419" s="184" t="str">
        <f t="shared" si="22"/>
        <v>Jefferson, OH</v>
      </c>
      <c r="D1419" s="187">
        <v>0.09</v>
      </c>
    </row>
    <row r="1420" spans="1:4">
      <c r="A1420" s="184" t="s">
        <v>2573</v>
      </c>
      <c r="B1420" s="184" t="s">
        <v>2568</v>
      </c>
      <c r="C1420" s="184" t="str">
        <f t="shared" si="22"/>
        <v>Jefferson, OK</v>
      </c>
      <c r="D1420" s="187">
        <v>0.09</v>
      </c>
    </row>
    <row r="1421" spans="1:4">
      <c r="A1421" s="184" t="s">
        <v>3353</v>
      </c>
      <c r="B1421" s="184" t="s">
        <v>2568</v>
      </c>
      <c r="C1421" s="184" t="str">
        <f t="shared" si="22"/>
        <v>Jefferson, OR</v>
      </c>
      <c r="D1421" s="187">
        <v>0.09</v>
      </c>
    </row>
    <row r="1422" spans="1:4">
      <c r="A1422" s="184" t="s">
        <v>3356</v>
      </c>
      <c r="B1422" s="184" t="s">
        <v>2568</v>
      </c>
      <c r="C1422" s="184" t="str">
        <f t="shared" si="22"/>
        <v>Jefferson, PA</v>
      </c>
      <c r="D1422" s="187">
        <v>0.09</v>
      </c>
    </row>
    <row r="1423" spans="1:4">
      <c r="A1423" s="184" t="s">
        <v>699</v>
      </c>
      <c r="B1423" s="184" t="s">
        <v>2568</v>
      </c>
      <c r="C1423" s="184" t="str">
        <f t="shared" si="22"/>
        <v>Jefferson, TN</v>
      </c>
      <c r="D1423" s="187">
        <v>0.09</v>
      </c>
    </row>
    <row r="1424" spans="1:4">
      <c r="A1424" s="184" t="s">
        <v>3906</v>
      </c>
      <c r="B1424" s="184" t="s">
        <v>2568</v>
      </c>
      <c r="C1424" s="184" t="str">
        <f t="shared" si="22"/>
        <v>Jefferson, TX</v>
      </c>
      <c r="D1424" s="187">
        <v>4.3999999999999997E-2</v>
      </c>
    </row>
    <row r="1425" spans="1:4">
      <c r="A1425" s="184" t="s">
        <v>1278</v>
      </c>
      <c r="B1425" s="184" t="s">
        <v>2568</v>
      </c>
      <c r="C1425" s="184" t="str">
        <f t="shared" si="22"/>
        <v>Jefferson, WA</v>
      </c>
      <c r="D1425" s="187">
        <v>0.09</v>
      </c>
    </row>
    <row r="1426" spans="1:4">
      <c r="A1426" s="184" t="s">
        <v>550</v>
      </c>
      <c r="B1426" s="184" t="s">
        <v>2568</v>
      </c>
      <c r="C1426" s="184" t="str">
        <f t="shared" si="22"/>
        <v>Jefferson, WI</v>
      </c>
      <c r="D1426" s="187">
        <v>0.09</v>
      </c>
    </row>
    <row r="1427" spans="1:4">
      <c r="A1427" s="184" t="s">
        <v>542</v>
      </c>
      <c r="B1427" s="184" t="s">
        <v>2568</v>
      </c>
      <c r="C1427" s="184" t="str">
        <f t="shared" si="22"/>
        <v>Jefferson, WV</v>
      </c>
      <c r="D1427" s="187">
        <v>6.0999999999999999E-2</v>
      </c>
    </row>
    <row r="1428" spans="1:4">
      <c r="A1428" s="184" t="s">
        <v>535</v>
      </c>
      <c r="B1428" s="184" t="s">
        <v>764</v>
      </c>
      <c r="C1428" s="184" t="str">
        <f t="shared" si="22"/>
        <v>Jefferson Davis, LA</v>
      </c>
      <c r="D1428" s="187">
        <v>0.09</v>
      </c>
    </row>
    <row r="1429" spans="1:4">
      <c r="A1429" s="184" t="s">
        <v>3035</v>
      </c>
      <c r="B1429" s="184" t="s">
        <v>764</v>
      </c>
      <c r="C1429" s="184" t="str">
        <f t="shared" si="22"/>
        <v>Jefferson Davis, MS</v>
      </c>
      <c r="D1429" s="187">
        <v>4.3999999999999997E-2</v>
      </c>
    </row>
    <row r="1430" spans="1:4">
      <c r="A1430" s="184" t="s">
        <v>3602</v>
      </c>
      <c r="B1430" s="184" t="s">
        <v>3427</v>
      </c>
      <c r="C1430" s="184" t="str">
        <f t="shared" si="22"/>
        <v>Jenkins, GA</v>
      </c>
      <c r="D1430" s="187">
        <v>5.7000000000000002E-2</v>
      </c>
    </row>
    <row r="1431" spans="1:4">
      <c r="A1431" s="184" t="s">
        <v>2021</v>
      </c>
      <c r="B1431" s="184" t="s">
        <v>2831</v>
      </c>
      <c r="C1431" s="184" t="str">
        <f t="shared" si="22"/>
        <v>Jennings, IN</v>
      </c>
      <c r="D1431" s="187">
        <v>0.09</v>
      </c>
    </row>
    <row r="1432" spans="1:4">
      <c r="A1432" s="184" t="s">
        <v>1944</v>
      </c>
      <c r="B1432" s="184" t="s">
        <v>1719</v>
      </c>
      <c r="C1432" s="184" t="str">
        <f t="shared" si="22"/>
        <v>Jerauld, SD</v>
      </c>
      <c r="D1432" s="187">
        <v>4.3999999999999997E-2</v>
      </c>
    </row>
    <row r="1433" spans="1:4">
      <c r="A1433" s="184" t="s">
        <v>3875</v>
      </c>
      <c r="B1433" s="184" t="s">
        <v>1266</v>
      </c>
      <c r="C1433" s="184" t="str">
        <f t="shared" si="22"/>
        <v>Jerome, ID</v>
      </c>
      <c r="D1433" s="187">
        <v>4.3999999999999997E-2</v>
      </c>
    </row>
    <row r="1434" spans="1:4">
      <c r="A1434" s="184" t="s">
        <v>2019</v>
      </c>
      <c r="B1434" s="184" t="s">
        <v>2287</v>
      </c>
      <c r="C1434" s="184" t="str">
        <f t="shared" si="22"/>
        <v>Jersey, IL</v>
      </c>
      <c r="D1434" s="187">
        <v>6.0999999999999999E-2</v>
      </c>
    </row>
    <row r="1435" spans="1:4">
      <c r="A1435" s="184" t="s">
        <v>529</v>
      </c>
      <c r="B1435" s="184" t="s">
        <v>948</v>
      </c>
      <c r="C1435" s="184" t="str">
        <f t="shared" si="22"/>
        <v>Jessamine, KY</v>
      </c>
      <c r="D1435" s="187">
        <v>3.5000000000000003E-2</v>
      </c>
    </row>
    <row r="1436" spans="1:4">
      <c r="A1436" s="184" t="s">
        <v>663</v>
      </c>
      <c r="B1436" s="184" t="s">
        <v>1444</v>
      </c>
      <c r="C1436" s="184" t="str">
        <f t="shared" si="22"/>
        <v>Jewell, KS</v>
      </c>
      <c r="D1436" s="187">
        <v>0.09</v>
      </c>
    </row>
    <row r="1437" spans="1:4">
      <c r="A1437" s="184" t="s">
        <v>3906</v>
      </c>
      <c r="B1437" s="184" t="s">
        <v>2448</v>
      </c>
      <c r="C1437" s="184" t="str">
        <f t="shared" si="22"/>
        <v>Jim Hogg, TX</v>
      </c>
      <c r="D1437" s="187">
        <v>4.3999999999999997E-2</v>
      </c>
    </row>
    <row r="1438" spans="1:4">
      <c r="A1438" s="184" t="s">
        <v>3906</v>
      </c>
      <c r="B1438" s="184" t="s">
        <v>2449</v>
      </c>
      <c r="C1438" s="184" t="str">
        <f t="shared" si="22"/>
        <v>Jim Wells, TX</v>
      </c>
      <c r="D1438" s="187">
        <v>4.3999999999999997E-2</v>
      </c>
    </row>
    <row r="1439" spans="1:4">
      <c r="A1439" s="184" t="s">
        <v>2019</v>
      </c>
      <c r="B1439" s="184" t="s">
        <v>3369</v>
      </c>
      <c r="C1439" s="184" t="str">
        <f t="shared" si="22"/>
        <v>Jo Daviess, IL</v>
      </c>
      <c r="D1439" s="187">
        <v>0.09</v>
      </c>
    </row>
    <row r="1440" spans="1:4">
      <c r="A1440" s="184" t="s">
        <v>566</v>
      </c>
      <c r="B1440" s="184" t="s">
        <v>2319</v>
      </c>
      <c r="C1440" s="184" t="str">
        <f t="shared" si="22"/>
        <v>Johnson, AR</v>
      </c>
      <c r="D1440" s="187">
        <v>4.3999999999999997E-2</v>
      </c>
    </row>
    <row r="1441" spans="1:4">
      <c r="A1441" s="184" t="s">
        <v>3602</v>
      </c>
      <c r="B1441" s="184" t="s">
        <v>2319</v>
      </c>
      <c r="C1441" s="184" t="str">
        <f t="shared" si="22"/>
        <v>Johnson, GA</v>
      </c>
      <c r="D1441" s="187">
        <v>4.3999999999999997E-2</v>
      </c>
    </row>
    <row r="1442" spans="1:4">
      <c r="A1442" s="184" t="s">
        <v>2031</v>
      </c>
      <c r="B1442" s="184" t="s">
        <v>2319</v>
      </c>
      <c r="C1442" s="184" t="str">
        <f t="shared" si="22"/>
        <v>Johnson, IA</v>
      </c>
      <c r="D1442" s="187">
        <v>6.0999999999999999E-2</v>
      </c>
    </row>
    <row r="1443" spans="1:4">
      <c r="A1443" s="184" t="s">
        <v>2019</v>
      </c>
      <c r="B1443" s="184" t="s">
        <v>2319</v>
      </c>
      <c r="C1443" s="184" t="str">
        <f t="shared" si="22"/>
        <v>Johnson, IL</v>
      </c>
      <c r="D1443" s="187">
        <v>0.09</v>
      </c>
    </row>
    <row r="1444" spans="1:4">
      <c r="A1444" s="184" t="s">
        <v>2021</v>
      </c>
      <c r="B1444" s="184" t="s">
        <v>2319</v>
      </c>
      <c r="C1444" s="184" t="str">
        <f t="shared" si="22"/>
        <v>Johnson, IN</v>
      </c>
      <c r="D1444" s="187">
        <v>6.0999999999999999E-2</v>
      </c>
    </row>
    <row r="1445" spans="1:4">
      <c r="A1445" s="184" t="s">
        <v>663</v>
      </c>
      <c r="B1445" s="184" t="s">
        <v>2319</v>
      </c>
      <c r="C1445" s="184" t="str">
        <f t="shared" si="22"/>
        <v>Johnson, KS</v>
      </c>
      <c r="D1445" s="187">
        <v>6.0999999999999999E-2</v>
      </c>
    </row>
    <row r="1446" spans="1:4">
      <c r="A1446" s="184" t="s">
        <v>529</v>
      </c>
      <c r="B1446" s="184" t="s">
        <v>2319</v>
      </c>
      <c r="C1446" s="184" t="str">
        <f t="shared" si="22"/>
        <v>Johnson, KY</v>
      </c>
      <c r="D1446" s="187">
        <v>0.09</v>
      </c>
    </row>
    <row r="1447" spans="1:4">
      <c r="A1447" s="184" t="s">
        <v>3434</v>
      </c>
      <c r="B1447" s="184" t="s">
        <v>2319</v>
      </c>
      <c r="C1447" s="184" t="str">
        <f t="shared" si="22"/>
        <v>Johnson, MO</v>
      </c>
      <c r="D1447" s="187">
        <v>0.09</v>
      </c>
    </row>
    <row r="1448" spans="1:4">
      <c r="A1448" s="184" t="s">
        <v>3442</v>
      </c>
      <c r="B1448" s="184" t="s">
        <v>2319</v>
      </c>
      <c r="C1448" s="184" t="str">
        <f t="shared" si="22"/>
        <v>Johnson, NE</v>
      </c>
      <c r="D1448" s="187">
        <v>0.09</v>
      </c>
    </row>
    <row r="1449" spans="1:4">
      <c r="A1449" s="184" t="s">
        <v>699</v>
      </c>
      <c r="B1449" s="184" t="s">
        <v>2319</v>
      </c>
      <c r="C1449" s="184" t="str">
        <f t="shared" si="22"/>
        <v>Johnson, TN</v>
      </c>
      <c r="D1449" s="187">
        <v>0.09</v>
      </c>
    </row>
    <row r="1450" spans="1:4">
      <c r="A1450" s="184" t="s">
        <v>3906</v>
      </c>
      <c r="B1450" s="184" t="s">
        <v>2319</v>
      </c>
      <c r="C1450" s="184" t="str">
        <f t="shared" si="22"/>
        <v>Johnson, TX</v>
      </c>
      <c r="D1450" s="187">
        <v>2.4E-2</v>
      </c>
    </row>
    <row r="1451" spans="1:4">
      <c r="A1451" s="184" t="s">
        <v>1033</v>
      </c>
      <c r="B1451" s="184" t="s">
        <v>2319</v>
      </c>
      <c r="C1451" s="184" t="str">
        <f t="shared" si="22"/>
        <v>Johnson, WY</v>
      </c>
      <c r="D1451" s="187">
        <v>0.09</v>
      </c>
    </row>
    <row r="1452" spans="1:4">
      <c r="A1452" s="184" t="s">
        <v>2542</v>
      </c>
      <c r="B1452" s="184" t="s">
        <v>2279</v>
      </c>
      <c r="C1452" s="184" t="str">
        <f t="shared" si="22"/>
        <v>Johnston, NC</v>
      </c>
      <c r="D1452" s="187">
        <v>6.0999999999999999E-2</v>
      </c>
    </row>
    <row r="1453" spans="1:4">
      <c r="A1453" s="184" t="s">
        <v>2573</v>
      </c>
      <c r="B1453" s="184" t="s">
        <v>2279</v>
      </c>
      <c r="C1453" s="184" t="str">
        <f t="shared" si="22"/>
        <v>Johnston, OK</v>
      </c>
      <c r="D1453" s="187">
        <v>0.09</v>
      </c>
    </row>
    <row r="1454" spans="1:4">
      <c r="A1454" s="184" t="s">
        <v>3602</v>
      </c>
      <c r="B1454" s="184" t="s">
        <v>3299</v>
      </c>
      <c r="C1454" s="184" t="str">
        <f t="shared" si="22"/>
        <v>Jones, GA</v>
      </c>
      <c r="D1454" s="187">
        <v>4.3999999999999997E-2</v>
      </c>
    </row>
    <row r="1455" spans="1:4">
      <c r="A1455" s="184" t="s">
        <v>2031</v>
      </c>
      <c r="B1455" s="184" t="s">
        <v>3299</v>
      </c>
      <c r="C1455" s="184" t="str">
        <f t="shared" si="22"/>
        <v>Jones, IA</v>
      </c>
      <c r="D1455" s="187">
        <v>0.09</v>
      </c>
    </row>
    <row r="1456" spans="1:4">
      <c r="A1456" s="184" t="s">
        <v>3035</v>
      </c>
      <c r="B1456" s="184" t="s">
        <v>3299</v>
      </c>
      <c r="C1456" s="184" t="str">
        <f t="shared" si="22"/>
        <v>Jones, MS</v>
      </c>
      <c r="D1456" s="187">
        <v>4.3999999999999997E-2</v>
      </c>
    </row>
    <row r="1457" spans="1:4">
      <c r="A1457" s="184" t="s">
        <v>2542</v>
      </c>
      <c r="B1457" s="184" t="s">
        <v>3299</v>
      </c>
      <c r="C1457" s="184" t="str">
        <f t="shared" si="22"/>
        <v>Jones, NC</v>
      </c>
      <c r="D1457" s="187">
        <v>4.3999999999999997E-2</v>
      </c>
    </row>
    <row r="1458" spans="1:4">
      <c r="A1458" s="184" t="s">
        <v>1944</v>
      </c>
      <c r="B1458" s="184" t="s">
        <v>3299</v>
      </c>
      <c r="C1458" s="184" t="str">
        <f t="shared" si="22"/>
        <v>Jones, SD</v>
      </c>
      <c r="D1458" s="187">
        <v>4.3999999999999997E-2</v>
      </c>
    </row>
    <row r="1459" spans="1:4">
      <c r="A1459" s="184" t="s">
        <v>3906</v>
      </c>
      <c r="B1459" s="184" t="s">
        <v>3299</v>
      </c>
      <c r="C1459" s="184" t="str">
        <f t="shared" si="22"/>
        <v>Jones, TX</v>
      </c>
      <c r="D1459" s="187">
        <v>4.3999999999999997E-2</v>
      </c>
    </row>
    <row r="1460" spans="1:4">
      <c r="A1460" s="184" t="s">
        <v>3353</v>
      </c>
      <c r="B1460" s="184" t="s">
        <v>2264</v>
      </c>
      <c r="C1460" s="184" t="str">
        <f t="shared" si="22"/>
        <v>Josephine, OR</v>
      </c>
      <c r="D1460" s="187">
        <v>0.09</v>
      </c>
    </row>
    <row r="1461" spans="1:4">
      <c r="A1461" s="184" t="s">
        <v>742</v>
      </c>
      <c r="B1461" s="184" t="s">
        <v>385</v>
      </c>
      <c r="C1461" s="184" t="str">
        <f t="shared" si="22"/>
        <v>Juab, UT</v>
      </c>
      <c r="D1461" s="187">
        <v>4.3999999999999997E-2</v>
      </c>
    </row>
    <row r="1462" spans="1:4">
      <c r="A1462" s="184" t="s">
        <v>3438</v>
      </c>
      <c r="B1462" s="184" t="s">
        <v>2813</v>
      </c>
      <c r="C1462" s="184" t="str">
        <f t="shared" si="22"/>
        <v>Judith Basin, MT</v>
      </c>
      <c r="D1462" s="187">
        <v>0.09</v>
      </c>
    </row>
    <row r="1463" spans="1:4">
      <c r="A1463" s="184" t="s">
        <v>988</v>
      </c>
      <c r="B1463" s="184" t="s">
        <v>2973</v>
      </c>
      <c r="C1463" s="184" t="str">
        <f t="shared" si="22"/>
        <v>Juneau, AK</v>
      </c>
      <c r="D1463" s="187">
        <v>6.0999999999999999E-2</v>
      </c>
    </row>
    <row r="1464" spans="1:4">
      <c r="A1464" s="184" t="s">
        <v>550</v>
      </c>
      <c r="B1464" s="184" t="s">
        <v>2973</v>
      </c>
      <c r="C1464" s="184" t="str">
        <f t="shared" si="22"/>
        <v>Juneau, WI</v>
      </c>
      <c r="D1464" s="187">
        <v>0.09</v>
      </c>
    </row>
    <row r="1465" spans="1:4">
      <c r="A1465" s="184" t="s">
        <v>3356</v>
      </c>
      <c r="B1465" s="184" t="s">
        <v>2145</v>
      </c>
      <c r="C1465" s="184" t="str">
        <f t="shared" si="22"/>
        <v>Juniata, PA</v>
      </c>
      <c r="D1465" s="187">
        <v>0.09</v>
      </c>
    </row>
    <row r="1466" spans="1:4">
      <c r="A1466" s="184" t="s">
        <v>2090</v>
      </c>
      <c r="B1466" s="184" t="s">
        <v>2094</v>
      </c>
      <c r="C1466" s="184" t="str">
        <f t="shared" si="22"/>
        <v>Kalamazoo, MI</v>
      </c>
      <c r="D1466" s="187">
        <v>0.09</v>
      </c>
    </row>
    <row r="1467" spans="1:4">
      <c r="A1467" s="184" t="s">
        <v>3873</v>
      </c>
      <c r="B1467" s="184" t="s">
        <v>1052</v>
      </c>
      <c r="C1467" s="184" t="str">
        <f t="shared" si="22"/>
        <v>Kalawao, HI</v>
      </c>
      <c r="D1467" s="187">
        <v>0.09</v>
      </c>
    </row>
    <row r="1468" spans="1:4">
      <c r="A1468" s="184" t="s">
        <v>2090</v>
      </c>
      <c r="B1468" s="184" t="s">
        <v>651</v>
      </c>
      <c r="C1468" s="184" t="str">
        <f t="shared" si="22"/>
        <v>Kalkaska, MI</v>
      </c>
      <c r="D1468" s="187">
        <v>0.09</v>
      </c>
    </row>
    <row r="1469" spans="1:4">
      <c r="A1469" s="184" t="s">
        <v>3429</v>
      </c>
      <c r="B1469" s="184" t="s">
        <v>1488</v>
      </c>
      <c r="C1469" s="184" t="str">
        <f t="shared" si="22"/>
        <v>Kanabec, MN</v>
      </c>
      <c r="D1469" s="187">
        <v>0.09</v>
      </c>
    </row>
    <row r="1470" spans="1:4">
      <c r="A1470" s="184" t="s">
        <v>542</v>
      </c>
      <c r="B1470" s="184" t="s">
        <v>1024</v>
      </c>
      <c r="C1470" s="184" t="str">
        <f t="shared" si="22"/>
        <v>Kanawha, WV</v>
      </c>
      <c r="D1470" s="187">
        <v>6.0999999999999999E-2</v>
      </c>
    </row>
    <row r="1471" spans="1:4">
      <c r="A1471" s="184" t="s">
        <v>3429</v>
      </c>
      <c r="B1471" s="184" t="s">
        <v>1489</v>
      </c>
      <c r="C1471" s="184" t="str">
        <f t="shared" si="22"/>
        <v>Kandiyohi, MN</v>
      </c>
      <c r="D1471" s="187">
        <v>0.09</v>
      </c>
    </row>
    <row r="1472" spans="1:4">
      <c r="A1472" s="184" t="s">
        <v>2019</v>
      </c>
      <c r="B1472" s="184" t="s">
        <v>2288</v>
      </c>
      <c r="C1472" s="184" t="str">
        <f t="shared" si="22"/>
        <v>Kane, IL</v>
      </c>
      <c r="D1472" s="187">
        <v>6.0999999999999999E-2</v>
      </c>
    </row>
    <row r="1473" spans="1:4">
      <c r="A1473" s="184" t="s">
        <v>742</v>
      </c>
      <c r="B1473" s="184" t="s">
        <v>2288</v>
      </c>
      <c r="C1473" s="184" t="str">
        <f t="shared" si="22"/>
        <v>Kane, UT</v>
      </c>
      <c r="D1473" s="187">
        <v>4.3999999999999997E-2</v>
      </c>
    </row>
    <row r="1474" spans="1:4">
      <c r="A1474" s="184" t="s">
        <v>2019</v>
      </c>
      <c r="B1474" s="184" t="s">
        <v>2020</v>
      </c>
      <c r="C1474" s="184" t="str">
        <f t="shared" si="22"/>
        <v>Kankakee, IL</v>
      </c>
      <c r="D1474" s="187">
        <v>0.09</v>
      </c>
    </row>
    <row r="1475" spans="1:4">
      <c r="A1475" s="184" t="s">
        <v>3906</v>
      </c>
      <c r="B1475" s="184" t="s">
        <v>2450</v>
      </c>
      <c r="C1475" s="184" t="str">
        <f t="shared" si="22"/>
        <v>Karnes, TX</v>
      </c>
      <c r="D1475" s="187">
        <v>4.3999999999999997E-2</v>
      </c>
    </row>
    <row r="1476" spans="1:4">
      <c r="A1476" s="184" t="s">
        <v>3873</v>
      </c>
      <c r="B1476" s="184" t="s">
        <v>1053</v>
      </c>
      <c r="C1476" s="184" t="str">
        <f t="shared" si="22"/>
        <v>Kauai, HI</v>
      </c>
      <c r="D1476" s="187">
        <v>0.09</v>
      </c>
    </row>
    <row r="1477" spans="1:4">
      <c r="A1477" s="184" t="s">
        <v>3906</v>
      </c>
      <c r="B1477" s="184" t="s">
        <v>996</v>
      </c>
      <c r="C1477" s="184" t="str">
        <f t="shared" si="22"/>
        <v>Kaufman, TX</v>
      </c>
      <c r="D1477" s="187">
        <v>5.7000000000000002E-2</v>
      </c>
    </row>
    <row r="1478" spans="1:4">
      <c r="A1478" s="184" t="s">
        <v>2573</v>
      </c>
      <c r="B1478" s="184" t="s">
        <v>445</v>
      </c>
      <c r="C1478" s="184" t="str">
        <f t="shared" ref="C1478:C1541" si="23">B1478&amp;", "&amp;A1478</f>
        <v>Kay, OK</v>
      </c>
      <c r="D1478" s="187">
        <v>0.09</v>
      </c>
    </row>
    <row r="1479" spans="1:4">
      <c r="A1479" s="184" t="s">
        <v>3442</v>
      </c>
      <c r="B1479" s="184" t="s">
        <v>1108</v>
      </c>
      <c r="C1479" s="184" t="str">
        <f t="shared" si="23"/>
        <v>Kearney, NE</v>
      </c>
      <c r="D1479" s="187">
        <v>0.09</v>
      </c>
    </row>
    <row r="1480" spans="1:4">
      <c r="A1480" s="184" t="s">
        <v>663</v>
      </c>
      <c r="B1480" s="184" t="s">
        <v>1450</v>
      </c>
      <c r="C1480" s="184" t="str">
        <f t="shared" si="23"/>
        <v>Kearny, KS</v>
      </c>
      <c r="D1480" s="187">
        <v>0.09</v>
      </c>
    </row>
    <row r="1481" spans="1:4">
      <c r="A1481" s="184" t="s">
        <v>3442</v>
      </c>
      <c r="B1481" s="184" t="s">
        <v>1109</v>
      </c>
      <c r="C1481" s="184" t="str">
        <f t="shared" si="23"/>
        <v>Keith, NE</v>
      </c>
      <c r="D1481" s="187">
        <v>0.09</v>
      </c>
    </row>
    <row r="1482" spans="1:4">
      <c r="A1482" s="184" t="s">
        <v>3035</v>
      </c>
      <c r="B1482" s="184" t="s">
        <v>3843</v>
      </c>
      <c r="C1482" s="184" t="str">
        <f t="shared" si="23"/>
        <v>Kemper, MS</v>
      </c>
      <c r="D1482" s="187">
        <v>4.3999999999999997E-2</v>
      </c>
    </row>
    <row r="1483" spans="1:4">
      <c r="A1483" s="184" t="s">
        <v>988</v>
      </c>
      <c r="B1483" s="184" t="s">
        <v>2974</v>
      </c>
      <c r="C1483" s="184" t="str">
        <f t="shared" si="23"/>
        <v>Kenai Peninsula, AK</v>
      </c>
      <c r="D1483" s="187">
        <v>0.09</v>
      </c>
    </row>
    <row r="1484" spans="1:4">
      <c r="A1484" s="184" t="s">
        <v>2019</v>
      </c>
      <c r="B1484" s="184" t="s">
        <v>2289</v>
      </c>
      <c r="C1484" s="184" t="str">
        <f t="shared" si="23"/>
        <v>Kendall, IL</v>
      </c>
      <c r="D1484" s="187">
        <v>6.0999999999999999E-2</v>
      </c>
    </row>
    <row r="1485" spans="1:4">
      <c r="A1485" s="184" t="s">
        <v>3906</v>
      </c>
      <c r="B1485" s="184" t="s">
        <v>2289</v>
      </c>
      <c r="C1485" s="184" t="str">
        <f t="shared" si="23"/>
        <v>Kendall, TX</v>
      </c>
      <c r="D1485" s="187">
        <v>4.3999999999999997E-2</v>
      </c>
    </row>
    <row r="1486" spans="1:4">
      <c r="A1486" s="184" t="s">
        <v>3906</v>
      </c>
      <c r="B1486" s="184" t="s">
        <v>2451</v>
      </c>
      <c r="C1486" s="184" t="str">
        <f t="shared" si="23"/>
        <v>Kenedy, TX</v>
      </c>
      <c r="D1486" s="187">
        <v>6.0999999999999999E-2</v>
      </c>
    </row>
    <row r="1487" spans="1:4">
      <c r="A1487" s="184" t="s">
        <v>1922</v>
      </c>
      <c r="B1487" s="184" t="s">
        <v>2415</v>
      </c>
      <c r="C1487" s="184" t="str">
        <f t="shared" si="23"/>
        <v>Kennebec, ME</v>
      </c>
      <c r="D1487" s="187">
        <v>5.7000000000000002E-2</v>
      </c>
    </row>
    <row r="1488" spans="1:4">
      <c r="A1488" s="184" t="s">
        <v>550</v>
      </c>
      <c r="B1488" s="184" t="s">
        <v>553</v>
      </c>
      <c r="C1488" s="184" t="str">
        <f t="shared" si="23"/>
        <v>Kenosha, WI</v>
      </c>
      <c r="D1488" s="187">
        <v>0.09</v>
      </c>
    </row>
    <row r="1489" spans="1:4">
      <c r="A1489" s="184" t="s">
        <v>2017</v>
      </c>
      <c r="B1489" s="184" t="s">
        <v>2018</v>
      </c>
      <c r="C1489" s="184" t="str">
        <f t="shared" si="23"/>
        <v>Kent, DE</v>
      </c>
      <c r="D1489" s="187">
        <v>0.09</v>
      </c>
    </row>
    <row r="1490" spans="1:4">
      <c r="A1490" s="184" t="s">
        <v>2087</v>
      </c>
      <c r="B1490" s="184" t="s">
        <v>2018</v>
      </c>
      <c r="C1490" s="184" t="str">
        <f t="shared" si="23"/>
        <v>Kent, MD</v>
      </c>
      <c r="D1490" s="187">
        <v>5.7000000000000002E-2</v>
      </c>
    </row>
    <row r="1491" spans="1:4">
      <c r="A1491" s="184" t="s">
        <v>2090</v>
      </c>
      <c r="B1491" s="184" t="s">
        <v>2018</v>
      </c>
      <c r="C1491" s="184" t="str">
        <f t="shared" si="23"/>
        <v>Kent, MI</v>
      </c>
      <c r="D1491" s="187">
        <v>6.0999999999999999E-2</v>
      </c>
    </row>
    <row r="1492" spans="1:4">
      <c r="A1492" s="184" t="s">
        <v>62</v>
      </c>
      <c r="B1492" s="184" t="s">
        <v>2018</v>
      </c>
      <c r="C1492" s="184" t="str">
        <f t="shared" si="23"/>
        <v>Kent, RI</v>
      </c>
      <c r="D1492" s="187">
        <v>0.09</v>
      </c>
    </row>
    <row r="1493" spans="1:4">
      <c r="A1493" s="184" t="s">
        <v>3906</v>
      </c>
      <c r="B1493" s="184" t="s">
        <v>2018</v>
      </c>
      <c r="C1493" s="184" t="str">
        <f t="shared" si="23"/>
        <v>Kent, TX</v>
      </c>
      <c r="D1493" s="187">
        <v>4.3999999999999997E-2</v>
      </c>
    </row>
    <row r="1494" spans="1:4">
      <c r="A1494" s="184" t="s">
        <v>529</v>
      </c>
      <c r="B1494" s="184" t="s">
        <v>921</v>
      </c>
      <c r="C1494" s="184" t="str">
        <f t="shared" si="23"/>
        <v>Kenton, KY</v>
      </c>
      <c r="D1494" s="187">
        <v>6.0999999999999999E-2</v>
      </c>
    </row>
    <row r="1495" spans="1:4">
      <c r="A1495" s="184" t="s">
        <v>2031</v>
      </c>
      <c r="B1495" s="184" t="s">
        <v>1969</v>
      </c>
      <c r="C1495" s="184" t="str">
        <f t="shared" si="23"/>
        <v>Keokuk, IA</v>
      </c>
      <c r="D1495" s="187">
        <v>0.09</v>
      </c>
    </row>
    <row r="1496" spans="1:4">
      <c r="A1496" s="184" t="s">
        <v>3106</v>
      </c>
      <c r="B1496" s="184" t="s">
        <v>933</v>
      </c>
      <c r="C1496" s="184" t="str">
        <f t="shared" si="23"/>
        <v>Kern, CA</v>
      </c>
      <c r="D1496" s="187">
        <v>3.5000000000000003E-2</v>
      </c>
    </row>
    <row r="1497" spans="1:4">
      <c r="A1497" s="184" t="s">
        <v>3906</v>
      </c>
      <c r="B1497" s="184" t="s">
        <v>2452</v>
      </c>
      <c r="C1497" s="184" t="str">
        <f t="shared" si="23"/>
        <v>Kerr, TX</v>
      </c>
      <c r="D1497" s="187">
        <v>4.3999999999999997E-2</v>
      </c>
    </row>
    <row r="1498" spans="1:4">
      <c r="A1498" s="184" t="s">
        <v>1942</v>
      </c>
      <c r="B1498" s="184" t="s">
        <v>76</v>
      </c>
      <c r="C1498" s="184" t="str">
        <f t="shared" si="23"/>
        <v>Kershaw, SC</v>
      </c>
      <c r="D1498" s="187">
        <v>4.3999999999999997E-2</v>
      </c>
    </row>
    <row r="1499" spans="1:4">
      <c r="A1499" s="184" t="s">
        <v>988</v>
      </c>
      <c r="B1499" s="184" t="s">
        <v>2975</v>
      </c>
      <c r="C1499" s="184" t="str">
        <f t="shared" si="23"/>
        <v>Ketchikan Gateway, AK</v>
      </c>
      <c r="D1499" s="187">
        <v>6.0999999999999999E-2</v>
      </c>
    </row>
    <row r="1500" spans="1:4">
      <c r="A1500" s="184" t="s">
        <v>550</v>
      </c>
      <c r="B1500" s="184" t="s">
        <v>852</v>
      </c>
      <c r="C1500" s="184" t="str">
        <f t="shared" si="23"/>
        <v>Kewaunee, WI</v>
      </c>
      <c r="D1500" s="187">
        <v>0.09</v>
      </c>
    </row>
    <row r="1501" spans="1:4">
      <c r="A1501" s="184" t="s">
        <v>2090</v>
      </c>
      <c r="B1501" s="184" t="s">
        <v>652</v>
      </c>
      <c r="C1501" s="184" t="str">
        <f t="shared" si="23"/>
        <v>Keweenaw, MI</v>
      </c>
      <c r="D1501" s="187">
        <v>0.09</v>
      </c>
    </row>
    <row r="1502" spans="1:4">
      <c r="A1502" s="184" t="s">
        <v>3442</v>
      </c>
      <c r="B1502" s="184" t="s">
        <v>1110</v>
      </c>
      <c r="C1502" s="184" t="str">
        <f t="shared" si="23"/>
        <v>Keya Paha, NE</v>
      </c>
      <c r="D1502" s="187">
        <v>0.09</v>
      </c>
    </row>
    <row r="1503" spans="1:4">
      <c r="A1503" s="184" t="s">
        <v>2558</v>
      </c>
      <c r="B1503" s="184" t="s">
        <v>188</v>
      </c>
      <c r="C1503" s="184" t="str">
        <f t="shared" si="23"/>
        <v>Kidder, ND</v>
      </c>
      <c r="D1503" s="187">
        <v>0.09</v>
      </c>
    </row>
    <row r="1504" spans="1:4">
      <c r="A1504" s="184" t="s">
        <v>3442</v>
      </c>
      <c r="B1504" s="184" t="s">
        <v>1111</v>
      </c>
      <c r="C1504" s="184" t="str">
        <f t="shared" si="23"/>
        <v>Kimball, NE</v>
      </c>
      <c r="D1504" s="187">
        <v>0.09</v>
      </c>
    </row>
    <row r="1505" spans="1:4">
      <c r="A1505" s="184" t="s">
        <v>3906</v>
      </c>
      <c r="B1505" s="184" t="s">
        <v>2453</v>
      </c>
      <c r="C1505" s="184" t="str">
        <f t="shared" si="23"/>
        <v>Kimble, TX</v>
      </c>
      <c r="D1505" s="187">
        <v>4.3999999999999997E-2</v>
      </c>
    </row>
    <row r="1506" spans="1:4">
      <c r="A1506" s="184" t="s">
        <v>3906</v>
      </c>
      <c r="B1506" s="184" t="s">
        <v>3184</v>
      </c>
      <c r="C1506" s="184" t="str">
        <f t="shared" si="23"/>
        <v>King, TX</v>
      </c>
      <c r="D1506" s="187">
        <v>4.3999999999999997E-2</v>
      </c>
    </row>
    <row r="1507" spans="1:4">
      <c r="A1507" s="184" t="s">
        <v>1278</v>
      </c>
      <c r="B1507" s="184" t="s">
        <v>3184</v>
      </c>
      <c r="C1507" s="184" t="str">
        <f t="shared" si="23"/>
        <v>King, WA</v>
      </c>
      <c r="D1507" s="187">
        <v>6.0999999999999999E-2</v>
      </c>
    </row>
    <row r="1508" spans="1:4">
      <c r="A1508" s="184" t="s">
        <v>746</v>
      </c>
      <c r="B1508" s="184" t="s">
        <v>828</v>
      </c>
      <c r="C1508" s="184" t="str">
        <f t="shared" si="23"/>
        <v>King and Queen, VA</v>
      </c>
      <c r="D1508" s="187">
        <v>4.3999999999999997E-2</v>
      </c>
    </row>
    <row r="1509" spans="1:4">
      <c r="A1509" s="184" t="s">
        <v>746</v>
      </c>
      <c r="B1509" s="184" t="s">
        <v>2905</v>
      </c>
      <c r="C1509" s="184" t="str">
        <f t="shared" si="23"/>
        <v>King George, VA</v>
      </c>
      <c r="D1509" s="187">
        <v>6.0999999999999999E-2</v>
      </c>
    </row>
    <row r="1510" spans="1:4">
      <c r="A1510" s="184" t="s">
        <v>746</v>
      </c>
      <c r="B1510" s="184" t="s">
        <v>829</v>
      </c>
      <c r="C1510" s="184" t="str">
        <f t="shared" si="23"/>
        <v>King William, VA</v>
      </c>
      <c r="D1510" s="187">
        <v>4.3999999999999997E-2</v>
      </c>
    </row>
    <row r="1511" spans="1:4">
      <c r="A1511" s="184" t="s">
        <v>2573</v>
      </c>
      <c r="B1511" s="184" t="s">
        <v>446</v>
      </c>
      <c r="C1511" s="184" t="str">
        <f t="shared" si="23"/>
        <v>Kingfisher, OK</v>
      </c>
      <c r="D1511" s="187">
        <v>0.09</v>
      </c>
    </row>
    <row r="1512" spans="1:4">
      <c r="A1512" s="184" t="s">
        <v>663</v>
      </c>
      <c r="B1512" s="184" t="s">
        <v>1451</v>
      </c>
      <c r="C1512" s="184" t="str">
        <f t="shared" si="23"/>
        <v>Kingman, KS</v>
      </c>
      <c r="D1512" s="187">
        <v>0.09</v>
      </c>
    </row>
    <row r="1513" spans="1:4">
      <c r="A1513" s="184" t="s">
        <v>3106</v>
      </c>
      <c r="B1513" s="184" t="s">
        <v>3407</v>
      </c>
      <c r="C1513" s="184" t="str">
        <f t="shared" si="23"/>
        <v>Kings, CA</v>
      </c>
      <c r="D1513" s="187">
        <v>5.7000000000000002E-2</v>
      </c>
    </row>
    <row r="1514" spans="1:4">
      <c r="A1514" s="184" t="s">
        <v>3446</v>
      </c>
      <c r="B1514" s="184" t="s">
        <v>3407</v>
      </c>
      <c r="C1514" s="184" t="str">
        <f t="shared" si="23"/>
        <v>Kings, NY</v>
      </c>
      <c r="D1514" s="187">
        <v>4.4999999999999998E-2</v>
      </c>
    </row>
    <row r="1515" spans="1:4">
      <c r="A1515" s="184" t="s">
        <v>1944</v>
      </c>
      <c r="B1515" s="184" t="s">
        <v>1720</v>
      </c>
      <c r="C1515" s="184" t="str">
        <f t="shared" si="23"/>
        <v>Kingsbury, SD</v>
      </c>
      <c r="D1515" s="187">
        <v>4.3999999999999997E-2</v>
      </c>
    </row>
    <row r="1516" spans="1:4">
      <c r="A1516" s="184" t="s">
        <v>3906</v>
      </c>
      <c r="B1516" s="184" t="s">
        <v>2879</v>
      </c>
      <c r="C1516" s="184" t="str">
        <f t="shared" si="23"/>
        <v>Kinney, TX</v>
      </c>
      <c r="D1516" s="187" t="s">
        <v>3930</v>
      </c>
    </row>
    <row r="1517" spans="1:4">
      <c r="A1517" s="184" t="s">
        <v>3108</v>
      </c>
      <c r="B1517" s="184" t="s">
        <v>1159</v>
      </c>
      <c r="C1517" s="184" t="str">
        <f t="shared" si="23"/>
        <v>Kiowa, CO</v>
      </c>
      <c r="D1517" s="187">
        <v>4.3999999999999997E-2</v>
      </c>
    </row>
    <row r="1518" spans="1:4">
      <c r="A1518" s="184" t="s">
        <v>663</v>
      </c>
      <c r="B1518" s="184" t="s">
        <v>1159</v>
      </c>
      <c r="C1518" s="184" t="str">
        <f t="shared" si="23"/>
        <v>Kiowa, KS</v>
      </c>
      <c r="D1518" s="187">
        <v>0.09</v>
      </c>
    </row>
    <row r="1519" spans="1:4">
      <c r="A1519" s="184" t="s">
        <v>2573</v>
      </c>
      <c r="B1519" s="184" t="s">
        <v>1159</v>
      </c>
      <c r="C1519" s="184" t="str">
        <f t="shared" si="23"/>
        <v>Kiowa, OK</v>
      </c>
      <c r="D1519" s="187">
        <v>0.09</v>
      </c>
    </row>
    <row r="1520" spans="1:4">
      <c r="A1520" s="184" t="s">
        <v>3108</v>
      </c>
      <c r="B1520" s="184" t="s">
        <v>1160</v>
      </c>
      <c r="C1520" s="184" t="str">
        <f t="shared" si="23"/>
        <v>Kit Carson, CO</v>
      </c>
      <c r="D1520" s="187">
        <v>4.3999999999999997E-2</v>
      </c>
    </row>
    <row r="1521" spans="1:4">
      <c r="A1521" s="184" t="s">
        <v>1278</v>
      </c>
      <c r="B1521" s="184" t="s">
        <v>1280</v>
      </c>
      <c r="C1521" s="184" t="str">
        <f t="shared" si="23"/>
        <v>Kitsap, WA</v>
      </c>
      <c r="D1521" s="187">
        <v>0.09</v>
      </c>
    </row>
    <row r="1522" spans="1:4">
      <c r="A1522" s="184" t="s">
        <v>1278</v>
      </c>
      <c r="B1522" s="184" t="s">
        <v>3318</v>
      </c>
      <c r="C1522" s="184" t="str">
        <f t="shared" si="23"/>
        <v>Kittitas, WA</v>
      </c>
      <c r="D1522" s="187">
        <v>0.09</v>
      </c>
    </row>
    <row r="1523" spans="1:4">
      <c r="A1523" s="184" t="s">
        <v>3429</v>
      </c>
      <c r="B1523" s="184" t="s">
        <v>1490</v>
      </c>
      <c r="C1523" s="184" t="str">
        <f t="shared" si="23"/>
        <v>Kittson, MN</v>
      </c>
      <c r="D1523" s="187">
        <v>0.09</v>
      </c>
    </row>
    <row r="1524" spans="1:4">
      <c r="A1524" s="184" t="s">
        <v>3353</v>
      </c>
      <c r="B1524" s="184" t="s">
        <v>2265</v>
      </c>
      <c r="C1524" s="184" t="str">
        <f t="shared" si="23"/>
        <v>Klamath, OR</v>
      </c>
      <c r="D1524" s="187">
        <v>0.09</v>
      </c>
    </row>
    <row r="1525" spans="1:4">
      <c r="A1525" s="184" t="s">
        <v>3906</v>
      </c>
      <c r="B1525" s="184" t="s">
        <v>2454</v>
      </c>
      <c r="C1525" s="184" t="str">
        <f t="shared" si="23"/>
        <v>Kleberg, TX</v>
      </c>
      <c r="D1525" s="187">
        <v>4.3999999999999997E-2</v>
      </c>
    </row>
    <row r="1526" spans="1:4">
      <c r="A1526" s="184" t="s">
        <v>1278</v>
      </c>
      <c r="B1526" s="184" t="s">
        <v>3319</v>
      </c>
      <c r="C1526" s="184" t="str">
        <f t="shared" si="23"/>
        <v>Klickitat, WA</v>
      </c>
      <c r="D1526" s="187">
        <v>0.09</v>
      </c>
    </row>
    <row r="1527" spans="1:4">
      <c r="A1527" s="184" t="s">
        <v>529</v>
      </c>
      <c r="B1527" s="184" t="s">
        <v>3455</v>
      </c>
      <c r="C1527" s="184" t="str">
        <f t="shared" si="23"/>
        <v>Knott, KY</v>
      </c>
      <c r="D1527" s="187">
        <v>5.7000000000000002E-2</v>
      </c>
    </row>
    <row r="1528" spans="1:4">
      <c r="A1528" s="184" t="s">
        <v>2019</v>
      </c>
      <c r="B1528" s="184" t="s">
        <v>705</v>
      </c>
      <c r="C1528" s="184" t="str">
        <f t="shared" si="23"/>
        <v>Knox, IL</v>
      </c>
      <c r="D1528" s="187">
        <v>0.09</v>
      </c>
    </row>
    <row r="1529" spans="1:4">
      <c r="A1529" s="184" t="s">
        <v>2021</v>
      </c>
      <c r="B1529" s="184" t="s">
        <v>705</v>
      </c>
      <c r="C1529" s="184" t="str">
        <f t="shared" si="23"/>
        <v>Knox, IN</v>
      </c>
      <c r="D1529" s="187">
        <v>0.09</v>
      </c>
    </row>
    <row r="1530" spans="1:4">
      <c r="A1530" s="184" t="s">
        <v>529</v>
      </c>
      <c r="B1530" s="184" t="s">
        <v>705</v>
      </c>
      <c r="C1530" s="184" t="str">
        <f t="shared" si="23"/>
        <v>Knox, KY</v>
      </c>
      <c r="D1530" s="187">
        <v>5.7000000000000002E-2</v>
      </c>
    </row>
    <row r="1531" spans="1:4">
      <c r="A1531" s="184" t="s">
        <v>1922</v>
      </c>
      <c r="B1531" s="184" t="s">
        <v>705</v>
      </c>
      <c r="C1531" s="184" t="str">
        <f t="shared" si="23"/>
        <v>Knox, ME</v>
      </c>
      <c r="D1531" s="187">
        <v>5.7000000000000002E-2</v>
      </c>
    </row>
    <row r="1532" spans="1:4">
      <c r="A1532" s="184" t="s">
        <v>3434</v>
      </c>
      <c r="B1532" s="184" t="s">
        <v>705</v>
      </c>
      <c r="C1532" s="184" t="str">
        <f t="shared" si="23"/>
        <v>Knox, MO</v>
      </c>
      <c r="D1532" s="187">
        <v>0.09</v>
      </c>
    </row>
    <row r="1533" spans="1:4">
      <c r="A1533" s="184" t="s">
        <v>3442</v>
      </c>
      <c r="B1533" s="184" t="s">
        <v>705</v>
      </c>
      <c r="C1533" s="184" t="str">
        <f t="shared" si="23"/>
        <v>Knox, NE</v>
      </c>
      <c r="D1533" s="187">
        <v>0.09</v>
      </c>
    </row>
    <row r="1534" spans="1:4">
      <c r="A1534" s="184" t="s">
        <v>2562</v>
      </c>
      <c r="B1534" s="184" t="s">
        <v>705</v>
      </c>
      <c r="C1534" s="184" t="str">
        <f t="shared" si="23"/>
        <v>Knox, OH</v>
      </c>
      <c r="D1534" s="187">
        <v>0.09</v>
      </c>
    </row>
    <row r="1535" spans="1:4">
      <c r="A1535" s="184" t="s">
        <v>699</v>
      </c>
      <c r="B1535" s="184" t="s">
        <v>705</v>
      </c>
      <c r="C1535" s="184" t="str">
        <f t="shared" si="23"/>
        <v>Knox, TN</v>
      </c>
      <c r="D1535" s="187">
        <v>0.09</v>
      </c>
    </row>
    <row r="1536" spans="1:4">
      <c r="A1536" s="184" t="s">
        <v>3906</v>
      </c>
      <c r="B1536" s="184" t="s">
        <v>705</v>
      </c>
      <c r="C1536" s="184" t="str">
        <f t="shared" si="23"/>
        <v>Knox, TX</v>
      </c>
      <c r="D1536" s="187">
        <v>5.7000000000000002E-2</v>
      </c>
    </row>
    <row r="1537" spans="1:4">
      <c r="A1537" s="184" t="s">
        <v>988</v>
      </c>
      <c r="B1537" s="184" t="s">
        <v>2976</v>
      </c>
      <c r="C1537" s="184" t="str">
        <f t="shared" si="23"/>
        <v>Kodiak Island, AK</v>
      </c>
      <c r="D1537" s="187">
        <v>0.09</v>
      </c>
    </row>
    <row r="1538" spans="1:4">
      <c r="A1538" s="184" t="s">
        <v>3429</v>
      </c>
      <c r="B1538" s="184" t="s">
        <v>1491</v>
      </c>
      <c r="C1538" s="184" t="str">
        <f t="shared" si="23"/>
        <v>Koochiching, MN</v>
      </c>
      <c r="D1538" s="187">
        <v>0.09</v>
      </c>
    </row>
    <row r="1539" spans="1:4">
      <c r="A1539" s="184" t="s">
        <v>3875</v>
      </c>
      <c r="B1539" s="184" t="s">
        <v>1267</v>
      </c>
      <c r="C1539" s="184" t="str">
        <f t="shared" si="23"/>
        <v>Kootenai, ID</v>
      </c>
      <c r="D1539" s="187">
        <v>4.3999999999999997E-2</v>
      </c>
    </row>
    <row r="1540" spans="1:4">
      <c r="A1540" s="184" t="s">
        <v>2021</v>
      </c>
      <c r="B1540" s="184" t="s">
        <v>2832</v>
      </c>
      <c r="C1540" s="184" t="str">
        <f t="shared" si="23"/>
        <v>Kosciusko, IN</v>
      </c>
      <c r="D1540" s="187">
        <v>0.09</v>
      </c>
    </row>
    <row r="1541" spans="1:4">
      <c r="A1541" s="184" t="s">
        <v>2031</v>
      </c>
      <c r="B1541" s="184" t="s">
        <v>1970</v>
      </c>
      <c r="C1541" s="184" t="str">
        <f t="shared" si="23"/>
        <v>Kossuth, IA</v>
      </c>
      <c r="D1541" s="187">
        <v>0.09</v>
      </c>
    </row>
    <row r="1542" spans="1:4">
      <c r="A1542" s="184" t="s">
        <v>550</v>
      </c>
      <c r="B1542" s="184" t="s">
        <v>1026</v>
      </c>
      <c r="C1542" s="184" t="str">
        <f t="shared" ref="C1542:C1605" si="24">B1542&amp;", "&amp;A1542</f>
        <v>La Crosse, WI</v>
      </c>
      <c r="D1542" s="187">
        <v>6.0999999999999999E-2</v>
      </c>
    </row>
    <row r="1543" spans="1:4">
      <c r="A1543" s="184" t="s">
        <v>562</v>
      </c>
      <c r="B1543" s="184" t="s">
        <v>2993</v>
      </c>
      <c r="C1543" s="184" t="str">
        <f t="shared" si="24"/>
        <v>La Paz, AZ</v>
      </c>
      <c r="D1543" s="187">
        <v>4.3999999999999997E-2</v>
      </c>
    </row>
    <row r="1544" spans="1:4">
      <c r="A1544" s="184" t="s">
        <v>3108</v>
      </c>
      <c r="B1544" s="184" t="s">
        <v>1161</v>
      </c>
      <c r="C1544" s="184" t="str">
        <f t="shared" si="24"/>
        <v>La Plata, CO</v>
      </c>
      <c r="D1544" s="187">
        <v>4.3999999999999997E-2</v>
      </c>
    </row>
    <row r="1545" spans="1:4">
      <c r="A1545" s="184" t="s">
        <v>2021</v>
      </c>
      <c r="B1545" s="184" t="s">
        <v>2834</v>
      </c>
      <c r="C1545" s="184" t="str">
        <f t="shared" si="24"/>
        <v>La Porte, IN</v>
      </c>
      <c r="D1545" s="187">
        <v>0.09</v>
      </c>
    </row>
    <row r="1546" spans="1:4">
      <c r="A1546" s="184" t="s">
        <v>2019</v>
      </c>
      <c r="B1546" s="184" t="s">
        <v>3370</v>
      </c>
      <c r="C1546" s="184" t="str">
        <f t="shared" si="24"/>
        <v>La Salle, IL</v>
      </c>
      <c r="D1546" s="187">
        <v>0.09</v>
      </c>
    </row>
    <row r="1547" spans="1:4">
      <c r="A1547" s="184" t="s">
        <v>535</v>
      </c>
      <c r="B1547" s="184" t="s">
        <v>3370</v>
      </c>
      <c r="C1547" s="184" t="str">
        <f t="shared" si="24"/>
        <v>La Salle, LA</v>
      </c>
      <c r="D1547" s="187">
        <v>0.09</v>
      </c>
    </row>
    <row r="1548" spans="1:4">
      <c r="A1548" s="184" t="s">
        <v>3906</v>
      </c>
      <c r="B1548" s="184" t="s">
        <v>3370</v>
      </c>
      <c r="C1548" s="184" t="str">
        <f t="shared" si="24"/>
        <v>La Salle, TX</v>
      </c>
      <c r="D1548" s="187">
        <v>4.3999999999999997E-2</v>
      </c>
    </row>
    <row r="1549" spans="1:4">
      <c r="A1549" s="184" t="s">
        <v>663</v>
      </c>
      <c r="B1549" s="184" t="s">
        <v>1452</v>
      </c>
      <c r="C1549" s="184" t="str">
        <f t="shared" si="24"/>
        <v>Labette, KS</v>
      </c>
      <c r="D1549" s="187">
        <v>0.09</v>
      </c>
    </row>
    <row r="1550" spans="1:4">
      <c r="A1550" s="184" t="s">
        <v>3429</v>
      </c>
      <c r="B1550" s="184" t="s">
        <v>1492</v>
      </c>
      <c r="C1550" s="184" t="str">
        <f t="shared" si="24"/>
        <v>Lac qui Parle, MN</v>
      </c>
      <c r="D1550" s="187">
        <v>0.09</v>
      </c>
    </row>
    <row r="1551" spans="1:4">
      <c r="A1551" s="184" t="s">
        <v>3356</v>
      </c>
      <c r="B1551" s="184" t="s">
        <v>2479</v>
      </c>
      <c r="C1551" s="184" t="str">
        <f t="shared" si="24"/>
        <v>Lackawanna, PA</v>
      </c>
      <c r="D1551" s="187">
        <v>5.7000000000000002E-2</v>
      </c>
    </row>
    <row r="1552" spans="1:4">
      <c r="A1552" s="184" t="s">
        <v>3434</v>
      </c>
      <c r="B1552" s="184" t="s">
        <v>2783</v>
      </c>
      <c r="C1552" s="184" t="str">
        <f t="shared" si="24"/>
        <v>Laclede, MO</v>
      </c>
      <c r="D1552" s="187">
        <v>0.09</v>
      </c>
    </row>
    <row r="1553" spans="1:4">
      <c r="A1553" s="184" t="s">
        <v>566</v>
      </c>
      <c r="B1553" s="184" t="s">
        <v>2075</v>
      </c>
      <c r="C1553" s="184" t="str">
        <f t="shared" si="24"/>
        <v>Lafayette, AR</v>
      </c>
      <c r="D1553" s="187">
        <v>4.3999999999999997E-2</v>
      </c>
    </row>
    <row r="1554" spans="1:4">
      <c r="A1554" s="184" t="s">
        <v>3594</v>
      </c>
      <c r="B1554" s="184" t="s">
        <v>2075</v>
      </c>
      <c r="C1554" s="184" t="str">
        <f t="shared" si="24"/>
        <v>Lafayette, FL</v>
      </c>
      <c r="D1554" s="187">
        <v>4.3999999999999997E-2</v>
      </c>
    </row>
    <row r="1555" spans="1:4">
      <c r="A1555" s="184" t="s">
        <v>535</v>
      </c>
      <c r="B1555" s="184" t="s">
        <v>2075</v>
      </c>
      <c r="C1555" s="184" t="str">
        <f t="shared" si="24"/>
        <v>Lafayette, LA</v>
      </c>
      <c r="D1555" s="187">
        <v>0.09</v>
      </c>
    </row>
    <row r="1556" spans="1:4">
      <c r="A1556" s="184" t="s">
        <v>3434</v>
      </c>
      <c r="B1556" s="184" t="s">
        <v>2075</v>
      </c>
      <c r="C1556" s="184" t="str">
        <f t="shared" si="24"/>
        <v>Lafayette, MO</v>
      </c>
      <c r="D1556" s="187">
        <v>6.0999999999999999E-2</v>
      </c>
    </row>
    <row r="1557" spans="1:4">
      <c r="A1557" s="184" t="s">
        <v>3035</v>
      </c>
      <c r="B1557" s="184" t="s">
        <v>2075</v>
      </c>
      <c r="C1557" s="184" t="str">
        <f t="shared" si="24"/>
        <v>Lafayette, MS</v>
      </c>
      <c r="D1557" s="187">
        <v>4.3999999999999997E-2</v>
      </c>
    </row>
    <row r="1558" spans="1:4">
      <c r="A1558" s="184" t="s">
        <v>550</v>
      </c>
      <c r="B1558" s="184" t="s">
        <v>2075</v>
      </c>
      <c r="C1558" s="184" t="str">
        <f t="shared" si="24"/>
        <v>Lafayette, WI</v>
      </c>
      <c r="D1558" s="187">
        <v>0.09</v>
      </c>
    </row>
    <row r="1559" spans="1:4">
      <c r="A1559" s="184" t="s">
        <v>535</v>
      </c>
      <c r="B1559" s="184" t="s">
        <v>2076</v>
      </c>
      <c r="C1559" s="184" t="str">
        <f t="shared" si="24"/>
        <v>Lafourche, LA</v>
      </c>
      <c r="D1559" s="187">
        <v>0.09</v>
      </c>
    </row>
    <row r="1560" spans="1:4">
      <c r="A1560" s="184" t="s">
        <v>2021</v>
      </c>
      <c r="B1560" s="184" t="s">
        <v>2833</v>
      </c>
      <c r="C1560" s="184" t="str">
        <f t="shared" si="24"/>
        <v>Lagrange, IN</v>
      </c>
      <c r="D1560" s="187">
        <v>0.09</v>
      </c>
    </row>
    <row r="1561" spans="1:4">
      <c r="A1561" s="184" t="s">
        <v>3106</v>
      </c>
      <c r="B1561" s="184" t="s">
        <v>2025</v>
      </c>
      <c r="C1561" s="184" t="str">
        <f t="shared" si="24"/>
        <v>Lake, CA</v>
      </c>
      <c r="D1561" s="187">
        <v>5.7000000000000002E-2</v>
      </c>
    </row>
    <row r="1562" spans="1:4">
      <c r="A1562" s="184" t="s">
        <v>3108</v>
      </c>
      <c r="B1562" s="184" t="s">
        <v>2025</v>
      </c>
      <c r="C1562" s="184" t="str">
        <f t="shared" si="24"/>
        <v>Lake, CO</v>
      </c>
      <c r="D1562" s="187">
        <v>4.3999999999999997E-2</v>
      </c>
    </row>
    <row r="1563" spans="1:4">
      <c r="A1563" s="184" t="s">
        <v>3594</v>
      </c>
      <c r="B1563" s="184" t="s">
        <v>2025</v>
      </c>
      <c r="C1563" s="184" t="str">
        <f t="shared" si="24"/>
        <v>Lake, FL</v>
      </c>
      <c r="D1563" s="187">
        <v>5.7000000000000002E-2</v>
      </c>
    </row>
    <row r="1564" spans="1:4">
      <c r="A1564" s="184" t="s">
        <v>2019</v>
      </c>
      <c r="B1564" s="184" t="s">
        <v>2025</v>
      </c>
      <c r="C1564" s="184" t="str">
        <f t="shared" si="24"/>
        <v>Lake, IL</v>
      </c>
      <c r="D1564" s="187">
        <v>6.0999999999999999E-2</v>
      </c>
    </row>
    <row r="1565" spans="1:4">
      <c r="A1565" s="184" t="s">
        <v>2021</v>
      </c>
      <c r="B1565" s="184" t="s">
        <v>2025</v>
      </c>
      <c r="C1565" s="184" t="str">
        <f t="shared" si="24"/>
        <v>Lake, IN</v>
      </c>
      <c r="D1565" s="187">
        <v>0.09</v>
      </c>
    </row>
    <row r="1566" spans="1:4">
      <c r="A1566" s="184" t="s">
        <v>2090</v>
      </c>
      <c r="B1566" s="184" t="s">
        <v>2025</v>
      </c>
      <c r="C1566" s="184" t="str">
        <f t="shared" si="24"/>
        <v>Lake, MI</v>
      </c>
      <c r="D1566" s="187">
        <v>0.09</v>
      </c>
    </row>
    <row r="1567" spans="1:4">
      <c r="A1567" s="184" t="s">
        <v>3429</v>
      </c>
      <c r="B1567" s="184" t="s">
        <v>2025</v>
      </c>
      <c r="C1567" s="184" t="str">
        <f t="shared" si="24"/>
        <v>Lake, MN</v>
      </c>
      <c r="D1567" s="187">
        <v>0.09</v>
      </c>
    </row>
    <row r="1568" spans="1:4">
      <c r="A1568" s="184" t="s">
        <v>3438</v>
      </c>
      <c r="B1568" s="184" t="s">
        <v>2025</v>
      </c>
      <c r="C1568" s="184" t="str">
        <f t="shared" si="24"/>
        <v>Lake, MT</v>
      </c>
      <c r="D1568" s="187">
        <v>0.09</v>
      </c>
    </row>
    <row r="1569" spans="1:4">
      <c r="A1569" s="184" t="s">
        <v>2562</v>
      </c>
      <c r="B1569" s="184" t="s">
        <v>2025</v>
      </c>
      <c r="C1569" s="184" t="str">
        <f t="shared" si="24"/>
        <v>Lake, OH</v>
      </c>
      <c r="D1569" s="187">
        <v>6.0999999999999999E-2</v>
      </c>
    </row>
    <row r="1570" spans="1:4">
      <c r="A1570" s="184" t="s">
        <v>3353</v>
      </c>
      <c r="B1570" s="184" t="s">
        <v>2025</v>
      </c>
      <c r="C1570" s="184" t="str">
        <f t="shared" si="24"/>
        <v>Lake, OR</v>
      </c>
      <c r="D1570" s="187">
        <v>0.09</v>
      </c>
    </row>
    <row r="1571" spans="1:4">
      <c r="A1571" s="184" t="s">
        <v>1944</v>
      </c>
      <c r="B1571" s="184" t="s">
        <v>2025</v>
      </c>
      <c r="C1571" s="184" t="str">
        <f t="shared" si="24"/>
        <v>Lake, SD</v>
      </c>
      <c r="D1571" s="187">
        <v>4.3999999999999997E-2</v>
      </c>
    </row>
    <row r="1572" spans="1:4">
      <c r="A1572" s="184" t="s">
        <v>699</v>
      </c>
      <c r="B1572" s="184" t="s">
        <v>2025</v>
      </c>
      <c r="C1572" s="184" t="str">
        <f t="shared" si="24"/>
        <v>Lake, TN</v>
      </c>
      <c r="D1572" s="187">
        <v>0.09</v>
      </c>
    </row>
    <row r="1573" spans="1:4">
      <c r="A1573" s="184" t="s">
        <v>988</v>
      </c>
      <c r="B1573" s="184" t="s">
        <v>2977</v>
      </c>
      <c r="C1573" s="184" t="str">
        <f t="shared" si="24"/>
        <v>Lake and Peninsula, AK</v>
      </c>
      <c r="D1573" s="187">
        <v>0.09</v>
      </c>
    </row>
    <row r="1574" spans="1:4">
      <c r="A1574" s="184" t="s">
        <v>3429</v>
      </c>
      <c r="B1574" s="184" t="s">
        <v>1493</v>
      </c>
      <c r="C1574" s="184" t="str">
        <f t="shared" si="24"/>
        <v>Lake of the Woods, MN</v>
      </c>
      <c r="D1574" s="187">
        <v>0.09</v>
      </c>
    </row>
    <row r="1575" spans="1:4">
      <c r="A1575" s="184" t="s">
        <v>2000</v>
      </c>
      <c r="B1575" s="184" t="s">
        <v>3311</v>
      </c>
      <c r="C1575" s="184" t="str">
        <f t="shared" si="24"/>
        <v>Lamar, AL</v>
      </c>
      <c r="D1575" s="187">
        <v>0.09</v>
      </c>
    </row>
    <row r="1576" spans="1:4">
      <c r="A1576" s="184" t="s">
        <v>3602</v>
      </c>
      <c r="B1576" s="184" t="s">
        <v>3311</v>
      </c>
      <c r="C1576" s="184" t="str">
        <f t="shared" si="24"/>
        <v>Lamar, GA</v>
      </c>
      <c r="D1576" s="187">
        <v>4.3999999999999997E-2</v>
      </c>
    </row>
    <row r="1577" spans="1:4">
      <c r="A1577" s="184" t="s">
        <v>3035</v>
      </c>
      <c r="B1577" s="184" t="s">
        <v>3311</v>
      </c>
      <c r="C1577" s="184" t="str">
        <f t="shared" si="24"/>
        <v>Lamar, MS</v>
      </c>
      <c r="D1577" s="187">
        <v>4.3999999999999997E-2</v>
      </c>
    </row>
    <row r="1578" spans="1:4">
      <c r="A1578" s="184" t="s">
        <v>3906</v>
      </c>
      <c r="B1578" s="184" t="s">
        <v>3311</v>
      </c>
      <c r="C1578" s="184" t="str">
        <f t="shared" si="24"/>
        <v>Lamar, TX</v>
      </c>
      <c r="D1578" s="187">
        <v>4.3999999999999997E-2</v>
      </c>
    </row>
    <row r="1579" spans="1:4">
      <c r="A1579" s="184" t="s">
        <v>3906</v>
      </c>
      <c r="B1579" s="184" t="s">
        <v>2455</v>
      </c>
      <c r="C1579" s="184" t="str">
        <f t="shared" si="24"/>
        <v>Lamb, TX</v>
      </c>
      <c r="D1579" s="187">
        <v>4.3999999999999997E-2</v>
      </c>
    </row>
    <row r="1580" spans="1:4">
      <c r="A1580" s="184" t="s">
        <v>2509</v>
      </c>
      <c r="B1580" s="184" t="s">
        <v>2514</v>
      </c>
      <c r="C1580" s="184" t="str">
        <f t="shared" si="24"/>
        <v>Lamoille, VT</v>
      </c>
      <c r="D1580" s="187">
        <v>0.09</v>
      </c>
    </row>
    <row r="1581" spans="1:4">
      <c r="A1581" s="184" t="s">
        <v>2558</v>
      </c>
      <c r="B1581" s="184" t="s">
        <v>189</v>
      </c>
      <c r="C1581" s="184" t="str">
        <f t="shared" si="24"/>
        <v>LaMoure, ND</v>
      </c>
      <c r="D1581" s="187">
        <v>0.09</v>
      </c>
    </row>
    <row r="1582" spans="1:4">
      <c r="A1582" s="184" t="s">
        <v>3906</v>
      </c>
      <c r="B1582" s="184" t="s">
        <v>3538</v>
      </c>
      <c r="C1582" s="184" t="str">
        <f t="shared" si="24"/>
        <v>Lampasas, TX</v>
      </c>
      <c r="D1582" s="187">
        <v>3.5000000000000003E-2</v>
      </c>
    </row>
    <row r="1583" spans="1:4">
      <c r="A1583" s="184" t="s">
        <v>3442</v>
      </c>
      <c r="B1583" s="184" t="s">
        <v>3041</v>
      </c>
      <c r="C1583" s="184" t="str">
        <f t="shared" si="24"/>
        <v>Lancaster, NE</v>
      </c>
      <c r="D1583" s="187">
        <v>6.0999999999999999E-2</v>
      </c>
    </row>
    <row r="1584" spans="1:4">
      <c r="A1584" s="184" t="s">
        <v>3356</v>
      </c>
      <c r="B1584" s="184" t="s">
        <v>3041</v>
      </c>
      <c r="C1584" s="184" t="str">
        <f t="shared" si="24"/>
        <v>Lancaster, PA</v>
      </c>
      <c r="D1584" s="187">
        <v>6.0999999999999999E-2</v>
      </c>
    </row>
    <row r="1585" spans="1:4">
      <c r="A1585" s="184" t="s">
        <v>1942</v>
      </c>
      <c r="B1585" s="184" t="s">
        <v>3041</v>
      </c>
      <c r="C1585" s="184" t="str">
        <f t="shared" si="24"/>
        <v>Lancaster, SC</v>
      </c>
      <c r="D1585" s="187">
        <v>4.3999999999999997E-2</v>
      </c>
    </row>
    <row r="1586" spans="1:4">
      <c r="A1586" s="184" t="s">
        <v>746</v>
      </c>
      <c r="B1586" s="184" t="s">
        <v>3041</v>
      </c>
      <c r="C1586" s="184" t="str">
        <f t="shared" si="24"/>
        <v>Lancaster, VA</v>
      </c>
      <c r="D1586" s="187">
        <v>4.3999999999999997E-2</v>
      </c>
    </row>
    <row r="1587" spans="1:4">
      <c r="A1587" s="184" t="s">
        <v>3043</v>
      </c>
      <c r="B1587" s="184" t="s">
        <v>1129</v>
      </c>
      <c r="C1587" s="184" t="str">
        <f t="shared" si="24"/>
        <v>Lander, NV</v>
      </c>
      <c r="D1587" s="187">
        <v>6.0999999999999999E-2</v>
      </c>
    </row>
    <row r="1588" spans="1:4">
      <c r="A1588" s="184" t="s">
        <v>663</v>
      </c>
      <c r="B1588" s="184" t="s">
        <v>3355</v>
      </c>
      <c r="C1588" s="184" t="str">
        <f t="shared" si="24"/>
        <v>Lane, KS</v>
      </c>
      <c r="D1588" s="187">
        <v>0.09</v>
      </c>
    </row>
    <row r="1589" spans="1:4">
      <c r="A1589" s="184" t="s">
        <v>3353</v>
      </c>
      <c r="B1589" s="184" t="s">
        <v>3355</v>
      </c>
      <c r="C1589" s="184" t="str">
        <f t="shared" si="24"/>
        <v>Lane, OR</v>
      </c>
      <c r="D1589" s="187">
        <v>0.09</v>
      </c>
    </row>
    <row r="1590" spans="1:4">
      <c r="A1590" s="184" t="s">
        <v>550</v>
      </c>
      <c r="B1590" s="184" t="s">
        <v>853</v>
      </c>
      <c r="C1590" s="184" t="str">
        <f t="shared" si="24"/>
        <v>Langlade, WI</v>
      </c>
      <c r="D1590" s="187">
        <v>0.09</v>
      </c>
    </row>
    <row r="1591" spans="1:4">
      <c r="A1591" s="184" t="s">
        <v>3602</v>
      </c>
      <c r="B1591" s="184" t="s">
        <v>229</v>
      </c>
      <c r="C1591" s="184" t="str">
        <f t="shared" si="24"/>
        <v>Lanier, GA</v>
      </c>
      <c r="D1591" s="187">
        <v>4.3999999999999997E-2</v>
      </c>
    </row>
    <row r="1592" spans="1:4">
      <c r="A1592" s="184" t="s">
        <v>2090</v>
      </c>
      <c r="B1592" s="184" t="s">
        <v>2755</v>
      </c>
      <c r="C1592" s="184" t="str">
        <f t="shared" si="24"/>
        <v>Lapeer, MI</v>
      </c>
      <c r="D1592" s="187">
        <v>6.0999999999999999E-2</v>
      </c>
    </row>
    <row r="1593" spans="1:4">
      <c r="A1593" s="184" t="s">
        <v>1033</v>
      </c>
      <c r="B1593" s="184" t="s">
        <v>1034</v>
      </c>
      <c r="C1593" s="184" t="str">
        <f t="shared" si="24"/>
        <v>Laramie, WY</v>
      </c>
      <c r="D1593" s="187">
        <v>6.0999999999999999E-2</v>
      </c>
    </row>
    <row r="1594" spans="1:4">
      <c r="A1594" s="184" t="s">
        <v>3108</v>
      </c>
      <c r="B1594" s="184" t="s">
        <v>3592</v>
      </c>
      <c r="C1594" s="184" t="str">
        <f t="shared" si="24"/>
        <v>Larimer, CO</v>
      </c>
      <c r="D1594" s="187">
        <v>6.0999999999999999E-2</v>
      </c>
    </row>
    <row r="1595" spans="1:4">
      <c r="A1595" s="184" t="s">
        <v>529</v>
      </c>
      <c r="B1595" s="184" t="s">
        <v>2480</v>
      </c>
      <c r="C1595" s="184" t="str">
        <f t="shared" si="24"/>
        <v>Larue, KY</v>
      </c>
      <c r="D1595" s="187">
        <v>0.09</v>
      </c>
    </row>
    <row r="1596" spans="1:4">
      <c r="A1596" s="184" t="s">
        <v>3108</v>
      </c>
      <c r="B1596" s="184" t="s">
        <v>1162</v>
      </c>
      <c r="C1596" s="184" t="str">
        <f t="shared" si="24"/>
        <v>Las Animas, CO</v>
      </c>
      <c r="D1596" s="187">
        <v>4.3999999999999997E-2</v>
      </c>
    </row>
    <row r="1597" spans="1:4">
      <c r="A1597" s="184" t="s">
        <v>3106</v>
      </c>
      <c r="B1597" s="184" t="s">
        <v>3020</v>
      </c>
      <c r="C1597" s="184" t="str">
        <f t="shared" si="24"/>
        <v>Lassen, CA</v>
      </c>
      <c r="D1597" s="187">
        <v>0.09</v>
      </c>
    </row>
    <row r="1598" spans="1:4">
      <c r="A1598" s="184" t="s">
        <v>3875</v>
      </c>
      <c r="B1598" s="184" t="s">
        <v>1268</v>
      </c>
      <c r="C1598" s="184" t="str">
        <f t="shared" si="24"/>
        <v>Latah, ID</v>
      </c>
      <c r="D1598" s="187">
        <v>4.3999999999999997E-2</v>
      </c>
    </row>
    <row r="1599" spans="1:4">
      <c r="A1599" s="184" t="s">
        <v>2573</v>
      </c>
      <c r="B1599" s="184" t="s">
        <v>447</v>
      </c>
      <c r="C1599" s="184" t="str">
        <f t="shared" si="24"/>
        <v>Latimer, OK</v>
      </c>
      <c r="D1599" s="187">
        <v>0.09</v>
      </c>
    </row>
    <row r="1600" spans="1:4">
      <c r="A1600" s="184" t="s">
        <v>2000</v>
      </c>
      <c r="B1600" s="184" t="s">
        <v>2009</v>
      </c>
      <c r="C1600" s="184" t="str">
        <f t="shared" si="24"/>
        <v>Lauderdale, AL</v>
      </c>
      <c r="D1600" s="187">
        <v>0.09</v>
      </c>
    </row>
    <row r="1601" spans="1:4">
      <c r="A1601" s="184" t="s">
        <v>3035</v>
      </c>
      <c r="B1601" s="184" t="s">
        <v>2009</v>
      </c>
      <c r="C1601" s="184" t="str">
        <f t="shared" si="24"/>
        <v>Lauderdale, MS</v>
      </c>
      <c r="D1601" s="187">
        <v>4.3999999999999997E-2</v>
      </c>
    </row>
    <row r="1602" spans="1:4">
      <c r="A1602" s="184" t="s">
        <v>699</v>
      </c>
      <c r="B1602" s="184" t="s">
        <v>2009</v>
      </c>
      <c r="C1602" s="184" t="str">
        <f t="shared" si="24"/>
        <v>Lauderdale, TN</v>
      </c>
      <c r="D1602" s="187">
        <v>0.09</v>
      </c>
    </row>
    <row r="1603" spans="1:4">
      <c r="A1603" s="184" t="s">
        <v>529</v>
      </c>
      <c r="B1603" s="184" t="s">
        <v>2481</v>
      </c>
      <c r="C1603" s="184" t="str">
        <f t="shared" si="24"/>
        <v>Laurel, KY</v>
      </c>
      <c r="D1603" s="187">
        <v>0.09</v>
      </c>
    </row>
    <row r="1604" spans="1:4">
      <c r="A1604" s="184" t="s">
        <v>3602</v>
      </c>
      <c r="B1604" s="184" t="s">
        <v>230</v>
      </c>
      <c r="C1604" s="184" t="str">
        <f t="shared" si="24"/>
        <v>Laurens, GA</v>
      </c>
      <c r="D1604" s="187">
        <v>4.3999999999999997E-2</v>
      </c>
    </row>
    <row r="1605" spans="1:4">
      <c r="A1605" s="184" t="s">
        <v>1942</v>
      </c>
      <c r="B1605" s="184" t="s">
        <v>230</v>
      </c>
      <c r="C1605" s="184" t="str">
        <f t="shared" si="24"/>
        <v>Laurens, SC</v>
      </c>
      <c r="D1605" s="187">
        <v>4.3999999999999997E-2</v>
      </c>
    </row>
    <row r="1606" spans="1:4">
      <c r="A1606" s="184" t="s">
        <v>3906</v>
      </c>
      <c r="B1606" s="184" t="s">
        <v>2456</v>
      </c>
      <c r="C1606" s="184" t="str">
        <f t="shared" ref="C1606:C1669" si="25">B1606&amp;", "&amp;A1606</f>
        <v>Lavaca, TX</v>
      </c>
      <c r="D1606" s="187">
        <v>4.3999999999999997E-2</v>
      </c>
    </row>
    <row r="1607" spans="1:4">
      <c r="A1607" s="184" t="s">
        <v>2000</v>
      </c>
      <c r="B1607" s="184" t="s">
        <v>2010</v>
      </c>
      <c r="C1607" s="184" t="str">
        <f t="shared" si="25"/>
        <v>Lawrence, AL</v>
      </c>
      <c r="D1607" s="187">
        <v>0.09</v>
      </c>
    </row>
    <row r="1608" spans="1:4">
      <c r="A1608" s="184" t="s">
        <v>566</v>
      </c>
      <c r="B1608" s="184" t="s">
        <v>2010</v>
      </c>
      <c r="C1608" s="184" t="str">
        <f t="shared" si="25"/>
        <v>Lawrence, AR</v>
      </c>
      <c r="D1608" s="187">
        <v>5.7000000000000002E-2</v>
      </c>
    </row>
    <row r="1609" spans="1:4">
      <c r="A1609" s="184" t="s">
        <v>2019</v>
      </c>
      <c r="B1609" s="184" t="s">
        <v>2010</v>
      </c>
      <c r="C1609" s="184" t="str">
        <f t="shared" si="25"/>
        <v>Lawrence, IL</v>
      </c>
      <c r="D1609" s="187">
        <v>0.09</v>
      </c>
    </row>
    <row r="1610" spans="1:4">
      <c r="A1610" s="184" t="s">
        <v>2021</v>
      </c>
      <c r="B1610" s="184" t="s">
        <v>2010</v>
      </c>
      <c r="C1610" s="184" t="str">
        <f t="shared" si="25"/>
        <v>Lawrence, IN</v>
      </c>
      <c r="D1610" s="187">
        <v>0.09</v>
      </c>
    </row>
    <row r="1611" spans="1:4">
      <c r="A1611" s="184" t="s">
        <v>529</v>
      </c>
      <c r="B1611" s="184" t="s">
        <v>2010</v>
      </c>
      <c r="C1611" s="184" t="str">
        <f t="shared" si="25"/>
        <v>Lawrence, KY</v>
      </c>
      <c r="D1611" s="187">
        <v>0.09</v>
      </c>
    </row>
    <row r="1612" spans="1:4">
      <c r="A1612" s="184" t="s">
        <v>3434</v>
      </c>
      <c r="B1612" s="184" t="s">
        <v>2010</v>
      </c>
      <c r="C1612" s="184" t="str">
        <f t="shared" si="25"/>
        <v>Lawrence, MO</v>
      </c>
      <c r="D1612" s="187">
        <v>0.09</v>
      </c>
    </row>
    <row r="1613" spans="1:4">
      <c r="A1613" s="184" t="s">
        <v>3035</v>
      </c>
      <c r="B1613" s="184" t="s">
        <v>2010</v>
      </c>
      <c r="C1613" s="184" t="str">
        <f t="shared" si="25"/>
        <v>Lawrence, MS</v>
      </c>
      <c r="D1613" s="187">
        <v>5.7000000000000002E-2</v>
      </c>
    </row>
    <row r="1614" spans="1:4">
      <c r="A1614" s="184" t="s">
        <v>2562</v>
      </c>
      <c r="B1614" s="184" t="s">
        <v>2010</v>
      </c>
      <c r="C1614" s="184" t="str">
        <f t="shared" si="25"/>
        <v>Lawrence, OH</v>
      </c>
      <c r="D1614" s="187">
        <v>0.09</v>
      </c>
    </row>
    <row r="1615" spans="1:4">
      <c r="A1615" s="184" t="s">
        <v>3356</v>
      </c>
      <c r="B1615" s="184" t="s">
        <v>2010</v>
      </c>
      <c r="C1615" s="184" t="str">
        <f t="shared" si="25"/>
        <v>Lawrence, PA</v>
      </c>
      <c r="D1615" s="187">
        <v>0.09</v>
      </c>
    </row>
    <row r="1616" spans="1:4">
      <c r="A1616" s="184" t="s">
        <v>1944</v>
      </c>
      <c r="B1616" s="184" t="s">
        <v>2010</v>
      </c>
      <c r="C1616" s="184" t="str">
        <f t="shared" si="25"/>
        <v>Lawrence, SD</v>
      </c>
      <c r="D1616" s="187">
        <v>4.3999999999999997E-2</v>
      </c>
    </row>
    <row r="1617" spans="1:4">
      <c r="A1617" s="184" t="s">
        <v>699</v>
      </c>
      <c r="B1617" s="184" t="s">
        <v>2010</v>
      </c>
      <c r="C1617" s="184" t="str">
        <f t="shared" si="25"/>
        <v>Lawrence, TN</v>
      </c>
      <c r="D1617" s="187">
        <v>0.09</v>
      </c>
    </row>
    <row r="1618" spans="1:4">
      <c r="A1618" s="184" t="s">
        <v>2573</v>
      </c>
      <c r="B1618" s="184" t="s">
        <v>448</v>
      </c>
      <c r="C1618" s="184" t="str">
        <f t="shared" si="25"/>
        <v>Le Flore, OK</v>
      </c>
      <c r="D1618" s="187">
        <v>0.09</v>
      </c>
    </row>
    <row r="1619" spans="1:4">
      <c r="A1619" s="184" t="s">
        <v>3429</v>
      </c>
      <c r="B1619" s="184" t="s">
        <v>1494</v>
      </c>
      <c r="C1619" s="184" t="str">
        <f t="shared" si="25"/>
        <v>Le Sueur, MN</v>
      </c>
      <c r="D1619" s="187">
        <v>0.09</v>
      </c>
    </row>
    <row r="1620" spans="1:4">
      <c r="A1620" s="184" t="s">
        <v>3622</v>
      </c>
      <c r="B1620" s="184" t="s">
        <v>21</v>
      </c>
      <c r="C1620" s="184" t="str">
        <f t="shared" si="25"/>
        <v>Lea, NM</v>
      </c>
      <c r="D1620" s="187">
        <v>5.7000000000000002E-2</v>
      </c>
    </row>
    <row r="1621" spans="1:4">
      <c r="A1621" s="184" t="s">
        <v>3035</v>
      </c>
      <c r="B1621" s="184" t="s">
        <v>3844</v>
      </c>
      <c r="C1621" s="184" t="str">
        <f t="shared" si="25"/>
        <v>Leake, MS</v>
      </c>
      <c r="D1621" s="187">
        <v>4.3999999999999997E-2</v>
      </c>
    </row>
    <row r="1622" spans="1:4">
      <c r="A1622" s="184" t="s">
        <v>663</v>
      </c>
      <c r="B1622" s="184" t="s">
        <v>2335</v>
      </c>
      <c r="C1622" s="184" t="str">
        <f t="shared" si="25"/>
        <v>Leavenworth, KS</v>
      </c>
      <c r="D1622" s="187">
        <v>6.0999999999999999E-2</v>
      </c>
    </row>
    <row r="1623" spans="1:4">
      <c r="A1623" s="184" t="s">
        <v>3356</v>
      </c>
      <c r="B1623" s="184" t="s">
        <v>253</v>
      </c>
      <c r="C1623" s="184" t="str">
        <f t="shared" si="25"/>
        <v>Lebanon, PA</v>
      </c>
      <c r="D1623" s="187">
        <v>6.0999999999999999E-2</v>
      </c>
    </row>
    <row r="1624" spans="1:4">
      <c r="A1624" s="184" t="s">
        <v>2000</v>
      </c>
      <c r="B1624" s="184" t="s">
        <v>2011</v>
      </c>
      <c r="C1624" s="184" t="str">
        <f t="shared" si="25"/>
        <v>Lee, AL</v>
      </c>
      <c r="D1624" s="187">
        <v>0.09</v>
      </c>
    </row>
    <row r="1625" spans="1:4">
      <c r="A1625" s="184" t="s">
        <v>566</v>
      </c>
      <c r="B1625" s="184" t="s">
        <v>2011</v>
      </c>
      <c r="C1625" s="184" t="str">
        <f t="shared" si="25"/>
        <v>Lee, AR</v>
      </c>
      <c r="D1625" s="187">
        <v>5.7000000000000002E-2</v>
      </c>
    </row>
    <row r="1626" spans="1:4">
      <c r="A1626" s="184" t="s">
        <v>3594</v>
      </c>
      <c r="B1626" s="184" t="s">
        <v>2011</v>
      </c>
      <c r="C1626" s="184" t="str">
        <f t="shared" si="25"/>
        <v>Lee, FL</v>
      </c>
      <c r="D1626" s="187">
        <v>6.0999999999999999E-2</v>
      </c>
    </row>
    <row r="1627" spans="1:4">
      <c r="A1627" s="184" t="s">
        <v>3602</v>
      </c>
      <c r="B1627" s="184" t="s">
        <v>2011</v>
      </c>
      <c r="C1627" s="184" t="str">
        <f t="shared" si="25"/>
        <v>Lee, GA</v>
      </c>
      <c r="D1627" s="187">
        <v>4.3999999999999997E-2</v>
      </c>
    </row>
    <row r="1628" spans="1:4">
      <c r="A1628" s="184" t="s">
        <v>2031</v>
      </c>
      <c r="B1628" s="184" t="s">
        <v>2011</v>
      </c>
      <c r="C1628" s="184" t="str">
        <f t="shared" si="25"/>
        <v>Lee, IA</v>
      </c>
      <c r="D1628" s="187">
        <v>0.09</v>
      </c>
    </row>
    <row r="1629" spans="1:4">
      <c r="A1629" s="184" t="s">
        <v>2019</v>
      </c>
      <c r="B1629" s="184" t="s">
        <v>2011</v>
      </c>
      <c r="C1629" s="184" t="str">
        <f t="shared" si="25"/>
        <v>Lee, IL</v>
      </c>
      <c r="D1629" s="187">
        <v>0.09</v>
      </c>
    </row>
    <row r="1630" spans="1:4">
      <c r="A1630" s="184" t="s">
        <v>529</v>
      </c>
      <c r="B1630" s="184" t="s">
        <v>2011</v>
      </c>
      <c r="C1630" s="184" t="str">
        <f t="shared" si="25"/>
        <v>Lee, KY</v>
      </c>
      <c r="D1630" s="187">
        <v>5.7000000000000002E-2</v>
      </c>
    </row>
    <row r="1631" spans="1:4">
      <c r="A1631" s="184" t="s">
        <v>3035</v>
      </c>
      <c r="B1631" s="184" t="s">
        <v>2011</v>
      </c>
      <c r="C1631" s="184" t="str">
        <f t="shared" si="25"/>
        <v>Lee, MS</v>
      </c>
      <c r="D1631" s="187">
        <v>4.3999999999999997E-2</v>
      </c>
    </row>
    <row r="1632" spans="1:4">
      <c r="A1632" s="184" t="s">
        <v>2542</v>
      </c>
      <c r="B1632" s="184" t="s">
        <v>2011</v>
      </c>
      <c r="C1632" s="184" t="str">
        <f t="shared" si="25"/>
        <v>Lee, NC</v>
      </c>
      <c r="D1632" s="187">
        <v>4.3999999999999997E-2</v>
      </c>
    </row>
    <row r="1633" spans="1:4">
      <c r="A1633" s="184" t="s">
        <v>1942</v>
      </c>
      <c r="B1633" s="184" t="s">
        <v>2011</v>
      </c>
      <c r="C1633" s="184" t="str">
        <f t="shared" si="25"/>
        <v>Lee, SC</v>
      </c>
      <c r="D1633" s="187">
        <v>4.3999999999999997E-2</v>
      </c>
    </row>
    <row r="1634" spans="1:4">
      <c r="A1634" s="184" t="s">
        <v>3906</v>
      </c>
      <c r="B1634" s="184" t="s">
        <v>2011</v>
      </c>
      <c r="C1634" s="184" t="str">
        <f t="shared" si="25"/>
        <v>Lee, TX</v>
      </c>
      <c r="D1634" s="187">
        <v>4.3999999999999997E-2</v>
      </c>
    </row>
    <row r="1635" spans="1:4">
      <c r="A1635" s="184" t="s">
        <v>746</v>
      </c>
      <c r="B1635" s="184" t="s">
        <v>2011</v>
      </c>
      <c r="C1635" s="184" t="str">
        <f t="shared" si="25"/>
        <v>Lee, VA</v>
      </c>
      <c r="D1635" s="187">
        <v>4.3999999999999997E-2</v>
      </c>
    </row>
    <row r="1636" spans="1:4">
      <c r="A1636" s="184" t="s">
        <v>2090</v>
      </c>
      <c r="B1636" s="184" t="s">
        <v>653</v>
      </c>
      <c r="C1636" s="184" t="str">
        <f t="shared" si="25"/>
        <v>Leelanau, MI</v>
      </c>
      <c r="D1636" s="187">
        <v>0.09</v>
      </c>
    </row>
    <row r="1637" spans="1:4">
      <c r="A1637" s="184" t="s">
        <v>3035</v>
      </c>
      <c r="B1637" s="184" t="s">
        <v>2423</v>
      </c>
      <c r="C1637" s="184" t="str">
        <f t="shared" si="25"/>
        <v>Leflore, MS</v>
      </c>
      <c r="D1637" s="187">
        <v>5.7000000000000002E-2</v>
      </c>
    </row>
    <row r="1638" spans="1:4">
      <c r="A1638" s="184" t="s">
        <v>3356</v>
      </c>
      <c r="B1638" s="184" t="s">
        <v>254</v>
      </c>
      <c r="C1638" s="184" t="str">
        <f t="shared" si="25"/>
        <v>Lehigh, PA</v>
      </c>
      <c r="D1638" s="187">
        <v>6.0999999999999999E-2</v>
      </c>
    </row>
    <row r="1639" spans="1:4">
      <c r="A1639" s="184" t="s">
        <v>3875</v>
      </c>
      <c r="B1639" s="184" t="s">
        <v>1269</v>
      </c>
      <c r="C1639" s="184" t="str">
        <f t="shared" si="25"/>
        <v>Lemhi, ID</v>
      </c>
      <c r="D1639" s="187">
        <v>4.3999999999999997E-2</v>
      </c>
    </row>
    <row r="1640" spans="1:4">
      <c r="A1640" s="184" t="s">
        <v>2090</v>
      </c>
      <c r="B1640" s="184" t="s">
        <v>2756</v>
      </c>
      <c r="C1640" s="184" t="str">
        <f t="shared" si="25"/>
        <v>Lenawee, MI</v>
      </c>
      <c r="D1640" s="187">
        <v>6.0999999999999999E-2</v>
      </c>
    </row>
    <row r="1641" spans="1:4">
      <c r="A1641" s="184" t="s">
        <v>2542</v>
      </c>
      <c r="B1641" s="184" t="s">
        <v>3268</v>
      </c>
      <c r="C1641" s="184" t="str">
        <f t="shared" si="25"/>
        <v>Lenoir, NC</v>
      </c>
      <c r="D1641" s="187">
        <v>4.3999999999999997E-2</v>
      </c>
    </row>
    <row r="1642" spans="1:4">
      <c r="A1642" s="184" t="s">
        <v>3594</v>
      </c>
      <c r="B1642" s="184" t="s">
        <v>2457</v>
      </c>
      <c r="C1642" s="184" t="str">
        <f t="shared" si="25"/>
        <v>Leon, FL</v>
      </c>
      <c r="D1642" s="187">
        <v>3.5000000000000003E-2</v>
      </c>
    </row>
    <row r="1643" spans="1:4">
      <c r="A1643" s="184" t="s">
        <v>3906</v>
      </c>
      <c r="B1643" s="184" t="s">
        <v>2457</v>
      </c>
      <c r="C1643" s="184" t="str">
        <f t="shared" si="25"/>
        <v>Leon, TX</v>
      </c>
      <c r="D1643" s="187">
        <v>4.3999999999999997E-2</v>
      </c>
    </row>
    <row r="1644" spans="1:4">
      <c r="A1644" s="184" t="s">
        <v>529</v>
      </c>
      <c r="B1644" s="184" t="s">
        <v>3456</v>
      </c>
      <c r="C1644" s="184" t="str">
        <f t="shared" si="25"/>
        <v>Leslie, KY</v>
      </c>
      <c r="D1644" s="187">
        <v>5.7000000000000002E-2</v>
      </c>
    </row>
    <row r="1645" spans="1:4">
      <c r="A1645" s="184" t="s">
        <v>529</v>
      </c>
      <c r="B1645" s="184" t="s">
        <v>3457</v>
      </c>
      <c r="C1645" s="184" t="str">
        <f t="shared" si="25"/>
        <v>Letcher, KY</v>
      </c>
      <c r="D1645" s="187">
        <v>5.7000000000000002E-2</v>
      </c>
    </row>
    <row r="1646" spans="1:4">
      <c r="A1646" s="184" t="s">
        <v>3594</v>
      </c>
      <c r="B1646" s="184" t="s">
        <v>175</v>
      </c>
      <c r="C1646" s="184" t="str">
        <f t="shared" si="25"/>
        <v>Levy, FL</v>
      </c>
      <c r="D1646" s="187">
        <v>4.3999999999999997E-2</v>
      </c>
    </row>
    <row r="1647" spans="1:4">
      <c r="A1647" s="184" t="s">
        <v>3875</v>
      </c>
      <c r="B1647" s="184" t="s">
        <v>2482</v>
      </c>
      <c r="C1647" s="184" t="str">
        <f t="shared" si="25"/>
        <v>Lewis, ID</v>
      </c>
      <c r="D1647" s="187">
        <v>5.7000000000000002E-2</v>
      </c>
    </row>
    <row r="1648" spans="1:4">
      <c r="A1648" s="184" t="s">
        <v>529</v>
      </c>
      <c r="B1648" s="184" t="s">
        <v>2482</v>
      </c>
      <c r="C1648" s="184" t="str">
        <f t="shared" si="25"/>
        <v>Lewis, KY</v>
      </c>
      <c r="D1648" s="187">
        <v>0.09</v>
      </c>
    </row>
    <row r="1649" spans="1:4">
      <c r="A1649" s="184" t="s">
        <v>3434</v>
      </c>
      <c r="B1649" s="184" t="s">
        <v>2482</v>
      </c>
      <c r="C1649" s="184" t="str">
        <f t="shared" si="25"/>
        <v>Lewis, MO</v>
      </c>
      <c r="D1649" s="187">
        <v>0.09</v>
      </c>
    </row>
    <row r="1650" spans="1:4">
      <c r="A1650" s="184" t="s">
        <v>3446</v>
      </c>
      <c r="B1650" s="184" t="s">
        <v>2482</v>
      </c>
      <c r="C1650" s="184" t="str">
        <f t="shared" si="25"/>
        <v>Lewis, NY</v>
      </c>
      <c r="D1650" s="187">
        <v>0.09</v>
      </c>
    </row>
    <row r="1651" spans="1:4">
      <c r="A1651" s="184" t="s">
        <v>699</v>
      </c>
      <c r="B1651" s="184" t="s">
        <v>2482</v>
      </c>
      <c r="C1651" s="184" t="str">
        <f t="shared" si="25"/>
        <v>Lewis, TN</v>
      </c>
      <c r="D1651" s="187">
        <v>0.09</v>
      </c>
    </row>
    <row r="1652" spans="1:4">
      <c r="A1652" s="184" t="s">
        <v>1278</v>
      </c>
      <c r="B1652" s="184" t="s">
        <v>2482</v>
      </c>
      <c r="C1652" s="184" t="str">
        <f t="shared" si="25"/>
        <v>Lewis, WA</v>
      </c>
      <c r="D1652" s="187">
        <v>0.09</v>
      </c>
    </row>
    <row r="1653" spans="1:4">
      <c r="A1653" s="184" t="s">
        <v>542</v>
      </c>
      <c r="B1653" s="184" t="s">
        <v>2482</v>
      </c>
      <c r="C1653" s="184" t="str">
        <f t="shared" si="25"/>
        <v>Lewis, WV</v>
      </c>
      <c r="D1653" s="187">
        <v>0.09</v>
      </c>
    </row>
    <row r="1654" spans="1:4">
      <c r="A1654" s="184" t="s">
        <v>3438</v>
      </c>
      <c r="B1654" s="184" t="s">
        <v>2814</v>
      </c>
      <c r="C1654" s="184" t="str">
        <f t="shared" si="25"/>
        <v>Lewis and Clark, MT</v>
      </c>
      <c r="D1654" s="187">
        <v>0.09</v>
      </c>
    </row>
    <row r="1655" spans="1:4">
      <c r="A1655" s="184" t="s">
        <v>1942</v>
      </c>
      <c r="B1655" s="184" t="s">
        <v>1943</v>
      </c>
      <c r="C1655" s="184" t="str">
        <f t="shared" si="25"/>
        <v>Lexington, SC</v>
      </c>
      <c r="D1655" s="187">
        <v>6.0999999999999999E-2</v>
      </c>
    </row>
    <row r="1656" spans="1:4">
      <c r="A1656" s="184" t="s">
        <v>746</v>
      </c>
      <c r="B1656" s="184" t="s">
        <v>3202</v>
      </c>
      <c r="C1656" s="184" t="str">
        <f t="shared" si="25"/>
        <v>Lexington City, VA</v>
      </c>
      <c r="D1656" s="187">
        <v>4.3999999999999997E-2</v>
      </c>
    </row>
    <row r="1657" spans="1:4">
      <c r="A1657" s="184" t="s">
        <v>3594</v>
      </c>
      <c r="B1657" s="184" t="s">
        <v>717</v>
      </c>
      <c r="C1657" s="184" t="str">
        <f t="shared" si="25"/>
        <v>Liberty, FL</v>
      </c>
      <c r="D1657" s="187">
        <v>4.3999999999999997E-2</v>
      </c>
    </row>
    <row r="1658" spans="1:4">
      <c r="A1658" s="184" t="s">
        <v>3602</v>
      </c>
      <c r="B1658" s="184" t="s">
        <v>717</v>
      </c>
      <c r="C1658" s="184" t="str">
        <f t="shared" si="25"/>
        <v>Liberty, GA</v>
      </c>
      <c r="D1658" s="187">
        <v>4.3999999999999997E-2</v>
      </c>
    </row>
    <row r="1659" spans="1:4">
      <c r="A1659" s="184" t="s">
        <v>3438</v>
      </c>
      <c r="B1659" s="184" t="s">
        <v>717</v>
      </c>
      <c r="C1659" s="184" t="str">
        <f t="shared" si="25"/>
        <v>Liberty, MT</v>
      </c>
      <c r="D1659" s="187">
        <v>0.09</v>
      </c>
    </row>
    <row r="1660" spans="1:4">
      <c r="A1660" s="184" t="s">
        <v>3906</v>
      </c>
      <c r="B1660" s="184" t="s">
        <v>717</v>
      </c>
      <c r="C1660" s="184" t="str">
        <f t="shared" si="25"/>
        <v>Liberty, TX</v>
      </c>
      <c r="D1660" s="187">
        <v>6.0999999999999999E-2</v>
      </c>
    </row>
    <row r="1661" spans="1:4">
      <c r="A1661" s="184" t="s">
        <v>2562</v>
      </c>
      <c r="B1661" s="184" t="s">
        <v>3062</v>
      </c>
      <c r="C1661" s="184" t="str">
        <f t="shared" si="25"/>
        <v>Licking, OH</v>
      </c>
      <c r="D1661" s="187">
        <v>6.0999999999999999E-2</v>
      </c>
    </row>
    <row r="1662" spans="1:4">
      <c r="A1662" s="184" t="s">
        <v>2000</v>
      </c>
      <c r="B1662" s="184" t="s">
        <v>555</v>
      </c>
      <c r="C1662" s="184" t="str">
        <f t="shared" si="25"/>
        <v>Limestone, AL</v>
      </c>
      <c r="D1662" s="187">
        <v>6.0999999999999999E-2</v>
      </c>
    </row>
    <row r="1663" spans="1:4">
      <c r="A1663" s="184" t="s">
        <v>3906</v>
      </c>
      <c r="B1663" s="184" t="s">
        <v>555</v>
      </c>
      <c r="C1663" s="184" t="str">
        <f t="shared" si="25"/>
        <v>Limestone, TX</v>
      </c>
      <c r="D1663" s="187">
        <v>4.3999999999999997E-2</v>
      </c>
    </row>
    <row r="1664" spans="1:4">
      <c r="A1664" s="184" t="s">
        <v>566</v>
      </c>
      <c r="B1664" s="184" t="s">
        <v>3038</v>
      </c>
      <c r="C1664" s="184" t="str">
        <f t="shared" si="25"/>
        <v>Lincoln, AR</v>
      </c>
      <c r="D1664" s="187">
        <v>4.3999999999999997E-2</v>
      </c>
    </row>
    <row r="1665" spans="1:4">
      <c r="A1665" s="184" t="s">
        <v>3108</v>
      </c>
      <c r="B1665" s="184" t="s">
        <v>3038</v>
      </c>
      <c r="C1665" s="184" t="str">
        <f t="shared" si="25"/>
        <v>Lincoln, CO</v>
      </c>
      <c r="D1665" s="187">
        <v>4.3999999999999997E-2</v>
      </c>
    </row>
    <row r="1666" spans="1:4">
      <c r="A1666" s="184" t="s">
        <v>3602</v>
      </c>
      <c r="B1666" s="184" t="s">
        <v>3038</v>
      </c>
      <c r="C1666" s="184" t="str">
        <f t="shared" si="25"/>
        <v>Lincoln, GA</v>
      </c>
      <c r="D1666" s="187">
        <v>4.3999999999999997E-2</v>
      </c>
    </row>
    <row r="1667" spans="1:4">
      <c r="A1667" s="184" t="s">
        <v>3875</v>
      </c>
      <c r="B1667" s="184" t="s">
        <v>3038</v>
      </c>
      <c r="C1667" s="184" t="str">
        <f t="shared" si="25"/>
        <v>Lincoln, ID</v>
      </c>
      <c r="D1667" s="187">
        <v>4.3999999999999997E-2</v>
      </c>
    </row>
    <row r="1668" spans="1:4">
      <c r="A1668" s="184" t="s">
        <v>663</v>
      </c>
      <c r="B1668" s="184" t="s">
        <v>3038</v>
      </c>
      <c r="C1668" s="184" t="str">
        <f t="shared" si="25"/>
        <v>Lincoln, KS</v>
      </c>
      <c r="D1668" s="187">
        <v>0.09</v>
      </c>
    </row>
    <row r="1669" spans="1:4">
      <c r="A1669" s="184" t="s">
        <v>529</v>
      </c>
      <c r="B1669" s="184" t="s">
        <v>3038</v>
      </c>
      <c r="C1669" s="184" t="str">
        <f t="shared" si="25"/>
        <v>Lincoln, KY</v>
      </c>
      <c r="D1669" s="187">
        <v>0.09</v>
      </c>
    </row>
    <row r="1670" spans="1:4">
      <c r="A1670" s="184" t="s">
        <v>535</v>
      </c>
      <c r="B1670" s="184" t="s">
        <v>3038</v>
      </c>
      <c r="C1670" s="184" t="str">
        <f t="shared" ref="C1670:C1733" si="26">B1670&amp;", "&amp;A1670</f>
        <v>Lincoln, LA</v>
      </c>
      <c r="D1670" s="187">
        <v>0.09</v>
      </c>
    </row>
    <row r="1671" spans="1:4">
      <c r="A1671" s="184" t="s">
        <v>1922</v>
      </c>
      <c r="B1671" s="184" t="s">
        <v>3038</v>
      </c>
      <c r="C1671" s="184" t="str">
        <f t="shared" si="26"/>
        <v>Lincoln, ME</v>
      </c>
      <c r="D1671" s="187">
        <v>0.09</v>
      </c>
    </row>
    <row r="1672" spans="1:4">
      <c r="A1672" s="184" t="s">
        <v>3429</v>
      </c>
      <c r="B1672" s="184" t="s">
        <v>3038</v>
      </c>
      <c r="C1672" s="184" t="str">
        <f t="shared" si="26"/>
        <v>Lincoln, MN</v>
      </c>
      <c r="D1672" s="187">
        <v>0.09</v>
      </c>
    </row>
    <row r="1673" spans="1:4">
      <c r="A1673" s="184" t="s">
        <v>3434</v>
      </c>
      <c r="B1673" s="184" t="s">
        <v>3038</v>
      </c>
      <c r="C1673" s="184" t="str">
        <f t="shared" si="26"/>
        <v>Lincoln, MO</v>
      </c>
      <c r="D1673" s="187">
        <v>6.0999999999999999E-2</v>
      </c>
    </row>
    <row r="1674" spans="1:4">
      <c r="A1674" s="184" t="s">
        <v>3035</v>
      </c>
      <c r="B1674" s="184" t="s">
        <v>3038</v>
      </c>
      <c r="C1674" s="184" t="str">
        <f t="shared" si="26"/>
        <v>Lincoln, MS</v>
      </c>
      <c r="D1674" s="187">
        <v>4.3999999999999997E-2</v>
      </c>
    </row>
    <row r="1675" spans="1:4">
      <c r="A1675" s="184" t="s">
        <v>3438</v>
      </c>
      <c r="B1675" s="184" t="s">
        <v>3038</v>
      </c>
      <c r="C1675" s="184" t="str">
        <f t="shared" si="26"/>
        <v>Lincoln, MT</v>
      </c>
      <c r="D1675" s="187">
        <v>0.09</v>
      </c>
    </row>
    <row r="1676" spans="1:4">
      <c r="A1676" s="184" t="s">
        <v>2542</v>
      </c>
      <c r="B1676" s="184" t="s">
        <v>3038</v>
      </c>
      <c r="C1676" s="184" t="str">
        <f t="shared" si="26"/>
        <v>Lincoln, NC</v>
      </c>
      <c r="D1676" s="187">
        <v>6.0999999999999999E-2</v>
      </c>
    </row>
    <row r="1677" spans="1:4">
      <c r="A1677" s="184" t="s">
        <v>3442</v>
      </c>
      <c r="B1677" s="184" t="s">
        <v>3038</v>
      </c>
      <c r="C1677" s="184" t="str">
        <f t="shared" si="26"/>
        <v>Lincoln, NE</v>
      </c>
      <c r="D1677" s="187">
        <v>0.09</v>
      </c>
    </row>
    <row r="1678" spans="1:4">
      <c r="A1678" s="184" t="s">
        <v>3622</v>
      </c>
      <c r="B1678" s="184" t="s">
        <v>3038</v>
      </c>
      <c r="C1678" s="184" t="str">
        <f t="shared" si="26"/>
        <v>Lincoln, NM</v>
      </c>
      <c r="D1678" s="187">
        <v>5.7000000000000002E-2</v>
      </c>
    </row>
    <row r="1679" spans="1:4">
      <c r="A1679" s="184" t="s">
        <v>3043</v>
      </c>
      <c r="B1679" s="184" t="s">
        <v>3038</v>
      </c>
      <c r="C1679" s="184" t="str">
        <f t="shared" si="26"/>
        <v>Lincoln, NV</v>
      </c>
      <c r="D1679" s="187">
        <v>0.09</v>
      </c>
    </row>
    <row r="1680" spans="1:4">
      <c r="A1680" s="184" t="s">
        <v>2573</v>
      </c>
      <c r="B1680" s="184" t="s">
        <v>3038</v>
      </c>
      <c r="C1680" s="184" t="str">
        <f t="shared" si="26"/>
        <v>Lincoln, OK</v>
      </c>
      <c r="D1680" s="187">
        <v>0.09</v>
      </c>
    </row>
    <row r="1681" spans="1:4">
      <c r="A1681" s="184" t="s">
        <v>3353</v>
      </c>
      <c r="B1681" s="184" t="s">
        <v>3038</v>
      </c>
      <c r="C1681" s="184" t="str">
        <f t="shared" si="26"/>
        <v>Lincoln, OR</v>
      </c>
      <c r="D1681" s="187">
        <v>0.09</v>
      </c>
    </row>
    <row r="1682" spans="1:4">
      <c r="A1682" s="184" t="s">
        <v>1944</v>
      </c>
      <c r="B1682" s="184" t="s">
        <v>3038</v>
      </c>
      <c r="C1682" s="184" t="str">
        <f t="shared" si="26"/>
        <v>Lincoln, SD</v>
      </c>
      <c r="D1682" s="187">
        <v>6.0999999999999999E-2</v>
      </c>
    </row>
    <row r="1683" spans="1:4">
      <c r="A1683" s="184" t="s">
        <v>699</v>
      </c>
      <c r="B1683" s="184" t="s">
        <v>3038</v>
      </c>
      <c r="C1683" s="184" t="str">
        <f t="shared" si="26"/>
        <v>Lincoln, TN</v>
      </c>
      <c r="D1683" s="187">
        <v>0.09</v>
      </c>
    </row>
    <row r="1684" spans="1:4">
      <c r="A1684" s="184" t="s">
        <v>1278</v>
      </c>
      <c r="B1684" s="184" t="s">
        <v>3038</v>
      </c>
      <c r="C1684" s="184" t="str">
        <f t="shared" si="26"/>
        <v>Lincoln, WA</v>
      </c>
      <c r="D1684" s="187">
        <v>0.09</v>
      </c>
    </row>
    <row r="1685" spans="1:4">
      <c r="A1685" s="184" t="s">
        <v>550</v>
      </c>
      <c r="B1685" s="184" t="s">
        <v>3038</v>
      </c>
      <c r="C1685" s="184" t="str">
        <f t="shared" si="26"/>
        <v>Lincoln, WI</v>
      </c>
      <c r="D1685" s="187">
        <v>0.09</v>
      </c>
    </row>
    <row r="1686" spans="1:4">
      <c r="A1686" s="184" t="s">
        <v>542</v>
      </c>
      <c r="B1686" s="184" t="s">
        <v>3038</v>
      </c>
      <c r="C1686" s="184" t="str">
        <f t="shared" si="26"/>
        <v>Lincoln, WV</v>
      </c>
      <c r="D1686" s="187">
        <v>0.09</v>
      </c>
    </row>
    <row r="1687" spans="1:4">
      <c r="A1687" s="184" t="s">
        <v>1033</v>
      </c>
      <c r="B1687" s="184" t="s">
        <v>3038</v>
      </c>
      <c r="C1687" s="184" t="str">
        <f t="shared" si="26"/>
        <v>Lincoln, WY</v>
      </c>
      <c r="D1687" s="187">
        <v>0.09</v>
      </c>
    </row>
    <row r="1688" spans="1:4">
      <c r="A1688" s="184" t="s">
        <v>2031</v>
      </c>
      <c r="B1688" s="184" t="s">
        <v>2329</v>
      </c>
      <c r="C1688" s="184" t="str">
        <f t="shared" si="26"/>
        <v>Linn, IA</v>
      </c>
      <c r="D1688" s="187">
        <v>6.0999999999999999E-2</v>
      </c>
    </row>
    <row r="1689" spans="1:4">
      <c r="A1689" s="184" t="s">
        <v>663</v>
      </c>
      <c r="B1689" s="184" t="s">
        <v>2329</v>
      </c>
      <c r="C1689" s="184" t="str">
        <f t="shared" si="26"/>
        <v>Linn, KS</v>
      </c>
      <c r="D1689" s="187">
        <v>0.09</v>
      </c>
    </row>
    <row r="1690" spans="1:4">
      <c r="A1690" s="184" t="s">
        <v>3434</v>
      </c>
      <c r="B1690" s="184" t="s">
        <v>2329</v>
      </c>
      <c r="C1690" s="184" t="str">
        <f t="shared" si="26"/>
        <v>Linn, MO</v>
      </c>
      <c r="D1690" s="187">
        <v>0.09</v>
      </c>
    </row>
    <row r="1691" spans="1:4">
      <c r="A1691" s="184" t="s">
        <v>3353</v>
      </c>
      <c r="B1691" s="184" t="s">
        <v>2329</v>
      </c>
      <c r="C1691" s="184" t="str">
        <f t="shared" si="26"/>
        <v>Linn, OR</v>
      </c>
      <c r="D1691" s="187">
        <v>5.7000000000000002E-2</v>
      </c>
    </row>
    <row r="1692" spans="1:4">
      <c r="A1692" s="184" t="s">
        <v>3906</v>
      </c>
      <c r="B1692" s="184" t="s">
        <v>2458</v>
      </c>
      <c r="C1692" s="184" t="str">
        <f t="shared" si="26"/>
        <v>Lipscomb, TX</v>
      </c>
      <c r="D1692" s="187">
        <v>4.3999999999999997E-2</v>
      </c>
    </row>
    <row r="1693" spans="1:4">
      <c r="A1693" s="184" t="s">
        <v>1178</v>
      </c>
      <c r="B1693" s="184" t="s">
        <v>1179</v>
      </c>
      <c r="C1693" s="184" t="str">
        <f t="shared" si="26"/>
        <v>Litchfield, CT</v>
      </c>
      <c r="D1693" s="187">
        <v>6.0999999999999999E-2</v>
      </c>
    </row>
    <row r="1694" spans="1:4">
      <c r="A1694" s="184" t="s">
        <v>566</v>
      </c>
      <c r="B1694" s="184" t="s">
        <v>3006</v>
      </c>
      <c r="C1694" s="184" t="str">
        <f t="shared" si="26"/>
        <v>Little River, AR</v>
      </c>
      <c r="D1694" s="187">
        <v>4.3999999999999997E-2</v>
      </c>
    </row>
    <row r="1695" spans="1:4">
      <c r="A1695" s="184" t="s">
        <v>3906</v>
      </c>
      <c r="B1695" s="184" t="s">
        <v>2459</v>
      </c>
      <c r="C1695" s="184" t="str">
        <f t="shared" si="26"/>
        <v>Live Oak, TX</v>
      </c>
      <c r="D1695" s="187">
        <v>4.3999999999999997E-2</v>
      </c>
    </row>
    <row r="1696" spans="1:4">
      <c r="A1696" s="184" t="s">
        <v>2019</v>
      </c>
      <c r="B1696" s="184" t="s">
        <v>2077</v>
      </c>
      <c r="C1696" s="184" t="str">
        <f t="shared" si="26"/>
        <v>Livingston, IL</v>
      </c>
      <c r="D1696" s="187">
        <v>0.09</v>
      </c>
    </row>
    <row r="1697" spans="1:4">
      <c r="A1697" s="184" t="s">
        <v>529</v>
      </c>
      <c r="B1697" s="184" t="s">
        <v>2077</v>
      </c>
      <c r="C1697" s="184" t="str">
        <f t="shared" si="26"/>
        <v>Livingston, KY</v>
      </c>
      <c r="D1697" s="187">
        <v>0.09</v>
      </c>
    </row>
    <row r="1698" spans="1:4">
      <c r="A1698" s="184" t="s">
        <v>535</v>
      </c>
      <c r="B1698" s="184" t="s">
        <v>2077</v>
      </c>
      <c r="C1698" s="184" t="str">
        <f t="shared" si="26"/>
        <v>Livingston, LA</v>
      </c>
      <c r="D1698" s="187">
        <v>0.09</v>
      </c>
    </row>
    <row r="1699" spans="1:4">
      <c r="A1699" s="184" t="s">
        <v>2090</v>
      </c>
      <c r="B1699" s="184" t="s">
        <v>2077</v>
      </c>
      <c r="C1699" s="184" t="str">
        <f t="shared" si="26"/>
        <v>Livingston, MI</v>
      </c>
      <c r="D1699" s="187">
        <v>6.0999999999999999E-2</v>
      </c>
    </row>
    <row r="1700" spans="1:4">
      <c r="A1700" s="184" t="s">
        <v>3434</v>
      </c>
      <c r="B1700" s="184" t="s">
        <v>2077</v>
      </c>
      <c r="C1700" s="184" t="str">
        <f t="shared" si="26"/>
        <v>Livingston, MO</v>
      </c>
      <c r="D1700" s="187">
        <v>0.09</v>
      </c>
    </row>
    <row r="1701" spans="1:4">
      <c r="A1701" s="184" t="s">
        <v>3446</v>
      </c>
      <c r="B1701" s="184" t="s">
        <v>2077</v>
      </c>
      <c r="C1701" s="184" t="str">
        <f t="shared" si="26"/>
        <v>Livingston, NY</v>
      </c>
      <c r="D1701" s="187">
        <v>3.5000000000000003E-2</v>
      </c>
    </row>
    <row r="1702" spans="1:4">
      <c r="A1702" s="184" t="s">
        <v>3906</v>
      </c>
      <c r="B1702" s="184" t="s">
        <v>2460</v>
      </c>
      <c r="C1702" s="184" t="str">
        <f t="shared" si="26"/>
        <v>Llano, TX</v>
      </c>
      <c r="D1702" s="187">
        <v>4.3999999999999997E-2</v>
      </c>
    </row>
    <row r="1703" spans="1:4">
      <c r="A1703" s="184" t="s">
        <v>566</v>
      </c>
      <c r="B1703" s="184" t="s">
        <v>3348</v>
      </c>
      <c r="C1703" s="184" t="str">
        <f t="shared" si="26"/>
        <v>Logan, AR</v>
      </c>
      <c r="D1703" s="187">
        <v>4.3999999999999997E-2</v>
      </c>
    </row>
    <row r="1704" spans="1:4">
      <c r="A1704" s="184" t="s">
        <v>3108</v>
      </c>
      <c r="B1704" s="184" t="s">
        <v>3348</v>
      </c>
      <c r="C1704" s="184" t="str">
        <f t="shared" si="26"/>
        <v>Logan, CO</v>
      </c>
      <c r="D1704" s="187">
        <v>4.3999999999999997E-2</v>
      </c>
    </row>
    <row r="1705" spans="1:4">
      <c r="A1705" s="184" t="s">
        <v>2019</v>
      </c>
      <c r="B1705" s="184" t="s">
        <v>3348</v>
      </c>
      <c r="C1705" s="184" t="str">
        <f t="shared" si="26"/>
        <v>Logan, IL</v>
      </c>
      <c r="D1705" s="187">
        <v>0.09</v>
      </c>
    </row>
    <row r="1706" spans="1:4">
      <c r="A1706" s="184" t="s">
        <v>663</v>
      </c>
      <c r="B1706" s="184" t="s">
        <v>3348</v>
      </c>
      <c r="C1706" s="184" t="str">
        <f t="shared" si="26"/>
        <v>Logan, KS</v>
      </c>
      <c r="D1706" s="187">
        <v>0.09</v>
      </c>
    </row>
    <row r="1707" spans="1:4">
      <c r="A1707" s="184" t="s">
        <v>529</v>
      </c>
      <c r="B1707" s="184" t="s">
        <v>3348</v>
      </c>
      <c r="C1707" s="184" t="str">
        <f t="shared" si="26"/>
        <v>Logan, KY</v>
      </c>
      <c r="D1707" s="187">
        <v>0.09</v>
      </c>
    </row>
    <row r="1708" spans="1:4">
      <c r="A1708" s="184" t="s">
        <v>2558</v>
      </c>
      <c r="B1708" s="184" t="s">
        <v>3348</v>
      </c>
      <c r="C1708" s="184" t="str">
        <f t="shared" si="26"/>
        <v>Logan, ND</v>
      </c>
      <c r="D1708" s="187">
        <v>0.09</v>
      </c>
    </row>
    <row r="1709" spans="1:4">
      <c r="A1709" s="184" t="s">
        <v>3442</v>
      </c>
      <c r="B1709" s="184" t="s">
        <v>3348</v>
      </c>
      <c r="C1709" s="184" t="str">
        <f t="shared" si="26"/>
        <v>Logan, NE</v>
      </c>
      <c r="D1709" s="187">
        <v>0.09</v>
      </c>
    </row>
    <row r="1710" spans="1:4">
      <c r="A1710" s="184" t="s">
        <v>2562</v>
      </c>
      <c r="B1710" s="184" t="s">
        <v>3348</v>
      </c>
      <c r="C1710" s="184" t="str">
        <f t="shared" si="26"/>
        <v>Logan, OH</v>
      </c>
      <c r="D1710" s="187">
        <v>0.09</v>
      </c>
    </row>
    <row r="1711" spans="1:4">
      <c r="A1711" s="184" t="s">
        <v>2573</v>
      </c>
      <c r="B1711" s="184" t="s">
        <v>3348</v>
      </c>
      <c r="C1711" s="184" t="str">
        <f t="shared" si="26"/>
        <v>Logan, OK</v>
      </c>
      <c r="D1711" s="187">
        <v>0.09</v>
      </c>
    </row>
    <row r="1712" spans="1:4">
      <c r="A1712" s="184" t="s">
        <v>542</v>
      </c>
      <c r="B1712" s="184" t="s">
        <v>3348</v>
      </c>
      <c r="C1712" s="184" t="str">
        <f t="shared" si="26"/>
        <v>Logan, WV</v>
      </c>
      <c r="D1712" s="187">
        <v>0.09</v>
      </c>
    </row>
    <row r="1713" spans="1:4">
      <c r="A1713" s="184" t="s">
        <v>3602</v>
      </c>
      <c r="B1713" s="184" t="s">
        <v>231</v>
      </c>
      <c r="C1713" s="184" t="str">
        <f t="shared" si="26"/>
        <v>Long, GA</v>
      </c>
      <c r="D1713" s="187">
        <v>4.3999999999999997E-2</v>
      </c>
    </row>
    <row r="1714" spans="1:4">
      <c r="A1714" s="184" t="s">
        <v>566</v>
      </c>
      <c r="B1714" s="184" t="s">
        <v>569</v>
      </c>
      <c r="C1714" s="184" t="str">
        <f t="shared" si="26"/>
        <v>Lonoke, AR</v>
      </c>
      <c r="D1714" s="187">
        <v>6.0999999999999999E-2</v>
      </c>
    </row>
    <row r="1715" spans="1:4">
      <c r="A1715" s="184" t="s">
        <v>2562</v>
      </c>
      <c r="B1715" s="184" t="s">
        <v>3063</v>
      </c>
      <c r="C1715" s="184" t="str">
        <f t="shared" si="26"/>
        <v>Lorain, OH</v>
      </c>
      <c r="D1715" s="187">
        <v>6.0999999999999999E-2</v>
      </c>
    </row>
    <row r="1716" spans="1:4">
      <c r="A1716" s="184" t="s">
        <v>3622</v>
      </c>
      <c r="B1716" s="184" t="s">
        <v>22</v>
      </c>
      <c r="C1716" s="184" t="str">
        <f t="shared" si="26"/>
        <v>Los Alamos, NM</v>
      </c>
      <c r="D1716" s="187">
        <v>5.7000000000000002E-2</v>
      </c>
    </row>
    <row r="1717" spans="1:4">
      <c r="A1717" s="184" t="s">
        <v>3106</v>
      </c>
      <c r="B1717" s="184" t="s">
        <v>3550</v>
      </c>
      <c r="C1717" s="184" t="str">
        <f t="shared" si="26"/>
        <v>Los Angeles, CA</v>
      </c>
      <c r="D1717" s="187">
        <v>2.4E-2</v>
      </c>
    </row>
    <row r="1718" spans="1:4">
      <c r="A1718" s="184" t="s">
        <v>699</v>
      </c>
      <c r="B1718" s="184" t="s">
        <v>924</v>
      </c>
      <c r="C1718" s="184" t="str">
        <f t="shared" si="26"/>
        <v>Loudon, TN</v>
      </c>
      <c r="D1718" s="187">
        <v>0.09</v>
      </c>
    </row>
    <row r="1719" spans="1:4">
      <c r="A1719" s="184" t="s">
        <v>746</v>
      </c>
      <c r="B1719" s="184" t="s">
        <v>2906</v>
      </c>
      <c r="C1719" s="184" t="str">
        <f t="shared" si="26"/>
        <v>Loudoun, VA</v>
      </c>
      <c r="D1719" s="187">
        <v>6.0999999999999999E-2</v>
      </c>
    </row>
    <row r="1720" spans="1:4">
      <c r="A1720" s="184" t="s">
        <v>2031</v>
      </c>
      <c r="B1720" s="184" t="s">
        <v>1971</v>
      </c>
      <c r="C1720" s="184" t="str">
        <f t="shared" si="26"/>
        <v>Louisa, IA</v>
      </c>
      <c r="D1720" s="187">
        <v>0.09</v>
      </c>
    </row>
    <row r="1721" spans="1:4">
      <c r="A1721" s="184" t="s">
        <v>746</v>
      </c>
      <c r="B1721" s="184" t="s">
        <v>1971</v>
      </c>
      <c r="C1721" s="184" t="str">
        <f t="shared" si="26"/>
        <v>Louisa, VA</v>
      </c>
      <c r="D1721" s="187">
        <v>4.3999999999999997E-2</v>
      </c>
    </row>
    <row r="1722" spans="1:4">
      <c r="A1722" s="184" t="s">
        <v>3442</v>
      </c>
      <c r="B1722" s="184" t="s">
        <v>1112</v>
      </c>
      <c r="C1722" s="184" t="str">
        <f t="shared" si="26"/>
        <v>Loup, NE</v>
      </c>
      <c r="D1722" s="187">
        <v>0.09</v>
      </c>
    </row>
    <row r="1723" spans="1:4">
      <c r="A1723" s="184" t="s">
        <v>2573</v>
      </c>
      <c r="B1723" s="184" t="s">
        <v>449</v>
      </c>
      <c r="C1723" s="184" t="str">
        <f t="shared" si="26"/>
        <v>Love, OK</v>
      </c>
      <c r="D1723" s="187">
        <v>0.09</v>
      </c>
    </row>
    <row r="1724" spans="1:4">
      <c r="A1724" s="184" t="s">
        <v>3906</v>
      </c>
      <c r="B1724" s="184" t="s">
        <v>2461</v>
      </c>
      <c r="C1724" s="184" t="str">
        <f t="shared" si="26"/>
        <v>Loving, TX</v>
      </c>
      <c r="D1724" s="187">
        <v>6.0999999999999999E-2</v>
      </c>
    </row>
    <row r="1725" spans="1:4">
      <c r="A1725" s="184" t="s">
        <v>2000</v>
      </c>
      <c r="B1725" s="184" t="s">
        <v>3893</v>
      </c>
      <c r="C1725" s="184" t="str">
        <f t="shared" si="26"/>
        <v>Lowndes, AL</v>
      </c>
      <c r="D1725" s="187">
        <v>0.09</v>
      </c>
    </row>
    <row r="1726" spans="1:4">
      <c r="A1726" s="184" t="s">
        <v>3602</v>
      </c>
      <c r="B1726" s="184" t="s">
        <v>3893</v>
      </c>
      <c r="C1726" s="184" t="str">
        <f t="shared" si="26"/>
        <v>Lowndes, GA</v>
      </c>
      <c r="D1726" s="187">
        <v>4.3999999999999997E-2</v>
      </c>
    </row>
    <row r="1727" spans="1:4">
      <c r="A1727" s="184" t="s">
        <v>3035</v>
      </c>
      <c r="B1727" s="184" t="s">
        <v>3893</v>
      </c>
      <c r="C1727" s="184" t="str">
        <f t="shared" si="26"/>
        <v>Lowndes, MS</v>
      </c>
      <c r="D1727" s="187">
        <v>4.3999999999999997E-2</v>
      </c>
    </row>
    <row r="1728" spans="1:4">
      <c r="A1728" s="184" t="s">
        <v>3906</v>
      </c>
      <c r="B1728" s="184" t="s">
        <v>504</v>
      </c>
      <c r="C1728" s="184" t="str">
        <f t="shared" si="26"/>
        <v>Lubbock, TX</v>
      </c>
      <c r="D1728" s="187">
        <v>4.3999999999999997E-2</v>
      </c>
    </row>
    <row r="1729" spans="1:4">
      <c r="A1729" s="184" t="s">
        <v>2031</v>
      </c>
      <c r="B1729" s="184" t="s">
        <v>1972</v>
      </c>
      <c r="C1729" s="184" t="str">
        <f t="shared" si="26"/>
        <v>Lucas, IA</v>
      </c>
      <c r="D1729" s="187">
        <v>0.09</v>
      </c>
    </row>
    <row r="1730" spans="1:4">
      <c r="A1730" s="184" t="s">
        <v>2562</v>
      </c>
      <c r="B1730" s="184" t="s">
        <v>1972</v>
      </c>
      <c r="C1730" s="184" t="str">
        <f t="shared" si="26"/>
        <v>Lucas, OH</v>
      </c>
      <c r="D1730" s="187">
        <v>4.4999999999999998E-2</v>
      </c>
    </row>
    <row r="1731" spans="1:4">
      <c r="A1731" s="184" t="s">
        <v>2090</v>
      </c>
      <c r="B1731" s="184" t="s">
        <v>654</v>
      </c>
      <c r="C1731" s="184" t="str">
        <f t="shared" si="26"/>
        <v>Luce, MI</v>
      </c>
      <c r="D1731" s="187">
        <v>0.09</v>
      </c>
    </row>
    <row r="1732" spans="1:4">
      <c r="A1732" s="184" t="s">
        <v>3602</v>
      </c>
      <c r="B1732" s="184" t="s">
        <v>232</v>
      </c>
      <c r="C1732" s="184" t="str">
        <f t="shared" si="26"/>
        <v>Lumpkin, GA</v>
      </c>
      <c r="D1732" s="187">
        <v>4.3999999999999997E-2</v>
      </c>
    </row>
    <row r="1733" spans="1:4">
      <c r="A1733" s="184" t="s">
        <v>3622</v>
      </c>
      <c r="B1733" s="184" t="s">
        <v>959</v>
      </c>
      <c r="C1733" s="184" t="str">
        <f t="shared" si="26"/>
        <v>Luna, NM</v>
      </c>
      <c r="D1733" s="187">
        <v>3.5000000000000003E-2</v>
      </c>
    </row>
    <row r="1734" spans="1:4">
      <c r="A1734" s="184" t="s">
        <v>746</v>
      </c>
      <c r="B1734" s="184" t="s">
        <v>830</v>
      </c>
      <c r="C1734" s="184" t="str">
        <f t="shared" ref="C1734:C1797" si="27">B1734&amp;", "&amp;A1734</f>
        <v>Lunenburg, VA</v>
      </c>
      <c r="D1734" s="187">
        <v>4.3999999999999997E-2</v>
      </c>
    </row>
    <row r="1735" spans="1:4">
      <c r="A1735" s="184" t="s">
        <v>3356</v>
      </c>
      <c r="B1735" s="184" t="s">
        <v>3236</v>
      </c>
      <c r="C1735" s="184" t="str">
        <f t="shared" si="27"/>
        <v>Luzerne, PA</v>
      </c>
      <c r="D1735" s="187">
        <v>5.7000000000000002E-2</v>
      </c>
    </row>
    <row r="1736" spans="1:4">
      <c r="A1736" s="184" t="s">
        <v>3356</v>
      </c>
      <c r="B1736" s="184" t="s">
        <v>696</v>
      </c>
      <c r="C1736" s="184" t="str">
        <f t="shared" si="27"/>
        <v>Lycoming, PA</v>
      </c>
      <c r="D1736" s="187">
        <v>0.09</v>
      </c>
    </row>
    <row r="1737" spans="1:4">
      <c r="A1737" s="184" t="s">
        <v>1944</v>
      </c>
      <c r="B1737" s="184" t="s">
        <v>1721</v>
      </c>
      <c r="C1737" s="184" t="str">
        <f t="shared" si="27"/>
        <v>Lyman, SD</v>
      </c>
      <c r="D1737" s="187">
        <v>4.3999999999999997E-2</v>
      </c>
    </row>
    <row r="1738" spans="1:4">
      <c r="A1738" s="184" t="s">
        <v>746</v>
      </c>
      <c r="B1738" s="184" t="s">
        <v>3878</v>
      </c>
      <c r="C1738" s="184" t="str">
        <f t="shared" si="27"/>
        <v>Lynchburg City, VA</v>
      </c>
      <c r="D1738" s="187">
        <v>4.3999999999999997E-2</v>
      </c>
    </row>
    <row r="1739" spans="1:4">
      <c r="A1739" s="184" t="s">
        <v>3906</v>
      </c>
      <c r="B1739" s="184" t="s">
        <v>326</v>
      </c>
      <c r="C1739" s="184" t="str">
        <f t="shared" si="27"/>
        <v>Lynn, TX</v>
      </c>
      <c r="D1739" s="187">
        <v>4.3999999999999997E-2</v>
      </c>
    </row>
    <row r="1740" spans="1:4">
      <c r="A1740" s="184" t="s">
        <v>2031</v>
      </c>
      <c r="B1740" s="184" t="s">
        <v>1973</v>
      </c>
      <c r="C1740" s="184" t="str">
        <f t="shared" si="27"/>
        <v>Lyon, IA</v>
      </c>
      <c r="D1740" s="187">
        <v>0.09</v>
      </c>
    </row>
    <row r="1741" spans="1:4">
      <c r="A1741" s="184" t="s">
        <v>663</v>
      </c>
      <c r="B1741" s="184" t="s">
        <v>1973</v>
      </c>
      <c r="C1741" s="184" t="str">
        <f t="shared" si="27"/>
        <v>Lyon, KS</v>
      </c>
      <c r="D1741" s="187">
        <v>0.09</v>
      </c>
    </row>
    <row r="1742" spans="1:4">
      <c r="A1742" s="184" t="s">
        <v>529</v>
      </c>
      <c r="B1742" s="184" t="s">
        <v>1973</v>
      </c>
      <c r="C1742" s="184" t="str">
        <f t="shared" si="27"/>
        <v>Lyon, KY</v>
      </c>
      <c r="D1742" s="187">
        <v>0.09</v>
      </c>
    </row>
    <row r="1743" spans="1:4">
      <c r="A1743" s="184" t="s">
        <v>3429</v>
      </c>
      <c r="B1743" s="184" t="s">
        <v>1973</v>
      </c>
      <c r="C1743" s="184" t="str">
        <f t="shared" si="27"/>
        <v>Lyon, MN</v>
      </c>
      <c r="D1743" s="187">
        <v>0.09</v>
      </c>
    </row>
    <row r="1744" spans="1:4">
      <c r="A1744" s="184" t="s">
        <v>3043</v>
      </c>
      <c r="B1744" s="184" t="s">
        <v>1973</v>
      </c>
      <c r="C1744" s="184" t="str">
        <f t="shared" si="27"/>
        <v>Lyon, NV</v>
      </c>
      <c r="D1744" s="187">
        <v>0.09</v>
      </c>
    </row>
    <row r="1745" spans="1:4">
      <c r="A1745" s="184" t="s">
        <v>2090</v>
      </c>
      <c r="B1745" s="184" t="s">
        <v>655</v>
      </c>
      <c r="C1745" s="184" t="str">
        <f t="shared" si="27"/>
        <v>Mackinac, MI</v>
      </c>
      <c r="D1745" s="187">
        <v>0.09</v>
      </c>
    </row>
    <row r="1746" spans="1:4">
      <c r="A1746" s="184" t="s">
        <v>2090</v>
      </c>
      <c r="B1746" s="184" t="s">
        <v>2757</v>
      </c>
      <c r="C1746" s="184" t="str">
        <f t="shared" si="27"/>
        <v>Macomb, MI</v>
      </c>
      <c r="D1746" s="187">
        <v>6.0999999999999999E-2</v>
      </c>
    </row>
    <row r="1747" spans="1:4">
      <c r="A1747" s="184" t="s">
        <v>2000</v>
      </c>
      <c r="B1747" s="184" t="s">
        <v>1610</v>
      </c>
      <c r="C1747" s="184" t="str">
        <f t="shared" si="27"/>
        <v>Macon, AL</v>
      </c>
      <c r="D1747" s="187">
        <v>0.09</v>
      </c>
    </row>
    <row r="1748" spans="1:4">
      <c r="A1748" s="184" t="s">
        <v>3602</v>
      </c>
      <c r="B1748" s="184" t="s">
        <v>1610</v>
      </c>
      <c r="C1748" s="184" t="str">
        <f t="shared" si="27"/>
        <v>Macon, GA</v>
      </c>
      <c r="D1748" s="187">
        <v>4.3999999999999997E-2</v>
      </c>
    </row>
    <row r="1749" spans="1:4">
      <c r="A1749" s="184" t="s">
        <v>2019</v>
      </c>
      <c r="B1749" s="184" t="s">
        <v>1610</v>
      </c>
      <c r="C1749" s="184" t="str">
        <f t="shared" si="27"/>
        <v>Macon, IL</v>
      </c>
      <c r="D1749" s="187">
        <v>6.0999999999999999E-2</v>
      </c>
    </row>
    <row r="1750" spans="1:4">
      <c r="A1750" s="184" t="s">
        <v>3434</v>
      </c>
      <c r="B1750" s="184" t="s">
        <v>1610</v>
      </c>
      <c r="C1750" s="184" t="str">
        <f t="shared" si="27"/>
        <v>Macon, MO</v>
      </c>
      <c r="D1750" s="187">
        <v>0.09</v>
      </c>
    </row>
    <row r="1751" spans="1:4">
      <c r="A1751" s="184" t="s">
        <v>2542</v>
      </c>
      <c r="B1751" s="184" t="s">
        <v>1610</v>
      </c>
      <c r="C1751" s="184" t="str">
        <f t="shared" si="27"/>
        <v>Macon, NC</v>
      </c>
      <c r="D1751" s="187">
        <v>4.3999999999999997E-2</v>
      </c>
    </row>
    <row r="1752" spans="1:4">
      <c r="A1752" s="184" t="s">
        <v>699</v>
      </c>
      <c r="B1752" s="184" t="s">
        <v>1610</v>
      </c>
      <c r="C1752" s="184" t="str">
        <f t="shared" si="27"/>
        <v>Macon, TN</v>
      </c>
      <c r="D1752" s="187">
        <v>0.09</v>
      </c>
    </row>
    <row r="1753" spans="1:4">
      <c r="A1753" s="184" t="s">
        <v>2019</v>
      </c>
      <c r="B1753" s="184" t="s">
        <v>3372</v>
      </c>
      <c r="C1753" s="184" t="str">
        <f t="shared" si="27"/>
        <v>Macoupin, IL</v>
      </c>
      <c r="D1753" s="187">
        <v>0.09</v>
      </c>
    </row>
    <row r="1754" spans="1:4">
      <c r="A1754" s="184" t="s">
        <v>3106</v>
      </c>
      <c r="B1754" s="184" t="s">
        <v>934</v>
      </c>
      <c r="C1754" s="184" t="str">
        <f t="shared" si="27"/>
        <v>Madera, CA</v>
      </c>
      <c r="D1754" s="187">
        <v>3.5000000000000003E-2</v>
      </c>
    </row>
    <row r="1755" spans="1:4">
      <c r="A1755" s="184" t="s">
        <v>2000</v>
      </c>
      <c r="B1755" s="184" t="s">
        <v>2553</v>
      </c>
      <c r="C1755" s="184" t="str">
        <f t="shared" si="27"/>
        <v>Madison, AL</v>
      </c>
      <c r="D1755" s="187">
        <v>6.0999999999999999E-2</v>
      </c>
    </row>
    <row r="1756" spans="1:4">
      <c r="A1756" s="184" t="s">
        <v>566</v>
      </c>
      <c r="B1756" s="184" t="s">
        <v>2553</v>
      </c>
      <c r="C1756" s="184" t="str">
        <f t="shared" si="27"/>
        <v>Madison, AR</v>
      </c>
      <c r="D1756" s="187">
        <v>4.3999999999999997E-2</v>
      </c>
    </row>
    <row r="1757" spans="1:4">
      <c r="A1757" s="184" t="s">
        <v>3594</v>
      </c>
      <c r="B1757" s="184" t="s">
        <v>2553</v>
      </c>
      <c r="C1757" s="184" t="str">
        <f t="shared" si="27"/>
        <v>Madison, FL</v>
      </c>
      <c r="D1757" s="187">
        <v>4.3999999999999997E-2</v>
      </c>
    </row>
    <row r="1758" spans="1:4">
      <c r="A1758" s="184" t="s">
        <v>3602</v>
      </c>
      <c r="B1758" s="184" t="s">
        <v>2553</v>
      </c>
      <c r="C1758" s="184" t="str">
        <f t="shared" si="27"/>
        <v>Madison, GA</v>
      </c>
      <c r="D1758" s="187">
        <v>5.7000000000000002E-2</v>
      </c>
    </row>
    <row r="1759" spans="1:4">
      <c r="A1759" s="184" t="s">
        <v>2031</v>
      </c>
      <c r="B1759" s="184" t="s">
        <v>2553</v>
      </c>
      <c r="C1759" s="184" t="str">
        <f t="shared" si="27"/>
        <v>Madison, IA</v>
      </c>
      <c r="D1759" s="187">
        <v>0.09</v>
      </c>
    </row>
    <row r="1760" spans="1:4">
      <c r="A1760" s="184" t="s">
        <v>3875</v>
      </c>
      <c r="B1760" s="184" t="s">
        <v>2553</v>
      </c>
      <c r="C1760" s="184" t="str">
        <f t="shared" si="27"/>
        <v>Madison, ID</v>
      </c>
      <c r="D1760" s="187">
        <v>4.3999999999999997E-2</v>
      </c>
    </row>
    <row r="1761" spans="1:4">
      <c r="A1761" s="184" t="s">
        <v>2019</v>
      </c>
      <c r="B1761" s="184" t="s">
        <v>2553</v>
      </c>
      <c r="C1761" s="184" t="str">
        <f t="shared" si="27"/>
        <v>Madison, IL</v>
      </c>
      <c r="D1761" s="187">
        <v>6.0999999999999999E-2</v>
      </c>
    </row>
    <row r="1762" spans="1:4">
      <c r="A1762" s="184" t="s">
        <v>2021</v>
      </c>
      <c r="B1762" s="184" t="s">
        <v>2553</v>
      </c>
      <c r="C1762" s="184" t="str">
        <f t="shared" si="27"/>
        <v>Madison, IN</v>
      </c>
      <c r="D1762" s="187">
        <v>6.0999999999999999E-2</v>
      </c>
    </row>
    <row r="1763" spans="1:4">
      <c r="A1763" s="184" t="s">
        <v>529</v>
      </c>
      <c r="B1763" s="184" t="s">
        <v>2553</v>
      </c>
      <c r="C1763" s="184" t="str">
        <f t="shared" si="27"/>
        <v>Madison, KY</v>
      </c>
      <c r="D1763" s="187">
        <v>3.5000000000000003E-2</v>
      </c>
    </row>
    <row r="1764" spans="1:4">
      <c r="A1764" s="184" t="s">
        <v>535</v>
      </c>
      <c r="B1764" s="184" t="s">
        <v>2553</v>
      </c>
      <c r="C1764" s="184" t="str">
        <f t="shared" si="27"/>
        <v>Madison, LA</v>
      </c>
      <c r="D1764" s="187">
        <v>0.09</v>
      </c>
    </row>
    <row r="1765" spans="1:4">
      <c r="A1765" s="184" t="s">
        <v>3434</v>
      </c>
      <c r="B1765" s="184" t="s">
        <v>2553</v>
      </c>
      <c r="C1765" s="184" t="str">
        <f t="shared" si="27"/>
        <v>Madison, MO</v>
      </c>
      <c r="D1765" s="187">
        <v>5.7000000000000002E-2</v>
      </c>
    </row>
    <row r="1766" spans="1:4">
      <c r="A1766" s="184" t="s">
        <v>3035</v>
      </c>
      <c r="B1766" s="184" t="s">
        <v>2553</v>
      </c>
      <c r="C1766" s="184" t="str">
        <f t="shared" si="27"/>
        <v>Madison, MS</v>
      </c>
      <c r="D1766" s="187">
        <v>4.3999999999999997E-2</v>
      </c>
    </row>
    <row r="1767" spans="1:4">
      <c r="A1767" s="184" t="s">
        <v>3438</v>
      </c>
      <c r="B1767" s="184" t="s">
        <v>2553</v>
      </c>
      <c r="C1767" s="184" t="str">
        <f t="shared" si="27"/>
        <v>Madison, MT</v>
      </c>
      <c r="D1767" s="187">
        <v>0.09</v>
      </c>
    </row>
    <row r="1768" spans="1:4">
      <c r="A1768" s="184" t="s">
        <v>2542</v>
      </c>
      <c r="B1768" s="184" t="s">
        <v>2553</v>
      </c>
      <c r="C1768" s="184" t="str">
        <f t="shared" si="27"/>
        <v>Madison, NC</v>
      </c>
      <c r="D1768" s="187">
        <v>5.7000000000000002E-2</v>
      </c>
    </row>
    <row r="1769" spans="1:4">
      <c r="A1769" s="184" t="s">
        <v>3442</v>
      </c>
      <c r="B1769" s="184" t="s">
        <v>2553</v>
      </c>
      <c r="C1769" s="184" t="str">
        <f t="shared" si="27"/>
        <v>Madison, NE</v>
      </c>
      <c r="D1769" s="187">
        <v>0.09</v>
      </c>
    </row>
    <row r="1770" spans="1:4">
      <c r="A1770" s="184" t="s">
        <v>3446</v>
      </c>
      <c r="B1770" s="184" t="s">
        <v>2553</v>
      </c>
      <c r="C1770" s="184" t="str">
        <f t="shared" si="27"/>
        <v>Madison, NY</v>
      </c>
      <c r="D1770" s="187">
        <v>0.09</v>
      </c>
    </row>
    <row r="1771" spans="1:4">
      <c r="A1771" s="184" t="s">
        <v>2562</v>
      </c>
      <c r="B1771" s="184" t="s">
        <v>2553</v>
      </c>
      <c r="C1771" s="184" t="str">
        <f t="shared" si="27"/>
        <v>Madison, OH</v>
      </c>
      <c r="D1771" s="187">
        <v>6.0999999999999999E-2</v>
      </c>
    </row>
    <row r="1772" spans="1:4">
      <c r="A1772" s="184" t="s">
        <v>699</v>
      </c>
      <c r="B1772" s="184" t="s">
        <v>2553</v>
      </c>
      <c r="C1772" s="184" t="str">
        <f t="shared" si="27"/>
        <v>Madison, TN</v>
      </c>
      <c r="D1772" s="187">
        <v>0.09</v>
      </c>
    </row>
    <row r="1773" spans="1:4">
      <c r="A1773" s="184" t="s">
        <v>3906</v>
      </c>
      <c r="B1773" s="184" t="s">
        <v>2553</v>
      </c>
      <c r="C1773" s="184" t="str">
        <f t="shared" si="27"/>
        <v>Madison, TX</v>
      </c>
      <c r="D1773" s="187">
        <v>4.3999999999999997E-2</v>
      </c>
    </row>
    <row r="1774" spans="1:4">
      <c r="A1774" s="184" t="s">
        <v>746</v>
      </c>
      <c r="B1774" s="184" t="s">
        <v>2553</v>
      </c>
      <c r="C1774" s="184" t="str">
        <f t="shared" si="27"/>
        <v>Madison, VA</v>
      </c>
      <c r="D1774" s="187">
        <v>4.3999999999999997E-2</v>
      </c>
    </row>
    <row r="1775" spans="1:4">
      <c r="A1775" s="184" t="s">
        <v>529</v>
      </c>
      <c r="B1775" s="184" t="s">
        <v>3459</v>
      </c>
      <c r="C1775" s="184" t="str">
        <f t="shared" si="27"/>
        <v>Magoffin, KY</v>
      </c>
      <c r="D1775" s="187">
        <v>5.7000000000000002E-2</v>
      </c>
    </row>
    <row r="1776" spans="1:4">
      <c r="A1776" s="184" t="s">
        <v>2031</v>
      </c>
      <c r="B1776" s="184" t="s">
        <v>1974</v>
      </c>
      <c r="C1776" s="184" t="str">
        <f t="shared" si="27"/>
        <v>Mahaska, IA</v>
      </c>
      <c r="D1776" s="187">
        <v>0.09</v>
      </c>
    </row>
    <row r="1777" spans="1:4">
      <c r="A1777" s="184" t="s">
        <v>3429</v>
      </c>
      <c r="B1777" s="184" t="s">
        <v>1496</v>
      </c>
      <c r="C1777" s="184" t="str">
        <f t="shared" si="27"/>
        <v>Mahnomen, MN</v>
      </c>
      <c r="D1777" s="187">
        <v>0.09</v>
      </c>
    </row>
    <row r="1778" spans="1:4">
      <c r="A1778" s="184" t="s">
        <v>2562</v>
      </c>
      <c r="B1778" s="184" t="s">
        <v>2569</v>
      </c>
      <c r="C1778" s="184" t="str">
        <f t="shared" si="27"/>
        <v>Mahoning, OH</v>
      </c>
      <c r="D1778" s="187">
        <v>0.09</v>
      </c>
    </row>
    <row r="1779" spans="1:4">
      <c r="A1779" s="184" t="s">
        <v>2573</v>
      </c>
      <c r="B1779" s="184" t="s">
        <v>451</v>
      </c>
      <c r="C1779" s="184" t="str">
        <f t="shared" si="27"/>
        <v>Major, OK</v>
      </c>
      <c r="D1779" s="187">
        <v>0.09</v>
      </c>
    </row>
    <row r="1780" spans="1:4">
      <c r="A1780" s="184" t="s">
        <v>3353</v>
      </c>
      <c r="B1780" s="184" t="s">
        <v>2266</v>
      </c>
      <c r="C1780" s="184" t="str">
        <f t="shared" si="27"/>
        <v>Malheur, OR</v>
      </c>
      <c r="D1780" s="187">
        <v>0.09</v>
      </c>
    </row>
    <row r="1781" spans="1:4">
      <c r="A1781" s="184" t="s">
        <v>746</v>
      </c>
      <c r="B1781" s="184" t="s">
        <v>3174</v>
      </c>
      <c r="C1781" s="184" t="str">
        <f t="shared" si="27"/>
        <v>Manassas City, VA</v>
      </c>
      <c r="D1781" s="187">
        <v>6.0999999999999999E-2</v>
      </c>
    </row>
    <row r="1782" spans="1:4">
      <c r="A1782" s="184" t="s">
        <v>746</v>
      </c>
      <c r="B1782" s="184" t="s">
        <v>579</v>
      </c>
      <c r="C1782" s="184" t="str">
        <f t="shared" si="27"/>
        <v>Manassas Park City, VA</v>
      </c>
      <c r="D1782" s="187">
        <v>4.4999999999999998E-2</v>
      </c>
    </row>
    <row r="1783" spans="1:4">
      <c r="A1783" s="184" t="s">
        <v>3594</v>
      </c>
      <c r="B1783" s="184" t="s">
        <v>3420</v>
      </c>
      <c r="C1783" s="184" t="str">
        <f t="shared" si="27"/>
        <v>Manatee, FL</v>
      </c>
      <c r="D1783" s="187">
        <v>5.7000000000000002E-2</v>
      </c>
    </row>
    <row r="1784" spans="1:4">
      <c r="A1784" s="184" t="s">
        <v>2090</v>
      </c>
      <c r="B1784" s="184" t="s">
        <v>656</v>
      </c>
      <c r="C1784" s="184" t="str">
        <f t="shared" si="27"/>
        <v>Manistee, MI</v>
      </c>
      <c r="D1784" s="187">
        <v>0.09</v>
      </c>
    </row>
    <row r="1785" spans="1:4">
      <c r="A1785" s="184" t="s">
        <v>550</v>
      </c>
      <c r="B1785" s="184" t="s">
        <v>854</v>
      </c>
      <c r="C1785" s="184" t="str">
        <f t="shared" si="27"/>
        <v>Manitowoc, WI</v>
      </c>
      <c r="D1785" s="187">
        <v>0.09</v>
      </c>
    </row>
    <row r="1786" spans="1:4">
      <c r="A1786" s="184" t="s">
        <v>550</v>
      </c>
      <c r="B1786" s="184" t="s">
        <v>1027</v>
      </c>
      <c r="C1786" s="184" t="str">
        <f t="shared" si="27"/>
        <v>Marathon, WI</v>
      </c>
      <c r="D1786" s="187">
        <v>6.0999999999999999E-2</v>
      </c>
    </row>
    <row r="1787" spans="1:4">
      <c r="A1787" s="184" t="s">
        <v>2000</v>
      </c>
      <c r="B1787" s="184" t="s">
        <v>3894</v>
      </c>
      <c r="C1787" s="184" t="str">
        <f t="shared" si="27"/>
        <v>Marengo, AL</v>
      </c>
      <c r="D1787" s="187">
        <v>0.09</v>
      </c>
    </row>
    <row r="1788" spans="1:4">
      <c r="A1788" s="184" t="s">
        <v>562</v>
      </c>
      <c r="B1788" s="184" t="s">
        <v>563</v>
      </c>
      <c r="C1788" s="184" t="str">
        <f t="shared" si="27"/>
        <v>Maricopa, AZ</v>
      </c>
      <c r="D1788" s="187">
        <v>6.0999999999999999E-2</v>
      </c>
    </row>
    <row r="1789" spans="1:4">
      <c r="A1789" s="184" t="s">
        <v>3434</v>
      </c>
      <c r="B1789" s="184" t="s">
        <v>2785</v>
      </c>
      <c r="C1789" s="184" t="str">
        <f t="shared" si="27"/>
        <v>Maries, MO</v>
      </c>
      <c r="D1789" s="187">
        <v>0.09</v>
      </c>
    </row>
    <row r="1790" spans="1:4">
      <c r="A1790" s="184" t="s">
        <v>3106</v>
      </c>
      <c r="B1790" s="184" t="s">
        <v>935</v>
      </c>
      <c r="C1790" s="184" t="str">
        <f t="shared" si="27"/>
        <v>Marin, CA</v>
      </c>
      <c r="D1790" s="187">
        <v>3.5000000000000003E-2</v>
      </c>
    </row>
    <row r="1791" spans="1:4">
      <c r="A1791" s="184" t="s">
        <v>550</v>
      </c>
      <c r="B1791" s="184" t="s">
        <v>855</v>
      </c>
      <c r="C1791" s="184" t="str">
        <f t="shared" si="27"/>
        <v>Marinette, WI</v>
      </c>
      <c r="D1791" s="187">
        <v>0.09</v>
      </c>
    </row>
    <row r="1792" spans="1:4">
      <c r="A1792" s="184" t="s">
        <v>2000</v>
      </c>
      <c r="B1792" s="184" t="s">
        <v>925</v>
      </c>
      <c r="C1792" s="184" t="str">
        <f t="shared" si="27"/>
        <v>Marion, AL</v>
      </c>
      <c r="D1792" s="187">
        <v>0.09</v>
      </c>
    </row>
    <row r="1793" spans="1:4">
      <c r="A1793" s="184" t="s">
        <v>566</v>
      </c>
      <c r="B1793" s="184" t="s">
        <v>925</v>
      </c>
      <c r="C1793" s="184" t="str">
        <f t="shared" si="27"/>
        <v>Marion, AR</v>
      </c>
      <c r="D1793" s="187">
        <v>4.3999999999999997E-2</v>
      </c>
    </row>
    <row r="1794" spans="1:4">
      <c r="A1794" s="184" t="s">
        <v>3594</v>
      </c>
      <c r="B1794" s="184" t="s">
        <v>925</v>
      </c>
      <c r="C1794" s="184" t="str">
        <f t="shared" si="27"/>
        <v>Marion, FL</v>
      </c>
      <c r="D1794" s="187">
        <v>4.3999999999999997E-2</v>
      </c>
    </row>
    <row r="1795" spans="1:4">
      <c r="A1795" s="184" t="s">
        <v>3602</v>
      </c>
      <c r="B1795" s="184" t="s">
        <v>925</v>
      </c>
      <c r="C1795" s="184" t="str">
        <f t="shared" si="27"/>
        <v>Marion, GA</v>
      </c>
      <c r="D1795" s="187">
        <v>4.3999999999999997E-2</v>
      </c>
    </row>
    <row r="1796" spans="1:4">
      <c r="A1796" s="184" t="s">
        <v>2031</v>
      </c>
      <c r="B1796" s="184" t="s">
        <v>925</v>
      </c>
      <c r="C1796" s="184" t="str">
        <f t="shared" si="27"/>
        <v>Marion, IA</v>
      </c>
      <c r="D1796" s="187">
        <v>0.09</v>
      </c>
    </row>
    <row r="1797" spans="1:4">
      <c r="A1797" s="184" t="s">
        <v>2019</v>
      </c>
      <c r="B1797" s="184" t="s">
        <v>925</v>
      </c>
      <c r="C1797" s="184" t="str">
        <f t="shared" si="27"/>
        <v>Marion, IL</v>
      </c>
      <c r="D1797" s="187">
        <v>0.09</v>
      </c>
    </row>
    <row r="1798" spans="1:4">
      <c r="A1798" s="184" t="s">
        <v>2021</v>
      </c>
      <c r="B1798" s="184" t="s">
        <v>925</v>
      </c>
      <c r="C1798" s="184" t="str">
        <f t="shared" ref="C1798:C1861" si="28">B1798&amp;", "&amp;A1798</f>
        <v>Marion, IN</v>
      </c>
      <c r="D1798" s="187">
        <v>6.0999999999999999E-2</v>
      </c>
    </row>
    <row r="1799" spans="1:4">
      <c r="A1799" s="184" t="s">
        <v>663</v>
      </c>
      <c r="B1799" s="184" t="s">
        <v>925</v>
      </c>
      <c r="C1799" s="184" t="str">
        <f t="shared" si="28"/>
        <v>Marion, KS</v>
      </c>
      <c r="D1799" s="187">
        <v>0.09</v>
      </c>
    </row>
    <row r="1800" spans="1:4">
      <c r="A1800" s="184" t="s">
        <v>529</v>
      </c>
      <c r="B1800" s="184" t="s">
        <v>925</v>
      </c>
      <c r="C1800" s="184" t="str">
        <f t="shared" si="28"/>
        <v>Marion, KY</v>
      </c>
      <c r="D1800" s="187">
        <v>0.09</v>
      </c>
    </row>
    <row r="1801" spans="1:4">
      <c r="A1801" s="184" t="s">
        <v>3434</v>
      </c>
      <c r="B1801" s="184" t="s">
        <v>925</v>
      </c>
      <c r="C1801" s="184" t="str">
        <f t="shared" si="28"/>
        <v>Marion, MO</v>
      </c>
      <c r="D1801" s="187">
        <v>0.09</v>
      </c>
    </row>
    <row r="1802" spans="1:4">
      <c r="A1802" s="184" t="s">
        <v>3035</v>
      </c>
      <c r="B1802" s="184" t="s">
        <v>925</v>
      </c>
      <c r="C1802" s="184" t="str">
        <f t="shared" si="28"/>
        <v>Marion, MS</v>
      </c>
      <c r="D1802" s="187">
        <v>5.7000000000000002E-2</v>
      </c>
    </row>
    <row r="1803" spans="1:4">
      <c r="A1803" s="184" t="s">
        <v>2562</v>
      </c>
      <c r="B1803" s="184" t="s">
        <v>925</v>
      </c>
      <c r="C1803" s="184" t="str">
        <f t="shared" si="28"/>
        <v>Marion, OH</v>
      </c>
      <c r="D1803" s="187">
        <v>0.09</v>
      </c>
    </row>
    <row r="1804" spans="1:4">
      <c r="A1804" s="184" t="s">
        <v>3353</v>
      </c>
      <c r="B1804" s="184" t="s">
        <v>925</v>
      </c>
      <c r="C1804" s="184" t="str">
        <f t="shared" si="28"/>
        <v>Marion, OR</v>
      </c>
      <c r="D1804" s="187">
        <v>5.7000000000000002E-2</v>
      </c>
    </row>
    <row r="1805" spans="1:4">
      <c r="A1805" s="184" t="s">
        <v>1942</v>
      </c>
      <c r="B1805" s="184" t="s">
        <v>925</v>
      </c>
      <c r="C1805" s="184" t="str">
        <f t="shared" si="28"/>
        <v>Marion, SC</v>
      </c>
      <c r="D1805" s="187">
        <v>4.3999999999999997E-2</v>
      </c>
    </row>
    <row r="1806" spans="1:4">
      <c r="A1806" s="184" t="s">
        <v>699</v>
      </c>
      <c r="B1806" s="184" t="s">
        <v>925</v>
      </c>
      <c r="C1806" s="184" t="str">
        <f t="shared" si="28"/>
        <v>Marion, TN</v>
      </c>
      <c r="D1806" s="187">
        <v>0.09</v>
      </c>
    </row>
    <row r="1807" spans="1:4">
      <c r="A1807" s="184" t="s">
        <v>3906</v>
      </c>
      <c r="B1807" s="184" t="s">
        <v>925</v>
      </c>
      <c r="C1807" s="184" t="str">
        <f t="shared" si="28"/>
        <v>Marion, TX</v>
      </c>
      <c r="D1807" s="187">
        <v>4.3999999999999997E-2</v>
      </c>
    </row>
    <row r="1808" spans="1:4">
      <c r="A1808" s="184" t="s">
        <v>542</v>
      </c>
      <c r="B1808" s="184" t="s">
        <v>925</v>
      </c>
      <c r="C1808" s="184" t="str">
        <f t="shared" si="28"/>
        <v>Marion, WV</v>
      </c>
      <c r="D1808" s="187">
        <v>0.09</v>
      </c>
    </row>
    <row r="1809" spans="1:4">
      <c r="A1809" s="184" t="s">
        <v>3106</v>
      </c>
      <c r="B1809" s="184" t="s">
        <v>3021</v>
      </c>
      <c r="C1809" s="184" t="str">
        <f t="shared" si="28"/>
        <v>Mariposa, CA</v>
      </c>
      <c r="D1809" s="187">
        <v>0.09</v>
      </c>
    </row>
    <row r="1810" spans="1:4">
      <c r="A1810" s="184" t="s">
        <v>1942</v>
      </c>
      <c r="B1810" s="184" t="s">
        <v>78</v>
      </c>
      <c r="C1810" s="184" t="str">
        <f t="shared" si="28"/>
        <v>Marlboro, SC</v>
      </c>
      <c r="D1810" s="187">
        <v>4.3999999999999997E-2</v>
      </c>
    </row>
    <row r="1811" spans="1:4">
      <c r="A1811" s="184" t="s">
        <v>2090</v>
      </c>
      <c r="B1811" s="184" t="s">
        <v>657</v>
      </c>
      <c r="C1811" s="184" t="str">
        <f t="shared" si="28"/>
        <v>Marquette, MI</v>
      </c>
      <c r="D1811" s="187">
        <v>0.09</v>
      </c>
    </row>
    <row r="1812" spans="1:4">
      <c r="A1812" s="184" t="s">
        <v>550</v>
      </c>
      <c r="B1812" s="184" t="s">
        <v>657</v>
      </c>
      <c r="C1812" s="184" t="str">
        <f t="shared" si="28"/>
        <v>Marquette, WI</v>
      </c>
      <c r="D1812" s="187">
        <v>0.09</v>
      </c>
    </row>
    <row r="1813" spans="1:4">
      <c r="A1813" s="184" t="s">
        <v>2000</v>
      </c>
      <c r="B1813" s="184" t="s">
        <v>546</v>
      </c>
      <c r="C1813" s="184" t="str">
        <f t="shared" si="28"/>
        <v>Marshall, AL</v>
      </c>
      <c r="D1813" s="187">
        <v>0.09</v>
      </c>
    </row>
    <row r="1814" spans="1:4">
      <c r="A1814" s="184" t="s">
        <v>2031</v>
      </c>
      <c r="B1814" s="184" t="s">
        <v>546</v>
      </c>
      <c r="C1814" s="184" t="str">
        <f t="shared" si="28"/>
        <v>Marshall, IA</v>
      </c>
      <c r="D1814" s="187">
        <v>0.09</v>
      </c>
    </row>
    <row r="1815" spans="1:4">
      <c r="A1815" s="184" t="s">
        <v>2019</v>
      </c>
      <c r="B1815" s="184" t="s">
        <v>546</v>
      </c>
      <c r="C1815" s="184" t="str">
        <f t="shared" si="28"/>
        <v>Marshall, IL</v>
      </c>
      <c r="D1815" s="187">
        <v>0.09</v>
      </c>
    </row>
    <row r="1816" spans="1:4">
      <c r="A1816" s="184" t="s">
        <v>2021</v>
      </c>
      <c r="B1816" s="184" t="s">
        <v>546</v>
      </c>
      <c r="C1816" s="184" t="str">
        <f t="shared" si="28"/>
        <v>Marshall, IN</v>
      </c>
      <c r="D1816" s="187">
        <v>0.09</v>
      </c>
    </row>
    <row r="1817" spans="1:4">
      <c r="A1817" s="184" t="s">
        <v>663</v>
      </c>
      <c r="B1817" s="184" t="s">
        <v>546</v>
      </c>
      <c r="C1817" s="184" t="str">
        <f t="shared" si="28"/>
        <v>Marshall, KS</v>
      </c>
      <c r="D1817" s="187">
        <v>0.09</v>
      </c>
    </row>
    <row r="1818" spans="1:4">
      <c r="A1818" s="184" t="s">
        <v>529</v>
      </c>
      <c r="B1818" s="184" t="s">
        <v>546</v>
      </c>
      <c r="C1818" s="184" t="str">
        <f t="shared" si="28"/>
        <v>Marshall, KY</v>
      </c>
      <c r="D1818" s="187">
        <v>0.09</v>
      </c>
    </row>
    <row r="1819" spans="1:4">
      <c r="A1819" s="184" t="s">
        <v>3429</v>
      </c>
      <c r="B1819" s="184" t="s">
        <v>546</v>
      </c>
      <c r="C1819" s="184" t="str">
        <f t="shared" si="28"/>
        <v>Marshall, MN</v>
      </c>
      <c r="D1819" s="187">
        <v>0.09</v>
      </c>
    </row>
    <row r="1820" spans="1:4">
      <c r="A1820" s="184" t="s">
        <v>3035</v>
      </c>
      <c r="B1820" s="184" t="s">
        <v>546</v>
      </c>
      <c r="C1820" s="184" t="str">
        <f t="shared" si="28"/>
        <v>Marshall, MS</v>
      </c>
      <c r="D1820" s="187">
        <v>4.3999999999999997E-2</v>
      </c>
    </row>
    <row r="1821" spans="1:4">
      <c r="A1821" s="184" t="s">
        <v>2573</v>
      </c>
      <c r="B1821" s="184" t="s">
        <v>546</v>
      </c>
      <c r="C1821" s="184" t="str">
        <f t="shared" si="28"/>
        <v>Marshall, OK</v>
      </c>
      <c r="D1821" s="187">
        <v>0.09</v>
      </c>
    </row>
    <row r="1822" spans="1:4">
      <c r="A1822" s="184" t="s">
        <v>1944</v>
      </c>
      <c r="B1822" s="184" t="s">
        <v>546</v>
      </c>
      <c r="C1822" s="184" t="str">
        <f t="shared" si="28"/>
        <v>Marshall, SD</v>
      </c>
      <c r="D1822" s="187">
        <v>4.3999999999999997E-2</v>
      </c>
    </row>
    <row r="1823" spans="1:4">
      <c r="A1823" s="184" t="s">
        <v>699</v>
      </c>
      <c r="B1823" s="184" t="s">
        <v>546</v>
      </c>
      <c r="C1823" s="184" t="str">
        <f t="shared" si="28"/>
        <v>Marshall, TN</v>
      </c>
      <c r="D1823" s="187">
        <v>0.09</v>
      </c>
    </row>
    <row r="1824" spans="1:4">
      <c r="A1824" s="184" t="s">
        <v>542</v>
      </c>
      <c r="B1824" s="184" t="s">
        <v>546</v>
      </c>
      <c r="C1824" s="184" t="str">
        <f t="shared" si="28"/>
        <v>Marshall, WV</v>
      </c>
      <c r="D1824" s="187">
        <v>0.09</v>
      </c>
    </row>
    <row r="1825" spans="1:4">
      <c r="A1825" s="184" t="s">
        <v>3594</v>
      </c>
      <c r="B1825" s="184" t="s">
        <v>3597</v>
      </c>
      <c r="C1825" s="184" t="str">
        <f t="shared" si="28"/>
        <v>Martin, FL</v>
      </c>
      <c r="D1825" s="187">
        <v>6.0999999999999999E-2</v>
      </c>
    </row>
    <row r="1826" spans="1:4">
      <c r="A1826" s="184" t="s">
        <v>2021</v>
      </c>
      <c r="B1826" s="184" t="s">
        <v>3597</v>
      </c>
      <c r="C1826" s="184" t="str">
        <f t="shared" si="28"/>
        <v>Martin, IN</v>
      </c>
      <c r="D1826" s="187">
        <v>0.09</v>
      </c>
    </row>
    <row r="1827" spans="1:4">
      <c r="A1827" s="184" t="s">
        <v>529</v>
      </c>
      <c r="B1827" s="184" t="s">
        <v>3597</v>
      </c>
      <c r="C1827" s="184" t="str">
        <f t="shared" si="28"/>
        <v>Martin, KY</v>
      </c>
      <c r="D1827" s="187">
        <v>5.7000000000000002E-2</v>
      </c>
    </row>
    <row r="1828" spans="1:4">
      <c r="A1828" s="184" t="s">
        <v>3429</v>
      </c>
      <c r="B1828" s="184" t="s">
        <v>3597</v>
      </c>
      <c r="C1828" s="184" t="str">
        <f t="shared" si="28"/>
        <v>Martin, MN</v>
      </c>
      <c r="D1828" s="187">
        <v>0.09</v>
      </c>
    </row>
    <row r="1829" spans="1:4">
      <c r="A1829" s="184" t="s">
        <v>2542</v>
      </c>
      <c r="B1829" s="184" t="s">
        <v>3597</v>
      </c>
      <c r="C1829" s="184" t="str">
        <f t="shared" si="28"/>
        <v>Martin, NC</v>
      </c>
      <c r="D1829" s="187">
        <v>5.7000000000000002E-2</v>
      </c>
    </row>
    <row r="1830" spans="1:4">
      <c r="A1830" s="184" t="s">
        <v>3906</v>
      </c>
      <c r="B1830" s="184" t="s">
        <v>3597</v>
      </c>
      <c r="C1830" s="184" t="str">
        <f t="shared" si="28"/>
        <v>Martin, TX</v>
      </c>
      <c r="D1830" s="187">
        <v>4.3999999999999997E-2</v>
      </c>
    </row>
    <row r="1831" spans="1:4">
      <c r="A1831" s="184" t="s">
        <v>746</v>
      </c>
      <c r="B1831" s="184" t="s">
        <v>580</v>
      </c>
      <c r="C1831" s="184" t="str">
        <f t="shared" si="28"/>
        <v>Martinsville City, VA</v>
      </c>
      <c r="D1831" s="187">
        <v>4.4999999999999998E-2</v>
      </c>
    </row>
    <row r="1832" spans="1:4">
      <c r="A1832" s="184" t="s">
        <v>2019</v>
      </c>
      <c r="B1832" s="184" t="s">
        <v>3373</v>
      </c>
      <c r="C1832" s="184" t="str">
        <f t="shared" si="28"/>
        <v>Mason, IL</v>
      </c>
      <c r="D1832" s="187">
        <v>0.09</v>
      </c>
    </row>
    <row r="1833" spans="1:4">
      <c r="A1833" s="184" t="s">
        <v>529</v>
      </c>
      <c r="B1833" s="184" t="s">
        <v>3373</v>
      </c>
      <c r="C1833" s="184" t="str">
        <f t="shared" si="28"/>
        <v>Mason, KY</v>
      </c>
      <c r="D1833" s="187">
        <v>0.09</v>
      </c>
    </row>
    <row r="1834" spans="1:4">
      <c r="A1834" s="184" t="s">
        <v>2090</v>
      </c>
      <c r="B1834" s="184" t="s">
        <v>3373</v>
      </c>
      <c r="C1834" s="184" t="str">
        <f t="shared" si="28"/>
        <v>Mason, MI</v>
      </c>
      <c r="D1834" s="187">
        <v>0.09</v>
      </c>
    </row>
    <row r="1835" spans="1:4">
      <c r="A1835" s="184" t="s">
        <v>3906</v>
      </c>
      <c r="B1835" s="184" t="s">
        <v>3373</v>
      </c>
      <c r="C1835" s="184" t="str">
        <f t="shared" si="28"/>
        <v>Mason, TX</v>
      </c>
      <c r="D1835" s="187">
        <v>4.3999999999999997E-2</v>
      </c>
    </row>
    <row r="1836" spans="1:4">
      <c r="A1836" s="184" t="s">
        <v>1278</v>
      </c>
      <c r="B1836" s="184" t="s">
        <v>3373</v>
      </c>
      <c r="C1836" s="184" t="str">
        <f t="shared" si="28"/>
        <v>Mason, WA</v>
      </c>
      <c r="D1836" s="187">
        <v>5.7000000000000002E-2</v>
      </c>
    </row>
    <row r="1837" spans="1:4">
      <c r="A1837" s="184" t="s">
        <v>542</v>
      </c>
      <c r="B1837" s="184" t="s">
        <v>3373</v>
      </c>
      <c r="C1837" s="184" t="str">
        <f t="shared" si="28"/>
        <v>Mason, WV</v>
      </c>
      <c r="D1837" s="187">
        <v>0.09</v>
      </c>
    </row>
    <row r="1838" spans="1:4">
      <c r="A1838" s="184" t="s">
        <v>2019</v>
      </c>
      <c r="B1838" s="184" t="s">
        <v>3374</v>
      </c>
      <c r="C1838" s="184" t="str">
        <f t="shared" si="28"/>
        <v>Massac, IL</v>
      </c>
      <c r="D1838" s="187">
        <v>0.09</v>
      </c>
    </row>
    <row r="1839" spans="1:4">
      <c r="A1839" s="184" t="s">
        <v>3906</v>
      </c>
      <c r="B1839" s="184" t="s">
        <v>329</v>
      </c>
      <c r="C1839" s="184" t="str">
        <f t="shared" si="28"/>
        <v>Matagorda, TX</v>
      </c>
      <c r="D1839" s="187">
        <v>4.3999999999999997E-2</v>
      </c>
    </row>
    <row r="1840" spans="1:4">
      <c r="A1840" s="184" t="s">
        <v>988</v>
      </c>
      <c r="B1840" s="184" t="s">
        <v>2978</v>
      </c>
      <c r="C1840" s="184" t="str">
        <f t="shared" si="28"/>
        <v>Matanuska-Susitna, AK</v>
      </c>
      <c r="D1840" s="187">
        <v>0.09</v>
      </c>
    </row>
    <row r="1841" spans="1:4">
      <c r="A1841" s="184" t="s">
        <v>746</v>
      </c>
      <c r="B1841" s="184" t="s">
        <v>3161</v>
      </c>
      <c r="C1841" s="184" t="str">
        <f t="shared" si="28"/>
        <v>Mathews, VA</v>
      </c>
      <c r="D1841" s="187">
        <v>6.0999999999999999E-2</v>
      </c>
    </row>
    <row r="1842" spans="1:4">
      <c r="A1842" s="184" t="s">
        <v>3873</v>
      </c>
      <c r="B1842" s="184" t="s">
        <v>3450</v>
      </c>
      <c r="C1842" s="184" t="str">
        <f t="shared" si="28"/>
        <v>Maui, HI</v>
      </c>
      <c r="D1842" s="187">
        <v>5.7000000000000002E-2</v>
      </c>
    </row>
    <row r="1843" spans="1:4">
      <c r="A1843" s="184" t="s">
        <v>699</v>
      </c>
      <c r="B1843" s="184" t="s">
        <v>962</v>
      </c>
      <c r="C1843" s="184" t="str">
        <f t="shared" si="28"/>
        <v>Maury, TN</v>
      </c>
      <c r="D1843" s="187">
        <v>0.09</v>
      </c>
    </row>
    <row r="1844" spans="1:4">
      <c r="A1844" s="184" t="s">
        <v>3906</v>
      </c>
      <c r="B1844" s="184" t="s">
        <v>330</v>
      </c>
      <c r="C1844" s="184" t="str">
        <f t="shared" si="28"/>
        <v>Maverick, TX</v>
      </c>
      <c r="D1844" s="187">
        <v>4.3999999999999997E-2</v>
      </c>
    </row>
    <row r="1845" spans="1:4">
      <c r="A1845" s="184" t="s">
        <v>2573</v>
      </c>
      <c r="B1845" s="184" t="s">
        <v>452</v>
      </c>
      <c r="C1845" s="184" t="str">
        <f t="shared" si="28"/>
        <v>Mayes, OK</v>
      </c>
      <c r="D1845" s="187">
        <v>0.09</v>
      </c>
    </row>
    <row r="1846" spans="1:4">
      <c r="A1846" s="184" t="s">
        <v>3438</v>
      </c>
      <c r="B1846" s="184" t="s">
        <v>2815</v>
      </c>
      <c r="C1846" s="184" t="str">
        <f t="shared" si="28"/>
        <v>Mc Cone, MT</v>
      </c>
      <c r="D1846" s="187">
        <v>0.09</v>
      </c>
    </row>
    <row r="1847" spans="1:4">
      <c r="A1847" s="184" t="s">
        <v>2542</v>
      </c>
      <c r="B1847" s="184" t="s">
        <v>3269</v>
      </c>
      <c r="C1847" s="184" t="str">
        <f t="shared" si="28"/>
        <v>Mc Dowell, NC</v>
      </c>
      <c r="D1847" s="187">
        <v>4.3999999999999997E-2</v>
      </c>
    </row>
    <row r="1848" spans="1:4">
      <c r="A1848" s="184" t="s">
        <v>3356</v>
      </c>
      <c r="B1848" s="184" t="s">
        <v>56</v>
      </c>
      <c r="C1848" s="184" t="str">
        <f t="shared" si="28"/>
        <v>Mc Kean, PA</v>
      </c>
      <c r="D1848" s="187">
        <v>0.09</v>
      </c>
    </row>
    <row r="1849" spans="1:4">
      <c r="A1849" s="184" t="s">
        <v>2573</v>
      </c>
      <c r="B1849" s="184" t="s">
        <v>3349</v>
      </c>
      <c r="C1849" s="184" t="str">
        <f t="shared" si="28"/>
        <v>McClain, OK</v>
      </c>
      <c r="D1849" s="187">
        <v>0.09</v>
      </c>
    </row>
    <row r="1850" spans="1:4">
      <c r="A1850" s="184" t="s">
        <v>1944</v>
      </c>
      <c r="B1850" s="184" t="s">
        <v>1722</v>
      </c>
      <c r="C1850" s="184" t="str">
        <f t="shared" si="28"/>
        <v>McCook, SD</v>
      </c>
      <c r="D1850" s="187">
        <v>4.3999999999999997E-2</v>
      </c>
    </row>
    <row r="1851" spans="1:4">
      <c r="A1851" s="184" t="s">
        <v>1942</v>
      </c>
      <c r="B1851" s="184" t="s">
        <v>77</v>
      </c>
      <c r="C1851" s="184" t="str">
        <f t="shared" si="28"/>
        <v>McCormick, SC</v>
      </c>
      <c r="D1851" s="187">
        <v>4.3999999999999997E-2</v>
      </c>
    </row>
    <row r="1852" spans="1:4">
      <c r="A1852" s="184" t="s">
        <v>529</v>
      </c>
      <c r="B1852" s="184" t="s">
        <v>2483</v>
      </c>
      <c r="C1852" s="184" t="str">
        <f t="shared" si="28"/>
        <v>McCracken, KY</v>
      </c>
      <c r="D1852" s="187">
        <v>0.09</v>
      </c>
    </row>
    <row r="1853" spans="1:4">
      <c r="A1853" s="184" t="s">
        <v>529</v>
      </c>
      <c r="B1853" s="184" t="s">
        <v>3458</v>
      </c>
      <c r="C1853" s="184" t="str">
        <f t="shared" si="28"/>
        <v>McCreary, KY</v>
      </c>
      <c r="D1853" s="187">
        <v>5.7000000000000002E-2</v>
      </c>
    </row>
    <row r="1854" spans="1:4">
      <c r="A1854" s="184" t="s">
        <v>3906</v>
      </c>
      <c r="B1854" s="184" t="s">
        <v>327</v>
      </c>
      <c r="C1854" s="184" t="str">
        <f t="shared" si="28"/>
        <v>McCulloch, TX</v>
      </c>
      <c r="D1854" s="187">
        <v>4.3999999999999997E-2</v>
      </c>
    </row>
    <row r="1855" spans="1:4">
      <c r="A1855" s="184" t="s">
        <v>2573</v>
      </c>
      <c r="B1855" s="184" t="s">
        <v>450</v>
      </c>
      <c r="C1855" s="184" t="str">
        <f t="shared" si="28"/>
        <v>McCurtain, OK</v>
      </c>
      <c r="D1855" s="187">
        <v>0.09</v>
      </c>
    </row>
    <row r="1856" spans="1:4">
      <c r="A1856" s="184" t="s">
        <v>3434</v>
      </c>
      <c r="B1856" s="184" t="s">
        <v>2784</v>
      </c>
      <c r="C1856" s="184" t="str">
        <f t="shared" si="28"/>
        <v>McDonald, MO</v>
      </c>
      <c r="D1856" s="187">
        <v>0.09</v>
      </c>
    </row>
    <row r="1857" spans="1:4">
      <c r="A1857" s="184" t="s">
        <v>2019</v>
      </c>
      <c r="B1857" s="184" t="s">
        <v>3371</v>
      </c>
      <c r="C1857" s="184" t="str">
        <f t="shared" si="28"/>
        <v>McDonough, IL</v>
      </c>
      <c r="D1857" s="187">
        <v>0.09</v>
      </c>
    </row>
    <row r="1858" spans="1:4">
      <c r="A1858" s="184" t="s">
        <v>542</v>
      </c>
      <c r="B1858" s="184" t="s">
        <v>3546</v>
      </c>
      <c r="C1858" s="184" t="str">
        <f t="shared" si="28"/>
        <v>McDowell, WV</v>
      </c>
      <c r="D1858" s="187">
        <v>3.5000000000000003E-2</v>
      </c>
    </row>
    <row r="1859" spans="1:4">
      <c r="A1859" s="184" t="s">
        <v>3602</v>
      </c>
      <c r="B1859" s="184" t="s">
        <v>3300</v>
      </c>
      <c r="C1859" s="184" t="str">
        <f t="shared" si="28"/>
        <v>McDuffie, GA</v>
      </c>
      <c r="D1859" s="187">
        <v>4.3999999999999997E-2</v>
      </c>
    </row>
    <row r="1860" spans="1:4">
      <c r="A1860" s="184" t="s">
        <v>2019</v>
      </c>
      <c r="B1860" s="184" t="s">
        <v>1609</v>
      </c>
      <c r="C1860" s="184" t="str">
        <f t="shared" si="28"/>
        <v>McHenry, IL</v>
      </c>
      <c r="D1860" s="187">
        <v>6.0999999999999999E-2</v>
      </c>
    </row>
    <row r="1861" spans="1:4">
      <c r="A1861" s="184" t="s">
        <v>2558</v>
      </c>
      <c r="B1861" s="184" t="s">
        <v>1609</v>
      </c>
      <c r="C1861" s="184" t="str">
        <f t="shared" si="28"/>
        <v>McHenry, ND</v>
      </c>
      <c r="D1861" s="187">
        <v>0.09</v>
      </c>
    </row>
    <row r="1862" spans="1:4">
      <c r="A1862" s="184" t="s">
        <v>3602</v>
      </c>
      <c r="B1862" s="184" t="s">
        <v>190</v>
      </c>
      <c r="C1862" s="184" t="str">
        <f t="shared" ref="C1862:C1925" si="29">B1862&amp;", "&amp;A1862</f>
        <v>McIntosh, GA</v>
      </c>
      <c r="D1862" s="187">
        <v>5.7000000000000002E-2</v>
      </c>
    </row>
    <row r="1863" spans="1:4">
      <c r="A1863" s="184" t="s">
        <v>2558</v>
      </c>
      <c r="B1863" s="184" t="s">
        <v>190</v>
      </c>
      <c r="C1863" s="184" t="str">
        <f t="shared" si="29"/>
        <v>McIntosh, ND</v>
      </c>
      <c r="D1863" s="187">
        <v>0.09</v>
      </c>
    </row>
    <row r="1864" spans="1:4">
      <c r="A1864" s="184" t="s">
        <v>2573</v>
      </c>
      <c r="B1864" s="184" t="s">
        <v>190</v>
      </c>
      <c r="C1864" s="184" t="str">
        <f t="shared" si="29"/>
        <v>McIntosh, OK</v>
      </c>
      <c r="D1864" s="187">
        <v>0.09</v>
      </c>
    </row>
    <row r="1865" spans="1:4">
      <c r="A1865" s="184" t="s">
        <v>2558</v>
      </c>
      <c r="B1865" s="184" t="s">
        <v>191</v>
      </c>
      <c r="C1865" s="184" t="str">
        <f t="shared" si="29"/>
        <v>McKenzie, ND</v>
      </c>
      <c r="D1865" s="187">
        <v>0.09</v>
      </c>
    </row>
    <row r="1866" spans="1:4">
      <c r="A1866" s="184" t="s">
        <v>3622</v>
      </c>
      <c r="B1866" s="184" t="s">
        <v>23</v>
      </c>
      <c r="C1866" s="184" t="str">
        <f t="shared" si="29"/>
        <v>McKinley, NM</v>
      </c>
      <c r="D1866" s="187">
        <v>5.7000000000000002E-2</v>
      </c>
    </row>
    <row r="1867" spans="1:4">
      <c r="A1867" s="184" t="s">
        <v>2019</v>
      </c>
      <c r="B1867" s="184" t="s">
        <v>2484</v>
      </c>
      <c r="C1867" s="184" t="str">
        <f t="shared" si="29"/>
        <v>McLean, IL</v>
      </c>
      <c r="D1867" s="187">
        <v>5.7000000000000002E-2</v>
      </c>
    </row>
    <row r="1868" spans="1:4">
      <c r="A1868" s="184" t="s">
        <v>529</v>
      </c>
      <c r="B1868" s="184" t="s">
        <v>2484</v>
      </c>
      <c r="C1868" s="184" t="str">
        <f t="shared" si="29"/>
        <v>McLean, KY</v>
      </c>
      <c r="D1868" s="187">
        <v>0.09</v>
      </c>
    </row>
    <row r="1869" spans="1:4">
      <c r="A1869" s="184" t="s">
        <v>2558</v>
      </c>
      <c r="B1869" s="184" t="s">
        <v>2484</v>
      </c>
      <c r="C1869" s="184" t="str">
        <f t="shared" si="29"/>
        <v>McLean, ND</v>
      </c>
      <c r="D1869" s="187">
        <v>0.09</v>
      </c>
    </row>
    <row r="1870" spans="1:4">
      <c r="A1870" s="184" t="s">
        <v>3906</v>
      </c>
      <c r="B1870" s="184" t="s">
        <v>997</v>
      </c>
      <c r="C1870" s="184" t="str">
        <f t="shared" si="29"/>
        <v>McLennan, TX</v>
      </c>
      <c r="D1870" s="187">
        <v>5.7000000000000002E-2</v>
      </c>
    </row>
    <row r="1871" spans="1:4">
      <c r="A1871" s="184" t="s">
        <v>3429</v>
      </c>
      <c r="B1871" s="184" t="s">
        <v>1495</v>
      </c>
      <c r="C1871" s="184" t="str">
        <f t="shared" si="29"/>
        <v>McLeod, MN</v>
      </c>
      <c r="D1871" s="187">
        <v>0.09</v>
      </c>
    </row>
    <row r="1872" spans="1:4">
      <c r="A1872" s="184" t="s">
        <v>699</v>
      </c>
      <c r="B1872" s="184" t="s">
        <v>2035</v>
      </c>
      <c r="C1872" s="184" t="str">
        <f t="shared" si="29"/>
        <v>Mcminn, TN</v>
      </c>
      <c r="D1872" s="187">
        <v>0.09</v>
      </c>
    </row>
    <row r="1873" spans="1:4">
      <c r="A1873" s="184" t="s">
        <v>3906</v>
      </c>
      <c r="B1873" s="184" t="s">
        <v>328</v>
      </c>
      <c r="C1873" s="184" t="str">
        <f t="shared" si="29"/>
        <v>McMullen, TX</v>
      </c>
      <c r="D1873" s="187">
        <v>4.3999999999999997E-2</v>
      </c>
    </row>
    <row r="1874" spans="1:4">
      <c r="A1874" s="184" t="s">
        <v>699</v>
      </c>
      <c r="B1874" s="184" t="s">
        <v>2381</v>
      </c>
      <c r="C1874" s="184" t="str">
        <f t="shared" si="29"/>
        <v>McNairy, TN</v>
      </c>
      <c r="D1874" s="187">
        <v>0.09</v>
      </c>
    </row>
    <row r="1875" spans="1:4">
      <c r="A1875" s="184" t="s">
        <v>663</v>
      </c>
      <c r="B1875" s="184" t="s">
        <v>1453</v>
      </c>
      <c r="C1875" s="184" t="str">
        <f t="shared" si="29"/>
        <v>McPherson, KS</v>
      </c>
      <c r="D1875" s="187">
        <v>0.09</v>
      </c>
    </row>
    <row r="1876" spans="1:4">
      <c r="A1876" s="184" t="s">
        <v>3442</v>
      </c>
      <c r="B1876" s="184" t="s">
        <v>1453</v>
      </c>
      <c r="C1876" s="184" t="str">
        <f t="shared" si="29"/>
        <v>McPherson, NE</v>
      </c>
      <c r="D1876" s="187">
        <v>0.09</v>
      </c>
    </row>
    <row r="1877" spans="1:4">
      <c r="A1877" s="184" t="s">
        <v>1944</v>
      </c>
      <c r="B1877" s="184" t="s">
        <v>1453</v>
      </c>
      <c r="C1877" s="184" t="str">
        <f t="shared" si="29"/>
        <v>McPherson, SD</v>
      </c>
      <c r="D1877" s="187">
        <v>4.3999999999999997E-2</v>
      </c>
    </row>
    <row r="1878" spans="1:4">
      <c r="A1878" s="184" t="s">
        <v>663</v>
      </c>
      <c r="B1878" s="184" t="s">
        <v>1454</v>
      </c>
      <c r="C1878" s="184" t="str">
        <f t="shared" si="29"/>
        <v>Meade, KS</v>
      </c>
      <c r="D1878" s="187">
        <v>0.09</v>
      </c>
    </row>
    <row r="1879" spans="1:4">
      <c r="A1879" s="184" t="s">
        <v>529</v>
      </c>
      <c r="B1879" s="184" t="s">
        <v>1454</v>
      </c>
      <c r="C1879" s="184" t="str">
        <f t="shared" si="29"/>
        <v>Meade, KY</v>
      </c>
      <c r="D1879" s="187">
        <v>0.09</v>
      </c>
    </row>
    <row r="1880" spans="1:4">
      <c r="A1880" s="184" t="s">
        <v>1944</v>
      </c>
      <c r="B1880" s="184" t="s">
        <v>1454</v>
      </c>
      <c r="C1880" s="184" t="str">
        <f t="shared" si="29"/>
        <v>Meade, SD</v>
      </c>
      <c r="D1880" s="187">
        <v>4.3999999999999997E-2</v>
      </c>
    </row>
    <row r="1881" spans="1:4">
      <c r="A1881" s="184" t="s">
        <v>3438</v>
      </c>
      <c r="B1881" s="184" t="s">
        <v>2816</v>
      </c>
      <c r="C1881" s="184" t="str">
        <f t="shared" si="29"/>
        <v>Meagher, MT</v>
      </c>
      <c r="D1881" s="187">
        <v>0.09</v>
      </c>
    </row>
    <row r="1882" spans="1:4">
      <c r="A1882" s="184" t="s">
        <v>2542</v>
      </c>
      <c r="B1882" s="184" t="s">
        <v>2280</v>
      </c>
      <c r="C1882" s="184" t="str">
        <f t="shared" si="29"/>
        <v>Mecklenburg, NC</v>
      </c>
      <c r="D1882" s="187">
        <v>6.0999999999999999E-2</v>
      </c>
    </row>
    <row r="1883" spans="1:4">
      <c r="A1883" s="184" t="s">
        <v>746</v>
      </c>
      <c r="B1883" s="184" t="s">
        <v>2280</v>
      </c>
      <c r="C1883" s="184" t="str">
        <f t="shared" si="29"/>
        <v>Mecklenburg, VA</v>
      </c>
      <c r="D1883" s="187">
        <v>4.3999999999999997E-2</v>
      </c>
    </row>
    <row r="1884" spans="1:4">
      <c r="A1884" s="184" t="s">
        <v>2090</v>
      </c>
      <c r="B1884" s="184" t="s">
        <v>658</v>
      </c>
      <c r="C1884" s="184" t="str">
        <f t="shared" si="29"/>
        <v>Mecosta, MI</v>
      </c>
      <c r="D1884" s="187">
        <v>0.09</v>
      </c>
    </row>
    <row r="1885" spans="1:4">
      <c r="A1885" s="184" t="s">
        <v>2562</v>
      </c>
      <c r="B1885" s="184" t="s">
        <v>3064</v>
      </c>
      <c r="C1885" s="184" t="str">
        <f t="shared" si="29"/>
        <v>Medina, OH</v>
      </c>
      <c r="D1885" s="187">
        <v>6.0999999999999999E-2</v>
      </c>
    </row>
    <row r="1886" spans="1:4">
      <c r="A1886" s="184" t="s">
        <v>3906</v>
      </c>
      <c r="B1886" s="184" t="s">
        <v>3064</v>
      </c>
      <c r="C1886" s="184" t="str">
        <f t="shared" si="29"/>
        <v>Medina, TX</v>
      </c>
      <c r="D1886" s="187">
        <v>4.3999999999999997E-2</v>
      </c>
    </row>
    <row r="1887" spans="1:4">
      <c r="A1887" s="184" t="s">
        <v>3429</v>
      </c>
      <c r="B1887" s="184" t="s">
        <v>1497</v>
      </c>
      <c r="C1887" s="184" t="str">
        <f t="shared" si="29"/>
        <v>Meeker, MN</v>
      </c>
      <c r="D1887" s="187">
        <v>0.09</v>
      </c>
    </row>
    <row r="1888" spans="1:4">
      <c r="A1888" s="184" t="s">
        <v>2562</v>
      </c>
      <c r="B1888" s="184" t="s">
        <v>2164</v>
      </c>
      <c r="C1888" s="184" t="str">
        <f t="shared" si="29"/>
        <v>Meigs, OH</v>
      </c>
      <c r="D1888" s="187">
        <v>0.09</v>
      </c>
    </row>
    <row r="1889" spans="1:4">
      <c r="A1889" s="184" t="s">
        <v>699</v>
      </c>
      <c r="B1889" s="184" t="s">
        <v>2164</v>
      </c>
      <c r="C1889" s="184" t="str">
        <f t="shared" si="29"/>
        <v>Meigs, TN</v>
      </c>
      <c r="D1889" s="187">
        <v>0.09</v>
      </c>
    </row>
    <row r="1890" spans="1:4">
      <c r="A1890" s="184" t="s">
        <v>1944</v>
      </c>
      <c r="B1890" s="184" t="s">
        <v>1723</v>
      </c>
      <c r="C1890" s="184" t="str">
        <f t="shared" si="29"/>
        <v>Mellette, SD</v>
      </c>
      <c r="D1890" s="187">
        <v>4.3999999999999997E-2</v>
      </c>
    </row>
    <row r="1891" spans="1:4">
      <c r="A1891" s="184" t="s">
        <v>2019</v>
      </c>
      <c r="B1891" s="184" t="s">
        <v>331</v>
      </c>
      <c r="C1891" s="184" t="str">
        <f t="shared" si="29"/>
        <v>Menard, IL</v>
      </c>
      <c r="D1891" s="187">
        <v>3.5000000000000003E-2</v>
      </c>
    </row>
    <row r="1892" spans="1:4">
      <c r="A1892" s="184" t="s">
        <v>3906</v>
      </c>
      <c r="B1892" s="184" t="s">
        <v>331</v>
      </c>
      <c r="C1892" s="184" t="str">
        <f t="shared" si="29"/>
        <v>Menard, TX</v>
      </c>
      <c r="D1892" s="187">
        <v>4.3999999999999997E-2</v>
      </c>
    </row>
    <row r="1893" spans="1:4">
      <c r="A1893" s="184" t="s">
        <v>3106</v>
      </c>
      <c r="B1893" s="184" t="s">
        <v>3022</v>
      </c>
      <c r="C1893" s="184" t="str">
        <f t="shared" si="29"/>
        <v>Mendocino, CA</v>
      </c>
      <c r="D1893" s="187">
        <v>0.09</v>
      </c>
    </row>
    <row r="1894" spans="1:4">
      <c r="A1894" s="184" t="s">
        <v>529</v>
      </c>
      <c r="B1894" s="184" t="s">
        <v>2485</v>
      </c>
      <c r="C1894" s="184" t="str">
        <f t="shared" si="29"/>
        <v>Menifee, KY</v>
      </c>
      <c r="D1894" s="187">
        <v>0.09</v>
      </c>
    </row>
    <row r="1895" spans="1:4">
      <c r="A1895" s="184" t="s">
        <v>2090</v>
      </c>
      <c r="B1895" s="184" t="s">
        <v>659</v>
      </c>
      <c r="C1895" s="184" t="str">
        <f t="shared" si="29"/>
        <v>Menominee, MI</v>
      </c>
      <c r="D1895" s="187">
        <v>0.09</v>
      </c>
    </row>
    <row r="1896" spans="1:4">
      <c r="A1896" s="184" t="s">
        <v>550</v>
      </c>
      <c r="B1896" s="184" t="s">
        <v>659</v>
      </c>
      <c r="C1896" s="184" t="str">
        <f t="shared" si="29"/>
        <v>Menominee, WI</v>
      </c>
      <c r="D1896" s="187">
        <v>0.09</v>
      </c>
    </row>
    <row r="1897" spans="1:4">
      <c r="A1897" s="184" t="s">
        <v>3106</v>
      </c>
      <c r="B1897" s="184" t="s">
        <v>936</v>
      </c>
      <c r="C1897" s="184" t="str">
        <f t="shared" si="29"/>
        <v>Merced, CA</v>
      </c>
      <c r="D1897" s="187">
        <v>3.5000000000000003E-2</v>
      </c>
    </row>
    <row r="1898" spans="1:4">
      <c r="A1898" s="184" t="s">
        <v>2019</v>
      </c>
      <c r="B1898" s="184" t="s">
        <v>697</v>
      </c>
      <c r="C1898" s="184" t="str">
        <f t="shared" si="29"/>
        <v>Mercer, IL</v>
      </c>
      <c r="D1898" s="187">
        <v>0.09</v>
      </c>
    </row>
    <row r="1899" spans="1:4">
      <c r="A1899" s="184" t="s">
        <v>529</v>
      </c>
      <c r="B1899" s="184" t="s">
        <v>697</v>
      </c>
      <c r="C1899" s="184" t="str">
        <f t="shared" si="29"/>
        <v>Mercer, KY</v>
      </c>
      <c r="D1899" s="187">
        <v>0.09</v>
      </c>
    </row>
    <row r="1900" spans="1:4">
      <c r="A1900" s="184" t="s">
        <v>3434</v>
      </c>
      <c r="B1900" s="184" t="s">
        <v>697</v>
      </c>
      <c r="C1900" s="184" t="str">
        <f t="shared" si="29"/>
        <v>Mercer, MO</v>
      </c>
      <c r="D1900" s="187">
        <v>0.09</v>
      </c>
    </row>
    <row r="1901" spans="1:4">
      <c r="A1901" s="184" t="s">
        <v>2558</v>
      </c>
      <c r="B1901" s="184" t="s">
        <v>697</v>
      </c>
      <c r="C1901" s="184" t="str">
        <f t="shared" si="29"/>
        <v>Mercer, ND</v>
      </c>
      <c r="D1901" s="187">
        <v>0.09</v>
      </c>
    </row>
    <row r="1902" spans="1:4">
      <c r="A1902" s="184" t="s">
        <v>3444</v>
      </c>
      <c r="B1902" s="184" t="s">
        <v>697</v>
      </c>
      <c r="C1902" s="184" t="str">
        <f t="shared" si="29"/>
        <v>Mercer, NJ</v>
      </c>
      <c r="D1902" s="187">
        <v>6.0999999999999999E-2</v>
      </c>
    </row>
    <row r="1903" spans="1:4">
      <c r="A1903" s="184" t="s">
        <v>2562</v>
      </c>
      <c r="B1903" s="184" t="s">
        <v>697</v>
      </c>
      <c r="C1903" s="184" t="str">
        <f t="shared" si="29"/>
        <v>Mercer, OH</v>
      </c>
      <c r="D1903" s="187">
        <v>0.09</v>
      </c>
    </row>
    <row r="1904" spans="1:4">
      <c r="A1904" s="184" t="s">
        <v>3356</v>
      </c>
      <c r="B1904" s="184" t="s">
        <v>697</v>
      </c>
      <c r="C1904" s="184" t="str">
        <f t="shared" si="29"/>
        <v>Mercer, PA</v>
      </c>
      <c r="D1904" s="187">
        <v>0.09</v>
      </c>
    </row>
    <row r="1905" spans="1:4">
      <c r="A1905" s="184" t="s">
        <v>542</v>
      </c>
      <c r="B1905" s="184" t="s">
        <v>697</v>
      </c>
      <c r="C1905" s="184" t="str">
        <f t="shared" si="29"/>
        <v>Mercer, WV</v>
      </c>
      <c r="D1905" s="187">
        <v>0.09</v>
      </c>
    </row>
    <row r="1906" spans="1:4">
      <c r="A1906" s="184" t="s">
        <v>3602</v>
      </c>
      <c r="B1906" s="184" t="s">
        <v>233</v>
      </c>
      <c r="C1906" s="184" t="str">
        <f t="shared" si="29"/>
        <v>Meriwether, GA</v>
      </c>
      <c r="D1906" s="187">
        <v>4.3999999999999997E-2</v>
      </c>
    </row>
    <row r="1907" spans="1:4">
      <c r="A1907" s="184" t="s">
        <v>3442</v>
      </c>
      <c r="B1907" s="184" t="s">
        <v>1113</v>
      </c>
      <c r="C1907" s="184" t="str">
        <f t="shared" si="29"/>
        <v>Merrick, NE</v>
      </c>
      <c r="D1907" s="187">
        <v>0.09</v>
      </c>
    </row>
    <row r="1908" spans="1:4">
      <c r="A1908" s="184" t="s">
        <v>2868</v>
      </c>
      <c r="B1908" s="184" t="s">
        <v>19</v>
      </c>
      <c r="C1908" s="184" t="str">
        <f t="shared" si="29"/>
        <v>Merrimack, NH</v>
      </c>
      <c r="D1908" s="187">
        <v>5.7000000000000002E-2</v>
      </c>
    </row>
    <row r="1909" spans="1:4">
      <c r="A1909" s="184" t="s">
        <v>3108</v>
      </c>
      <c r="B1909" s="184" t="s">
        <v>944</v>
      </c>
      <c r="C1909" s="184" t="str">
        <f t="shared" si="29"/>
        <v>Mesa, CO</v>
      </c>
      <c r="D1909" s="187">
        <v>3.5000000000000003E-2</v>
      </c>
    </row>
    <row r="1910" spans="1:4">
      <c r="A1910" s="184" t="s">
        <v>529</v>
      </c>
      <c r="B1910" s="184" t="s">
        <v>2486</v>
      </c>
      <c r="C1910" s="184" t="str">
        <f t="shared" si="29"/>
        <v>Metcalfe, KY</v>
      </c>
      <c r="D1910" s="187">
        <v>0.09</v>
      </c>
    </row>
    <row r="1911" spans="1:4">
      <c r="A1911" s="184" t="s">
        <v>2021</v>
      </c>
      <c r="B1911" s="184" t="s">
        <v>2336</v>
      </c>
      <c r="C1911" s="184" t="str">
        <f t="shared" si="29"/>
        <v>Miami, IN</v>
      </c>
      <c r="D1911" s="187">
        <v>0.09</v>
      </c>
    </row>
    <row r="1912" spans="1:4">
      <c r="A1912" s="184" t="s">
        <v>663</v>
      </c>
      <c r="B1912" s="184" t="s">
        <v>2336</v>
      </c>
      <c r="C1912" s="184" t="str">
        <f t="shared" si="29"/>
        <v>Miami, KS</v>
      </c>
      <c r="D1912" s="187">
        <v>6.0999999999999999E-2</v>
      </c>
    </row>
    <row r="1913" spans="1:4">
      <c r="A1913" s="184" t="s">
        <v>2562</v>
      </c>
      <c r="B1913" s="184" t="s">
        <v>2336</v>
      </c>
      <c r="C1913" s="184" t="str">
        <f t="shared" si="29"/>
        <v>Miami, OH</v>
      </c>
      <c r="D1913" s="187">
        <v>6.0999999999999999E-2</v>
      </c>
    </row>
    <row r="1914" spans="1:4">
      <c r="A1914" s="184" t="s">
        <v>1178</v>
      </c>
      <c r="B1914" s="184" t="s">
        <v>3615</v>
      </c>
      <c r="C1914" s="184" t="str">
        <f t="shared" si="29"/>
        <v>Middlesex, CT</v>
      </c>
      <c r="D1914" s="187">
        <v>5.7000000000000002E-2</v>
      </c>
    </row>
    <row r="1915" spans="1:4">
      <c r="A1915" s="184" t="s">
        <v>1228</v>
      </c>
      <c r="B1915" s="184" t="s">
        <v>3615</v>
      </c>
      <c r="C1915" s="184" t="str">
        <f t="shared" si="29"/>
        <v>Middlesex, MA</v>
      </c>
      <c r="D1915" s="187">
        <v>4.4999999999999998E-2</v>
      </c>
    </row>
    <row r="1916" spans="1:4">
      <c r="A1916" s="184" t="s">
        <v>3444</v>
      </c>
      <c r="B1916" s="184" t="s">
        <v>3615</v>
      </c>
      <c r="C1916" s="184" t="str">
        <f t="shared" si="29"/>
        <v>Middlesex, NJ</v>
      </c>
      <c r="D1916" s="187">
        <v>6.0999999999999999E-2</v>
      </c>
    </row>
    <row r="1917" spans="1:4">
      <c r="A1917" s="184" t="s">
        <v>746</v>
      </c>
      <c r="B1917" s="184" t="s">
        <v>3615</v>
      </c>
      <c r="C1917" s="184" t="str">
        <f t="shared" si="29"/>
        <v>Middlesex, VA</v>
      </c>
      <c r="D1917" s="187">
        <v>4.3999999999999997E-2</v>
      </c>
    </row>
    <row r="1918" spans="1:4">
      <c r="A1918" s="184" t="s">
        <v>2090</v>
      </c>
      <c r="B1918" s="184" t="s">
        <v>2095</v>
      </c>
      <c r="C1918" s="184" t="str">
        <f t="shared" si="29"/>
        <v>Midland, MI</v>
      </c>
      <c r="D1918" s="187">
        <v>0.09</v>
      </c>
    </row>
    <row r="1919" spans="1:4">
      <c r="A1919" s="184" t="s">
        <v>3906</v>
      </c>
      <c r="B1919" s="184" t="s">
        <v>2095</v>
      </c>
      <c r="C1919" s="184" t="str">
        <f t="shared" si="29"/>
        <v>Midland, TX</v>
      </c>
      <c r="D1919" s="187">
        <v>6.0999999999999999E-2</v>
      </c>
    </row>
    <row r="1920" spans="1:4">
      <c r="A1920" s="184" t="s">
        <v>3356</v>
      </c>
      <c r="B1920" s="184" t="s">
        <v>57</v>
      </c>
      <c r="C1920" s="184" t="str">
        <f t="shared" si="29"/>
        <v>Mifflin, PA</v>
      </c>
      <c r="D1920" s="187">
        <v>0.09</v>
      </c>
    </row>
    <row r="1921" spans="1:4">
      <c r="A1921" s="184" t="s">
        <v>3906</v>
      </c>
      <c r="B1921" s="184" t="s">
        <v>3539</v>
      </c>
      <c r="C1921" s="184" t="str">
        <f t="shared" si="29"/>
        <v>Milam, TX</v>
      </c>
      <c r="D1921" s="187">
        <v>3.5000000000000003E-2</v>
      </c>
    </row>
    <row r="1922" spans="1:4">
      <c r="A1922" s="184" t="s">
        <v>742</v>
      </c>
      <c r="B1922" s="184" t="s">
        <v>386</v>
      </c>
      <c r="C1922" s="184" t="str">
        <f t="shared" si="29"/>
        <v>Millard, UT</v>
      </c>
      <c r="D1922" s="187">
        <v>4.3999999999999997E-2</v>
      </c>
    </row>
    <row r="1923" spans="1:4">
      <c r="A1923" s="184" t="s">
        <v>3429</v>
      </c>
      <c r="B1923" s="184" t="s">
        <v>1498</v>
      </c>
      <c r="C1923" s="184" t="str">
        <f t="shared" si="29"/>
        <v>Mille Lacs, MN</v>
      </c>
      <c r="D1923" s="187">
        <v>0.09</v>
      </c>
    </row>
    <row r="1924" spans="1:4">
      <c r="A1924" s="184" t="s">
        <v>566</v>
      </c>
      <c r="B1924" s="184" t="s">
        <v>469</v>
      </c>
      <c r="C1924" s="184" t="str">
        <f t="shared" si="29"/>
        <v>Miller, AR</v>
      </c>
      <c r="D1924" s="187">
        <v>4.3999999999999997E-2</v>
      </c>
    </row>
    <row r="1925" spans="1:4">
      <c r="A1925" s="184" t="s">
        <v>3602</v>
      </c>
      <c r="B1925" s="184" t="s">
        <v>469</v>
      </c>
      <c r="C1925" s="184" t="str">
        <f t="shared" si="29"/>
        <v>Miller, GA</v>
      </c>
      <c r="D1925" s="187">
        <v>4.3999999999999997E-2</v>
      </c>
    </row>
    <row r="1926" spans="1:4">
      <c r="A1926" s="184" t="s">
        <v>3434</v>
      </c>
      <c r="B1926" s="184" t="s">
        <v>469</v>
      </c>
      <c r="C1926" s="184" t="str">
        <f t="shared" ref="C1926:C1989" si="30">B1926&amp;", "&amp;A1926</f>
        <v>Miller, MO</v>
      </c>
      <c r="D1926" s="187">
        <v>0.09</v>
      </c>
    </row>
    <row r="1927" spans="1:4">
      <c r="A1927" s="184" t="s">
        <v>2031</v>
      </c>
      <c r="B1927" s="184" t="s">
        <v>1975</v>
      </c>
      <c r="C1927" s="184" t="str">
        <f t="shared" si="30"/>
        <v>Mills, IA</v>
      </c>
      <c r="D1927" s="187">
        <v>0.09</v>
      </c>
    </row>
    <row r="1928" spans="1:4">
      <c r="A1928" s="184" t="s">
        <v>3906</v>
      </c>
      <c r="B1928" s="184" t="s">
        <v>1975</v>
      </c>
      <c r="C1928" s="184" t="str">
        <f t="shared" si="30"/>
        <v>Mills, TX</v>
      </c>
      <c r="D1928" s="187">
        <v>3.5000000000000003E-2</v>
      </c>
    </row>
    <row r="1929" spans="1:4">
      <c r="A1929" s="184" t="s">
        <v>550</v>
      </c>
      <c r="B1929" s="184" t="s">
        <v>582</v>
      </c>
      <c r="C1929" s="184" t="str">
        <f t="shared" si="30"/>
        <v>Milwaukee, WI</v>
      </c>
      <c r="D1929" s="187">
        <v>4.4999999999999998E-2</v>
      </c>
    </row>
    <row r="1930" spans="1:4">
      <c r="A1930" s="184" t="s">
        <v>1944</v>
      </c>
      <c r="B1930" s="184" t="s">
        <v>1724</v>
      </c>
      <c r="C1930" s="184" t="str">
        <f t="shared" si="30"/>
        <v>Miner, SD</v>
      </c>
      <c r="D1930" s="187">
        <v>4.3999999999999997E-2</v>
      </c>
    </row>
    <row r="1931" spans="1:4">
      <c r="A1931" s="184" t="s">
        <v>3108</v>
      </c>
      <c r="B1931" s="184" t="s">
        <v>547</v>
      </c>
      <c r="C1931" s="184" t="str">
        <f t="shared" si="30"/>
        <v>Mineral, CO</v>
      </c>
      <c r="D1931" s="187">
        <v>3.5000000000000003E-2</v>
      </c>
    </row>
    <row r="1932" spans="1:4">
      <c r="A1932" s="184" t="s">
        <v>3438</v>
      </c>
      <c r="B1932" s="184" t="s">
        <v>547</v>
      </c>
      <c r="C1932" s="184" t="str">
        <f t="shared" si="30"/>
        <v>Mineral, MT</v>
      </c>
      <c r="D1932" s="187">
        <v>0.09</v>
      </c>
    </row>
    <row r="1933" spans="1:4">
      <c r="A1933" s="184" t="s">
        <v>3043</v>
      </c>
      <c r="B1933" s="184" t="s">
        <v>547</v>
      </c>
      <c r="C1933" s="184" t="str">
        <f t="shared" si="30"/>
        <v>Mineral, NV</v>
      </c>
      <c r="D1933" s="187">
        <v>0.09</v>
      </c>
    </row>
    <row r="1934" spans="1:4">
      <c r="A1934" s="184" t="s">
        <v>542</v>
      </c>
      <c r="B1934" s="184" t="s">
        <v>547</v>
      </c>
      <c r="C1934" s="184" t="str">
        <f t="shared" si="30"/>
        <v>Mineral, WV</v>
      </c>
      <c r="D1934" s="187">
        <v>0.09</v>
      </c>
    </row>
    <row r="1935" spans="1:4">
      <c r="A1935" s="184" t="s">
        <v>542</v>
      </c>
      <c r="B1935" s="184" t="s">
        <v>1893</v>
      </c>
      <c r="C1935" s="184" t="str">
        <f t="shared" si="30"/>
        <v>Mingo, WV</v>
      </c>
      <c r="D1935" s="187">
        <v>0.09</v>
      </c>
    </row>
    <row r="1936" spans="1:4">
      <c r="A1936" s="184" t="s">
        <v>3875</v>
      </c>
      <c r="B1936" s="184" t="s">
        <v>1270</v>
      </c>
      <c r="C1936" s="184" t="str">
        <f t="shared" si="30"/>
        <v>Minidoka, ID</v>
      </c>
      <c r="D1936" s="187">
        <v>4.3999999999999997E-2</v>
      </c>
    </row>
    <row r="1937" spans="1:4">
      <c r="A1937" s="184" t="s">
        <v>1944</v>
      </c>
      <c r="B1937" s="184" t="s">
        <v>1945</v>
      </c>
      <c r="C1937" s="184" t="str">
        <f t="shared" si="30"/>
        <v>Minnehaha, SD</v>
      </c>
      <c r="D1937" s="187">
        <v>6.0999999999999999E-2</v>
      </c>
    </row>
    <row r="1938" spans="1:4">
      <c r="A1938" s="184" t="s">
        <v>2090</v>
      </c>
      <c r="B1938" s="184" t="s">
        <v>660</v>
      </c>
      <c r="C1938" s="184" t="str">
        <f t="shared" si="30"/>
        <v>Missaukee, MI</v>
      </c>
      <c r="D1938" s="187">
        <v>0.09</v>
      </c>
    </row>
    <row r="1939" spans="1:4">
      <c r="A1939" s="184" t="s">
        <v>566</v>
      </c>
      <c r="B1939" s="184" t="s">
        <v>3007</v>
      </c>
      <c r="C1939" s="184" t="str">
        <f t="shared" si="30"/>
        <v>Mississippi, AR</v>
      </c>
      <c r="D1939" s="187">
        <v>4.3999999999999997E-2</v>
      </c>
    </row>
    <row r="1940" spans="1:4">
      <c r="A1940" s="184" t="s">
        <v>3434</v>
      </c>
      <c r="B1940" s="184" t="s">
        <v>3007</v>
      </c>
      <c r="C1940" s="184" t="str">
        <f t="shared" si="30"/>
        <v>Mississippi, MO</v>
      </c>
      <c r="D1940" s="187" t="s">
        <v>3930</v>
      </c>
    </row>
    <row r="1941" spans="1:4">
      <c r="A1941" s="184" t="s">
        <v>3438</v>
      </c>
      <c r="B1941" s="184" t="s">
        <v>3440</v>
      </c>
      <c r="C1941" s="184" t="str">
        <f t="shared" si="30"/>
        <v>Missoula, MT</v>
      </c>
      <c r="D1941" s="187">
        <v>0.09</v>
      </c>
    </row>
    <row r="1942" spans="1:4">
      <c r="A1942" s="184" t="s">
        <v>3602</v>
      </c>
      <c r="B1942" s="184" t="s">
        <v>234</v>
      </c>
      <c r="C1942" s="184" t="str">
        <f t="shared" si="30"/>
        <v>Mitchell, GA</v>
      </c>
      <c r="D1942" s="187">
        <v>4.3999999999999997E-2</v>
      </c>
    </row>
    <row r="1943" spans="1:4">
      <c r="A1943" s="184" t="s">
        <v>2031</v>
      </c>
      <c r="B1943" s="184" t="s">
        <v>234</v>
      </c>
      <c r="C1943" s="184" t="str">
        <f t="shared" si="30"/>
        <v>Mitchell, IA</v>
      </c>
      <c r="D1943" s="187">
        <v>0.09</v>
      </c>
    </row>
    <row r="1944" spans="1:4">
      <c r="A1944" s="184" t="s">
        <v>663</v>
      </c>
      <c r="B1944" s="184" t="s">
        <v>234</v>
      </c>
      <c r="C1944" s="184" t="str">
        <f t="shared" si="30"/>
        <v>Mitchell, KS</v>
      </c>
      <c r="D1944" s="187">
        <v>0.09</v>
      </c>
    </row>
    <row r="1945" spans="1:4">
      <c r="A1945" s="184" t="s">
        <v>2542</v>
      </c>
      <c r="B1945" s="184" t="s">
        <v>234</v>
      </c>
      <c r="C1945" s="184" t="str">
        <f t="shared" si="30"/>
        <v>Mitchell, NC</v>
      </c>
      <c r="D1945" s="187">
        <v>4.3999999999999997E-2</v>
      </c>
    </row>
    <row r="1946" spans="1:4">
      <c r="A1946" s="184" t="s">
        <v>3906</v>
      </c>
      <c r="B1946" s="184" t="s">
        <v>234</v>
      </c>
      <c r="C1946" s="184" t="str">
        <f t="shared" si="30"/>
        <v>Mitchell, TX</v>
      </c>
      <c r="D1946" s="187">
        <v>4.3999999999999997E-2</v>
      </c>
    </row>
    <row r="1947" spans="1:4">
      <c r="A1947" s="184" t="s">
        <v>2000</v>
      </c>
      <c r="B1947" s="184" t="s">
        <v>2012</v>
      </c>
      <c r="C1947" s="184" t="str">
        <f t="shared" si="30"/>
        <v>Mobile, AL</v>
      </c>
      <c r="D1947" s="187">
        <v>0.09</v>
      </c>
    </row>
    <row r="1948" spans="1:4">
      <c r="A1948" s="184" t="s">
        <v>3106</v>
      </c>
      <c r="B1948" s="184" t="s">
        <v>3023</v>
      </c>
      <c r="C1948" s="184" t="str">
        <f t="shared" si="30"/>
        <v>Modoc, CA</v>
      </c>
      <c r="D1948" s="187">
        <v>0.09</v>
      </c>
    </row>
    <row r="1949" spans="1:4">
      <c r="A1949" s="184" t="s">
        <v>3108</v>
      </c>
      <c r="B1949" s="184" t="s">
        <v>1163</v>
      </c>
      <c r="C1949" s="184" t="str">
        <f t="shared" si="30"/>
        <v>Moffat, CO</v>
      </c>
      <c r="D1949" s="187">
        <v>4.3999999999999997E-2</v>
      </c>
    </row>
    <row r="1950" spans="1:4">
      <c r="A1950" s="184" t="s">
        <v>562</v>
      </c>
      <c r="B1950" s="184" t="s">
        <v>564</v>
      </c>
      <c r="C1950" s="184" t="str">
        <f t="shared" si="30"/>
        <v>Mohave, AZ</v>
      </c>
      <c r="D1950" s="187">
        <v>6.0999999999999999E-2</v>
      </c>
    </row>
    <row r="1951" spans="1:4">
      <c r="A1951" s="184" t="s">
        <v>3434</v>
      </c>
      <c r="B1951" s="184" t="s">
        <v>2786</v>
      </c>
      <c r="C1951" s="184" t="str">
        <f t="shared" si="30"/>
        <v>Moniteau, MO</v>
      </c>
      <c r="D1951" s="187">
        <v>0.09</v>
      </c>
    </row>
    <row r="1952" spans="1:4">
      <c r="A1952" s="184" t="s">
        <v>3444</v>
      </c>
      <c r="B1952" s="184" t="s">
        <v>3616</v>
      </c>
      <c r="C1952" s="184" t="str">
        <f t="shared" si="30"/>
        <v>Monmouth, NJ</v>
      </c>
      <c r="D1952" s="187">
        <v>6.0999999999999999E-2</v>
      </c>
    </row>
    <row r="1953" spans="1:4">
      <c r="A1953" s="184" t="s">
        <v>3106</v>
      </c>
      <c r="B1953" s="184" t="s">
        <v>3024</v>
      </c>
      <c r="C1953" s="184" t="str">
        <f t="shared" si="30"/>
        <v>Mono, CA</v>
      </c>
      <c r="D1953" s="187">
        <v>0.09</v>
      </c>
    </row>
    <row r="1954" spans="1:4">
      <c r="A1954" s="184" t="s">
        <v>2031</v>
      </c>
      <c r="B1954" s="184" t="s">
        <v>1976</v>
      </c>
      <c r="C1954" s="184" t="str">
        <f t="shared" si="30"/>
        <v>Monona, IA</v>
      </c>
      <c r="D1954" s="187">
        <v>0.09</v>
      </c>
    </row>
    <row r="1955" spans="1:4">
      <c r="A1955" s="184" t="s">
        <v>542</v>
      </c>
      <c r="B1955" s="184" t="s">
        <v>835</v>
      </c>
      <c r="C1955" s="184" t="str">
        <f t="shared" si="30"/>
        <v>Monongalia, WV</v>
      </c>
      <c r="D1955" s="187">
        <v>0.09</v>
      </c>
    </row>
    <row r="1956" spans="1:4">
      <c r="A1956" s="184" t="s">
        <v>2000</v>
      </c>
      <c r="B1956" s="184" t="s">
        <v>2026</v>
      </c>
      <c r="C1956" s="184" t="str">
        <f t="shared" si="30"/>
        <v>Monroe, AL</v>
      </c>
      <c r="D1956" s="187">
        <v>0.09</v>
      </c>
    </row>
    <row r="1957" spans="1:4">
      <c r="A1957" s="184" t="s">
        <v>566</v>
      </c>
      <c r="B1957" s="184" t="s">
        <v>2026</v>
      </c>
      <c r="C1957" s="184" t="str">
        <f t="shared" si="30"/>
        <v>Monroe, AR</v>
      </c>
      <c r="D1957" s="187">
        <v>5.7000000000000002E-2</v>
      </c>
    </row>
    <row r="1958" spans="1:4">
      <c r="A1958" s="184" t="s">
        <v>3594</v>
      </c>
      <c r="B1958" s="184" t="s">
        <v>2026</v>
      </c>
      <c r="C1958" s="184" t="str">
        <f t="shared" si="30"/>
        <v>Monroe, FL</v>
      </c>
      <c r="D1958" s="187">
        <v>6.0999999999999999E-2</v>
      </c>
    </row>
    <row r="1959" spans="1:4">
      <c r="A1959" s="184" t="s">
        <v>3602</v>
      </c>
      <c r="B1959" s="184" t="s">
        <v>2026</v>
      </c>
      <c r="C1959" s="184" t="str">
        <f t="shared" si="30"/>
        <v>Monroe, GA</v>
      </c>
      <c r="D1959" s="187">
        <v>4.3999999999999997E-2</v>
      </c>
    </row>
    <row r="1960" spans="1:4">
      <c r="A1960" s="184" t="s">
        <v>2031</v>
      </c>
      <c r="B1960" s="184" t="s">
        <v>2026</v>
      </c>
      <c r="C1960" s="184" t="str">
        <f t="shared" si="30"/>
        <v>Monroe, IA</v>
      </c>
      <c r="D1960" s="187">
        <v>0.09</v>
      </c>
    </row>
    <row r="1961" spans="1:4">
      <c r="A1961" s="184" t="s">
        <v>2019</v>
      </c>
      <c r="B1961" s="184" t="s">
        <v>2026</v>
      </c>
      <c r="C1961" s="184" t="str">
        <f t="shared" si="30"/>
        <v>Monroe, IL</v>
      </c>
      <c r="D1961" s="187">
        <v>6.0999999999999999E-2</v>
      </c>
    </row>
    <row r="1962" spans="1:4">
      <c r="A1962" s="184" t="s">
        <v>2021</v>
      </c>
      <c r="B1962" s="184" t="s">
        <v>2026</v>
      </c>
      <c r="C1962" s="184" t="str">
        <f t="shared" si="30"/>
        <v>Monroe, IN</v>
      </c>
      <c r="D1962" s="187">
        <v>0.09</v>
      </c>
    </row>
    <row r="1963" spans="1:4">
      <c r="A1963" s="184" t="s">
        <v>529</v>
      </c>
      <c r="B1963" s="184" t="s">
        <v>2026</v>
      </c>
      <c r="C1963" s="184" t="str">
        <f t="shared" si="30"/>
        <v>Monroe, KY</v>
      </c>
      <c r="D1963" s="187">
        <v>0.09</v>
      </c>
    </row>
    <row r="1964" spans="1:4">
      <c r="A1964" s="184" t="s">
        <v>2090</v>
      </c>
      <c r="B1964" s="184" t="s">
        <v>2026</v>
      </c>
      <c r="C1964" s="184" t="str">
        <f t="shared" si="30"/>
        <v>Monroe, MI</v>
      </c>
      <c r="D1964" s="187">
        <v>6.0999999999999999E-2</v>
      </c>
    </row>
    <row r="1965" spans="1:4">
      <c r="A1965" s="184" t="s">
        <v>3434</v>
      </c>
      <c r="B1965" s="184" t="s">
        <v>2026</v>
      </c>
      <c r="C1965" s="184" t="str">
        <f t="shared" si="30"/>
        <v>Monroe, MO</v>
      </c>
      <c r="D1965" s="187">
        <v>0.09</v>
      </c>
    </row>
    <row r="1966" spans="1:4">
      <c r="A1966" s="184" t="s">
        <v>3035</v>
      </c>
      <c r="B1966" s="184" t="s">
        <v>2026</v>
      </c>
      <c r="C1966" s="184" t="str">
        <f t="shared" si="30"/>
        <v>Monroe, MS</v>
      </c>
      <c r="D1966" s="187">
        <v>4.3999999999999997E-2</v>
      </c>
    </row>
    <row r="1967" spans="1:4">
      <c r="A1967" s="184" t="s">
        <v>3446</v>
      </c>
      <c r="B1967" s="184" t="s">
        <v>2026</v>
      </c>
      <c r="C1967" s="184" t="str">
        <f t="shared" si="30"/>
        <v>Monroe, NY</v>
      </c>
      <c r="D1967" s="187">
        <v>3.5000000000000003E-2</v>
      </c>
    </row>
    <row r="1968" spans="1:4">
      <c r="A1968" s="184" t="s">
        <v>2562</v>
      </c>
      <c r="B1968" s="184" t="s">
        <v>2026</v>
      </c>
      <c r="C1968" s="184" t="str">
        <f t="shared" si="30"/>
        <v>Monroe, OH</v>
      </c>
      <c r="D1968" s="187">
        <v>0.09</v>
      </c>
    </row>
    <row r="1969" spans="1:4">
      <c r="A1969" s="184" t="s">
        <v>3356</v>
      </c>
      <c r="B1969" s="184" t="s">
        <v>2026</v>
      </c>
      <c r="C1969" s="184" t="str">
        <f t="shared" si="30"/>
        <v>Monroe, PA</v>
      </c>
      <c r="D1969" s="187">
        <v>0.09</v>
      </c>
    </row>
    <row r="1970" spans="1:4">
      <c r="A1970" s="184" t="s">
        <v>699</v>
      </c>
      <c r="B1970" s="184" t="s">
        <v>2026</v>
      </c>
      <c r="C1970" s="184" t="str">
        <f t="shared" si="30"/>
        <v>Monroe, TN</v>
      </c>
      <c r="D1970" s="187">
        <v>0.09</v>
      </c>
    </row>
    <row r="1971" spans="1:4">
      <c r="A1971" s="184" t="s">
        <v>550</v>
      </c>
      <c r="B1971" s="184" t="s">
        <v>2026</v>
      </c>
      <c r="C1971" s="184" t="str">
        <f t="shared" si="30"/>
        <v>Monroe, WI</v>
      </c>
      <c r="D1971" s="187">
        <v>0.09</v>
      </c>
    </row>
    <row r="1972" spans="1:4">
      <c r="A1972" s="184" t="s">
        <v>542</v>
      </c>
      <c r="B1972" s="184" t="s">
        <v>2026</v>
      </c>
      <c r="C1972" s="184" t="str">
        <f t="shared" si="30"/>
        <v>Monroe, WV</v>
      </c>
      <c r="D1972" s="187">
        <v>0.09</v>
      </c>
    </row>
    <row r="1973" spans="1:4">
      <c r="A1973" s="184" t="s">
        <v>3906</v>
      </c>
      <c r="B1973" s="184" t="s">
        <v>332</v>
      </c>
      <c r="C1973" s="184" t="str">
        <f t="shared" si="30"/>
        <v>Montague, TX</v>
      </c>
      <c r="D1973" s="187">
        <v>4.3999999999999997E-2</v>
      </c>
    </row>
    <row r="1974" spans="1:4">
      <c r="A1974" s="184" t="s">
        <v>2090</v>
      </c>
      <c r="B1974" s="184" t="s">
        <v>661</v>
      </c>
      <c r="C1974" s="184" t="str">
        <f t="shared" si="30"/>
        <v>Montcalm, MI</v>
      </c>
      <c r="D1974" s="187">
        <v>0.09</v>
      </c>
    </row>
    <row r="1975" spans="1:4">
      <c r="A1975" s="184" t="s">
        <v>3106</v>
      </c>
      <c r="B1975" s="184" t="s">
        <v>3107</v>
      </c>
      <c r="C1975" s="184" t="str">
        <f t="shared" si="30"/>
        <v>Monterey, CA</v>
      </c>
      <c r="D1975" s="187">
        <v>6.0999999999999999E-2</v>
      </c>
    </row>
    <row r="1976" spans="1:4">
      <c r="A1976" s="184" t="s">
        <v>3108</v>
      </c>
      <c r="B1976" s="184" t="s">
        <v>1164</v>
      </c>
      <c r="C1976" s="184" t="str">
        <f t="shared" si="30"/>
        <v>Montezuma, CO</v>
      </c>
      <c r="D1976" s="187">
        <v>4.3999999999999997E-2</v>
      </c>
    </row>
    <row r="1977" spans="1:4">
      <c r="A1977" s="184" t="s">
        <v>2000</v>
      </c>
      <c r="B1977" s="184" t="s">
        <v>2013</v>
      </c>
      <c r="C1977" s="184" t="str">
        <f t="shared" si="30"/>
        <v>Montgomery, AL</v>
      </c>
      <c r="D1977" s="187">
        <v>0.09</v>
      </c>
    </row>
    <row r="1978" spans="1:4">
      <c r="A1978" s="184" t="s">
        <v>566</v>
      </c>
      <c r="B1978" s="184" t="s">
        <v>2013</v>
      </c>
      <c r="C1978" s="184" t="str">
        <f t="shared" si="30"/>
        <v>Montgomery, AR</v>
      </c>
      <c r="D1978" s="187">
        <v>4.3999999999999997E-2</v>
      </c>
    </row>
    <row r="1979" spans="1:4">
      <c r="A1979" s="184" t="s">
        <v>3602</v>
      </c>
      <c r="B1979" s="184" t="s">
        <v>2013</v>
      </c>
      <c r="C1979" s="184" t="str">
        <f t="shared" si="30"/>
        <v>Montgomery, GA</v>
      </c>
      <c r="D1979" s="187">
        <v>4.3999999999999997E-2</v>
      </c>
    </row>
    <row r="1980" spans="1:4">
      <c r="A1980" s="184" t="s">
        <v>2031</v>
      </c>
      <c r="B1980" s="184" t="s">
        <v>2013</v>
      </c>
      <c r="C1980" s="184" t="str">
        <f t="shared" si="30"/>
        <v>Montgomery, IA</v>
      </c>
      <c r="D1980" s="187">
        <v>0.09</v>
      </c>
    </row>
    <row r="1981" spans="1:4">
      <c r="A1981" s="184" t="s">
        <v>2019</v>
      </c>
      <c r="B1981" s="184" t="s">
        <v>2013</v>
      </c>
      <c r="C1981" s="184" t="str">
        <f t="shared" si="30"/>
        <v>Montgomery, IL</v>
      </c>
      <c r="D1981" s="187">
        <v>0.09</v>
      </c>
    </row>
    <row r="1982" spans="1:4">
      <c r="A1982" s="184" t="s">
        <v>2021</v>
      </c>
      <c r="B1982" s="184" t="s">
        <v>2013</v>
      </c>
      <c r="C1982" s="184" t="str">
        <f t="shared" si="30"/>
        <v>Montgomery, IN</v>
      </c>
      <c r="D1982" s="187">
        <v>0.09</v>
      </c>
    </row>
    <row r="1983" spans="1:4">
      <c r="A1983" s="184" t="s">
        <v>663</v>
      </c>
      <c r="B1983" s="184" t="s">
        <v>2013</v>
      </c>
      <c r="C1983" s="184" t="str">
        <f t="shared" si="30"/>
        <v>Montgomery, KS</v>
      </c>
      <c r="D1983" s="187">
        <v>0.09</v>
      </c>
    </row>
    <row r="1984" spans="1:4">
      <c r="A1984" s="184" t="s">
        <v>529</v>
      </c>
      <c r="B1984" s="184" t="s">
        <v>2013</v>
      </c>
      <c r="C1984" s="184" t="str">
        <f t="shared" si="30"/>
        <v>Montgomery, KY</v>
      </c>
      <c r="D1984" s="187">
        <v>0.09</v>
      </c>
    </row>
    <row r="1985" spans="1:4">
      <c r="A1985" s="184" t="s">
        <v>2087</v>
      </c>
      <c r="B1985" s="184" t="s">
        <v>2013</v>
      </c>
      <c r="C1985" s="184" t="str">
        <f t="shared" si="30"/>
        <v>Montgomery, MD</v>
      </c>
      <c r="D1985" s="187">
        <v>6.0999999999999999E-2</v>
      </c>
    </row>
    <row r="1986" spans="1:4">
      <c r="A1986" s="184" t="s">
        <v>3434</v>
      </c>
      <c r="B1986" s="184" t="s">
        <v>2013</v>
      </c>
      <c r="C1986" s="184" t="str">
        <f t="shared" si="30"/>
        <v>Montgomery, MO</v>
      </c>
      <c r="D1986" s="187">
        <v>0.09</v>
      </c>
    </row>
    <row r="1987" spans="1:4">
      <c r="A1987" s="184" t="s">
        <v>3035</v>
      </c>
      <c r="B1987" s="184" t="s">
        <v>2013</v>
      </c>
      <c r="C1987" s="184" t="str">
        <f t="shared" si="30"/>
        <v>Montgomery, MS</v>
      </c>
      <c r="D1987" s="187">
        <v>5.7000000000000002E-2</v>
      </c>
    </row>
    <row r="1988" spans="1:4">
      <c r="A1988" s="184" t="s">
        <v>2542</v>
      </c>
      <c r="B1988" s="184" t="s">
        <v>2013</v>
      </c>
      <c r="C1988" s="184" t="str">
        <f t="shared" si="30"/>
        <v>Montgomery, NC</v>
      </c>
      <c r="D1988" s="187">
        <v>4.3999999999999997E-2</v>
      </c>
    </row>
    <row r="1989" spans="1:4">
      <c r="A1989" s="184" t="s">
        <v>3446</v>
      </c>
      <c r="B1989" s="184" t="s">
        <v>2013</v>
      </c>
      <c r="C1989" s="184" t="str">
        <f t="shared" si="30"/>
        <v>Montgomery, NY</v>
      </c>
      <c r="D1989" s="187">
        <v>3.5000000000000003E-2</v>
      </c>
    </row>
    <row r="1990" spans="1:4">
      <c r="A1990" s="184" t="s">
        <v>2562</v>
      </c>
      <c r="B1990" s="184" t="s">
        <v>2013</v>
      </c>
      <c r="C1990" s="184" t="str">
        <f t="shared" ref="C1990:C2053" si="31">B1990&amp;", "&amp;A1990</f>
        <v>Montgomery, OH</v>
      </c>
      <c r="D1990" s="187">
        <v>3.5000000000000003E-2</v>
      </c>
    </row>
    <row r="1991" spans="1:4">
      <c r="A1991" s="184" t="s">
        <v>3356</v>
      </c>
      <c r="B1991" s="184" t="s">
        <v>2013</v>
      </c>
      <c r="C1991" s="184" t="str">
        <f t="shared" si="31"/>
        <v>Montgomery, PA</v>
      </c>
      <c r="D1991" s="187">
        <v>6.0999999999999999E-2</v>
      </c>
    </row>
    <row r="1992" spans="1:4">
      <c r="A1992" s="184" t="s">
        <v>699</v>
      </c>
      <c r="B1992" s="184" t="s">
        <v>2013</v>
      </c>
      <c r="C1992" s="184" t="str">
        <f t="shared" si="31"/>
        <v>Montgomery, TN</v>
      </c>
      <c r="D1992" s="187">
        <v>0.09</v>
      </c>
    </row>
    <row r="1993" spans="1:4">
      <c r="A1993" s="184" t="s">
        <v>3906</v>
      </c>
      <c r="B1993" s="184" t="s">
        <v>2013</v>
      </c>
      <c r="C1993" s="184" t="str">
        <f t="shared" si="31"/>
        <v>Montgomery, TX</v>
      </c>
      <c r="D1993" s="187">
        <v>6.0999999999999999E-2</v>
      </c>
    </row>
    <row r="1994" spans="1:4">
      <c r="A1994" s="184" t="s">
        <v>746</v>
      </c>
      <c r="B1994" s="184" t="s">
        <v>2013</v>
      </c>
      <c r="C1994" s="184" t="str">
        <f t="shared" si="31"/>
        <v>Montgomery, VA</v>
      </c>
      <c r="D1994" s="187">
        <v>4.3999999999999997E-2</v>
      </c>
    </row>
    <row r="1995" spans="1:4">
      <c r="A1995" s="184" t="s">
        <v>2090</v>
      </c>
      <c r="B1995" s="184" t="s">
        <v>3914</v>
      </c>
      <c r="C1995" s="184" t="str">
        <f t="shared" si="31"/>
        <v>Montmorency, MI</v>
      </c>
      <c r="D1995" s="187">
        <v>0.09</v>
      </c>
    </row>
    <row r="1996" spans="1:4">
      <c r="A1996" s="184" t="s">
        <v>3356</v>
      </c>
      <c r="B1996" s="184" t="s">
        <v>3535</v>
      </c>
      <c r="C1996" s="184" t="str">
        <f t="shared" si="31"/>
        <v>Montour, PA</v>
      </c>
      <c r="D1996" s="187">
        <v>3.5000000000000003E-2</v>
      </c>
    </row>
    <row r="1997" spans="1:4">
      <c r="A1997" s="184" t="s">
        <v>3108</v>
      </c>
      <c r="B1997" s="184" t="s">
        <v>1165</v>
      </c>
      <c r="C1997" s="184" t="str">
        <f t="shared" si="31"/>
        <v>Montrose, CO</v>
      </c>
      <c r="D1997" s="187">
        <v>4.3999999999999997E-2</v>
      </c>
    </row>
    <row r="1998" spans="1:4">
      <c r="A1998" s="184" t="s">
        <v>1944</v>
      </c>
      <c r="B1998" s="184" t="s">
        <v>1725</v>
      </c>
      <c r="C1998" s="184" t="str">
        <f t="shared" si="31"/>
        <v>Moody, SD</v>
      </c>
      <c r="D1998" s="187">
        <v>4.3999999999999997E-2</v>
      </c>
    </row>
    <row r="1999" spans="1:4">
      <c r="A1999" s="184" t="s">
        <v>2542</v>
      </c>
      <c r="B1999" s="184" t="s">
        <v>3270</v>
      </c>
      <c r="C1999" s="184" t="str">
        <f t="shared" si="31"/>
        <v>Moore, NC</v>
      </c>
      <c r="D1999" s="187">
        <v>4.3999999999999997E-2</v>
      </c>
    </row>
    <row r="2000" spans="1:4">
      <c r="A2000" s="184" t="s">
        <v>699</v>
      </c>
      <c r="B2000" s="184" t="s">
        <v>3270</v>
      </c>
      <c r="C2000" s="184" t="str">
        <f t="shared" si="31"/>
        <v>Moore, TN</v>
      </c>
      <c r="D2000" s="187">
        <v>0.09</v>
      </c>
    </row>
    <row r="2001" spans="1:4">
      <c r="A2001" s="184" t="s">
        <v>3906</v>
      </c>
      <c r="B2001" s="184" t="s">
        <v>3270</v>
      </c>
      <c r="C2001" s="184" t="str">
        <f t="shared" si="31"/>
        <v>Moore, TX</v>
      </c>
      <c r="D2001" s="187">
        <v>4.3999999999999997E-2</v>
      </c>
    </row>
    <row r="2002" spans="1:4">
      <c r="A2002" s="184" t="s">
        <v>3622</v>
      </c>
      <c r="B2002" s="184" t="s">
        <v>24</v>
      </c>
      <c r="C2002" s="184" t="str">
        <f t="shared" si="31"/>
        <v>Mora, NM</v>
      </c>
      <c r="D2002" s="187">
        <v>5.7000000000000002E-2</v>
      </c>
    </row>
    <row r="2003" spans="1:4">
      <c r="A2003" s="184" t="s">
        <v>535</v>
      </c>
      <c r="B2003" s="184" t="s">
        <v>1575</v>
      </c>
      <c r="C2003" s="184" t="str">
        <f t="shared" si="31"/>
        <v>Morehouse, LA</v>
      </c>
      <c r="D2003" s="187">
        <v>5.7000000000000002E-2</v>
      </c>
    </row>
    <row r="2004" spans="1:4">
      <c r="A2004" s="184" t="s">
        <v>2000</v>
      </c>
      <c r="B2004" s="184" t="s">
        <v>2014</v>
      </c>
      <c r="C2004" s="184" t="str">
        <f t="shared" si="31"/>
        <v>Morgan, AL</v>
      </c>
      <c r="D2004" s="187">
        <v>0.09</v>
      </c>
    </row>
    <row r="2005" spans="1:4">
      <c r="A2005" s="184" t="s">
        <v>3108</v>
      </c>
      <c r="B2005" s="184" t="s">
        <v>2014</v>
      </c>
      <c r="C2005" s="184" t="str">
        <f t="shared" si="31"/>
        <v>Morgan, CO</v>
      </c>
      <c r="D2005" s="187">
        <v>4.3999999999999997E-2</v>
      </c>
    </row>
    <row r="2006" spans="1:4">
      <c r="A2006" s="184" t="s">
        <v>3602</v>
      </c>
      <c r="B2006" s="184" t="s">
        <v>2014</v>
      </c>
      <c r="C2006" s="184" t="str">
        <f t="shared" si="31"/>
        <v>Morgan, GA</v>
      </c>
      <c r="D2006" s="187">
        <v>4.3999999999999997E-2</v>
      </c>
    </row>
    <row r="2007" spans="1:4">
      <c r="A2007" s="184" t="s">
        <v>2019</v>
      </c>
      <c r="B2007" s="184" t="s">
        <v>2014</v>
      </c>
      <c r="C2007" s="184" t="str">
        <f t="shared" si="31"/>
        <v>Morgan, IL</v>
      </c>
      <c r="D2007" s="187">
        <v>0.09</v>
      </c>
    </row>
    <row r="2008" spans="1:4">
      <c r="A2008" s="184" t="s">
        <v>2021</v>
      </c>
      <c r="B2008" s="184" t="s">
        <v>2014</v>
      </c>
      <c r="C2008" s="184" t="str">
        <f t="shared" si="31"/>
        <v>Morgan, IN</v>
      </c>
      <c r="D2008" s="187">
        <v>6.0999999999999999E-2</v>
      </c>
    </row>
    <row r="2009" spans="1:4">
      <c r="A2009" s="184" t="s">
        <v>529</v>
      </c>
      <c r="B2009" s="184" t="s">
        <v>2014</v>
      </c>
      <c r="C2009" s="184" t="str">
        <f t="shared" si="31"/>
        <v>Morgan, KY</v>
      </c>
      <c r="D2009" s="187">
        <v>0.09</v>
      </c>
    </row>
    <row r="2010" spans="1:4">
      <c r="A2010" s="184" t="s">
        <v>3434</v>
      </c>
      <c r="B2010" s="184" t="s">
        <v>2014</v>
      </c>
      <c r="C2010" s="184" t="str">
        <f t="shared" si="31"/>
        <v>Morgan, MO</v>
      </c>
      <c r="D2010" s="187">
        <v>0.09</v>
      </c>
    </row>
    <row r="2011" spans="1:4">
      <c r="A2011" s="184" t="s">
        <v>2562</v>
      </c>
      <c r="B2011" s="184" t="s">
        <v>2014</v>
      </c>
      <c r="C2011" s="184" t="str">
        <f t="shared" si="31"/>
        <v>Morgan, OH</v>
      </c>
      <c r="D2011" s="187">
        <v>0.09</v>
      </c>
    </row>
    <row r="2012" spans="1:4">
      <c r="A2012" s="184" t="s">
        <v>699</v>
      </c>
      <c r="B2012" s="184" t="s">
        <v>2014</v>
      </c>
      <c r="C2012" s="184" t="str">
        <f t="shared" si="31"/>
        <v>Morgan, TN</v>
      </c>
      <c r="D2012" s="187">
        <v>0.09</v>
      </c>
    </row>
    <row r="2013" spans="1:4">
      <c r="A2013" s="184" t="s">
        <v>742</v>
      </c>
      <c r="B2013" s="184" t="s">
        <v>2014</v>
      </c>
      <c r="C2013" s="184" t="str">
        <f t="shared" si="31"/>
        <v>Morgan, UT</v>
      </c>
      <c r="D2013" s="187">
        <v>4.3999999999999997E-2</v>
      </c>
    </row>
    <row r="2014" spans="1:4">
      <c r="A2014" s="184" t="s">
        <v>542</v>
      </c>
      <c r="B2014" s="184" t="s">
        <v>2014</v>
      </c>
      <c r="C2014" s="184" t="str">
        <f t="shared" si="31"/>
        <v>Morgan, WV</v>
      </c>
      <c r="D2014" s="187">
        <v>0.09</v>
      </c>
    </row>
    <row r="2015" spans="1:4">
      <c r="A2015" s="184" t="s">
        <v>3442</v>
      </c>
      <c r="B2015" s="184" t="s">
        <v>1114</v>
      </c>
      <c r="C2015" s="184" t="str">
        <f t="shared" si="31"/>
        <v>Morrill, NE</v>
      </c>
      <c r="D2015" s="187">
        <v>0.09</v>
      </c>
    </row>
    <row r="2016" spans="1:4">
      <c r="A2016" s="184" t="s">
        <v>663</v>
      </c>
      <c r="B2016" s="184" t="s">
        <v>3617</v>
      </c>
      <c r="C2016" s="184" t="str">
        <f t="shared" si="31"/>
        <v>Morris, KS</v>
      </c>
      <c r="D2016" s="187">
        <v>0.09</v>
      </c>
    </row>
    <row r="2017" spans="1:4">
      <c r="A2017" s="184" t="s">
        <v>3444</v>
      </c>
      <c r="B2017" s="184" t="s">
        <v>3617</v>
      </c>
      <c r="C2017" s="184" t="str">
        <f t="shared" si="31"/>
        <v>Morris, NJ</v>
      </c>
      <c r="D2017" s="187">
        <v>6.0999999999999999E-2</v>
      </c>
    </row>
    <row r="2018" spans="1:4">
      <c r="A2018" s="184" t="s">
        <v>3906</v>
      </c>
      <c r="B2018" s="184" t="s">
        <v>3617</v>
      </c>
      <c r="C2018" s="184" t="str">
        <f t="shared" si="31"/>
        <v>Morris, TX</v>
      </c>
      <c r="D2018" s="187">
        <v>4.3999999999999997E-2</v>
      </c>
    </row>
    <row r="2019" spans="1:4">
      <c r="A2019" s="184" t="s">
        <v>3429</v>
      </c>
      <c r="B2019" s="184" t="s">
        <v>1499</v>
      </c>
      <c r="C2019" s="184" t="str">
        <f t="shared" si="31"/>
        <v>Morrison, MN</v>
      </c>
      <c r="D2019" s="187">
        <v>0.09</v>
      </c>
    </row>
    <row r="2020" spans="1:4">
      <c r="A2020" s="184" t="s">
        <v>2562</v>
      </c>
      <c r="B2020" s="184" t="s">
        <v>870</v>
      </c>
      <c r="C2020" s="184" t="str">
        <f t="shared" si="31"/>
        <v>Morrow, OH</v>
      </c>
      <c r="D2020" s="187">
        <v>0.09</v>
      </c>
    </row>
    <row r="2021" spans="1:4">
      <c r="A2021" s="184" t="s">
        <v>3353</v>
      </c>
      <c r="B2021" s="184" t="s">
        <v>870</v>
      </c>
      <c r="C2021" s="184" t="str">
        <f t="shared" si="31"/>
        <v>Morrow, OR</v>
      </c>
      <c r="D2021" s="187">
        <v>0.09</v>
      </c>
    </row>
    <row r="2022" spans="1:4">
      <c r="A2022" s="184" t="s">
        <v>663</v>
      </c>
      <c r="B2022" s="184" t="s">
        <v>2561</v>
      </c>
      <c r="C2022" s="184" t="str">
        <f t="shared" si="31"/>
        <v>Morton, KS</v>
      </c>
      <c r="D2022" s="187">
        <v>0.09</v>
      </c>
    </row>
    <row r="2023" spans="1:4">
      <c r="A2023" s="184" t="s">
        <v>2558</v>
      </c>
      <c r="B2023" s="184" t="s">
        <v>2561</v>
      </c>
      <c r="C2023" s="184" t="str">
        <f t="shared" si="31"/>
        <v>Morton, ND</v>
      </c>
      <c r="D2023" s="187">
        <v>0.09</v>
      </c>
    </row>
    <row r="2024" spans="1:4">
      <c r="A2024" s="184" t="s">
        <v>3906</v>
      </c>
      <c r="B2024" s="184" t="s">
        <v>333</v>
      </c>
      <c r="C2024" s="184" t="str">
        <f t="shared" si="31"/>
        <v>Motley, TX</v>
      </c>
      <c r="D2024" s="187">
        <v>4.3999999999999997E-2</v>
      </c>
    </row>
    <row r="2025" spans="1:4">
      <c r="A2025" s="184" t="s">
        <v>2019</v>
      </c>
      <c r="B2025" s="184" t="s">
        <v>3375</v>
      </c>
      <c r="C2025" s="184" t="str">
        <f t="shared" si="31"/>
        <v>Moultrie, IL</v>
      </c>
      <c r="D2025" s="187">
        <v>0.09</v>
      </c>
    </row>
    <row r="2026" spans="1:4">
      <c r="A2026" s="184" t="s">
        <v>2558</v>
      </c>
      <c r="B2026" s="184" t="s">
        <v>192</v>
      </c>
      <c r="C2026" s="184" t="str">
        <f t="shared" si="31"/>
        <v>Mountrail, ND</v>
      </c>
      <c r="D2026" s="187">
        <v>0.09</v>
      </c>
    </row>
    <row r="2027" spans="1:4">
      <c r="A2027" s="184" t="s">
        <v>3429</v>
      </c>
      <c r="B2027" s="184" t="s">
        <v>1500</v>
      </c>
      <c r="C2027" s="184" t="str">
        <f t="shared" si="31"/>
        <v>Mower, MN</v>
      </c>
      <c r="D2027" s="187">
        <v>0.09</v>
      </c>
    </row>
    <row r="2028" spans="1:4">
      <c r="A2028" s="184" t="s">
        <v>529</v>
      </c>
      <c r="B2028" s="184" t="s">
        <v>2487</v>
      </c>
      <c r="C2028" s="184" t="str">
        <f t="shared" si="31"/>
        <v>Muhlenberg, KY</v>
      </c>
      <c r="D2028" s="187">
        <v>0.09</v>
      </c>
    </row>
    <row r="2029" spans="1:4">
      <c r="A2029" s="184" t="s">
        <v>3353</v>
      </c>
      <c r="B2029" s="184" t="s">
        <v>576</v>
      </c>
      <c r="C2029" s="184" t="str">
        <f t="shared" si="31"/>
        <v>Multnomah, OR</v>
      </c>
      <c r="D2029" s="187">
        <v>4.4999999999999998E-2</v>
      </c>
    </row>
    <row r="2030" spans="1:4">
      <c r="A2030" s="184" t="s">
        <v>3602</v>
      </c>
      <c r="B2030" s="184" t="s">
        <v>235</v>
      </c>
      <c r="C2030" s="184" t="str">
        <f t="shared" si="31"/>
        <v>Murray, GA</v>
      </c>
      <c r="D2030" s="187">
        <v>4.3999999999999997E-2</v>
      </c>
    </row>
    <row r="2031" spans="1:4">
      <c r="A2031" s="184" t="s">
        <v>3429</v>
      </c>
      <c r="B2031" s="184" t="s">
        <v>235</v>
      </c>
      <c r="C2031" s="184" t="str">
        <f t="shared" si="31"/>
        <v>Murray, MN</v>
      </c>
      <c r="D2031" s="187">
        <v>0.09</v>
      </c>
    </row>
    <row r="2032" spans="1:4">
      <c r="A2032" s="184" t="s">
        <v>2573</v>
      </c>
      <c r="B2032" s="184" t="s">
        <v>235</v>
      </c>
      <c r="C2032" s="184" t="str">
        <f t="shared" si="31"/>
        <v>Murray, OK</v>
      </c>
      <c r="D2032" s="187">
        <v>0.09</v>
      </c>
    </row>
    <row r="2033" spans="1:4">
      <c r="A2033" s="184" t="s">
        <v>2031</v>
      </c>
      <c r="B2033" s="184" t="s">
        <v>1977</v>
      </c>
      <c r="C2033" s="184" t="str">
        <f t="shared" si="31"/>
        <v>Muscatine, IA</v>
      </c>
      <c r="D2033" s="187">
        <v>0.09</v>
      </c>
    </row>
    <row r="2034" spans="1:4">
      <c r="A2034" s="184" t="s">
        <v>3602</v>
      </c>
      <c r="B2034" s="184" t="s">
        <v>3301</v>
      </c>
      <c r="C2034" s="184" t="str">
        <f t="shared" si="31"/>
        <v>Muscogee, GA</v>
      </c>
      <c r="D2034" s="187">
        <v>4.3999999999999997E-2</v>
      </c>
    </row>
    <row r="2035" spans="1:4">
      <c r="A2035" s="184" t="s">
        <v>2090</v>
      </c>
      <c r="B2035" s="184" t="s">
        <v>2758</v>
      </c>
      <c r="C2035" s="184" t="str">
        <f t="shared" si="31"/>
        <v>Muskegon, MI</v>
      </c>
      <c r="D2035" s="187">
        <v>6.0999999999999999E-2</v>
      </c>
    </row>
    <row r="2036" spans="1:4">
      <c r="A2036" s="184" t="s">
        <v>2562</v>
      </c>
      <c r="B2036" s="184" t="s">
        <v>871</v>
      </c>
      <c r="C2036" s="184" t="str">
        <f t="shared" si="31"/>
        <v>Muskingum, OH</v>
      </c>
      <c r="D2036" s="187">
        <v>0.09</v>
      </c>
    </row>
    <row r="2037" spans="1:4">
      <c r="A2037" s="184" t="s">
        <v>2573</v>
      </c>
      <c r="B2037" s="184" t="s">
        <v>453</v>
      </c>
      <c r="C2037" s="184" t="str">
        <f t="shared" si="31"/>
        <v>Muskogee, OK</v>
      </c>
      <c r="D2037" s="187">
        <v>0.09</v>
      </c>
    </row>
    <row r="2038" spans="1:4">
      <c r="A2038" s="184" t="s">
        <v>3438</v>
      </c>
      <c r="B2038" s="184" t="s">
        <v>2817</v>
      </c>
      <c r="C2038" s="184" t="str">
        <f t="shared" si="31"/>
        <v>Musselshell, MT</v>
      </c>
      <c r="D2038" s="187">
        <v>0.09</v>
      </c>
    </row>
    <row r="2039" spans="1:4">
      <c r="A2039" s="184" t="s">
        <v>3906</v>
      </c>
      <c r="B2039" s="184" t="s">
        <v>334</v>
      </c>
      <c r="C2039" s="184" t="str">
        <f t="shared" si="31"/>
        <v>Nacogdoches, TX</v>
      </c>
      <c r="D2039" s="187">
        <v>4.3999999999999997E-2</v>
      </c>
    </row>
    <row r="2040" spans="1:4">
      <c r="A2040" s="184" t="s">
        <v>3442</v>
      </c>
      <c r="B2040" s="184" t="s">
        <v>1115</v>
      </c>
      <c r="C2040" s="184" t="str">
        <f t="shared" si="31"/>
        <v>Nance, NE</v>
      </c>
      <c r="D2040" s="187">
        <v>0.09</v>
      </c>
    </row>
    <row r="2041" spans="1:4">
      <c r="A2041" s="184" t="s">
        <v>1228</v>
      </c>
      <c r="B2041" s="184" t="s">
        <v>1231</v>
      </c>
      <c r="C2041" s="184" t="str">
        <f t="shared" si="31"/>
        <v>Nantucket, MA</v>
      </c>
      <c r="D2041" s="187">
        <v>6.0999999999999999E-2</v>
      </c>
    </row>
    <row r="2042" spans="1:4">
      <c r="A2042" s="184" t="s">
        <v>3106</v>
      </c>
      <c r="B2042" s="184" t="s">
        <v>937</v>
      </c>
      <c r="C2042" s="184" t="str">
        <f t="shared" si="31"/>
        <v>Napa, CA</v>
      </c>
      <c r="D2042" s="187">
        <v>3.5000000000000003E-2</v>
      </c>
    </row>
    <row r="2043" spans="1:4">
      <c r="A2043" s="184" t="s">
        <v>2542</v>
      </c>
      <c r="B2043" s="184" t="s">
        <v>2189</v>
      </c>
      <c r="C2043" s="184" t="str">
        <f t="shared" si="31"/>
        <v>Nash, NC</v>
      </c>
      <c r="D2043" s="187">
        <v>4.3999999999999997E-2</v>
      </c>
    </row>
    <row r="2044" spans="1:4">
      <c r="A2044" s="184" t="s">
        <v>3594</v>
      </c>
      <c r="B2044" s="184" t="s">
        <v>3625</v>
      </c>
      <c r="C2044" s="184" t="str">
        <f t="shared" si="31"/>
        <v>Nassau, FL</v>
      </c>
      <c r="D2044" s="187">
        <v>5.7000000000000002E-2</v>
      </c>
    </row>
    <row r="2045" spans="1:4">
      <c r="A2045" s="184" t="s">
        <v>3446</v>
      </c>
      <c r="B2045" s="184" t="s">
        <v>3625</v>
      </c>
      <c r="C2045" s="184" t="str">
        <f t="shared" si="31"/>
        <v>Nassau, NY</v>
      </c>
      <c r="D2045" s="187">
        <v>6.0999999999999999E-2</v>
      </c>
    </row>
    <row r="2046" spans="1:4">
      <c r="A2046" s="184" t="s">
        <v>535</v>
      </c>
      <c r="B2046" s="184" t="s">
        <v>765</v>
      </c>
      <c r="C2046" s="184" t="str">
        <f t="shared" si="31"/>
        <v>Natchitoches, LA</v>
      </c>
      <c r="D2046" s="187">
        <v>0.09</v>
      </c>
    </row>
    <row r="2047" spans="1:4">
      <c r="A2047" s="184" t="s">
        <v>1033</v>
      </c>
      <c r="B2047" s="184" t="s">
        <v>1035</v>
      </c>
      <c r="C2047" s="184" t="str">
        <f t="shared" si="31"/>
        <v>Natrona, WY</v>
      </c>
      <c r="D2047" s="187">
        <v>6.0999999999999999E-2</v>
      </c>
    </row>
    <row r="2048" spans="1:4">
      <c r="A2048" s="184" t="s">
        <v>562</v>
      </c>
      <c r="B2048" s="184" t="s">
        <v>2994</v>
      </c>
      <c r="C2048" s="184" t="str">
        <f t="shared" si="31"/>
        <v>Navajo, AZ</v>
      </c>
      <c r="D2048" s="187">
        <v>4.3999999999999997E-2</v>
      </c>
    </row>
    <row r="2049" spans="1:4">
      <c r="A2049" s="184" t="s">
        <v>3906</v>
      </c>
      <c r="B2049" s="184" t="s">
        <v>335</v>
      </c>
      <c r="C2049" s="184" t="str">
        <f t="shared" si="31"/>
        <v>Navarro, TX</v>
      </c>
      <c r="D2049" s="187">
        <v>4.3999999999999997E-2</v>
      </c>
    </row>
    <row r="2050" spans="1:4">
      <c r="A2050" s="184" t="s">
        <v>529</v>
      </c>
      <c r="B2050" s="184" t="s">
        <v>2488</v>
      </c>
      <c r="C2050" s="184" t="str">
        <f t="shared" si="31"/>
        <v>Nelson, KY</v>
      </c>
      <c r="D2050" s="187">
        <v>0.09</v>
      </c>
    </row>
    <row r="2051" spans="1:4">
      <c r="A2051" s="184" t="s">
        <v>2558</v>
      </c>
      <c r="B2051" s="184" t="s">
        <v>2488</v>
      </c>
      <c r="C2051" s="184" t="str">
        <f t="shared" si="31"/>
        <v>Nelson, ND</v>
      </c>
      <c r="D2051" s="187">
        <v>0.09</v>
      </c>
    </row>
    <row r="2052" spans="1:4">
      <c r="A2052" s="184" t="s">
        <v>746</v>
      </c>
      <c r="B2052" s="184" t="s">
        <v>2488</v>
      </c>
      <c r="C2052" s="184" t="str">
        <f t="shared" si="31"/>
        <v>Nelson, VA</v>
      </c>
      <c r="D2052" s="187">
        <v>4.3999999999999997E-2</v>
      </c>
    </row>
    <row r="2053" spans="1:4">
      <c r="A2053" s="184" t="s">
        <v>663</v>
      </c>
      <c r="B2053" s="184" t="s">
        <v>1455</v>
      </c>
      <c r="C2053" s="184" t="str">
        <f t="shared" si="31"/>
        <v>Nemaha, KS</v>
      </c>
      <c r="D2053" s="187">
        <v>0.09</v>
      </c>
    </row>
    <row r="2054" spans="1:4">
      <c r="A2054" s="184" t="s">
        <v>3442</v>
      </c>
      <c r="B2054" s="184" t="s">
        <v>1455</v>
      </c>
      <c r="C2054" s="184" t="str">
        <f t="shared" ref="C2054:C2117" si="32">B2054&amp;", "&amp;A2054</f>
        <v>Nemaha, NE</v>
      </c>
      <c r="D2054" s="187">
        <v>0.09</v>
      </c>
    </row>
    <row r="2055" spans="1:4">
      <c r="A2055" s="184" t="s">
        <v>663</v>
      </c>
      <c r="B2055" s="184" t="s">
        <v>1456</v>
      </c>
      <c r="C2055" s="184" t="str">
        <f t="shared" si="32"/>
        <v>Neosho, KS</v>
      </c>
      <c r="D2055" s="187">
        <v>0.09</v>
      </c>
    </row>
    <row r="2056" spans="1:4">
      <c r="A2056" s="184" t="s">
        <v>3035</v>
      </c>
      <c r="B2056" s="184" t="s">
        <v>3845</v>
      </c>
      <c r="C2056" s="184" t="str">
        <f t="shared" si="32"/>
        <v>Neshoba, MS</v>
      </c>
      <c r="D2056" s="187">
        <v>4.3999999999999997E-2</v>
      </c>
    </row>
    <row r="2057" spans="1:4">
      <c r="A2057" s="184" t="s">
        <v>663</v>
      </c>
      <c r="B2057" s="184" t="s">
        <v>1457</v>
      </c>
      <c r="C2057" s="184" t="str">
        <f t="shared" si="32"/>
        <v>Ness, KS</v>
      </c>
      <c r="D2057" s="187">
        <v>0.09</v>
      </c>
    </row>
    <row r="2058" spans="1:4">
      <c r="A2058" s="184" t="s">
        <v>566</v>
      </c>
      <c r="B2058" s="184" t="s">
        <v>1212</v>
      </c>
      <c r="C2058" s="184" t="str">
        <f t="shared" si="32"/>
        <v>Nevada, AR</v>
      </c>
      <c r="D2058" s="187">
        <v>5.7000000000000002E-2</v>
      </c>
    </row>
    <row r="2059" spans="1:4">
      <c r="A2059" s="184" t="s">
        <v>3106</v>
      </c>
      <c r="B2059" s="184" t="s">
        <v>1212</v>
      </c>
      <c r="C2059" s="184" t="str">
        <f t="shared" si="32"/>
        <v>Nevada, CA</v>
      </c>
      <c r="D2059" s="187">
        <v>5.7000000000000002E-2</v>
      </c>
    </row>
    <row r="2060" spans="1:4">
      <c r="A2060" s="184" t="s">
        <v>2017</v>
      </c>
      <c r="B2060" s="184" t="s">
        <v>3593</v>
      </c>
      <c r="C2060" s="184" t="str">
        <f t="shared" si="32"/>
        <v>New Castle, DE</v>
      </c>
      <c r="D2060" s="187">
        <v>6.0999999999999999E-2</v>
      </c>
    </row>
    <row r="2061" spans="1:4">
      <c r="A2061" s="184" t="s">
        <v>2542</v>
      </c>
      <c r="B2061" s="184" t="s">
        <v>2190</v>
      </c>
      <c r="C2061" s="184" t="str">
        <f t="shared" si="32"/>
        <v>New Hanover, NC</v>
      </c>
      <c r="D2061" s="187">
        <v>4.3999999999999997E-2</v>
      </c>
    </row>
    <row r="2062" spans="1:4">
      <c r="A2062" s="184" t="s">
        <v>1178</v>
      </c>
      <c r="B2062" s="184" t="s">
        <v>945</v>
      </c>
      <c r="C2062" s="184" t="str">
        <f t="shared" si="32"/>
        <v>New Haven, CT</v>
      </c>
      <c r="D2062" s="187">
        <v>3.5000000000000003E-2</v>
      </c>
    </row>
    <row r="2063" spans="1:4">
      <c r="A2063" s="184" t="s">
        <v>746</v>
      </c>
      <c r="B2063" s="184" t="s">
        <v>3162</v>
      </c>
      <c r="C2063" s="184" t="str">
        <f t="shared" si="32"/>
        <v>New Kent, VA</v>
      </c>
      <c r="D2063" s="187">
        <v>6.0999999999999999E-2</v>
      </c>
    </row>
    <row r="2064" spans="1:4">
      <c r="A2064" s="184" t="s">
        <v>1178</v>
      </c>
      <c r="B2064" s="184" t="s">
        <v>1180</v>
      </c>
      <c r="C2064" s="184" t="str">
        <f t="shared" si="32"/>
        <v>New London, CT</v>
      </c>
      <c r="D2064" s="187">
        <v>0.09</v>
      </c>
    </row>
    <row r="2065" spans="1:4">
      <c r="A2065" s="184" t="s">
        <v>3434</v>
      </c>
      <c r="B2065" s="184" t="s">
        <v>2787</v>
      </c>
      <c r="C2065" s="184" t="str">
        <f t="shared" si="32"/>
        <v>New Madrid, MO</v>
      </c>
      <c r="D2065" s="187">
        <v>0.09</v>
      </c>
    </row>
    <row r="2066" spans="1:4">
      <c r="A2066" s="184" t="s">
        <v>3446</v>
      </c>
      <c r="B2066" s="184" t="s">
        <v>574</v>
      </c>
      <c r="C2066" s="184" t="str">
        <f t="shared" si="32"/>
        <v>New York, NY</v>
      </c>
      <c r="D2066" s="187">
        <v>4.4999999999999998E-2</v>
      </c>
    </row>
    <row r="2067" spans="1:4">
      <c r="A2067" s="184" t="s">
        <v>2090</v>
      </c>
      <c r="B2067" s="184" t="s">
        <v>2097</v>
      </c>
      <c r="C2067" s="184" t="str">
        <f t="shared" si="32"/>
        <v>Newaygo, MI</v>
      </c>
      <c r="D2067" s="187">
        <v>0.09</v>
      </c>
    </row>
    <row r="2068" spans="1:4">
      <c r="A2068" s="184" t="s">
        <v>1942</v>
      </c>
      <c r="B2068" s="184" t="s">
        <v>79</v>
      </c>
      <c r="C2068" s="184" t="str">
        <f t="shared" si="32"/>
        <v>Newberry, SC</v>
      </c>
      <c r="D2068" s="187">
        <v>4.3999999999999997E-2</v>
      </c>
    </row>
    <row r="2069" spans="1:4">
      <c r="A2069" s="184" t="s">
        <v>62</v>
      </c>
      <c r="B2069" s="184" t="s">
        <v>64</v>
      </c>
      <c r="C2069" s="184" t="str">
        <f t="shared" si="32"/>
        <v>Newport, RI</v>
      </c>
      <c r="D2069" s="187">
        <v>0.09</v>
      </c>
    </row>
    <row r="2070" spans="1:4">
      <c r="A2070" s="184" t="s">
        <v>746</v>
      </c>
      <c r="B2070" s="184" t="s">
        <v>3175</v>
      </c>
      <c r="C2070" s="184" t="str">
        <f t="shared" si="32"/>
        <v>Newport News City, VA</v>
      </c>
      <c r="D2070" s="187">
        <v>6.0999999999999999E-2</v>
      </c>
    </row>
    <row r="2071" spans="1:4">
      <c r="A2071" s="184" t="s">
        <v>566</v>
      </c>
      <c r="B2071" s="184" t="s">
        <v>3437</v>
      </c>
      <c r="C2071" s="184" t="str">
        <f t="shared" si="32"/>
        <v>Newton, AR</v>
      </c>
      <c r="D2071" s="187">
        <v>4.3999999999999997E-2</v>
      </c>
    </row>
    <row r="2072" spans="1:4">
      <c r="A2072" s="184" t="s">
        <v>3602</v>
      </c>
      <c r="B2072" s="184" t="s">
        <v>3437</v>
      </c>
      <c r="C2072" s="184" t="str">
        <f t="shared" si="32"/>
        <v>Newton, GA</v>
      </c>
      <c r="D2072" s="187">
        <v>6.0999999999999999E-2</v>
      </c>
    </row>
    <row r="2073" spans="1:4">
      <c r="A2073" s="184" t="s">
        <v>2021</v>
      </c>
      <c r="B2073" s="184" t="s">
        <v>3437</v>
      </c>
      <c r="C2073" s="184" t="str">
        <f t="shared" si="32"/>
        <v>Newton, IN</v>
      </c>
      <c r="D2073" s="187">
        <v>0.09</v>
      </c>
    </row>
    <row r="2074" spans="1:4">
      <c r="A2074" s="184" t="s">
        <v>3434</v>
      </c>
      <c r="B2074" s="184" t="s">
        <v>3437</v>
      </c>
      <c r="C2074" s="184" t="str">
        <f t="shared" si="32"/>
        <v>Newton, MO</v>
      </c>
      <c r="D2074" s="187">
        <v>0.09</v>
      </c>
    </row>
    <row r="2075" spans="1:4">
      <c r="A2075" s="184" t="s">
        <v>3035</v>
      </c>
      <c r="B2075" s="184" t="s">
        <v>3437</v>
      </c>
      <c r="C2075" s="184" t="str">
        <f t="shared" si="32"/>
        <v>Newton, MS</v>
      </c>
      <c r="D2075" s="187">
        <v>4.3999999999999997E-2</v>
      </c>
    </row>
    <row r="2076" spans="1:4">
      <c r="A2076" s="184" t="s">
        <v>3906</v>
      </c>
      <c r="B2076" s="184" t="s">
        <v>3437</v>
      </c>
      <c r="C2076" s="184" t="str">
        <f t="shared" si="32"/>
        <v>Newton, TX</v>
      </c>
      <c r="D2076" s="187">
        <v>4.3999999999999997E-2</v>
      </c>
    </row>
    <row r="2077" spans="1:4">
      <c r="A2077" s="184" t="s">
        <v>3875</v>
      </c>
      <c r="B2077" s="184" t="s">
        <v>1271</v>
      </c>
      <c r="C2077" s="184" t="str">
        <f t="shared" si="32"/>
        <v>Nez Perce, ID</v>
      </c>
      <c r="D2077" s="187">
        <v>4.3999999999999997E-2</v>
      </c>
    </row>
    <row r="2078" spans="1:4">
      <c r="A2078" s="184" t="s">
        <v>3446</v>
      </c>
      <c r="B2078" s="184" t="s">
        <v>3531</v>
      </c>
      <c r="C2078" s="184" t="str">
        <f t="shared" si="32"/>
        <v>Niagara, NY</v>
      </c>
      <c r="D2078" s="187">
        <v>3.5000000000000003E-2</v>
      </c>
    </row>
    <row r="2079" spans="1:4">
      <c r="A2079" s="184" t="s">
        <v>529</v>
      </c>
      <c r="B2079" s="184" t="s">
        <v>2489</v>
      </c>
      <c r="C2079" s="184" t="str">
        <f t="shared" si="32"/>
        <v>Nicholas, KY</v>
      </c>
      <c r="D2079" s="187">
        <v>0.09</v>
      </c>
    </row>
    <row r="2080" spans="1:4">
      <c r="A2080" s="184" t="s">
        <v>542</v>
      </c>
      <c r="B2080" s="184" t="s">
        <v>2489</v>
      </c>
      <c r="C2080" s="184" t="str">
        <f t="shared" si="32"/>
        <v>Nicholas, WV</v>
      </c>
      <c r="D2080" s="187">
        <v>0.09</v>
      </c>
    </row>
    <row r="2081" spans="1:4">
      <c r="A2081" s="184" t="s">
        <v>3429</v>
      </c>
      <c r="B2081" s="184" t="s">
        <v>1501</v>
      </c>
      <c r="C2081" s="184" t="str">
        <f t="shared" si="32"/>
        <v>Nicollet, MN</v>
      </c>
      <c r="D2081" s="187">
        <v>0.09</v>
      </c>
    </row>
    <row r="2082" spans="1:4">
      <c r="A2082" s="184" t="s">
        <v>1033</v>
      </c>
      <c r="B2082" s="184" t="s">
        <v>927</v>
      </c>
      <c r="C2082" s="184" t="str">
        <f t="shared" si="32"/>
        <v>Niobrara, WY</v>
      </c>
      <c r="D2082" s="187">
        <v>0.09</v>
      </c>
    </row>
    <row r="2083" spans="1:4">
      <c r="A2083" s="184" t="s">
        <v>2021</v>
      </c>
      <c r="B2083" s="184" t="s">
        <v>2835</v>
      </c>
      <c r="C2083" s="184" t="str">
        <f t="shared" si="32"/>
        <v>Noble, IN</v>
      </c>
      <c r="D2083" s="187">
        <v>0.09</v>
      </c>
    </row>
    <row r="2084" spans="1:4">
      <c r="A2084" s="184" t="s">
        <v>2562</v>
      </c>
      <c r="B2084" s="184" t="s">
        <v>2835</v>
      </c>
      <c r="C2084" s="184" t="str">
        <f t="shared" si="32"/>
        <v>Noble, OH</v>
      </c>
      <c r="D2084" s="187">
        <v>0.09</v>
      </c>
    </row>
    <row r="2085" spans="1:4">
      <c r="A2085" s="184" t="s">
        <v>2573</v>
      </c>
      <c r="B2085" s="184" t="s">
        <v>2835</v>
      </c>
      <c r="C2085" s="184" t="str">
        <f t="shared" si="32"/>
        <v>Noble, OK</v>
      </c>
      <c r="D2085" s="187">
        <v>0.09</v>
      </c>
    </row>
    <row r="2086" spans="1:4">
      <c r="A2086" s="184" t="s">
        <v>3429</v>
      </c>
      <c r="B2086" s="184" t="s">
        <v>1502</v>
      </c>
      <c r="C2086" s="184" t="str">
        <f t="shared" si="32"/>
        <v>Nobles, MN</v>
      </c>
      <c r="D2086" s="187">
        <v>0.09</v>
      </c>
    </row>
    <row r="2087" spans="1:4">
      <c r="A2087" s="184" t="s">
        <v>3434</v>
      </c>
      <c r="B2087" s="184" t="s">
        <v>2788</v>
      </c>
      <c r="C2087" s="184" t="str">
        <f t="shared" si="32"/>
        <v>Nodaway, MO</v>
      </c>
      <c r="D2087" s="187">
        <v>0.09</v>
      </c>
    </row>
    <row r="2088" spans="1:4">
      <c r="A2088" s="184" t="s">
        <v>3906</v>
      </c>
      <c r="B2088" s="184" t="s">
        <v>336</v>
      </c>
      <c r="C2088" s="184" t="str">
        <f t="shared" si="32"/>
        <v>Nolan, TX</v>
      </c>
      <c r="D2088" s="187">
        <v>4.3999999999999997E-2</v>
      </c>
    </row>
    <row r="2089" spans="1:4">
      <c r="A2089" s="184" t="s">
        <v>988</v>
      </c>
      <c r="B2089" s="184" t="s">
        <v>2979</v>
      </c>
      <c r="C2089" s="184" t="str">
        <f t="shared" si="32"/>
        <v>Nome, AK</v>
      </c>
      <c r="D2089" s="187">
        <v>0.09</v>
      </c>
    </row>
    <row r="2090" spans="1:4">
      <c r="A2090" s="184" t="s">
        <v>1228</v>
      </c>
      <c r="B2090" s="184" t="s">
        <v>1009</v>
      </c>
      <c r="C2090" s="184" t="str">
        <f t="shared" si="32"/>
        <v>Norfolk, MA</v>
      </c>
      <c r="D2090" s="187">
        <v>4.4999999999999998E-2</v>
      </c>
    </row>
    <row r="2091" spans="1:4">
      <c r="A2091" s="184" t="s">
        <v>746</v>
      </c>
      <c r="B2091" s="184" t="s">
        <v>3176</v>
      </c>
      <c r="C2091" s="184" t="str">
        <f t="shared" si="32"/>
        <v>Norfolk City, VA</v>
      </c>
      <c r="D2091" s="187">
        <v>6.0999999999999999E-2</v>
      </c>
    </row>
    <row r="2092" spans="1:4">
      <c r="A2092" s="184" t="s">
        <v>3429</v>
      </c>
      <c r="B2092" s="184" t="s">
        <v>1503</v>
      </c>
      <c r="C2092" s="184" t="str">
        <f t="shared" si="32"/>
        <v>Norman, MN</v>
      </c>
      <c r="D2092" s="187">
        <v>0.09</v>
      </c>
    </row>
    <row r="2093" spans="1:4">
      <c r="A2093" s="184" t="s">
        <v>988</v>
      </c>
      <c r="B2093" s="184" t="s">
        <v>2980</v>
      </c>
      <c r="C2093" s="184" t="str">
        <f t="shared" si="32"/>
        <v>North Slope, AK</v>
      </c>
      <c r="D2093" s="187">
        <v>6.0999999999999999E-2</v>
      </c>
    </row>
    <row r="2094" spans="1:4">
      <c r="A2094" s="184" t="s">
        <v>2542</v>
      </c>
      <c r="B2094" s="184" t="s">
        <v>3290</v>
      </c>
      <c r="C2094" s="184" t="str">
        <f t="shared" si="32"/>
        <v>Northampton, NC</v>
      </c>
      <c r="D2094" s="187">
        <v>4.3999999999999997E-2</v>
      </c>
    </row>
    <row r="2095" spans="1:4">
      <c r="A2095" s="184" t="s">
        <v>3356</v>
      </c>
      <c r="B2095" s="184" t="s">
        <v>3290</v>
      </c>
      <c r="C2095" s="184" t="str">
        <f t="shared" si="32"/>
        <v>Northampton, PA</v>
      </c>
      <c r="D2095" s="187">
        <v>6.0999999999999999E-2</v>
      </c>
    </row>
    <row r="2096" spans="1:4">
      <c r="A2096" s="184" t="s">
        <v>746</v>
      </c>
      <c r="B2096" s="184" t="s">
        <v>3290</v>
      </c>
      <c r="C2096" s="184" t="str">
        <f t="shared" si="32"/>
        <v>Northampton, VA</v>
      </c>
      <c r="D2096" s="187">
        <v>4.3999999999999997E-2</v>
      </c>
    </row>
    <row r="2097" spans="1:4">
      <c r="A2097" s="184" t="s">
        <v>3356</v>
      </c>
      <c r="B2097" s="184" t="s">
        <v>831</v>
      </c>
      <c r="C2097" s="184" t="str">
        <f t="shared" si="32"/>
        <v>Northumberland, PA</v>
      </c>
      <c r="D2097" s="187">
        <v>5.7000000000000002E-2</v>
      </c>
    </row>
    <row r="2098" spans="1:4">
      <c r="A2098" s="184" t="s">
        <v>746</v>
      </c>
      <c r="B2098" s="184" t="s">
        <v>831</v>
      </c>
      <c r="C2098" s="184" t="str">
        <f t="shared" si="32"/>
        <v>Northumberland, VA</v>
      </c>
      <c r="D2098" s="187">
        <v>4.3999999999999997E-2</v>
      </c>
    </row>
    <row r="2099" spans="1:4">
      <c r="A2099" s="184" t="s">
        <v>988</v>
      </c>
      <c r="B2099" s="184" t="s">
        <v>2981</v>
      </c>
      <c r="C2099" s="184" t="str">
        <f t="shared" si="32"/>
        <v>Northwest Arctic, AK</v>
      </c>
      <c r="D2099" s="187">
        <v>0.09</v>
      </c>
    </row>
    <row r="2100" spans="1:4">
      <c r="A2100" s="184" t="s">
        <v>663</v>
      </c>
      <c r="B2100" s="184" t="s">
        <v>1458</v>
      </c>
      <c r="C2100" s="184" t="str">
        <f t="shared" si="32"/>
        <v>Norton, KS</v>
      </c>
      <c r="D2100" s="187">
        <v>0.09</v>
      </c>
    </row>
    <row r="2101" spans="1:4">
      <c r="A2101" s="184" t="s">
        <v>746</v>
      </c>
      <c r="B2101" s="184" t="s">
        <v>2884</v>
      </c>
      <c r="C2101" s="184" t="str">
        <f t="shared" si="32"/>
        <v>Norton City, VA</v>
      </c>
      <c r="D2101" s="187" t="s">
        <v>3930</v>
      </c>
    </row>
    <row r="2102" spans="1:4">
      <c r="A2102" s="184" t="s">
        <v>746</v>
      </c>
      <c r="B2102" s="184" t="s">
        <v>832</v>
      </c>
      <c r="C2102" s="184" t="str">
        <f t="shared" si="32"/>
        <v>Nottoway, VA</v>
      </c>
      <c r="D2102" s="187">
        <v>4.3999999999999997E-2</v>
      </c>
    </row>
    <row r="2103" spans="1:4">
      <c r="A2103" s="184" t="s">
        <v>2573</v>
      </c>
      <c r="B2103" s="184" t="s">
        <v>454</v>
      </c>
      <c r="C2103" s="184" t="str">
        <f t="shared" si="32"/>
        <v>Nowata, OK</v>
      </c>
      <c r="D2103" s="187">
        <v>0.09</v>
      </c>
    </row>
    <row r="2104" spans="1:4">
      <c r="A2104" s="184" t="s">
        <v>3035</v>
      </c>
      <c r="B2104" s="184" t="s">
        <v>2424</v>
      </c>
      <c r="C2104" s="184" t="str">
        <f t="shared" si="32"/>
        <v>Noxubee, MS</v>
      </c>
      <c r="D2104" s="187">
        <v>5.7000000000000002E-2</v>
      </c>
    </row>
    <row r="2105" spans="1:4">
      <c r="A2105" s="184" t="s">
        <v>3442</v>
      </c>
      <c r="B2105" s="184" t="s">
        <v>1116</v>
      </c>
      <c r="C2105" s="184" t="str">
        <f t="shared" si="32"/>
        <v>Nuckolls, NE</v>
      </c>
      <c r="D2105" s="187">
        <v>0.09</v>
      </c>
    </row>
    <row r="2106" spans="1:4">
      <c r="A2106" s="184" t="s">
        <v>3906</v>
      </c>
      <c r="B2106" s="184" t="s">
        <v>505</v>
      </c>
      <c r="C2106" s="184" t="str">
        <f t="shared" si="32"/>
        <v>Nueces, TX</v>
      </c>
      <c r="D2106" s="187">
        <v>4.3999999999999997E-2</v>
      </c>
    </row>
    <row r="2107" spans="1:4">
      <c r="A2107" s="184" t="s">
        <v>3043</v>
      </c>
      <c r="B2107" s="184" t="s">
        <v>3045</v>
      </c>
      <c r="C2107" s="184" t="str">
        <f t="shared" si="32"/>
        <v>Nye, NV</v>
      </c>
      <c r="D2107" s="187">
        <v>6.0999999999999999E-2</v>
      </c>
    </row>
    <row r="2108" spans="1:4">
      <c r="A2108" s="184" t="s">
        <v>2090</v>
      </c>
      <c r="B2108" s="184" t="s">
        <v>2759</v>
      </c>
      <c r="C2108" s="184" t="str">
        <f t="shared" si="32"/>
        <v>Oakland, MI</v>
      </c>
      <c r="D2108" s="187">
        <v>6.0999999999999999E-2</v>
      </c>
    </row>
    <row r="2109" spans="1:4">
      <c r="A2109" s="184" t="s">
        <v>699</v>
      </c>
      <c r="B2109" s="184" t="s">
        <v>963</v>
      </c>
      <c r="C2109" s="184" t="str">
        <f t="shared" si="32"/>
        <v>Obion, TN</v>
      </c>
      <c r="D2109" s="187">
        <v>0.09</v>
      </c>
    </row>
    <row r="2110" spans="1:4">
      <c r="A2110" s="184" t="s">
        <v>2031</v>
      </c>
      <c r="B2110" s="184" t="s">
        <v>1978</v>
      </c>
      <c r="C2110" s="184" t="str">
        <f t="shared" si="32"/>
        <v>O'Brien, IA</v>
      </c>
      <c r="D2110" s="187">
        <v>0.09</v>
      </c>
    </row>
    <row r="2111" spans="1:4">
      <c r="A2111" s="184" t="s">
        <v>3444</v>
      </c>
      <c r="B2111" s="184" t="s">
        <v>3618</v>
      </c>
      <c r="C2111" s="184" t="str">
        <f t="shared" si="32"/>
        <v>Ocean, NJ</v>
      </c>
      <c r="D2111" s="187">
        <v>6.0999999999999999E-2</v>
      </c>
    </row>
    <row r="2112" spans="1:4">
      <c r="A2112" s="184" t="s">
        <v>2090</v>
      </c>
      <c r="B2112" s="184" t="s">
        <v>2098</v>
      </c>
      <c r="C2112" s="184" t="str">
        <f t="shared" si="32"/>
        <v>Oceana, MI</v>
      </c>
      <c r="D2112" s="187">
        <v>0.09</v>
      </c>
    </row>
    <row r="2113" spans="1:4">
      <c r="A2113" s="184" t="s">
        <v>3906</v>
      </c>
      <c r="B2113" s="184" t="s">
        <v>337</v>
      </c>
      <c r="C2113" s="184" t="str">
        <f t="shared" si="32"/>
        <v>Ochiltree, TX</v>
      </c>
      <c r="D2113" s="187">
        <v>4.3999999999999997E-2</v>
      </c>
    </row>
    <row r="2114" spans="1:4">
      <c r="A2114" s="184" t="s">
        <v>3602</v>
      </c>
      <c r="B2114" s="184" t="s">
        <v>3302</v>
      </c>
      <c r="C2114" s="184" t="str">
        <f t="shared" si="32"/>
        <v>Oconee, GA</v>
      </c>
      <c r="D2114" s="187">
        <v>4.3999999999999997E-2</v>
      </c>
    </row>
    <row r="2115" spans="1:4">
      <c r="A2115" s="184" t="s">
        <v>1942</v>
      </c>
      <c r="B2115" s="184" t="s">
        <v>3302</v>
      </c>
      <c r="C2115" s="184" t="str">
        <f t="shared" si="32"/>
        <v>Oconee, SC</v>
      </c>
      <c r="D2115" s="187">
        <v>4.3999999999999997E-2</v>
      </c>
    </row>
    <row r="2116" spans="1:4">
      <c r="A2116" s="184" t="s">
        <v>550</v>
      </c>
      <c r="B2116" s="184" t="s">
        <v>856</v>
      </c>
      <c r="C2116" s="184" t="str">
        <f t="shared" si="32"/>
        <v>Oconto, WI</v>
      </c>
      <c r="D2116" s="187">
        <v>0.09</v>
      </c>
    </row>
    <row r="2117" spans="1:4">
      <c r="A2117" s="184" t="s">
        <v>2090</v>
      </c>
      <c r="B2117" s="184" t="s">
        <v>3477</v>
      </c>
      <c r="C2117" s="184" t="str">
        <f t="shared" si="32"/>
        <v>Ogemaw, MI</v>
      </c>
      <c r="D2117" s="187">
        <v>0.09</v>
      </c>
    </row>
    <row r="2118" spans="1:4">
      <c r="A2118" s="184" t="s">
        <v>2019</v>
      </c>
      <c r="B2118" s="184" t="s">
        <v>3451</v>
      </c>
      <c r="C2118" s="184" t="str">
        <f t="shared" ref="C2118:C2181" si="33">B2118&amp;", "&amp;A2118</f>
        <v>Ogle, IL</v>
      </c>
      <c r="D2118" s="187">
        <v>5.7000000000000002E-2</v>
      </c>
    </row>
    <row r="2119" spans="1:4">
      <c r="A2119" s="184" t="s">
        <v>3602</v>
      </c>
      <c r="B2119" s="184" t="s">
        <v>236</v>
      </c>
      <c r="C2119" s="184" t="str">
        <f t="shared" si="33"/>
        <v>Oglethorpe, GA</v>
      </c>
      <c r="D2119" s="187">
        <v>4.3999999999999997E-2</v>
      </c>
    </row>
    <row r="2120" spans="1:4">
      <c r="A2120" s="184" t="s">
        <v>2021</v>
      </c>
      <c r="B2120" s="184" t="s">
        <v>2320</v>
      </c>
      <c r="C2120" s="184" t="str">
        <f t="shared" si="33"/>
        <v>Ohio, IN</v>
      </c>
      <c r="D2120" s="187">
        <v>6.0999999999999999E-2</v>
      </c>
    </row>
    <row r="2121" spans="1:4">
      <c r="A2121" s="184" t="s">
        <v>529</v>
      </c>
      <c r="B2121" s="184" t="s">
        <v>2320</v>
      </c>
      <c r="C2121" s="184" t="str">
        <f t="shared" si="33"/>
        <v>Ohio, KY</v>
      </c>
      <c r="D2121" s="187">
        <v>0.09</v>
      </c>
    </row>
    <row r="2122" spans="1:4">
      <c r="A2122" s="184" t="s">
        <v>542</v>
      </c>
      <c r="B2122" s="184" t="s">
        <v>2320</v>
      </c>
      <c r="C2122" s="184" t="str">
        <f t="shared" si="33"/>
        <v>Ohio, WV</v>
      </c>
      <c r="D2122" s="187">
        <v>5.7000000000000002E-2</v>
      </c>
    </row>
    <row r="2123" spans="1:4">
      <c r="A2123" s="184" t="s">
        <v>3594</v>
      </c>
      <c r="B2123" s="184" t="s">
        <v>3598</v>
      </c>
      <c r="C2123" s="184" t="str">
        <f t="shared" si="33"/>
        <v>Okaloosa, FL</v>
      </c>
      <c r="D2123" s="187">
        <v>6.0999999999999999E-2</v>
      </c>
    </row>
    <row r="2124" spans="1:4">
      <c r="A2124" s="184" t="s">
        <v>1278</v>
      </c>
      <c r="B2124" s="184" t="s">
        <v>3320</v>
      </c>
      <c r="C2124" s="184" t="str">
        <f t="shared" si="33"/>
        <v>Okanogan, WA</v>
      </c>
      <c r="D2124" s="187">
        <v>0.09</v>
      </c>
    </row>
    <row r="2125" spans="1:4">
      <c r="A2125" s="184" t="s">
        <v>3594</v>
      </c>
      <c r="B2125" s="184" t="s">
        <v>203</v>
      </c>
      <c r="C2125" s="184" t="str">
        <f t="shared" si="33"/>
        <v>Okeechobee, FL</v>
      </c>
      <c r="D2125" s="187">
        <v>4.3999999999999997E-2</v>
      </c>
    </row>
    <row r="2126" spans="1:4">
      <c r="A2126" s="184" t="s">
        <v>2573</v>
      </c>
      <c r="B2126" s="184" t="s">
        <v>455</v>
      </c>
      <c r="C2126" s="184" t="str">
        <f t="shared" si="33"/>
        <v>Okfuskee, OK</v>
      </c>
      <c r="D2126" s="187">
        <v>0.09</v>
      </c>
    </row>
    <row r="2127" spans="1:4">
      <c r="A2127" s="184" t="s">
        <v>2573</v>
      </c>
      <c r="B2127" s="184" t="s">
        <v>3350</v>
      </c>
      <c r="C2127" s="184" t="str">
        <f t="shared" si="33"/>
        <v>Oklahoma, OK</v>
      </c>
      <c r="D2127" s="187">
        <v>0.09</v>
      </c>
    </row>
    <row r="2128" spans="1:4">
      <c r="A2128" s="184" t="s">
        <v>2573</v>
      </c>
      <c r="B2128" s="184" t="s">
        <v>456</v>
      </c>
      <c r="C2128" s="184" t="str">
        <f t="shared" si="33"/>
        <v>Okmulgee, OK</v>
      </c>
      <c r="D2128" s="187">
        <v>0.09</v>
      </c>
    </row>
    <row r="2129" spans="1:4">
      <c r="A2129" s="184" t="s">
        <v>3035</v>
      </c>
      <c r="B2129" s="184" t="s">
        <v>3846</v>
      </c>
      <c r="C2129" s="184" t="str">
        <f t="shared" si="33"/>
        <v>Oktibbeha, MS</v>
      </c>
      <c r="D2129" s="187">
        <v>4.3999999999999997E-2</v>
      </c>
    </row>
    <row r="2130" spans="1:4">
      <c r="A2130" s="184" t="s">
        <v>529</v>
      </c>
      <c r="B2130" s="184" t="s">
        <v>922</v>
      </c>
      <c r="C2130" s="184" t="str">
        <f t="shared" si="33"/>
        <v>Oldham, KY</v>
      </c>
      <c r="D2130" s="187">
        <v>6.0999999999999999E-2</v>
      </c>
    </row>
    <row r="2131" spans="1:4">
      <c r="A2131" s="184" t="s">
        <v>3906</v>
      </c>
      <c r="B2131" s="184" t="s">
        <v>922</v>
      </c>
      <c r="C2131" s="184" t="str">
        <f t="shared" si="33"/>
        <v>Oldham, TX</v>
      </c>
      <c r="D2131" s="187">
        <v>4.3999999999999997E-2</v>
      </c>
    </row>
    <row r="2132" spans="1:4">
      <c r="A2132" s="184" t="s">
        <v>2558</v>
      </c>
      <c r="B2132" s="184" t="s">
        <v>193</v>
      </c>
      <c r="C2132" s="184" t="str">
        <f t="shared" si="33"/>
        <v>Oliver, ND</v>
      </c>
      <c r="D2132" s="187">
        <v>0.09</v>
      </c>
    </row>
    <row r="2133" spans="1:4">
      <c r="A2133" s="184" t="s">
        <v>3429</v>
      </c>
      <c r="B2133" s="184" t="s">
        <v>2766</v>
      </c>
      <c r="C2133" s="184" t="str">
        <f t="shared" si="33"/>
        <v>Olmsted, MN</v>
      </c>
      <c r="D2133" s="187">
        <v>6.0999999999999999E-2</v>
      </c>
    </row>
    <row r="2134" spans="1:4">
      <c r="A2134" s="184" t="s">
        <v>3875</v>
      </c>
      <c r="B2134" s="184" t="s">
        <v>1272</v>
      </c>
      <c r="C2134" s="184" t="str">
        <f t="shared" si="33"/>
        <v>Oneida, ID</v>
      </c>
      <c r="D2134" s="187">
        <v>4.3999999999999997E-2</v>
      </c>
    </row>
    <row r="2135" spans="1:4">
      <c r="A2135" s="184" t="s">
        <v>3446</v>
      </c>
      <c r="B2135" s="184" t="s">
        <v>1272</v>
      </c>
      <c r="C2135" s="184" t="str">
        <f t="shared" si="33"/>
        <v>Oneida, NY</v>
      </c>
      <c r="D2135" s="187">
        <v>5.7000000000000002E-2</v>
      </c>
    </row>
    <row r="2136" spans="1:4">
      <c r="A2136" s="184" t="s">
        <v>550</v>
      </c>
      <c r="B2136" s="184" t="s">
        <v>1272</v>
      </c>
      <c r="C2136" s="184" t="str">
        <f t="shared" si="33"/>
        <v>Oneida, WI</v>
      </c>
      <c r="D2136" s="187">
        <v>0.09</v>
      </c>
    </row>
    <row r="2137" spans="1:4">
      <c r="A2137" s="184" t="s">
        <v>3446</v>
      </c>
      <c r="B2137" s="184" t="s">
        <v>2554</v>
      </c>
      <c r="C2137" s="184" t="str">
        <f t="shared" si="33"/>
        <v>Onondaga, NY</v>
      </c>
      <c r="D2137" s="187">
        <v>0.09</v>
      </c>
    </row>
    <row r="2138" spans="1:4">
      <c r="A2138" s="184" t="s">
        <v>2542</v>
      </c>
      <c r="B2138" s="184" t="s">
        <v>1379</v>
      </c>
      <c r="C2138" s="184" t="str">
        <f t="shared" si="33"/>
        <v>Onslow, NC</v>
      </c>
      <c r="D2138" s="187">
        <v>4.3999999999999997E-2</v>
      </c>
    </row>
    <row r="2139" spans="1:4">
      <c r="A2139" s="184" t="s">
        <v>3446</v>
      </c>
      <c r="B2139" s="184" t="s">
        <v>3532</v>
      </c>
      <c r="C2139" s="184" t="str">
        <f t="shared" si="33"/>
        <v>Ontario, NY</v>
      </c>
      <c r="D2139" s="187">
        <v>3.5000000000000003E-2</v>
      </c>
    </row>
    <row r="2140" spans="1:4">
      <c r="A2140" s="184" t="s">
        <v>2090</v>
      </c>
      <c r="B2140" s="184" t="s">
        <v>3478</v>
      </c>
      <c r="C2140" s="184" t="str">
        <f t="shared" si="33"/>
        <v>Ontonagon, MI</v>
      </c>
      <c r="D2140" s="187">
        <v>0.09</v>
      </c>
    </row>
    <row r="2141" spans="1:4">
      <c r="A2141" s="184" t="s">
        <v>3106</v>
      </c>
      <c r="B2141" s="184" t="s">
        <v>2555</v>
      </c>
      <c r="C2141" s="184" t="str">
        <f t="shared" si="33"/>
        <v>Orange, CA</v>
      </c>
      <c r="D2141" s="187">
        <v>2.4E-2</v>
      </c>
    </row>
    <row r="2142" spans="1:4">
      <c r="A2142" s="184" t="s">
        <v>3594</v>
      </c>
      <c r="B2142" s="184" t="s">
        <v>2555</v>
      </c>
      <c r="C2142" s="184" t="str">
        <f t="shared" si="33"/>
        <v>Orange, FL</v>
      </c>
      <c r="D2142" s="187">
        <v>5.7000000000000002E-2</v>
      </c>
    </row>
    <row r="2143" spans="1:4">
      <c r="A2143" s="184" t="s">
        <v>2021</v>
      </c>
      <c r="B2143" s="184" t="s">
        <v>2555</v>
      </c>
      <c r="C2143" s="184" t="str">
        <f t="shared" si="33"/>
        <v>Orange, IN</v>
      </c>
      <c r="D2143" s="187">
        <v>0.09</v>
      </c>
    </row>
    <row r="2144" spans="1:4">
      <c r="A2144" s="184" t="s">
        <v>2542</v>
      </c>
      <c r="B2144" s="184" t="s">
        <v>2555</v>
      </c>
      <c r="C2144" s="184" t="str">
        <f t="shared" si="33"/>
        <v>Orange, NC</v>
      </c>
      <c r="D2144" s="187">
        <v>6.0999999999999999E-2</v>
      </c>
    </row>
    <row r="2145" spans="1:4">
      <c r="A2145" s="184" t="s">
        <v>3446</v>
      </c>
      <c r="B2145" s="184" t="s">
        <v>2555</v>
      </c>
      <c r="C2145" s="184" t="str">
        <f t="shared" si="33"/>
        <v>Orange, NY</v>
      </c>
      <c r="D2145" s="187">
        <v>0.09</v>
      </c>
    </row>
    <row r="2146" spans="1:4">
      <c r="A2146" s="184" t="s">
        <v>3906</v>
      </c>
      <c r="B2146" s="184" t="s">
        <v>2555</v>
      </c>
      <c r="C2146" s="184" t="str">
        <f t="shared" si="33"/>
        <v>Orange, TX</v>
      </c>
      <c r="D2146" s="187">
        <v>4.3999999999999997E-2</v>
      </c>
    </row>
    <row r="2147" spans="1:4">
      <c r="A2147" s="184" t="s">
        <v>746</v>
      </c>
      <c r="B2147" s="184" t="s">
        <v>2555</v>
      </c>
      <c r="C2147" s="184" t="str">
        <f t="shared" si="33"/>
        <v>Orange, VA</v>
      </c>
      <c r="D2147" s="187">
        <v>4.3999999999999997E-2</v>
      </c>
    </row>
    <row r="2148" spans="1:4">
      <c r="A2148" s="184" t="s">
        <v>2509</v>
      </c>
      <c r="B2148" s="184" t="s">
        <v>2555</v>
      </c>
      <c r="C2148" s="184" t="str">
        <f t="shared" si="33"/>
        <v>Orange, VT</v>
      </c>
      <c r="D2148" s="187">
        <v>0.09</v>
      </c>
    </row>
    <row r="2149" spans="1:4">
      <c r="A2149" s="184" t="s">
        <v>1942</v>
      </c>
      <c r="B2149" s="184" t="s">
        <v>80</v>
      </c>
      <c r="C2149" s="184" t="str">
        <f t="shared" si="33"/>
        <v>Orangeburg, SC</v>
      </c>
      <c r="D2149" s="187">
        <v>4.3999999999999997E-2</v>
      </c>
    </row>
    <row r="2150" spans="1:4">
      <c r="A2150" s="184" t="s">
        <v>3434</v>
      </c>
      <c r="B2150" s="184" t="s">
        <v>2789</v>
      </c>
      <c r="C2150" s="184" t="str">
        <f t="shared" si="33"/>
        <v>Oregon, MO</v>
      </c>
      <c r="D2150" s="187">
        <v>0.09</v>
      </c>
    </row>
    <row r="2151" spans="1:4">
      <c r="A2151" s="184" t="s">
        <v>535</v>
      </c>
      <c r="B2151" s="184" t="s">
        <v>2515</v>
      </c>
      <c r="C2151" s="184" t="str">
        <f t="shared" si="33"/>
        <v>Orleans, LA</v>
      </c>
      <c r="D2151" s="187">
        <v>3.5000000000000003E-2</v>
      </c>
    </row>
    <row r="2152" spans="1:4">
      <c r="A2152" s="184" t="s">
        <v>3446</v>
      </c>
      <c r="B2152" s="184" t="s">
        <v>2515</v>
      </c>
      <c r="C2152" s="184" t="str">
        <f t="shared" si="33"/>
        <v>Orleans, NY</v>
      </c>
      <c r="D2152" s="187">
        <v>3.5000000000000003E-2</v>
      </c>
    </row>
    <row r="2153" spans="1:4">
      <c r="A2153" s="184" t="s">
        <v>2509</v>
      </c>
      <c r="B2153" s="184" t="s">
        <v>2515</v>
      </c>
      <c r="C2153" s="184" t="str">
        <f t="shared" si="33"/>
        <v>Orleans, VT</v>
      </c>
      <c r="D2153" s="187">
        <v>0.09</v>
      </c>
    </row>
    <row r="2154" spans="1:4">
      <c r="A2154" s="184" t="s">
        <v>663</v>
      </c>
      <c r="B2154" s="184" t="s">
        <v>3069</v>
      </c>
      <c r="C2154" s="184" t="str">
        <f t="shared" si="33"/>
        <v>Osage, KS</v>
      </c>
      <c r="D2154" s="187">
        <v>0.09</v>
      </c>
    </row>
    <row r="2155" spans="1:4">
      <c r="A2155" s="184" t="s">
        <v>3434</v>
      </c>
      <c r="B2155" s="184" t="s">
        <v>3069</v>
      </c>
      <c r="C2155" s="184" t="str">
        <f t="shared" si="33"/>
        <v>Osage, MO</v>
      </c>
      <c r="D2155" s="187">
        <v>0.09</v>
      </c>
    </row>
    <row r="2156" spans="1:4">
      <c r="A2156" s="184" t="s">
        <v>2573</v>
      </c>
      <c r="B2156" s="184" t="s">
        <v>3069</v>
      </c>
      <c r="C2156" s="184" t="str">
        <f t="shared" si="33"/>
        <v>Osage, OK</v>
      </c>
      <c r="D2156" s="187">
        <v>6.0999999999999999E-2</v>
      </c>
    </row>
    <row r="2157" spans="1:4">
      <c r="A2157" s="184" t="s">
        <v>663</v>
      </c>
      <c r="B2157" s="184" t="s">
        <v>1459</v>
      </c>
      <c r="C2157" s="184" t="str">
        <f t="shared" si="33"/>
        <v>Osborne, KS</v>
      </c>
      <c r="D2157" s="187">
        <v>0.09</v>
      </c>
    </row>
    <row r="2158" spans="1:4">
      <c r="A2158" s="184" t="s">
        <v>3594</v>
      </c>
      <c r="B2158" s="184" t="s">
        <v>1979</v>
      </c>
      <c r="C2158" s="184" t="str">
        <f t="shared" si="33"/>
        <v>Osceola, FL</v>
      </c>
      <c r="D2158" s="187">
        <v>2.1999999999999999E-2</v>
      </c>
    </row>
    <row r="2159" spans="1:4">
      <c r="A2159" s="184" t="s">
        <v>2031</v>
      </c>
      <c r="B2159" s="184" t="s">
        <v>1979</v>
      </c>
      <c r="C2159" s="184" t="str">
        <f t="shared" si="33"/>
        <v>Osceola, IA</v>
      </c>
      <c r="D2159" s="187">
        <v>0.09</v>
      </c>
    </row>
    <row r="2160" spans="1:4">
      <c r="A2160" s="184" t="s">
        <v>2090</v>
      </c>
      <c r="B2160" s="184" t="s">
        <v>1979</v>
      </c>
      <c r="C2160" s="184" t="str">
        <f t="shared" si="33"/>
        <v>Osceola, MI</v>
      </c>
      <c r="D2160" s="187">
        <v>0.09</v>
      </c>
    </row>
    <row r="2161" spans="1:4">
      <c r="A2161" s="184" t="s">
        <v>2090</v>
      </c>
      <c r="B2161" s="184" t="s">
        <v>3479</v>
      </c>
      <c r="C2161" s="184" t="str">
        <f t="shared" si="33"/>
        <v>Oscoda, MI</v>
      </c>
      <c r="D2161" s="187">
        <v>0.09</v>
      </c>
    </row>
    <row r="2162" spans="1:4">
      <c r="A2162" s="184" t="s">
        <v>3446</v>
      </c>
      <c r="B2162" s="184" t="s">
        <v>2556</v>
      </c>
      <c r="C2162" s="184" t="str">
        <f t="shared" si="33"/>
        <v>Oswego, NY</v>
      </c>
      <c r="D2162" s="187">
        <v>0.09</v>
      </c>
    </row>
    <row r="2163" spans="1:4">
      <c r="A2163" s="184" t="s">
        <v>3108</v>
      </c>
      <c r="B2163" s="184" t="s">
        <v>1166</v>
      </c>
      <c r="C2163" s="184" t="str">
        <f t="shared" si="33"/>
        <v>Otero, CO</v>
      </c>
      <c r="D2163" s="187">
        <v>4.3999999999999997E-2</v>
      </c>
    </row>
    <row r="2164" spans="1:4">
      <c r="A2164" s="184" t="s">
        <v>3622</v>
      </c>
      <c r="B2164" s="184" t="s">
        <v>1166</v>
      </c>
      <c r="C2164" s="184" t="str">
        <f t="shared" si="33"/>
        <v>Otero, NM</v>
      </c>
      <c r="D2164" s="187">
        <v>4.3999999999999997E-2</v>
      </c>
    </row>
    <row r="2165" spans="1:4">
      <c r="A2165" s="184" t="s">
        <v>3442</v>
      </c>
      <c r="B2165" s="184" t="s">
        <v>1117</v>
      </c>
      <c r="C2165" s="184" t="str">
        <f t="shared" si="33"/>
        <v>Otoe, NE</v>
      </c>
      <c r="D2165" s="187">
        <v>0.09</v>
      </c>
    </row>
    <row r="2166" spans="1:4">
      <c r="A2166" s="184" t="s">
        <v>2090</v>
      </c>
      <c r="B2166" s="184" t="s">
        <v>3480</v>
      </c>
      <c r="C2166" s="184" t="str">
        <f t="shared" si="33"/>
        <v>Otsego, MI</v>
      </c>
      <c r="D2166" s="187">
        <v>0.09</v>
      </c>
    </row>
    <row r="2167" spans="1:4">
      <c r="A2167" s="184" t="s">
        <v>3446</v>
      </c>
      <c r="B2167" s="184" t="s">
        <v>3480</v>
      </c>
      <c r="C2167" s="184" t="str">
        <f t="shared" si="33"/>
        <v>Otsego, NY</v>
      </c>
      <c r="D2167" s="187">
        <v>0.09</v>
      </c>
    </row>
    <row r="2168" spans="1:4">
      <c r="A2168" s="184" t="s">
        <v>663</v>
      </c>
      <c r="B2168" s="184" t="s">
        <v>2760</v>
      </c>
      <c r="C2168" s="184" t="str">
        <f t="shared" si="33"/>
        <v>Ottawa, KS</v>
      </c>
      <c r="D2168" s="187">
        <v>0.09</v>
      </c>
    </row>
    <row r="2169" spans="1:4">
      <c r="A2169" s="184" t="s">
        <v>2090</v>
      </c>
      <c r="B2169" s="184" t="s">
        <v>2760</v>
      </c>
      <c r="C2169" s="184" t="str">
        <f t="shared" si="33"/>
        <v>Ottawa, MI</v>
      </c>
      <c r="D2169" s="187">
        <v>6.0999999999999999E-2</v>
      </c>
    </row>
    <row r="2170" spans="1:4">
      <c r="A2170" s="184" t="s">
        <v>2562</v>
      </c>
      <c r="B2170" s="184" t="s">
        <v>2760</v>
      </c>
      <c r="C2170" s="184" t="str">
        <f t="shared" si="33"/>
        <v>Ottawa, OH</v>
      </c>
      <c r="D2170" s="187">
        <v>0.09</v>
      </c>
    </row>
    <row r="2171" spans="1:4">
      <c r="A2171" s="184" t="s">
        <v>2573</v>
      </c>
      <c r="B2171" s="184" t="s">
        <v>2760</v>
      </c>
      <c r="C2171" s="184" t="str">
        <f t="shared" si="33"/>
        <v>Ottawa, OK</v>
      </c>
      <c r="D2171" s="187">
        <v>0.09</v>
      </c>
    </row>
    <row r="2172" spans="1:4">
      <c r="A2172" s="184" t="s">
        <v>3429</v>
      </c>
      <c r="B2172" s="184" t="s">
        <v>1504</v>
      </c>
      <c r="C2172" s="184" t="str">
        <f t="shared" si="33"/>
        <v>Otter Tail, MN</v>
      </c>
      <c r="D2172" s="187">
        <v>0.09</v>
      </c>
    </row>
    <row r="2173" spans="1:4">
      <c r="A2173" s="184" t="s">
        <v>566</v>
      </c>
      <c r="B2173" s="184" t="s">
        <v>2078</v>
      </c>
      <c r="C2173" s="184" t="str">
        <f t="shared" si="33"/>
        <v>Ouachita, AR</v>
      </c>
      <c r="D2173" s="187">
        <v>4.3999999999999997E-2</v>
      </c>
    </row>
    <row r="2174" spans="1:4">
      <c r="A2174" s="184" t="s">
        <v>535</v>
      </c>
      <c r="B2174" s="184" t="s">
        <v>2078</v>
      </c>
      <c r="C2174" s="184" t="str">
        <f t="shared" si="33"/>
        <v>Ouachita, LA</v>
      </c>
      <c r="D2174" s="187">
        <v>0.09</v>
      </c>
    </row>
    <row r="2175" spans="1:4">
      <c r="A2175" s="184" t="s">
        <v>3108</v>
      </c>
      <c r="B2175" s="184" t="s">
        <v>1167</v>
      </c>
      <c r="C2175" s="184" t="str">
        <f t="shared" si="33"/>
        <v>Ouray, CO</v>
      </c>
      <c r="D2175" s="187">
        <v>4.3999999999999997E-2</v>
      </c>
    </row>
    <row r="2176" spans="1:4">
      <c r="A2176" s="184" t="s">
        <v>550</v>
      </c>
      <c r="B2176" s="184" t="s">
        <v>1004</v>
      </c>
      <c r="C2176" s="184" t="str">
        <f t="shared" si="33"/>
        <v>Outagamie, WI</v>
      </c>
      <c r="D2176" s="187">
        <v>5.7000000000000002E-2</v>
      </c>
    </row>
    <row r="2177" spans="1:4">
      <c r="A2177" s="184" t="s">
        <v>699</v>
      </c>
      <c r="B2177" s="184" t="s">
        <v>964</v>
      </c>
      <c r="C2177" s="184" t="str">
        <f t="shared" si="33"/>
        <v>Overton, TN</v>
      </c>
      <c r="D2177" s="187">
        <v>0.09</v>
      </c>
    </row>
    <row r="2178" spans="1:4">
      <c r="A2178" s="184" t="s">
        <v>2021</v>
      </c>
      <c r="B2178" s="184" t="s">
        <v>2836</v>
      </c>
      <c r="C2178" s="184" t="str">
        <f t="shared" si="33"/>
        <v>Owen, IN</v>
      </c>
      <c r="D2178" s="187">
        <v>0.09</v>
      </c>
    </row>
    <row r="2179" spans="1:4">
      <c r="A2179" s="184" t="s">
        <v>529</v>
      </c>
      <c r="B2179" s="184" t="s">
        <v>2836</v>
      </c>
      <c r="C2179" s="184" t="str">
        <f t="shared" si="33"/>
        <v>Owen, KY</v>
      </c>
      <c r="D2179" s="187">
        <v>0.09</v>
      </c>
    </row>
    <row r="2180" spans="1:4">
      <c r="A2180" s="184" t="s">
        <v>529</v>
      </c>
      <c r="B2180" s="184" t="s">
        <v>949</v>
      </c>
      <c r="C2180" s="184" t="str">
        <f t="shared" si="33"/>
        <v>Owsley, KY</v>
      </c>
      <c r="D2180" s="187">
        <v>3.5000000000000003E-2</v>
      </c>
    </row>
    <row r="2181" spans="1:4">
      <c r="A2181" s="184" t="s">
        <v>3875</v>
      </c>
      <c r="B2181" s="184" t="s">
        <v>1273</v>
      </c>
      <c r="C2181" s="184" t="str">
        <f t="shared" si="33"/>
        <v>Owyhee, ID</v>
      </c>
      <c r="D2181" s="187">
        <v>4.3999999999999997E-2</v>
      </c>
    </row>
    <row r="2182" spans="1:4">
      <c r="A2182" s="184" t="s">
        <v>1922</v>
      </c>
      <c r="B2182" s="184" t="s">
        <v>1221</v>
      </c>
      <c r="C2182" s="184" t="str">
        <f t="shared" ref="C2182:C2245" si="34">B2182&amp;", "&amp;A2182</f>
        <v>Oxford, ME</v>
      </c>
      <c r="D2182" s="187">
        <v>0.09</v>
      </c>
    </row>
    <row r="2183" spans="1:4">
      <c r="A2183" s="184" t="s">
        <v>3434</v>
      </c>
      <c r="B2183" s="184" t="s">
        <v>2790</v>
      </c>
      <c r="C2183" s="184" t="str">
        <f t="shared" si="34"/>
        <v>Ozark, MO</v>
      </c>
      <c r="D2183" s="187">
        <v>0.09</v>
      </c>
    </row>
    <row r="2184" spans="1:4">
      <c r="A2184" s="184" t="s">
        <v>550</v>
      </c>
      <c r="B2184" s="184" t="s">
        <v>1028</v>
      </c>
      <c r="C2184" s="184" t="str">
        <f t="shared" si="34"/>
        <v>Ozaukee, WI</v>
      </c>
      <c r="D2184" s="187">
        <v>6.0999999999999999E-2</v>
      </c>
    </row>
    <row r="2185" spans="1:4">
      <c r="A2185" s="184" t="s">
        <v>1278</v>
      </c>
      <c r="B2185" s="184" t="s">
        <v>1838</v>
      </c>
      <c r="C2185" s="184" t="str">
        <f t="shared" si="34"/>
        <v>Pacific, WA</v>
      </c>
      <c r="D2185" s="187">
        <v>0.09</v>
      </c>
    </row>
    <row r="2186" spans="1:4">
      <c r="A2186" s="184" t="s">
        <v>2031</v>
      </c>
      <c r="B2186" s="184" t="s">
        <v>1980</v>
      </c>
      <c r="C2186" s="184" t="str">
        <f t="shared" si="34"/>
        <v>Page, IA</v>
      </c>
      <c r="D2186" s="187">
        <v>0.09</v>
      </c>
    </row>
    <row r="2187" spans="1:4">
      <c r="A2187" s="184" t="s">
        <v>746</v>
      </c>
      <c r="B2187" s="184" t="s">
        <v>1980</v>
      </c>
      <c r="C2187" s="184" t="str">
        <f t="shared" si="34"/>
        <v>Page, VA</v>
      </c>
      <c r="D2187" s="187">
        <v>4.3999999999999997E-2</v>
      </c>
    </row>
    <row r="2188" spans="1:4">
      <c r="A2188" s="184" t="s">
        <v>3594</v>
      </c>
      <c r="B2188" s="184" t="s">
        <v>586</v>
      </c>
      <c r="C2188" s="184" t="str">
        <f t="shared" si="34"/>
        <v>Palm Beach, FL</v>
      </c>
      <c r="D2188" s="187">
        <v>2.1999999999999999E-2</v>
      </c>
    </row>
    <row r="2189" spans="1:4">
      <c r="A2189" s="184" t="s">
        <v>2031</v>
      </c>
      <c r="B2189" s="184" t="s">
        <v>1981</v>
      </c>
      <c r="C2189" s="184" t="str">
        <f t="shared" si="34"/>
        <v>Palo Alto, IA</v>
      </c>
      <c r="D2189" s="187">
        <v>0.09</v>
      </c>
    </row>
    <row r="2190" spans="1:4">
      <c r="A2190" s="184" t="s">
        <v>3906</v>
      </c>
      <c r="B2190" s="184" t="s">
        <v>338</v>
      </c>
      <c r="C2190" s="184" t="str">
        <f t="shared" si="34"/>
        <v>Palo Pinto, TX</v>
      </c>
      <c r="D2190" s="187">
        <v>4.3999999999999997E-2</v>
      </c>
    </row>
    <row r="2191" spans="1:4">
      <c r="A2191" s="184" t="s">
        <v>2542</v>
      </c>
      <c r="B2191" s="184" t="s">
        <v>3271</v>
      </c>
      <c r="C2191" s="184" t="str">
        <f t="shared" si="34"/>
        <v>Pamlico, NC</v>
      </c>
      <c r="D2191" s="187">
        <v>4.3999999999999997E-2</v>
      </c>
    </row>
    <row r="2192" spans="1:4">
      <c r="A2192" s="184" t="s">
        <v>3035</v>
      </c>
      <c r="B2192" s="184" t="s">
        <v>884</v>
      </c>
      <c r="C2192" s="184" t="str">
        <f t="shared" si="34"/>
        <v>Panola, MS</v>
      </c>
      <c r="D2192" s="187">
        <v>4.3999999999999997E-2</v>
      </c>
    </row>
    <row r="2193" spans="1:4">
      <c r="A2193" s="184" t="s">
        <v>3906</v>
      </c>
      <c r="B2193" s="184" t="s">
        <v>884</v>
      </c>
      <c r="C2193" s="184" t="str">
        <f t="shared" si="34"/>
        <v>Panola, TX</v>
      </c>
      <c r="D2193" s="187">
        <v>4.3999999999999997E-2</v>
      </c>
    </row>
    <row r="2194" spans="1:4">
      <c r="A2194" s="184" t="s">
        <v>3108</v>
      </c>
      <c r="B2194" s="184" t="s">
        <v>1168</v>
      </c>
      <c r="C2194" s="184" t="str">
        <f t="shared" si="34"/>
        <v>Park, CO</v>
      </c>
      <c r="D2194" s="187">
        <v>4.3999999999999997E-2</v>
      </c>
    </row>
    <row r="2195" spans="1:4">
      <c r="A2195" s="184" t="s">
        <v>3438</v>
      </c>
      <c r="B2195" s="184" t="s">
        <v>1168</v>
      </c>
      <c r="C2195" s="184" t="str">
        <f t="shared" si="34"/>
        <v>Park, MT</v>
      </c>
      <c r="D2195" s="187">
        <v>0.09</v>
      </c>
    </row>
    <row r="2196" spans="1:4">
      <c r="A2196" s="184" t="s">
        <v>1033</v>
      </c>
      <c r="B2196" s="184" t="s">
        <v>1168</v>
      </c>
      <c r="C2196" s="184" t="str">
        <f t="shared" si="34"/>
        <v>Park, WY</v>
      </c>
      <c r="D2196" s="187">
        <v>0.09</v>
      </c>
    </row>
    <row r="2197" spans="1:4">
      <c r="A2197" s="184" t="s">
        <v>2021</v>
      </c>
      <c r="B2197" s="184" t="s">
        <v>2837</v>
      </c>
      <c r="C2197" s="184" t="str">
        <f t="shared" si="34"/>
        <v>Parke, IN</v>
      </c>
      <c r="D2197" s="187">
        <v>0.09</v>
      </c>
    </row>
    <row r="2198" spans="1:4">
      <c r="A2198" s="184" t="s">
        <v>3906</v>
      </c>
      <c r="B2198" s="184" t="s">
        <v>998</v>
      </c>
      <c r="C2198" s="184" t="str">
        <f t="shared" si="34"/>
        <v>Parker, TX</v>
      </c>
      <c r="D2198" s="187">
        <v>5.7000000000000002E-2</v>
      </c>
    </row>
    <row r="2199" spans="1:4">
      <c r="A2199" s="184" t="s">
        <v>3906</v>
      </c>
      <c r="B2199" s="184" t="s">
        <v>339</v>
      </c>
      <c r="C2199" s="184" t="str">
        <f t="shared" si="34"/>
        <v>Parmer, TX</v>
      </c>
      <c r="D2199" s="187">
        <v>4.3999999999999997E-2</v>
      </c>
    </row>
    <row r="2200" spans="1:4">
      <c r="A2200" s="184" t="s">
        <v>3594</v>
      </c>
      <c r="B2200" s="184" t="s">
        <v>1199</v>
      </c>
      <c r="C2200" s="184" t="str">
        <f t="shared" si="34"/>
        <v>Pasco, FL</v>
      </c>
      <c r="D2200" s="187">
        <v>2.4E-2</v>
      </c>
    </row>
    <row r="2201" spans="1:4">
      <c r="A2201" s="184" t="s">
        <v>2542</v>
      </c>
      <c r="B2201" s="184" t="s">
        <v>3272</v>
      </c>
      <c r="C2201" s="184" t="str">
        <f t="shared" si="34"/>
        <v>Pasquotank, NC</v>
      </c>
      <c r="D2201" s="187">
        <v>4.3999999999999997E-2</v>
      </c>
    </row>
    <row r="2202" spans="1:4">
      <c r="A2202" s="184" t="s">
        <v>3444</v>
      </c>
      <c r="B2202" s="184" t="s">
        <v>3619</v>
      </c>
      <c r="C2202" s="184" t="str">
        <f t="shared" si="34"/>
        <v>Passaic, NJ</v>
      </c>
      <c r="D2202" s="187">
        <v>6.0999999999999999E-2</v>
      </c>
    </row>
    <row r="2203" spans="1:4">
      <c r="A2203" s="184" t="s">
        <v>746</v>
      </c>
      <c r="B2203" s="184" t="s">
        <v>833</v>
      </c>
      <c r="C2203" s="184" t="str">
        <f t="shared" si="34"/>
        <v>Patrick, VA</v>
      </c>
      <c r="D2203" s="187">
        <v>4.3999999999999997E-2</v>
      </c>
    </row>
    <row r="2204" spans="1:4">
      <c r="A2204" s="184" t="s">
        <v>3602</v>
      </c>
      <c r="B2204" s="184" t="s">
        <v>3869</v>
      </c>
      <c r="C2204" s="184" t="str">
        <f t="shared" si="34"/>
        <v>Paulding, GA</v>
      </c>
      <c r="D2204" s="187">
        <v>6.0999999999999999E-2</v>
      </c>
    </row>
    <row r="2205" spans="1:4">
      <c r="A2205" s="184" t="s">
        <v>2562</v>
      </c>
      <c r="B2205" s="184" t="s">
        <v>3869</v>
      </c>
      <c r="C2205" s="184" t="str">
        <f t="shared" si="34"/>
        <v>Paulding, OH</v>
      </c>
      <c r="D2205" s="187">
        <v>0.09</v>
      </c>
    </row>
    <row r="2206" spans="1:4">
      <c r="A2206" s="184" t="s">
        <v>663</v>
      </c>
      <c r="B2206" s="184" t="s">
        <v>1460</v>
      </c>
      <c r="C2206" s="184" t="str">
        <f t="shared" si="34"/>
        <v>Pawnee, KS</v>
      </c>
      <c r="D2206" s="187">
        <v>0.09</v>
      </c>
    </row>
    <row r="2207" spans="1:4">
      <c r="A2207" s="184" t="s">
        <v>3442</v>
      </c>
      <c r="B2207" s="184" t="s">
        <v>1460</v>
      </c>
      <c r="C2207" s="184" t="str">
        <f t="shared" si="34"/>
        <v>Pawnee, NE</v>
      </c>
      <c r="D2207" s="187">
        <v>0.09</v>
      </c>
    </row>
    <row r="2208" spans="1:4">
      <c r="A2208" s="184" t="s">
        <v>2573</v>
      </c>
      <c r="B2208" s="184" t="s">
        <v>1460</v>
      </c>
      <c r="C2208" s="184" t="str">
        <f t="shared" si="34"/>
        <v>Pawnee, OK</v>
      </c>
      <c r="D2208" s="187">
        <v>0.09</v>
      </c>
    </row>
    <row r="2209" spans="1:4">
      <c r="A2209" s="184" t="s">
        <v>3875</v>
      </c>
      <c r="B2209" s="184" t="s">
        <v>1010</v>
      </c>
      <c r="C2209" s="184" t="str">
        <f t="shared" si="34"/>
        <v>Payette, ID</v>
      </c>
      <c r="D2209" s="187">
        <v>4.3999999999999997E-2</v>
      </c>
    </row>
    <row r="2210" spans="1:4">
      <c r="A2210" s="184" t="s">
        <v>2573</v>
      </c>
      <c r="B2210" s="184" t="s">
        <v>457</v>
      </c>
      <c r="C2210" s="184" t="str">
        <f t="shared" si="34"/>
        <v>Payne, OK</v>
      </c>
      <c r="D2210" s="187">
        <v>0.09</v>
      </c>
    </row>
    <row r="2211" spans="1:4">
      <c r="A2211" s="184" t="s">
        <v>3602</v>
      </c>
      <c r="B2211" s="184" t="s">
        <v>3303</v>
      </c>
      <c r="C2211" s="184" t="str">
        <f t="shared" si="34"/>
        <v>Peach, GA</v>
      </c>
      <c r="D2211" s="187">
        <v>4.3999999999999997E-2</v>
      </c>
    </row>
    <row r="2212" spans="1:4">
      <c r="A2212" s="184" t="s">
        <v>3035</v>
      </c>
      <c r="B2212" s="184" t="s">
        <v>110</v>
      </c>
      <c r="C2212" s="184" t="str">
        <f t="shared" si="34"/>
        <v>Pearl River, MS</v>
      </c>
      <c r="D2212" s="187">
        <v>4.3999999999999997E-2</v>
      </c>
    </row>
    <row r="2213" spans="1:4">
      <c r="A2213" s="184" t="s">
        <v>3906</v>
      </c>
      <c r="B2213" s="184" t="s">
        <v>340</v>
      </c>
      <c r="C2213" s="184" t="str">
        <f t="shared" si="34"/>
        <v>Pecos, TX</v>
      </c>
      <c r="D2213" s="187">
        <v>4.3999999999999997E-2</v>
      </c>
    </row>
    <row r="2214" spans="1:4">
      <c r="A2214" s="184" t="s">
        <v>2558</v>
      </c>
      <c r="B2214" s="184" t="s">
        <v>194</v>
      </c>
      <c r="C2214" s="184" t="str">
        <f t="shared" si="34"/>
        <v>Pembina, ND</v>
      </c>
      <c r="D2214" s="187">
        <v>0.09</v>
      </c>
    </row>
    <row r="2215" spans="1:4">
      <c r="A2215" s="184" t="s">
        <v>3434</v>
      </c>
      <c r="B2215" s="184" t="s">
        <v>16</v>
      </c>
      <c r="C2215" s="184" t="str">
        <f t="shared" si="34"/>
        <v>Pemiscot, MO</v>
      </c>
      <c r="D2215" s="187">
        <v>5.7000000000000002E-2</v>
      </c>
    </row>
    <row r="2216" spans="1:4">
      <c r="A2216" s="184" t="s">
        <v>1278</v>
      </c>
      <c r="B2216" s="184" t="s">
        <v>1839</v>
      </c>
      <c r="C2216" s="184" t="str">
        <f t="shared" si="34"/>
        <v>Pend Oreille, WA</v>
      </c>
      <c r="D2216" s="187">
        <v>0.09</v>
      </c>
    </row>
    <row r="2217" spans="1:4">
      <c r="A2217" s="184" t="s">
        <v>2542</v>
      </c>
      <c r="B2217" s="184" t="s">
        <v>3273</v>
      </c>
      <c r="C2217" s="184" t="str">
        <f t="shared" si="34"/>
        <v>Pender, NC</v>
      </c>
      <c r="D2217" s="187">
        <v>4.3999999999999997E-2</v>
      </c>
    </row>
    <row r="2218" spans="1:4">
      <c r="A2218" s="184" t="s">
        <v>529</v>
      </c>
      <c r="B2218" s="184" t="s">
        <v>923</v>
      </c>
      <c r="C2218" s="184" t="str">
        <f t="shared" si="34"/>
        <v>Pendleton, KY</v>
      </c>
      <c r="D2218" s="187">
        <v>6.0999999999999999E-2</v>
      </c>
    </row>
    <row r="2219" spans="1:4">
      <c r="A2219" s="184" t="s">
        <v>542</v>
      </c>
      <c r="B2219" s="184" t="s">
        <v>923</v>
      </c>
      <c r="C2219" s="184" t="str">
        <f t="shared" si="34"/>
        <v>Pendleton, WV</v>
      </c>
      <c r="D2219" s="187">
        <v>0.09</v>
      </c>
    </row>
    <row r="2220" spans="1:4">
      <c r="A2220" s="184" t="s">
        <v>3429</v>
      </c>
      <c r="B2220" s="184" t="s">
        <v>1946</v>
      </c>
      <c r="C2220" s="184" t="str">
        <f t="shared" si="34"/>
        <v>Pennington, MN</v>
      </c>
      <c r="D2220" s="187">
        <v>0.09</v>
      </c>
    </row>
    <row r="2221" spans="1:4">
      <c r="A2221" s="184" t="s">
        <v>1944</v>
      </c>
      <c r="B2221" s="184" t="s">
        <v>1946</v>
      </c>
      <c r="C2221" s="184" t="str">
        <f t="shared" si="34"/>
        <v>Pennington, SD</v>
      </c>
      <c r="D2221" s="187">
        <v>6.0999999999999999E-2</v>
      </c>
    </row>
    <row r="2222" spans="1:4">
      <c r="A2222" s="184" t="s">
        <v>1922</v>
      </c>
      <c r="B2222" s="184" t="s">
        <v>2416</v>
      </c>
      <c r="C2222" s="184" t="str">
        <f t="shared" si="34"/>
        <v>Penobscot, ME</v>
      </c>
      <c r="D2222" s="187">
        <v>5.7000000000000002E-2</v>
      </c>
    </row>
    <row r="2223" spans="1:4">
      <c r="A2223" s="184" t="s">
        <v>2019</v>
      </c>
      <c r="B2223" s="184" t="s">
        <v>1611</v>
      </c>
      <c r="C2223" s="184" t="str">
        <f t="shared" si="34"/>
        <v>Peoria, IL</v>
      </c>
      <c r="D2223" s="187">
        <v>6.0999999999999999E-2</v>
      </c>
    </row>
    <row r="2224" spans="1:4">
      <c r="A2224" s="184" t="s">
        <v>550</v>
      </c>
      <c r="B2224" s="184" t="s">
        <v>857</v>
      </c>
      <c r="C2224" s="184" t="str">
        <f t="shared" si="34"/>
        <v>Pepin, WI</v>
      </c>
      <c r="D2224" s="187">
        <v>0.09</v>
      </c>
    </row>
    <row r="2225" spans="1:4">
      <c r="A2225" s="184" t="s">
        <v>3442</v>
      </c>
      <c r="B2225" s="184" t="s">
        <v>1118</v>
      </c>
      <c r="C2225" s="184" t="str">
        <f t="shared" si="34"/>
        <v>Perkins, NE</v>
      </c>
      <c r="D2225" s="187">
        <v>0.09</v>
      </c>
    </row>
    <row r="2226" spans="1:4">
      <c r="A2226" s="184" t="s">
        <v>1944</v>
      </c>
      <c r="B2226" s="184" t="s">
        <v>1118</v>
      </c>
      <c r="C2226" s="184" t="str">
        <f t="shared" si="34"/>
        <v>Perkins, SD</v>
      </c>
      <c r="D2226" s="187">
        <v>4.3999999999999997E-2</v>
      </c>
    </row>
    <row r="2227" spans="1:4">
      <c r="A2227" s="184" t="s">
        <v>2542</v>
      </c>
      <c r="B2227" s="184" t="s">
        <v>3274</v>
      </c>
      <c r="C2227" s="184" t="str">
        <f t="shared" si="34"/>
        <v>Perquimans, NC</v>
      </c>
      <c r="D2227" s="187">
        <v>4.3999999999999997E-2</v>
      </c>
    </row>
    <row r="2228" spans="1:4">
      <c r="A2228" s="184" t="s">
        <v>2000</v>
      </c>
      <c r="B2228" s="184" t="s">
        <v>3291</v>
      </c>
      <c r="C2228" s="184" t="str">
        <f t="shared" si="34"/>
        <v>Perry, AL</v>
      </c>
      <c r="D2228" s="187">
        <v>5.7000000000000002E-2</v>
      </c>
    </row>
    <row r="2229" spans="1:4">
      <c r="A2229" s="184" t="s">
        <v>566</v>
      </c>
      <c r="B2229" s="184" t="s">
        <v>3291</v>
      </c>
      <c r="C2229" s="184" t="str">
        <f t="shared" si="34"/>
        <v>Perry, AR</v>
      </c>
      <c r="D2229" s="187">
        <v>5.7000000000000002E-2</v>
      </c>
    </row>
    <row r="2230" spans="1:4">
      <c r="A2230" s="184" t="s">
        <v>2019</v>
      </c>
      <c r="B2230" s="184" t="s">
        <v>3291</v>
      </c>
      <c r="C2230" s="184" t="str">
        <f t="shared" si="34"/>
        <v>Perry, IL</v>
      </c>
      <c r="D2230" s="187">
        <v>0.09</v>
      </c>
    </row>
    <row r="2231" spans="1:4">
      <c r="A2231" s="184" t="s">
        <v>2021</v>
      </c>
      <c r="B2231" s="184" t="s">
        <v>3291</v>
      </c>
      <c r="C2231" s="184" t="str">
        <f t="shared" si="34"/>
        <v>Perry, IN</v>
      </c>
      <c r="D2231" s="187">
        <v>0.09</v>
      </c>
    </row>
    <row r="2232" spans="1:4">
      <c r="A2232" s="184" t="s">
        <v>529</v>
      </c>
      <c r="B2232" s="184" t="s">
        <v>3291</v>
      </c>
      <c r="C2232" s="184" t="str">
        <f t="shared" si="34"/>
        <v>Perry, KY</v>
      </c>
      <c r="D2232" s="187">
        <v>3.5000000000000003E-2</v>
      </c>
    </row>
    <row r="2233" spans="1:4">
      <c r="A2233" s="184" t="s">
        <v>3434</v>
      </c>
      <c r="B2233" s="184" t="s">
        <v>3291</v>
      </c>
      <c r="C2233" s="184" t="str">
        <f t="shared" si="34"/>
        <v>Perry, MO</v>
      </c>
      <c r="D2233" s="187">
        <v>0.09</v>
      </c>
    </row>
    <row r="2234" spans="1:4">
      <c r="A2234" s="184" t="s">
        <v>3035</v>
      </c>
      <c r="B2234" s="184" t="s">
        <v>3291</v>
      </c>
      <c r="C2234" s="184" t="str">
        <f t="shared" si="34"/>
        <v>Perry, MS</v>
      </c>
      <c r="D2234" s="187">
        <v>4.3999999999999997E-2</v>
      </c>
    </row>
    <row r="2235" spans="1:4">
      <c r="A2235" s="184" t="s">
        <v>2562</v>
      </c>
      <c r="B2235" s="184" t="s">
        <v>3291</v>
      </c>
      <c r="C2235" s="184" t="str">
        <f t="shared" si="34"/>
        <v>Perry, OH</v>
      </c>
      <c r="D2235" s="187">
        <v>0.09</v>
      </c>
    </row>
    <row r="2236" spans="1:4">
      <c r="A2236" s="184" t="s">
        <v>3356</v>
      </c>
      <c r="B2236" s="184" t="s">
        <v>3291</v>
      </c>
      <c r="C2236" s="184" t="str">
        <f t="shared" si="34"/>
        <v>Perry, PA</v>
      </c>
      <c r="D2236" s="187">
        <v>6.0999999999999999E-2</v>
      </c>
    </row>
    <row r="2237" spans="1:4">
      <c r="A2237" s="184" t="s">
        <v>699</v>
      </c>
      <c r="B2237" s="184" t="s">
        <v>3291</v>
      </c>
      <c r="C2237" s="184" t="str">
        <f t="shared" si="34"/>
        <v>Perry, TN</v>
      </c>
      <c r="D2237" s="187">
        <v>0.09</v>
      </c>
    </row>
    <row r="2238" spans="1:4">
      <c r="A2238" s="184" t="s">
        <v>3043</v>
      </c>
      <c r="B2238" s="184" t="s">
        <v>1130</v>
      </c>
      <c r="C2238" s="184" t="str">
        <f t="shared" si="34"/>
        <v>Pershing, NV</v>
      </c>
      <c r="D2238" s="187">
        <v>0.09</v>
      </c>
    </row>
    <row r="2239" spans="1:4">
      <c r="A2239" s="184" t="s">
        <v>2542</v>
      </c>
      <c r="B2239" s="184" t="s">
        <v>3275</v>
      </c>
      <c r="C2239" s="184" t="str">
        <f t="shared" si="34"/>
        <v>Person, NC</v>
      </c>
      <c r="D2239" s="187">
        <v>4.3999999999999997E-2</v>
      </c>
    </row>
    <row r="2240" spans="1:4">
      <c r="A2240" s="184" t="s">
        <v>746</v>
      </c>
      <c r="B2240" s="184" t="s">
        <v>581</v>
      </c>
      <c r="C2240" s="184" t="str">
        <f t="shared" si="34"/>
        <v>Petersburg City, VA</v>
      </c>
      <c r="D2240" s="187">
        <v>4.4999999999999998E-2</v>
      </c>
    </row>
    <row r="2241" spans="1:4">
      <c r="A2241" s="184" t="s">
        <v>3438</v>
      </c>
      <c r="B2241" s="184" t="s">
        <v>2818</v>
      </c>
      <c r="C2241" s="184" t="str">
        <f t="shared" si="34"/>
        <v>Petroleum, MT</v>
      </c>
      <c r="D2241" s="187">
        <v>0.09</v>
      </c>
    </row>
    <row r="2242" spans="1:4">
      <c r="A2242" s="184" t="s">
        <v>3434</v>
      </c>
      <c r="B2242" s="184" t="s">
        <v>2791</v>
      </c>
      <c r="C2242" s="184" t="str">
        <f t="shared" si="34"/>
        <v>Pettis, MO</v>
      </c>
      <c r="D2242" s="187">
        <v>0.09</v>
      </c>
    </row>
    <row r="2243" spans="1:4">
      <c r="A2243" s="184" t="s">
        <v>3434</v>
      </c>
      <c r="B2243" s="184" t="s">
        <v>2792</v>
      </c>
      <c r="C2243" s="184" t="str">
        <f t="shared" si="34"/>
        <v>Phelps, MO</v>
      </c>
      <c r="D2243" s="187">
        <v>0.09</v>
      </c>
    </row>
    <row r="2244" spans="1:4">
      <c r="A2244" s="184" t="s">
        <v>3442</v>
      </c>
      <c r="B2244" s="184" t="s">
        <v>2792</v>
      </c>
      <c r="C2244" s="184" t="str">
        <f t="shared" si="34"/>
        <v>Phelps, NE</v>
      </c>
      <c r="D2244" s="187">
        <v>0.09</v>
      </c>
    </row>
    <row r="2245" spans="1:4">
      <c r="A2245" s="184" t="s">
        <v>3356</v>
      </c>
      <c r="B2245" s="184" t="s">
        <v>3536</v>
      </c>
      <c r="C2245" s="184" t="str">
        <f t="shared" si="34"/>
        <v>Philadelphia, PA</v>
      </c>
      <c r="D2245" s="187">
        <v>3.5000000000000003E-2</v>
      </c>
    </row>
    <row r="2246" spans="1:4">
      <c r="A2246" s="184" t="s">
        <v>566</v>
      </c>
      <c r="B2246" s="184" t="s">
        <v>1169</v>
      </c>
      <c r="C2246" s="184" t="str">
        <f t="shared" ref="C2246:C2309" si="35">B2246&amp;", "&amp;A2246</f>
        <v>Phillips, AR</v>
      </c>
      <c r="D2246" s="187">
        <v>3.5000000000000003E-2</v>
      </c>
    </row>
    <row r="2247" spans="1:4">
      <c r="A2247" s="184" t="s">
        <v>3108</v>
      </c>
      <c r="B2247" s="184" t="s">
        <v>1169</v>
      </c>
      <c r="C2247" s="184" t="str">
        <f t="shared" si="35"/>
        <v>Phillips, CO</v>
      </c>
      <c r="D2247" s="187">
        <v>4.3999999999999997E-2</v>
      </c>
    </row>
    <row r="2248" spans="1:4">
      <c r="A2248" s="184" t="s">
        <v>663</v>
      </c>
      <c r="B2248" s="184" t="s">
        <v>1169</v>
      </c>
      <c r="C2248" s="184" t="str">
        <f t="shared" si="35"/>
        <v>Phillips, KS</v>
      </c>
      <c r="D2248" s="187">
        <v>0.09</v>
      </c>
    </row>
    <row r="2249" spans="1:4">
      <c r="A2249" s="184" t="s">
        <v>3438</v>
      </c>
      <c r="B2249" s="184" t="s">
        <v>1169</v>
      </c>
      <c r="C2249" s="184" t="str">
        <f t="shared" si="35"/>
        <v>Phillips, MT</v>
      </c>
      <c r="D2249" s="187">
        <v>0.09</v>
      </c>
    </row>
    <row r="2250" spans="1:4">
      <c r="A2250" s="184" t="s">
        <v>2019</v>
      </c>
      <c r="B2250" s="184" t="s">
        <v>3376</v>
      </c>
      <c r="C2250" s="184" t="str">
        <f t="shared" si="35"/>
        <v>Piatt, IL</v>
      </c>
      <c r="D2250" s="187">
        <v>0.09</v>
      </c>
    </row>
    <row r="2251" spans="1:4">
      <c r="A2251" s="184" t="s">
        <v>2562</v>
      </c>
      <c r="B2251" s="184" t="s">
        <v>3065</v>
      </c>
      <c r="C2251" s="184" t="str">
        <f t="shared" si="35"/>
        <v>Pickaway, OH</v>
      </c>
      <c r="D2251" s="187">
        <v>6.0999999999999999E-2</v>
      </c>
    </row>
    <row r="2252" spans="1:4">
      <c r="A2252" s="184" t="s">
        <v>2000</v>
      </c>
      <c r="B2252" s="184" t="s">
        <v>3870</v>
      </c>
      <c r="C2252" s="184" t="str">
        <f t="shared" si="35"/>
        <v>Pickens, AL</v>
      </c>
      <c r="D2252" s="187">
        <v>0.09</v>
      </c>
    </row>
    <row r="2253" spans="1:4">
      <c r="A2253" s="184" t="s">
        <v>3602</v>
      </c>
      <c r="B2253" s="184" t="s">
        <v>3870</v>
      </c>
      <c r="C2253" s="184" t="str">
        <f t="shared" si="35"/>
        <v>Pickens, GA</v>
      </c>
      <c r="D2253" s="187">
        <v>6.0999999999999999E-2</v>
      </c>
    </row>
    <row r="2254" spans="1:4">
      <c r="A2254" s="184" t="s">
        <v>1942</v>
      </c>
      <c r="B2254" s="184" t="s">
        <v>3870</v>
      </c>
      <c r="C2254" s="184" t="str">
        <f t="shared" si="35"/>
        <v>Pickens, SC</v>
      </c>
      <c r="D2254" s="187">
        <v>4.3999999999999997E-2</v>
      </c>
    </row>
    <row r="2255" spans="1:4">
      <c r="A2255" s="184" t="s">
        <v>699</v>
      </c>
      <c r="B2255" s="184" t="s">
        <v>965</v>
      </c>
      <c r="C2255" s="184" t="str">
        <f t="shared" si="35"/>
        <v>Pickett, TN</v>
      </c>
      <c r="D2255" s="187">
        <v>0.09</v>
      </c>
    </row>
    <row r="2256" spans="1:4">
      <c r="A2256" s="184" t="s">
        <v>3602</v>
      </c>
      <c r="B2256" s="184" t="s">
        <v>538</v>
      </c>
      <c r="C2256" s="184" t="str">
        <f t="shared" si="35"/>
        <v>Pierce, GA</v>
      </c>
      <c r="D2256" s="187">
        <v>4.3999999999999997E-2</v>
      </c>
    </row>
    <row r="2257" spans="1:4">
      <c r="A2257" s="184" t="s">
        <v>2558</v>
      </c>
      <c r="B2257" s="184" t="s">
        <v>538</v>
      </c>
      <c r="C2257" s="184" t="str">
        <f t="shared" si="35"/>
        <v>Pierce, ND</v>
      </c>
      <c r="D2257" s="187">
        <v>0.09</v>
      </c>
    </row>
    <row r="2258" spans="1:4">
      <c r="A2258" s="184" t="s">
        <v>3442</v>
      </c>
      <c r="B2258" s="184" t="s">
        <v>538</v>
      </c>
      <c r="C2258" s="184" t="str">
        <f t="shared" si="35"/>
        <v>Pierce, NE</v>
      </c>
      <c r="D2258" s="187">
        <v>0.09</v>
      </c>
    </row>
    <row r="2259" spans="1:4">
      <c r="A2259" s="184" t="s">
        <v>1278</v>
      </c>
      <c r="B2259" s="184" t="s">
        <v>538</v>
      </c>
      <c r="C2259" s="184" t="str">
        <f t="shared" si="35"/>
        <v>Pierce, WA</v>
      </c>
      <c r="D2259" s="187">
        <v>0.09</v>
      </c>
    </row>
    <row r="2260" spans="1:4">
      <c r="A2260" s="184" t="s">
        <v>550</v>
      </c>
      <c r="B2260" s="184" t="s">
        <v>538</v>
      </c>
      <c r="C2260" s="184" t="str">
        <f t="shared" si="35"/>
        <v>Pierce, WI</v>
      </c>
      <c r="D2260" s="187">
        <v>6.0999999999999999E-2</v>
      </c>
    </row>
    <row r="2261" spans="1:4">
      <c r="A2261" s="184" t="s">
        <v>2000</v>
      </c>
      <c r="B2261" s="184" t="s">
        <v>698</v>
      </c>
      <c r="C2261" s="184" t="str">
        <f t="shared" si="35"/>
        <v>Pike, AL</v>
      </c>
      <c r="D2261" s="187">
        <v>0.09</v>
      </c>
    </row>
    <row r="2262" spans="1:4">
      <c r="A2262" s="184" t="s">
        <v>566</v>
      </c>
      <c r="B2262" s="184" t="s">
        <v>698</v>
      </c>
      <c r="C2262" s="184" t="str">
        <f t="shared" si="35"/>
        <v>Pike, AR</v>
      </c>
      <c r="D2262" s="187">
        <v>4.3999999999999997E-2</v>
      </c>
    </row>
    <row r="2263" spans="1:4">
      <c r="A2263" s="184" t="s">
        <v>3602</v>
      </c>
      <c r="B2263" s="184" t="s">
        <v>698</v>
      </c>
      <c r="C2263" s="184" t="str">
        <f t="shared" si="35"/>
        <v>Pike, GA</v>
      </c>
      <c r="D2263" s="187">
        <v>4.3999999999999997E-2</v>
      </c>
    </row>
    <row r="2264" spans="1:4">
      <c r="A2264" s="184" t="s">
        <v>2019</v>
      </c>
      <c r="B2264" s="184" t="s">
        <v>698</v>
      </c>
      <c r="C2264" s="184" t="str">
        <f t="shared" si="35"/>
        <v>Pike, IL</v>
      </c>
      <c r="D2264" s="187">
        <v>0.09</v>
      </c>
    </row>
    <row r="2265" spans="1:4">
      <c r="A2265" s="184" t="s">
        <v>2021</v>
      </c>
      <c r="B2265" s="184" t="s">
        <v>698</v>
      </c>
      <c r="C2265" s="184" t="str">
        <f t="shared" si="35"/>
        <v>Pike, IN</v>
      </c>
      <c r="D2265" s="187">
        <v>0.09</v>
      </c>
    </row>
    <row r="2266" spans="1:4">
      <c r="A2266" s="184" t="s">
        <v>529</v>
      </c>
      <c r="B2266" s="184" t="s">
        <v>698</v>
      </c>
      <c r="C2266" s="184" t="str">
        <f t="shared" si="35"/>
        <v>Pike, KY</v>
      </c>
      <c r="D2266" s="187">
        <v>0.09</v>
      </c>
    </row>
    <row r="2267" spans="1:4">
      <c r="A2267" s="184" t="s">
        <v>3434</v>
      </c>
      <c r="B2267" s="184" t="s">
        <v>698</v>
      </c>
      <c r="C2267" s="184" t="str">
        <f t="shared" si="35"/>
        <v>Pike, MO</v>
      </c>
      <c r="D2267" s="187">
        <v>0.09</v>
      </c>
    </row>
    <row r="2268" spans="1:4">
      <c r="A2268" s="184" t="s">
        <v>3035</v>
      </c>
      <c r="B2268" s="184" t="s">
        <v>698</v>
      </c>
      <c r="C2268" s="184" t="str">
        <f t="shared" si="35"/>
        <v>Pike, MS</v>
      </c>
      <c r="D2268" s="187">
        <v>5.7000000000000002E-2</v>
      </c>
    </row>
    <row r="2269" spans="1:4">
      <c r="A2269" s="184" t="s">
        <v>2562</v>
      </c>
      <c r="B2269" s="184" t="s">
        <v>698</v>
      </c>
      <c r="C2269" s="184" t="str">
        <f t="shared" si="35"/>
        <v>Pike, OH</v>
      </c>
      <c r="D2269" s="187">
        <v>0.09</v>
      </c>
    </row>
    <row r="2270" spans="1:4">
      <c r="A2270" s="184" t="s">
        <v>3356</v>
      </c>
      <c r="B2270" s="184" t="s">
        <v>698</v>
      </c>
      <c r="C2270" s="184" t="str">
        <f t="shared" si="35"/>
        <v>Pike, PA</v>
      </c>
      <c r="D2270" s="187">
        <v>0.09</v>
      </c>
    </row>
    <row r="2271" spans="1:4">
      <c r="A2271" s="184" t="s">
        <v>562</v>
      </c>
      <c r="B2271" s="184" t="s">
        <v>1206</v>
      </c>
      <c r="C2271" s="184" t="str">
        <f t="shared" si="35"/>
        <v>Pima, AZ</v>
      </c>
      <c r="D2271" s="187">
        <v>5.7000000000000002E-2</v>
      </c>
    </row>
    <row r="2272" spans="1:4">
      <c r="A2272" s="184" t="s">
        <v>562</v>
      </c>
      <c r="B2272" s="184" t="s">
        <v>565</v>
      </c>
      <c r="C2272" s="184" t="str">
        <f t="shared" si="35"/>
        <v>Pinal, AZ</v>
      </c>
      <c r="D2272" s="187">
        <v>6.0999999999999999E-2</v>
      </c>
    </row>
    <row r="2273" spans="1:4">
      <c r="A2273" s="184" t="s">
        <v>3429</v>
      </c>
      <c r="B2273" s="184" t="s">
        <v>1505</v>
      </c>
      <c r="C2273" s="184" t="str">
        <f t="shared" si="35"/>
        <v>Pine, MN</v>
      </c>
      <c r="D2273" s="187">
        <v>0.09</v>
      </c>
    </row>
    <row r="2274" spans="1:4">
      <c r="A2274" s="184" t="s">
        <v>3594</v>
      </c>
      <c r="B2274" s="184" t="s">
        <v>587</v>
      </c>
      <c r="C2274" s="184" t="str">
        <f t="shared" si="35"/>
        <v>Pinellas, FL</v>
      </c>
      <c r="D2274" s="187">
        <v>2.1999999999999999E-2</v>
      </c>
    </row>
    <row r="2275" spans="1:4">
      <c r="A2275" s="184" t="s">
        <v>3429</v>
      </c>
      <c r="B2275" s="184" t="s">
        <v>1506</v>
      </c>
      <c r="C2275" s="184" t="str">
        <f t="shared" si="35"/>
        <v>Pipestone, MN</v>
      </c>
      <c r="D2275" s="187">
        <v>0.09</v>
      </c>
    </row>
    <row r="2276" spans="1:4">
      <c r="A2276" s="184" t="s">
        <v>1922</v>
      </c>
      <c r="B2276" s="184" t="s">
        <v>2417</v>
      </c>
      <c r="C2276" s="184" t="str">
        <f t="shared" si="35"/>
        <v>Piscataquis, ME</v>
      </c>
      <c r="D2276" s="187">
        <v>5.7000000000000002E-2</v>
      </c>
    </row>
    <row r="2277" spans="1:4">
      <c r="A2277" s="184" t="s">
        <v>3108</v>
      </c>
      <c r="B2277" s="184" t="s">
        <v>1170</v>
      </c>
      <c r="C2277" s="184" t="str">
        <f t="shared" si="35"/>
        <v>Pitkin, CO</v>
      </c>
      <c r="D2277" s="187">
        <v>6.0999999999999999E-2</v>
      </c>
    </row>
    <row r="2278" spans="1:4">
      <c r="A2278" s="184" t="s">
        <v>2542</v>
      </c>
      <c r="B2278" s="184" t="s">
        <v>1380</v>
      </c>
      <c r="C2278" s="184" t="str">
        <f t="shared" si="35"/>
        <v>Pitt, NC</v>
      </c>
      <c r="D2278" s="187">
        <v>4.3999999999999997E-2</v>
      </c>
    </row>
    <row r="2279" spans="1:4">
      <c r="A2279" s="184" t="s">
        <v>2573</v>
      </c>
      <c r="B2279" s="184" t="s">
        <v>458</v>
      </c>
      <c r="C2279" s="184" t="str">
        <f t="shared" si="35"/>
        <v>Pittsburg, OK</v>
      </c>
      <c r="D2279" s="187">
        <v>0.09</v>
      </c>
    </row>
    <row r="2280" spans="1:4">
      <c r="A2280" s="184" t="s">
        <v>746</v>
      </c>
      <c r="B2280" s="184" t="s">
        <v>2601</v>
      </c>
      <c r="C2280" s="184" t="str">
        <f t="shared" si="35"/>
        <v>Pittsylvania, VA</v>
      </c>
      <c r="D2280" s="187">
        <v>4.3999999999999997E-2</v>
      </c>
    </row>
    <row r="2281" spans="1:4">
      <c r="A2281" s="184" t="s">
        <v>742</v>
      </c>
      <c r="B2281" s="184" t="s">
        <v>387</v>
      </c>
      <c r="C2281" s="184" t="str">
        <f t="shared" si="35"/>
        <v>Piute, UT</v>
      </c>
      <c r="D2281" s="187">
        <v>4.3999999999999997E-2</v>
      </c>
    </row>
    <row r="2282" spans="1:4">
      <c r="A2282" s="184" t="s">
        <v>3106</v>
      </c>
      <c r="B2282" s="184" t="s">
        <v>938</v>
      </c>
      <c r="C2282" s="184" t="str">
        <f t="shared" si="35"/>
        <v>Placer, CA</v>
      </c>
      <c r="D2282" s="187">
        <v>3.5000000000000003E-2</v>
      </c>
    </row>
    <row r="2283" spans="1:4">
      <c r="A2283" s="184" t="s">
        <v>535</v>
      </c>
      <c r="B2283" s="184" t="s">
        <v>3111</v>
      </c>
      <c r="C2283" s="184" t="str">
        <f t="shared" si="35"/>
        <v>Plaquemines, LA</v>
      </c>
      <c r="D2283" s="187">
        <v>5.7000000000000002E-2</v>
      </c>
    </row>
    <row r="2284" spans="1:4">
      <c r="A2284" s="184" t="s">
        <v>3434</v>
      </c>
      <c r="B2284" s="184" t="s">
        <v>3039</v>
      </c>
      <c r="C2284" s="184" t="str">
        <f t="shared" si="35"/>
        <v>Platte, MO</v>
      </c>
      <c r="D2284" s="187">
        <v>6.0999999999999999E-2</v>
      </c>
    </row>
    <row r="2285" spans="1:4">
      <c r="A2285" s="184" t="s">
        <v>3442</v>
      </c>
      <c r="B2285" s="184" t="s">
        <v>3039</v>
      </c>
      <c r="C2285" s="184" t="str">
        <f t="shared" si="35"/>
        <v>Platte, NE</v>
      </c>
      <c r="D2285" s="187">
        <v>0.09</v>
      </c>
    </row>
    <row r="2286" spans="1:4">
      <c r="A2286" s="184" t="s">
        <v>1033</v>
      </c>
      <c r="B2286" s="184" t="s">
        <v>3039</v>
      </c>
      <c r="C2286" s="184" t="str">
        <f t="shared" si="35"/>
        <v>Platte, WY</v>
      </c>
      <c r="D2286" s="187">
        <v>0.09</v>
      </c>
    </row>
    <row r="2287" spans="1:4">
      <c r="A2287" s="184" t="s">
        <v>542</v>
      </c>
      <c r="B2287" s="184" t="s">
        <v>836</v>
      </c>
      <c r="C2287" s="184" t="str">
        <f t="shared" si="35"/>
        <v>Pleasants, WV</v>
      </c>
      <c r="D2287" s="187">
        <v>0.09</v>
      </c>
    </row>
    <row r="2288" spans="1:4">
      <c r="A2288" s="184" t="s">
        <v>3106</v>
      </c>
      <c r="B2288" s="184" t="s">
        <v>3025</v>
      </c>
      <c r="C2288" s="184" t="str">
        <f t="shared" si="35"/>
        <v>Plumas, CA</v>
      </c>
      <c r="D2288" s="187">
        <v>0.09</v>
      </c>
    </row>
    <row r="2289" spans="1:4">
      <c r="A2289" s="184" t="s">
        <v>2031</v>
      </c>
      <c r="B2289" s="184" t="s">
        <v>1982</v>
      </c>
      <c r="C2289" s="184" t="str">
        <f t="shared" si="35"/>
        <v>Plymouth, IA</v>
      </c>
      <c r="D2289" s="187">
        <v>0.09</v>
      </c>
    </row>
    <row r="2290" spans="1:4">
      <c r="A2290" s="184" t="s">
        <v>1228</v>
      </c>
      <c r="B2290" s="184" t="s">
        <v>1982</v>
      </c>
      <c r="C2290" s="184" t="str">
        <f t="shared" si="35"/>
        <v>Plymouth, MA</v>
      </c>
      <c r="D2290" s="187">
        <v>5.7000000000000002E-2</v>
      </c>
    </row>
    <row r="2291" spans="1:4">
      <c r="A2291" s="184" t="s">
        <v>2031</v>
      </c>
      <c r="B2291" s="184" t="s">
        <v>1983</v>
      </c>
      <c r="C2291" s="184" t="str">
        <f t="shared" si="35"/>
        <v>Pocahontas, IA</v>
      </c>
      <c r="D2291" s="187">
        <v>0.09</v>
      </c>
    </row>
    <row r="2292" spans="1:4">
      <c r="A2292" s="184" t="s">
        <v>542</v>
      </c>
      <c r="B2292" s="184" t="s">
        <v>1983</v>
      </c>
      <c r="C2292" s="184" t="str">
        <f t="shared" si="35"/>
        <v>Pocahontas, WV</v>
      </c>
      <c r="D2292" s="187">
        <v>0.09</v>
      </c>
    </row>
    <row r="2293" spans="1:4">
      <c r="A2293" s="184" t="s">
        <v>566</v>
      </c>
      <c r="B2293" s="184" t="s">
        <v>3008</v>
      </c>
      <c r="C2293" s="184" t="str">
        <f t="shared" si="35"/>
        <v>Poinsett, AR</v>
      </c>
      <c r="D2293" s="187">
        <v>4.3999999999999997E-2</v>
      </c>
    </row>
    <row r="2294" spans="1:4">
      <c r="A2294" s="184" t="s">
        <v>535</v>
      </c>
      <c r="B2294" s="184" t="s">
        <v>766</v>
      </c>
      <c r="C2294" s="184" t="str">
        <f t="shared" si="35"/>
        <v>Pointe Coupee, LA</v>
      </c>
      <c r="D2294" s="187">
        <v>0.09</v>
      </c>
    </row>
    <row r="2295" spans="1:4">
      <c r="A2295" s="184" t="s">
        <v>566</v>
      </c>
      <c r="B2295" s="184" t="s">
        <v>3431</v>
      </c>
      <c r="C2295" s="184" t="str">
        <f t="shared" si="35"/>
        <v>Polk, AR</v>
      </c>
      <c r="D2295" s="187">
        <v>4.3999999999999997E-2</v>
      </c>
    </row>
    <row r="2296" spans="1:4">
      <c r="A2296" s="184" t="s">
        <v>3594</v>
      </c>
      <c r="B2296" s="184" t="s">
        <v>3431</v>
      </c>
      <c r="C2296" s="184" t="str">
        <f t="shared" si="35"/>
        <v>Polk, FL</v>
      </c>
      <c r="D2296" s="187">
        <v>2.1999999999999999E-2</v>
      </c>
    </row>
    <row r="2297" spans="1:4">
      <c r="A2297" s="184" t="s">
        <v>3602</v>
      </c>
      <c r="B2297" s="184" t="s">
        <v>3431</v>
      </c>
      <c r="C2297" s="184" t="str">
        <f t="shared" si="35"/>
        <v>Polk, GA</v>
      </c>
      <c r="D2297" s="187">
        <v>4.3999999999999997E-2</v>
      </c>
    </row>
    <row r="2298" spans="1:4">
      <c r="A2298" s="184" t="s">
        <v>2031</v>
      </c>
      <c r="B2298" s="184" t="s">
        <v>3431</v>
      </c>
      <c r="C2298" s="184" t="str">
        <f t="shared" si="35"/>
        <v>Polk, IA</v>
      </c>
      <c r="D2298" s="187">
        <v>6.0999999999999999E-2</v>
      </c>
    </row>
    <row r="2299" spans="1:4">
      <c r="A2299" s="184" t="s">
        <v>3429</v>
      </c>
      <c r="B2299" s="184" t="s">
        <v>3431</v>
      </c>
      <c r="C2299" s="184" t="str">
        <f t="shared" si="35"/>
        <v>Polk, MN</v>
      </c>
      <c r="D2299" s="187">
        <v>0.09</v>
      </c>
    </row>
    <row r="2300" spans="1:4">
      <c r="A2300" s="184" t="s">
        <v>3434</v>
      </c>
      <c r="B2300" s="184" t="s">
        <v>3431</v>
      </c>
      <c r="C2300" s="184" t="str">
        <f t="shared" si="35"/>
        <v>Polk, MO</v>
      </c>
      <c r="D2300" s="187">
        <v>0.09</v>
      </c>
    </row>
    <row r="2301" spans="1:4">
      <c r="A2301" s="184" t="s">
        <v>2542</v>
      </c>
      <c r="B2301" s="184" t="s">
        <v>3431</v>
      </c>
      <c r="C2301" s="184" t="str">
        <f t="shared" si="35"/>
        <v>Polk, NC</v>
      </c>
      <c r="D2301" s="187">
        <v>4.3999999999999997E-2</v>
      </c>
    </row>
    <row r="2302" spans="1:4">
      <c r="A2302" s="184" t="s">
        <v>3442</v>
      </c>
      <c r="B2302" s="184" t="s">
        <v>3431</v>
      </c>
      <c r="C2302" s="184" t="str">
        <f t="shared" si="35"/>
        <v>Polk, NE</v>
      </c>
      <c r="D2302" s="187">
        <v>0.09</v>
      </c>
    </row>
    <row r="2303" spans="1:4">
      <c r="A2303" s="184" t="s">
        <v>3353</v>
      </c>
      <c r="B2303" s="184" t="s">
        <v>3431</v>
      </c>
      <c r="C2303" s="184" t="str">
        <f t="shared" si="35"/>
        <v>Polk, OR</v>
      </c>
      <c r="D2303" s="187">
        <v>0.09</v>
      </c>
    </row>
    <row r="2304" spans="1:4">
      <c r="A2304" s="184" t="s">
        <v>699</v>
      </c>
      <c r="B2304" s="184" t="s">
        <v>3431</v>
      </c>
      <c r="C2304" s="184" t="str">
        <f t="shared" si="35"/>
        <v>Polk, TN</v>
      </c>
      <c r="D2304" s="187">
        <v>0.09</v>
      </c>
    </row>
    <row r="2305" spans="1:4">
      <c r="A2305" s="184" t="s">
        <v>3906</v>
      </c>
      <c r="B2305" s="184" t="s">
        <v>3431</v>
      </c>
      <c r="C2305" s="184" t="str">
        <f t="shared" si="35"/>
        <v>Polk, TX</v>
      </c>
      <c r="D2305" s="187">
        <v>5.7000000000000002E-2</v>
      </c>
    </row>
    <row r="2306" spans="1:4">
      <c r="A2306" s="184" t="s">
        <v>550</v>
      </c>
      <c r="B2306" s="184" t="s">
        <v>3431</v>
      </c>
      <c r="C2306" s="184" t="str">
        <f t="shared" si="35"/>
        <v>Polk, WI</v>
      </c>
      <c r="D2306" s="187">
        <v>0.09</v>
      </c>
    </row>
    <row r="2307" spans="1:4">
      <c r="A2307" s="184" t="s">
        <v>3438</v>
      </c>
      <c r="B2307" s="184" t="s">
        <v>2819</v>
      </c>
      <c r="C2307" s="184" t="str">
        <f t="shared" si="35"/>
        <v>Pondera, MT</v>
      </c>
      <c r="D2307" s="187">
        <v>0.09</v>
      </c>
    </row>
    <row r="2308" spans="1:4">
      <c r="A2308" s="184" t="s">
        <v>3035</v>
      </c>
      <c r="B2308" s="184" t="s">
        <v>2890</v>
      </c>
      <c r="C2308" s="184" t="str">
        <f t="shared" si="35"/>
        <v>Pontotoc, MS</v>
      </c>
      <c r="D2308" s="187">
        <v>4.3999999999999997E-2</v>
      </c>
    </row>
    <row r="2309" spans="1:4">
      <c r="A2309" s="184" t="s">
        <v>2573</v>
      </c>
      <c r="B2309" s="184" t="s">
        <v>2890</v>
      </c>
      <c r="C2309" s="184" t="str">
        <f t="shared" si="35"/>
        <v>Pontotoc, OK</v>
      </c>
      <c r="D2309" s="187">
        <v>0.09</v>
      </c>
    </row>
    <row r="2310" spans="1:4">
      <c r="A2310" s="184" t="s">
        <v>566</v>
      </c>
      <c r="B2310" s="184" t="s">
        <v>3009</v>
      </c>
      <c r="C2310" s="184" t="str">
        <f t="shared" ref="C2310:C2373" si="36">B2310&amp;", "&amp;A2310</f>
        <v>Pope, AR</v>
      </c>
      <c r="D2310" s="187">
        <v>4.3999999999999997E-2</v>
      </c>
    </row>
    <row r="2311" spans="1:4">
      <c r="A2311" s="184" t="s">
        <v>2019</v>
      </c>
      <c r="B2311" s="184" t="s">
        <v>3009</v>
      </c>
      <c r="C2311" s="184" t="str">
        <f t="shared" si="36"/>
        <v>Pope, IL</v>
      </c>
      <c r="D2311" s="187">
        <v>0.09</v>
      </c>
    </row>
    <row r="2312" spans="1:4">
      <c r="A2312" s="184" t="s">
        <v>3429</v>
      </c>
      <c r="B2312" s="184" t="s">
        <v>3009</v>
      </c>
      <c r="C2312" s="184" t="str">
        <f t="shared" si="36"/>
        <v>Pope, MN</v>
      </c>
      <c r="D2312" s="187">
        <v>0.09</v>
      </c>
    </row>
    <row r="2313" spans="1:4">
      <c r="A2313" s="184" t="s">
        <v>746</v>
      </c>
      <c r="B2313" s="184" t="s">
        <v>3177</v>
      </c>
      <c r="C2313" s="184" t="str">
        <f t="shared" si="36"/>
        <v>Poquoson City, VA</v>
      </c>
      <c r="D2313" s="187">
        <v>6.0999999999999999E-2</v>
      </c>
    </row>
    <row r="2314" spans="1:4">
      <c r="A2314" s="184" t="s">
        <v>2562</v>
      </c>
      <c r="B2314" s="184" t="s">
        <v>3066</v>
      </c>
      <c r="C2314" s="184" t="str">
        <f t="shared" si="36"/>
        <v>Portage, OH</v>
      </c>
      <c r="D2314" s="187">
        <v>6.0999999999999999E-2</v>
      </c>
    </row>
    <row r="2315" spans="1:4">
      <c r="A2315" s="184" t="s">
        <v>550</v>
      </c>
      <c r="B2315" s="184" t="s">
        <v>3066</v>
      </c>
      <c r="C2315" s="184" t="str">
        <f t="shared" si="36"/>
        <v>Portage, WI</v>
      </c>
      <c r="D2315" s="187">
        <v>0.09</v>
      </c>
    </row>
    <row r="2316" spans="1:4">
      <c r="A2316" s="184" t="s">
        <v>2021</v>
      </c>
      <c r="B2316" s="184" t="s">
        <v>2027</v>
      </c>
      <c r="C2316" s="184" t="str">
        <f t="shared" si="36"/>
        <v>Porter, IN</v>
      </c>
      <c r="D2316" s="187">
        <v>0.09</v>
      </c>
    </row>
    <row r="2317" spans="1:4">
      <c r="A2317" s="184" t="s">
        <v>746</v>
      </c>
      <c r="B2317" s="184" t="s">
        <v>3178</v>
      </c>
      <c r="C2317" s="184" t="str">
        <f t="shared" si="36"/>
        <v>Portsmouth City, VA</v>
      </c>
      <c r="D2317" s="187">
        <v>6.0999999999999999E-2</v>
      </c>
    </row>
    <row r="2318" spans="1:4">
      <c r="A2318" s="184" t="s">
        <v>2021</v>
      </c>
      <c r="B2318" s="184" t="s">
        <v>2321</v>
      </c>
      <c r="C2318" s="184" t="str">
        <f t="shared" si="36"/>
        <v>Posey, IN</v>
      </c>
      <c r="D2318" s="187">
        <v>6.0999999999999999E-2</v>
      </c>
    </row>
    <row r="2319" spans="1:4">
      <c r="A2319" s="184" t="s">
        <v>663</v>
      </c>
      <c r="B2319" s="184" t="s">
        <v>3351</v>
      </c>
      <c r="C2319" s="184" t="str">
        <f t="shared" si="36"/>
        <v>Pottawatomie, KS</v>
      </c>
      <c r="D2319" s="187">
        <v>0.09</v>
      </c>
    </row>
    <row r="2320" spans="1:4">
      <c r="A2320" s="184" t="s">
        <v>2573</v>
      </c>
      <c r="B2320" s="184" t="s">
        <v>3351</v>
      </c>
      <c r="C2320" s="184" t="str">
        <f t="shared" si="36"/>
        <v>Pottawatomie, OK</v>
      </c>
      <c r="D2320" s="187">
        <v>0.09</v>
      </c>
    </row>
    <row r="2321" spans="1:4">
      <c r="A2321" s="184" t="s">
        <v>2031</v>
      </c>
      <c r="B2321" s="184" t="s">
        <v>2330</v>
      </c>
      <c r="C2321" s="184" t="str">
        <f t="shared" si="36"/>
        <v>Pottawattamie, IA</v>
      </c>
      <c r="D2321" s="187">
        <v>6.0999999999999999E-2</v>
      </c>
    </row>
    <row r="2322" spans="1:4">
      <c r="A2322" s="184" t="s">
        <v>3356</v>
      </c>
      <c r="B2322" s="184" t="s">
        <v>506</v>
      </c>
      <c r="C2322" s="184" t="str">
        <f t="shared" si="36"/>
        <v>Potter, PA</v>
      </c>
      <c r="D2322" s="187">
        <v>0.09</v>
      </c>
    </row>
    <row r="2323" spans="1:4">
      <c r="A2323" s="184" t="s">
        <v>1944</v>
      </c>
      <c r="B2323" s="184" t="s">
        <v>506</v>
      </c>
      <c r="C2323" s="184" t="str">
        <f t="shared" si="36"/>
        <v>Potter, SD</v>
      </c>
      <c r="D2323" s="187">
        <v>4.3999999999999997E-2</v>
      </c>
    </row>
    <row r="2324" spans="1:4">
      <c r="A2324" s="184" t="s">
        <v>3906</v>
      </c>
      <c r="B2324" s="184" t="s">
        <v>506</v>
      </c>
      <c r="C2324" s="184" t="str">
        <f t="shared" si="36"/>
        <v>Potter, TX</v>
      </c>
      <c r="D2324" s="187">
        <v>4.3999999999999997E-2</v>
      </c>
    </row>
    <row r="2325" spans="1:4">
      <c r="A2325" s="184" t="s">
        <v>3438</v>
      </c>
      <c r="B2325" s="184" t="s">
        <v>2820</v>
      </c>
      <c r="C2325" s="184" t="str">
        <f t="shared" si="36"/>
        <v>Powder River, MT</v>
      </c>
      <c r="D2325" s="187">
        <v>0.09</v>
      </c>
    </row>
    <row r="2326" spans="1:4">
      <c r="A2326" s="184" t="s">
        <v>529</v>
      </c>
      <c r="B2326" s="184" t="s">
        <v>2490</v>
      </c>
      <c r="C2326" s="184" t="str">
        <f t="shared" si="36"/>
        <v>Powell, KY</v>
      </c>
      <c r="D2326" s="187">
        <v>0.09</v>
      </c>
    </row>
    <row r="2327" spans="1:4">
      <c r="A2327" s="184" t="s">
        <v>3438</v>
      </c>
      <c r="B2327" s="184" t="s">
        <v>2490</v>
      </c>
      <c r="C2327" s="184" t="str">
        <f t="shared" si="36"/>
        <v>Powell, MT</v>
      </c>
      <c r="D2327" s="187">
        <v>0.09</v>
      </c>
    </row>
    <row r="2328" spans="1:4">
      <c r="A2328" s="184" t="s">
        <v>3875</v>
      </c>
      <c r="B2328" s="184" t="s">
        <v>1011</v>
      </c>
      <c r="C2328" s="184" t="str">
        <f t="shared" si="36"/>
        <v>Power, ID</v>
      </c>
      <c r="D2328" s="187">
        <v>4.3999999999999997E-2</v>
      </c>
    </row>
    <row r="2329" spans="1:4">
      <c r="A2329" s="184" t="s">
        <v>2031</v>
      </c>
      <c r="B2329" s="184" t="s">
        <v>1984</v>
      </c>
      <c r="C2329" s="184" t="str">
        <f t="shared" si="36"/>
        <v>Poweshiek, IA</v>
      </c>
      <c r="D2329" s="187">
        <v>0.09</v>
      </c>
    </row>
    <row r="2330" spans="1:4">
      <c r="A2330" s="184" t="s">
        <v>746</v>
      </c>
      <c r="B2330" s="184" t="s">
        <v>3163</v>
      </c>
      <c r="C2330" s="184" t="str">
        <f t="shared" si="36"/>
        <v>Powhatan, VA</v>
      </c>
      <c r="D2330" s="187">
        <v>6.0999999999999999E-2</v>
      </c>
    </row>
    <row r="2331" spans="1:4">
      <c r="A2331" s="184" t="s">
        <v>566</v>
      </c>
      <c r="B2331" s="184" t="s">
        <v>3010</v>
      </c>
      <c r="C2331" s="184" t="str">
        <f t="shared" si="36"/>
        <v>Prairie, AR</v>
      </c>
      <c r="D2331" s="187">
        <v>4.3999999999999997E-2</v>
      </c>
    </row>
    <row r="2332" spans="1:4">
      <c r="A2332" s="184" t="s">
        <v>3438</v>
      </c>
      <c r="B2332" s="184" t="s">
        <v>3010</v>
      </c>
      <c r="C2332" s="184" t="str">
        <f t="shared" si="36"/>
        <v>Prairie, MT</v>
      </c>
      <c r="D2332" s="187">
        <v>0.09</v>
      </c>
    </row>
    <row r="2333" spans="1:4">
      <c r="A2333" s="184" t="s">
        <v>663</v>
      </c>
      <c r="B2333" s="184" t="s">
        <v>1461</v>
      </c>
      <c r="C2333" s="184" t="str">
        <f t="shared" si="36"/>
        <v>Pratt, KS</v>
      </c>
      <c r="D2333" s="187">
        <v>0.09</v>
      </c>
    </row>
    <row r="2334" spans="1:4">
      <c r="A2334" s="184" t="s">
        <v>2562</v>
      </c>
      <c r="B2334" s="184" t="s">
        <v>872</v>
      </c>
      <c r="C2334" s="184" t="str">
        <f t="shared" si="36"/>
        <v>Preble, OH</v>
      </c>
      <c r="D2334" s="187">
        <v>0.09</v>
      </c>
    </row>
    <row r="2335" spans="1:4">
      <c r="A2335" s="184" t="s">
        <v>3035</v>
      </c>
      <c r="B2335" s="184" t="s">
        <v>2891</v>
      </c>
      <c r="C2335" s="184" t="str">
        <f t="shared" si="36"/>
        <v>Prentiss, MS</v>
      </c>
      <c r="D2335" s="187">
        <v>4.3999999999999997E-2</v>
      </c>
    </row>
    <row r="2336" spans="1:4">
      <c r="A2336" s="184" t="s">
        <v>3906</v>
      </c>
      <c r="B2336" s="184" t="s">
        <v>2880</v>
      </c>
      <c r="C2336" s="184" t="str">
        <f t="shared" si="36"/>
        <v>Presidio, TX</v>
      </c>
      <c r="D2336" s="187" t="s">
        <v>3930</v>
      </c>
    </row>
    <row r="2337" spans="1:4">
      <c r="A2337" s="184" t="s">
        <v>2090</v>
      </c>
      <c r="B2337" s="184" t="s">
        <v>1467</v>
      </c>
      <c r="C2337" s="184" t="str">
        <f t="shared" si="36"/>
        <v>Presque Isle, MI</v>
      </c>
      <c r="D2337" s="187">
        <v>0.09</v>
      </c>
    </row>
    <row r="2338" spans="1:4">
      <c r="A2338" s="184" t="s">
        <v>542</v>
      </c>
      <c r="B2338" s="184" t="s">
        <v>837</v>
      </c>
      <c r="C2338" s="184" t="str">
        <f t="shared" si="36"/>
        <v>Preston, WV</v>
      </c>
      <c r="D2338" s="187">
        <v>0.09</v>
      </c>
    </row>
    <row r="2339" spans="1:4">
      <c r="A2339" s="184" t="s">
        <v>550</v>
      </c>
      <c r="B2339" s="184" t="s">
        <v>858</v>
      </c>
      <c r="C2339" s="184" t="str">
        <f t="shared" si="36"/>
        <v>Price, WI</v>
      </c>
      <c r="D2339" s="187">
        <v>0.09</v>
      </c>
    </row>
    <row r="2340" spans="1:4">
      <c r="A2340" s="184" t="s">
        <v>746</v>
      </c>
      <c r="B2340" s="184" t="s">
        <v>2064</v>
      </c>
      <c r="C2340" s="184" t="str">
        <f t="shared" si="36"/>
        <v>Prince Edward, VA</v>
      </c>
      <c r="D2340" s="187">
        <v>4.3999999999999997E-2</v>
      </c>
    </row>
    <row r="2341" spans="1:4">
      <c r="A2341" s="184" t="s">
        <v>746</v>
      </c>
      <c r="B2341" s="184" t="s">
        <v>3164</v>
      </c>
      <c r="C2341" s="184" t="str">
        <f t="shared" si="36"/>
        <v>Prince George, VA</v>
      </c>
      <c r="D2341" s="187">
        <v>6.0999999999999999E-2</v>
      </c>
    </row>
    <row r="2342" spans="1:4">
      <c r="A2342" s="184" t="s">
        <v>2087</v>
      </c>
      <c r="B2342" s="184" t="s">
        <v>1008</v>
      </c>
      <c r="C2342" s="184" t="str">
        <f t="shared" si="36"/>
        <v>Prince George's, MD</v>
      </c>
      <c r="D2342" s="187">
        <v>4.4999999999999998E-2</v>
      </c>
    </row>
    <row r="2343" spans="1:4">
      <c r="A2343" s="184" t="s">
        <v>988</v>
      </c>
      <c r="B2343" s="184" t="s">
        <v>2982</v>
      </c>
      <c r="C2343" s="184" t="str">
        <f t="shared" si="36"/>
        <v>Prince of Wales-Outer Ket, AK</v>
      </c>
      <c r="D2343" s="187">
        <v>0.09</v>
      </c>
    </row>
    <row r="2344" spans="1:4">
      <c r="A2344" s="184" t="s">
        <v>746</v>
      </c>
      <c r="B2344" s="184" t="s">
        <v>3165</v>
      </c>
      <c r="C2344" s="184" t="str">
        <f t="shared" si="36"/>
        <v>Prince William, VA</v>
      </c>
      <c r="D2344" s="187">
        <v>6.0999999999999999E-2</v>
      </c>
    </row>
    <row r="2345" spans="1:4">
      <c r="A2345" s="184" t="s">
        <v>62</v>
      </c>
      <c r="B2345" s="184" t="s">
        <v>65</v>
      </c>
      <c r="C2345" s="184" t="str">
        <f t="shared" si="36"/>
        <v>Providence, RI</v>
      </c>
      <c r="D2345" s="187">
        <v>0.09</v>
      </c>
    </row>
    <row r="2346" spans="1:4">
      <c r="A2346" s="184" t="s">
        <v>3108</v>
      </c>
      <c r="B2346" s="184" t="s">
        <v>1171</v>
      </c>
      <c r="C2346" s="184" t="str">
        <f t="shared" si="36"/>
        <v>Prowers, CO</v>
      </c>
      <c r="D2346" s="187">
        <v>4.3999999999999997E-2</v>
      </c>
    </row>
    <row r="2347" spans="1:4">
      <c r="A2347" s="184" t="s">
        <v>3108</v>
      </c>
      <c r="B2347" s="184" t="s">
        <v>3416</v>
      </c>
      <c r="C2347" s="184" t="str">
        <f t="shared" si="36"/>
        <v>Pueblo, CO</v>
      </c>
      <c r="D2347" s="187">
        <v>5.7000000000000002E-2</v>
      </c>
    </row>
    <row r="2348" spans="1:4">
      <c r="A2348" s="184" t="s">
        <v>566</v>
      </c>
      <c r="B2348" s="184" t="s">
        <v>570</v>
      </c>
      <c r="C2348" s="184" t="str">
        <f t="shared" si="36"/>
        <v>Pulaski, AR</v>
      </c>
      <c r="D2348" s="187">
        <v>6.0999999999999999E-2</v>
      </c>
    </row>
    <row r="2349" spans="1:4">
      <c r="A2349" s="184" t="s">
        <v>3602</v>
      </c>
      <c r="B2349" s="184" t="s">
        <v>570</v>
      </c>
      <c r="C2349" s="184" t="str">
        <f t="shared" si="36"/>
        <v>Pulaski, GA</v>
      </c>
      <c r="D2349" s="187">
        <v>4.3999999999999997E-2</v>
      </c>
    </row>
    <row r="2350" spans="1:4">
      <c r="A2350" s="184" t="s">
        <v>2019</v>
      </c>
      <c r="B2350" s="184" t="s">
        <v>570</v>
      </c>
      <c r="C2350" s="184" t="str">
        <f t="shared" si="36"/>
        <v>Pulaski, IL</v>
      </c>
      <c r="D2350" s="187">
        <v>0.09</v>
      </c>
    </row>
    <row r="2351" spans="1:4">
      <c r="A2351" s="184" t="s">
        <v>2021</v>
      </c>
      <c r="B2351" s="184" t="s">
        <v>570</v>
      </c>
      <c r="C2351" s="184" t="str">
        <f t="shared" si="36"/>
        <v>Pulaski, IN</v>
      </c>
      <c r="D2351" s="187">
        <v>0.09</v>
      </c>
    </row>
    <row r="2352" spans="1:4">
      <c r="A2352" s="184" t="s">
        <v>529</v>
      </c>
      <c r="B2352" s="184" t="s">
        <v>570</v>
      </c>
      <c r="C2352" s="184" t="str">
        <f t="shared" si="36"/>
        <v>Pulaski, KY</v>
      </c>
      <c r="D2352" s="187">
        <v>0.09</v>
      </c>
    </row>
    <row r="2353" spans="1:4">
      <c r="A2353" s="184" t="s">
        <v>3434</v>
      </c>
      <c r="B2353" s="184" t="s">
        <v>570</v>
      </c>
      <c r="C2353" s="184" t="str">
        <f t="shared" si="36"/>
        <v>Pulaski, MO</v>
      </c>
      <c r="D2353" s="187">
        <v>0.09</v>
      </c>
    </row>
    <row r="2354" spans="1:4">
      <c r="A2354" s="184" t="s">
        <v>746</v>
      </c>
      <c r="B2354" s="184" t="s">
        <v>570</v>
      </c>
      <c r="C2354" s="184" t="str">
        <f t="shared" si="36"/>
        <v>Pulaski, VA</v>
      </c>
      <c r="D2354" s="187">
        <v>4.3999999999999997E-2</v>
      </c>
    </row>
    <row r="2355" spans="1:4">
      <c r="A2355" s="184" t="s">
        <v>2573</v>
      </c>
      <c r="B2355" s="184" t="s">
        <v>459</v>
      </c>
      <c r="C2355" s="184" t="str">
        <f t="shared" si="36"/>
        <v>Pushmataha, OK</v>
      </c>
      <c r="D2355" s="187">
        <v>0.09</v>
      </c>
    </row>
    <row r="2356" spans="1:4">
      <c r="A2356" s="184" t="s">
        <v>3594</v>
      </c>
      <c r="B2356" s="184" t="s">
        <v>2538</v>
      </c>
      <c r="C2356" s="184" t="str">
        <f t="shared" si="36"/>
        <v>Putnam, FL</v>
      </c>
      <c r="D2356" s="187">
        <v>4.3999999999999997E-2</v>
      </c>
    </row>
    <row r="2357" spans="1:4">
      <c r="A2357" s="184" t="s">
        <v>3602</v>
      </c>
      <c r="B2357" s="184" t="s">
        <v>2538</v>
      </c>
      <c r="C2357" s="184" t="str">
        <f t="shared" si="36"/>
        <v>Putnam, GA</v>
      </c>
      <c r="D2357" s="187">
        <v>4.3999999999999997E-2</v>
      </c>
    </row>
    <row r="2358" spans="1:4">
      <c r="A2358" s="184" t="s">
        <v>2019</v>
      </c>
      <c r="B2358" s="184" t="s">
        <v>2538</v>
      </c>
      <c r="C2358" s="184" t="str">
        <f t="shared" si="36"/>
        <v>Putnam, IL</v>
      </c>
      <c r="D2358" s="187">
        <v>0.09</v>
      </c>
    </row>
    <row r="2359" spans="1:4">
      <c r="A2359" s="184" t="s">
        <v>2021</v>
      </c>
      <c r="B2359" s="184" t="s">
        <v>2538</v>
      </c>
      <c r="C2359" s="184" t="str">
        <f t="shared" si="36"/>
        <v>Putnam, IN</v>
      </c>
      <c r="D2359" s="187">
        <v>0.09</v>
      </c>
    </row>
    <row r="2360" spans="1:4">
      <c r="A2360" s="184" t="s">
        <v>3434</v>
      </c>
      <c r="B2360" s="184" t="s">
        <v>2538</v>
      </c>
      <c r="C2360" s="184" t="str">
        <f t="shared" si="36"/>
        <v>Putnam, MO</v>
      </c>
      <c r="D2360" s="187">
        <v>0.09</v>
      </c>
    </row>
    <row r="2361" spans="1:4">
      <c r="A2361" s="184" t="s">
        <v>3446</v>
      </c>
      <c r="B2361" s="184" t="s">
        <v>2538</v>
      </c>
      <c r="C2361" s="184" t="str">
        <f t="shared" si="36"/>
        <v>Putnam, NY</v>
      </c>
      <c r="D2361" s="187">
        <v>6.0999999999999999E-2</v>
      </c>
    </row>
    <row r="2362" spans="1:4">
      <c r="A2362" s="184" t="s">
        <v>2562</v>
      </c>
      <c r="B2362" s="184" t="s">
        <v>2538</v>
      </c>
      <c r="C2362" s="184" t="str">
        <f t="shared" si="36"/>
        <v>Putnam, OH</v>
      </c>
      <c r="D2362" s="187">
        <v>0.09</v>
      </c>
    </row>
    <row r="2363" spans="1:4">
      <c r="A2363" s="184" t="s">
        <v>699</v>
      </c>
      <c r="B2363" s="184" t="s">
        <v>2538</v>
      </c>
      <c r="C2363" s="184" t="str">
        <f t="shared" si="36"/>
        <v>Putnam, TN</v>
      </c>
      <c r="D2363" s="187">
        <v>0.09</v>
      </c>
    </row>
    <row r="2364" spans="1:4">
      <c r="A2364" s="184" t="s">
        <v>542</v>
      </c>
      <c r="B2364" s="184" t="s">
        <v>2538</v>
      </c>
      <c r="C2364" s="184" t="str">
        <f t="shared" si="36"/>
        <v>Putnam, WV</v>
      </c>
      <c r="D2364" s="187">
        <v>6.0999999999999999E-2</v>
      </c>
    </row>
    <row r="2365" spans="1:4">
      <c r="A2365" s="184" t="s">
        <v>3622</v>
      </c>
      <c r="B2365" s="184" t="s">
        <v>960</v>
      </c>
      <c r="C2365" s="184" t="str">
        <f t="shared" si="36"/>
        <v>Quay, NM</v>
      </c>
      <c r="D2365" s="187">
        <v>3.5000000000000003E-2</v>
      </c>
    </row>
    <row r="2366" spans="1:4">
      <c r="A2366" s="184" t="s">
        <v>2087</v>
      </c>
      <c r="B2366" s="184" t="s">
        <v>2752</v>
      </c>
      <c r="C2366" s="184" t="str">
        <f t="shared" si="36"/>
        <v>Queen Anne's, MD</v>
      </c>
      <c r="D2366" s="187">
        <v>6.0999999999999999E-2</v>
      </c>
    </row>
    <row r="2367" spans="1:4">
      <c r="A2367" s="184" t="s">
        <v>3446</v>
      </c>
      <c r="B2367" s="184" t="s">
        <v>575</v>
      </c>
      <c r="C2367" s="184" t="str">
        <f t="shared" si="36"/>
        <v>Queens, NY</v>
      </c>
      <c r="D2367" s="187">
        <v>4.4999999999999998E-2</v>
      </c>
    </row>
    <row r="2368" spans="1:4">
      <c r="A2368" s="184" t="s">
        <v>3602</v>
      </c>
      <c r="B2368" s="184" t="s">
        <v>954</v>
      </c>
      <c r="C2368" s="184" t="str">
        <f t="shared" si="36"/>
        <v>Quitman, GA</v>
      </c>
      <c r="D2368" s="187" t="s">
        <v>3930</v>
      </c>
    </row>
    <row r="2369" spans="1:4">
      <c r="A2369" s="184" t="s">
        <v>3035</v>
      </c>
      <c r="B2369" s="184" t="s">
        <v>954</v>
      </c>
      <c r="C2369" s="184" t="str">
        <f t="shared" si="36"/>
        <v>Quitman, MS</v>
      </c>
      <c r="D2369" s="187">
        <v>3.5000000000000003E-2</v>
      </c>
    </row>
    <row r="2370" spans="1:4">
      <c r="A2370" s="184" t="s">
        <v>3602</v>
      </c>
      <c r="B2370" s="184" t="s">
        <v>237</v>
      </c>
      <c r="C2370" s="184" t="str">
        <f t="shared" si="36"/>
        <v>Rabun, GA</v>
      </c>
      <c r="D2370" s="187">
        <v>4.3999999999999997E-2</v>
      </c>
    </row>
    <row r="2371" spans="1:4">
      <c r="A2371" s="184" t="s">
        <v>550</v>
      </c>
      <c r="B2371" s="184" t="s">
        <v>1029</v>
      </c>
      <c r="C2371" s="184" t="str">
        <f t="shared" si="36"/>
        <v>Racine, WI</v>
      </c>
      <c r="D2371" s="187">
        <v>6.0999999999999999E-2</v>
      </c>
    </row>
    <row r="2372" spans="1:4">
      <c r="A2372" s="184" t="s">
        <v>746</v>
      </c>
      <c r="B2372" s="184" t="s">
        <v>3203</v>
      </c>
      <c r="C2372" s="184" t="str">
        <f t="shared" si="36"/>
        <v>Radford City, VA</v>
      </c>
      <c r="D2372" s="187">
        <v>4.3999999999999997E-2</v>
      </c>
    </row>
    <row r="2373" spans="1:4">
      <c r="A2373" s="184" t="s">
        <v>3906</v>
      </c>
      <c r="B2373" s="184" t="s">
        <v>341</v>
      </c>
      <c r="C2373" s="184" t="str">
        <f t="shared" si="36"/>
        <v>Rains, TX</v>
      </c>
      <c r="D2373" s="187">
        <v>4.3999999999999997E-2</v>
      </c>
    </row>
    <row r="2374" spans="1:4">
      <c r="A2374" s="184" t="s">
        <v>542</v>
      </c>
      <c r="B2374" s="184" t="s">
        <v>838</v>
      </c>
      <c r="C2374" s="184" t="str">
        <f t="shared" ref="C2374:C2437" si="37">B2374&amp;", "&amp;A2374</f>
        <v>Raleigh, WV</v>
      </c>
      <c r="D2374" s="187">
        <v>0.09</v>
      </c>
    </row>
    <row r="2375" spans="1:4">
      <c r="A2375" s="184" t="s">
        <v>3434</v>
      </c>
      <c r="B2375" s="184" t="s">
        <v>2793</v>
      </c>
      <c r="C2375" s="184" t="str">
        <f t="shared" si="37"/>
        <v>Ralls, MO</v>
      </c>
      <c r="D2375" s="187">
        <v>0.09</v>
      </c>
    </row>
    <row r="2376" spans="1:4">
      <c r="A2376" s="184" t="s">
        <v>3429</v>
      </c>
      <c r="B2376" s="184" t="s">
        <v>2767</v>
      </c>
      <c r="C2376" s="184" t="str">
        <f t="shared" si="37"/>
        <v>Ramsey, MN</v>
      </c>
      <c r="D2376" s="187">
        <v>6.0999999999999999E-2</v>
      </c>
    </row>
    <row r="2377" spans="1:4">
      <c r="A2377" s="184" t="s">
        <v>2558</v>
      </c>
      <c r="B2377" s="184" t="s">
        <v>2767</v>
      </c>
      <c r="C2377" s="184" t="str">
        <f t="shared" si="37"/>
        <v>Ramsey, ND</v>
      </c>
      <c r="D2377" s="187">
        <v>0.09</v>
      </c>
    </row>
    <row r="2378" spans="1:4">
      <c r="A2378" s="184" t="s">
        <v>3906</v>
      </c>
      <c r="B2378" s="184" t="s">
        <v>507</v>
      </c>
      <c r="C2378" s="184" t="str">
        <f t="shared" si="37"/>
        <v>Randall, TX</v>
      </c>
      <c r="D2378" s="187">
        <v>4.3999999999999997E-2</v>
      </c>
    </row>
    <row r="2379" spans="1:4">
      <c r="A2379" s="184" t="s">
        <v>2000</v>
      </c>
      <c r="B2379" s="184" t="s">
        <v>2281</v>
      </c>
      <c r="C2379" s="184" t="str">
        <f t="shared" si="37"/>
        <v>Randolph, AL</v>
      </c>
      <c r="D2379" s="187">
        <v>0.09</v>
      </c>
    </row>
    <row r="2380" spans="1:4">
      <c r="A2380" s="184" t="s">
        <v>566</v>
      </c>
      <c r="B2380" s="184" t="s">
        <v>2281</v>
      </c>
      <c r="C2380" s="184" t="str">
        <f t="shared" si="37"/>
        <v>Randolph, AR</v>
      </c>
      <c r="D2380" s="187">
        <v>4.3999999999999997E-2</v>
      </c>
    </row>
    <row r="2381" spans="1:4">
      <c r="A2381" s="184" t="s">
        <v>3602</v>
      </c>
      <c r="B2381" s="184" t="s">
        <v>2281</v>
      </c>
      <c r="C2381" s="184" t="str">
        <f t="shared" si="37"/>
        <v>Randolph, GA</v>
      </c>
      <c r="D2381" s="187">
        <v>4.3999999999999997E-2</v>
      </c>
    </row>
    <row r="2382" spans="1:4">
      <c r="A2382" s="184" t="s">
        <v>2019</v>
      </c>
      <c r="B2382" s="184" t="s">
        <v>2281</v>
      </c>
      <c r="C2382" s="184" t="str">
        <f t="shared" si="37"/>
        <v>Randolph, IL</v>
      </c>
      <c r="D2382" s="187">
        <v>0.09</v>
      </c>
    </row>
    <row r="2383" spans="1:4">
      <c r="A2383" s="184" t="s">
        <v>2021</v>
      </c>
      <c r="B2383" s="184" t="s">
        <v>2281</v>
      </c>
      <c r="C2383" s="184" t="str">
        <f t="shared" si="37"/>
        <v>Randolph, IN</v>
      </c>
      <c r="D2383" s="187">
        <v>0.09</v>
      </c>
    </row>
    <row r="2384" spans="1:4">
      <c r="A2384" s="184" t="s">
        <v>3434</v>
      </c>
      <c r="B2384" s="184" t="s">
        <v>2281</v>
      </c>
      <c r="C2384" s="184" t="str">
        <f t="shared" si="37"/>
        <v>Randolph, MO</v>
      </c>
      <c r="D2384" s="187">
        <v>0.09</v>
      </c>
    </row>
    <row r="2385" spans="1:4">
      <c r="A2385" s="184" t="s">
        <v>2542</v>
      </c>
      <c r="B2385" s="184" t="s">
        <v>2281</v>
      </c>
      <c r="C2385" s="184" t="str">
        <f t="shared" si="37"/>
        <v>Randolph, NC</v>
      </c>
      <c r="D2385" s="187">
        <v>6.0999999999999999E-2</v>
      </c>
    </row>
    <row r="2386" spans="1:4">
      <c r="A2386" s="184" t="s">
        <v>542</v>
      </c>
      <c r="B2386" s="184" t="s">
        <v>2281</v>
      </c>
      <c r="C2386" s="184" t="str">
        <f t="shared" si="37"/>
        <v>Randolph, WV</v>
      </c>
      <c r="D2386" s="187">
        <v>0.09</v>
      </c>
    </row>
    <row r="2387" spans="1:4">
      <c r="A2387" s="184" t="s">
        <v>3035</v>
      </c>
      <c r="B2387" s="184" t="s">
        <v>3312</v>
      </c>
      <c r="C2387" s="184" t="str">
        <f t="shared" si="37"/>
        <v>Rankin, MS</v>
      </c>
      <c r="D2387" s="187">
        <v>4.3999999999999997E-2</v>
      </c>
    </row>
    <row r="2388" spans="1:4">
      <c r="A2388" s="184" t="s">
        <v>2558</v>
      </c>
      <c r="B2388" s="184" t="s">
        <v>3955</v>
      </c>
      <c r="C2388" s="184" t="str">
        <f t="shared" si="37"/>
        <v>Ransom, ND</v>
      </c>
      <c r="D2388" s="187">
        <v>0.09</v>
      </c>
    </row>
    <row r="2389" spans="1:4">
      <c r="A2389" s="184" t="s">
        <v>535</v>
      </c>
      <c r="B2389" s="184" t="s">
        <v>2079</v>
      </c>
      <c r="C2389" s="184" t="str">
        <f t="shared" si="37"/>
        <v>Rapides, LA</v>
      </c>
      <c r="D2389" s="187">
        <v>0.09</v>
      </c>
    </row>
    <row r="2390" spans="1:4">
      <c r="A2390" s="184" t="s">
        <v>746</v>
      </c>
      <c r="B2390" s="184" t="s">
        <v>2065</v>
      </c>
      <c r="C2390" s="184" t="str">
        <f t="shared" si="37"/>
        <v>Rappahannock, VA</v>
      </c>
      <c r="D2390" s="187">
        <v>4.3999999999999997E-2</v>
      </c>
    </row>
    <row r="2391" spans="1:4">
      <c r="A2391" s="184" t="s">
        <v>3438</v>
      </c>
      <c r="B2391" s="184" t="s">
        <v>2821</v>
      </c>
      <c r="C2391" s="184" t="str">
        <f t="shared" si="37"/>
        <v>Ravalli, MT</v>
      </c>
      <c r="D2391" s="187">
        <v>0.09</v>
      </c>
    </row>
    <row r="2392" spans="1:4">
      <c r="A2392" s="184" t="s">
        <v>663</v>
      </c>
      <c r="B2392" s="184" t="s">
        <v>1464</v>
      </c>
      <c r="C2392" s="184" t="str">
        <f t="shared" si="37"/>
        <v>Rawlins, KS</v>
      </c>
      <c r="D2392" s="187">
        <v>0.09</v>
      </c>
    </row>
    <row r="2393" spans="1:4">
      <c r="A2393" s="184" t="s">
        <v>3434</v>
      </c>
      <c r="B2393" s="184" t="s">
        <v>3040</v>
      </c>
      <c r="C2393" s="184" t="str">
        <f t="shared" si="37"/>
        <v>Ray, MO</v>
      </c>
      <c r="D2393" s="187">
        <v>6.0999999999999999E-2</v>
      </c>
    </row>
    <row r="2394" spans="1:4">
      <c r="A2394" s="184" t="s">
        <v>3906</v>
      </c>
      <c r="B2394" s="184" t="s">
        <v>342</v>
      </c>
      <c r="C2394" s="184" t="str">
        <f t="shared" si="37"/>
        <v>Reagan, TX</v>
      </c>
      <c r="D2394" s="187">
        <v>4.3999999999999997E-2</v>
      </c>
    </row>
    <row r="2395" spans="1:4">
      <c r="A2395" s="184" t="s">
        <v>3906</v>
      </c>
      <c r="B2395" s="184" t="s">
        <v>2881</v>
      </c>
      <c r="C2395" s="184" t="str">
        <f t="shared" si="37"/>
        <v>Real, TX</v>
      </c>
      <c r="D2395" s="187" t="s">
        <v>3930</v>
      </c>
    </row>
    <row r="2396" spans="1:4">
      <c r="A2396" s="184" t="s">
        <v>3429</v>
      </c>
      <c r="B2396" s="184" t="s">
        <v>1507</v>
      </c>
      <c r="C2396" s="184" t="str">
        <f t="shared" si="37"/>
        <v>Red Lake, MN</v>
      </c>
      <c r="D2396" s="187">
        <v>0.09</v>
      </c>
    </row>
    <row r="2397" spans="1:4">
      <c r="A2397" s="184" t="s">
        <v>535</v>
      </c>
      <c r="B2397" s="184" t="s">
        <v>767</v>
      </c>
      <c r="C2397" s="184" t="str">
        <f t="shared" si="37"/>
        <v>Red River, LA</v>
      </c>
      <c r="D2397" s="187">
        <v>0.09</v>
      </c>
    </row>
    <row r="2398" spans="1:4">
      <c r="A2398" s="184" t="s">
        <v>3906</v>
      </c>
      <c r="B2398" s="184" t="s">
        <v>767</v>
      </c>
      <c r="C2398" s="184" t="str">
        <f t="shared" si="37"/>
        <v>Red River, TX</v>
      </c>
      <c r="D2398" s="187">
        <v>4.3999999999999997E-2</v>
      </c>
    </row>
    <row r="2399" spans="1:4">
      <c r="A2399" s="184" t="s">
        <v>3442</v>
      </c>
      <c r="B2399" s="184" t="s">
        <v>1119</v>
      </c>
      <c r="C2399" s="184" t="str">
        <f t="shared" si="37"/>
        <v>Red Willow, NE</v>
      </c>
      <c r="D2399" s="187">
        <v>0.09</v>
      </c>
    </row>
    <row r="2400" spans="1:4">
      <c r="A2400" s="184" t="s">
        <v>3429</v>
      </c>
      <c r="B2400" s="184" t="s">
        <v>1508</v>
      </c>
      <c r="C2400" s="184" t="str">
        <f t="shared" si="37"/>
        <v>Redwood, MN</v>
      </c>
      <c r="D2400" s="187">
        <v>0.09</v>
      </c>
    </row>
    <row r="2401" spans="1:4">
      <c r="A2401" s="184" t="s">
        <v>3906</v>
      </c>
      <c r="B2401" s="184" t="s">
        <v>343</v>
      </c>
      <c r="C2401" s="184" t="str">
        <f t="shared" si="37"/>
        <v>Reeves, TX</v>
      </c>
      <c r="D2401" s="187">
        <v>4.3999999999999997E-2</v>
      </c>
    </row>
    <row r="2402" spans="1:4">
      <c r="A2402" s="184" t="s">
        <v>3906</v>
      </c>
      <c r="B2402" s="184" t="s">
        <v>344</v>
      </c>
      <c r="C2402" s="184" t="str">
        <f t="shared" si="37"/>
        <v>Refugio, TX</v>
      </c>
      <c r="D2402" s="187">
        <v>4.3999999999999997E-2</v>
      </c>
    </row>
    <row r="2403" spans="1:4">
      <c r="A2403" s="184" t="s">
        <v>663</v>
      </c>
      <c r="B2403" s="184" t="s">
        <v>1465</v>
      </c>
      <c r="C2403" s="184" t="str">
        <f t="shared" si="37"/>
        <v>Reno, KS</v>
      </c>
      <c r="D2403" s="187">
        <v>0.09</v>
      </c>
    </row>
    <row r="2404" spans="1:4">
      <c r="A2404" s="184" t="s">
        <v>3446</v>
      </c>
      <c r="B2404" s="184" t="s">
        <v>3533</v>
      </c>
      <c r="C2404" s="184" t="str">
        <f t="shared" si="37"/>
        <v>Rensselaer, NY</v>
      </c>
      <c r="D2404" s="187">
        <v>3.5000000000000003E-2</v>
      </c>
    </row>
    <row r="2405" spans="1:4">
      <c r="A2405" s="184" t="s">
        <v>3429</v>
      </c>
      <c r="B2405" s="184" t="s">
        <v>1509</v>
      </c>
      <c r="C2405" s="184" t="str">
        <f t="shared" si="37"/>
        <v>Renville, MN</v>
      </c>
      <c r="D2405" s="187">
        <v>0.09</v>
      </c>
    </row>
    <row r="2406" spans="1:4">
      <c r="A2406" s="184" t="s">
        <v>2558</v>
      </c>
      <c r="B2406" s="184" t="s">
        <v>1509</v>
      </c>
      <c r="C2406" s="184" t="str">
        <f t="shared" si="37"/>
        <v>Renville, ND</v>
      </c>
      <c r="D2406" s="187">
        <v>0.09</v>
      </c>
    </row>
    <row r="2407" spans="1:4">
      <c r="A2407" s="184" t="s">
        <v>663</v>
      </c>
      <c r="B2407" s="184" t="s">
        <v>1466</v>
      </c>
      <c r="C2407" s="184" t="str">
        <f t="shared" si="37"/>
        <v>Republic, KS</v>
      </c>
      <c r="D2407" s="187">
        <v>0.09</v>
      </c>
    </row>
    <row r="2408" spans="1:4">
      <c r="A2408" s="184" t="s">
        <v>3434</v>
      </c>
      <c r="B2408" s="184" t="s">
        <v>956</v>
      </c>
      <c r="C2408" s="184" t="str">
        <f t="shared" si="37"/>
        <v>Reynolds, MO</v>
      </c>
      <c r="D2408" s="187">
        <v>3.5000000000000003E-2</v>
      </c>
    </row>
    <row r="2409" spans="1:4">
      <c r="A2409" s="184" t="s">
        <v>699</v>
      </c>
      <c r="B2409" s="184" t="s">
        <v>966</v>
      </c>
      <c r="C2409" s="184" t="str">
        <f t="shared" si="37"/>
        <v>Rhea, TN</v>
      </c>
      <c r="D2409" s="187">
        <v>0.09</v>
      </c>
    </row>
    <row r="2410" spans="1:4">
      <c r="A2410" s="184" t="s">
        <v>663</v>
      </c>
      <c r="B2410" s="184" t="s">
        <v>2768</v>
      </c>
      <c r="C2410" s="184" t="str">
        <f t="shared" si="37"/>
        <v>Rice, KS</v>
      </c>
      <c r="D2410" s="187">
        <v>0.09</v>
      </c>
    </row>
    <row r="2411" spans="1:4">
      <c r="A2411" s="184" t="s">
        <v>3429</v>
      </c>
      <c r="B2411" s="184" t="s">
        <v>2768</v>
      </c>
      <c r="C2411" s="184" t="str">
        <f t="shared" si="37"/>
        <v>Rice, MN</v>
      </c>
      <c r="D2411" s="187">
        <v>0.09</v>
      </c>
    </row>
    <row r="2412" spans="1:4">
      <c r="A2412" s="184" t="s">
        <v>742</v>
      </c>
      <c r="B2412" s="184" t="s">
        <v>388</v>
      </c>
      <c r="C2412" s="184" t="str">
        <f t="shared" si="37"/>
        <v>Rich, UT</v>
      </c>
      <c r="D2412" s="187">
        <v>4.3999999999999997E-2</v>
      </c>
    </row>
    <row r="2413" spans="1:4">
      <c r="A2413" s="184" t="s">
        <v>3442</v>
      </c>
      <c r="B2413" s="184" t="s">
        <v>1120</v>
      </c>
      <c r="C2413" s="184" t="str">
        <f t="shared" si="37"/>
        <v>Richardson, NE</v>
      </c>
      <c r="D2413" s="187">
        <v>0.09</v>
      </c>
    </row>
    <row r="2414" spans="1:4">
      <c r="A2414" s="184" t="s">
        <v>2019</v>
      </c>
      <c r="B2414" s="184" t="s">
        <v>2570</v>
      </c>
      <c r="C2414" s="184" t="str">
        <f t="shared" si="37"/>
        <v>Richland, IL</v>
      </c>
      <c r="D2414" s="187">
        <v>0.09</v>
      </c>
    </row>
    <row r="2415" spans="1:4">
      <c r="A2415" s="184" t="s">
        <v>535</v>
      </c>
      <c r="B2415" s="184" t="s">
        <v>2570</v>
      </c>
      <c r="C2415" s="184" t="str">
        <f t="shared" si="37"/>
        <v>Richland, LA</v>
      </c>
      <c r="D2415" s="187">
        <v>5.7000000000000002E-2</v>
      </c>
    </row>
    <row r="2416" spans="1:4">
      <c r="A2416" s="184" t="s">
        <v>3438</v>
      </c>
      <c r="B2416" s="184" t="s">
        <v>2570</v>
      </c>
      <c r="C2416" s="184" t="str">
        <f t="shared" si="37"/>
        <v>Richland, MT</v>
      </c>
      <c r="D2416" s="187">
        <v>0.09</v>
      </c>
    </row>
    <row r="2417" spans="1:4">
      <c r="A2417" s="184" t="s">
        <v>2558</v>
      </c>
      <c r="B2417" s="184" t="s">
        <v>2570</v>
      </c>
      <c r="C2417" s="184" t="str">
        <f t="shared" si="37"/>
        <v>Richland, ND</v>
      </c>
      <c r="D2417" s="187">
        <v>0.09</v>
      </c>
    </row>
    <row r="2418" spans="1:4">
      <c r="A2418" s="184" t="s">
        <v>2562</v>
      </c>
      <c r="B2418" s="184" t="s">
        <v>2570</v>
      </c>
      <c r="C2418" s="184" t="str">
        <f t="shared" si="37"/>
        <v>Richland, OH</v>
      </c>
      <c r="D2418" s="187">
        <v>0.09</v>
      </c>
    </row>
    <row r="2419" spans="1:4">
      <c r="A2419" s="184" t="s">
        <v>1942</v>
      </c>
      <c r="B2419" s="184" t="s">
        <v>2570</v>
      </c>
      <c r="C2419" s="184" t="str">
        <f t="shared" si="37"/>
        <v>Richland, SC</v>
      </c>
      <c r="D2419" s="187">
        <v>6.0999999999999999E-2</v>
      </c>
    </row>
    <row r="2420" spans="1:4">
      <c r="A2420" s="184" t="s">
        <v>550</v>
      </c>
      <c r="B2420" s="184" t="s">
        <v>2570</v>
      </c>
      <c r="C2420" s="184" t="str">
        <f t="shared" si="37"/>
        <v>Richland, WI</v>
      </c>
      <c r="D2420" s="187">
        <v>0.09</v>
      </c>
    </row>
    <row r="2421" spans="1:4">
      <c r="A2421" s="184" t="s">
        <v>3602</v>
      </c>
      <c r="B2421" s="184" t="s">
        <v>3304</v>
      </c>
      <c r="C2421" s="184" t="str">
        <f t="shared" si="37"/>
        <v>Richmond, GA</v>
      </c>
      <c r="D2421" s="187">
        <v>4.3999999999999997E-2</v>
      </c>
    </row>
    <row r="2422" spans="1:4">
      <c r="A2422" s="184" t="s">
        <v>2542</v>
      </c>
      <c r="B2422" s="184" t="s">
        <v>3304</v>
      </c>
      <c r="C2422" s="184" t="str">
        <f t="shared" si="37"/>
        <v>Richmond, NC</v>
      </c>
      <c r="D2422" s="187">
        <v>4.3999999999999997E-2</v>
      </c>
    </row>
    <row r="2423" spans="1:4">
      <c r="A2423" s="184" t="s">
        <v>3446</v>
      </c>
      <c r="B2423" s="184" t="s">
        <v>3304</v>
      </c>
      <c r="C2423" s="184" t="str">
        <f t="shared" si="37"/>
        <v>Richmond, NY</v>
      </c>
      <c r="D2423" s="187">
        <v>4.4999999999999998E-2</v>
      </c>
    </row>
    <row r="2424" spans="1:4">
      <c r="A2424" s="184" t="s">
        <v>746</v>
      </c>
      <c r="B2424" s="184" t="s">
        <v>3304</v>
      </c>
      <c r="C2424" s="184" t="str">
        <f t="shared" si="37"/>
        <v>Richmond, VA</v>
      </c>
      <c r="D2424" s="187">
        <v>4.3999999999999997E-2</v>
      </c>
    </row>
    <row r="2425" spans="1:4">
      <c r="A2425" s="184" t="s">
        <v>746</v>
      </c>
      <c r="B2425" s="184" t="s">
        <v>1203</v>
      </c>
      <c r="C2425" s="184" t="str">
        <f t="shared" si="37"/>
        <v>Richmond City, VA</v>
      </c>
      <c r="D2425" s="187">
        <v>2.4E-2</v>
      </c>
    </row>
    <row r="2426" spans="1:4">
      <c r="A2426" s="184" t="s">
        <v>663</v>
      </c>
      <c r="B2426" s="184" t="s">
        <v>2769</v>
      </c>
      <c r="C2426" s="184" t="str">
        <f t="shared" si="37"/>
        <v>Riley, KS</v>
      </c>
      <c r="D2426" s="187">
        <v>0.09</v>
      </c>
    </row>
    <row r="2427" spans="1:4">
      <c r="A2427" s="184" t="s">
        <v>2031</v>
      </c>
      <c r="B2427" s="184" t="s">
        <v>1985</v>
      </c>
      <c r="C2427" s="184" t="str">
        <f t="shared" si="37"/>
        <v>Ringgold, IA</v>
      </c>
      <c r="D2427" s="187">
        <v>0.09</v>
      </c>
    </row>
    <row r="2428" spans="1:4">
      <c r="A2428" s="184" t="s">
        <v>3622</v>
      </c>
      <c r="B2428" s="184" t="s">
        <v>961</v>
      </c>
      <c r="C2428" s="184" t="str">
        <f t="shared" si="37"/>
        <v>Rio Arriba, NM</v>
      </c>
      <c r="D2428" s="187">
        <v>3.5000000000000003E-2</v>
      </c>
    </row>
    <row r="2429" spans="1:4">
      <c r="A2429" s="184" t="s">
        <v>3108</v>
      </c>
      <c r="B2429" s="184" t="s">
        <v>1172</v>
      </c>
      <c r="C2429" s="184" t="str">
        <f t="shared" si="37"/>
        <v>Rio Blanco, CO</v>
      </c>
      <c r="D2429" s="187">
        <v>4.3999999999999997E-2</v>
      </c>
    </row>
    <row r="2430" spans="1:4">
      <c r="A2430" s="184" t="s">
        <v>3108</v>
      </c>
      <c r="B2430" s="184" t="s">
        <v>3417</v>
      </c>
      <c r="C2430" s="184" t="str">
        <f t="shared" si="37"/>
        <v>Rio Grande, CO</v>
      </c>
      <c r="D2430" s="187">
        <v>5.7000000000000002E-2</v>
      </c>
    </row>
    <row r="2431" spans="1:4">
      <c r="A2431" s="184" t="s">
        <v>2021</v>
      </c>
      <c r="B2431" s="184" t="s">
        <v>2838</v>
      </c>
      <c r="C2431" s="184" t="str">
        <f t="shared" si="37"/>
        <v>Ripley, IN</v>
      </c>
      <c r="D2431" s="187">
        <v>0.09</v>
      </c>
    </row>
    <row r="2432" spans="1:4">
      <c r="A2432" s="184" t="s">
        <v>3434</v>
      </c>
      <c r="B2432" s="184" t="s">
        <v>2838</v>
      </c>
      <c r="C2432" s="184" t="str">
        <f t="shared" si="37"/>
        <v>Ripley, MO</v>
      </c>
      <c r="D2432" s="187">
        <v>5.7000000000000002E-2</v>
      </c>
    </row>
    <row r="2433" spans="1:4">
      <c r="A2433" s="184" t="s">
        <v>542</v>
      </c>
      <c r="B2433" s="184" t="s">
        <v>839</v>
      </c>
      <c r="C2433" s="184" t="str">
        <f t="shared" si="37"/>
        <v>Ritchie, WV</v>
      </c>
      <c r="D2433" s="187">
        <v>0.09</v>
      </c>
    </row>
    <row r="2434" spans="1:4">
      <c r="A2434" s="184" t="s">
        <v>3106</v>
      </c>
      <c r="B2434" s="184" t="s">
        <v>3551</v>
      </c>
      <c r="C2434" s="184" t="str">
        <f t="shared" si="37"/>
        <v>Riverside, CA</v>
      </c>
      <c r="D2434" s="187">
        <v>2.4E-2</v>
      </c>
    </row>
    <row r="2435" spans="1:4">
      <c r="A2435" s="184" t="s">
        <v>699</v>
      </c>
      <c r="B2435" s="184" t="s">
        <v>967</v>
      </c>
      <c r="C2435" s="184" t="str">
        <f t="shared" si="37"/>
        <v>Roane, TN</v>
      </c>
      <c r="D2435" s="187">
        <v>0.09</v>
      </c>
    </row>
    <row r="2436" spans="1:4">
      <c r="A2436" s="184" t="s">
        <v>542</v>
      </c>
      <c r="B2436" s="184" t="s">
        <v>967</v>
      </c>
      <c r="C2436" s="184" t="str">
        <f t="shared" si="37"/>
        <v>Roane, WV</v>
      </c>
      <c r="D2436" s="187">
        <v>0.09</v>
      </c>
    </row>
    <row r="2437" spans="1:4">
      <c r="A2437" s="184" t="s">
        <v>746</v>
      </c>
      <c r="B2437" s="184" t="s">
        <v>3166</v>
      </c>
      <c r="C2437" s="184" t="str">
        <f t="shared" si="37"/>
        <v>Roanoke, VA</v>
      </c>
      <c r="D2437" s="187">
        <v>6.0999999999999999E-2</v>
      </c>
    </row>
    <row r="2438" spans="1:4">
      <c r="A2438" s="184" t="s">
        <v>746</v>
      </c>
      <c r="B2438" s="184" t="s">
        <v>3179</v>
      </c>
      <c r="C2438" s="184" t="str">
        <f t="shared" ref="C2438:C2501" si="38">B2438&amp;", "&amp;A2438</f>
        <v>Roanoke City, VA</v>
      </c>
      <c r="D2438" s="187">
        <v>6.0999999999999999E-2</v>
      </c>
    </row>
    <row r="2439" spans="1:4">
      <c r="A2439" s="184" t="s">
        <v>1944</v>
      </c>
      <c r="B2439" s="184" t="s">
        <v>1726</v>
      </c>
      <c r="C2439" s="184" t="str">
        <f t="shared" si="38"/>
        <v>Roberts, SD</v>
      </c>
      <c r="D2439" s="187">
        <v>4.3999999999999997E-2</v>
      </c>
    </row>
    <row r="2440" spans="1:4">
      <c r="A2440" s="184" t="s">
        <v>3906</v>
      </c>
      <c r="B2440" s="184" t="s">
        <v>1726</v>
      </c>
      <c r="C2440" s="184" t="str">
        <f t="shared" si="38"/>
        <v>Roberts, TX</v>
      </c>
      <c r="D2440" s="187">
        <v>4.3999999999999997E-2</v>
      </c>
    </row>
    <row r="2441" spans="1:4">
      <c r="A2441" s="184" t="s">
        <v>529</v>
      </c>
      <c r="B2441" s="184" t="s">
        <v>3901</v>
      </c>
      <c r="C2441" s="184" t="str">
        <f t="shared" si="38"/>
        <v>Robertson, KY</v>
      </c>
      <c r="D2441" s="187">
        <v>0.09</v>
      </c>
    </row>
    <row r="2442" spans="1:4">
      <c r="A2442" s="184" t="s">
        <v>699</v>
      </c>
      <c r="B2442" s="184" t="s">
        <v>3901</v>
      </c>
      <c r="C2442" s="184" t="str">
        <f t="shared" si="38"/>
        <v>Robertson, TN</v>
      </c>
      <c r="D2442" s="187">
        <v>6.0999999999999999E-2</v>
      </c>
    </row>
    <row r="2443" spans="1:4">
      <c r="A2443" s="184" t="s">
        <v>3906</v>
      </c>
      <c r="B2443" s="184" t="s">
        <v>3901</v>
      </c>
      <c r="C2443" s="184" t="str">
        <f t="shared" si="38"/>
        <v>Robertson, TX</v>
      </c>
      <c r="D2443" s="187">
        <v>3.5000000000000003E-2</v>
      </c>
    </row>
    <row r="2444" spans="1:4">
      <c r="A2444" s="184" t="s">
        <v>2542</v>
      </c>
      <c r="B2444" s="184" t="s">
        <v>3276</v>
      </c>
      <c r="C2444" s="184" t="str">
        <f t="shared" si="38"/>
        <v>Robeson, NC</v>
      </c>
      <c r="D2444" s="187">
        <v>4.3999999999999997E-2</v>
      </c>
    </row>
    <row r="2445" spans="1:4">
      <c r="A2445" s="184" t="s">
        <v>3429</v>
      </c>
      <c r="B2445" s="184" t="s">
        <v>554</v>
      </c>
      <c r="C2445" s="184" t="str">
        <f t="shared" si="38"/>
        <v>Rock, MN</v>
      </c>
      <c r="D2445" s="187">
        <v>0.09</v>
      </c>
    </row>
    <row r="2446" spans="1:4">
      <c r="A2446" s="184" t="s">
        <v>3442</v>
      </c>
      <c r="B2446" s="184" t="s">
        <v>554</v>
      </c>
      <c r="C2446" s="184" t="str">
        <f t="shared" si="38"/>
        <v>Rock, NE</v>
      </c>
      <c r="D2446" s="187">
        <v>0.09</v>
      </c>
    </row>
    <row r="2447" spans="1:4">
      <c r="A2447" s="184" t="s">
        <v>550</v>
      </c>
      <c r="B2447" s="184" t="s">
        <v>554</v>
      </c>
      <c r="C2447" s="184" t="str">
        <f t="shared" si="38"/>
        <v>Rock, WI</v>
      </c>
      <c r="D2447" s="187">
        <v>0.09</v>
      </c>
    </row>
    <row r="2448" spans="1:4">
      <c r="A2448" s="184" t="s">
        <v>2019</v>
      </c>
      <c r="B2448" s="184" t="s">
        <v>1612</v>
      </c>
      <c r="C2448" s="184" t="str">
        <f t="shared" si="38"/>
        <v>Rock Island, IL</v>
      </c>
      <c r="D2448" s="187">
        <v>6.0999999999999999E-2</v>
      </c>
    </row>
    <row r="2449" spans="1:4">
      <c r="A2449" s="184" t="s">
        <v>746</v>
      </c>
      <c r="B2449" s="184" t="s">
        <v>2066</v>
      </c>
      <c r="C2449" s="184" t="str">
        <f t="shared" si="38"/>
        <v>Rockbridge, VA</v>
      </c>
      <c r="D2449" s="187">
        <v>4.3999999999999997E-2</v>
      </c>
    </row>
    <row r="2450" spans="1:4">
      <c r="A2450" s="184" t="s">
        <v>529</v>
      </c>
      <c r="B2450" s="184" t="s">
        <v>2491</v>
      </c>
      <c r="C2450" s="184" t="str">
        <f t="shared" si="38"/>
        <v>Rockcastle, KY</v>
      </c>
      <c r="D2450" s="187">
        <v>0.09</v>
      </c>
    </row>
    <row r="2451" spans="1:4">
      <c r="A2451" s="184" t="s">
        <v>3602</v>
      </c>
      <c r="B2451" s="184" t="s">
        <v>3871</v>
      </c>
      <c r="C2451" s="184" t="str">
        <f t="shared" si="38"/>
        <v>Rockdale, GA</v>
      </c>
      <c r="D2451" s="187">
        <v>6.0999999999999999E-2</v>
      </c>
    </row>
    <row r="2452" spans="1:4">
      <c r="A2452" s="184" t="s">
        <v>2542</v>
      </c>
      <c r="B2452" s="184" t="s">
        <v>770</v>
      </c>
      <c r="C2452" s="184" t="str">
        <f t="shared" si="38"/>
        <v>Rockingham, NC</v>
      </c>
      <c r="D2452" s="187">
        <v>4.3999999999999997E-2</v>
      </c>
    </row>
    <row r="2453" spans="1:4">
      <c r="A2453" s="184" t="s">
        <v>2868</v>
      </c>
      <c r="B2453" s="184" t="s">
        <v>770</v>
      </c>
      <c r="C2453" s="184" t="str">
        <f t="shared" si="38"/>
        <v>Rockingham, NH</v>
      </c>
      <c r="D2453" s="187">
        <v>6.0999999999999999E-2</v>
      </c>
    </row>
    <row r="2454" spans="1:4">
      <c r="A2454" s="184" t="s">
        <v>746</v>
      </c>
      <c r="B2454" s="184" t="s">
        <v>770</v>
      </c>
      <c r="C2454" s="184" t="str">
        <f t="shared" si="38"/>
        <v>Rockingham, VA</v>
      </c>
      <c r="D2454" s="187">
        <v>4.3999999999999997E-2</v>
      </c>
    </row>
    <row r="2455" spans="1:4">
      <c r="A2455" s="184" t="s">
        <v>3446</v>
      </c>
      <c r="B2455" s="184" t="s">
        <v>2539</v>
      </c>
      <c r="C2455" s="184" t="str">
        <f t="shared" si="38"/>
        <v>Rockland, NY</v>
      </c>
      <c r="D2455" s="187">
        <v>6.0999999999999999E-2</v>
      </c>
    </row>
    <row r="2456" spans="1:4">
      <c r="A2456" s="184" t="s">
        <v>3906</v>
      </c>
      <c r="B2456" s="184" t="s">
        <v>737</v>
      </c>
      <c r="C2456" s="184" t="str">
        <f t="shared" si="38"/>
        <v>Rockwall, TX</v>
      </c>
      <c r="D2456" s="187">
        <v>6.0999999999999999E-2</v>
      </c>
    </row>
    <row r="2457" spans="1:4">
      <c r="A2457" s="184" t="s">
        <v>2573</v>
      </c>
      <c r="B2457" s="184" t="s">
        <v>460</v>
      </c>
      <c r="C2457" s="184" t="str">
        <f t="shared" si="38"/>
        <v>Roger Mills, OK</v>
      </c>
      <c r="D2457" s="187">
        <v>0.09</v>
      </c>
    </row>
    <row r="2458" spans="1:4">
      <c r="A2458" s="184" t="s">
        <v>2573</v>
      </c>
      <c r="B2458" s="184" t="s">
        <v>3070</v>
      </c>
      <c r="C2458" s="184" t="str">
        <f t="shared" si="38"/>
        <v>Rogers, OK</v>
      </c>
      <c r="D2458" s="187">
        <v>6.0999999999999999E-2</v>
      </c>
    </row>
    <row r="2459" spans="1:4">
      <c r="A2459" s="184" t="s">
        <v>2558</v>
      </c>
      <c r="B2459" s="184" t="s">
        <v>3956</v>
      </c>
      <c r="C2459" s="184" t="str">
        <f t="shared" si="38"/>
        <v>Rolette, ND</v>
      </c>
      <c r="D2459" s="187">
        <v>0.09</v>
      </c>
    </row>
    <row r="2460" spans="1:4">
      <c r="A2460" s="184" t="s">
        <v>663</v>
      </c>
      <c r="B2460" s="184" t="s">
        <v>2770</v>
      </c>
      <c r="C2460" s="184" t="str">
        <f t="shared" si="38"/>
        <v>Rooks, KS</v>
      </c>
      <c r="D2460" s="187">
        <v>0.09</v>
      </c>
    </row>
    <row r="2461" spans="1:4">
      <c r="A2461" s="184" t="s">
        <v>3438</v>
      </c>
      <c r="B2461" s="184" t="s">
        <v>2822</v>
      </c>
      <c r="C2461" s="184" t="str">
        <f t="shared" si="38"/>
        <v>Roosevelt, MT</v>
      </c>
      <c r="D2461" s="187">
        <v>0.09</v>
      </c>
    </row>
    <row r="2462" spans="1:4">
      <c r="A2462" s="184" t="s">
        <v>3622</v>
      </c>
      <c r="B2462" s="184" t="s">
        <v>2822</v>
      </c>
      <c r="C2462" s="184" t="str">
        <f t="shared" si="38"/>
        <v>Roosevelt, NM</v>
      </c>
      <c r="D2462" s="187">
        <v>5.7000000000000002E-2</v>
      </c>
    </row>
    <row r="2463" spans="1:4">
      <c r="A2463" s="184" t="s">
        <v>2090</v>
      </c>
      <c r="B2463" s="184" t="s">
        <v>1468</v>
      </c>
      <c r="C2463" s="184" t="str">
        <f t="shared" si="38"/>
        <v>Roscommon, MI</v>
      </c>
      <c r="D2463" s="187">
        <v>0.09</v>
      </c>
    </row>
    <row r="2464" spans="1:4">
      <c r="A2464" s="184" t="s">
        <v>3429</v>
      </c>
      <c r="B2464" s="184" t="s">
        <v>1510</v>
      </c>
      <c r="C2464" s="184" t="str">
        <f t="shared" si="38"/>
        <v>Roseau, MN</v>
      </c>
      <c r="D2464" s="187">
        <v>0.09</v>
      </c>
    </row>
    <row r="2465" spans="1:4">
      <c r="A2465" s="184" t="s">
        <v>3438</v>
      </c>
      <c r="B2465" s="184" t="s">
        <v>2823</v>
      </c>
      <c r="C2465" s="184" t="str">
        <f t="shared" si="38"/>
        <v>Rosebud, MT</v>
      </c>
      <c r="D2465" s="187">
        <v>0.09</v>
      </c>
    </row>
    <row r="2466" spans="1:4">
      <c r="A2466" s="184" t="s">
        <v>2562</v>
      </c>
      <c r="B2466" s="184" t="s">
        <v>873</v>
      </c>
      <c r="C2466" s="184" t="str">
        <f t="shared" si="38"/>
        <v>Ross, OH</v>
      </c>
      <c r="D2466" s="187">
        <v>0.09</v>
      </c>
    </row>
    <row r="2467" spans="1:4">
      <c r="A2467" s="184" t="s">
        <v>3108</v>
      </c>
      <c r="B2467" s="184" t="s">
        <v>1173</v>
      </c>
      <c r="C2467" s="184" t="str">
        <f t="shared" si="38"/>
        <v>Routt, CO</v>
      </c>
      <c r="D2467" s="187">
        <v>6.0999999999999999E-2</v>
      </c>
    </row>
    <row r="2468" spans="1:4">
      <c r="A2468" s="184" t="s">
        <v>529</v>
      </c>
      <c r="B2468" s="184" t="s">
        <v>2282</v>
      </c>
      <c r="C2468" s="184" t="str">
        <f t="shared" si="38"/>
        <v>Rowan, KY</v>
      </c>
      <c r="D2468" s="187">
        <v>0.09</v>
      </c>
    </row>
    <row r="2469" spans="1:4">
      <c r="A2469" s="184" t="s">
        <v>2542</v>
      </c>
      <c r="B2469" s="184" t="s">
        <v>2282</v>
      </c>
      <c r="C2469" s="184" t="str">
        <f t="shared" si="38"/>
        <v>Rowan, NC</v>
      </c>
      <c r="D2469" s="187">
        <v>6.0999999999999999E-2</v>
      </c>
    </row>
    <row r="2470" spans="1:4">
      <c r="A2470" s="184" t="s">
        <v>3906</v>
      </c>
      <c r="B2470" s="184" t="s">
        <v>3242</v>
      </c>
      <c r="C2470" s="184" t="str">
        <f t="shared" si="38"/>
        <v>Runnels, TX</v>
      </c>
      <c r="D2470" s="187">
        <v>4.3999999999999997E-2</v>
      </c>
    </row>
    <row r="2471" spans="1:4">
      <c r="A2471" s="184" t="s">
        <v>2021</v>
      </c>
      <c r="B2471" s="184" t="s">
        <v>2839</v>
      </c>
      <c r="C2471" s="184" t="str">
        <f t="shared" si="38"/>
        <v>Rush, IN</v>
      </c>
      <c r="D2471" s="187">
        <v>0.09</v>
      </c>
    </row>
    <row r="2472" spans="1:4">
      <c r="A2472" s="184" t="s">
        <v>663</v>
      </c>
      <c r="B2472" s="184" t="s">
        <v>2839</v>
      </c>
      <c r="C2472" s="184" t="str">
        <f t="shared" si="38"/>
        <v>Rush, KS</v>
      </c>
      <c r="D2472" s="187">
        <v>0.09</v>
      </c>
    </row>
    <row r="2473" spans="1:4">
      <c r="A2473" s="184" t="s">
        <v>3906</v>
      </c>
      <c r="B2473" s="184" t="s">
        <v>3243</v>
      </c>
      <c r="C2473" s="184" t="str">
        <f t="shared" si="38"/>
        <v>Rusk, TX</v>
      </c>
      <c r="D2473" s="187">
        <v>4.3999999999999997E-2</v>
      </c>
    </row>
    <row r="2474" spans="1:4">
      <c r="A2474" s="184" t="s">
        <v>550</v>
      </c>
      <c r="B2474" s="184" t="s">
        <v>3243</v>
      </c>
      <c r="C2474" s="184" t="str">
        <f t="shared" si="38"/>
        <v>Rusk, WI</v>
      </c>
      <c r="D2474" s="187">
        <v>0.09</v>
      </c>
    </row>
    <row r="2475" spans="1:4">
      <c r="A2475" s="184" t="s">
        <v>2000</v>
      </c>
      <c r="B2475" s="184" t="s">
        <v>2015</v>
      </c>
      <c r="C2475" s="184" t="str">
        <f t="shared" si="38"/>
        <v>Russell, AL</v>
      </c>
      <c r="D2475" s="187">
        <v>0.09</v>
      </c>
    </row>
    <row r="2476" spans="1:4">
      <c r="A2476" s="184" t="s">
        <v>663</v>
      </c>
      <c r="B2476" s="184" t="s">
        <v>2015</v>
      </c>
      <c r="C2476" s="184" t="str">
        <f t="shared" si="38"/>
        <v>Russell, KS</v>
      </c>
      <c r="D2476" s="187">
        <v>0.09</v>
      </c>
    </row>
    <row r="2477" spans="1:4">
      <c r="A2477" s="184" t="s">
        <v>529</v>
      </c>
      <c r="B2477" s="184" t="s">
        <v>2015</v>
      </c>
      <c r="C2477" s="184" t="str">
        <f t="shared" si="38"/>
        <v>Russell, KY</v>
      </c>
      <c r="D2477" s="187">
        <v>0.09</v>
      </c>
    </row>
    <row r="2478" spans="1:4">
      <c r="A2478" s="184" t="s">
        <v>746</v>
      </c>
      <c r="B2478" s="184" t="s">
        <v>2015</v>
      </c>
      <c r="C2478" s="184" t="str">
        <f t="shared" si="38"/>
        <v>Russell, VA</v>
      </c>
      <c r="D2478" s="187">
        <v>4.3999999999999997E-2</v>
      </c>
    </row>
    <row r="2479" spans="1:4">
      <c r="A2479" s="184" t="s">
        <v>2542</v>
      </c>
      <c r="B2479" s="184" t="s">
        <v>3902</v>
      </c>
      <c r="C2479" s="184" t="str">
        <f t="shared" si="38"/>
        <v>Rutherford, NC</v>
      </c>
      <c r="D2479" s="187">
        <v>4.3999999999999997E-2</v>
      </c>
    </row>
    <row r="2480" spans="1:4">
      <c r="A2480" s="184" t="s">
        <v>699</v>
      </c>
      <c r="B2480" s="184" t="s">
        <v>3902</v>
      </c>
      <c r="C2480" s="184" t="str">
        <f t="shared" si="38"/>
        <v>Rutherford, TN</v>
      </c>
      <c r="D2480" s="187">
        <v>6.0999999999999999E-2</v>
      </c>
    </row>
    <row r="2481" spans="1:4">
      <c r="A2481" s="184" t="s">
        <v>2509</v>
      </c>
      <c r="B2481" s="184" t="s">
        <v>2516</v>
      </c>
      <c r="C2481" s="184" t="str">
        <f t="shared" si="38"/>
        <v>Rutland, VT</v>
      </c>
      <c r="D2481" s="187">
        <v>0.09</v>
      </c>
    </row>
    <row r="2482" spans="1:4">
      <c r="A2482" s="184" t="s">
        <v>535</v>
      </c>
      <c r="B2482" s="184" t="s">
        <v>768</v>
      </c>
      <c r="C2482" s="184" t="str">
        <f t="shared" si="38"/>
        <v>Sabine, LA</v>
      </c>
      <c r="D2482" s="187">
        <v>0.09</v>
      </c>
    </row>
    <row r="2483" spans="1:4">
      <c r="A2483" s="184" t="s">
        <v>3906</v>
      </c>
      <c r="B2483" s="184" t="s">
        <v>768</v>
      </c>
      <c r="C2483" s="184" t="str">
        <f t="shared" si="38"/>
        <v>Sabine, TX</v>
      </c>
      <c r="D2483" s="187" t="s">
        <v>3930</v>
      </c>
    </row>
    <row r="2484" spans="1:4">
      <c r="A2484" s="184" t="s">
        <v>2031</v>
      </c>
      <c r="B2484" s="184" t="s">
        <v>1986</v>
      </c>
      <c r="C2484" s="184" t="str">
        <f t="shared" si="38"/>
        <v>Sac, IA</v>
      </c>
      <c r="D2484" s="187">
        <v>0.09</v>
      </c>
    </row>
    <row r="2485" spans="1:4">
      <c r="A2485" s="184" t="s">
        <v>3106</v>
      </c>
      <c r="B2485" s="184" t="s">
        <v>3552</v>
      </c>
      <c r="C2485" s="184" t="str">
        <f t="shared" si="38"/>
        <v>Sacramento, CA</v>
      </c>
      <c r="D2485" s="187">
        <v>2.4E-2</v>
      </c>
    </row>
    <row r="2486" spans="1:4">
      <c r="A2486" s="184" t="s">
        <v>1922</v>
      </c>
      <c r="B2486" s="184" t="s">
        <v>1222</v>
      </c>
      <c r="C2486" s="184" t="str">
        <f t="shared" si="38"/>
        <v>Sagadahoc, ME</v>
      </c>
      <c r="D2486" s="187">
        <v>0.09</v>
      </c>
    </row>
    <row r="2487" spans="1:4">
      <c r="A2487" s="184" t="s">
        <v>2090</v>
      </c>
      <c r="B2487" s="184" t="s">
        <v>2096</v>
      </c>
      <c r="C2487" s="184" t="str">
        <f t="shared" si="38"/>
        <v>Saginaw, MI</v>
      </c>
      <c r="D2487" s="187">
        <v>0.09</v>
      </c>
    </row>
    <row r="2488" spans="1:4">
      <c r="A2488" s="184" t="s">
        <v>3108</v>
      </c>
      <c r="B2488" s="184" t="s">
        <v>1174</v>
      </c>
      <c r="C2488" s="184" t="str">
        <f t="shared" si="38"/>
        <v>Saguache, CO</v>
      </c>
      <c r="D2488" s="187">
        <v>4.3999999999999997E-2</v>
      </c>
    </row>
    <row r="2489" spans="1:4">
      <c r="A2489" s="184" t="s">
        <v>3444</v>
      </c>
      <c r="B2489" s="184" t="s">
        <v>3620</v>
      </c>
      <c r="C2489" s="184" t="str">
        <f t="shared" si="38"/>
        <v>Salem, NJ</v>
      </c>
      <c r="D2489" s="187">
        <v>6.0999999999999999E-2</v>
      </c>
    </row>
    <row r="2490" spans="1:4">
      <c r="A2490" s="184" t="s">
        <v>746</v>
      </c>
      <c r="B2490" s="184" t="s">
        <v>3180</v>
      </c>
      <c r="C2490" s="184" t="str">
        <f t="shared" si="38"/>
        <v>Salem City, VA</v>
      </c>
      <c r="D2490" s="187">
        <v>6.0999999999999999E-2</v>
      </c>
    </row>
    <row r="2491" spans="1:4">
      <c r="A2491" s="184" t="s">
        <v>566</v>
      </c>
      <c r="B2491" s="184" t="s">
        <v>3105</v>
      </c>
      <c r="C2491" s="184" t="str">
        <f t="shared" si="38"/>
        <v>Saline, AR</v>
      </c>
      <c r="D2491" s="187">
        <v>6.0999999999999999E-2</v>
      </c>
    </row>
    <row r="2492" spans="1:4">
      <c r="A2492" s="184" t="s">
        <v>2019</v>
      </c>
      <c r="B2492" s="184" t="s">
        <v>3105</v>
      </c>
      <c r="C2492" s="184" t="str">
        <f t="shared" si="38"/>
        <v>Saline, IL</v>
      </c>
      <c r="D2492" s="187">
        <v>0.09</v>
      </c>
    </row>
    <row r="2493" spans="1:4">
      <c r="A2493" s="184" t="s">
        <v>663</v>
      </c>
      <c r="B2493" s="184" t="s">
        <v>3105</v>
      </c>
      <c r="C2493" s="184" t="str">
        <f t="shared" si="38"/>
        <v>Saline, KS</v>
      </c>
      <c r="D2493" s="187">
        <v>0.09</v>
      </c>
    </row>
    <row r="2494" spans="1:4">
      <c r="A2494" s="184" t="s">
        <v>3434</v>
      </c>
      <c r="B2494" s="184" t="s">
        <v>3105</v>
      </c>
      <c r="C2494" s="184" t="str">
        <f t="shared" si="38"/>
        <v>Saline, MO</v>
      </c>
      <c r="D2494" s="187">
        <v>0.09</v>
      </c>
    </row>
    <row r="2495" spans="1:4">
      <c r="A2495" s="184" t="s">
        <v>3442</v>
      </c>
      <c r="B2495" s="184" t="s">
        <v>3105</v>
      </c>
      <c r="C2495" s="184" t="str">
        <f t="shared" si="38"/>
        <v>Saline, NE</v>
      </c>
      <c r="D2495" s="187">
        <v>0.09</v>
      </c>
    </row>
    <row r="2496" spans="1:4">
      <c r="A2496" s="184" t="s">
        <v>742</v>
      </c>
      <c r="B2496" s="184" t="s">
        <v>744</v>
      </c>
      <c r="C2496" s="184" t="str">
        <f t="shared" si="38"/>
        <v>Salt Lake, UT</v>
      </c>
      <c r="D2496" s="187">
        <v>6.0999999999999999E-2</v>
      </c>
    </row>
    <row r="2497" spans="1:4">
      <c r="A2497" s="184" t="s">
        <v>1942</v>
      </c>
      <c r="B2497" s="184" t="s">
        <v>81</v>
      </c>
      <c r="C2497" s="184" t="str">
        <f t="shared" si="38"/>
        <v>Saluda, SC</v>
      </c>
      <c r="D2497" s="187">
        <v>4.3999999999999997E-2</v>
      </c>
    </row>
    <row r="2498" spans="1:4">
      <c r="A2498" s="184" t="s">
        <v>2542</v>
      </c>
      <c r="B2498" s="184" t="s">
        <v>3277</v>
      </c>
      <c r="C2498" s="184" t="str">
        <f t="shared" si="38"/>
        <v>Sampson, NC</v>
      </c>
      <c r="D2498" s="187">
        <v>4.3999999999999997E-2</v>
      </c>
    </row>
    <row r="2499" spans="1:4">
      <c r="A2499" s="184" t="s">
        <v>3906</v>
      </c>
      <c r="B2499" s="184" t="s">
        <v>3244</v>
      </c>
      <c r="C2499" s="184" t="str">
        <f t="shared" si="38"/>
        <v>San Augustine, TX</v>
      </c>
      <c r="D2499" s="187">
        <v>4.3999999999999997E-2</v>
      </c>
    </row>
    <row r="2500" spans="1:4">
      <c r="A2500" s="184" t="s">
        <v>3106</v>
      </c>
      <c r="B2500" s="184" t="s">
        <v>2956</v>
      </c>
      <c r="C2500" s="184" t="str">
        <f t="shared" si="38"/>
        <v>San Benito, CA</v>
      </c>
      <c r="D2500" s="187">
        <v>0.09</v>
      </c>
    </row>
    <row r="2501" spans="1:4">
      <c r="A2501" s="184" t="s">
        <v>3106</v>
      </c>
      <c r="B2501" s="184" t="s">
        <v>3553</v>
      </c>
      <c r="C2501" s="184" t="str">
        <f t="shared" si="38"/>
        <v>San Bernardino, CA</v>
      </c>
      <c r="D2501" s="187">
        <v>2.4E-2</v>
      </c>
    </row>
    <row r="2502" spans="1:4">
      <c r="A2502" s="184" t="s">
        <v>3106</v>
      </c>
      <c r="B2502" s="184" t="s">
        <v>3554</v>
      </c>
      <c r="C2502" s="184" t="str">
        <f t="shared" ref="C2502:C2565" si="39">B2502&amp;", "&amp;A2502</f>
        <v>San Diego, CA</v>
      </c>
      <c r="D2502" s="187">
        <v>2.4E-2</v>
      </c>
    </row>
    <row r="2503" spans="1:4">
      <c r="A2503" s="184" t="s">
        <v>3106</v>
      </c>
      <c r="B2503" s="184" t="s">
        <v>3555</v>
      </c>
      <c r="C2503" s="184" t="str">
        <f t="shared" si="39"/>
        <v>San Francisco, CA</v>
      </c>
      <c r="D2503" s="187">
        <v>2.4E-2</v>
      </c>
    </row>
    <row r="2504" spans="1:4">
      <c r="A2504" s="184" t="s">
        <v>3906</v>
      </c>
      <c r="B2504" s="184" t="s">
        <v>3245</v>
      </c>
      <c r="C2504" s="184" t="str">
        <f t="shared" si="39"/>
        <v>San Jacinto, TX</v>
      </c>
      <c r="D2504" s="187">
        <v>4.3999999999999997E-2</v>
      </c>
    </row>
    <row r="2505" spans="1:4">
      <c r="A2505" s="184" t="s">
        <v>3106</v>
      </c>
      <c r="B2505" s="184" t="s">
        <v>3556</v>
      </c>
      <c r="C2505" s="184" t="str">
        <f t="shared" si="39"/>
        <v>San Joaquin, CA</v>
      </c>
      <c r="D2505" s="187">
        <v>2.4E-2</v>
      </c>
    </row>
    <row r="2506" spans="1:4">
      <c r="A2506" s="184" t="s">
        <v>3108</v>
      </c>
      <c r="B2506" s="184" t="s">
        <v>1175</v>
      </c>
      <c r="C2506" s="184" t="str">
        <f t="shared" si="39"/>
        <v>San Juan, CO</v>
      </c>
      <c r="D2506" s="187">
        <v>4.3999999999999997E-2</v>
      </c>
    </row>
    <row r="2507" spans="1:4">
      <c r="A2507" s="184" t="s">
        <v>3622</v>
      </c>
      <c r="B2507" s="184" t="s">
        <v>1175</v>
      </c>
      <c r="C2507" s="184" t="str">
        <f t="shared" si="39"/>
        <v>San Juan, NM</v>
      </c>
      <c r="D2507" s="187">
        <v>4.3999999999999997E-2</v>
      </c>
    </row>
    <row r="2508" spans="1:4">
      <c r="A2508" s="184" t="s">
        <v>742</v>
      </c>
      <c r="B2508" s="184" t="s">
        <v>1175</v>
      </c>
      <c r="C2508" s="184" t="str">
        <f t="shared" si="39"/>
        <v>San Juan, UT</v>
      </c>
      <c r="D2508" s="187">
        <v>4.3999999999999997E-2</v>
      </c>
    </row>
    <row r="2509" spans="1:4">
      <c r="A2509" s="184" t="s">
        <v>1278</v>
      </c>
      <c r="B2509" s="184" t="s">
        <v>1175</v>
      </c>
      <c r="C2509" s="184" t="str">
        <f t="shared" si="39"/>
        <v>San Juan, WA</v>
      </c>
      <c r="D2509" s="187">
        <v>0.09</v>
      </c>
    </row>
    <row r="2510" spans="1:4">
      <c r="A2510" s="184" t="s">
        <v>3106</v>
      </c>
      <c r="B2510" s="184" t="s">
        <v>3408</v>
      </c>
      <c r="C2510" s="184" t="str">
        <f t="shared" si="39"/>
        <v>San Luis Obispo, CA</v>
      </c>
      <c r="D2510" s="187">
        <v>5.7000000000000002E-2</v>
      </c>
    </row>
    <row r="2511" spans="1:4">
      <c r="A2511" s="184" t="s">
        <v>3106</v>
      </c>
      <c r="B2511" s="184" t="s">
        <v>939</v>
      </c>
      <c r="C2511" s="184" t="str">
        <f t="shared" si="39"/>
        <v>San Mateo, CA</v>
      </c>
      <c r="D2511" s="187">
        <v>3.5000000000000003E-2</v>
      </c>
    </row>
    <row r="2512" spans="1:4">
      <c r="A2512" s="184" t="s">
        <v>3108</v>
      </c>
      <c r="B2512" s="184" t="s">
        <v>1176</v>
      </c>
      <c r="C2512" s="184" t="str">
        <f t="shared" si="39"/>
        <v>San Miguel, CO</v>
      </c>
      <c r="D2512" s="187">
        <v>4.3999999999999997E-2</v>
      </c>
    </row>
    <row r="2513" spans="1:4">
      <c r="A2513" s="184" t="s">
        <v>3622</v>
      </c>
      <c r="B2513" s="184" t="s">
        <v>1176</v>
      </c>
      <c r="C2513" s="184" t="str">
        <f t="shared" si="39"/>
        <v>San Miguel, NM</v>
      </c>
      <c r="D2513" s="187">
        <v>3.5000000000000003E-2</v>
      </c>
    </row>
    <row r="2514" spans="1:4">
      <c r="A2514" s="184" t="s">
        <v>3906</v>
      </c>
      <c r="B2514" s="184" t="s">
        <v>999</v>
      </c>
      <c r="C2514" s="184" t="str">
        <f t="shared" si="39"/>
        <v>San Patricio, TX</v>
      </c>
      <c r="D2514" s="187">
        <v>5.7000000000000002E-2</v>
      </c>
    </row>
    <row r="2515" spans="1:4">
      <c r="A2515" s="184" t="s">
        <v>3906</v>
      </c>
      <c r="B2515" s="184" t="s">
        <v>356</v>
      </c>
      <c r="C2515" s="184" t="str">
        <f t="shared" si="39"/>
        <v>San Saba, TX</v>
      </c>
      <c r="D2515" s="187">
        <v>4.3999999999999997E-2</v>
      </c>
    </row>
    <row r="2516" spans="1:4">
      <c r="A2516" s="184" t="s">
        <v>1944</v>
      </c>
      <c r="B2516" s="184" t="s">
        <v>1727</v>
      </c>
      <c r="C2516" s="184" t="str">
        <f t="shared" si="39"/>
        <v>Sanborn, SD</v>
      </c>
      <c r="D2516" s="187">
        <v>4.3999999999999997E-2</v>
      </c>
    </row>
    <row r="2517" spans="1:4">
      <c r="A2517" s="184" t="s">
        <v>3438</v>
      </c>
      <c r="B2517" s="184" t="s">
        <v>2824</v>
      </c>
      <c r="C2517" s="184" t="str">
        <f t="shared" si="39"/>
        <v>Sanders, MT</v>
      </c>
      <c r="D2517" s="187">
        <v>0.09</v>
      </c>
    </row>
    <row r="2518" spans="1:4">
      <c r="A2518" s="184" t="s">
        <v>3622</v>
      </c>
      <c r="B2518" s="184" t="s">
        <v>3314</v>
      </c>
      <c r="C2518" s="184" t="str">
        <f t="shared" si="39"/>
        <v>Sandoval, NM</v>
      </c>
      <c r="D2518" s="187">
        <v>4.3999999999999997E-2</v>
      </c>
    </row>
    <row r="2519" spans="1:4">
      <c r="A2519" s="184" t="s">
        <v>2562</v>
      </c>
      <c r="B2519" s="184" t="s">
        <v>874</v>
      </c>
      <c r="C2519" s="184" t="str">
        <f t="shared" si="39"/>
        <v>Sandusky, OH</v>
      </c>
      <c r="D2519" s="187">
        <v>0.09</v>
      </c>
    </row>
    <row r="2520" spans="1:4">
      <c r="A2520" s="184" t="s">
        <v>2019</v>
      </c>
      <c r="B2520" s="184" t="s">
        <v>947</v>
      </c>
      <c r="C2520" s="184" t="str">
        <f t="shared" si="39"/>
        <v>Sangamon, IL</v>
      </c>
      <c r="D2520" s="187">
        <v>3.5000000000000003E-2</v>
      </c>
    </row>
    <row r="2521" spans="1:4">
      <c r="A2521" s="184" t="s">
        <v>2090</v>
      </c>
      <c r="B2521" s="184" t="s">
        <v>1469</v>
      </c>
      <c r="C2521" s="184" t="str">
        <f t="shared" si="39"/>
        <v>Sanilac, MI</v>
      </c>
      <c r="D2521" s="187">
        <v>0.09</v>
      </c>
    </row>
    <row r="2522" spans="1:4">
      <c r="A2522" s="184" t="s">
        <v>742</v>
      </c>
      <c r="B2522" s="184" t="s">
        <v>389</v>
      </c>
      <c r="C2522" s="184" t="str">
        <f t="shared" si="39"/>
        <v>Sanpete, UT</v>
      </c>
      <c r="D2522" s="187">
        <v>4.3999999999999997E-2</v>
      </c>
    </row>
    <row r="2523" spans="1:4">
      <c r="A2523" s="184" t="s">
        <v>3106</v>
      </c>
      <c r="B2523" s="184" t="s">
        <v>3409</v>
      </c>
      <c r="C2523" s="184" t="str">
        <f t="shared" si="39"/>
        <v>Santa Barbara, CA</v>
      </c>
      <c r="D2523" s="187">
        <v>5.7000000000000002E-2</v>
      </c>
    </row>
    <row r="2524" spans="1:4">
      <c r="A2524" s="184" t="s">
        <v>3106</v>
      </c>
      <c r="B2524" s="184" t="s">
        <v>940</v>
      </c>
      <c r="C2524" s="184" t="str">
        <f t="shared" si="39"/>
        <v>Santa Clara, CA</v>
      </c>
      <c r="D2524" s="187">
        <v>3.5000000000000003E-2</v>
      </c>
    </row>
    <row r="2525" spans="1:4">
      <c r="A2525" s="184" t="s">
        <v>562</v>
      </c>
      <c r="B2525" s="184" t="s">
        <v>1207</v>
      </c>
      <c r="C2525" s="184" t="str">
        <f t="shared" si="39"/>
        <v>Santa Cruz, AZ</v>
      </c>
      <c r="D2525" s="187">
        <v>5.7000000000000002E-2</v>
      </c>
    </row>
    <row r="2526" spans="1:4">
      <c r="A2526" s="184" t="s">
        <v>3106</v>
      </c>
      <c r="B2526" s="184" t="s">
        <v>1207</v>
      </c>
      <c r="C2526" s="184" t="str">
        <f t="shared" si="39"/>
        <v>Santa Cruz, CA</v>
      </c>
      <c r="D2526" s="187">
        <v>5.7000000000000002E-2</v>
      </c>
    </row>
    <row r="2527" spans="1:4">
      <c r="A2527" s="184" t="s">
        <v>3622</v>
      </c>
      <c r="B2527" s="184" t="s">
        <v>3623</v>
      </c>
      <c r="C2527" s="184" t="str">
        <f t="shared" si="39"/>
        <v>Santa Fe, NM</v>
      </c>
      <c r="D2527" s="187">
        <v>6.0999999999999999E-2</v>
      </c>
    </row>
    <row r="2528" spans="1:4">
      <c r="A2528" s="184" t="s">
        <v>3594</v>
      </c>
      <c r="B2528" s="184" t="s">
        <v>474</v>
      </c>
      <c r="C2528" s="184" t="str">
        <f t="shared" si="39"/>
        <v>Santa Rosa, FL</v>
      </c>
      <c r="D2528" s="187">
        <v>4.3999999999999997E-2</v>
      </c>
    </row>
    <row r="2529" spans="1:4">
      <c r="A2529" s="184" t="s">
        <v>3594</v>
      </c>
      <c r="B2529" s="184" t="s">
        <v>3421</v>
      </c>
      <c r="C2529" s="184" t="str">
        <f t="shared" si="39"/>
        <v>Sarasota, FL</v>
      </c>
      <c r="D2529" s="187">
        <v>5.7000000000000002E-2</v>
      </c>
    </row>
    <row r="2530" spans="1:4">
      <c r="A2530" s="184" t="s">
        <v>3446</v>
      </c>
      <c r="B2530" s="184" t="s">
        <v>29</v>
      </c>
      <c r="C2530" s="184" t="str">
        <f t="shared" si="39"/>
        <v>Saratoga, NY</v>
      </c>
      <c r="D2530" s="187">
        <v>5.7000000000000002E-2</v>
      </c>
    </row>
    <row r="2531" spans="1:4">
      <c r="A2531" s="184" t="s">
        <v>2558</v>
      </c>
      <c r="B2531" s="184" t="s">
        <v>3957</v>
      </c>
      <c r="C2531" s="184" t="str">
        <f t="shared" si="39"/>
        <v>Sargent, ND</v>
      </c>
      <c r="D2531" s="187">
        <v>0.09</v>
      </c>
    </row>
    <row r="2532" spans="1:4">
      <c r="A2532" s="184" t="s">
        <v>3442</v>
      </c>
      <c r="B2532" s="184" t="s">
        <v>3042</v>
      </c>
      <c r="C2532" s="184" t="str">
        <f t="shared" si="39"/>
        <v>Sarpy, NE</v>
      </c>
      <c r="D2532" s="187">
        <v>6.0999999999999999E-2</v>
      </c>
    </row>
    <row r="2533" spans="1:4">
      <c r="A2533" s="184" t="s">
        <v>550</v>
      </c>
      <c r="B2533" s="184" t="s">
        <v>1005</v>
      </c>
      <c r="C2533" s="184" t="str">
        <f t="shared" si="39"/>
        <v>Sauk, WI</v>
      </c>
      <c r="D2533" s="187">
        <v>5.7000000000000002E-2</v>
      </c>
    </row>
    <row r="2534" spans="1:4">
      <c r="A2534" s="184" t="s">
        <v>3442</v>
      </c>
      <c r="B2534" s="184" t="s">
        <v>1121</v>
      </c>
      <c r="C2534" s="184" t="str">
        <f t="shared" si="39"/>
        <v>Saunders, NE</v>
      </c>
      <c r="D2534" s="187">
        <v>0.09</v>
      </c>
    </row>
    <row r="2535" spans="1:4">
      <c r="A2535" s="184" t="s">
        <v>550</v>
      </c>
      <c r="B2535" s="184" t="s">
        <v>859</v>
      </c>
      <c r="C2535" s="184" t="str">
        <f t="shared" si="39"/>
        <v>Sawyer, WI</v>
      </c>
      <c r="D2535" s="187">
        <v>0.09</v>
      </c>
    </row>
    <row r="2536" spans="1:4">
      <c r="A2536" s="184" t="s">
        <v>3446</v>
      </c>
      <c r="B2536" s="184" t="s">
        <v>3534</v>
      </c>
      <c r="C2536" s="184" t="str">
        <f t="shared" si="39"/>
        <v>Schenectady, NY</v>
      </c>
      <c r="D2536" s="187">
        <v>3.5000000000000003E-2</v>
      </c>
    </row>
    <row r="2537" spans="1:4">
      <c r="A2537" s="184" t="s">
        <v>3906</v>
      </c>
      <c r="B2537" s="184" t="s">
        <v>357</v>
      </c>
      <c r="C2537" s="184" t="str">
        <f t="shared" si="39"/>
        <v>Schleicher, TX</v>
      </c>
      <c r="D2537" s="187">
        <v>4.3999999999999997E-2</v>
      </c>
    </row>
    <row r="2538" spans="1:4">
      <c r="A2538" s="184" t="s">
        <v>3602</v>
      </c>
      <c r="B2538" s="184" t="s">
        <v>238</v>
      </c>
      <c r="C2538" s="184" t="str">
        <f t="shared" si="39"/>
        <v>Schley, GA</v>
      </c>
      <c r="D2538" s="187">
        <v>4.3999999999999997E-2</v>
      </c>
    </row>
    <row r="2539" spans="1:4">
      <c r="A2539" s="184" t="s">
        <v>3446</v>
      </c>
      <c r="B2539" s="184" t="s">
        <v>2540</v>
      </c>
      <c r="C2539" s="184" t="str">
        <f t="shared" si="39"/>
        <v>Schoharie, NY</v>
      </c>
      <c r="D2539" s="187">
        <v>6.0999999999999999E-2</v>
      </c>
    </row>
    <row r="2540" spans="1:4">
      <c r="A2540" s="184" t="s">
        <v>2090</v>
      </c>
      <c r="B2540" s="184" t="s">
        <v>1470</v>
      </c>
      <c r="C2540" s="184" t="str">
        <f t="shared" si="39"/>
        <v>Schoolcraft, MI</v>
      </c>
      <c r="D2540" s="187">
        <v>0.09</v>
      </c>
    </row>
    <row r="2541" spans="1:4">
      <c r="A2541" s="184" t="s">
        <v>2019</v>
      </c>
      <c r="B2541" s="184" t="s">
        <v>3377</v>
      </c>
      <c r="C2541" s="184" t="str">
        <f t="shared" si="39"/>
        <v>Schuyler, IL</v>
      </c>
      <c r="D2541" s="187">
        <v>0.09</v>
      </c>
    </row>
    <row r="2542" spans="1:4">
      <c r="A2542" s="184" t="s">
        <v>3434</v>
      </c>
      <c r="B2542" s="184" t="s">
        <v>3377</v>
      </c>
      <c r="C2542" s="184" t="str">
        <f t="shared" si="39"/>
        <v>Schuyler, MO</v>
      </c>
      <c r="D2542" s="187">
        <v>0.09</v>
      </c>
    </row>
    <row r="2543" spans="1:4">
      <c r="A2543" s="184" t="s">
        <v>3446</v>
      </c>
      <c r="B2543" s="184" t="s">
        <v>3377</v>
      </c>
      <c r="C2543" s="184" t="str">
        <f t="shared" si="39"/>
        <v>Schuyler, NY</v>
      </c>
      <c r="D2543" s="187">
        <v>0.09</v>
      </c>
    </row>
    <row r="2544" spans="1:4">
      <c r="A2544" s="184" t="s">
        <v>3356</v>
      </c>
      <c r="B2544" s="184" t="s">
        <v>58</v>
      </c>
      <c r="C2544" s="184" t="str">
        <f t="shared" si="39"/>
        <v>Schuylkill, PA</v>
      </c>
      <c r="D2544" s="187">
        <v>0.09</v>
      </c>
    </row>
    <row r="2545" spans="1:4">
      <c r="A2545" s="184" t="s">
        <v>2562</v>
      </c>
      <c r="B2545" s="184" t="s">
        <v>875</v>
      </c>
      <c r="C2545" s="184" t="str">
        <f t="shared" si="39"/>
        <v>Scioto, OH</v>
      </c>
      <c r="D2545" s="187">
        <v>0.09</v>
      </c>
    </row>
    <row r="2546" spans="1:4">
      <c r="A2546" s="184" t="s">
        <v>3434</v>
      </c>
      <c r="B2546" s="184" t="s">
        <v>2795</v>
      </c>
      <c r="C2546" s="184" t="str">
        <f t="shared" si="39"/>
        <v>Scotland, MO</v>
      </c>
      <c r="D2546" s="187">
        <v>0.09</v>
      </c>
    </row>
    <row r="2547" spans="1:4">
      <c r="A2547" s="184" t="s">
        <v>2542</v>
      </c>
      <c r="B2547" s="184" t="s">
        <v>2795</v>
      </c>
      <c r="C2547" s="184" t="str">
        <f t="shared" si="39"/>
        <v>Scotland, NC</v>
      </c>
      <c r="D2547" s="187">
        <v>4.3999999999999997E-2</v>
      </c>
    </row>
    <row r="2548" spans="1:4">
      <c r="A2548" s="184" t="s">
        <v>566</v>
      </c>
      <c r="B2548" s="184" t="s">
        <v>2331</v>
      </c>
      <c r="C2548" s="184" t="str">
        <f t="shared" si="39"/>
        <v>Scott, AR</v>
      </c>
      <c r="D2548" s="187">
        <v>4.3999999999999997E-2</v>
      </c>
    </row>
    <row r="2549" spans="1:4">
      <c r="A2549" s="184" t="s">
        <v>2031</v>
      </c>
      <c r="B2549" s="184" t="s">
        <v>2331</v>
      </c>
      <c r="C2549" s="184" t="str">
        <f t="shared" si="39"/>
        <v>Scott, IA</v>
      </c>
      <c r="D2549" s="187">
        <v>6.0999999999999999E-2</v>
      </c>
    </row>
    <row r="2550" spans="1:4">
      <c r="A2550" s="184" t="s">
        <v>2019</v>
      </c>
      <c r="B2550" s="184" t="s">
        <v>2331</v>
      </c>
      <c r="C2550" s="184" t="str">
        <f t="shared" si="39"/>
        <v>Scott, IL</v>
      </c>
      <c r="D2550" s="187">
        <v>5.7000000000000002E-2</v>
      </c>
    </row>
    <row r="2551" spans="1:4">
      <c r="A2551" s="184" t="s">
        <v>2021</v>
      </c>
      <c r="B2551" s="184" t="s">
        <v>2331</v>
      </c>
      <c r="C2551" s="184" t="str">
        <f t="shared" si="39"/>
        <v>Scott, IN</v>
      </c>
      <c r="D2551" s="187">
        <v>3.5000000000000003E-2</v>
      </c>
    </row>
    <row r="2552" spans="1:4">
      <c r="A2552" s="184" t="s">
        <v>663</v>
      </c>
      <c r="B2552" s="184" t="s">
        <v>2331</v>
      </c>
      <c r="C2552" s="184" t="str">
        <f t="shared" si="39"/>
        <v>Scott, KS</v>
      </c>
      <c r="D2552" s="187">
        <v>0.09</v>
      </c>
    </row>
    <row r="2553" spans="1:4">
      <c r="A2553" s="184" t="s">
        <v>529</v>
      </c>
      <c r="B2553" s="184" t="s">
        <v>2331</v>
      </c>
      <c r="C2553" s="184" t="str">
        <f t="shared" si="39"/>
        <v>Scott, KY</v>
      </c>
      <c r="D2553" s="187">
        <v>3.5000000000000003E-2</v>
      </c>
    </row>
    <row r="2554" spans="1:4">
      <c r="A2554" s="184" t="s">
        <v>3429</v>
      </c>
      <c r="B2554" s="184" t="s">
        <v>2331</v>
      </c>
      <c r="C2554" s="184" t="str">
        <f t="shared" si="39"/>
        <v>Scott, MN</v>
      </c>
      <c r="D2554" s="187">
        <v>6.0999999999999999E-2</v>
      </c>
    </row>
    <row r="2555" spans="1:4">
      <c r="A2555" s="184" t="s">
        <v>3434</v>
      </c>
      <c r="B2555" s="184" t="s">
        <v>2331</v>
      </c>
      <c r="C2555" s="184" t="str">
        <f t="shared" si="39"/>
        <v>Scott, MO</v>
      </c>
      <c r="D2555" s="187">
        <v>0.09</v>
      </c>
    </row>
    <row r="2556" spans="1:4">
      <c r="A2556" s="184" t="s">
        <v>3035</v>
      </c>
      <c r="B2556" s="184" t="s">
        <v>2331</v>
      </c>
      <c r="C2556" s="184" t="str">
        <f t="shared" si="39"/>
        <v>Scott, MS</v>
      </c>
      <c r="D2556" s="187">
        <v>4.3999999999999997E-2</v>
      </c>
    </row>
    <row r="2557" spans="1:4">
      <c r="A2557" s="184" t="s">
        <v>699</v>
      </c>
      <c r="B2557" s="184" t="s">
        <v>2331</v>
      </c>
      <c r="C2557" s="184" t="str">
        <f t="shared" si="39"/>
        <v>Scott, TN</v>
      </c>
      <c r="D2557" s="187">
        <v>0.09</v>
      </c>
    </row>
    <row r="2558" spans="1:4">
      <c r="A2558" s="184" t="s">
        <v>746</v>
      </c>
      <c r="B2558" s="184" t="s">
        <v>2331</v>
      </c>
      <c r="C2558" s="184" t="str">
        <f t="shared" si="39"/>
        <v>Scott, VA</v>
      </c>
      <c r="D2558" s="187">
        <v>4.3999999999999997E-2</v>
      </c>
    </row>
    <row r="2559" spans="1:4">
      <c r="A2559" s="184" t="s">
        <v>3442</v>
      </c>
      <c r="B2559" s="184" t="s">
        <v>1122</v>
      </c>
      <c r="C2559" s="184" t="str">
        <f t="shared" si="39"/>
        <v>Scotts Bluff, NE</v>
      </c>
      <c r="D2559" s="187">
        <v>0.09</v>
      </c>
    </row>
    <row r="2560" spans="1:4">
      <c r="A2560" s="184" t="s">
        <v>3602</v>
      </c>
      <c r="B2560" s="184" t="s">
        <v>239</v>
      </c>
      <c r="C2560" s="184" t="str">
        <f t="shared" si="39"/>
        <v>Screven, GA</v>
      </c>
      <c r="D2560" s="187">
        <v>4.3999999999999997E-2</v>
      </c>
    </row>
    <row r="2561" spans="1:4">
      <c r="A2561" s="184" t="s">
        <v>3906</v>
      </c>
      <c r="B2561" s="184" t="s">
        <v>358</v>
      </c>
      <c r="C2561" s="184" t="str">
        <f t="shared" si="39"/>
        <v>Scurry, TX</v>
      </c>
      <c r="D2561" s="187">
        <v>4.3999999999999997E-2</v>
      </c>
    </row>
    <row r="2562" spans="1:4">
      <c r="A2562" s="184" t="s">
        <v>566</v>
      </c>
      <c r="B2562" s="184" t="s">
        <v>3401</v>
      </c>
      <c r="C2562" s="184" t="str">
        <f t="shared" si="39"/>
        <v>Searcy, AR</v>
      </c>
      <c r="D2562" s="187">
        <v>5.7000000000000002E-2</v>
      </c>
    </row>
    <row r="2563" spans="1:4">
      <c r="A2563" s="184" t="s">
        <v>566</v>
      </c>
      <c r="B2563" s="184" t="s">
        <v>470</v>
      </c>
      <c r="C2563" s="184" t="str">
        <f t="shared" si="39"/>
        <v>Sebastian, AR</v>
      </c>
      <c r="D2563" s="187">
        <v>4.3999999999999997E-2</v>
      </c>
    </row>
    <row r="2564" spans="1:4">
      <c r="A2564" s="184" t="s">
        <v>3108</v>
      </c>
      <c r="B2564" s="184" t="s">
        <v>2337</v>
      </c>
      <c r="C2564" s="184" t="str">
        <f t="shared" si="39"/>
        <v>Sedgwick, CO</v>
      </c>
      <c r="D2564" s="187">
        <v>4.3999999999999997E-2</v>
      </c>
    </row>
    <row r="2565" spans="1:4">
      <c r="A2565" s="184" t="s">
        <v>663</v>
      </c>
      <c r="B2565" s="184" t="s">
        <v>2337</v>
      </c>
      <c r="C2565" s="184" t="str">
        <f t="shared" si="39"/>
        <v>Sedgwick, KS</v>
      </c>
      <c r="D2565" s="187">
        <v>6.0999999999999999E-2</v>
      </c>
    </row>
    <row r="2566" spans="1:4">
      <c r="A2566" s="184" t="s">
        <v>3594</v>
      </c>
      <c r="B2566" s="184" t="s">
        <v>3601</v>
      </c>
      <c r="C2566" s="184" t="str">
        <f t="shared" ref="C2566:C2629" si="40">B2566&amp;", "&amp;A2566</f>
        <v>Seminole, FL</v>
      </c>
      <c r="D2566" s="187">
        <v>6.0999999999999999E-2</v>
      </c>
    </row>
    <row r="2567" spans="1:4">
      <c r="A2567" s="184" t="s">
        <v>3602</v>
      </c>
      <c r="B2567" s="184" t="s">
        <v>3601</v>
      </c>
      <c r="C2567" s="184" t="str">
        <f t="shared" si="40"/>
        <v>Seminole, GA</v>
      </c>
      <c r="D2567" s="187">
        <v>4.3999999999999997E-2</v>
      </c>
    </row>
    <row r="2568" spans="1:4">
      <c r="A2568" s="184" t="s">
        <v>2573</v>
      </c>
      <c r="B2568" s="184" t="s">
        <v>3601</v>
      </c>
      <c r="C2568" s="184" t="str">
        <f t="shared" si="40"/>
        <v>Seminole, OK</v>
      </c>
      <c r="D2568" s="187">
        <v>0.09</v>
      </c>
    </row>
    <row r="2569" spans="1:4">
      <c r="A2569" s="184" t="s">
        <v>3446</v>
      </c>
      <c r="B2569" s="184" t="s">
        <v>776</v>
      </c>
      <c r="C2569" s="184" t="str">
        <f t="shared" si="40"/>
        <v>Seneca, NY</v>
      </c>
      <c r="D2569" s="187">
        <v>0.09</v>
      </c>
    </row>
    <row r="2570" spans="1:4">
      <c r="A2570" s="184" t="s">
        <v>2562</v>
      </c>
      <c r="B2570" s="184" t="s">
        <v>776</v>
      </c>
      <c r="C2570" s="184" t="str">
        <f t="shared" si="40"/>
        <v>Seneca, OH</v>
      </c>
      <c r="D2570" s="187">
        <v>0.09</v>
      </c>
    </row>
    <row r="2571" spans="1:4">
      <c r="A2571" s="184" t="s">
        <v>699</v>
      </c>
      <c r="B2571" s="184" t="s">
        <v>968</v>
      </c>
      <c r="C2571" s="184" t="str">
        <f t="shared" si="40"/>
        <v>Sequatchie, TN</v>
      </c>
      <c r="D2571" s="187">
        <v>0.09</v>
      </c>
    </row>
    <row r="2572" spans="1:4">
      <c r="A2572" s="184" t="s">
        <v>2573</v>
      </c>
      <c r="B2572" s="184" t="s">
        <v>3352</v>
      </c>
      <c r="C2572" s="184" t="str">
        <f t="shared" si="40"/>
        <v>Sequoyah, OK</v>
      </c>
      <c r="D2572" s="187">
        <v>0.09</v>
      </c>
    </row>
    <row r="2573" spans="1:4">
      <c r="A2573" s="184" t="s">
        <v>566</v>
      </c>
      <c r="B2573" s="184" t="s">
        <v>926</v>
      </c>
      <c r="C2573" s="184" t="str">
        <f t="shared" si="40"/>
        <v>Sevier, AR</v>
      </c>
      <c r="D2573" s="187">
        <v>4.3999999999999997E-2</v>
      </c>
    </row>
    <row r="2574" spans="1:4">
      <c r="A2574" s="184" t="s">
        <v>699</v>
      </c>
      <c r="B2574" s="184" t="s">
        <v>926</v>
      </c>
      <c r="C2574" s="184" t="str">
        <f t="shared" si="40"/>
        <v>Sevier, TN</v>
      </c>
      <c r="D2574" s="187">
        <v>0.09</v>
      </c>
    </row>
    <row r="2575" spans="1:4">
      <c r="A2575" s="184" t="s">
        <v>742</v>
      </c>
      <c r="B2575" s="184" t="s">
        <v>926</v>
      </c>
      <c r="C2575" s="184" t="str">
        <f t="shared" si="40"/>
        <v>Sevier, UT</v>
      </c>
      <c r="D2575" s="187">
        <v>4.3999999999999997E-2</v>
      </c>
    </row>
    <row r="2576" spans="1:4">
      <c r="A2576" s="184" t="s">
        <v>663</v>
      </c>
      <c r="B2576" s="184" t="s">
        <v>2771</v>
      </c>
      <c r="C2576" s="184" t="str">
        <f t="shared" si="40"/>
        <v>Seward, KS</v>
      </c>
      <c r="D2576" s="187">
        <v>0.09</v>
      </c>
    </row>
    <row r="2577" spans="1:4">
      <c r="A2577" s="184" t="s">
        <v>3442</v>
      </c>
      <c r="B2577" s="184" t="s">
        <v>2771</v>
      </c>
      <c r="C2577" s="184" t="str">
        <f t="shared" si="40"/>
        <v>Seward, NE</v>
      </c>
      <c r="D2577" s="187">
        <v>0.09</v>
      </c>
    </row>
    <row r="2578" spans="1:4">
      <c r="A2578" s="184" t="s">
        <v>3906</v>
      </c>
      <c r="B2578" s="184" t="s">
        <v>359</v>
      </c>
      <c r="C2578" s="184" t="str">
        <f t="shared" si="40"/>
        <v>Shackelford, TX</v>
      </c>
      <c r="D2578" s="187">
        <v>4.3999999999999997E-2</v>
      </c>
    </row>
    <row r="2579" spans="1:4">
      <c r="A2579" s="184" t="s">
        <v>3434</v>
      </c>
      <c r="B2579" s="184" t="s">
        <v>2796</v>
      </c>
      <c r="C2579" s="184" t="str">
        <f t="shared" si="40"/>
        <v>Shannon, MO</v>
      </c>
      <c r="D2579" s="187">
        <v>0.09</v>
      </c>
    </row>
    <row r="2580" spans="1:4">
      <c r="A2580" s="184" t="s">
        <v>1944</v>
      </c>
      <c r="B2580" s="184" t="s">
        <v>2796</v>
      </c>
      <c r="C2580" s="184" t="str">
        <f t="shared" si="40"/>
        <v>Shannon, SD</v>
      </c>
      <c r="D2580" s="187">
        <v>4.3999999999999997E-2</v>
      </c>
    </row>
    <row r="2581" spans="1:4">
      <c r="A2581" s="184" t="s">
        <v>3035</v>
      </c>
      <c r="B2581" s="184" t="s">
        <v>955</v>
      </c>
      <c r="C2581" s="184" t="str">
        <f t="shared" si="40"/>
        <v>Sharkey, MS</v>
      </c>
      <c r="D2581" s="187">
        <v>3.5000000000000003E-2</v>
      </c>
    </row>
    <row r="2582" spans="1:4">
      <c r="A2582" s="184" t="s">
        <v>566</v>
      </c>
      <c r="B2582" s="184" t="s">
        <v>3402</v>
      </c>
      <c r="C2582" s="184" t="str">
        <f t="shared" si="40"/>
        <v>Sharp, AR</v>
      </c>
      <c r="D2582" s="187">
        <v>5.7000000000000002E-2</v>
      </c>
    </row>
    <row r="2583" spans="1:4">
      <c r="A2583" s="184" t="s">
        <v>3106</v>
      </c>
      <c r="B2583" s="184" t="s">
        <v>3410</v>
      </c>
      <c r="C2583" s="184" t="str">
        <f t="shared" si="40"/>
        <v>Shasta, CA</v>
      </c>
      <c r="D2583" s="187">
        <v>5.7000000000000002E-2</v>
      </c>
    </row>
    <row r="2584" spans="1:4">
      <c r="A2584" s="184" t="s">
        <v>550</v>
      </c>
      <c r="B2584" s="184" t="s">
        <v>860</v>
      </c>
      <c r="C2584" s="184" t="str">
        <f t="shared" si="40"/>
        <v>Shawano, WI</v>
      </c>
      <c r="D2584" s="187">
        <v>0.09</v>
      </c>
    </row>
    <row r="2585" spans="1:4">
      <c r="A2585" s="184" t="s">
        <v>663</v>
      </c>
      <c r="B2585" s="184" t="s">
        <v>2338</v>
      </c>
      <c r="C2585" s="184" t="str">
        <f t="shared" si="40"/>
        <v>Shawnee, KS</v>
      </c>
      <c r="D2585" s="187">
        <v>6.0999999999999999E-2</v>
      </c>
    </row>
    <row r="2586" spans="1:4">
      <c r="A2586" s="184" t="s">
        <v>550</v>
      </c>
      <c r="B2586" s="184" t="s">
        <v>1031</v>
      </c>
      <c r="C2586" s="184" t="str">
        <f t="shared" si="40"/>
        <v>Sheboygan, WI</v>
      </c>
      <c r="D2586" s="187">
        <v>6.0999999999999999E-2</v>
      </c>
    </row>
    <row r="2587" spans="1:4">
      <c r="A2587" s="184" t="s">
        <v>2000</v>
      </c>
      <c r="B2587" s="184" t="s">
        <v>987</v>
      </c>
      <c r="C2587" s="184" t="str">
        <f t="shared" si="40"/>
        <v>Shelby, AL</v>
      </c>
      <c r="D2587" s="187">
        <v>6.0999999999999999E-2</v>
      </c>
    </row>
    <row r="2588" spans="1:4">
      <c r="A2588" s="184" t="s">
        <v>2031</v>
      </c>
      <c r="B2588" s="184" t="s">
        <v>987</v>
      </c>
      <c r="C2588" s="184" t="str">
        <f t="shared" si="40"/>
        <v>Shelby, IA</v>
      </c>
      <c r="D2588" s="187">
        <v>0.09</v>
      </c>
    </row>
    <row r="2589" spans="1:4">
      <c r="A2589" s="184" t="s">
        <v>2019</v>
      </c>
      <c r="B2589" s="184" t="s">
        <v>987</v>
      </c>
      <c r="C2589" s="184" t="str">
        <f t="shared" si="40"/>
        <v>Shelby, IL</v>
      </c>
      <c r="D2589" s="187">
        <v>0.09</v>
      </c>
    </row>
    <row r="2590" spans="1:4">
      <c r="A2590" s="184" t="s">
        <v>2021</v>
      </c>
      <c r="B2590" s="184" t="s">
        <v>987</v>
      </c>
      <c r="C2590" s="184" t="str">
        <f t="shared" si="40"/>
        <v>Shelby, IN</v>
      </c>
      <c r="D2590" s="187">
        <v>6.0999999999999999E-2</v>
      </c>
    </row>
    <row r="2591" spans="1:4">
      <c r="A2591" s="184" t="s">
        <v>529</v>
      </c>
      <c r="B2591" s="184" t="s">
        <v>987</v>
      </c>
      <c r="C2591" s="184" t="str">
        <f t="shared" si="40"/>
        <v>Shelby, KY</v>
      </c>
      <c r="D2591" s="187">
        <v>0.09</v>
      </c>
    </row>
    <row r="2592" spans="1:4">
      <c r="A2592" s="184" t="s">
        <v>3434</v>
      </c>
      <c r="B2592" s="184" t="s">
        <v>987</v>
      </c>
      <c r="C2592" s="184" t="str">
        <f t="shared" si="40"/>
        <v>Shelby, MO</v>
      </c>
      <c r="D2592" s="187">
        <v>0.09</v>
      </c>
    </row>
    <row r="2593" spans="1:4">
      <c r="A2593" s="184" t="s">
        <v>2562</v>
      </c>
      <c r="B2593" s="184" t="s">
        <v>987</v>
      </c>
      <c r="C2593" s="184" t="str">
        <f t="shared" si="40"/>
        <v>Shelby, OH</v>
      </c>
      <c r="D2593" s="187">
        <v>0.09</v>
      </c>
    </row>
    <row r="2594" spans="1:4">
      <c r="A2594" s="184" t="s">
        <v>699</v>
      </c>
      <c r="B2594" s="184" t="s">
        <v>987</v>
      </c>
      <c r="C2594" s="184" t="str">
        <f t="shared" si="40"/>
        <v>Shelby, TN</v>
      </c>
      <c r="D2594" s="187">
        <v>6.0999999999999999E-2</v>
      </c>
    </row>
    <row r="2595" spans="1:4">
      <c r="A2595" s="184" t="s">
        <v>3906</v>
      </c>
      <c r="B2595" s="184" t="s">
        <v>987</v>
      </c>
      <c r="C2595" s="184" t="str">
        <f t="shared" si="40"/>
        <v>Shelby, TX</v>
      </c>
      <c r="D2595" s="187">
        <v>4.3999999999999997E-2</v>
      </c>
    </row>
    <row r="2596" spans="1:4">
      <c r="A2596" s="184" t="s">
        <v>746</v>
      </c>
      <c r="B2596" s="184" t="s">
        <v>2067</v>
      </c>
      <c r="C2596" s="184" t="str">
        <f t="shared" si="40"/>
        <v>Shenandoah, VA</v>
      </c>
      <c r="D2596" s="187">
        <v>4.3999999999999997E-2</v>
      </c>
    </row>
    <row r="2597" spans="1:4">
      <c r="A2597" s="184" t="s">
        <v>3429</v>
      </c>
      <c r="B2597" s="184" t="s">
        <v>3033</v>
      </c>
      <c r="C2597" s="184" t="str">
        <f t="shared" si="40"/>
        <v>Sherburne, MN</v>
      </c>
      <c r="D2597" s="187">
        <v>6.0999999999999999E-2</v>
      </c>
    </row>
    <row r="2598" spans="1:4">
      <c r="A2598" s="184" t="s">
        <v>663</v>
      </c>
      <c r="B2598" s="184" t="s">
        <v>2772</v>
      </c>
      <c r="C2598" s="184" t="str">
        <f t="shared" si="40"/>
        <v>Sheridan, KS</v>
      </c>
      <c r="D2598" s="187">
        <v>0.09</v>
      </c>
    </row>
    <row r="2599" spans="1:4">
      <c r="A2599" s="184" t="s">
        <v>3438</v>
      </c>
      <c r="B2599" s="184" t="s">
        <v>2772</v>
      </c>
      <c r="C2599" s="184" t="str">
        <f t="shared" si="40"/>
        <v>Sheridan, MT</v>
      </c>
      <c r="D2599" s="187">
        <v>0.09</v>
      </c>
    </row>
    <row r="2600" spans="1:4">
      <c r="A2600" s="184" t="s">
        <v>2558</v>
      </c>
      <c r="B2600" s="184" t="s">
        <v>2772</v>
      </c>
      <c r="C2600" s="184" t="str">
        <f t="shared" si="40"/>
        <v>Sheridan, ND</v>
      </c>
      <c r="D2600" s="187">
        <v>0.09</v>
      </c>
    </row>
    <row r="2601" spans="1:4">
      <c r="A2601" s="184" t="s">
        <v>3442</v>
      </c>
      <c r="B2601" s="184" t="s">
        <v>2772</v>
      </c>
      <c r="C2601" s="184" t="str">
        <f t="shared" si="40"/>
        <v>Sheridan, NE</v>
      </c>
      <c r="D2601" s="187">
        <v>0.09</v>
      </c>
    </row>
    <row r="2602" spans="1:4">
      <c r="A2602" s="184" t="s">
        <v>1033</v>
      </c>
      <c r="B2602" s="184" t="s">
        <v>2772</v>
      </c>
      <c r="C2602" s="184" t="str">
        <f t="shared" si="40"/>
        <v>Sheridan, WY</v>
      </c>
      <c r="D2602" s="187">
        <v>0.09</v>
      </c>
    </row>
    <row r="2603" spans="1:4">
      <c r="A2603" s="184" t="s">
        <v>663</v>
      </c>
      <c r="B2603" s="184" t="s">
        <v>2773</v>
      </c>
      <c r="C2603" s="184" t="str">
        <f t="shared" si="40"/>
        <v>Sherman, KS</v>
      </c>
      <c r="D2603" s="187">
        <v>0.09</v>
      </c>
    </row>
    <row r="2604" spans="1:4">
      <c r="A2604" s="184" t="s">
        <v>3442</v>
      </c>
      <c r="B2604" s="184" t="s">
        <v>2773</v>
      </c>
      <c r="C2604" s="184" t="str">
        <f t="shared" si="40"/>
        <v>Sherman, NE</v>
      </c>
      <c r="D2604" s="187">
        <v>0.09</v>
      </c>
    </row>
    <row r="2605" spans="1:4">
      <c r="A2605" s="184" t="s">
        <v>3353</v>
      </c>
      <c r="B2605" s="184" t="s">
        <v>2773</v>
      </c>
      <c r="C2605" s="184" t="str">
        <f t="shared" si="40"/>
        <v>Sherman, OR</v>
      </c>
      <c r="D2605" s="187">
        <v>0.09</v>
      </c>
    </row>
    <row r="2606" spans="1:4">
      <c r="A2606" s="184" t="s">
        <v>3906</v>
      </c>
      <c r="B2606" s="184" t="s">
        <v>2773</v>
      </c>
      <c r="C2606" s="184" t="str">
        <f t="shared" si="40"/>
        <v>Sherman, TX</v>
      </c>
      <c r="D2606" s="187">
        <v>6.0999999999999999E-2</v>
      </c>
    </row>
    <row r="2607" spans="1:4">
      <c r="A2607" s="184" t="s">
        <v>2090</v>
      </c>
      <c r="B2607" s="184" t="s">
        <v>1471</v>
      </c>
      <c r="C2607" s="184" t="str">
        <f t="shared" si="40"/>
        <v>Shiawassee, MI</v>
      </c>
      <c r="D2607" s="187">
        <v>0.09</v>
      </c>
    </row>
    <row r="2608" spans="1:4">
      <c r="A2608" s="184" t="s">
        <v>3875</v>
      </c>
      <c r="B2608" s="184" t="s">
        <v>1012</v>
      </c>
      <c r="C2608" s="184" t="str">
        <f t="shared" si="40"/>
        <v>Shoshone, ID</v>
      </c>
      <c r="D2608" s="187">
        <v>4.3999999999999997E-2</v>
      </c>
    </row>
    <row r="2609" spans="1:4">
      <c r="A2609" s="184" t="s">
        <v>3429</v>
      </c>
      <c r="B2609" s="184" t="s">
        <v>1511</v>
      </c>
      <c r="C2609" s="184" t="str">
        <f t="shared" si="40"/>
        <v>Sibley, MN</v>
      </c>
      <c r="D2609" s="187">
        <v>0.09</v>
      </c>
    </row>
    <row r="2610" spans="1:4">
      <c r="A2610" s="184" t="s">
        <v>3106</v>
      </c>
      <c r="B2610" s="184" t="s">
        <v>2957</v>
      </c>
      <c r="C2610" s="184" t="str">
        <f t="shared" si="40"/>
        <v>Sierra, CA</v>
      </c>
      <c r="D2610" s="187">
        <v>0.09</v>
      </c>
    </row>
    <row r="2611" spans="1:4">
      <c r="A2611" s="184" t="s">
        <v>3622</v>
      </c>
      <c r="B2611" s="184" t="s">
        <v>2957</v>
      </c>
      <c r="C2611" s="184" t="str">
        <f t="shared" si="40"/>
        <v>Sierra, NM</v>
      </c>
      <c r="D2611" s="187">
        <v>3.5000000000000003E-2</v>
      </c>
    </row>
    <row r="2612" spans="1:4">
      <c r="A2612" s="184" t="s">
        <v>3438</v>
      </c>
      <c r="B2612" s="184" t="s">
        <v>3083</v>
      </c>
      <c r="C2612" s="184" t="str">
        <f t="shared" si="40"/>
        <v>Silver Bow, MT</v>
      </c>
      <c r="D2612" s="187">
        <v>0.09</v>
      </c>
    </row>
    <row r="2613" spans="1:4">
      <c r="A2613" s="184" t="s">
        <v>529</v>
      </c>
      <c r="B2613" s="184" t="s">
        <v>752</v>
      </c>
      <c r="C2613" s="184" t="str">
        <f t="shared" si="40"/>
        <v>Simpson, KY</v>
      </c>
      <c r="D2613" s="187">
        <v>0.09</v>
      </c>
    </row>
    <row r="2614" spans="1:4">
      <c r="A2614" s="184" t="s">
        <v>3035</v>
      </c>
      <c r="B2614" s="184" t="s">
        <v>752</v>
      </c>
      <c r="C2614" s="184" t="str">
        <f t="shared" si="40"/>
        <v>Simpson, MS</v>
      </c>
      <c r="D2614" s="187">
        <v>4.3999999999999997E-2</v>
      </c>
    </row>
    <row r="2615" spans="1:4">
      <c r="A2615" s="184" t="s">
        <v>2031</v>
      </c>
      <c r="B2615" s="184" t="s">
        <v>1987</v>
      </c>
      <c r="C2615" s="184" t="str">
        <f t="shared" si="40"/>
        <v>Sioux, IA</v>
      </c>
      <c r="D2615" s="187">
        <v>0.09</v>
      </c>
    </row>
    <row r="2616" spans="1:4">
      <c r="A2616" s="184" t="s">
        <v>2558</v>
      </c>
      <c r="B2616" s="184" t="s">
        <v>1987</v>
      </c>
      <c r="C2616" s="184" t="str">
        <f t="shared" si="40"/>
        <v>Sioux, ND</v>
      </c>
      <c r="D2616" s="187">
        <v>0.09</v>
      </c>
    </row>
    <row r="2617" spans="1:4">
      <c r="A2617" s="184" t="s">
        <v>3442</v>
      </c>
      <c r="B2617" s="184" t="s">
        <v>1987</v>
      </c>
      <c r="C2617" s="184" t="str">
        <f t="shared" si="40"/>
        <v>Sioux, NE</v>
      </c>
      <c r="D2617" s="187">
        <v>0.09</v>
      </c>
    </row>
    <row r="2618" spans="1:4">
      <c r="A2618" s="184" t="s">
        <v>3106</v>
      </c>
      <c r="B2618" s="184" t="s">
        <v>2958</v>
      </c>
      <c r="C2618" s="184" t="str">
        <f t="shared" si="40"/>
        <v>Siskiyou, CA</v>
      </c>
      <c r="D2618" s="187">
        <v>0.09</v>
      </c>
    </row>
    <row r="2619" spans="1:4">
      <c r="A2619" s="184" t="s">
        <v>988</v>
      </c>
      <c r="B2619" s="184" t="s">
        <v>2983</v>
      </c>
      <c r="C2619" s="184" t="str">
        <f t="shared" si="40"/>
        <v>Sitka, AK</v>
      </c>
      <c r="D2619" s="187">
        <v>0.09</v>
      </c>
    </row>
    <row r="2620" spans="1:4">
      <c r="A2620" s="184" t="s">
        <v>1278</v>
      </c>
      <c r="B2620" s="184" t="s">
        <v>1840</v>
      </c>
      <c r="C2620" s="184" t="str">
        <f t="shared" si="40"/>
        <v>Skagit, WA</v>
      </c>
      <c r="D2620" s="187">
        <v>0.09</v>
      </c>
    </row>
    <row r="2621" spans="1:4">
      <c r="A2621" s="184" t="s">
        <v>988</v>
      </c>
      <c r="B2621" s="184" t="s">
        <v>588</v>
      </c>
      <c r="C2621" s="184" t="str">
        <f t="shared" si="40"/>
        <v>Skagway-Yakutat-Angoon, AK</v>
      </c>
      <c r="D2621" s="187" t="s">
        <v>3930</v>
      </c>
    </row>
    <row r="2622" spans="1:4">
      <c r="A2622" s="184" t="s">
        <v>1278</v>
      </c>
      <c r="B2622" s="184" t="s">
        <v>1841</v>
      </c>
      <c r="C2622" s="184" t="str">
        <f t="shared" si="40"/>
        <v>Skamania, WA</v>
      </c>
      <c r="D2622" s="187">
        <v>0.09</v>
      </c>
    </row>
    <row r="2623" spans="1:4">
      <c r="A2623" s="184" t="s">
        <v>2558</v>
      </c>
      <c r="B2623" s="184" t="s">
        <v>3958</v>
      </c>
      <c r="C2623" s="184" t="str">
        <f t="shared" si="40"/>
        <v>Slope, ND</v>
      </c>
      <c r="D2623" s="187">
        <v>0.09</v>
      </c>
    </row>
    <row r="2624" spans="1:4">
      <c r="A2624" s="184" t="s">
        <v>663</v>
      </c>
      <c r="B2624" s="184" t="s">
        <v>738</v>
      </c>
      <c r="C2624" s="184" t="str">
        <f t="shared" si="40"/>
        <v>Smith, KS</v>
      </c>
      <c r="D2624" s="187">
        <v>0.09</v>
      </c>
    </row>
    <row r="2625" spans="1:4">
      <c r="A2625" s="184" t="s">
        <v>3035</v>
      </c>
      <c r="B2625" s="184" t="s">
        <v>738</v>
      </c>
      <c r="C2625" s="184" t="str">
        <f t="shared" si="40"/>
        <v>Smith, MS</v>
      </c>
      <c r="D2625" s="187">
        <v>4.3999999999999997E-2</v>
      </c>
    </row>
    <row r="2626" spans="1:4">
      <c r="A2626" s="184" t="s">
        <v>699</v>
      </c>
      <c r="B2626" s="184" t="s">
        <v>738</v>
      </c>
      <c r="C2626" s="184" t="str">
        <f t="shared" si="40"/>
        <v>Smith, TN</v>
      </c>
      <c r="D2626" s="187">
        <v>0.09</v>
      </c>
    </row>
    <row r="2627" spans="1:4">
      <c r="A2627" s="184" t="s">
        <v>3906</v>
      </c>
      <c r="B2627" s="184" t="s">
        <v>738</v>
      </c>
      <c r="C2627" s="184" t="str">
        <f t="shared" si="40"/>
        <v>Smith, TX</v>
      </c>
      <c r="D2627" s="187">
        <v>6.0999999999999999E-2</v>
      </c>
    </row>
    <row r="2628" spans="1:4">
      <c r="A2628" s="184" t="s">
        <v>746</v>
      </c>
      <c r="B2628" s="184" t="s">
        <v>2068</v>
      </c>
      <c r="C2628" s="184" t="str">
        <f t="shared" si="40"/>
        <v>Smyth, VA</v>
      </c>
      <c r="D2628" s="187">
        <v>4.3999999999999997E-2</v>
      </c>
    </row>
    <row r="2629" spans="1:4">
      <c r="A2629" s="184" t="s">
        <v>1278</v>
      </c>
      <c r="B2629" s="184" t="s">
        <v>3185</v>
      </c>
      <c r="C2629" s="184" t="str">
        <f t="shared" si="40"/>
        <v>Snohomish, WA</v>
      </c>
      <c r="D2629" s="187">
        <v>6.0999999999999999E-2</v>
      </c>
    </row>
    <row r="2630" spans="1:4">
      <c r="A2630" s="184" t="s">
        <v>3356</v>
      </c>
      <c r="B2630" s="184" t="s">
        <v>59</v>
      </c>
      <c r="C2630" s="184" t="str">
        <f t="shared" ref="C2630:C2693" si="41">B2630&amp;", "&amp;A2630</f>
        <v>Snyder, PA</v>
      </c>
      <c r="D2630" s="187">
        <v>0.09</v>
      </c>
    </row>
    <row r="2631" spans="1:4">
      <c r="A2631" s="184" t="s">
        <v>3622</v>
      </c>
      <c r="B2631" s="184" t="s">
        <v>25</v>
      </c>
      <c r="C2631" s="184" t="str">
        <f t="shared" si="41"/>
        <v>Socorro, NM</v>
      </c>
      <c r="D2631" s="187">
        <v>5.7000000000000002E-2</v>
      </c>
    </row>
    <row r="2632" spans="1:4">
      <c r="A2632" s="184" t="s">
        <v>3106</v>
      </c>
      <c r="B2632" s="184" t="s">
        <v>3557</v>
      </c>
      <c r="C2632" s="184" t="str">
        <f t="shared" si="41"/>
        <v>Solano, CA</v>
      </c>
      <c r="D2632" s="187">
        <v>2.4E-2</v>
      </c>
    </row>
    <row r="2633" spans="1:4">
      <c r="A2633" s="184" t="s">
        <v>2087</v>
      </c>
      <c r="B2633" s="184" t="s">
        <v>895</v>
      </c>
      <c r="C2633" s="184" t="str">
        <f t="shared" si="41"/>
        <v>Somerset, MD</v>
      </c>
      <c r="D2633" s="187">
        <v>5.7000000000000002E-2</v>
      </c>
    </row>
    <row r="2634" spans="1:4">
      <c r="A2634" s="184" t="s">
        <v>1922</v>
      </c>
      <c r="B2634" s="184" t="s">
        <v>895</v>
      </c>
      <c r="C2634" s="184" t="str">
        <f t="shared" si="41"/>
        <v>Somerset, ME</v>
      </c>
      <c r="D2634" s="187">
        <v>3.5000000000000003E-2</v>
      </c>
    </row>
    <row r="2635" spans="1:4">
      <c r="A2635" s="184" t="s">
        <v>3444</v>
      </c>
      <c r="B2635" s="184" t="s">
        <v>895</v>
      </c>
      <c r="C2635" s="184" t="str">
        <f t="shared" si="41"/>
        <v>Somerset, NJ</v>
      </c>
      <c r="D2635" s="187">
        <v>6.0999999999999999E-2</v>
      </c>
    </row>
    <row r="2636" spans="1:4">
      <c r="A2636" s="184" t="s">
        <v>3356</v>
      </c>
      <c r="B2636" s="184" t="s">
        <v>895</v>
      </c>
      <c r="C2636" s="184" t="str">
        <f t="shared" si="41"/>
        <v>Somerset, PA</v>
      </c>
      <c r="D2636" s="187">
        <v>0.09</v>
      </c>
    </row>
    <row r="2637" spans="1:4">
      <c r="A2637" s="184" t="s">
        <v>3906</v>
      </c>
      <c r="B2637" s="184" t="s">
        <v>360</v>
      </c>
      <c r="C2637" s="184" t="str">
        <f t="shared" si="41"/>
        <v>Somervell, TX</v>
      </c>
      <c r="D2637" s="187">
        <v>6.0999999999999999E-2</v>
      </c>
    </row>
    <row r="2638" spans="1:4">
      <c r="A2638" s="184" t="s">
        <v>3106</v>
      </c>
      <c r="B2638" s="184" t="s">
        <v>3558</v>
      </c>
      <c r="C2638" s="184" t="str">
        <f t="shared" si="41"/>
        <v>Sonoma, CA</v>
      </c>
      <c r="D2638" s="187">
        <v>2.4E-2</v>
      </c>
    </row>
    <row r="2639" spans="1:4">
      <c r="A2639" s="184" t="s">
        <v>746</v>
      </c>
      <c r="B2639" s="184" t="s">
        <v>590</v>
      </c>
      <c r="C2639" s="184" t="str">
        <f t="shared" si="41"/>
        <v>South Boston City, VA</v>
      </c>
      <c r="D2639" s="187" t="s">
        <v>3930</v>
      </c>
    </row>
    <row r="2640" spans="1:4">
      <c r="A2640" s="184" t="s">
        <v>746</v>
      </c>
      <c r="B2640" s="184" t="s">
        <v>2069</v>
      </c>
      <c r="C2640" s="184" t="str">
        <f t="shared" si="41"/>
        <v>Southampton, VA</v>
      </c>
      <c r="D2640" s="187">
        <v>4.3999999999999997E-2</v>
      </c>
    </row>
    <row r="2641" spans="1:4">
      <c r="A2641" s="184" t="s">
        <v>988</v>
      </c>
      <c r="B2641" s="184" t="s">
        <v>2984</v>
      </c>
      <c r="C2641" s="184" t="str">
        <f t="shared" si="41"/>
        <v>Southeast Fairbanks, AK</v>
      </c>
      <c r="D2641" s="187">
        <v>0.09</v>
      </c>
    </row>
    <row r="2642" spans="1:4">
      <c r="A2642" s="184" t="s">
        <v>3602</v>
      </c>
      <c r="B2642" s="184" t="s">
        <v>3447</v>
      </c>
      <c r="C2642" s="184" t="str">
        <f t="shared" si="41"/>
        <v>Spalding, GA</v>
      </c>
      <c r="D2642" s="187">
        <v>5.7000000000000002E-2</v>
      </c>
    </row>
    <row r="2643" spans="1:4">
      <c r="A2643" s="184" t="s">
        <v>1942</v>
      </c>
      <c r="B2643" s="184" t="s">
        <v>99</v>
      </c>
      <c r="C2643" s="184" t="str">
        <f t="shared" si="41"/>
        <v>Spartanburg, SC</v>
      </c>
      <c r="D2643" s="187">
        <v>4.3999999999999997E-2</v>
      </c>
    </row>
    <row r="2644" spans="1:4">
      <c r="A2644" s="184" t="s">
        <v>2021</v>
      </c>
      <c r="B2644" s="184" t="s">
        <v>2840</v>
      </c>
      <c r="C2644" s="184" t="str">
        <f t="shared" si="41"/>
        <v>Spencer, IN</v>
      </c>
      <c r="D2644" s="187">
        <v>0.09</v>
      </c>
    </row>
    <row r="2645" spans="1:4">
      <c r="A2645" s="184" t="s">
        <v>529</v>
      </c>
      <c r="B2645" s="184" t="s">
        <v>2840</v>
      </c>
      <c r="C2645" s="184" t="str">
        <f t="shared" si="41"/>
        <v>Spencer, KY</v>
      </c>
      <c r="D2645" s="187">
        <v>0.09</v>
      </c>
    </row>
    <row r="2646" spans="1:4">
      <c r="A2646" s="184" t="s">
        <v>1944</v>
      </c>
      <c r="B2646" s="184" t="s">
        <v>1728</v>
      </c>
      <c r="C2646" s="184" t="str">
        <f t="shared" si="41"/>
        <v>Spink, SD</v>
      </c>
      <c r="D2646" s="187">
        <v>4.3999999999999997E-2</v>
      </c>
    </row>
    <row r="2647" spans="1:4">
      <c r="A2647" s="184" t="s">
        <v>1278</v>
      </c>
      <c r="B2647" s="184" t="s">
        <v>539</v>
      </c>
      <c r="C2647" s="184" t="str">
        <f t="shared" si="41"/>
        <v>Spokane, WA</v>
      </c>
      <c r="D2647" s="187">
        <v>0.09</v>
      </c>
    </row>
    <row r="2648" spans="1:4">
      <c r="A2648" s="184" t="s">
        <v>746</v>
      </c>
      <c r="B2648" s="184" t="s">
        <v>3167</v>
      </c>
      <c r="C2648" s="184" t="str">
        <f t="shared" si="41"/>
        <v>Spotsylvania, VA</v>
      </c>
      <c r="D2648" s="187">
        <v>6.0999999999999999E-2</v>
      </c>
    </row>
    <row r="2649" spans="1:4">
      <c r="A2649" s="184" t="s">
        <v>535</v>
      </c>
      <c r="B2649" s="184" t="s">
        <v>3112</v>
      </c>
      <c r="C2649" s="184" t="str">
        <f t="shared" si="41"/>
        <v>St. Bernard, LA</v>
      </c>
      <c r="D2649" s="187">
        <v>5.7000000000000002E-2</v>
      </c>
    </row>
    <row r="2650" spans="1:4">
      <c r="A2650" s="184" t="s">
        <v>535</v>
      </c>
      <c r="B2650" s="184" t="s">
        <v>2080</v>
      </c>
      <c r="C2650" s="184" t="str">
        <f t="shared" si="41"/>
        <v>St. Charles, LA</v>
      </c>
      <c r="D2650" s="187">
        <v>0.09</v>
      </c>
    </row>
    <row r="2651" spans="1:4">
      <c r="A2651" s="184" t="s">
        <v>3434</v>
      </c>
      <c r="B2651" s="184" t="s">
        <v>2080</v>
      </c>
      <c r="C2651" s="184" t="str">
        <f t="shared" si="41"/>
        <v>St. Charles, MO</v>
      </c>
      <c r="D2651" s="187">
        <v>6.0999999999999999E-2</v>
      </c>
    </row>
    <row r="2652" spans="1:4">
      <c r="A2652" s="184" t="s">
        <v>2000</v>
      </c>
      <c r="B2652" s="184" t="s">
        <v>986</v>
      </c>
      <c r="C2652" s="184" t="str">
        <f t="shared" si="41"/>
        <v>St. Clair, AL</v>
      </c>
      <c r="D2652" s="187">
        <v>6.0999999999999999E-2</v>
      </c>
    </row>
    <row r="2653" spans="1:4">
      <c r="A2653" s="184" t="s">
        <v>2019</v>
      </c>
      <c r="B2653" s="184" t="s">
        <v>986</v>
      </c>
      <c r="C2653" s="184" t="str">
        <f t="shared" si="41"/>
        <v>St. Clair, IL</v>
      </c>
      <c r="D2653" s="187">
        <v>6.0999999999999999E-2</v>
      </c>
    </row>
    <row r="2654" spans="1:4">
      <c r="A2654" s="184" t="s">
        <v>2090</v>
      </c>
      <c r="B2654" s="184" t="s">
        <v>986</v>
      </c>
      <c r="C2654" s="184" t="str">
        <f t="shared" si="41"/>
        <v>St. Clair, MI</v>
      </c>
      <c r="D2654" s="187">
        <v>6.0999999999999999E-2</v>
      </c>
    </row>
    <row r="2655" spans="1:4">
      <c r="A2655" s="184" t="s">
        <v>3434</v>
      </c>
      <c r="B2655" s="184" t="s">
        <v>986</v>
      </c>
      <c r="C2655" s="184" t="str">
        <f t="shared" si="41"/>
        <v>St. Clair, MO</v>
      </c>
      <c r="D2655" s="187">
        <v>0.09</v>
      </c>
    </row>
    <row r="2656" spans="1:4">
      <c r="A2656" s="184" t="s">
        <v>550</v>
      </c>
      <c r="B2656" s="184" t="s">
        <v>1030</v>
      </c>
      <c r="C2656" s="184" t="str">
        <f t="shared" si="41"/>
        <v>St. Croix, WI</v>
      </c>
      <c r="D2656" s="187">
        <v>6.0999999999999999E-2</v>
      </c>
    </row>
    <row r="2657" spans="1:4">
      <c r="A2657" s="184" t="s">
        <v>566</v>
      </c>
      <c r="B2657" s="184" t="s">
        <v>3400</v>
      </c>
      <c r="C2657" s="184" t="str">
        <f t="shared" si="41"/>
        <v>St. Francis, AR</v>
      </c>
      <c r="D2657" s="187">
        <v>5.7000000000000002E-2</v>
      </c>
    </row>
    <row r="2658" spans="1:4">
      <c r="A2658" s="184" t="s">
        <v>3434</v>
      </c>
      <c r="B2658" s="184" t="s">
        <v>17</v>
      </c>
      <c r="C2658" s="184" t="str">
        <f t="shared" si="41"/>
        <v>St. Francois, MO</v>
      </c>
      <c r="D2658" s="187">
        <v>5.7000000000000002E-2</v>
      </c>
    </row>
    <row r="2659" spans="1:4">
      <c r="A2659" s="184" t="s">
        <v>535</v>
      </c>
      <c r="B2659" s="184" t="s">
        <v>1916</v>
      </c>
      <c r="C2659" s="184" t="str">
        <f t="shared" si="41"/>
        <v>St. Helena, LA</v>
      </c>
      <c r="D2659" s="187">
        <v>0.09</v>
      </c>
    </row>
    <row r="2660" spans="1:4">
      <c r="A2660" s="184" t="s">
        <v>535</v>
      </c>
      <c r="B2660" s="184" t="s">
        <v>3113</v>
      </c>
      <c r="C2660" s="184" t="str">
        <f t="shared" si="41"/>
        <v>St. James, LA</v>
      </c>
      <c r="D2660" s="187">
        <v>5.7000000000000002E-2</v>
      </c>
    </row>
    <row r="2661" spans="1:4">
      <c r="A2661" s="184" t="s">
        <v>535</v>
      </c>
      <c r="B2661" s="184" t="s">
        <v>2081</v>
      </c>
      <c r="C2661" s="184" t="str">
        <f t="shared" si="41"/>
        <v>St. John the Baptist, LA</v>
      </c>
      <c r="D2661" s="187">
        <v>0.09</v>
      </c>
    </row>
    <row r="2662" spans="1:4">
      <c r="A2662" s="184" t="s">
        <v>3594</v>
      </c>
      <c r="B2662" s="184" t="s">
        <v>3599</v>
      </c>
      <c r="C2662" s="184" t="str">
        <f t="shared" si="41"/>
        <v>St. Johns, FL</v>
      </c>
      <c r="D2662" s="187">
        <v>6.0999999999999999E-2</v>
      </c>
    </row>
    <row r="2663" spans="1:4">
      <c r="A2663" s="184" t="s">
        <v>2021</v>
      </c>
      <c r="B2663" s="184" t="s">
        <v>2322</v>
      </c>
      <c r="C2663" s="184" t="str">
        <f t="shared" si="41"/>
        <v>St. Joseph, IN</v>
      </c>
      <c r="D2663" s="187">
        <v>6.0999999999999999E-2</v>
      </c>
    </row>
    <row r="2664" spans="1:4">
      <c r="A2664" s="184" t="s">
        <v>2090</v>
      </c>
      <c r="B2664" s="184" t="s">
        <v>2322</v>
      </c>
      <c r="C2664" s="184" t="str">
        <f t="shared" si="41"/>
        <v>St. Joseph, MI</v>
      </c>
      <c r="D2664" s="187">
        <v>0.09</v>
      </c>
    </row>
    <row r="2665" spans="1:4">
      <c r="A2665" s="184" t="s">
        <v>535</v>
      </c>
      <c r="B2665" s="184" t="s">
        <v>2082</v>
      </c>
      <c r="C2665" s="184" t="str">
        <f t="shared" si="41"/>
        <v>St. Landry, LA</v>
      </c>
      <c r="D2665" s="187">
        <v>0.09</v>
      </c>
    </row>
    <row r="2666" spans="1:4">
      <c r="A2666" s="184" t="s">
        <v>3446</v>
      </c>
      <c r="B2666" s="184" t="s">
        <v>775</v>
      </c>
      <c r="C2666" s="184" t="str">
        <f t="shared" si="41"/>
        <v>St. Lawrence, NY</v>
      </c>
      <c r="D2666" s="187">
        <v>0.09</v>
      </c>
    </row>
    <row r="2667" spans="1:4">
      <c r="A2667" s="184" t="s">
        <v>3429</v>
      </c>
      <c r="B2667" s="184" t="s">
        <v>3432</v>
      </c>
      <c r="C2667" s="184" t="str">
        <f t="shared" si="41"/>
        <v>St. Louis, MN</v>
      </c>
      <c r="D2667" s="187">
        <v>0.09</v>
      </c>
    </row>
    <row r="2668" spans="1:4">
      <c r="A2668" s="184" t="s">
        <v>3434</v>
      </c>
      <c r="B2668" s="184" t="s">
        <v>3432</v>
      </c>
      <c r="C2668" s="184" t="str">
        <f t="shared" si="41"/>
        <v>St. Louis, MO</v>
      </c>
      <c r="D2668" s="187">
        <v>6.0999999999999999E-2</v>
      </c>
    </row>
    <row r="2669" spans="1:4">
      <c r="A2669" s="184" t="s">
        <v>3434</v>
      </c>
      <c r="B2669" s="184" t="s">
        <v>1200</v>
      </c>
      <c r="C2669" s="184" t="str">
        <f t="shared" si="41"/>
        <v>St. Louis City, MO</v>
      </c>
      <c r="D2669" s="187">
        <v>2.4E-2</v>
      </c>
    </row>
    <row r="2670" spans="1:4">
      <c r="A2670" s="184" t="s">
        <v>3594</v>
      </c>
      <c r="B2670" s="184" t="s">
        <v>3600</v>
      </c>
      <c r="C2670" s="184" t="str">
        <f t="shared" si="41"/>
        <v>St. Lucie, FL</v>
      </c>
      <c r="D2670" s="187">
        <v>6.0999999999999999E-2</v>
      </c>
    </row>
    <row r="2671" spans="1:4">
      <c r="A2671" s="184" t="s">
        <v>535</v>
      </c>
      <c r="B2671" s="184" t="s">
        <v>2083</v>
      </c>
      <c r="C2671" s="184" t="str">
        <f t="shared" si="41"/>
        <v>St. Martin, LA</v>
      </c>
      <c r="D2671" s="187">
        <v>0.09</v>
      </c>
    </row>
    <row r="2672" spans="1:4">
      <c r="A2672" s="184" t="s">
        <v>535</v>
      </c>
      <c r="B2672" s="184" t="s">
        <v>1917</v>
      </c>
      <c r="C2672" s="184" t="str">
        <f t="shared" si="41"/>
        <v>St. Mary, LA</v>
      </c>
      <c r="D2672" s="187">
        <v>0.09</v>
      </c>
    </row>
    <row r="2673" spans="1:4">
      <c r="A2673" s="184" t="s">
        <v>2087</v>
      </c>
      <c r="B2673" s="184" t="s">
        <v>1225</v>
      </c>
      <c r="C2673" s="184" t="str">
        <f t="shared" si="41"/>
        <v>St. Mary's, MD</v>
      </c>
      <c r="D2673" s="187">
        <v>6.0999999999999999E-2</v>
      </c>
    </row>
    <row r="2674" spans="1:4">
      <c r="A2674" s="184" t="s">
        <v>535</v>
      </c>
      <c r="B2674" s="184" t="s">
        <v>2084</v>
      </c>
      <c r="C2674" s="184" t="str">
        <f t="shared" si="41"/>
        <v>St. Tammany, LA</v>
      </c>
      <c r="D2674" s="187">
        <v>0.09</v>
      </c>
    </row>
    <row r="2675" spans="1:4">
      <c r="A2675" s="184" t="s">
        <v>663</v>
      </c>
      <c r="B2675" s="184" t="s">
        <v>3168</v>
      </c>
      <c r="C2675" s="184" t="str">
        <f t="shared" si="41"/>
        <v>Stafford, KS</v>
      </c>
      <c r="D2675" s="187">
        <v>0.09</v>
      </c>
    </row>
    <row r="2676" spans="1:4">
      <c r="A2676" s="184" t="s">
        <v>746</v>
      </c>
      <c r="B2676" s="184" t="s">
        <v>3168</v>
      </c>
      <c r="C2676" s="184" t="str">
        <f t="shared" si="41"/>
        <v>Stafford, VA</v>
      </c>
      <c r="D2676" s="187">
        <v>6.0999999999999999E-2</v>
      </c>
    </row>
    <row r="2677" spans="1:4">
      <c r="A2677" s="184" t="s">
        <v>3106</v>
      </c>
      <c r="B2677" s="184" t="s">
        <v>941</v>
      </c>
      <c r="C2677" s="184" t="str">
        <f t="shared" si="41"/>
        <v>Stanislaus, CA</v>
      </c>
      <c r="D2677" s="187">
        <v>3.5000000000000003E-2</v>
      </c>
    </row>
    <row r="2678" spans="1:4">
      <c r="A2678" s="184" t="s">
        <v>1944</v>
      </c>
      <c r="B2678" s="184" t="s">
        <v>1729</v>
      </c>
      <c r="C2678" s="184" t="str">
        <f t="shared" si="41"/>
        <v>Stanley, SD</v>
      </c>
      <c r="D2678" s="187">
        <v>4.3999999999999997E-2</v>
      </c>
    </row>
    <row r="2679" spans="1:4">
      <c r="A2679" s="184" t="s">
        <v>2542</v>
      </c>
      <c r="B2679" s="184" t="s">
        <v>3278</v>
      </c>
      <c r="C2679" s="184" t="str">
        <f t="shared" si="41"/>
        <v>Stanly, NC</v>
      </c>
      <c r="D2679" s="187">
        <v>4.3999999999999997E-2</v>
      </c>
    </row>
    <row r="2680" spans="1:4">
      <c r="A2680" s="184" t="s">
        <v>663</v>
      </c>
      <c r="B2680" s="184" t="s">
        <v>2774</v>
      </c>
      <c r="C2680" s="184" t="str">
        <f t="shared" si="41"/>
        <v>Stanton, KS</v>
      </c>
      <c r="D2680" s="187">
        <v>6.0999999999999999E-2</v>
      </c>
    </row>
    <row r="2681" spans="1:4">
      <c r="A2681" s="184" t="s">
        <v>3442</v>
      </c>
      <c r="B2681" s="184" t="s">
        <v>2774</v>
      </c>
      <c r="C2681" s="184" t="str">
        <f t="shared" si="41"/>
        <v>Stanton, NE</v>
      </c>
      <c r="D2681" s="187">
        <v>0.09</v>
      </c>
    </row>
    <row r="2682" spans="1:4">
      <c r="A2682" s="184" t="s">
        <v>2019</v>
      </c>
      <c r="B2682" s="184" t="s">
        <v>2571</v>
      </c>
      <c r="C2682" s="184" t="str">
        <f t="shared" si="41"/>
        <v>Stark, IL</v>
      </c>
      <c r="D2682" s="187">
        <v>0.09</v>
      </c>
    </row>
    <row r="2683" spans="1:4">
      <c r="A2683" s="184" t="s">
        <v>2558</v>
      </c>
      <c r="B2683" s="184" t="s">
        <v>2571</v>
      </c>
      <c r="C2683" s="184" t="str">
        <f t="shared" si="41"/>
        <v>Stark, ND</v>
      </c>
      <c r="D2683" s="187">
        <v>0.09</v>
      </c>
    </row>
    <row r="2684" spans="1:4">
      <c r="A2684" s="184" t="s">
        <v>2562</v>
      </c>
      <c r="B2684" s="184" t="s">
        <v>2571</v>
      </c>
      <c r="C2684" s="184" t="str">
        <f t="shared" si="41"/>
        <v>Stark, OH</v>
      </c>
      <c r="D2684" s="187">
        <v>0.09</v>
      </c>
    </row>
    <row r="2685" spans="1:4">
      <c r="A2685" s="184" t="s">
        <v>2021</v>
      </c>
      <c r="B2685" s="184" t="s">
        <v>2841</v>
      </c>
      <c r="C2685" s="184" t="str">
        <f t="shared" si="41"/>
        <v>Starke, IN</v>
      </c>
      <c r="D2685" s="187">
        <v>0.09</v>
      </c>
    </row>
    <row r="2686" spans="1:4">
      <c r="A2686" s="184" t="s">
        <v>3906</v>
      </c>
      <c r="B2686" s="184" t="s">
        <v>361</v>
      </c>
      <c r="C2686" s="184" t="str">
        <f t="shared" si="41"/>
        <v>Starr, TX</v>
      </c>
      <c r="D2686" s="187">
        <v>4.3999999999999997E-2</v>
      </c>
    </row>
    <row r="2687" spans="1:4">
      <c r="A2687" s="184" t="s">
        <v>746</v>
      </c>
      <c r="B2687" s="184" t="s">
        <v>3204</v>
      </c>
      <c r="C2687" s="184" t="str">
        <f t="shared" si="41"/>
        <v>Staunton City, VA</v>
      </c>
      <c r="D2687" s="187">
        <v>4.3999999999999997E-2</v>
      </c>
    </row>
    <row r="2688" spans="1:4">
      <c r="A2688" s="184" t="s">
        <v>3434</v>
      </c>
      <c r="B2688" s="184" t="s">
        <v>2794</v>
      </c>
      <c r="C2688" s="184" t="str">
        <f t="shared" si="41"/>
        <v>Ste. Genevieve, MO</v>
      </c>
      <c r="D2688" s="187">
        <v>0.09</v>
      </c>
    </row>
    <row r="2689" spans="1:4">
      <c r="A2689" s="184" t="s">
        <v>3429</v>
      </c>
      <c r="B2689" s="184" t="s">
        <v>3433</v>
      </c>
      <c r="C2689" s="184" t="str">
        <f t="shared" si="41"/>
        <v>Stearns, MN</v>
      </c>
      <c r="D2689" s="187">
        <v>0.09</v>
      </c>
    </row>
    <row r="2690" spans="1:4">
      <c r="A2690" s="184" t="s">
        <v>3429</v>
      </c>
      <c r="B2690" s="184" t="s">
        <v>1512</v>
      </c>
      <c r="C2690" s="184" t="str">
        <f t="shared" si="41"/>
        <v>Steele, MN</v>
      </c>
      <c r="D2690" s="187">
        <v>0.09</v>
      </c>
    </row>
    <row r="2691" spans="1:4">
      <c r="A2691" s="184" t="s">
        <v>2558</v>
      </c>
      <c r="B2691" s="184" t="s">
        <v>1512</v>
      </c>
      <c r="C2691" s="184" t="str">
        <f t="shared" si="41"/>
        <v>Steele, ND</v>
      </c>
      <c r="D2691" s="187">
        <v>0.09</v>
      </c>
    </row>
    <row r="2692" spans="1:4">
      <c r="A2692" s="184" t="s">
        <v>3602</v>
      </c>
      <c r="B2692" s="184" t="s">
        <v>240</v>
      </c>
      <c r="C2692" s="184" t="str">
        <f t="shared" si="41"/>
        <v>Stephens, GA</v>
      </c>
      <c r="D2692" s="187">
        <v>4.3999999999999997E-2</v>
      </c>
    </row>
    <row r="2693" spans="1:4">
      <c r="A2693" s="184" t="s">
        <v>2573</v>
      </c>
      <c r="B2693" s="184" t="s">
        <v>240</v>
      </c>
      <c r="C2693" s="184" t="str">
        <f t="shared" si="41"/>
        <v>Stephens, OK</v>
      </c>
      <c r="D2693" s="187">
        <v>0.09</v>
      </c>
    </row>
    <row r="2694" spans="1:4">
      <c r="A2694" s="184" t="s">
        <v>3906</v>
      </c>
      <c r="B2694" s="184" t="s">
        <v>240</v>
      </c>
      <c r="C2694" s="184" t="str">
        <f t="shared" ref="C2694:C2757" si="42">B2694&amp;", "&amp;A2694</f>
        <v>Stephens, TX</v>
      </c>
      <c r="D2694" s="187">
        <v>4.3999999999999997E-2</v>
      </c>
    </row>
    <row r="2695" spans="1:4">
      <c r="A2695" s="184" t="s">
        <v>2019</v>
      </c>
      <c r="B2695" s="184" t="s">
        <v>3378</v>
      </c>
      <c r="C2695" s="184" t="str">
        <f t="shared" si="42"/>
        <v>Stephenson, IL</v>
      </c>
      <c r="D2695" s="187">
        <v>0.09</v>
      </c>
    </row>
    <row r="2696" spans="1:4">
      <c r="A2696" s="184" t="s">
        <v>3906</v>
      </c>
      <c r="B2696" s="184" t="s">
        <v>362</v>
      </c>
      <c r="C2696" s="184" t="str">
        <f t="shared" si="42"/>
        <v>Sterling, TX</v>
      </c>
      <c r="D2696" s="187">
        <v>4.3999999999999997E-2</v>
      </c>
    </row>
    <row r="2697" spans="1:4">
      <c r="A2697" s="184" t="s">
        <v>2021</v>
      </c>
      <c r="B2697" s="184" t="s">
        <v>2842</v>
      </c>
      <c r="C2697" s="184" t="str">
        <f t="shared" si="42"/>
        <v>Steuben, IN</v>
      </c>
      <c r="D2697" s="187">
        <v>0.09</v>
      </c>
    </row>
    <row r="2698" spans="1:4">
      <c r="A2698" s="184" t="s">
        <v>3446</v>
      </c>
      <c r="B2698" s="184" t="s">
        <v>2842</v>
      </c>
      <c r="C2698" s="184" t="str">
        <f t="shared" si="42"/>
        <v>Steuben, NY</v>
      </c>
      <c r="D2698" s="187">
        <v>0.09</v>
      </c>
    </row>
    <row r="2699" spans="1:4">
      <c r="A2699" s="184" t="s">
        <v>663</v>
      </c>
      <c r="B2699" s="184" t="s">
        <v>2775</v>
      </c>
      <c r="C2699" s="184" t="str">
        <f t="shared" si="42"/>
        <v>Stevens, KS</v>
      </c>
      <c r="D2699" s="187">
        <v>0.09</v>
      </c>
    </row>
    <row r="2700" spans="1:4">
      <c r="A2700" s="184" t="s">
        <v>3429</v>
      </c>
      <c r="B2700" s="184" t="s">
        <v>2775</v>
      </c>
      <c r="C2700" s="184" t="str">
        <f t="shared" si="42"/>
        <v>Stevens, MN</v>
      </c>
      <c r="D2700" s="187">
        <v>0.09</v>
      </c>
    </row>
    <row r="2701" spans="1:4">
      <c r="A2701" s="184" t="s">
        <v>1278</v>
      </c>
      <c r="B2701" s="184" t="s">
        <v>2775</v>
      </c>
      <c r="C2701" s="184" t="str">
        <f t="shared" si="42"/>
        <v>Stevens, WA</v>
      </c>
      <c r="D2701" s="187">
        <v>0.09</v>
      </c>
    </row>
    <row r="2702" spans="1:4">
      <c r="A2702" s="184" t="s">
        <v>3602</v>
      </c>
      <c r="B2702" s="184" t="s">
        <v>241</v>
      </c>
      <c r="C2702" s="184" t="str">
        <f t="shared" si="42"/>
        <v>Stewart, GA</v>
      </c>
      <c r="D2702" s="187">
        <v>4.3999999999999997E-2</v>
      </c>
    </row>
    <row r="2703" spans="1:4">
      <c r="A2703" s="184" t="s">
        <v>699</v>
      </c>
      <c r="B2703" s="184" t="s">
        <v>241</v>
      </c>
      <c r="C2703" s="184" t="str">
        <f t="shared" si="42"/>
        <v>Stewart, TN</v>
      </c>
      <c r="D2703" s="187">
        <v>0.09</v>
      </c>
    </row>
    <row r="2704" spans="1:4">
      <c r="A2704" s="184" t="s">
        <v>3438</v>
      </c>
      <c r="B2704" s="184" t="s">
        <v>3084</v>
      </c>
      <c r="C2704" s="184" t="str">
        <f t="shared" si="42"/>
        <v>Stillwater, MT</v>
      </c>
      <c r="D2704" s="187">
        <v>0.09</v>
      </c>
    </row>
    <row r="2705" spans="1:4">
      <c r="A2705" s="184" t="s">
        <v>3434</v>
      </c>
      <c r="B2705" s="184" t="s">
        <v>2797</v>
      </c>
      <c r="C2705" s="184" t="str">
        <f t="shared" si="42"/>
        <v>Stoddard, MO</v>
      </c>
      <c r="D2705" s="187">
        <v>0.09</v>
      </c>
    </row>
    <row r="2706" spans="1:4">
      <c r="A2706" s="184" t="s">
        <v>2542</v>
      </c>
      <c r="B2706" s="184" t="s">
        <v>2669</v>
      </c>
      <c r="C2706" s="184" t="str">
        <f t="shared" si="42"/>
        <v>Stokes, NC</v>
      </c>
      <c r="D2706" s="187">
        <v>6.0999999999999999E-2</v>
      </c>
    </row>
    <row r="2707" spans="1:4">
      <c r="A2707" s="184" t="s">
        <v>566</v>
      </c>
      <c r="B2707" s="184" t="s">
        <v>3011</v>
      </c>
      <c r="C2707" s="184" t="str">
        <f t="shared" si="42"/>
        <v>Stone, AR</v>
      </c>
      <c r="D2707" s="187">
        <v>4.3999999999999997E-2</v>
      </c>
    </row>
    <row r="2708" spans="1:4">
      <c r="A2708" s="184" t="s">
        <v>3434</v>
      </c>
      <c r="B2708" s="184" t="s">
        <v>3011</v>
      </c>
      <c r="C2708" s="184" t="str">
        <f t="shared" si="42"/>
        <v>Stone, MO</v>
      </c>
      <c r="D2708" s="187">
        <v>0.09</v>
      </c>
    </row>
    <row r="2709" spans="1:4">
      <c r="A2709" s="184" t="s">
        <v>3035</v>
      </c>
      <c r="B2709" s="184" t="s">
        <v>3011</v>
      </c>
      <c r="C2709" s="184" t="str">
        <f t="shared" si="42"/>
        <v>Stone, MS</v>
      </c>
      <c r="D2709" s="187">
        <v>4.3999999999999997E-2</v>
      </c>
    </row>
    <row r="2710" spans="1:4">
      <c r="A2710" s="184" t="s">
        <v>3906</v>
      </c>
      <c r="B2710" s="184" t="s">
        <v>1000</v>
      </c>
      <c r="C2710" s="184" t="str">
        <f t="shared" si="42"/>
        <v>Stonewall, TX</v>
      </c>
      <c r="D2710" s="187">
        <v>5.7000000000000002E-2</v>
      </c>
    </row>
    <row r="2711" spans="1:4">
      <c r="A2711" s="184" t="s">
        <v>3043</v>
      </c>
      <c r="B2711" s="184" t="s">
        <v>2865</v>
      </c>
      <c r="C2711" s="184" t="str">
        <f t="shared" si="42"/>
        <v>Storey, NV</v>
      </c>
      <c r="D2711" s="187">
        <v>0.09</v>
      </c>
    </row>
    <row r="2712" spans="1:4">
      <c r="A2712" s="184" t="s">
        <v>2031</v>
      </c>
      <c r="B2712" s="184" t="s">
        <v>1385</v>
      </c>
      <c r="C2712" s="184" t="str">
        <f t="shared" si="42"/>
        <v>Story, IA</v>
      </c>
      <c r="D2712" s="187">
        <v>0.09</v>
      </c>
    </row>
    <row r="2713" spans="1:4">
      <c r="A2713" s="184" t="s">
        <v>2868</v>
      </c>
      <c r="B2713" s="184" t="s">
        <v>771</v>
      </c>
      <c r="C2713" s="184" t="str">
        <f t="shared" si="42"/>
        <v>Strafford, NH</v>
      </c>
      <c r="D2713" s="187">
        <v>0.09</v>
      </c>
    </row>
    <row r="2714" spans="1:4">
      <c r="A2714" s="184" t="s">
        <v>2558</v>
      </c>
      <c r="B2714" s="184" t="s">
        <v>3959</v>
      </c>
      <c r="C2714" s="184" t="str">
        <f t="shared" si="42"/>
        <v>Stutsman, ND</v>
      </c>
      <c r="D2714" s="187">
        <v>0.09</v>
      </c>
    </row>
    <row r="2715" spans="1:4">
      <c r="A2715" s="184" t="s">
        <v>1033</v>
      </c>
      <c r="B2715" s="184" t="s">
        <v>928</v>
      </c>
      <c r="C2715" s="184" t="str">
        <f t="shared" si="42"/>
        <v>Sublette, WY</v>
      </c>
      <c r="D2715" s="187">
        <v>0.09</v>
      </c>
    </row>
    <row r="2716" spans="1:4">
      <c r="A2716" s="184" t="s">
        <v>1228</v>
      </c>
      <c r="B2716" s="184" t="s">
        <v>573</v>
      </c>
      <c r="C2716" s="184" t="str">
        <f t="shared" si="42"/>
        <v>Suffolk, MA</v>
      </c>
      <c r="D2716" s="187">
        <v>4.4999999999999998E-2</v>
      </c>
    </row>
    <row r="2717" spans="1:4">
      <c r="A2717" s="184" t="s">
        <v>3446</v>
      </c>
      <c r="B2717" s="184" t="s">
        <v>573</v>
      </c>
      <c r="C2717" s="184" t="str">
        <f t="shared" si="42"/>
        <v>Suffolk, NY</v>
      </c>
      <c r="D2717" s="187">
        <v>2.1999999999999999E-2</v>
      </c>
    </row>
    <row r="2718" spans="1:4">
      <c r="A2718" s="184" t="s">
        <v>746</v>
      </c>
      <c r="B2718" s="184" t="s">
        <v>3181</v>
      </c>
      <c r="C2718" s="184" t="str">
        <f t="shared" si="42"/>
        <v>Suffolk City, VA</v>
      </c>
      <c r="D2718" s="187">
        <v>6.0999999999999999E-2</v>
      </c>
    </row>
    <row r="2719" spans="1:4">
      <c r="A2719" s="184" t="s">
        <v>2021</v>
      </c>
      <c r="B2719" s="184" t="s">
        <v>1275</v>
      </c>
      <c r="C2719" s="184" t="str">
        <f t="shared" si="42"/>
        <v>Sullivan, IN</v>
      </c>
      <c r="D2719" s="187">
        <v>0.09</v>
      </c>
    </row>
    <row r="2720" spans="1:4">
      <c r="A2720" s="184" t="s">
        <v>3434</v>
      </c>
      <c r="B2720" s="184" t="s">
        <v>1275</v>
      </c>
      <c r="C2720" s="184" t="str">
        <f t="shared" si="42"/>
        <v>Sullivan, MO</v>
      </c>
      <c r="D2720" s="187">
        <v>0.09</v>
      </c>
    </row>
    <row r="2721" spans="1:4">
      <c r="A2721" s="184" t="s">
        <v>2868</v>
      </c>
      <c r="B2721" s="184" t="s">
        <v>1275</v>
      </c>
      <c r="C2721" s="184" t="str">
        <f t="shared" si="42"/>
        <v>Sullivan, NH</v>
      </c>
      <c r="D2721" s="187">
        <v>0.09</v>
      </c>
    </row>
    <row r="2722" spans="1:4">
      <c r="A2722" s="184" t="s">
        <v>3446</v>
      </c>
      <c r="B2722" s="184" t="s">
        <v>1275</v>
      </c>
      <c r="C2722" s="184" t="str">
        <f t="shared" si="42"/>
        <v>Sullivan, NY</v>
      </c>
      <c r="D2722" s="187">
        <v>0.09</v>
      </c>
    </row>
    <row r="2723" spans="1:4">
      <c r="A2723" s="184" t="s">
        <v>3356</v>
      </c>
      <c r="B2723" s="184" t="s">
        <v>1275</v>
      </c>
      <c r="C2723" s="184" t="str">
        <f t="shared" si="42"/>
        <v>Sullivan, PA</v>
      </c>
      <c r="D2723" s="187">
        <v>0.09</v>
      </c>
    </row>
    <row r="2724" spans="1:4">
      <c r="A2724" s="184" t="s">
        <v>699</v>
      </c>
      <c r="B2724" s="184" t="s">
        <v>1275</v>
      </c>
      <c r="C2724" s="184" t="str">
        <f t="shared" si="42"/>
        <v>Sullivan, TN</v>
      </c>
      <c r="D2724" s="187">
        <v>0.09</v>
      </c>
    </row>
    <row r="2725" spans="1:4">
      <c r="A2725" s="184" t="s">
        <v>1944</v>
      </c>
      <c r="B2725" s="184" t="s">
        <v>1730</v>
      </c>
      <c r="C2725" s="184" t="str">
        <f t="shared" si="42"/>
        <v>Sully, SD</v>
      </c>
      <c r="D2725" s="187">
        <v>4.3999999999999997E-2</v>
      </c>
    </row>
    <row r="2726" spans="1:4">
      <c r="A2726" s="184" t="s">
        <v>542</v>
      </c>
      <c r="B2726" s="184" t="s">
        <v>840</v>
      </c>
      <c r="C2726" s="184" t="str">
        <f t="shared" si="42"/>
        <v>Summers, WV</v>
      </c>
      <c r="D2726" s="187">
        <v>0.09</v>
      </c>
    </row>
    <row r="2727" spans="1:4">
      <c r="A2727" s="184" t="s">
        <v>3108</v>
      </c>
      <c r="B2727" s="184" t="s">
        <v>3067</v>
      </c>
      <c r="C2727" s="184" t="str">
        <f t="shared" si="42"/>
        <v>Summit, CO</v>
      </c>
      <c r="D2727" s="187">
        <v>6.0999999999999999E-2</v>
      </c>
    </row>
    <row r="2728" spans="1:4">
      <c r="A2728" s="184" t="s">
        <v>2562</v>
      </c>
      <c r="B2728" s="184" t="s">
        <v>3067</v>
      </c>
      <c r="C2728" s="184" t="str">
        <f t="shared" si="42"/>
        <v>Summit, OH</v>
      </c>
      <c r="D2728" s="187">
        <v>6.0999999999999999E-2</v>
      </c>
    </row>
    <row r="2729" spans="1:4">
      <c r="A2729" s="184" t="s">
        <v>742</v>
      </c>
      <c r="B2729" s="184" t="s">
        <v>3067</v>
      </c>
      <c r="C2729" s="184" t="str">
        <f t="shared" si="42"/>
        <v>Summit, UT</v>
      </c>
      <c r="D2729" s="187">
        <v>3.5000000000000003E-2</v>
      </c>
    </row>
    <row r="2730" spans="1:4">
      <c r="A2730" s="184" t="s">
        <v>663</v>
      </c>
      <c r="B2730" s="184" t="s">
        <v>3903</v>
      </c>
      <c r="C2730" s="184" t="str">
        <f t="shared" si="42"/>
        <v>Sumner, KS</v>
      </c>
      <c r="D2730" s="187">
        <v>0.09</v>
      </c>
    </row>
    <row r="2731" spans="1:4">
      <c r="A2731" s="184" t="s">
        <v>699</v>
      </c>
      <c r="B2731" s="184" t="s">
        <v>3903</v>
      </c>
      <c r="C2731" s="184" t="str">
        <f t="shared" si="42"/>
        <v>Sumner, TN</v>
      </c>
      <c r="D2731" s="187">
        <v>6.0999999999999999E-2</v>
      </c>
    </row>
    <row r="2732" spans="1:4">
      <c r="A2732" s="184" t="s">
        <v>2000</v>
      </c>
      <c r="B2732" s="184" t="s">
        <v>100</v>
      </c>
      <c r="C2732" s="184" t="str">
        <f t="shared" si="42"/>
        <v>Sumter, AL</v>
      </c>
      <c r="D2732" s="187">
        <v>5.7000000000000002E-2</v>
      </c>
    </row>
    <row r="2733" spans="1:4">
      <c r="A2733" s="184" t="s">
        <v>3594</v>
      </c>
      <c r="B2733" s="184" t="s">
        <v>100</v>
      </c>
      <c r="C2733" s="184" t="str">
        <f t="shared" si="42"/>
        <v>Sumter, FL</v>
      </c>
      <c r="D2733" s="187">
        <v>4.3999999999999997E-2</v>
      </c>
    </row>
    <row r="2734" spans="1:4">
      <c r="A2734" s="184" t="s">
        <v>3602</v>
      </c>
      <c r="B2734" s="184" t="s">
        <v>100</v>
      </c>
      <c r="C2734" s="184" t="str">
        <f t="shared" si="42"/>
        <v>Sumter, GA</v>
      </c>
      <c r="D2734" s="187">
        <v>4.3999999999999997E-2</v>
      </c>
    </row>
    <row r="2735" spans="1:4">
      <c r="A2735" s="184" t="s">
        <v>1942</v>
      </c>
      <c r="B2735" s="184" t="s">
        <v>100</v>
      </c>
      <c r="C2735" s="184" t="str">
        <f t="shared" si="42"/>
        <v>Sumter, SC</v>
      </c>
      <c r="D2735" s="187">
        <v>4.3999999999999997E-2</v>
      </c>
    </row>
    <row r="2736" spans="1:4">
      <c r="A2736" s="184" t="s">
        <v>3035</v>
      </c>
      <c r="B2736" s="184" t="s">
        <v>2892</v>
      </c>
      <c r="C2736" s="184" t="str">
        <f t="shared" si="42"/>
        <v>Sunflower, MS</v>
      </c>
      <c r="D2736" s="187">
        <v>4.3999999999999997E-2</v>
      </c>
    </row>
    <row r="2737" spans="1:4">
      <c r="A2737" s="184" t="s">
        <v>2542</v>
      </c>
      <c r="B2737" s="184" t="s">
        <v>3279</v>
      </c>
      <c r="C2737" s="184" t="str">
        <f t="shared" si="42"/>
        <v>Surry, NC</v>
      </c>
      <c r="D2737" s="187">
        <v>4.3999999999999997E-2</v>
      </c>
    </row>
    <row r="2738" spans="1:4">
      <c r="A2738" s="184" t="s">
        <v>746</v>
      </c>
      <c r="B2738" s="184" t="s">
        <v>3279</v>
      </c>
      <c r="C2738" s="184" t="str">
        <f t="shared" si="42"/>
        <v>Surry, VA</v>
      </c>
      <c r="D2738" s="187">
        <v>4.3999999999999997E-2</v>
      </c>
    </row>
    <row r="2739" spans="1:4">
      <c r="A2739" s="184" t="s">
        <v>3356</v>
      </c>
      <c r="B2739" s="184" t="s">
        <v>60</v>
      </c>
      <c r="C2739" s="184" t="str">
        <f t="shared" si="42"/>
        <v>Susquehanna, PA</v>
      </c>
      <c r="D2739" s="187">
        <v>0.09</v>
      </c>
    </row>
    <row r="2740" spans="1:4">
      <c r="A2740" s="184" t="s">
        <v>2017</v>
      </c>
      <c r="B2740" s="184" t="s">
        <v>3621</v>
      </c>
      <c r="C2740" s="184" t="str">
        <f t="shared" si="42"/>
        <v>Sussex, DE</v>
      </c>
      <c r="D2740" s="187">
        <v>0.09</v>
      </c>
    </row>
    <row r="2741" spans="1:4">
      <c r="A2741" s="184" t="s">
        <v>3444</v>
      </c>
      <c r="B2741" s="184" t="s">
        <v>3621</v>
      </c>
      <c r="C2741" s="184" t="str">
        <f t="shared" si="42"/>
        <v>Sussex, NJ</v>
      </c>
      <c r="D2741" s="187">
        <v>6.0999999999999999E-2</v>
      </c>
    </row>
    <row r="2742" spans="1:4">
      <c r="A2742" s="184" t="s">
        <v>746</v>
      </c>
      <c r="B2742" s="184" t="s">
        <v>3621</v>
      </c>
      <c r="C2742" s="184" t="str">
        <f t="shared" si="42"/>
        <v>Sussex, VA</v>
      </c>
      <c r="D2742" s="187">
        <v>4.3999999999999997E-2</v>
      </c>
    </row>
    <row r="2743" spans="1:4">
      <c r="A2743" s="184" t="s">
        <v>3106</v>
      </c>
      <c r="B2743" s="184" t="s">
        <v>3411</v>
      </c>
      <c r="C2743" s="184" t="str">
        <f t="shared" si="42"/>
        <v>Sutter, CA</v>
      </c>
      <c r="D2743" s="187">
        <v>5.7000000000000002E-2</v>
      </c>
    </row>
    <row r="2744" spans="1:4">
      <c r="A2744" s="184" t="s">
        <v>3906</v>
      </c>
      <c r="B2744" s="184" t="s">
        <v>363</v>
      </c>
      <c r="C2744" s="184" t="str">
        <f t="shared" si="42"/>
        <v>Sutton, TX</v>
      </c>
      <c r="D2744" s="187">
        <v>4.3999999999999997E-2</v>
      </c>
    </row>
    <row r="2745" spans="1:4">
      <c r="A2745" s="184" t="s">
        <v>3594</v>
      </c>
      <c r="B2745" s="184" t="s">
        <v>3422</v>
      </c>
      <c r="C2745" s="184" t="str">
        <f t="shared" si="42"/>
        <v>Suwannee, FL</v>
      </c>
      <c r="D2745" s="187">
        <v>5.7000000000000002E-2</v>
      </c>
    </row>
    <row r="2746" spans="1:4">
      <c r="A2746" s="184" t="s">
        <v>2542</v>
      </c>
      <c r="B2746" s="184" t="s">
        <v>3280</v>
      </c>
      <c r="C2746" s="184" t="str">
        <f t="shared" si="42"/>
        <v>Swain, NC</v>
      </c>
      <c r="D2746" s="187">
        <v>4.3999999999999997E-2</v>
      </c>
    </row>
    <row r="2747" spans="1:4">
      <c r="A2747" s="184" t="s">
        <v>3438</v>
      </c>
      <c r="B2747" s="184" t="s">
        <v>3085</v>
      </c>
      <c r="C2747" s="184" t="str">
        <f t="shared" si="42"/>
        <v>Sweet Grass, MT</v>
      </c>
      <c r="D2747" s="187">
        <v>0.09</v>
      </c>
    </row>
    <row r="2748" spans="1:4">
      <c r="A2748" s="184" t="s">
        <v>1033</v>
      </c>
      <c r="B2748" s="184" t="s">
        <v>929</v>
      </c>
      <c r="C2748" s="184" t="str">
        <f t="shared" si="42"/>
        <v>Sweetwater, WY</v>
      </c>
      <c r="D2748" s="187">
        <v>0.09</v>
      </c>
    </row>
    <row r="2749" spans="1:4">
      <c r="A2749" s="184" t="s">
        <v>3429</v>
      </c>
      <c r="B2749" s="184" t="s">
        <v>1513</v>
      </c>
      <c r="C2749" s="184" t="str">
        <f t="shared" si="42"/>
        <v>Swift, MN</v>
      </c>
      <c r="D2749" s="187">
        <v>0.09</v>
      </c>
    </row>
    <row r="2750" spans="1:4">
      <c r="A2750" s="184" t="s">
        <v>3906</v>
      </c>
      <c r="B2750" s="184" t="s">
        <v>364</v>
      </c>
      <c r="C2750" s="184" t="str">
        <f t="shared" si="42"/>
        <v>Swisher, TX</v>
      </c>
      <c r="D2750" s="187">
        <v>4.3999999999999997E-2</v>
      </c>
    </row>
    <row r="2751" spans="1:4">
      <c r="A2751" s="184" t="s">
        <v>2021</v>
      </c>
      <c r="B2751" s="184" t="s">
        <v>2843</v>
      </c>
      <c r="C2751" s="184" t="str">
        <f t="shared" si="42"/>
        <v>Switzerland, IN</v>
      </c>
      <c r="D2751" s="187">
        <v>0.09</v>
      </c>
    </row>
    <row r="2752" spans="1:4">
      <c r="A2752" s="184" t="s">
        <v>3602</v>
      </c>
      <c r="B2752" s="184" t="s">
        <v>242</v>
      </c>
      <c r="C2752" s="184" t="str">
        <f t="shared" si="42"/>
        <v>Talbot, GA</v>
      </c>
      <c r="D2752" s="187">
        <v>4.3999999999999997E-2</v>
      </c>
    </row>
    <row r="2753" spans="1:4">
      <c r="A2753" s="184" t="s">
        <v>2087</v>
      </c>
      <c r="B2753" s="184" t="s">
        <v>242</v>
      </c>
      <c r="C2753" s="184" t="str">
        <f t="shared" si="42"/>
        <v>Talbot, MD</v>
      </c>
      <c r="D2753" s="187">
        <v>5.7000000000000002E-2</v>
      </c>
    </row>
    <row r="2754" spans="1:4">
      <c r="A2754" s="184" t="s">
        <v>3602</v>
      </c>
      <c r="B2754" s="184" t="s">
        <v>3448</v>
      </c>
      <c r="C2754" s="184" t="str">
        <f t="shared" si="42"/>
        <v>Taliaferro, GA</v>
      </c>
      <c r="D2754" s="187">
        <v>5.7000000000000002E-2</v>
      </c>
    </row>
    <row r="2755" spans="1:4">
      <c r="A2755" s="184" t="s">
        <v>2000</v>
      </c>
      <c r="B2755" s="184" t="s">
        <v>3895</v>
      </c>
      <c r="C2755" s="184" t="str">
        <f t="shared" si="42"/>
        <v>Talladega, AL</v>
      </c>
      <c r="D2755" s="187">
        <v>0.09</v>
      </c>
    </row>
    <row r="2756" spans="1:4">
      <c r="A2756" s="184" t="s">
        <v>3035</v>
      </c>
      <c r="B2756" s="184" t="s">
        <v>2425</v>
      </c>
      <c r="C2756" s="184" t="str">
        <f t="shared" si="42"/>
        <v>Tallahatchie, MS</v>
      </c>
      <c r="D2756" s="187">
        <v>5.7000000000000002E-2</v>
      </c>
    </row>
    <row r="2757" spans="1:4">
      <c r="A2757" s="184" t="s">
        <v>2000</v>
      </c>
      <c r="B2757" s="184" t="s">
        <v>3896</v>
      </c>
      <c r="C2757" s="184" t="str">
        <f t="shared" si="42"/>
        <v>Tallapoosa, AL</v>
      </c>
      <c r="D2757" s="187">
        <v>0.09</v>
      </c>
    </row>
    <row r="2758" spans="1:4">
      <c r="A2758" s="184" t="s">
        <v>2031</v>
      </c>
      <c r="B2758" s="184" t="s">
        <v>1386</v>
      </c>
      <c r="C2758" s="184" t="str">
        <f t="shared" ref="C2758:C2821" si="43">B2758&amp;", "&amp;A2758</f>
        <v>Tama, IA</v>
      </c>
      <c r="D2758" s="187">
        <v>0.09</v>
      </c>
    </row>
    <row r="2759" spans="1:4">
      <c r="A2759" s="184" t="s">
        <v>3434</v>
      </c>
      <c r="B2759" s="184" t="s">
        <v>2798</v>
      </c>
      <c r="C2759" s="184" t="str">
        <f t="shared" si="43"/>
        <v>Taney, MO</v>
      </c>
      <c r="D2759" s="187">
        <v>0.09</v>
      </c>
    </row>
    <row r="2760" spans="1:4">
      <c r="A2760" s="184" t="s">
        <v>535</v>
      </c>
      <c r="B2760" s="184" t="s">
        <v>3114</v>
      </c>
      <c r="C2760" s="184" t="str">
        <f t="shared" si="43"/>
        <v>Tangipahoa, LA</v>
      </c>
      <c r="D2760" s="187">
        <v>5.7000000000000002E-2</v>
      </c>
    </row>
    <row r="2761" spans="1:4">
      <c r="A2761" s="184" t="s">
        <v>3622</v>
      </c>
      <c r="B2761" s="184" t="s">
        <v>26</v>
      </c>
      <c r="C2761" s="184" t="str">
        <f t="shared" si="43"/>
        <v>Taos, NM</v>
      </c>
      <c r="D2761" s="187">
        <v>5.7000000000000002E-2</v>
      </c>
    </row>
    <row r="2762" spans="1:4">
      <c r="A2762" s="184" t="s">
        <v>3906</v>
      </c>
      <c r="B2762" s="184" t="s">
        <v>577</v>
      </c>
      <c r="C2762" s="184" t="str">
        <f t="shared" si="43"/>
        <v>Tarrant, TX</v>
      </c>
      <c r="D2762" s="187">
        <v>4.4999999999999998E-2</v>
      </c>
    </row>
    <row r="2763" spans="1:4">
      <c r="A2763" s="184" t="s">
        <v>3035</v>
      </c>
      <c r="B2763" s="184" t="s">
        <v>2914</v>
      </c>
      <c r="C2763" s="184" t="str">
        <f t="shared" si="43"/>
        <v>Tate, MS</v>
      </c>
      <c r="D2763" s="187">
        <v>4.3999999999999997E-2</v>
      </c>
    </row>
    <row r="2764" spans="1:4">
      <c r="A2764" s="184" t="s">
        <v>3602</v>
      </c>
      <c r="B2764" s="184" t="s">
        <v>243</v>
      </c>
      <c r="C2764" s="184" t="str">
        <f t="shared" si="43"/>
        <v>Tattnall, GA</v>
      </c>
      <c r="D2764" s="187">
        <v>4.3999999999999997E-2</v>
      </c>
    </row>
    <row r="2765" spans="1:4">
      <c r="A2765" s="184" t="s">
        <v>3594</v>
      </c>
      <c r="B2765" s="184" t="s">
        <v>508</v>
      </c>
      <c r="C2765" s="184" t="str">
        <f t="shared" si="43"/>
        <v>Taylor, FL</v>
      </c>
      <c r="D2765" s="187">
        <v>4.3999999999999997E-2</v>
      </c>
    </row>
    <row r="2766" spans="1:4">
      <c r="A2766" s="184" t="s">
        <v>3602</v>
      </c>
      <c r="B2766" s="184" t="s">
        <v>508</v>
      </c>
      <c r="C2766" s="184" t="str">
        <f t="shared" si="43"/>
        <v>Taylor, GA</v>
      </c>
      <c r="D2766" s="187">
        <v>4.3999999999999997E-2</v>
      </c>
    </row>
    <row r="2767" spans="1:4">
      <c r="A2767" s="184" t="s">
        <v>2031</v>
      </c>
      <c r="B2767" s="184" t="s">
        <v>508</v>
      </c>
      <c r="C2767" s="184" t="str">
        <f t="shared" si="43"/>
        <v>Taylor, IA</v>
      </c>
      <c r="D2767" s="187">
        <v>0.09</v>
      </c>
    </row>
    <row r="2768" spans="1:4">
      <c r="A2768" s="184" t="s">
        <v>529</v>
      </c>
      <c r="B2768" s="184" t="s">
        <v>508</v>
      </c>
      <c r="C2768" s="184" t="str">
        <f t="shared" si="43"/>
        <v>Taylor, KY</v>
      </c>
      <c r="D2768" s="187">
        <v>0.09</v>
      </c>
    </row>
    <row r="2769" spans="1:4">
      <c r="A2769" s="184" t="s">
        <v>3906</v>
      </c>
      <c r="B2769" s="184" t="s">
        <v>508</v>
      </c>
      <c r="C2769" s="184" t="str">
        <f t="shared" si="43"/>
        <v>Taylor, TX</v>
      </c>
      <c r="D2769" s="187">
        <v>4.3999999999999997E-2</v>
      </c>
    </row>
    <row r="2770" spans="1:4">
      <c r="A2770" s="184" t="s">
        <v>550</v>
      </c>
      <c r="B2770" s="184" t="s">
        <v>508</v>
      </c>
      <c r="C2770" s="184" t="str">
        <f t="shared" si="43"/>
        <v>Taylor, WI</v>
      </c>
      <c r="D2770" s="187">
        <v>0.09</v>
      </c>
    </row>
    <row r="2771" spans="1:4">
      <c r="A2771" s="184" t="s">
        <v>542</v>
      </c>
      <c r="B2771" s="184" t="s">
        <v>508</v>
      </c>
      <c r="C2771" s="184" t="str">
        <f t="shared" si="43"/>
        <v>Taylor, WV</v>
      </c>
      <c r="D2771" s="187">
        <v>0.09</v>
      </c>
    </row>
    <row r="2772" spans="1:4">
      <c r="A2772" s="184" t="s">
        <v>2019</v>
      </c>
      <c r="B2772" s="184" t="s">
        <v>1613</v>
      </c>
      <c r="C2772" s="184" t="str">
        <f t="shared" si="43"/>
        <v>Tazewell, IL</v>
      </c>
      <c r="D2772" s="187">
        <v>6.0999999999999999E-2</v>
      </c>
    </row>
    <row r="2773" spans="1:4">
      <c r="A2773" s="184" t="s">
        <v>746</v>
      </c>
      <c r="B2773" s="184" t="s">
        <v>1613</v>
      </c>
      <c r="C2773" s="184" t="str">
        <f t="shared" si="43"/>
        <v>Tazewell, VA</v>
      </c>
      <c r="D2773" s="187">
        <v>4.3999999999999997E-2</v>
      </c>
    </row>
    <row r="2774" spans="1:4">
      <c r="A2774" s="184" t="s">
        <v>3106</v>
      </c>
      <c r="B2774" s="184" t="s">
        <v>2959</v>
      </c>
      <c r="C2774" s="184" t="str">
        <f t="shared" si="43"/>
        <v>Tehama, CA</v>
      </c>
      <c r="D2774" s="187">
        <v>0.09</v>
      </c>
    </row>
    <row r="2775" spans="1:4">
      <c r="A2775" s="184" t="s">
        <v>3602</v>
      </c>
      <c r="B2775" s="184" t="s">
        <v>244</v>
      </c>
      <c r="C2775" s="184" t="str">
        <f t="shared" si="43"/>
        <v>Telfair, GA</v>
      </c>
      <c r="D2775" s="187">
        <v>4.3999999999999997E-2</v>
      </c>
    </row>
    <row r="2776" spans="1:4">
      <c r="A2776" s="184" t="s">
        <v>3108</v>
      </c>
      <c r="B2776" s="184" t="s">
        <v>1177</v>
      </c>
      <c r="C2776" s="184" t="str">
        <f t="shared" si="43"/>
        <v>Teller, CO</v>
      </c>
      <c r="D2776" s="187">
        <v>4.3999999999999997E-2</v>
      </c>
    </row>
    <row r="2777" spans="1:4">
      <c r="A2777" s="184" t="s">
        <v>535</v>
      </c>
      <c r="B2777" s="184" t="s">
        <v>3115</v>
      </c>
      <c r="C2777" s="184" t="str">
        <f t="shared" si="43"/>
        <v>Tensas, LA</v>
      </c>
      <c r="D2777" s="187">
        <v>5.7000000000000002E-2</v>
      </c>
    </row>
    <row r="2778" spans="1:4">
      <c r="A2778" s="184" t="s">
        <v>535</v>
      </c>
      <c r="B2778" s="184" t="s">
        <v>2085</v>
      </c>
      <c r="C2778" s="184" t="str">
        <f t="shared" si="43"/>
        <v>Terrebonne, LA</v>
      </c>
      <c r="D2778" s="187">
        <v>0.09</v>
      </c>
    </row>
    <row r="2779" spans="1:4">
      <c r="A2779" s="184" t="s">
        <v>3602</v>
      </c>
      <c r="B2779" s="184" t="s">
        <v>245</v>
      </c>
      <c r="C2779" s="184" t="str">
        <f t="shared" si="43"/>
        <v>Terrell, GA</v>
      </c>
      <c r="D2779" s="187">
        <v>4.3999999999999997E-2</v>
      </c>
    </row>
    <row r="2780" spans="1:4">
      <c r="A2780" s="184" t="s">
        <v>3906</v>
      </c>
      <c r="B2780" s="184" t="s">
        <v>245</v>
      </c>
      <c r="C2780" s="184" t="str">
        <f t="shared" si="43"/>
        <v>Terrell, TX</v>
      </c>
      <c r="D2780" s="187">
        <v>4.3999999999999997E-2</v>
      </c>
    </row>
    <row r="2781" spans="1:4">
      <c r="A2781" s="184" t="s">
        <v>3906</v>
      </c>
      <c r="B2781" s="184" t="s">
        <v>365</v>
      </c>
      <c r="C2781" s="184" t="str">
        <f t="shared" si="43"/>
        <v>Terry, TX</v>
      </c>
      <c r="D2781" s="187">
        <v>4.3999999999999997E-2</v>
      </c>
    </row>
    <row r="2782" spans="1:4">
      <c r="A2782" s="184" t="s">
        <v>3875</v>
      </c>
      <c r="B2782" s="184" t="s">
        <v>1013</v>
      </c>
      <c r="C2782" s="184" t="str">
        <f t="shared" si="43"/>
        <v>Teton, ID</v>
      </c>
      <c r="D2782" s="187">
        <v>4.3999999999999997E-2</v>
      </c>
    </row>
    <row r="2783" spans="1:4">
      <c r="A2783" s="184" t="s">
        <v>3438</v>
      </c>
      <c r="B2783" s="184" t="s">
        <v>1013</v>
      </c>
      <c r="C2783" s="184" t="str">
        <f t="shared" si="43"/>
        <v>Teton, MT</v>
      </c>
      <c r="D2783" s="187">
        <v>0.09</v>
      </c>
    </row>
    <row r="2784" spans="1:4">
      <c r="A2784" s="184" t="s">
        <v>1033</v>
      </c>
      <c r="B2784" s="184" t="s">
        <v>1013</v>
      </c>
      <c r="C2784" s="184" t="str">
        <f t="shared" si="43"/>
        <v>Teton, WY</v>
      </c>
      <c r="D2784" s="187">
        <v>6.0999999999999999E-2</v>
      </c>
    </row>
    <row r="2785" spans="1:4">
      <c r="A2785" s="184" t="s">
        <v>3434</v>
      </c>
      <c r="B2785" s="184" t="s">
        <v>2799</v>
      </c>
      <c r="C2785" s="184" t="str">
        <f t="shared" si="43"/>
        <v>Texas, MO</v>
      </c>
      <c r="D2785" s="187">
        <v>0.09</v>
      </c>
    </row>
    <row r="2786" spans="1:4">
      <c r="A2786" s="184" t="s">
        <v>2573</v>
      </c>
      <c r="B2786" s="184" t="s">
        <v>2799</v>
      </c>
      <c r="C2786" s="184" t="str">
        <f t="shared" si="43"/>
        <v>Texas, OK</v>
      </c>
      <c r="D2786" s="187">
        <v>0.09</v>
      </c>
    </row>
    <row r="2787" spans="1:4">
      <c r="A2787" s="184" t="s">
        <v>3442</v>
      </c>
      <c r="B2787" s="184" t="s">
        <v>1123</v>
      </c>
      <c r="C2787" s="184" t="str">
        <f t="shared" si="43"/>
        <v>Thayer, NE</v>
      </c>
      <c r="D2787" s="187">
        <v>0.09</v>
      </c>
    </row>
    <row r="2788" spans="1:4">
      <c r="A2788" s="184" t="s">
        <v>3602</v>
      </c>
      <c r="B2788" s="184" t="s">
        <v>246</v>
      </c>
      <c r="C2788" s="184" t="str">
        <f t="shared" si="43"/>
        <v>Thomas, GA</v>
      </c>
      <c r="D2788" s="187">
        <v>4.3999999999999997E-2</v>
      </c>
    </row>
    <row r="2789" spans="1:4">
      <c r="A2789" s="184" t="s">
        <v>663</v>
      </c>
      <c r="B2789" s="184" t="s">
        <v>246</v>
      </c>
      <c r="C2789" s="184" t="str">
        <f t="shared" si="43"/>
        <v>Thomas, KS</v>
      </c>
      <c r="D2789" s="187">
        <v>0.09</v>
      </c>
    </row>
    <row r="2790" spans="1:4">
      <c r="A2790" s="184" t="s">
        <v>3442</v>
      </c>
      <c r="B2790" s="184" t="s">
        <v>246</v>
      </c>
      <c r="C2790" s="184" t="str">
        <f t="shared" si="43"/>
        <v>Thomas, NE</v>
      </c>
      <c r="D2790" s="187">
        <v>0.09</v>
      </c>
    </row>
    <row r="2791" spans="1:4">
      <c r="A2791" s="184" t="s">
        <v>3906</v>
      </c>
      <c r="B2791" s="184" t="s">
        <v>366</v>
      </c>
      <c r="C2791" s="184" t="str">
        <f t="shared" si="43"/>
        <v>Throckmorton, TX</v>
      </c>
      <c r="D2791" s="187">
        <v>4.3999999999999997E-2</v>
      </c>
    </row>
    <row r="2792" spans="1:4">
      <c r="A2792" s="184" t="s">
        <v>3442</v>
      </c>
      <c r="B2792" s="184" t="s">
        <v>1124</v>
      </c>
      <c r="C2792" s="184" t="str">
        <f t="shared" si="43"/>
        <v>Thurston, NE</v>
      </c>
      <c r="D2792" s="187">
        <v>0.09</v>
      </c>
    </row>
    <row r="2793" spans="1:4">
      <c r="A2793" s="184" t="s">
        <v>1278</v>
      </c>
      <c r="B2793" s="184" t="s">
        <v>1124</v>
      </c>
      <c r="C2793" s="184" t="str">
        <f t="shared" si="43"/>
        <v>Thurston, WA</v>
      </c>
      <c r="D2793" s="187">
        <v>5.7000000000000002E-2</v>
      </c>
    </row>
    <row r="2794" spans="1:4">
      <c r="A2794" s="184" t="s">
        <v>3602</v>
      </c>
      <c r="B2794" s="184" t="s">
        <v>247</v>
      </c>
      <c r="C2794" s="184" t="str">
        <f t="shared" si="43"/>
        <v>Tift, GA</v>
      </c>
      <c r="D2794" s="187">
        <v>4.3999999999999997E-2</v>
      </c>
    </row>
    <row r="2795" spans="1:4">
      <c r="A2795" s="184" t="s">
        <v>3353</v>
      </c>
      <c r="B2795" s="184" t="s">
        <v>2267</v>
      </c>
      <c r="C2795" s="184" t="str">
        <f t="shared" si="43"/>
        <v>Tillamook, OR</v>
      </c>
      <c r="D2795" s="187">
        <v>0.09</v>
      </c>
    </row>
    <row r="2796" spans="1:4">
      <c r="A2796" s="184" t="s">
        <v>2573</v>
      </c>
      <c r="B2796" s="184" t="s">
        <v>2252</v>
      </c>
      <c r="C2796" s="184" t="str">
        <f t="shared" si="43"/>
        <v>Tillman, OK</v>
      </c>
      <c r="D2796" s="187">
        <v>0.09</v>
      </c>
    </row>
    <row r="2797" spans="1:4">
      <c r="A2797" s="184" t="s">
        <v>3446</v>
      </c>
      <c r="B2797" s="184" t="s">
        <v>2557</v>
      </c>
      <c r="C2797" s="184" t="str">
        <f t="shared" si="43"/>
        <v>Tioga, NY</v>
      </c>
      <c r="D2797" s="187">
        <v>0.09</v>
      </c>
    </row>
    <row r="2798" spans="1:4">
      <c r="A2798" s="184" t="s">
        <v>3356</v>
      </c>
      <c r="B2798" s="184" t="s">
        <v>2557</v>
      </c>
      <c r="C2798" s="184" t="str">
        <f t="shared" si="43"/>
        <v>Tioga, PA</v>
      </c>
      <c r="D2798" s="187">
        <v>0.09</v>
      </c>
    </row>
    <row r="2799" spans="1:4">
      <c r="A2799" s="184" t="s">
        <v>3035</v>
      </c>
      <c r="B2799" s="184" t="s">
        <v>2916</v>
      </c>
      <c r="C2799" s="184" t="str">
        <f t="shared" si="43"/>
        <v>Tippah, MS</v>
      </c>
      <c r="D2799" s="187">
        <v>4.3999999999999997E-2</v>
      </c>
    </row>
    <row r="2800" spans="1:4">
      <c r="A2800" s="184" t="s">
        <v>2021</v>
      </c>
      <c r="B2800" s="184" t="s">
        <v>2028</v>
      </c>
      <c r="C2800" s="184" t="str">
        <f t="shared" si="43"/>
        <v>Tippecanoe, IN</v>
      </c>
      <c r="D2800" s="187">
        <v>0.09</v>
      </c>
    </row>
    <row r="2801" spans="1:4">
      <c r="A2801" s="184" t="s">
        <v>2021</v>
      </c>
      <c r="B2801" s="184" t="s">
        <v>2323</v>
      </c>
      <c r="C2801" s="184" t="str">
        <f t="shared" si="43"/>
        <v>Tipton, IN</v>
      </c>
      <c r="D2801" s="187">
        <v>6.0999999999999999E-2</v>
      </c>
    </row>
    <row r="2802" spans="1:4">
      <c r="A2802" s="184" t="s">
        <v>699</v>
      </c>
      <c r="B2802" s="184" t="s">
        <v>2323</v>
      </c>
      <c r="C2802" s="184" t="str">
        <f t="shared" si="43"/>
        <v>Tipton, TN</v>
      </c>
      <c r="D2802" s="187">
        <v>6.0999999999999999E-2</v>
      </c>
    </row>
    <row r="2803" spans="1:4">
      <c r="A2803" s="184" t="s">
        <v>3035</v>
      </c>
      <c r="B2803" s="184" t="s">
        <v>2917</v>
      </c>
      <c r="C2803" s="184" t="str">
        <f t="shared" si="43"/>
        <v>Tishomingo, MS</v>
      </c>
      <c r="D2803" s="187">
        <v>4.3999999999999997E-2</v>
      </c>
    </row>
    <row r="2804" spans="1:4">
      <c r="A2804" s="184" t="s">
        <v>3906</v>
      </c>
      <c r="B2804" s="184" t="s">
        <v>367</v>
      </c>
      <c r="C2804" s="184" t="str">
        <f t="shared" si="43"/>
        <v>Titus, TX</v>
      </c>
      <c r="D2804" s="187">
        <v>4.3999999999999997E-2</v>
      </c>
    </row>
    <row r="2805" spans="1:4">
      <c r="A2805" s="184" t="s">
        <v>529</v>
      </c>
      <c r="B2805" s="184" t="s">
        <v>753</v>
      </c>
      <c r="C2805" s="184" t="str">
        <f t="shared" si="43"/>
        <v>Todd, KY</v>
      </c>
      <c r="D2805" s="187">
        <v>0.09</v>
      </c>
    </row>
    <row r="2806" spans="1:4">
      <c r="A2806" s="184" t="s">
        <v>3429</v>
      </c>
      <c r="B2806" s="184" t="s">
        <v>753</v>
      </c>
      <c r="C2806" s="184" t="str">
        <f t="shared" si="43"/>
        <v>Todd, MN</v>
      </c>
      <c r="D2806" s="187">
        <v>0.09</v>
      </c>
    </row>
    <row r="2807" spans="1:4">
      <c r="A2807" s="184" t="s">
        <v>1944</v>
      </c>
      <c r="B2807" s="184" t="s">
        <v>753</v>
      </c>
      <c r="C2807" s="184" t="str">
        <f t="shared" si="43"/>
        <v>Todd, SD</v>
      </c>
      <c r="D2807" s="187">
        <v>4.3999999999999997E-2</v>
      </c>
    </row>
    <row r="2808" spans="1:4">
      <c r="A2808" s="184" t="s">
        <v>1178</v>
      </c>
      <c r="B2808" s="184" t="s">
        <v>1181</v>
      </c>
      <c r="C2808" s="184" t="str">
        <f t="shared" si="43"/>
        <v>Tolland, CT</v>
      </c>
      <c r="D2808" s="187">
        <v>6.0999999999999999E-2</v>
      </c>
    </row>
    <row r="2809" spans="1:4">
      <c r="A2809" s="184" t="s">
        <v>3906</v>
      </c>
      <c r="B2809" s="184" t="s">
        <v>509</v>
      </c>
      <c r="C2809" s="184" t="str">
        <f t="shared" si="43"/>
        <v>Tom Green, TX</v>
      </c>
      <c r="D2809" s="187">
        <v>4.3999999999999997E-2</v>
      </c>
    </row>
    <row r="2810" spans="1:4">
      <c r="A2810" s="184" t="s">
        <v>3446</v>
      </c>
      <c r="B2810" s="184" t="s">
        <v>777</v>
      </c>
      <c r="C2810" s="184" t="str">
        <f t="shared" si="43"/>
        <v>Tompkins, NY</v>
      </c>
      <c r="D2810" s="187">
        <v>0.09</v>
      </c>
    </row>
    <row r="2811" spans="1:4">
      <c r="A2811" s="184" t="s">
        <v>742</v>
      </c>
      <c r="B2811" s="184" t="s">
        <v>1002</v>
      </c>
      <c r="C2811" s="184" t="str">
        <f t="shared" si="43"/>
        <v>Tooele, UT</v>
      </c>
      <c r="D2811" s="187">
        <v>5.7000000000000002E-2</v>
      </c>
    </row>
    <row r="2812" spans="1:4">
      <c r="A2812" s="184" t="s">
        <v>3438</v>
      </c>
      <c r="B2812" s="184" t="s">
        <v>3086</v>
      </c>
      <c r="C2812" s="184" t="str">
        <f t="shared" si="43"/>
        <v>Toole, MT</v>
      </c>
      <c r="D2812" s="187">
        <v>0.09</v>
      </c>
    </row>
    <row r="2813" spans="1:4">
      <c r="A2813" s="184" t="s">
        <v>3602</v>
      </c>
      <c r="B2813" s="184" t="s">
        <v>1038</v>
      </c>
      <c r="C2813" s="184" t="str">
        <f t="shared" si="43"/>
        <v>Toombs, GA</v>
      </c>
      <c r="D2813" s="187">
        <v>4.3999999999999997E-2</v>
      </c>
    </row>
    <row r="2814" spans="1:4">
      <c r="A2814" s="184" t="s">
        <v>3622</v>
      </c>
      <c r="B2814" s="184" t="s">
        <v>520</v>
      </c>
      <c r="C2814" s="184" t="str">
        <f t="shared" si="43"/>
        <v>Torrance, NM</v>
      </c>
      <c r="D2814" s="187">
        <v>3.5000000000000003E-2</v>
      </c>
    </row>
    <row r="2815" spans="1:4">
      <c r="A2815" s="184" t="s">
        <v>2558</v>
      </c>
      <c r="B2815" s="184" t="s">
        <v>3960</v>
      </c>
      <c r="C2815" s="184" t="str">
        <f t="shared" si="43"/>
        <v>Towner, ND</v>
      </c>
      <c r="D2815" s="187">
        <v>0.09</v>
      </c>
    </row>
    <row r="2816" spans="1:4">
      <c r="A2816" s="184" t="s">
        <v>3602</v>
      </c>
      <c r="B2816" s="184" t="s">
        <v>1039</v>
      </c>
      <c r="C2816" s="184" t="str">
        <f t="shared" si="43"/>
        <v>Towns, GA</v>
      </c>
      <c r="D2816" s="187">
        <v>4.3999999999999997E-2</v>
      </c>
    </row>
    <row r="2817" spans="1:4">
      <c r="A2817" s="184" t="s">
        <v>2558</v>
      </c>
      <c r="B2817" s="184" t="s">
        <v>3961</v>
      </c>
      <c r="C2817" s="184" t="str">
        <f t="shared" si="43"/>
        <v>Traill, ND</v>
      </c>
      <c r="D2817" s="187">
        <v>0.09</v>
      </c>
    </row>
    <row r="2818" spans="1:4">
      <c r="A2818" s="184" t="s">
        <v>2542</v>
      </c>
      <c r="B2818" s="184" t="s">
        <v>3281</v>
      </c>
      <c r="C2818" s="184" t="str">
        <f t="shared" si="43"/>
        <v>Transylvania, NC</v>
      </c>
      <c r="D2818" s="187">
        <v>4.3999999999999997E-2</v>
      </c>
    </row>
    <row r="2819" spans="1:4">
      <c r="A2819" s="184" t="s">
        <v>3429</v>
      </c>
      <c r="B2819" s="184" t="s">
        <v>1514</v>
      </c>
      <c r="C2819" s="184" t="str">
        <f t="shared" si="43"/>
        <v>Traverse, MN</v>
      </c>
      <c r="D2819" s="187">
        <v>0.09</v>
      </c>
    </row>
    <row r="2820" spans="1:4">
      <c r="A2820" s="184" t="s">
        <v>3906</v>
      </c>
      <c r="B2820" s="184" t="s">
        <v>739</v>
      </c>
      <c r="C2820" s="184" t="str">
        <f t="shared" si="43"/>
        <v>Travis, TX</v>
      </c>
      <c r="D2820" s="187">
        <v>6.0999999999999999E-2</v>
      </c>
    </row>
    <row r="2821" spans="1:4">
      <c r="A2821" s="184" t="s">
        <v>3438</v>
      </c>
      <c r="B2821" s="184" t="s">
        <v>3087</v>
      </c>
      <c r="C2821" s="184" t="str">
        <f t="shared" si="43"/>
        <v>Treasure, MT</v>
      </c>
      <c r="D2821" s="187">
        <v>0.09</v>
      </c>
    </row>
    <row r="2822" spans="1:4">
      <c r="A2822" s="184" t="s">
        <v>663</v>
      </c>
      <c r="B2822" s="184" t="s">
        <v>396</v>
      </c>
      <c r="C2822" s="184" t="str">
        <f t="shared" ref="C2822:C2885" si="44">B2822&amp;", "&amp;A2822</f>
        <v>Trego, KS</v>
      </c>
      <c r="D2822" s="187">
        <v>0.09</v>
      </c>
    </row>
    <row r="2823" spans="1:4">
      <c r="A2823" s="184" t="s">
        <v>550</v>
      </c>
      <c r="B2823" s="184" t="s">
        <v>861</v>
      </c>
      <c r="C2823" s="184" t="str">
        <f t="shared" si="44"/>
        <v>Trempealeau, WI</v>
      </c>
      <c r="D2823" s="187">
        <v>0.09</v>
      </c>
    </row>
    <row r="2824" spans="1:4">
      <c r="A2824" s="184" t="s">
        <v>3602</v>
      </c>
      <c r="B2824" s="184" t="s">
        <v>1040</v>
      </c>
      <c r="C2824" s="184" t="str">
        <f t="shared" si="44"/>
        <v>Treutlen, GA</v>
      </c>
      <c r="D2824" s="187">
        <v>4.3999999999999997E-2</v>
      </c>
    </row>
    <row r="2825" spans="1:4">
      <c r="A2825" s="184" t="s">
        <v>529</v>
      </c>
      <c r="B2825" s="184" t="s">
        <v>754</v>
      </c>
      <c r="C2825" s="184" t="str">
        <f t="shared" si="44"/>
        <v>Trigg, KY</v>
      </c>
      <c r="D2825" s="187">
        <v>0.09</v>
      </c>
    </row>
    <row r="2826" spans="1:4">
      <c r="A2826" s="184" t="s">
        <v>529</v>
      </c>
      <c r="B2826" s="184" t="s">
        <v>755</v>
      </c>
      <c r="C2826" s="184" t="str">
        <f t="shared" si="44"/>
        <v>Trimble, KY</v>
      </c>
      <c r="D2826" s="187">
        <v>0.09</v>
      </c>
    </row>
    <row r="2827" spans="1:4">
      <c r="A2827" s="184" t="s">
        <v>3106</v>
      </c>
      <c r="B2827" s="184" t="s">
        <v>2960</v>
      </c>
      <c r="C2827" s="184" t="str">
        <f t="shared" si="44"/>
        <v>Trinity, CA</v>
      </c>
      <c r="D2827" s="187">
        <v>0.09</v>
      </c>
    </row>
    <row r="2828" spans="1:4">
      <c r="A2828" s="184" t="s">
        <v>3906</v>
      </c>
      <c r="B2828" s="184" t="s">
        <v>2960</v>
      </c>
      <c r="C2828" s="184" t="str">
        <f t="shared" si="44"/>
        <v>Trinity, TX</v>
      </c>
      <c r="D2828" s="187">
        <v>4.3999999999999997E-2</v>
      </c>
    </row>
    <row r="2829" spans="1:4">
      <c r="A2829" s="184" t="s">
        <v>1944</v>
      </c>
      <c r="B2829" s="184" t="s">
        <v>1731</v>
      </c>
      <c r="C2829" s="184" t="str">
        <f t="shared" si="44"/>
        <v>Tripp, SD</v>
      </c>
      <c r="D2829" s="187">
        <v>4.3999999999999997E-2</v>
      </c>
    </row>
    <row r="2830" spans="1:4">
      <c r="A2830" s="184" t="s">
        <v>3602</v>
      </c>
      <c r="B2830" s="184" t="s">
        <v>1041</v>
      </c>
      <c r="C2830" s="184" t="str">
        <f t="shared" si="44"/>
        <v>Troup, GA</v>
      </c>
      <c r="D2830" s="187">
        <v>4.3999999999999997E-2</v>
      </c>
    </row>
    <row r="2831" spans="1:4">
      <c r="A2831" s="184" t="s">
        <v>699</v>
      </c>
      <c r="B2831" s="184" t="s">
        <v>969</v>
      </c>
      <c r="C2831" s="184" t="str">
        <f t="shared" si="44"/>
        <v>Trousdale, TN</v>
      </c>
      <c r="D2831" s="187">
        <v>0.09</v>
      </c>
    </row>
    <row r="2832" spans="1:4">
      <c r="A2832" s="184" t="s">
        <v>2562</v>
      </c>
      <c r="B2832" s="184" t="s">
        <v>2572</v>
      </c>
      <c r="C2832" s="184" t="str">
        <f t="shared" si="44"/>
        <v>Trumbull, OH</v>
      </c>
      <c r="D2832" s="187">
        <v>0.09</v>
      </c>
    </row>
    <row r="2833" spans="1:4">
      <c r="A2833" s="184" t="s">
        <v>542</v>
      </c>
      <c r="B2833" s="184" t="s">
        <v>841</v>
      </c>
      <c r="C2833" s="184" t="str">
        <f t="shared" si="44"/>
        <v>Tucker, WV</v>
      </c>
      <c r="D2833" s="187">
        <v>0.09</v>
      </c>
    </row>
    <row r="2834" spans="1:4">
      <c r="A2834" s="184" t="s">
        <v>3106</v>
      </c>
      <c r="B2834" s="184" t="s">
        <v>3412</v>
      </c>
      <c r="C2834" s="184" t="str">
        <f t="shared" si="44"/>
        <v>Tulare, CA</v>
      </c>
      <c r="D2834" s="187">
        <v>5.7000000000000002E-2</v>
      </c>
    </row>
    <row r="2835" spans="1:4">
      <c r="A2835" s="184" t="s">
        <v>2573</v>
      </c>
      <c r="B2835" s="184" t="s">
        <v>3071</v>
      </c>
      <c r="C2835" s="184" t="str">
        <f t="shared" si="44"/>
        <v>Tulsa, OK</v>
      </c>
      <c r="D2835" s="187">
        <v>6.0999999999999999E-2</v>
      </c>
    </row>
    <row r="2836" spans="1:4">
      <c r="A2836" s="184" t="s">
        <v>3035</v>
      </c>
      <c r="B2836" s="184" t="s">
        <v>2918</v>
      </c>
      <c r="C2836" s="184" t="str">
        <f t="shared" si="44"/>
        <v>Tunica, MS</v>
      </c>
      <c r="D2836" s="187">
        <v>4.3999999999999997E-2</v>
      </c>
    </row>
    <row r="2837" spans="1:4">
      <c r="A2837" s="184" t="s">
        <v>3106</v>
      </c>
      <c r="B2837" s="184" t="s">
        <v>2961</v>
      </c>
      <c r="C2837" s="184" t="str">
        <f t="shared" si="44"/>
        <v>Tuolumne, CA</v>
      </c>
      <c r="D2837" s="187">
        <v>0.09</v>
      </c>
    </row>
    <row r="2838" spans="1:4">
      <c r="A2838" s="184" t="s">
        <v>3602</v>
      </c>
      <c r="B2838" s="184" t="s">
        <v>1042</v>
      </c>
      <c r="C2838" s="184" t="str">
        <f t="shared" si="44"/>
        <v>Turner, GA</v>
      </c>
      <c r="D2838" s="187">
        <v>4.3999999999999997E-2</v>
      </c>
    </row>
    <row r="2839" spans="1:4">
      <c r="A2839" s="184" t="s">
        <v>1944</v>
      </c>
      <c r="B2839" s="184" t="s">
        <v>1042</v>
      </c>
      <c r="C2839" s="184" t="str">
        <f t="shared" si="44"/>
        <v>Turner, SD</v>
      </c>
      <c r="D2839" s="187">
        <v>4.3999999999999997E-2</v>
      </c>
    </row>
    <row r="2840" spans="1:4">
      <c r="A2840" s="184" t="s">
        <v>2000</v>
      </c>
      <c r="B2840" s="184" t="s">
        <v>2016</v>
      </c>
      <c r="C2840" s="184" t="str">
        <f t="shared" si="44"/>
        <v>Tuscaloosa, AL</v>
      </c>
      <c r="D2840" s="187">
        <v>0.09</v>
      </c>
    </row>
    <row r="2841" spans="1:4">
      <c r="A2841" s="184" t="s">
        <v>2562</v>
      </c>
      <c r="B2841" s="184" t="s">
        <v>876</v>
      </c>
      <c r="C2841" s="184" t="str">
        <f t="shared" si="44"/>
        <v>Tuscarawas, OH</v>
      </c>
      <c r="D2841" s="187">
        <v>0.09</v>
      </c>
    </row>
    <row r="2842" spans="1:4">
      <c r="A2842" s="184" t="s">
        <v>2090</v>
      </c>
      <c r="B2842" s="184" t="s">
        <v>1472</v>
      </c>
      <c r="C2842" s="184" t="str">
        <f t="shared" si="44"/>
        <v>Tuscola, MI</v>
      </c>
      <c r="D2842" s="187">
        <v>0.09</v>
      </c>
    </row>
    <row r="2843" spans="1:4">
      <c r="A2843" s="184" t="s">
        <v>3602</v>
      </c>
      <c r="B2843" s="184" t="s">
        <v>3305</v>
      </c>
      <c r="C2843" s="184" t="str">
        <f t="shared" si="44"/>
        <v>Twiggs, GA</v>
      </c>
      <c r="D2843" s="187">
        <v>4.3999999999999997E-2</v>
      </c>
    </row>
    <row r="2844" spans="1:4">
      <c r="A2844" s="184" t="s">
        <v>3875</v>
      </c>
      <c r="B2844" s="184" t="s">
        <v>1014</v>
      </c>
      <c r="C2844" s="184" t="str">
        <f t="shared" si="44"/>
        <v>Twin Falls, ID</v>
      </c>
      <c r="D2844" s="187">
        <v>4.3999999999999997E-2</v>
      </c>
    </row>
    <row r="2845" spans="1:4">
      <c r="A2845" s="184" t="s">
        <v>3906</v>
      </c>
      <c r="B2845" s="184" t="s">
        <v>368</v>
      </c>
      <c r="C2845" s="184" t="str">
        <f t="shared" si="44"/>
        <v>Tyler, TX</v>
      </c>
      <c r="D2845" s="187">
        <v>4.3999999999999997E-2</v>
      </c>
    </row>
    <row r="2846" spans="1:4">
      <c r="A2846" s="184" t="s">
        <v>542</v>
      </c>
      <c r="B2846" s="184" t="s">
        <v>368</v>
      </c>
      <c r="C2846" s="184" t="str">
        <f t="shared" si="44"/>
        <v>Tyler, WV</v>
      </c>
      <c r="D2846" s="187">
        <v>0.09</v>
      </c>
    </row>
    <row r="2847" spans="1:4">
      <c r="A2847" s="184" t="s">
        <v>2542</v>
      </c>
      <c r="B2847" s="184" t="s">
        <v>3282</v>
      </c>
      <c r="C2847" s="184" t="str">
        <f t="shared" si="44"/>
        <v>Tyrrell, NC</v>
      </c>
      <c r="D2847" s="187">
        <v>4.3999999999999997E-2</v>
      </c>
    </row>
    <row r="2848" spans="1:4">
      <c r="A2848" s="184" t="s">
        <v>1033</v>
      </c>
      <c r="B2848" s="184" t="s">
        <v>3547</v>
      </c>
      <c r="C2848" s="184" t="str">
        <f t="shared" si="44"/>
        <v>Uinta, WY</v>
      </c>
      <c r="D2848" s="187">
        <v>3.5000000000000003E-2</v>
      </c>
    </row>
    <row r="2849" spans="1:4">
      <c r="A2849" s="184" t="s">
        <v>742</v>
      </c>
      <c r="B2849" s="184" t="s">
        <v>1003</v>
      </c>
      <c r="C2849" s="184" t="str">
        <f t="shared" si="44"/>
        <v>Uintah, UT</v>
      </c>
      <c r="D2849" s="187">
        <v>5.7000000000000002E-2</v>
      </c>
    </row>
    <row r="2850" spans="1:4">
      <c r="A2850" s="184" t="s">
        <v>3446</v>
      </c>
      <c r="B2850" s="184" t="s">
        <v>30</v>
      </c>
      <c r="C2850" s="184" t="str">
        <f t="shared" si="44"/>
        <v>Ulster, NY</v>
      </c>
      <c r="D2850" s="187">
        <v>5.7000000000000002E-2</v>
      </c>
    </row>
    <row r="2851" spans="1:4">
      <c r="A2851" s="184" t="s">
        <v>3353</v>
      </c>
      <c r="B2851" s="184" t="s">
        <v>2268</v>
      </c>
      <c r="C2851" s="184" t="str">
        <f t="shared" si="44"/>
        <v>Umatilla, OR</v>
      </c>
      <c r="D2851" s="187">
        <v>0.09</v>
      </c>
    </row>
    <row r="2852" spans="1:4">
      <c r="A2852" s="184" t="s">
        <v>699</v>
      </c>
      <c r="B2852" s="184" t="s">
        <v>1276</v>
      </c>
      <c r="C2852" s="184" t="str">
        <f t="shared" si="44"/>
        <v>Unicoi, TN</v>
      </c>
      <c r="D2852" s="187">
        <v>0.09</v>
      </c>
    </row>
    <row r="2853" spans="1:4">
      <c r="A2853" s="184" t="s">
        <v>566</v>
      </c>
      <c r="B2853" s="184" t="s">
        <v>1277</v>
      </c>
      <c r="C2853" s="184" t="str">
        <f t="shared" si="44"/>
        <v>Union, AR</v>
      </c>
      <c r="D2853" s="187">
        <v>4.3999999999999997E-2</v>
      </c>
    </row>
    <row r="2854" spans="1:4">
      <c r="A2854" s="184" t="s">
        <v>3594</v>
      </c>
      <c r="B2854" s="184" t="s">
        <v>1277</v>
      </c>
      <c r="C2854" s="184" t="str">
        <f t="shared" si="44"/>
        <v>Union, FL</v>
      </c>
      <c r="D2854" s="187">
        <v>4.3999999999999997E-2</v>
      </c>
    </row>
    <row r="2855" spans="1:4">
      <c r="A2855" s="184" t="s">
        <v>3602</v>
      </c>
      <c r="B2855" s="184" t="s">
        <v>1277</v>
      </c>
      <c r="C2855" s="184" t="str">
        <f t="shared" si="44"/>
        <v>Union, GA</v>
      </c>
      <c r="D2855" s="187">
        <v>4.3999999999999997E-2</v>
      </c>
    </row>
    <row r="2856" spans="1:4">
      <c r="A2856" s="184" t="s">
        <v>2031</v>
      </c>
      <c r="B2856" s="184" t="s">
        <v>1277</v>
      </c>
      <c r="C2856" s="184" t="str">
        <f t="shared" si="44"/>
        <v>Union, IA</v>
      </c>
      <c r="D2856" s="187">
        <v>0.09</v>
      </c>
    </row>
    <row r="2857" spans="1:4">
      <c r="A2857" s="184" t="s">
        <v>2019</v>
      </c>
      <c r="B2857" s="184" t="s">
        <v>1277</v>
      </c>
      <c r="C2857" s="184" t="str">
        <f t="shared" si="44"/>
        <v>Union, IL</v>
      </c>
      <c r="D2857" s="187">
        <v>0.09</v>
      </c>
    </row>
    <row r="2858" spans="1:4">
      <c r="A2858" s="184" t="s">
        <v>2021</v>
      </c>
      <c r="B2858" s="184" t="s">
        <v>1277</v>
      </c>
      <c r="C2858" s="184" t="str">
        <f t="shared" si="44"/>
        <v>Union, IN</v>
      </c>
      <c r="D2858" s="187">
        <v>0.09</v>
      </c>
    </row>
    <row r="2859" spans="1:4">
      <c r="A2859" s="184" t="s">
        <v>529</v>
      </c>
      <c r="B2859" s="184" t="s">
        <v>1277</v>
      </c>
      <c r="C2859" s="184" t="str">
        <f t="shared" si="44"/>
        <v>Union, KY</v>
      </c>
      <c r="D2859" s="187">
        <v>0.09</v>
      </c>
    </row>
    <row r="2860" spans="1:4">
      <c r="A2860" s="184" t="s">
        <v>535</v>
      </c>
      <c r="B2860" s="184" t="s">
        <v>1277</v>
      </c>
      <c r="C2860" s="184" t="str">
        <f t="shared" si="44"/>
        <v>Union, LA</v>
      </c>
      <c r="D2860" s="187">
        <v>0.09</v>
      </c>
    </row>
    <row r="2861" spans="1:4">
      <c r="A2861" s="184" t="s">
        <v>3035</v>
      </c>
      <c r="B2861" s="184" t="s">
        <v>1277</v>
      </c>
      <c r="C2861" s="184" t="str">
        <f t="shared" si="44"/>
        <v>Union, MS</v>
      </c>
      <c r="D2861" s="187">
        <v>4.3999999999999997E-2</v>
      </c>
    </row>
    <row r="2862" spans="1:4">
      <c r="A2862" s="184" t="s">
        <v>2542</v>
      </c>
      <c r="B2862" s="184" t="s">
        <v>1277</v>
      </c>
      <c r="C2862" s="184" t="str">
        <f t="shared" si="44"/>
        <v>Union, NC</v>
      </c>
      <c r="D2862" s="187">
        <v>6.0999999999999999E-2</v>
      </c>
    </row>
    <row r="2863" spans="1:4">
      <c r="A2863" s="184" t="s">
        <v>3444</v>
      </c>
      <c r="B2863" s="184" t="s">
        <v>1277</v>
      </c>
      <c r="C2863" s="184" t="str">
        <f t="shared" si="44"/>
        <v>Union, NJ</v>
      </c>
      <c r="D2863" s="187">
        <v>6.0999999999999999E-2</v>
      </c>
    </row>
    <row r="2864" spans="1:4">
      <c r="A2864" s="184" t="s">
        <v>3622</v>
      </c>
      <c r="B2864" s="184" t="s">
        <v>1277</v>
      </c>
      <c r="C2864" s="184" t="str">
        <f t="shared" si="44"/>
        <v>Union, NM</v>
      </c>
      <c r="D2864" s="187">
        <v>5.7000000000000002E-2</v>
      </c>
    </row>
    <row r="2865" spans="1:4">
      <c r="A2865" s="184" t="s">
        <v>2562</v>
      </c>
      <c r="B2865" s="184" t="s">
        <v>1277</v>
      </c>
      <c r="C2865" s="184" t="str">
        <f t="shared" si="44"/>
        <v>Union, OH</v>
      </c>
      <c r="D2865" s="187">
        <v>0.09</v>
      </c>
    </row>
    <row r="2866" spans="1:4">
      <c r="A2866" s="184" t="s">
        <v>3353</v>
      </c>
      <c r="B2866" s="184" t="s">
        <v>1277</v>
      </c>
      <c r="C2866" s="184" t="str">
        <f t="shared" si="44"/>
        <v>Union, OR</v>
      </c>
      <c r="D2866" s="187">
        <v>0.09</v>
      </c>
    </row>
    <row r="2867" spans="1:4">
      <c r="A2867" s="184" t="s">
        <v>3356</v>
      </c>
      <c r="B2867" s="184" t="s">
        <v>1277</v>
      </c>
      <c r="C2867" s="184" t="str">
        <f t="shared" si="44"/>
        <v>Union, PA</v>
      </c>
      <c r="D2867" s="187">
        <v>0.09</v>
      </c>
    </row>
    <row r="2868" spans="1:4">
      <c r="A2868" s="184" t="s">
        <v>1942</v>
      </c>
      <c r="B2868" s="184" t="s">
        <v>1277</v>
      </c>
      <c r="C2868" s="184" t="str">
        <f t="shared" si="44"/>
        <v>Union, SC</v>
      </c>
      <c r="D2868" s="187">
        <v>4.3999999999999997E-2</v>
      </c>
    </row>
    <row r="2869" spans="1:4">
      <c r="A2869" s="184" t="s">
        <v>1944</v>
      </c>
      <c r="B2869" s="184" t="s">
        <v>1277</v>
      </c>
      <c r="C2869" s="184" t="str">
        <f t="shared" si="44"/>
        <v>Union, SD</v>
      </c>
      <c r="D2869" s="187">
        <v>6.0999999999999999E-2</v>
      </c>
    </row>
    <row r="2870" spans="1:4">
      <c r="A2870" s="184" t="s">
        <v>699</v>
      </c>
      <c r="B2870" s="184" t="s">
        <v>1277</v>
      </c>
      <c r="C2870" s="184" t="str">
        <f t="shared" si="44"/>
        <v>Union, TN</v>
      </c>
      <c r="D2870" s="187">
        <v>0.09</v>
      </c>
    </row>
    <row r="2871" spans="1:4">
      <c r="A2871" s="184" t="s">
        <v>3906</v>
      </c>
      <c r="B2871" s="184" t="s">
        <v>510</v>
      </c>
      <c r="C2871" s="184" t="str">
        <f t="shared" si="44"/>
        <v>Upshur, TX</v>
      </c>
      <c r="D2871" s="187">
        <v>4.3999999999999997E-2</v>
      </c>
    </row>
    <row r="2872" spans="1:4">
      <c r="A2872" s="184" t="s">
        <v>542</v>
      </c>
      <c r="B2872" s="184" t="s">
        <v>510</v>
      </c>
      <c r="C2872" s="184" t="str">
        <f t="shared" si="44"/>
        <v>Upshur, WV</v>
      </c>
      <c r="D2872" s="187">
        <v>0.09</v>
      </c>
    </row>
    <row r="2873" spans="1:4">
      <c r="A2873" s="184" t="s">
        <v>3602</v>
      </c>
      <c r="B2873" s="184" t="s">
        <v>1043</v>
      </c>
      <c r="C2873" s="184" t="str">
        <f t="shared" si="44"/>
        <v>Upson, GA</v>
      </c>
      <c r="D2873" s="187">
        <v>4.3999999999999997E-2</v>
      </c>
    </row>
    <row r="2874" spans="1:4">
      <c r="A2874" s="184" t="s">
        <v>3906</v>
      </c>
      <c r="B2874" s="184" t="s">
        <v>369</v>
      </c>
      <c r="C2874" s="184" t="str">
        <f t="shared" si="44"/>
        <v>Upton, TX</v>
      </c>
      <c r="D2874" s="187">
        <v>4.3999999999999997E-2</v>
      </c>
    </row>
    <row r="2875" spans="1:4">
      <c r="A2875" s="184" t="s">
        <v>742</v>
      </c>
      <c r="B2875" s="184" t="s">
        <v>513</v>
      </c>
      <c r="C2875" s="184" t="str">
        <f t="shared" si="44"/>
        <v>Utah, UT</v>
      </c>
      <c r="D2875" s="187">
        <v>4.3999999999999997E-2</v>
      </c>
    </row>
    <row r="2876" spans="1:4">
      <c r="A2876" s="184" t="s">
        <v>3906</v>
      </c>
      <c r="B2876" s="184" t="s">
        <v>370</v>
      </c>
      <c r="C2876" s="184" t="str">
        <f t="shared" si="44"/>
        <v>Uvalde, TX</v>
      </c>
      <c r="D2876" s="187">
        <v>4.3999999999999997E-2</v>
      </c>
    </row>
    <row r="2877" spans="1:4">
      <c r="A2877" s="184" t="s">
        <v>3906</v>
      </c>
      <c r="B2877" s="184" t="s">
        <v>371</v>
      </c>
      <c r="C2877" s="184" t="str">
        <f t="shared" si="44"/>
        <v>Val Verde, TX</v>
      </c>
      <c r="D2877" s="187">
        <v>4.3999999999999997E-2</v>
      </c>
    </row>
    <row r="2878" spans="1:4">
      <c r="A2878" s="184" t="s">
        <v>988</v>
      </c>
      <c r="B2878" s="184" t="s">
        <v>2985</v>
      </c>
      <c r="C2878" s="184" t="str">
        <f t="shared" si="44"/>
        <v>Valdez-Cordova, AK</v>
      </c>
      <c r="D2878" s="187">
        <v>0.09</v>
      </c>
    </row>
    <row r="2879" spans="1:4">
      <c r="A2879" s="184" t="s">
        <v>3622</v>
      </c>
      <c r="B2879" s="184" t="s">
        <v>27</v>
      </c>
      <c r="C2879" s="184" t="str">
        <f t="shared" si="44"/>
        <v>Valencia, NM</v>
      </c>
      <c r="D2879" s="187">
        <v>5.7000000000000002E-2</v>
      </c>
    </row>
    <row r="2880" spans="1:4">
      <c r="A2880" s="184" t="s">
        <v>3875</v>
      </c>
      <c r="B2880" s="184" t="s">
        <v>1015</v>
      </c>
      <c r="C2880" s="184" t="str">
        <f t="shared" si="44"/>
        <v>Valley, ID</v>
      </c>
      <c r="D2880" s="187">
        <v>4.3999999999999997E-2</v>
      </c>
    </row>
    <row r="2881" spans="1:4">
      <c r="A2881" s="184" t="s">
        <v>3438</v>
      </c>
      <c r="B2881" s="184" t="s">
        <v>1015</v>
      </c>
      <c r="C2881" s="184" t="str">
        <f t="shared" si="44"/>
        <v>Valley, MT</v>
      </c>
      <c r="D2881" s="187">
        <v>0.09</v>
      </c>
    </row>
    <row r="2882" spans="1:4">
      <c r="A2882" s="184" t="s">
        <v>3442</v>
      </c>
      <c r="B2882" s="184" t="s">
        <v>1015</v>
      </c>
      <c r="C2882" s="184" t="str">
        <f t="shared" si="44"/>
        <v>Valley, NE</v>
      </c>
      <c r="D2882" s="187">
        <v>0.09</v>
      </c>
    </row>
    <row r="2883" spans="1:4">
      <c r="A2883" s="184" t="s">
        <v>566</v>
      </c>
      <c r="B2883" s="184" t="s">
        <v>3428</v>
      </c>
      <c r="C2883" s="184" t="str">
        <f t="shared" si="44"/>
        <v>Van Buren, AR</v>
      </c>
      <c r="D2883" s="187">
        <v>5.7000000000000002E-2</v>
      </c>
    </row>
    <row r="2884" spans="1:4">
      <c r="A2884" s="184" t="s">
        <v>2031</v>
      </c>
      <c r="B2884" s="184" t="s">
        <v>3428</v>
      </c>
      <c r="C2884" s="184" t="str">
        <f t="shared" si="44"/>
        <v>Van Buren, IA</v>
      </c>
      <c r="D2884" s="187">
        <v>0.09</v>
      </c>
    </row>
    <row r="2885" spans="1:4">
      <c r="A2885" s="184" t="s">
        <v>2090</v>
      </c>
      <c r="B2885" s="184" t="s">
        <v>3428</v>
      </c>
      <c r="C2885" s="184" t="str">
        <f t="shared" si="44"/>
        <v>Van Buren, MI</v>
      </c>
      <c r="D2885" s="187">
        <v>0.09</v>
      </c>
    </row>
    <row r="2886" spans="1:4">
      <c r="A2886" s="184" t="s">
        <v>699</v>
      </c>
      <c r="B2886" s="184" t="s">
        <v>3428</v>
      </c>
      <c r="C2886" s="184" t="str">
        <f t="shared" ref="C2886:C2949" si="45">B2886&amp;", "&amp;A2886</f>
        <v>Van Buren, TN</v>
      </c>
      <c r="D2886" s="187">
        <v>0.09</v>
      </c>
    </row>
    <row r="2887" spans="1:4">
      <c r="A2887" s="184" t="s">
        <v>2562</v>
      </c>
      <c r="B2887" s="184" t="s">
        <v>877</v>
      </c>
      <c r="C2887" s="184" t="str">
        <f t="shared" si="45"/>
        <v>Van Wert, OH</v>
      </c>
      <c r="D2887" s="187">
        <v>0.09</v>
      </c>
    </row>
    <row r="2888" spans="1:4">
      <c r="A2888" s="184" t="s">
        <v>3906</v>
      </c>
      <c r="B2888" s="184" t="s">
        <v>372</v>
      </c>
      <c r="C2888" s="184" t="str">
        <f t="shared" si="45"/>
        <v>Van Zandt, TX</v>
      </c>
      <c r="D2888" s="187">
        <v>4.3999999999999997E-2</v>
      </c>
    </row>
    <row r="2889" spans="1:4">
      <c r="A2889" s="184" t="s">
        <v>2542</v>
      </c>
      <c r="B2889" s="184" t="s">
        <v>35</v>
      </c>
      <c r="C2889" s="184" t="str">
        <f t="shared" si="45"/>
        <v>Vance, NC</v>
      </c>
      <c r="D2889" s="187">
        <v>5.7000000000000002E-2</v>
      </c>
    </row>
    <row r="2890" spans="1:4">
      <c r="A2890" s="184" t="s">
        <v>2021</v>
      </c>
      <c r="B2890" s="184" t="s">
        <v>2324</v>
      </c>
      <c r="C2890" s="184" t="str">
        <f t="shared" si="45"/>
        <v>Vanderburgh, IN</v>
      </c>
      <c r="D2890" s="187">
        <v>6.0999999999999999E-2</v>
      </c>
    </row>
    <row r="2891" spans="1:4">
      <c r="A2891" s="184" t="s">
        <v>3356</v>
      </c>
      <c r="B2891" s="184" t="s">
        <v>61</v>
      </c>
      <c r="C2891" s="184" t="str">
        <f t="shared" si="45"/>
        <v>Venango, PA</v>
      </c>
      <c r="D2891" s="187">
        <v>0.09</v>
      </c>
    </row>
    <row r="2892" spans="1:4">
      <c r="A2892" s="184" t="s">
        <v>3106</v>
      </c>
      <c r="B2892" s="184" t="s">
        <v>3559</v>
      </c>
      <c r="C2892" s="184" t="str">
        <f t="shared" si="45"/>
        <v>Ventura, CA</v>
      </c>
      <c r="D2892" s="187">
        <v>2.4E-2</v>
      </c>
    </row>
    <row r="2893" spans="1:4">
      <c r="A2893" s="184" t="s">
        <v>2019</v>
      </c>
      <c r="B2893" s="184" t="s">
        <v>3379</v>
      </c>
      <c r="C2893" s="184" t="str">
        <f t="shared" si="45"/>
        <v>Vermilion, IL</v>
      </c>
      <c r="D2893" s="187">
        <v>0.09</v>
      </c>
    </row>
    <row r="2894" spans="1:4">
      <c r="A2894" s="184" t="s">
        <v>535</v>
      </c>
      <c r="B2894" s="184" t="s">
        <v>3379</v>
      </c>
      <c r="C2894" s="184" t="str">
        <f t="shared" si="45"/>
        <v>Vermilion, LA</v>
      </c>
      <c r="D2894" s="187">
        <v>0.09</v>
      </c>
    </row>
    <row r="2895" spans="1:4">
      <c r="A2895" s="184" t="s">
        <v>2021</v>
      </c>
      <c r="B2895" s="184" t="s">
        <v>2029</v>
      </c>
      <c r="C2895" s="184" t="str">
        <f t="shared" si="45"/>
        <v>Vermillion, IN</v>
      </c>
      <c r="D2895" s="187">
        <v>0.09</v>
      </c>
    </row>
    <row r="2896" spans="1:4">
      <c r="A2896" s="184" t="s">
        <v>535</v>
      </c>
      <c r="B2896" s="184" t="s">
        <v>1918</v>
      </c>
      <c r="C2896" s="184" t="str">
        <f t="shared" si="45"/>
        <v>Vernon, LA</v>
      </c>
      <c r="D2896" s="187">
        <v>0.09</v>
      </c>
    </row>
    <row r="2897" spans="1:4">
      <c r="A2897" s="184" t="s">
        <v>3434</v>
      </c>
      <c r="B2897" s="184" t="s">
        <v>1918</v>
      </c>
      <c r="C2897" s="184" t="str">
        <f t="shared" si="45"/>
        <v>Vernon, MO</v>
      </c>
      <c r="D2897" s="187">
        <v>0.09</v>
      </c>
    </row>
    <row r="2898" spans="1:4">
      <c r="A2898" s="184" t="s">
        <v>550</v>
      </c>
      <c r="B2898" s="184" t="s">
        <v>1918</v>
      </c>
      <c r="C2898" s="184" t="str">
        <f t="shared" si="45"/>
        <v>Vernon, WI</v>
      </c>
      <c r="D2898" s="187">
        <v>0.09</v>
      </c>
    </row>
    <row r="2899" spans="1:4">
      <c r="A2899" s="184" t="s">
        <v>3906</v>
      </c>
      <c r="B2899" s="184" t="s">
        <v>740</v>
      </c>
      <c r="C2899" s="184" t="str">
        <f t="shared" si="45"/>
        <v>Victoria, TX</v>
      </c>
      <c r="D2899" s="187">
        <v>6.0999999999999999E-2</v>
      </c>
    </row>
    <row r="2900" spans="1:4">
      <c r="A2900" s="184" t="s">
        <v>2021</v>
      </c>
      <c r="B2900" s="184" t="s">
        <v>2030</v>
      </c>
      <c r="C2900" s="184" t="str">
        <f t="shared" si="45"/>
        <v>Vigo, IN</v>
      </c>
      <c r="D2900" s="187">
        <v>0.09</v>
      </c>
    </row>
    <row r="2901" spans="1:4">
      <c r="A2901" s="184" t="s">
        <v>550</v>
      </c>
      <c r="B2901" s="184" t="s">
        <v>862</v>
      </c>
      <c r="C2901" s="184" t="str">
        <f t="shared" si="45"/>
        <v>Vilas, WI</v>
      </c>
      <c r="D2901" s="187">
        <v>0.09</v>
      </c>
    </row>
    <row r="2902" spans="1:4">
      <c r="A2902" s="184" t="s">
        <v>2562</v>
      </c>
      <c r="B2902" s="184" t="s">
        <v>878</v>
      </c>
      <c r="C2902" s="184" t="str">
        <f t="shared" si="45"/>
        <v>Vinton, OH</v>
      </c>
      <c r="D2902" s="187">
        <v>0.09</v>
      </c>
    </row>
    <row r="2903" spans="1:4">
      <c r="A2903" s="184" t="s">
        <v>746</v>
      </c>
      <c r="B2903" s="184" t="s">
        <v>3182</v>
      </c>
      <c r="C2903" s="184" t="str">
        <f t="shared" si="45"/>
        <v>Virginia Beach City, VA</v>
      </c>
      <c r="D2903" s="187">
        <v>6.0999999999999999E-2</v>
      </c>
    </row>
    <row r="2904" spans="1:4">
      <c r="A2904" s="184" t="s">
        <v>3594</v>
      </c>
      <c r="B2904" s="184" t="s">
        <v>3423</v>
      </c>
      <c r="C2904" s="184" t="str">
        <f t="shared" si="45"/>
        <v>Volusia, FL</v>
      </c>
      <c r="D2904" s="187">
        <v>5.7000000000000002E-2</v>
      </c>
    </row>
    <row r="2905" spans="1:4">
      <c r="A2905" s="184" t="s">
        <v>2019</v>
      </c>
      <c r="B2905" s="184" t="s">
        <v>3380</v>
      </c>
      <c r="C2905" s="184" t="str">
        <f t="shared" si="45"/>
        <v>Wabash, IL</v>
      </c>
      <c r="D2905" s="187">
        <v>0.09</v>
      </c>
    </row>
    <row r="2906" spans="1:4">
      <c r="A2906" s="184" t="s">
        <v>2021</v>
      </c>
      <c r="B2906" s="184" t="s">
        <v>3380</v>
      </c>
      <c r="C2906" s="184" t="str">
        <f t="shared" si="45"/>
        <v>Wabash, IN</v>
      </c>
      <c r="D2906" s="187">
        <v>0.09</v>
      </c>
    </row>
    <row r="2907" spans="1:4">
      <c r="A2907" s="184" t="s">
        <v>3429</v>
      </c>
      <c r="B2907" s="184" t="s">
        <v>1515</v>
      </c>
      <c r="C2907" s="184" t="str">
        <f t="shared" si="45"/>
        <v>Wabasha, MN</v>
      </c>
      <c r="D2907" s="187">
        <v>0.09</v>
      </c>
    </row>
    <row r="2908" spans="1:4">
      <c r="A2908" s="184" t="s">
        <v>663</v>
      </c>
      <c r="B2908" s="184" t="s">
        <v>397</v>
      </c>
      <c r="C2908" s="184" t="str">
        <f t="shared" si="45"/>
        <v>Wabaunsee, KS</v>
      </c>
      <c r="D2908" s="187">
        <v>0.09</v>
      </c>
    </row>
    <row r="2909" spans="1:4">
      <c r="A2909" s="184" t="s">
        <v>988</v>
      </c>
      <c r="B2909" s="184" t="s">
        <v>2986</v>
      </c>
      <c r="C2909" s="184" t="str">
        <f t="shared" si="45"/>
        <v>Wade Hampton, AK</v>
      </c>
      <c r="D2909" s="187">
        <v>0.09</v>
      </c>
    </row>
    <row r="2910" spans="1:4">
      <c r="A2910" s="184" t="s">
        <v>3429</v>
      </c>
      <c r="B2910" s="184" t="s">
        <v>1516</v>
      </c>
      <c r="C2910" s="184" t="str">
        <f t="shared" si="45"/>
        <v>Wadena, MN</v>
      </c>
      <c r="D2910" s="187">
        <v>0.09</v>
      </c>
    </row>
    <row r="2911" spans="1:4">
      <c r="A2911" s="184" t="s">
        <v>2573</v>
      </c>
      <c r="B2911" s="184" t="s">
        <v>3072</v>
      </c>
      <c r="C2911" s="184" t="str">
        <f t="shared" si="45"/>
        <v>Wagoner, OK</v>
      </c>
      <c r="D2911" s="187">
        <v>6.0999999999999999E-2</v>
      </c>
    </row>
    <row r="2912" spans="1:4">
      <c r="A2912" s="184" t="s">
        <v>1278</v>
      </c>
      <c r="B2912" s="184" t="s">
        <v>1842</v>
      </c>
      <c r="C2912" s="184" t="str">
        <f t="shared" si="45"/>
        <v>Wahkiakum, WA</v>
      </c>
      <c r="D2912" s="187">
        <v>0.09</v>
      </c>
    </row>
    <row r="2913" spans="1:4">
      <c r="A2913" s="184" t="s">
        <v>2542</v>
      </c>
      <c r="B2913" s="184" t="s">
        <v>2670</v>
      </c>
      <c r="C2913" s="184" t="str">
        <f t="shared" si="45"/>
        <v>Wake, NC</v>
      </c>
      <c r="D2913" s="187">
        <v>6.0999999999999999E-2</v>
      </c>
    </row>
    <row r="2914" spans="1:4">
      <c r="A2914" s="184" t="s">
        <v>3594</v>
      </c>
      <c r="B2914" s="184" t="s">
        <v>3424</v>
      </c>
      <c r="C2914" s="184" t="str">
        <f t="shared" si="45"/>
        <v>Wakulla, FL</v>
      </c>
      <c r="D2914" s="187">
        <v>5.7000000000000002E-2</v>
      </c>
    </row>
    <row r="2915" spans="1:4">
      <c r="A2915" s="184" t="s">
        <v>1922</v>
      </c>
      <c r="B2915" s="184" t="s">
        <v>1223</v>
      </c>
      <c r="C2915" s="184" t="str">
        <f t="shared" si="45"/>
        <v>Waldo, ME</v>
      </c>
      <c r="D2915" s="187">
        <v>0.09</v>
      </c>
    </row>
    <row r="2916" spans="1:4">
      <c r="A2916" s="184" t="s">
        <v>2000</v>
      </c>
      <c r="B2916" s="184" t="s">
        <v>3306</v>
      </c>
      <c r="C2916" s="184" t="str">
        <f t="shared" si="45"/>
        <v>Walker, AL</v>
      </c>
      <c r="D2916" s="187">
        <v>0.09</v>
      </c>
    </row>
    <row r="2917" spans="1:4">
      <c r="A2917" s="184" t="s">
        <v>3602</v>
      </c>
      <c r="B2917" s="184" t="s">
        <v>3306</v>
      </c>
      <c r="C2917" s="184" t="str">
        <f t="shared" si="45"/>
        <v>Walker, GA</v>
      </c>
      <c r="D2917" s="187">
        <v>4.3999999999999997E-2</v>
      </c>
    </row>
    <row r="2918" spans="1:4">
      <c r="A2918" s="184" t="s">
        <v>3906</v>
      </c>
      <c r="B2918" s="184" t="s">
        <v>3306</v>
      </c>
      <c r="C2918" s="184" t="str">
        <f t="shared" si="45"/>
        <v>Walker, TX</v>
      </c>
      <c r="D2918" s="187">
        <v>4.3999999999999997E-2</v>
      </c>
    </row>
    <row r="2919" spans="1:4">
      <c r="A2919" s="184" t="s">
        <v>1278</v>
      </c>
      <c r="B2919" s="184" t="s">
        <v>1843</v>
      </c>
      <c r="C2919" s="184" t="str">
        <f t="shared" si="45"/>
        <v>Walla Walla, WA</v>
      </c>
      <c r="D2919" s="187">
        <v>0.09</v>
      </c>
    </row>
    <row r="2920" spans="1:4">
      <c r="A2920" s="184" t="s">
        <v>663</v>
      </c>
      <c r="B2920" s="184" t="s">
        <v>398</v>
      </c>
      <c r="C2920" s="184" t="str">
        <f t="shared" si="45"/>
        <v>Wallace, KS</v>
      </c>
      <c r="D2920" s="187">
        <v>0.09</v>
      </c>
    </row>
    <row r="2921" spans="1:4">
      <c r="A2921" s="184" t="s">
        <v>3906</v>
      </c>
      <c r="B2921" s="184" t="s">
        <v>741</v>
      </c>
      <c r="C2921" s="184" t="str">
        <f t="shared" si="45"/>
        <v>Waller, TX</v>
      </c>
      <c r="D2921" s="187">
        <v>6.0999999999999999E-2</v>
      </c>
    </row>
    <row r="2922" spans="1:4">
      <c r="A2922" s="184" t="s">
        <v>3353</v>
      </c>
      <c r="B2922" s="184" t="s">
        <v>2269</v>
      </c>
      <c r="C2922" s="184" t="str">
        <f t="shared" si="45"/>
        <v>Wallowa, OR</v>
      </c>
      <c r="D2922" s="187">
        <v>0.09</v>
      </c>
    </row>
    <row r="2923" spans="1:4">
      <c r="A2923" s="184" t="s">
        <v>2558</v>
      </c>
      <c r="B2923" s="184" t="s">
        <v>3962</v>
      </c>
      <c r="C2923" s="184" t="str">
        <f t="shared" si="45"/>
        <v>Walsh, ND</v>
      </c>
      <c r="D2923" s="187">
        <v>0.09</v>
      </c>
    </row>
    <row r="2924" spans="1:4">
      <c r="A2924" s="184" t="s">
        <v>3035</v>
      </c>
      <c r="B2924" s="184" t="s">
        <v>2919</v>
      </c>
      <c r="C2924" s="184" t="str">
        <f t="shared" si="45"/>
        <v>Walthall, MS</v>
      </c>
      <c r="D2924" s="187">
        <v>4.3999999999999997E-2</v>
      </c>
    </row>
    <row r="2925" spans="1:4">
      <c r="A2925" s="184" t="s">
        <v>3594</v>
      </c>
      <c r="B2925" s="184" t="s">
        <v>3872</v>
      </c>
      <c r="C2925" s="184" t="str">
        <f t="shared" si="45"/>
        <v>Walton, FL</v>
      </c>
      <c r="D2925" s="187">
        <v>4.3999999999999997E-2</v>
      </c>
    </row>
    <row r="2926" spans="1:4">
      <c r="A2926" s="184" t="s">
        <v>3602</v>
      </c>
      <c r="B2926" s="184" t="s">
        <v>3872</v>
      </c>
      <c r="C2926" s="184" t="str">
        <f t="shared" si="45"/>
        <v>Walton, GA</v>
      </c>
      <c r="D2926" s="187">
        <v>6.0999999999999999E-2</v>
      </c>
    </row>
    <row r="2927" spans="1:4">
      <c r="A2927" s="184" t="s">
        <v>1944</v>
      </c>
      <c r="B2927" s="184" t="s">
        <v>1732</v>
      </c>
      <c r="C2927" s="184" t="str">
        <f t="shared" si="45"/>
        <v>Walworth, SD</v>
      </c>
      <c r="D2927" s="187">
        <v>4.3999999999999997E-2</v>
      </c>
    </row>
    <row r="2928" spans="1:4">
      <c r="A2928" s="184" t="s">
        <v>550</v>
      </c>
      <c r="B2928" s="184" t="s">
        <v>1732</v>
      </c>
      <c r="C2928" s="184" t="str">
        <f t="shared" si="45"/>
        <v>Walworth, WI</v>
      </c>
      <c r="D2928" s="187">
        <v>0.09</v>
      </c>
    </row>
    <row r="2929" spans="1:4">
      <c r="A2929" s="184" t="s">
        <v>2031</v>
      </c>
      <c r="B2929" s="184" t="s">
        <v>1387</v>
      </c>
      <c r="C2929" s="184" t="str">
        <f t="shared" si="45"/>
        <v>Wapello, IA</v>
      </c>
      <c r="D2929" s="187">
        <v>0.09</v>
      </c>
    </row>
    <row r="2930" spans="1:4">
      <c r="A2930" s="184" t="s">
        <v>2558</v>
      </c>
      <c r="B2930" s="184" t="s">
        <v>3963</v>
      </c>
      <c r="C2930" s="184" t="str">
        <f t="shared" si="45"/>
        <v>Ward, ND</v>
      </c>
      <c r="D2930" s="187">
        <v>0.09</v>
      </c>
    </row>
    <row r="2931" spans="1:4">
      <c r="A2931" s="184" t="s">
        <v>3906</v>
      </c>
      <c r="B2931" s="184" t="s">
        <v>3963</v>
      </c>
      <c r="C2931" s="184" t="str">
        <f t="shared" si="45"/>
        <v>Ward, TX</v>
      </c>
      <c r="D2931" s="187">
        <v>4.3999999999999997E-2</v>
      </c>
    </row>
    <row r="2932" spans="1:4">
      <c r="A2932" s="184" t="s">
        <v>3602</v>
      </c>
      <c r="B2932" s="184" t="s">
        <v>1044</v>
      </c>
      <c r="C2932" s="184" t="str">
        <f t="shared" si="45"/>
        <v>Ware, GA</v>
      </c>
      <c r="D2932" s="187">
        <v>4.3999999999999997E-2</v>
      </c>
    </row>
    <row r="2933" spans="1:4">
      <c r="A2933" s="184" t="s">
        <v>3602</v>
      </c>
      <c r="B2933" s="184" t="s">
        <v>2332</v>
      </c>
      <c r="C2933" s="184" t="str">
        <f t="shared" si="45"/>
        <v>Warren, GA</v>
      </c>
      <c r="D2933" s="187">
        <v>5.7000000000000002E-2</v>
      </c>
    </row>
    <row r="2934" spans="1:4">
      <c r="A2934" s="184" t="s">
        <v>2031</v>
      </c>
      <c r="B2934" s="184" t="s">
        <v>2332</v>
      </c>
      <c r="C2934" s="184" t="str">
        <f t="shared" si="45"/>
        <v>Warren, IA</v>
      </c>
      <c r="D2934" s="187">
        <v>6.0999999999999999E-2</v>
      </c>
    </row>
    <row r="2935" spans="1:4">
      <c r="A2935" s="184" t="s">
        <v>2019</v>
      </c>
      <c r="B2935" s="184" t="s">
        <v>2332</v>
      </c>
      <c r="C2935" s="184" t="str">
        <f t="shared" si="45"/>
        <v>Warren, IL</v>
      </c>
      <c r="D2935" s="187">
        <v>0.09</v>
      </c>
    </row>
    <row r="2936" spans="1:4">
      <c r="A2936" s="184" t="s">
        <v>2021</v>
      </c>
      <c r="B2936" s="184" t="s">
        <v>2332</v>
      </c>
      <c r="C2936" s="184" t="str">
        <f t="shared" si="45"/>
        <v>Warren, IN</v>
      </c>
      <c r="D2936" s="187">
        <v>0.09</v>
      </c>
    </row>
    <row r="2937" spans="1:4">
      <c r="A2937" s="184" t="s">
        <v>529</v>
      </c>
      <c r="B2937" s="184" t="s">
        <v>2332</v>
      </c>
      <c r="C2937" s="184" t="str">
        <f t="shared" si="45"/>
        <v>Warren, KY</v>
      </c>
      <c r="D2937" s="187">
        <v>0.09</v>
      </c>
    </row>
    <row r="2938" spans="1:4">
      <c r="A2938" s="184" t="s">
        <v>3434</v>
      </c>
      <c r="B2938" s="184" t="s">
        <v>2332</v>
      </c>
      <c r="C2938" s="184" t="str">
        <f t="shared" si="45"/>
        <v>Warren, MO</v>
      </c>
      <c r="D2938" s="187">
        <v>5.7000000000000002E-2</v>
      </c>
    </row>
    <row r="2939" spans="1:4">
      <c r="A2939" s="184" t="s">
        <v>3035</v>
      </c>
      <c r="B2939" s="184" t="s">
        <v>2332</v>
      </c>
      <c r="C2939" s="184" t="str">
        <f t="shared" si="45"/>
        <v>Warren, MS</v>
      </c>
      <c r="D2939" s="187">
        <v>4.3999999999999997E-2</v>
      </c>
    </row>
    <row r="2940" spans="1:4">
      <c r="A2940" s="184" t="s">
        <v>2542</v>
      </c>
      <c r="B2940" s="184" t="s">
        <v>2332</v>
      </c>
      <c r="C2940" s="184" t="str">
        <f t="shared" si="45"/>
        <v>Warren, NC</v>
      </c>
      <c r="D2940" s="187">
        <v>4.3999999999999997E-2</v>
      </c>
    </row>
    <row r="2941" spans="1:4">
      <c r="A2941" s="184" t="s">
        <v>3444</v>
      </c>
      <c r="B2941" s="184" t="s">
        <v>2332</v>
      </c>
      <c r="C2941" s="184" t="str">
        <f t="shared" si="45"/>
        <v>Warren, NJ</v>
      </c>
      <c r="D2941" s="187">
        <v>6.0999999999999999E-2</v>
      </c>
    </row>
    <row r="2942" spans="1:4">
      <c r="A2942" s="184" t="s">
        <v>3446</v>
      </c>
      <c r="B2942" s="184" t="s">
        <v>2332</v>
      </c>
      <c r="C2942" s="184" t="str">
        <f t="shared" si="45"/>
        <v>Warren, NY</v>
      </c>
      <c r="D2942" s="187">
        <v>3.5000000000000003E-2</v>
      </c>
    </row>
    <row r="2943" spans="1:4">
      <c r="A2943" s="184" t="s">
        <v>2562</v>
      </c>
      <c r="B2943" s="184" t="s">
        <v>2332</v>
      </c>
      <c r="C2943" s="184" t="str">
        <f t="shared" si="45"/>
        <v>Warren, OH</v>
      </c>
      <c r="D2943" s="187">
        <v>6.0999999999999999E-2</v>
      </c>
    </row>
    <row r="2944" spans="1:4">
      <c r="A2944" s="184" t="s">
        <v>3356</v>
      </c>
      <c r="B2944" s="184" t="s">
        <v>2332</v>
      </c>
      <c r="C2944" s="184" t="str">
        <f t="shared" si="45"/>
        <v>Warren, PA</v>
      </c>
      <c r="D2944" s="187">
        <v>0.09</v>
      </c>
    </row>
    <row r="2945" spans="1:4">
      <c r="A2945" s="184" t="s">
        <v>699</v>
      </c>
      <c r="B2945" s="184" t="s">
        <v>2332</v>
      </c>
      <c r="C2945" s="184" t="str">
        <f t="shared" si="45"/>
        <v>Warren, TN</v>
      </c>
      <c r="D2945" s="187">
        <v>0.09</v>
      </c>
    </row>
    <row r="2946" spans="1:4">
      <c r="A2946" s="184" t="s">
        <v>746</v>
      </c>
      <c r="B2946" s="184" t="s">
        <v>2332</v>
      </c>
      <c r="C2946" s="184" t="str">
        <f t="shared" si="45"/>
        <v>Warren, VA</v>
      </c>
      <c r="D2946" s="187">
        <v>6.0999999999999999E-2</v>
      </c>
    </row>
    <row r="2947" spans="1:4">
      <c r="A2947" s="184" t="s">
        <v>2021</v>
      </c>
      <c r="B2947" s="184" t="s">
        <v>2325</v>
      </c>
      <c r="C2947" s="184" t="str">
        <f t="shared" si="45"/>
        <v>Warrick, IN</v>
      </c>
      <c r="D2947" s="187">
        <v>6.0999999999999999E-2</v>
      </c>
    </row>
    <row r="2948" spans="1:4">
      <c r="A2948" s="184" t="s">
        <v>742</v>
      </c>
      <c r="B2948" s="184" t="s">
        <v>2508</v>
      </c>
      <c r="C2948" s="184" t="str">
        <f t="shared" si="45"/>
        <v>Wasatch, UT</v>
      </c>
      <c r="D2948" s="187">
        <v>4.3999999999999997E-2</v>
      </c>
    </row>
    <row r="2949" spans="1:4">
      <c r="A2949" s="184" t="s">
        <v>3353</v>
      </c>
      <c r="B2949" s="184" t="s">
        <v>2270</v>
      </c>
      <c r="C2949" s="184" t="str">
        <f t="shared" si="45"/>
        <v>Wasco, OR</v>
      </c>
      <c r="D2949" s="187">
        <v>0.09</v>
      </c>
    </row>
    <row r="2950" spans="1:4">
      <c r="A2950" s="184" t="s">
        <v>3429</v>
      </c>
      <c r="B2950" s="184" t="s">
        <v>1517</v>
      </c>
      <c r="C2950" s="184" t="str">
        <f t="shared" ref="C2950:C3013" si="46">B2950&amp;", "&amp;A2950</f>
        <v>Waseca, MN</v>
      </c>
      <c r="D2950" s="187">
        <v>0.09</v>
      </c>
    </row>
    <row r="2951" spans="1:4">
      <c r="A2951" s="184" t="s">
        <v>1033</v>
      </c>
      <c r="B2951" s="184" t="s">
        <v>930</v>
      </c>
      <c r="C2951" s="184" t="str">
        <f t="shared" si="46"/>
        <v>Washakie, WY</v>
      </c>
      <c r="D2951" s="187">
        <v>0.09</v>
      </c>
    </row>
    <row r="2952" spans="1:4">
      <c r="A2952" s="184" t="s">
        <v>550</v>
      </c>
      <c r="B2952" s="184" t="s">
        <v>863</v>
      </c>
      <c r="C2952" s="184" t="str">
        <f t="shared" si="46"/>
        <v>Washburn, WI</v>
      </c>
      <c r="D2952" s="187">
        <v>0.09</v>
      </c>
    </row>
    <row r="2953" spans="1:4">
      <c r="A2953" s="184" t="s">
        <v>2000</v>
      </c>
      <c r="B2953" s="184" t="s">
        <v>2089</v>
      </c>
      <c r="C2953" s="184" t="str">
        <f t="shared" si="46"/>
        <v>Washington, AL</v>
      </c>
      <c r="D2953" s="187">
        <v>0.09</v>
      </c>
    </row>
    <row r="2954" spans="1:4">
      <c r="A2954" s="184" t="s">
        <v>566</v>
      </c>
      <c r="B2954" s="184" t="s">
        <v>2089</v>
      </c>
      <c r="C2954" s="184" t="str">
        <f t="shared" si="46"/>
        <v>Washington, AR</v>
      </c>
      <c r="D2954" s="187">
        <v>4.3999999999999997E-2</v>
      </c>
    </row>
    <row r="2955" spans="1:4">
      <c r="A2955" s="184" t="s">
        <v>3108</v>
      </c>
      <c r="B2955" s="184" t="s">
        <v>2089</v>
      </c>
      <c r="C2955" s="184" t="str">
        <f t="shared" si="46"/>
        <v>Washington, CO</v>
      </c>
      <c r="D2955" s="187">
        <v>4.3999999999999997E-2</v>
      </c>
    </row>
    <row r="2956" spans="1:4">
      <c r="A2956" s="184" t="s">
        <v>3594</v>
      </c>
      <c r="B2956" s="184" t="s">
        <v>2089</v>
      </c>
      <c r="C2956" s="184" t="str">
        <f t="shared" si="46"/>
        <v>Washington, FL</v>
      </c>
      <c r="D2956" s="187">
        <v>4.3999999999999997E-2</v>
      </c>
    </row>
    <row r="2957" spans="1:4">
      <c r="A2957" s="184" t="s">
        <v>3602</v>
      </c>
      <c r="B2957" s="184" t="s">
        <v>2089</v>
      </c>
      <c r="C2957" s="184" t="str">
        <f t="shared" si="46"/>
        <v>Washington, GA</v>
      </c>
      <c r="D2957" s="187">
        <v>4.3999999999999997E-2</v>
      </c>
    </row>
    <row r="2958" spans="1:4">
      <c r="A2958" s="184" t="s">
        <v>2031</v>
      </c>
      <c r="B2958" s="184" t="s">
        <v>2089</v>
      </c>
      <c r="C2958" s="184" t="str">
        <f t="shared" si="46"/>
        <v>Washington, IA</v>
      </c>
      <c r="D2958" s="187">
        <v>0.09</v>
      </c>
    </row>
    <row r="2959" spans="1:4">
      <c r="A2959" s="184" t="s">
        <v>3875</v>
      </c>
      <c r="B2959" s="184" t="s">
        <v>2089</v>
      </c>
      <c r="C2959" s="184" t="str">
        <f t="shared" si="46"/>
        <v>Washington, ID</v>
      </c>
      <c r="D2959" s="187">
        <v>5.7000000000000002E-2</v>
      </c>
    </row>
    <row r="2960" spans="1:4">
      <c r="A2960" s="184" t="s">
        <v>2019</v>
      </c>
      <c r="B2960" s="184" t="s">
        <v>2089</v>
      </c>
      <c r="C2960" s="184" t="str">
        <f t="shared" si="46"/>
        <v>Washington, IL</v>
      </c>
      <c r="D2960" s="187">
        <v>0.09</v>
      </c>
    </row>
    <row r="2961" spans="1:4">
      <c r="A2961" s="184" t="s">
        <v>2021</v>
      </c>
      <c r="B2961" s="184" t="s">
        <v>2089</v>
      </c>
      <c r="C2961" s="184" t="str">
        <f t="shared" si="46"/>
        <v>Washington, IN</v>
      </c>
      <c r="D2961" s="187">
        <v>0.09</v>
      </c>
    </row>
    <row r="2962" spans="1:4">
      <c r="A2962" s="184" t="s">
        <v>663</v>
      </c>
      <c r="B2962" s="184" t="s">
        <v>2089</v>
      </c>
      <c r="C2962" s="184" t="str">
        <f t="shared" si="46"/>
        <v>Washington, KS</v>
      </c>
      <c r="D2962" s="187">
        <v>0.09</v>
      </c>
    </row>
    <row r="2963" spans="1:4">
      <c r="A2963" s="184" t="s">
        <v>529</v>
      </c>
      <c r="B2963" s="184" t="s">
        <v>2089</v>
      </c>
      <c r="C2963" s="184" t="str">
        <f t="shared" si="46"/>
        <v>Washington, KY</v>
      </c>
      <c r="D2963" s="187">
        <v>0.09</v>
      </c>
    </row>
    <row r="2964" spans="1:4">
      <c r="A2964" s="184" t="s">
        <v>535</v>
      </c>
      <c r="B2964" s="184" t="s">
        <v>2089</v>
      </c>
      <c r="C2964" s="184" t="str">
        <f t="shared" si="46"/>
        <v>Washington, LA</v>
      </c>
      <c r="D2964" s="187">
        <v>5.7000000000000002E-2</v>
      </c>
    </row>
    <row r="2965" spans="1:4">
      <c r="A2965" s="184" t="s">
        <v>2087</v>
      </c>
      <c r="B2965" s="184" t="s">
        <v>2089</v>
      </c>
      <c r="C2965" s="184" t="str">
        <f t="shared" si="46"/>
        <v>Washington, MD</v>
      </c>
      <c r="D2965" s="187">
        <v>0.09</v>
      </c>
    </row>
    <row r="2966" spans="1:4">
      <c r="A2966" s="184" t="s">
        <v>1922</v>
      </c>
      <c r="B2966" s="184" t="s">
        <v>2089</v>
      </c>
      <c r="C2966" s="184" t="str">
        <f t="shared" si="46"/>
        <v>Washington, ME</v>
      </c>
      <c r="D2966" s="187">
        <v>3.5000000000000003E-2</v>
      </c>
    </row>
    <row r="2967" spans="1:4">
      <c r="A2967" s="184" t="s">
        <v>3429</v>
      </c>
      <c r="B2967" s="184" t="s">
        <v>2089</v>
      </c>
      <c r="C2967" s="184" t="str">
        <f t="shared" si="46"/>
        <v>Washington, MN</v>
      </c>
      <c r="D2967" s="187">
        <v>6.0999999999999999E-2</v>
      </c>
    </row>
    <row r="2968" spans="1:4">
      <c r="A2968" s="184" t="s">
        <v>3434</v>
      </c>
      <c r="B2968" s="184" t="s">
        <v>2089</v>
      </c>
      <c r="C2968" s="184" t="str">
        <f t="shared" si="46"/>
        <v>Washington, MO</v>
      </c>
      <c r="D2968" s="187">
        <v>5.7000000000000002E-2</v>
      </c>
    </row>
    <row r="2969" spans="1:4">
      <c r="A2969" s="184" t="s">
        <v>3035</v>
      </c>
      <c r="B2969" s="184" t="s">
        <v>2089</v>
      </c>
      <c r="C2969" s="184" t="str">
        <f t="shared" si="46"/>
        <v>Washington, MS</v>
      </c>
      <c r="D2969" s="187">
        <v>5.7000000000000002E-2</v>
      </c>
    </row>
    <row r="2970" spans="1:4">
      <c r="A2970" s="184" t="s">
        <v>2542</v>
      </c>
      <c r="B2970" s="184" t="s">
        <v>2089</v>
      </c>
      <c r="C2970" s="184" t="str">
        <f t="shared" si="46"/>
        <v>Washington, NC</v>
      </c>
      <c r="D2970" s="187">
        <v>4.3999999999999997E-2</v>
      </c>
    </row>
    <row r="2971" spans="1:4">
      <c r="A2971" s="184" t="s">
        <v>3442</v>
      </c>
      <c r="B2971" s="184" t="s">
        <v>2089</v>
      </c>
      <c r="C2971" s="184" t="str">
        <f t="shared" si="46"/>
        <v>Washington, NE</v>
      </c>
      <c r="D2971" s="187">
        <v>6.0999999999999999E-2</v>
      </c>
    </row>
    <row r="2972" spans="1:4">
      <c r="A2972" s="184" t="s">
        <v>3446</v>
      </c>
      <c r="B2972" s="184" t="s">
        <v>2089</v>
      </c>
      <c r="C2972" s="184" t="str">
        <f t="shared" si="46"/>
        <v>Washington, NY</v>
      </c>
      <c r="D2972" s="187">
        <v>5.7000000000000002E-2</v>
      </c>
    </row>
    <row r="2973" spans="1:4">
      <c r="A2973" s="184" t="s">
        <v>2562</v>
      </c>
      <c r="B2973" s="184" t="s">
        <v>2089</v>
      </c>
      <c r="C2973" s="184" t="str">
        <f t="shared" si="46"/>
        <v>Washington, OH</v>
      </c>
      <c r="D2973" s="187">
        <v>0.09</v>
      </c>
    </row>
    <row r="2974" spans="1:4">
      <c r="A2974" s="184" t="s">
        <v>2573</v>
      </c>
      <c r="B2974" s="184" t="s">
        <v>2089</v>
      </c>
      <c r="C2974" s="184" t="str">
        <f t="shared" si="46"/>
        <v>Washington, OK</v>
      </c>
      <c r="D2974" s="187">
        <v>0.09</v>
      </c>
    </row>
    <row r="2975" spans="1:4">
      <c r="A2975" s="184" t="s">
        <v>3353</v>
      </c>
      <c r="B2975" s="184" t="s">
        <v>2089</v>
      </c>
      <c r="C2975" s="184" t="str">
        <f t="shared" si="46"/>
        <v>Washington, OR</v>
      </c>
      <c r="D2975" s="187">
        <v>6.0999999999999999E-2</v>
      </c>
    </row>
    <row r="2976" spans="1:4">
      <c r="A2976" s="184" t="s">
        <v>3356</v>
      </c>
      <c r="B2976" s="184" t="s">
        <v>2089</v>
      </c>
      <c r="C2976" s="184" t="str">
        <f t="shared" si="46"/>
        <v>Washington, PA</v>
      </c>
      <c r="D2976" s="187">
        <v>6.0999999999999999E-2</v>
      </c>
    </row>
    <row r="2977" spans="1:4">
      <c r="A2977" s="184" t="s">
        <v>62</v>
      </c>
      <c r="B2977" s="184" t="s">
        <v>2089</v>
      </c>
      <c r="C2977" s="184" t="str">
        <f t="shared" si="46"/>
        <v>Washington, RI</v>
      </c>
      <c r="D2977" s="187">
        <v>0.09</v>
      </c>
    </row>
    <row r="2978" spans="1:4">
      <c r="A2978" s="184" t="s">
        <v>699</v>
      </c>
      <c r="B2978" s="184" t="s">
        <v>2089</v>
      </c>
      <c r="C2978" s="184" t="str">
        <f t="shared" si="46"/>
        <v>Washington, TN</v>
      </c>
      <c r="D2978" s="187">
        <v>0.09</v>
      </c>
    </row>
    <row r="2979" spans="1:4">
      <c r="A2979" s="184" t="s">
        <v>3906</v>
      </c>
      <c r="B2979" s="184" t="s">
        <v>2089</v>
      </c>
      <c r="C2979" s="184" t="str">
        <f t="shared" si="46"/>
        <v>Washington, TX</v>
      </c>
      <c r="D2979" s="187">
        <v>4.3999999999999997E-2</v>
      </c>
    </row>
    <row r="2980" spans="1:4">
      <c r="A2980" s="184" t="s">
        <v>742</v>
      </c>
      <c r="B2980" s="184" t="s">
        <v>2089</v>
      </c>
      <c r="C2980" s="184" t="str">
        <f t="shared" si="46"/>
        <v>Washington, UT</v>
      </c>
      <c r="D2980" s="187">
        <v>4.3999999999999997E-2</v>
      </c>
    </row>
    <row r="2981" spans="1:4">
      <c r="A2981" s="184" t="s">
        <v>746</v>
      </c>
      <c r="B2981" s="184" t="s">
        <v>2089</v>
      </c>
      <c r="C2981" s="184" t="str">
        <f t="shared" si="46"/>
        <v>Washington, VA</v>
      </c>
      <c r="D2981" s="187">
        <v>4.3999999999999997E-2</v>
      </c>
    </row>
    <row r="2982" spans="1:4">
      <c r="A2982" s="184" t="s">
        <v>2509</v>
      </c>
      <c r="B2982" s="184" t="s">
        <v>2089</v>
      </c>
      <c r="C2982" s="184" t="str">
        <f t="shared" si="46"/>
        <v>Washington, VT</v>
      </c>
      <c r="D2982" s="187">
        <v>0.09</v>
      </c>
    </row>
    <row r="2983" spans="1:4">
      <c r="A2983" s="184" t="s">
        <v>550</v>
      </c>
      <c r="B2983" s="184" t="s">
        <v>2089</v>
      </c>
      <c r="C2983" s="184" t="str">
        <f t="shared" si="46"/>
        <v>Washington, WI</v>
      </c>
      <c r="D2983" s="187">
        <v>6.0999999999999999E-2</v>
      </c>
    </row>
    <row r="2984" spans="1:4">
      <c r="A2984" s="184" t="s">
        <v>2573</v>
      </c>
      <c r="B2984" s="184" t="s">
        <v>2253</v>
      </c>
      <c r="C2984" s="184" t="str">
        <f t="shared" si="46"/>
        <v>Washita, OK</v>
      </c>
      <c r="D2984" s="187">
        <v>0.09</v>
      </c>
    </row>
    <row r="2985" spans="1:4">
      <c r="A2985" s="184" t="s">
        <v>3043</v>
      </c>
      <c r="B2985" s="184" t="s">
        <v>3046</v>
      </c>
      <c r="C2985" s="184" t="str">
        <f t="shared" si="46"/>
        <v>Washoe, NV</v>
      </c>
      <c r="D2985" s="187">
        <v>6.0999999999999999E-2</v>
      </c>
    </row>
    <row r="2986" spans="1:4">
      <c r="A2986" s="184" t="s">
        <v>2090</v>
      </c>
      <c r="B2986" s="184" t="s">
        <v>2419</v>
      </c>
      <c r="C2986" s="184" t="str">
        <f t="shared" si="46"/>
        <v>Washtenaw, MI</v>
      </c>
      <c r="D2986" s="187">
        <v>5.7000000000000002E-2</v>
      </c>
    </row>
    <row r="2987" spans="1:4">
      <c r="A2987" s="184" t="s">
        <v>2542</v>
      </c>
      <c r="B2987" s="184" t="s">
        <v>3283</v>
      </c>
      <c r="C2987" s="184" t="str">
        <f t="shared" si="46"/>
        <v>Watauga, NC</v>
      </c>
      <c r="D2987" s="187">
        <v>4.3999999999999997E-2</v>
      </c>
    </row>
    <row r="2988" spans="1:4">
      <c r="A2988" s="184" t="s">
        <v>3429</v>
      </c>
      <c r="B2988" s="184" t="s">
        <v>1518</v>
      </c>
      <c r="C2988" s="184" t="str">
        <f t="shared" si="46"/>
        <v>Watonwan, MN</v>
      </c>
      <c r="D2988" s="187">
        <v>0.09</v>
      </c>
    </row>
    <row r="2989" spans="1:4">
      <c r="A2989" s="184" t="s">
        <v>550</v>
      </c>
      <c r="B2989" s="184" t="s">
        <v>1032</v>
      </c>
      <c r="C2989" s="184" t="str">
        <f t="shared" si="46"/>
        <v>Waukesha, WI</v>
      </c>
      <c r="D2989" s="187">
        <v>6.0999999999999999E-2</v>
      </c>
    </row>
    <row r="2990" spans="1:4">
      <c r="A2990" s="184" t="s">
        <v>550</v>
      </c>
      <c r="B2990" s="184" t="s">
        <v>864</v>
      </c>
      <c r="C2990" s="184" t="str">
        <f t="shared" si="46"/>
        <v>Waupaca, WI</v>
      </c>
      <c r="D2990" s="187">
        <v>0.09</v>
      </c>
    </row>
    <row r="2991" spans="1:4">
      <c r="A2991" s="184" t="s">
        <v>550</v>
      </c>
      <c r="B2991" s="184" t="s">
        <v>865</v>
      </c>
      <c r="C2991" s="184" t="str">
        <f t="shared" si="46"/>
        <v>Waushara, WI</v>
      </c>
      <c r="D2991" s="187">
        <v>0.09</v>
      </c>
    </row>
    <row r="2992" spans="1:4">
      <c r="A2992" s="184" t="s">
        <v>3602</v>
      </c>
      <c r="B2992" s="184" t="s">
        <v>548</v>
      </c>
      <c r="C2992" s="184" t="str">
        <f t="shared" si="46"/>
        <v>Wayne, GA</v>
      </c>
      <c r="D2992" s="187">
        <v>4.3999999999999997E-2</v>
      </c>
    </row>
    <row r="2993" spans="1:4">
      <c r="A2993" s="184" t="s">
        <v>2031</v>
      </c>
      <c r="B2993" s="184" t="s">
        <v>548</v>
      </c>
      <c r="C2993" s="184" t="str">
        <f t="shared" si="46"/>
        <v>Wayne, IA</v>
      </c>
      <c r="D2993" s="187">
        <v>0.09</v>
      </c>
    </row>
    <row r="2994" spans="1:4">
      <c r="A2994" s="184" t="s">
        <v>2019</v>
      </c>
      <c r="B2994" s="184" t="s">
        <v>548</v>
      </c>
      <c r="C2994" s="184" t="str">
        <f t="shared" si="46"/>
        <v>Wayne, IL</v>
      </c>
      <c r="D2994" s="187">
        <v>0.09</v>
      </c>
    </row>
    <row r="2995" spans="1:4">
      <c r="A2995" s="184" t="s">
        <v>2021</v>
      </c>
      <c r="B2995" s="184" t="s">
        <v>548</v>
      </c>
      <c r="C2995" s="184" t="str">
        <f t="shared" si="46"/>
        <v>Wayne, IN</v>
      </c>
      <c r="D2995" s="187">
        <v>0.09</v>
      </c>
    </row>
    <row r="2996" spans="1:4">
      <c r="A2996" s="184" t="s">
        <v>529</v>
      </c>
      <c r="B2996" s="184" t="s">
        <v>548</v>
      </c>
      <c r="C2996" s="184" t="str">
        <f t="shared" si="46"/>
        <v>Wayne, KY</v>
      </c>
      <c r="D2996" s="187">
        <v>0.09</v>
      </c>
    </row>
    <row r="2997" spans="1:4">
      <c r="A2997" s="184" t="s">
        <v>2090</v>
      </c>
      <c r="B2997" s="184" t="s">
        <v>548</v>
      </c>
      <c r="C2997" s="184" t="str">
        <f t="shared" si="46"/>
        <v>Wayne, MI</v>
      </c>
      <c r="D2997" s="187">
        <v>4.4999999999999998E-2</v>
      </c>
    </row>
    <row r="2998" spans="1:4">
      <c r="A2998" s="184" t="s">
        <v>3434</v>
      </c>
      <c r="B2998" s="184" t="s">
        <v>548</v>
      </c>
      <c r="C2998" s="184" t="str">
        <f t="shared" si="46"/>
        <v>Wayne, MO</v>
      </c>
      <c r="D2998" s="187">
        <v>5.7000000000000002E-2</v>
      </c>
    </row>
    <row r="2999" spans="1:4">
      <c r="A2999" s="184" t="s">
        <v>3035</v>
      </c>
      <c r="B2999" s="184" t="s">
        <v>548</v>
      </c>
      <c r="C2999" s="184" t="str">
        <f t="shared" si="46"/>
        <v>Wayne, MS</v>
      </c>
      <c r="D2999" s="187">
        <v>4.3999999999999997E-2</v>
      </c>
    </row>
    <row r="3000" spans="1:4">
      <c r="A3000" s="184" t="s">
        <v>2542</v>
      </c>
      <c r="B3000" s="184" t="s">
        <v>548</v>
      </c>
      <c r="C3000" s="184" t="str">
        <f t="shared" si="46"/>
        <v>Wayne, NC</v>
      </c>
      <c r="D3000" s="187">
        <v>4.3999999999999997E-2</v>
      </c>
    </row>
    <row r="3001" spans="1:4">
      <c r="A3001" s="184" t="s">
        <v>3442</v>
      </c>
      <c r="B3001" s="184" t="s">
        <v>548</v>
      </c>
      <c r="C3001" s="184" t="str">
        <f t="shared" si="46"/>
        <v>Wayne, NE</v>
      </c>
      <c r="D3001" s="187">
        <v>0.09</v>
      </c>
    </row>
    <row r="3002" spans="1:4">
      <c r="A3002" s="184" t="s">
        <v>3446</v>
      </c>
      <c r="B3002" s="184" t="s">
        <v>548</v>
      </c>
      <c r="C3002" s="184" t="str">
        <f t="shared" si="46"/>
        <v>Wayne, NY</v>
      </c>
      <c r="D3002" s="187">
        <v>3.5000000000000003E-2</v>
      </c>
    </row>
    <row r="3003" spans="1:4">
      <c r="A3003" s="184" t="s">
        <v>2562</v>
      </c>
      <c r="B3003" s="184" t="s">
        <v>548</v>
      </c>
      <c r="C3003" s="184" t="str">
        <f t="shared" si="46"/>
        <v>Wayne, OH</v>
      </c>
      <c r="D3003" s="187">
        <v>0.09</v>
      </c>
    </row>
    <row r="3004" spans="1:4">
      <c r="A3004" s="184" t="s">
        <v>3356</v>
      </c>
      <c r="B3004" s="184" t="s">
        <v>548</v>
      </c>
      <c r="C3004" s="184" t="str">
        <f t="shared" si="46"/>
        <v>Wayne, PA</v>
      </c>
      <c r="D3004" s="187">
        <v>5.7000000000000002E-2</v>
      </c>
    </row>
    <row r="3005" spans="1:4">
      <c r="A3005" s="184" t="s">
        <v>699</v>
      </c>
      <c r="B3005" s="184" t="s">
        <v>548</v>
      </c>
      <c r="C3005" s="184" t="str">
        <f t="shared" si="46"/>
        <v>Wayne, TN</v>
      </c>
      <c r="D3005" s="187">
        <v>0.09</v>
      </c>
    </row>
    <row r="3006" spans="1:4">
      <c r="A3006" s="184" t="s">
        <v>742</v>
      </c>
      <c r="B3006" s="184" t="s">
        <v>548</v>
      </c>
      <c r="C3006" s="184" t="str">
        <f t="shared" si="46"/>
        <v>Wayne, UT</v>
      </c>
      <c r="D3006" s="187">
        <v>4.3999999999999997E-2</v>
      </c>
    </row>
    <row r="3007" spans="1:4">
      <c r="A3007" s="184" t="s">
        <v>542</v>
      </c>
      <c r="B3007" s="184" t="s">
        <v>548</v>
      </c>
      <c r="C3007" s="184" t="str">
        <f t="shared" si="46"/>
        <v>Wayne, WV</v>
      </c>
      <c r="D3007" s="187">
        <v>0.09</v>
      </c>
    </row>
    <row r="3008" spans="1:4">
      <c r="A3008" s="184" t="s">
        <v>746</v>
      </c>
      <c r="B3008" s="184" t="s">
        <v>3205</v>
      </c>
      <c r="C3008" s="184" t="str">
        <f t="shared" si="46"/>
        <v>Waynesboro City, VA</v>
      </c>
      <c r="D3008" s="187">
        <v>4.3999999999999997E-2</v>
      </c>
    </row>
    <row r="3009" spans="1:4">
      <c r="A3009" s="184" t="s">
        <v>699</v>
      </c>
      <c r="B3009" s="184" t="s">
        <v>970</v>
      </c>
      <c r="C3009" s="184" t="str">
        <f t="shared" si="46"/>
        <v>Weakley, TN</v>
      </c>
      <c r="D3009" s="187">
        <v>0.09</v>
      </c>
    </row>
    <row r="3010" spans="1:4">
      <c r="A3010" s="184" t="s">
        <v>3906</v>
      </c>
      <c r="B3010" s="184" t="s">
        <v>511</v>
      </c>
      <c r="C3010" s="184" t="str">
        <f t="shared" si="46"/>
        <v>Webb, TX</v>
      </c>
      <c r="D3010" s="187">
        <v>4.3999999999999997E-2</v>
      </c>
    </row>
    <row r="3011" spans="1:4">
      <c r="A3011" s="184" t="s">
        <v>742</v>
      </c>
      <c r="B3011" s="184" t="s">
        <v>745</v>
      </c>
      <c r="C3011" s="184" t="str">
        <f t="shared" si="46"/>
        <v>Weber, UT</v>
      </c>
      <c r="D3011" s="187">
        <v>6.0999999999999999E-2</v>
      </c>
    </row>
    <row r="3012" spans="1:4">
      <c r="A3012" s="184" t="s">
        <v>3602</v>
      </c>
      <c r="B3012" s="184" t="s">
        <v>1045</v>
      </c>
      <c r="C3012" s="184" t="str">
        <f t="shared" si="46"/>
        <v>Webster, GA</v>
      </c>
      <c r="D3012" s="187">
        <v>4.3999999999999997E-2</v>
      </c>
    </row>
    <row r="3013" spans="1:4">
      <c r="A3013" s="184" t="s">
        <v>2031</v>
      </c>
      <c r="B3013" s="184" t="s">
        <v>1045</v>
      </c>
      <c r="C3013" s="184" t="str">
        <f t="shared" si="46"/>
        <v>Webster, IA</v>
      </c>
      <c r="D3013" s="187">
        <v>0.09</v>
      </c>
    </row>
    <row r="3014" spans="1:4">
      <c r="A3014" s="184" t="s">
        <v>529</v>
      </c>
      <c r="B3014" s="184" t="s">
        <v>1045</v>
      </c>
      <c r="C3014" s="184" t="str">
        <f t="shared" ref="C3014:C3077" si="47">B3014&amp;", "&amp;A3014</f>
        <v>Webster, KY</v>
      </c>
      <c r="D3014" s="187">
        <v>0.09</v>
      </c>
    </row>
    <row r="3015" spans="1:4">
      <c r="A3015" s="184" t="s">
        <v>535</v>
      </c>
      <c r="B3015" s="184" t="s">
        <v>1045</v>
      </c>
      <c r="C3015" s="184" t="str">
        <f t="shared" si="47"/>
        <v>Webster, LA</v>
      </c>
      <c r="D3015" s="187">
        <v>5.7000000000000002E-2</v>
      </c>
    </row>
    <row r="3016" spans="1:4">
      <c r="A3016" s="184" t="s">
        <v>3434</v>
      </c>
      <c r="B3016" s="184" t="s">
        <v>1045</v>
      </c>
      <c r="C3016" s="184" t="str">
        <f t="shared" si="47"/>
        <v>Webster, MO</v>
      </c>
      <c r="D3016" s="187">
        <v>5.7000000000000002E-2</v>
      </c>
    </row>
    <row r="3017" spans="1:4">
      <c r="A3017" s="184" t="s">
        <v>3035</v>
      </c>
      <c r="B3017" s="184" t="s">
        <v>1045</v>
      </c>
      <c r="C3017" s="184" t="str">
        <f t="shared" si="47"/>
        <v>Webster, MS</v>
      </c>
      <c r="D3017" s="187">
        <v>4.3999999999999997E-2</v>
      </c>
    </row>
    <row r="3018" spans="1:4">
      <c r="A3018" s="184" t="s">
        <v>3442</v>
      </c>
      <c r="B3018" s="184" t="s">
        <v>1045</v>
      </c>
      <c r="C3018" s="184" t="str">
        <f t="shared" si="47"/>
        <v>Webster, NE</v>
      </c>
      <c r="D3018" s="187">
        <v>0.09</v>
      </c>
    </row>
    <row r="3019" spans="1:4">
      <c r="A3019" s="184" t="s">
        <v>542</v>
      </c>
      <c r="B3019" s="184" t="s">
        <v>1045</v>
      </c>
      <c r="C3019" s="184" t="str">
        <f t="shared" si="47"/>
        <v>Webster, WV</v>
      </c>
      <c r="D3019" s="187">
        <v>0.09</v>
      </c>
    </row>
    <row r="3020" spans="1:4">
      <c r="A3020" s="184" t="s">
        <v>3108</v>
      </c>
      <c r="B3020" s="184" t="s">
        <v>471</v>
      </c>
      <c r="C3020" s="184" t="str">
        <f t="shared" si="47"/>
        <v>Weld, CO</v>
      </c>
      <c r="D3020" s="187">
        <v>4.3999999999999997E-2</v>
      </c>
    </row>
    <row r="3021" spans="1:4">
      <c r="A3021" s="184" t="s">
        <v>2021</v>
      </c>
      <c r="B3021" s="184" t="s">
        <v>2326</v>
      </c>
      <c r="C3021" s="184" t="str">
        <f t="shared" si="47"/>
        <v>Wells, IN</v>
      </c>
      <c r="D3021" s="187">
        <v>6.0999999999999999E-2</v>
      </c>
    </row>
    <row r="3022" spans="1:4">
      <c r="A3022" s="184" t="s">
        <v>2558</v>
      </c>
      <c r="B3022" s="184" t="s">
        <v>2326</v>
      </c>
      <c r="C3022" s="184" t="str">
        <f t="shared" si="47"/>
        <v>Wells, ND</v>
      </c>
      <c r="D3022" s="187">
        <v>0.09</v>
      </c>
    </row>
    <row r="3023" spans="1:4">
      <c r="A3023" s="184" t="s">
        <v>535</v>
      </c>
      <c r="B3023" s="184" t="s">
        <v>2086</v>
      </c>
      <c r="C3023" s="184" t="str">
        <f t="shared" si="47"/>
        <v>West Baton Rouge, LA</v>
      </c>
      <c r="D3023" s="187">
        <v>0.09</v>
      </c>
    </row>
    <row r="3024" spans="1:4">
      <c r="A3024" s="184" t="s">
        <v>535</v>
      </c>
      <c r="B3024" s="184" t="s">
        <v>1919</v>
      </c>
      <c r="C3024" s="184" t="str">
        <f t="shared" si="47"/>
        <v>West Carroll, LA</v>
      </c>
      <c r="D3024" s="187">
        <v>0.09</v>
      </c>
    </row>
    <row r="3025" spans="1:4">
      <c r="A3025" s="184" t="s">
        <v>535</v>
      </c>
      <c r="B3025" s="184" t="s">
        <v>1920</v>
      </c>
      <c r="C3025" s="184" t="str">
        <f t="shared" si="47"/>
        <v>West Feliciana, LA</v>
      </c>
      <c r="D3025" s="187">
        <v>0.09</v>
      </c>
    </row>
    <row r="3026" spans="1:4">
      <c r="A3026" s="184" t="s">
        <v>3446</v>
      </c>
      <c r="B3026" s="184" t="s">
        <v>2541</v>
      </c>
      <c r="C3026" s="184" t="str">
        <f t="shared" si="47"/>
        <v>Westchester, NY</v>
      </c>
      <c r="D3026" s="187">
        <v>6.0999999999999999E-2</v>
      </c>
    </row>
    <row r="3027" spans="1:4">
      <c r="A3027" s="184" t="s">
        <v>3356</v>
      </c>
      <c r="B3027" s="184" t="s">
        <v>1940</v>
      </c>
      <c r="C3027" s="184" t="str">
        <f t="shared" si="47"/>
        <v>Westmoreland, PA</v>
      </c>
      <c r="D3027" s="187">
        <v>6.0999999999999999E-2</v>
      </c>
    </row>
    <row r="3028" spans="1:4">
      <c r="A3028" s="184" t="s">
        <v>746</v>
      </c>
      <c r="B3028" s="184" t="s">
        <v>1940</v>
      </c>
      <c r="C3028" s="184" t="str">
        <f t="shared" si="47"/>
        <v>Westmoreland, VA</v>
      </c>
      <c r="D3028" s="187">
        <v>4.3999999999999997E-2</v>
      </c>
    </row>
    <row r="3029" spans="1:4">
      <c r="A3029" s="184" t="s">
        <v>1033</v>
      </c>
      <c r="B3029" s="184" t="s">
        <v>931</v>
      </c>
      <c r="C3029" s="184" t="str">
        <f t="shared" si="47"/>
        <v>Weston, WY</v>
      </c>
      <c r="D3029" s="187">
        <v>0.09</v>
      </c>
    </row>
    <row r="3030" spans="1:4">
      <c r="A3030" s="184" t="s">
        <v>542</v>
      </c>
      <c r="B3030" s="184" t="s">
        <v>842</v>
      </c>
      <c r="C3030" s="184" t="str">
        <f t="shared" si="47"/>
        <v>Wetzel, WV</v>
      </c>
      <c r="D3030" s="187">
        <v>0.09</v>
      </c>
    </row>
    <row r="3031" spans="1:4">
      <c r="A3031" s="184" t="s">
        <v>2090</v>
      </c>
      <c r="B3031" s="184" t="s">
        <v>1473</v>
      </c>
      <c r="C3031" s="184" t="str">
        <f t="shared" si="47"/>
        <v>Wexford, MI</v>
      </c>
      <c r="D3031" s="187">
        <v>0.09</v>
      </c>
    </row>
    <row r="3032" spans="1:4">
      <c r="A3032" s="184" t="s">
        <v>3906</v>
      </c>
      <c r="B3032" s="184" t="s">
        <v>373</v>
      </c>
      <c r="C3032" s="184" t="str">
        <f t="shared" si="47"/>
        <v>Wharton, TX</v>
      </c>
      <c r="D3032" s="187">
        <v>4.3999999999999997E-2</v>
      </c>
    </row>
    <row r="3033" spans="1:4">
      <c r="A3033" s="184" t="s">
        <v>1278</v>
      </c>
      <c r="B3033" s="184" t="s">
        <v>540</v>
      </c>
      <c r="C3033" s="184" t="str">
        <f t="shared" si="47"/>
        <v>Whatcom, WA</v>
      </c>
      <c r="D3033" s="187">
        <v>0.09</v>
      </c>
    </row>
    <row r="3034" spans="1:4">
      <c r="A3034" s="184" t="s">
        <v>3438</v>
      </c>
      <c r="B3034" s="184" t="s">
        <v>3088</v>
      </c>
      <c r="C3034" s="184" t="str">
        <f t="shared" si="47"/>
        <v>Wheatland, MT</v>
      </c>
      <c r="D3034" s="187">
        <v>0.09</v>
      </c>
    </row>
    <row r="3035" spans="1:4">
      <c r="A3035" s="184" t="s">
        <v>3602</v>
      </c>
      <c r="B3035" s="184" t="s">
        <v>1046</v>
      </c>
      <c r="C3035" s="184" t="str">
        <f t="shared" si="47"/>
        <v>Wheeler, GA</v>
      </c>
      <c r="D3035" s="187">
        <v>4.3999999999999997E-2</v>
      </c>
    </row>
    <row r="3036" spans="1:4">
      <c r="A3036" s="184" t="s">
        <v>3442</v>
      </c>
      <c r="B3036" s="184" t="s">
        <v>1046</v>
      </c>
      <c r="C3036" s="184" t="str">
        <f t="shared" si="47"/>
        <v>Wheeler, NE</v>
      </c>
      <c r="D3036" s="187">
        <v>6.0999999999999999E-2</v>
      </c>
    </row>
    <row r="3037" spans="1:4">
      <c r="A3037" s="184" t="s">
        <v>3353</v>
      </c>
      <c r="B3037" s="184" t="s">
        <v>1046</v>
      </c>
      <c r="C3037" s="184" t="str">
        <f t="shared" si="47"/>
        <v>Wheeler, OR</v>
      </c>
      <c r="D3037" s="187">
        <v>0.09</v>
      </c>
    </row>
    <row r="3038" spans="1:4">
      <c r="A3038" s="184" t="s">
        <v>3906</v>
      </c>
      <c r="B3038" s="184" t="s">
        <v>1046</v>
      </c>
      <c r="C3038" s="184" t="str">
        <f t="shared" si="47"/>
        <v>Wheeler, TX</v>
      </c>
      <c r="D3038" s="187">
        <v>4.3999999999999997E-2</v>
      </c>
    </row>
    <row r="3039" spans="1:4">
      <c r="A3039" s="184" t="s">
        <v>566</v>
      </c>
      <c r="B3039" s="184" t="s">
        <v>3012</v>
      </c>
      <c r="C3039" s="184" t="str">
        <f t="shared" si="47"/>
        <v>White, AR</v>
      </c>
      <c r="D3039" s="187">
        <v>4.3999999999999997E-2</v>
      </c>
    </row>
    <row r="3040" spans="1:4">
      <c r="A3040" s="184" t="s">
        <v>3602</v>
      </c>
      <c r="B3040" s="184" t="s">
        <v>3012</v>
      </c>
      <c r="C3040" s="184" t="str">
        <f t="shared" si="47"/>
        <v>White, GA</v>
      </c>
      <c r="D3040" s="187">
        <v>4.3999999999999997E-2</v>
      </c>
    </row>
    <row r="3041" spans="1:4">
      <c r="A3041" s="184" t="s">
        <v>2019</v>
      </c>
      <c r="B3041" s="184" t="s">
        <v>3012</v>
      </c>
      <c r="C3041" s="184" t="str">
        <f t="shared" si="47"/>
        <v>White, IL</v>
      </c>
      <c r="D3041" s="187">
        <v>0.09</v>
      </c>
    </row>
    <row r="3042" spans="1:4">
      <c r="A3042" s="184" t="s">
        <v>2021</v>
      </c>
      <c r="B3042" s="184" t="s">
        <v>3012</v>
      </c>
      <c r="C3042" s="184" t="str">
        <f t="shared" si="47"/>
        <v>White, IN</v>
      </c>
      <c r="D3042" s="187">
        <v>0.09</v>
      </c>
    </row>
    <row r="3043" spans="1:4">
      <c r="A3043" s="184" t="s">
        <v>699</v>
      </c>
      <c r="B3043" s="184" t="s">
        <v>3012</v>
      </c>
      <c r="C3043" s="184" t="str">
        <f t="shared" si="47"/>
        <v>White, TN</v>
      </c>
      <c r="D3043" s="187">
        <v>0.09</v>
      </c>
    </row>
    <row r="3044" spans="1:4">
      <c r="A3044" s="184" t="s">
        <v>3043</v>
      </c>
      <c r="B3044" s="184" t="s">
        <v>2866</v>
      </c>
      <c r="C3044" s="184" t="str">
        <f t="shared" si="47"/>
        <v>White Pine, NV</v>
      </c>
      <c r="D3044" s="187">
        <v>0.09</v>
      </c>
    </row>
    <row r="3045" spans="1:4">
      <c r="A3045" s="184" t="s">
        <v>2019</v>
      </c>
      <c r="B3045" s="184" t="s">
        <v>1521</v>
      </c>
      <c r="C3045" s="184" t="str">
        <f t="shared" si="47"/>
        <v>Whiteside, IL</v>
      </c>
      <c r="D3045" s="187">
        <v>0.09</v>
      </c>
    </row>
    <row r="3046" spans="1:4">
      <c r="A3046" s="184" t="s">
        <v>3602</v>
      </c>
      <c r="B3046" s="184" t="s">
        <v>1047</v>
      </c>
      <c r="C3046" s="184" t="str">
        <f t="shared" si="47"/>
        <v>Whitfield, GA</v>
      </c>
      <c r="D3046" s="187">
        <v>4.3999999999999997E-2</v>
      </c>
    </row>
    <row r="3047" spans="1:4">
      <c r="A3047" s="184" t="s">
        <v>2021</v>
      </c>
      <c r="B3047" s="184" t="s">
        <v>2327</v>
      </c>
      <c r="C3047" s="184" t="str">
        <f t="shared" si="47"/>
        <v>Whitley, IN</v>
      </c>
      <c r="D3047" s="187">
        <v>6.0999999999999999E-2</v>
      </c>
    </row>
    <row r="3048" spans="1:4">
      <c r="A3048" s="184" t="s">
        <v>529</v>
      </c>
      <c r="B3048" s="184" t="s">
        <v>2327</v>
      </c>
      <c r="C3048" s="184" t="str">
        <f t="shared" si="47"/>
        <v>Whitley, KY</v>
      </c>
      <c r="D3048" s="187">
        <v>3.5000000000000003E-2</v>
      </c>
    </row>
    <row r="3049" spans="1:4">
      <c r="A3049" s="184" t="s">
        <v>1278</v>
      </c>
      <c r="B3049" s="184" t="s">
        <v>1844</v>
      </c>
      <c r="C3049" s="184" t="str">
        <f t="shared" si="47"/>
        <v>Whitman, WA</v>
      </c>
      <c r="D3049" s="187">
        <v>0.09</v>
      </c>
    </row>
    <row r="3050" spans="1:4">
      <c r="A3050" s="184" t="s">
        <v>3438</v>
      </c>
      <c r="B3050" s="184" t="s">
        <v>3089</v>
      </c>
      <c r="C3050" s="184" t="str">
        <f t="shared" si="47"/>
        <v>Wibaux, MT</v>
      </c>
      <c r="D3050" s="187">
        <v>0.09</v>
      </c>
    </row>
    <row r="3051" spans="1:4">
      <c r="A3051" s="184" t="s">
        <v>663</v>
      </c>
      <c r="B3051" s="184" t="s">
        <v>512</v>
      </c>
      <c r="C3051" s="184" t="str">
        <f t="shared" si="47"/>
        <v>Wichita, KS</v>
      </c>
      <c r="D3051" s="187">
        <v>6.0999999999999999E-2</v>
      </c>
    </row>
    <row r="3052" spans="1:4">
      <c r="A3052" s="184" t="s">
        <v>3906</v>
      </c>
      <c r="B3052" s="184" t="s">
        <v>512</v>
      </c>
      <c r="C3052" s="184" t="str">
        <f t="shared" si="47"/>
        <v>Wichita, TX</v>
      </c>
      <c r="D3052" s="187">
        <v>4.3999999999999997E-2</v>
      </c>
    </row>
    <row r="3053" spans="1:4">
      <c r="A3053" s="184" t="s">
        <v>2087</v>
      </c>
      <c r="B3053" s="184" t="s">
        <v>1226</v>
      </c>
      <c r="C3053" s="184" t="str">
        <f t="shared" si="47"/>
        <v>Wicomico, MD</v>
      </c>
      <c r="D3053" s="187">
        <v>0.09</v>
      </c>
    </row>
    <row r="3054" spans="1:4">
      <c r="A3054" s="184" t="s">
        <v>3906</v>
      </c>
      <c r="B3054" s="184" t="s">
        <v>374</v>
      </c>
      <c r="C3054" s="184" t="str">
        <f t="shared" si="47"/>
        <v>Wilbarger, TX</v>
      </c>
      <c r="D3054" s="187">
        <v>4.3999999999999997E-2</v>
      </c>
    </row>
    <row r="3055" spans="1:4">
      <c r="A3055" s="184" t="s">
        <v>2000</v>
      </c>
      <c r="B3055" s="184" t="s">
        <v>1048</v>
      </c>
      <c r="C3055" s="184" t="str">
        <f t="shared" si="47"/>
        <v>Wilcox, AL</v>
      </c>
      <c r="D3055" s="187">
        <v>5.7000000000000002E-2</v>
      </c>
    </row>
    <row r="3056" spans="1:4">
      <c r="A3056" s="184" t="s">
        <v>3602</v>
      </c>
      <c r="B3056" s="184" t="s">
        <v>1048</v>
      </c>
      <c r="C3056" s="184" t="str">
        <f t="shared" si="47"/>
        <v>Wilcox, GA</v>
      </c>
      <c r="D3056" s="187">
        <v>4.3999999999999997E-2</v>
      </c>
    </row>
    <row r="3057" spans="1:4">
      <c r="A3057" s="184" t="s">
        <v>3602</v>
      </c>
      <c r="B3057" s="184" t="s">
        <v>1049</v>
      </c>
      <c r="C3057" s="184" t="str">
        <f t="shared" si="47"/>
        <v>Wilkes, GA</v>
      </c>
      <c r="D3057" s="187">
        <v>4.3999999999999997E-2</v>
      </c>
    </row>
    <row r="3058" spans="1:4">
      <c r="A3058" s="184" t="s">
        <v>2542</v>
      </c>
      <c r="B3058" s="184" t="s">
        <v>1049</v>
      </c>
      <c r="C3058" s="184" t="str">
        <f t="shared" si="47"/>
        <v>Wilkes, NC</v>
      </c>
      <c r="D3058" s="187">
        <v>4.3999999999999997E-2</v>
      </c>
    </row>
    <row r="3059" spans="1:4">
      <c r="A3059" s="184" t="s">
        <v>3429</v>
      </c>
      <c r="B3059" s="184" t="s">
        <v>1519</v>
      </c>
      <c r="C3059" s="184" t="str">
        <f t="shared" si="47"/>
        <v>Wilkin, MN</v>
      </c>
      <c r="D3059" s="187">
        <v>0.09</v>
      </c>
    </row>
    <row r="3060" spans="1:4">
      <c r="A3060" s="184" t="s">
        <v>3602</v>
      </c>
      <c r="B3060" s="184" t="s">
        <v>1050</v>
      </c>
      <c r="C3060" s="184" t="str">
        <f t="shared" si="47"/>
        <v>Wilkinson, GA</v>
      </c>
      <c r="D3060" s="187">
        <v>4.3999999999999997E-2</v>
      </c>
    </row>
    <row r="3061" spans="1:4">
      <c r="A3061" s="184" t="s">
        <v>3035</v>
      </c>
      <c r="B3061" s="184" t="s">
        <v>1050</v>
      </c>
      <c r="C3061" s="184" t="str">
        <f t="shared" si="47"/>
        <v>Wilkinson, MS</v>
      </c>
      <c r="D3061" s="187">
        <v>5.7000000000000002E-2</v>
      </c>
    </row>
    <row r="3062" spans="1:4">
      <c r="A3062" s="184" t="s">
        <v>2019</v>
      </c>
      <c r="B3062" s="184" t="s">
        <v>1614</v>
      </c>
      <c r="C3062" s="184" t="str">
        <f t="shared" si="47"/>
        <v>Will, IL</v>
      </c>
      <c r="D3062" s="187">
        <v>6.0999999999999999E-2</v>
      </c>
    </row>
    <row r="3063" spans="1:4">
      <c r="A3063" s="184" t="s">
        <v>3906</v>
      </c>
      <c r="B3063" s="184" t="s">
        <v>1001</v>
      </c>
      <c r="C3063" s="184" t="str">
        <f t="shared" si="47"/>
        <v>Willacy, TX</v>
      </c>
      <c r="D3063" s="187">
        <v>5.7000000000000002E-2</v>
      </c>
    </row>
    <row r="3064" spans="1:4">
      <c r="A3064" s="184" t="s">
        <v>2558</v>
      </c>
      <c r="B3064" s="184" t="s">
        <v>3964</v>
      </c>
      <c r="C3064" s="184" t="str">
        <f t="shared" si="47"/>
        <v>Williams, ND</v>
      </c>
      <c r="D3064" s="187">
        <v>0.09</v>
      </c>
    </row>
    <row r="3065" spans="1:4">
      <c r="A3065" s="184" t="s">
        <v>2562</v>
      </c>
      <c r="B3065" s="184" t="s">
        <v>3964</v>
      </c>
      <c r="C3065" s="184" t="str">
        <f t="shared" si="47"/>
        <v>Williams, OH</v>
      </c>
      <c r="D3065" s="187">
        <v>0.09</v>
      </c>
    </row>
    <row r="3066" spans="1:4">
      <c r="A3066" s="184" t="s">
        <v>1942</v>
      </c>
      <c r="B3066" s="184" t="s">
        <v>82</v>
      </c>
      <c r="C3066" s="184" t="str">
        <f t="shared" si="47"/>
        <v>Williamsburg, SC</v>
      </c>
      <c r="D3066" s="187">
        <v>4.3999999999999997E-2</v>
      </c>
    </row>
    <row r="3067" spans="1:4">
      <c r="A3067" s="184" t="s">
        <v>746</v>
      </c>
      <c r="B3067" s="184" t="s">
        <v>3544</v>
      </c>
      <c r="C3067" s="184" t="str">
        <f t="shared" si="47"/>
        <v>Williamsburg City, VA</v>
      </c>
      <c r="D3067" s="187">
        <v>3.5000000000000003E-2</v>
      </c>
    </row>
    <row r="3068" spans="1:4">
      <c r="A3068" s="184" t="s">
        <v>2019</v>
      </c>
      <c r="B3068" s="184" t="s">
        <v>3904</v>
      </c>
      <c r="C3068" s="184" t="str">
        <f t="shared" si="47"/>
        <v>Williamson, IL</v>
      </c>
      <c r="D3068" s="187">
        <v>0.09</v>
      </c>
    </row>
    <row r="3069" spans="1:4">
      <c r="A3069" s="184" t="s">
        <v>699</v>
      </c>
      <c r="B3069" s="184" t="s">
        <v>3904</v>
      </c>
      <c r="C3069" s="184" t="str">
        <f t="shared" si="47"/>
        <v>Williamson, TN</v>
      </c>
      <c r="D3069" s="187">
        <v>6.0999999999999999E-2</v>
      </c>
    </row>
    <row r="3070" spans="1:4">
      <c r="A3070" s="184" t="s">
        <v>3906</v>
      </c>
      <c r="B3070" s="184" t="s">
        <v>3904</v>
      </c>
      <c r="C3070" s="184" t="str">
        <f t="shared" si="47"/>
        <v>Williamson, TX</v>
      </c>
      <c r="D3070" s="187">
        <v>6.0999999999999999E-2</v>
      </c>
    </row>
    <row r="3071" spans="1:4">
      <c r="A3071" s="184" t="s">
        <v>663</v>
      </c>
      <c r="B3071" s="184" t="s">
        <v>3905</v>
      </c>
      <c r="C3071" s="184" t="str">
        <f t="shared" si="47"/>
        <v>Wilson, KS</v>
      </c>
      <c r="D3071" s="187">
        <v>0.09</v>
      </c>
    </row>
    <row r="3072" spans="1:4">
      <c r="A3072" s="184" t="s">
        <v>2542</v>
      </c>
      <c r="B3072" s="184" t="s">
        <v>3905</v>
      </c>
      <c r="C3072" s="184" t="str">
        <f t="shared" si="47"/>
        <v>Wilson, NC</v>
      </c>
      <c r="D3072" s="187">
        <v>4.3999999999999997E-2</v>
      </c>
    </row>
    <row r="3073" spans="1:4">
      <c r="A3073" s="184" t="s">
        <v>699</v>
      </c>
      <c r="B3073" s="184" t="s">
        <v>3905</v>
      </c>
      <c r="C3073" s="184" t="str">
        <f t="shared" si="47"/>
        <v>Wilson, TN</v>
      </c>
      <c r="D3073" s="187">
        <v>6.0999999999999999E-2</v>
      </c>
    </row>
    <row r="3074" spans="1:4">
      <c r="A3074" s="184" t="s">
        <v>3906</v>
      </c>
      <c r="B3074" s="184" t="s">
        <v>3905</v>
      </c>
      <c r="C3074" s="184" t="str">
        <f t="shared" si="47"/>
        <v>Wilson, TX</v>
      </c>
      <c r="D3074" s="187">
        <v>4.3999999999999997E-2</v>
      </c>
    </row>
    <row r="3075" spans="1:4">
      <c r="A3075" s="184" t="s">
        <v>746</v>
      </c>
      <c r="B3075" s="184" t="s">
        <v>3206</v>
      </c>
      <c r="C3075" s="184" t="str">
        <f t="shared" si="47"/>
        <v>Winchester City, VA</v>
      </c>
      <c r="D3075" s="187">
        <v>4.3999999999999997E-2</v>
      </c>
    </row>
    <row r="3076" spans="1:4">
      <c r="A3076" s="184" t="s">
        <v>1178</v>
      </c>
      <c r="B3076" s="184" t="s">
        <v>1182</v>
      </c>
      <c r="C3076" s="184" t="str">
        <f t="shared" si="47"/>
        <v>Windham, CT</v>
      </c>
      <c r="D3076" s="187">
        <v>0.09</v>
      </c>
    </row>
    <row r="3077" spans="1:4">
      <c r="A3077" s="184" t="s">
        <v>2509</v>
      </c>
      <c r="B3077" s="184" t="s">
        <v>1182</v>
      </c>
      <c r="C3077" s="184" t="str">
        <f t="shared" si="47"/>
        <v>Windham, VT</v>
      </c>
      <c r="D3077" s="187">
        <v>0.09</v>
      </c>
    </row>
    <row r="3078" spans="1:4">
      <c r="A3078" s="184" t="s">
        <v>2509</v>
      </c>
      <c r="B3078" s="184" t="s">
        <v>390</v>
      </c>
      <c r="C3078" s="184" t="str">
        <f t="shared" ref="C3078:C3141" si="48">B3078&amp;", "&amp;A3078</f>
        <v>Windsor, VT</v>
      </c>
      <c r="D3078" s="187">
        <v>0.09</v>
      </c>
    </row>
    <row r="3079" spans="1:4">
      <c r="A3079" s="184" t="s">
        <v>3906</v>
      </c>
      <c r="B3079" s="184" t="s">
        <v>375</v>
      </c>
      <c r="C3079" s="184" t="str">
        <f t="shared" si="48"/>
        <v>Winkler, TX</v>
      </c>
      <c r="D3079" s="187">
        <v>4.3999999999999997E-2</v>
      </c>
    </row>
    <row r="3080" spans="1:4">
      <c r="A3080" s="184" t="s">
        <v>535</v>
      </c>
      <c r="B3080" s="184" t="s">
        <v>1921</v>
      </c>
      <c r="C3080" s="184" t="str">
        <f t="shared" si="48"/>
        <v>Winn, LA</v>
      </c>
      <c r="D3080" s="187">
        <v>0.09</v>
      </c>
    </row>
    <row r="3081" spans="1:4">
      <c r="A3081" s="184" t="s">
        <v>2031</v>
      </c>
      <c r="B3081" s="184" t="s">
        <v>1388</v>
      </c>
      <c r="C3081" s="184" t="str">
        <f t="shared" si="48"/>
        <v>Winnebago, IA</v>
      </c>
      <c r="D3081" s="187">
        <v>0.09</v>
      </c>
    </row>
    <row r="3082" spans="1:4">
      <c r="A3082" s="184" t="s">
        <v>2019</v>
      </c>
      <c r="B3082" s="184" t="s">
        <v>1388</v>
      </c>
      <c r="C3082" s="184" t="str">
        <f t="shared" si="48"/>
        <v>Winnebago, IL</v>
      </c>
      <c r="D3082" s="187">
        <v>3.5000000000000003E-2</v>
      </c>
    </row>
    <row r="3083" spans="1:4">
      <c r="A3083" s="184" t="s">
        <v>550</v>
      </c>
      <c r="B3083" s="184" t="s">
        <v>1388</v>
      </c>
      <c r="C3083" s="184" t="str">
        <f t="shared" si="48"/>
        <v>Winnebago, WI</v>
      </c>
      <c r="D3083" s="187">
        <v>5.7000000000000002E-2</v>
      </c>
    </row>
    <row r="3084" spans="1:4">
      <c r="A3084" s="184" t="s">
        <v>2031</v>
      </c>
      <c r="B3084" s="184" t="s">
        <v>1389</v>
      </c>
      <c r="C3084" s="184" t="str">
        <f t="shared" si="48"/>
        <v>Winneshiek, IA</v>
      </c>
      <c r="D3084" s="187">
        <v>0.09</v>
      </c>
    </row>
    <row r="3085" spans="1:4">
      <c r="A3085" s="184" t="s">
        <v>3429</v>
      </c>
      <c r="B3085" s="184" t="s">
        <v>1520</v>
      </c>
      <c r="C3085" s="184" t="str">
        <f t="shared" si="48"/>
        <v>Winona, MN</v>
      </c>
      <c r="D3085" s="187">
        <v>0.09</v>
      </c>
    </row>
    <row r="3086" spans="1:4">
      <c r="A3086" s="184" t="s">
        <v>2000</v>
      </c>
      <c r="B3086" s="184" t="s">
        <v>3897</v>
      </c>
      <c r="C3086" s="184" t="str">
        <f t="shared" si="48"/>
        <v>Winston, AL</v>
      </c>
      <c r="D3086" s="187">
        <v>0.09</v>
      </c>
    </row>
    <row r="3087" spans="1:4">
      <c r="A3087" s="184" t="s">
        <v>3035</v>
      </c>
      <c r="B3087" s="184" t="s">
        <v>3897</v>
      </c>
      <c r="C3087" s="184" t="str">
        <f t="shared" si="48"/>
        <v>Winston, MS</v>
      </c>
      <c r="D3087" s="187">
        <v>4.3999999999999997E-2</v>
      </c>
    </row>
    <row r="3088" spans="1:4">
      <c r="A3088" s="184" t="s">
        <v>542</v>
      </c>
      <c r="B3088" s="184" t="s">
        <v>843</v>
      </c>
      <c r="C3088" s="184" t="str">
        <f t="shared" si="48"/>
        <v>Wirt, WV</v>
      </c>
      <c r="D3088" s="187">
        <v>0.09</v>
      </c>
    </row>
    <row r="3089" spans="1:4">
      <c r="A3089" s="184" t="s">
        <v>3906</v>
      </c>
      <c r="B3089" s="184" t="s">
        <v>376</v>
      </c>
      <c r="C3089" s="184" t="str">
        <f t="shared" si="48"/>
        <v>Wise, TX</v>
      </c>
      <c r="D3089" s="187">
        <v>4.3999999999999997E-2</v>
      </c>
    </row>
    <row r="3090" spans="1:4">
      <c r="A3090" s="184" t="s">
        <v>746</v>
      </c>
      <c r="B3090" s="184" t="s">
        <v>376</v>
      </c>
      <c r="C3090" s="184" t="str">
        <f t="shared" si="48"/>
        <v>Wise, VA</v>
      </c>
      <c r="D3090" s="187">
        <v>4.3999999999999997E-2</v>
      </c>
    </row>
    <row r="3091" spans="1:4">
      <c r="A3091" s="184" t="s">
        <v>529</v>
      </c>
      <c r="B3091" s="184" t="s">
        <v>950</v>
      </c>
      <c r="C3091" s="184" t="str">
        <f t="shared" si="48"/>
        <v>Wolfe, KY</v>
      </c>
      <c r="D3091" s="187">
        <v>3.5000000000000003E-2</v>
      </c>
    </row>
    <row r="3092" spans="1:4">
      <c r="A3092" s="184" t="s">
        <v>2562</v>
      </c>
      <c r="B3092" s="184" t="s">
        <v>549</v>
      </c>
      <c r="C3092" s="184" t="str">
        <f t="shared" si="48"/>
        <v>Wood, OH</v>
      </c>
      <c r="D3092" s="187">
        <v>6.0999999999999999E-2</v>
      </c>
    </row>
    <row r="3093" spans="1:4">
      <c r="A3093" s="184" t="s">
        <v>3906</v>
      </c>
      <c r="B3093" s="184" t="s">
        <v>549</v>
      </c>
      <c r="C3093" s="184" t="str">
        <f t="shared" si="48"/>
        <v>Wood, TX</v>
      </c>
      <c r="D3093" s="187">
        <v>4.3999999999999997E-2</v>
      </c>
    </row>
    <row r="3094" spans="1:4">
      <c r="A3094" s="184" t="s">
        <v>550</v>
      </c>
      <c r="B3094" s="184" t="s">
        <v>549</v>
      </c>
      <c r="C3094" s="184" t="str">
        <f t="shared" si="48"/>
        <v>Wood, WI</v>
      </c>
      <c r="D3094" s="187">
        <v>0.09</v>
      </c>
    </row>
    <row r="3095" spans="1:4">
      <c r="A3095" s="184" t="s">
        <v>542</v>
      </c>
      <c r="B3095" s="184" t="s">
        <v>549</v>
      </c>
      <c r="C3095" s="184" t="str">
        <f t="shared" si="48"/>
        <v>Wood, WV</v>
      </c>
      <c r="D3095" s="187">
        <v>0.09</v>
      </c>
    </row>
    <row r="3096" spans="1:4">
      <c r="A3096" s="184" t="s">
        <v>2031</v>
      </c>
      <c r="B3096" s="184" t="s">
        <v>662</v>
      </c>
      <c r="C3096" s="184" t="str">
        <f t="shared" si="48"/>
        <v>Woodbury, IA</v>
      </c>
      <c r="D3096" s="187">
        <v>0.09</v>
      </c>
    </row>
    <row r="3097" spans="1:4">
      <c r="A3097" s="184" t="s">
        <v>2019</v>
      </c>
      <c r="B3097" s="184" t="s">
        <v>1626</v>
      </c>
      <c r="C3097" s="184" t="str">
        <f t="shared" si="48"/>
        <v>Woodford, IL</v>
      </c>
      <c r="D3097" s="187">
        <v>6.0999999999999999E-2</v>
      </c>
    </row>
    <row r="3098" spans="1:4">
      <c r="A3098" s="184" t="s">
        <v>529</v>
      </c>
      <c r="B3098" s="184" t="s">
        <v>1626</v>
      </c>
      <c r="C3098" s="184" t="str">
        <f t="shared" si="48"/>
        <v>Woodford, KY</v>
      </c>
      <c r="D3098" s="187">
        <v>3.5000000000000003E-2</v>
      </c>
    </row>
    <row r="3099" spans="1:4">
      <c r="A3099" s="184" t="s">
        <v>566</v>
      </c>
      <c r="B3099" s="184" t="s">
        <v>3403</v>
      </c>
      <c r="C3099" s="184" t="str">
        <f t="shared" si="48"/>
        <v>Woodruff, AR</v>
      </c>
      <c r="D3099" s="187">
        <v>5.7000000000000002E-2</v>
      </c>
    </row>
    <row r="3100" spans="1:4">
      <c r="A3100" s="184" t="s">
        <v>2573</v>
      </c>
      <c r="B3100" s="184" t="s">
        <v>2254</v>
      </c>
      <c r="C3100" s="184" t="str">
        <f t="shared" si="48"/>
        <v>Woods, OK</v>
      </c>
      <c r="D3100" s="187">
        <v>0.09</v>
      </c>
    </row>
    <row r="3101" spans="1:4">
      <c r="A3101" s="184" t="s">
        <v>663</v>
      </c>
      <c r="B3101" s="184" t="s">
        <v>399</v>
      </c>
      <c r="C3101" s="184" t="str">
        <f t="shared" si="48"/>
        <v>Woodson, KS</v>
      </c>
      <c r="D3101" s="187">
        <v>0.09</v>
      </c>
    </row>
    <row r="3102" spans="1:4">
      <c r="A3102" s="184" t="s">
        <v>2573</v>
      </c>
      <c r="B3102" s="184" t="s">
        <v>2255</v>
      </c>
      <c r="C3102" s="184" t="str">
        <f t="shared" si="48"/>
        <v>Woodward, OK</v>
      </c>
      <c r="D3102" s="187">
        <v>0.09</v>
      </c>
    </row>
    <row r="3103" spans="1:4">
      <c r="A3103" s="184" t="s">
        <v>1228</v>
      </c>
      <c r="B3103" s="184" t="s">
        <v>1227</v>
      </c>
      <c r="C3103" s="184" t="str">
        <f t="shared" si="48"/>
        <v>Worcester, MA</v>
      </c>
      <c r="D3103" s="187">
        <v>3.5000000000000003E-2</v>
      </c>
    </row>
    <row r="3104" spans="1:4">
      <c r="A3104" s="184" t="s">
        <v>2087</v>
      </c>
      <c r="B3104" s="184" t="s">
        <v>1227</v>
      </c>
      <c r="C3104" s="184" t="str">
        <f t="shared" si="48"/>
        <v>Worcester, MD</v>
      </c>
      <c r="D3104" s="187">
        <v>0.09</v>
      </c>
    </row>
    <row r="3105" spans="1:4">
      <c r="A3105" s="184" t="s">
        <v>3602</v>
      </c>
      <c r="B3105" s="184" t="s">
        <v>1051</v>
      </c>
      <c r="C3105" s="184" t="str">
        <f t="shared" si="48"/>
        <v>Worth, GA</v>
      </c>
      <c r="D3105" s="187">
        <v>4.3999999999999997E-2</v>
      </c>
    </row>
    <row r="3106" spans="1:4">
      <c r="A3106" s="184" t="s">
        <v>2031</v>
      </c>
      <c r="B3106" s="184" t="s">
        <v>1051</v>
      </c>
      <c r="C3106" s="184" t="str">
        <f t="shared" si="48"/>
        <v>Worth, IA</v>
      </c>
      <c r="D3106" s="187">
        <v>0.09</v>
      </c>
    </row>
    <row r="3107" spans="1:4">
      <c r="A3107" s="184" t="s">
        <v>3434</v>
      </c>
      <c r="B3107" s="184" t="s">
        <v>1051</v>
      </c>
      <c r="C3107" s="184" t="str">
        <f t="shared" si="48"/>
        <v>Worth, MO</v>
      </c>
      <c r="D3107" s="187">
        <v>0.09</v>
      </c>
    </row>
    <row r="3108" spans="1:4">
      <c r="A3108" s="184" t="s">
        <v>988</v>
      </c>
      <c r="B3108" s="184" t="s">
        <v>2987</v>
      </c>
      <c r="C3108" s="184" t="str">
        <f t="shared" si="48"/>
        <v>Wrangell-Petersburg, AK</v>
      </c>
      <c r="D3108" s="187">
        <v>0.09</v>
      </c>
    </row>
    <row r="3109" spans="1:4">
      <c r="A3109" s="184" t="s">
        <v>2031</v>
      </c>
      <c r="B3109" s="184" t="s">
        <v>3034</v>
      </c>
      <c r="C3109" s="184" t="str">
        <f t="shared" si="48"/>
        <v>Wright, IA</v>
      </c>
      <c r="D3109" s="187">
        <v>0.09</v>
      </c>
    </row>
    <row r="3110" spans="1:4">
      <c r="A3110" s="184" t="s">
        <v>3429</v>
      </c>
      <c r="B3110" s="184" t="s">
        <v>3034</v>
      </c>
      <c r="C3110" s="184" t="str">
        <f t="shared" si="48"/>
        <v>Wright, MN</v>
      </c>
      <c r="D3110" s="187">
        <v>6.0999999999999999E-2</v>
      </c>
    </row>
    <row r="3111" spans="1:4">
      <c r="A3111" s="184" t="s">
        <v>3434</v>
      </c>
      <c r="B3111" s="184" t="s">
        <v>3034</v>
      </c>
      <c r="C3111" s="184" t="str">
        <f t="shared" si="48"/>
        <v>Wright, MO</v>
      </c>
      <c r="D3111" s="187">
        <v>0.09</v>
      </c>
    </row>
    <row r="3112" spans="1:4">
      <c r="A3112" s="184" t="s">
        <v>2562</v>
      </c>
      <c r="B3112" s="184" t="s">
        <v>879</v>
      </c>
      <c r="C3112" s="184" t="str">
        <f t="shared" si="48"/>
        <v>Wyandot, OH</v>
      </c>
      <c r="D3112" s="187">
        <v>0.09</v>
      </c>
    </row>
    <row r="3113" spans="1:4">
      <c r="A3113" s="184" t="s">
        <v>663</v>
      </c>
      <c r="B3113" s="184" t="s">
        <v>2339</v>
      </c>
      <c r="C3113" s="184" t="str">
        <f t="shared" si="48"/>
        <v>Wyandotte, KS</v>
      </c>
      <c r="D3113" s="187">
        <v>6.0999999999999999E-2</v>
      </c>
    </row>
    <row r="3114" spans="1:4">
      <c r="A3114" s="184" t="s">
        <v>3446</v>
      </c>
      <c r="B3114" s="184" t="s">
        <v>844</v>
      </c>
      <c r="C3114" s="184" t="str">
        <f t="shared" si="48"/>
        <v>Wyoming, NY</v>
      </c>
      <c r="D3114" s="187">
        <v>3.5000000000000003E-2</v>
      </c>
    </row>
    <row r="3115" spans="1:4">
      <c r="A3115" s="184" t="s">
        <v>3356</v>
      </c>
      <c r="B3115" s="184" t="s">
        <v>844</v>
      </c>
      <c r="C3115" s="184" t="str">
        <f t="shared" si="48"/>
        <v>Wyoming, PA</v>
      </c>
      <c r="D3115" s="187">
        <v>5.7000000000000002E-2</v>
      </c>
    </row>
    <row r="3116" spans="1:4">
      <c r="A3116" s="184" t="s">
        <v>542</v>
      </c>
      <c r="B3116" s="184" t="s">
        <v>844</v>
      </c>
      <c r="C3116" s="184" t="str">
        <f t="shared" si="48"/>
        <v>Wyoming, WV</v>
      </c>
      <c r="D3116" s="187">
        <v>0.09</v>
      </c>
    </row>
    <row r="3117" spans="1:4">
      <c r="A3117" s="184" t="s">
        <v>746</v>
      </c>
      <c r="B3117" s="184" t="s">
        <v>2070</v>
      </c>
      <c r="C3117" s="184" t="str">
        <f t="shared" si="48"/>
        <v>Wythe, VA</v>
      </c>
      <c r="D3117" s="187">
        <v>4.3999999999999997E-2</v>
      </c>
    </row>
    <row r="3118" spans="1:4">
      <c r="A3118" s="184" t="s">
        <v>2542</v>
      </c>
      <c r="B3118" s="184" t="s">
        <v>36</v>
      </c>
      <c r="C3118" s="184" t="str">
        <f t="shared" si="48"/>
        <v>Yadkin, NC</v>
      </c>
      <c r="D3118" s="187">
        <v>5.7000000000000002E-2</v>
      </c>
    </row>
    <row r="3119" spans="1:4">
      <c r="A3119" s="184" t="s">
        <v>1278</v>
      </c>
      <c r="B3119" s="184" t="s">
        <v>541</v>
      </c>
      <c r="C3119" s="184" t="str">
        <f t="shared" si="48"/>
        <v>Yakima, WA</v>
      </c>
      <c r="D3119" s="187">
        <v>0.09</v>
      </c>
    </row>
    <row r="3120" spans="1:4">
      <c r="A3120" s="184" t="s">
        <v>3035</v>
      </c>
      <c r="B3120" s="184" t="s">
        <v>2426</v>
      </c>
      <c r="C3120" s="184" t="str">
        <f t="shared" si="48"/>
        <v>Yalobusha, MS</v>
      </c>
      <c r="D3120" s="187">
        <v>5.7000000000000002E-2</v>
      </c>
    </row>
    <row r="3121" spans="1:4">
      <c r="A3121" s="184" t="s">
        <v>3353</v>
      </c>
      <c r="B3121" s="184" t="s">
        <v>3075</v>
      </c>
      <c r="C3121" s="184" t="str">
        <f t="shared" si="48"/>
        <v>Yamhill, OR</v>
      </c>
      <c r="D3121" s="187">
        <v>6.0999999999999999E-2</v>
      </c>
    </row>
    <row r="3122" spans="1:4">
      <c r="A3122" s="184" t="s">
        <v>2542</v>
      </c>
      <c r="B3122" s="184" t="s">
        <v>3284</v>
      </c>
      <c r="C3122" s="184" t="str">
        <f t="shared" si="48"/>
        <v>Yancey, NC</v>
      </c>
      <c r="D3122" s="187">
        <v>4.3999999999999997E-2</v>
      </c>
    </row>
    <row r="3123" spans="1:4">
      <c r="A3123" s="184" t="s">
        <v>1944</v>
      </c>
      <c r="B3123" s="184" t="s">
        <v>1733</v>
      </c>
      <c r="C3123" s="184" t="str">
        <f t="shared" si="48"/>
        <v>Yankton, SD</v>
      </c>
      <c r="D3123" s="187">
        <v>4.3999999999999997E-2</v>
      </c>
    </row>
    <row r="3124" spans="1:4">
      <c r="A3124" s="184" t="s">
        <v>3446</v>
      </c>
      <c r="B3124" s="184" t="s">
        <v>778</v>
      </c>
      <c r="C3124" s="184" t="str">
        <f t="shared" si="48"/>
        <v>Yates, NY</v>
      </c>
      <c r="D3124" s="187">
        <v>0.09</v>
      </c>
    </row>
    <row r="3125" spans="1:4">
      <c r="A3125" s="184" t="s">
        <v>562</v>
      </c>
      <c r="B3125" s="184" t="s">
        <v>2995</v>
      </c>
      <c r="C3125" s="184" t="str">
        <f t="shared" si="48"/>
        <v>Yavapai, AZ</v>
      </c>
      <c r="D3125" s="187">
        <v>4.3999999999999997E-2</v>
      </c>
    </row>
    <row r="3126" spans="1:4">
      <c r="A3126" s="184" t="s">
        <v>3035</v>
      </c>
      <c r="B3126" s="184" t="s">
        <v>2427</v>
      </c>
      <c r="C3126" s="184" t="str">
        <f t="shared" si="48"/>
        <v>Yazoo, MS</v>
      </c>
      <c r="D3126" s="187">
        <v>5.7000000000000002E-2</v>
      </c>
    </row>
    <row r="3127" spans="1:4">
      <c r="A3127" s="184" t="s">
        <v>566</v>
      </c>
      <c r="B3127" s="184" t="s">
        <v>3013</v>
      </c>
      <c r="C3127" s="184" t="str">
        <f t="shared" si="48"/>
        <v>Yell, AR</v>
      </c>
      <c r="D3127" s="187">
        <v>4.3999999999999997E-2</v>
      </c>
    </row>
    <row r="3128" spans="1:4">
      <c r="A3128" s="184" t="s">
        <v>3429</v>
      </c>
      <c r="B3128" s="184" t="s">
        <v>1924</v>
      </c>
      <c r="C3128" s="184" t="str">
        <f t="shared" si="48"/>
        <v>Yellow Medicine, MN</v>
      </c>
      <c r="D3128" s="187">
        <v>0.09</v>
      </c>
    </row>
    <row r="3129" spans="1:4">
      <c r="A3129" s="184" t="s">
        <v>3438</v>
      </c>
      <c r="B3129" s="184" t="s">
        <v>3441</v>
      </c>
      <c r="C3129" s="184" t="str">
        <f t="shared" si="48"/>
        <v>Yellowstone, MT</v>
      </c>
      <c r="D3129" s="187">
        <v>0.09</v>
      </c>
    </row>
    <row r="3130" spans="1:4">
      <c r="A3130" s="184" t="s">
        <v>3438</v>
      </c>
      <c r="B3130" s="184" t="s">
        <v>589</v>
      </c>
      <c r="C3130" s="184" t="str">
        <f t="shared" si="48"/>
        <v>Yellowstone National Park, MT</v>
      </c>
      <c r="D3130" s="187" t="s">
        <v>3930</v>
      </c>
    </row>
    <row r="3131" spans="1:4">
      <c r="A3131" s="184" t="s">
        <v>3906</v>
      </c>
      <c r="B3131" s="184" t="s">
        <v>377</v>
      </c>
      <c r="C3131" s="184" t="str">
        <f t="shared" si="48"/>
        <v>Yoakum, TX</v>
      </c>
      <c r="D3131" s="187">
        <v>4.3999999999999997E-2</v>
      </c>
    </row>
    <row r="3132" spans="1:4">
      <c r="A3132" s="184" t="s">
        <v>3106</v>
      </c>
      <c r="B3132" s="184" t="s">
        <v>1198</v>
      </c>
      <c r="C3132" s="184" t="str">
        <f t="shared" si="48"/>
        <v>Yolo, CA</v>
      </c>
      <c r="D3132" s="187">
        <v>2.4E-2</v>
      </c>
    </row>
    <row r="3133" spans="1:4">
      <c r="A3133" s="184" t="s">
        <v>1922</v>
      </c>
      <c r="B3133" s="184" t="s">
        <v>1941</v>
      </c>
      <c r="C3133" s="184" t="str">
        <f t="shared" si="48"/>
        <v>York, ME</v>
      </c>
      <c r="D3133" s="187">
        <v>0.09</v>
      </c>
    </row>
    <row r="3134" spans="1:4">
      <c r="A3134" s="184" t="s">
        <v>3442</v>
      </c>
      <c r="B3134" s="184" t="s">
        <v>1941</v>
      </c>
      <c r="C3134" s="184" t="str">
        <f t="shared" si="48"/>
        <v>York, NE</v>
      </c>
      <c r="D3134" s="187">
        <v>0.09</v>
      </c>
    </row>
    <row r="3135" spans="1:4">
      <c r="A3135" s="184" t="s">
        <v>3356</v>
      </c>
      <c r="B3135" s="184" t="s">
        <v>1941</v>
      </c>
      <c r="C3135" s="184" t="str">
        <f t="shared" si="48"/>
        <v>York, PA</v>
      </c>
      <c r="D3135" s="187">
        <v>6.0999999999999999E-2</v>
      </c>
    </row>
    <row r="3136" spans="1:4">
      <c r="A3136" s="184" t="s">
        <v>1942</v>
      </c>
      <c r="B3136" s="184" t="s">
        <v>1941</v>
      </c>
      <c r="C3136" s="184" t="str">
        <f t="shared" si="48"/>
        <v>York, SC</v>
      </c>
      <c r="D3136" s="187">
        <v>6.0999999999999999E-2</v>
      </c>
    </row>
    <row r="3137" spans="1:4">
      <c r="A3137" s="184" t="s">
        <v>746</v>
      </c>
      <c r="B3137" s="184" t="s">
        <v>1941</v>
      </c>
      <c r="C3137" s="184" t="str">
        <f t="shared" si="48"/>
        <v>York, VA</v>
      </c>
      <c r="D3137" s="187">
        <v>6.0999999999999999E-2</v>
      </c>
    </row>
    <row r="3138" spans="1:4">
      <c r="A3138" s="184" t="s">
        <v>3906</v>
      </c>
      <c r="B3138" s="184" t="s">
        <v>378</v>
      </c>
      <c r="C3138" s="184" t="str">
        <f t="shared" si="48"/>
        <v>Young, TX</v>
      </c>
      <c r="D3138" s="187">
        <v>4.3999999999999997E-2</v>
      </c>
    </row>
    <row r="3139" spans="1:4">
      <c r="A3139" s="184" t="s">
        <v>3106</v>
      </c>
      <c r="B3139" s="184" t="s">
        <v>942</v>
      </c>
      <c r="C3139" s="184" t="str">
        <f t="shared" si="48"/>
        <v>Yuba, CA</v>
      </c>
      <c r="D3139" s="187">
        <v>3.5000000000000003E-2</v>
      </c>
    </row>
    <row r="3140" spans="1:4">
      <c r="A3140" s="184" t="s">
        <v>988</v>
      </c>
      <c r="B3140" s="184" t="s">
        <v>2988</v>
      </c>
      <c r="C3140" s="184" t="str">
        <f t="shared" si="48"/>
        <v>Yukon-Koyukuk, AK</v>
      </c>
      <c r="D3140" s="187">
        <v>0.09</v>
      </c>
    </row>
    <row r="3141" spans="1:4">
      <c r="A3141" s="184" t="s">
        <v>562</v>
      </c>
      <c r="B3141" s="184" t="s">
        <v>467</v>
      </c>
      <c r="C3141" s="184" t="str">
        <f t="shared" si="48"/>
        <v>Yuma, AZ</v>
      </c>
      <c r="D3141" s="187">
        <v>4.3999999999999997E-2</v>
      </c>
    </row>
    <row r="3142" spans="1:4">
      <c r="A3142" s="184" t="s">
        <v>3108</v>
      </c>
      <c r="B3142" s="184" t="s">
        <v>467</v>
      </c>
      <c r="C3142" s="184" t="str">
        <f>B3142&amp;", "&amp;A3142</f>
        <v>Yuma, CO</v>
      </c>
      <c r="D3142" s="187">
        <v>4.3999999999999997E-2</v>
      </c>
    </row>
    <row r="3143" spans="1:4">
      <c r="A3143" s="184" t="s">
        <v>3906</v>
      </c>
      <c r="B3143" s="184" t="s">
        <v>379</v>
      </c>
      <c r="C3143" s="184" t="str">
        <f>B3143&amp;", "&amp;A3143</f>
        <v>Zapata, TX</v>
      </c>
      <c r="D3143" s="187">
        <v>4.3999999999999997E-2</v>
      </c>
    </row>
    <row r="3144" spans="1:4">
      <c r="A3144" s="184" t="s">
        <v>3906</v>
      </c>
      <c r="B3144" s="184" t="s">
        <v>2882</v>
      </c>
      <c r="C3144" s="184" t="str">
        <f>B3144&amp;", "&amp;A3144</f>
        <v>Zavala, TX</v>
      </c>
      <c r="D3144" s="187" t="s">
        <v>3930</v>
      </c>
    </row>
    <row r="3145" spans="1:4">
      <c r="A3145" s="184" t="s">
        <v>1944</v>
      </c>
      <c r="B3145" s="184" t="s">
        <v>1734</v>
      </c>
      <c r="C3145" s="184" t="str">
        <f>B3145&amp;", "&amp;A3145</f>
        <v>Ziebach, SD</v>
      </c>
      <c r="D3145" s="187">
        <v>4.3999999999999997E-2</v>
      </c>
    </row>
  </sheetData>
  <sheetProtection password="CC45" sheet="1"/>
  <autoFilter ref="A4:D3145"/>
  <phoneticPr fontId="35" type="noConversion"/>
  <pageMargins left="0.75" right="0.75" top="1" bottom="1" header="0.5" footer="0.5"/>
  <headerFooter alignWithMargins="0"/>
</worksheet>
</file>

<file path=xl/worksheets/sheet47.xml><?xml version="1.0" encoding="utf-8"?>
<worksheet xmlns="http://schemas.openxmlformats.org/spreadsheetml/2006/main" xmlns:r="http://schemas.openxmlformats.org/officeDocument/2006/relationships">
  <sheetPr codeName="Sheet35"/>
  <dimension ref="A1"/>
  <sheetViews>
    <sheetView showGridLines="0" workbookViewId="0"/>
  </sheetViews>
  <sheetFormatPr defaultColWidth="8.7109375" defaultRowHeight="11.25"/>
  <cols>
    <col min="1" max="1" width="2.7109375" style="109" customWidth="1"/>
    <col min="2" max="16384" width="8.7109375" style="109"/>
  </cols>
  <sheetData/>
  <sheetProtection password="CC45" sheet="1"/>
  <phoneticPr fontId="18" type="noConversion"/>
  <pageMargins left="0.75" right="0.75" top="1" bottom="1" header="0.5" footer="0.5"/>
  <headerFooter alignWithMargins="0"/>
  <drawing r:id="rId1"/>
</worksheet>
</file>

<file path=xl/worksheets/sheet48.xml><?xml version="1.0" encoding="utf-8"?>
<worksheet xmlns="http://schemas.openxmlformats.org/spreadsheetml/2006/main" xmlns:r="http://schemas.openxmlformats.org/officeDocument/2006/relationships">
  <sheetPr codeName="Sheet32"/>
  <dimension ref="B2:O79"/>
  <sheetViews>
    <sheetView showGridLines="0" workbookViewId="0"/>
  </sheetViews>
  <sheetFormatPr defaultColWidth="8.7109375" defaultRowHeight="11.25" outlineLevelRow="1"/>
  <cols>
    <col min="1" max="5" width="2.7109375" style="663" customWidth="1"/>
    <col min="6" max="6" width="28.7109375" style="663" customWidth="1"/>
    <col min="7" max="13" width="10.7109375" style="663" customWidth="1"/>
    <col min="14" max="16" width="2.7109375" style="663" customWidth="1"/>
    <col min="17" max="16384" width="8.7109375" style="663"/>
  </cols>
  <sheetData>
    <row r="2" spans="2:15">
      <c r="B2" s="664"/>
      <c r="C2" s="665" t="str">
        <f>Type&amp;"'s Effect on Parent(s) / Market"</f>
        <v>DeNovo's Effect on Parent(s) / Market</v>
      </c>
      <c r="D2" s="664"/>
      <c r="E2" s="664"/>
      <c r="F2" s="664"/>
      <c r="G2" s="664"/>
      <c r="H2" s="664"/>
      <c r="I2" s="664"/>
      <c r="J2" s="664"/>
      <c r="K2" s="664"/>
      <c r="L2" s="664"/>
      <c r="M2" s="664"/>
      <c r="N2" s="664"/>
      <c r="O2" s="664"/>
    </row>
    <row r="3" spans="2:15">
      <c r="B3" s="664"/>
      <c r="O3" s="664"/>
    </row>
    <row r="4" spans="2:15">
      <c r="B4" s="664"/>
      <c r="G4" s="1159" t="s">
        <v>3584</v>
      </c>
      <c r="O4" s="664"/>
    </row>
    <row r="5" spans="2:15">
      <c r="B5" s="664"/>
      <c r="D5" s="1118" t="s">
        <v>3469</v>
      </c>
      <c r="E5" s="1118"/>
      <c r="F5" s="1118"/>
      <c r="G5" s="1160" t="s">
        <v>3565</v>
      </c>
      <c r="O5" s="664"/>
    </row>
    <row r="6" spans="2:15">
      <c r="B6" s="664"/>
      <c r="G6" s="1159"/>
      <c r="O6" s="664"/>
    </row>
    <row r="7" spans="2:15">
      <c r="B7" s="664"/>
      <c r="D7" s="663" t="s">
        <v>3528</v>
      </c>
      <c r="O7" s="664"/>
    </row>
    <row r="8" spans="2:15">
      <c r="B8" s="664"/>
      <c r="O8" s="664"/>
    </row>
    <row r="9" spans="2:15">
      <c r="B9" s="664"/>
      <c r="E9" s="663" t="s">
        <v>3576</v>
      </c>
      <c r="G9" s="359">
        <f>SUM('6. Market'!J96:N96)</f>
        <v>3597774.2250508862</v>
      </c>
      <c r="O9" s="664"/>
    </row>
    <row r="10" spans="2:15">
      <c r="B10" s="664"/>
      <c r="G10" s="359"/>
      <c r="O10" s="664"/>
    </row>
    <row r="11" spans="2:15">
      <c r="B11" s="664"/>
      <c r="E11" s="663" t="s">
        <v>3578</v>
      </c>
      <c r="G11" s="359">
        <f>SUM('6. Market'!AK96:AO96)</f>
        <v>2923538.1230826555</v>
      </c>
      <c r="O11" s="664"/>
    </row>
    <row r="12" spans="2:15">
      <c r="B12" s="664"/>
      <c r="E12" s="663" t="s">
        <v>3580</v>
      </c>
      <c r="G12" s="364">
        <f>SUM('6. Market'!AE96:AI96)</f>
        <v>0</v>
      </c>
      <c r="O12" s="664"/>
    </row>
    <row r="13" spans="2:15">
      <c r="B13" s="664"/>
      <c r="E13" s="663" t="s">
        <v>3579</v>
      </c>
      <c r="G13" s="359">
        <f>SUM('6. Market'!X96:AB96)</f>
        <v>1546546.5203492246</v>
      </c>
      <c r="O13" s="664"/>
    </row>
    <row r="14" spans="2:15">
      <c r="B14" s="664"/>
      <c r="G14" s="359"/>
      <c r="O14" s="664"/>
    </row>
    <row r="15" spans="2:15">
      <c r="B15" s="664"/>
      <c r="E15" s="663" t="s">
        <v>3581</v>
      </c>
      <c r="G15" s="359">
        <f>SUM('6. Market'!Q96:U96)</f>
        <v>2577577.5339153744</v>
      </c>
      <c r="O15" s="664"/>
    </row>
    <row r="16" spans="2:15">
      <c r="B16" s="664"/>
      <c r="G16" s="359"/>
      <c r="O16" s="664"/>
    </row>
    <row r="17" spans="2:15">
      <c r="B17" s="664"/>
      <c r="E17" s="663" t="s">
        <v>3582</v>
      </c>
      <c r="G17" s="359">
        <f ca="1">-'5. Financials'!H211</f>
        <v>2080254.0981170845</v>
      </c>
      <c r="O17" s="664"/>
    </row>
    <row r="18" spans="2:15">
      <c r="B18" s="664"/>
      <c r="E18" s="663" t="s">
        <v>1378</v>
      </c>
      <c r="G18" s="1229">
        <f ca="1">G12/G17</f>
        <v>0</v>
      </c>
      <c r="O18" s="664"/>
    </row>
    <row r="19" spans="2:15">
      <c r="B19" s="664"/>
      <c r="G19" s="359"/>
      <c r="O19" s="664"/>
    </row>
    <row r="20" spans="2:15">
      <c r="B20" s="664"/>
      <c r="G20" s="359"/>
      <c r="O20" s="664"/>
    </row>
    <row r="21" spans="2:15" outlineLevel="1">
      <c r="B21" s="664"/>
      <c r="D21" s="663" t="s">
        <v>3583</v>
      </c>
      <c r="G21" s="359"/>
      <c r="O21" s="664"/>
    </row>
    <row r="22" spans="2:15" outlineLevel="1">
      <c r="B22" s="664"/>
      <c r="G22" s="359"/>
      <c r="O22" s="664"/>
    </row>
    <row r="23" spans="2:15" outlineLevel="1">
      <c r="B23" s="664"/>
      <c r="E23" s="663" t="s">
        <v>3576</v>
      </c>
      <c r="G23" s="426"/>
      <c r="J23" s="1393" t="s">
        <v>3850</v>
      </c>
      <c r="O23" s="664"/>
    </row>
    <row r="24" spans="2:15" outlineLevel="1">
      <c r="B24" s="664"/>
      <c r="G24" s="359"/>
      <c r="O24" s="664"/>
    </row>
    <row r="25" spans="2:15" outlineLevel="1">
      <c r="B25" s="664"/>
      <c r="E25" s="663" t="s">
        <v>3578</v>
      </c>
      <c r="G25" s="426"/>
      <c r="O25" s="664"/>
    </row>
    <row r="26" spans="2:15" outlineLevel="1">
      <c r="B26" s="664"/>
      <c r="E26" s="663" t="s">
        <v>3580</v>
      </c>
      <c r="G26" s="426"/>
      <c r="O26" s="664"/>
    </row>
    <row r="27" spans="2:15" outlineLevel="1">
      <c r="B27" s="664"/>
      <c r="E27" s="663" t="s">
        <v>3579</v>
      </c>
      <c r="G27" s="426"/>
      <c r="O27" s="664"/>
    </row>
    <row r="28" spans="2:15" outlineLevel="1">
      <c r="B28" s="664"/>
      <c r="G28" s="359"/>
      <c r="O28" s="664"/>
    </row>
    <row r="29" spans="2:15" outlineLevel="1">
      <c r="B29" s="664"/>
      <c r="E29" s="663" t="s">
        <v>3581</v>
      </c>
      <c r="G29" s="426"/>
      <c r="O29" s="664"/>
    </row>
    <row r="30" spans="2:15" outlineLevel="1">
      <c r="B30" s="664"/>
      <c r="G30" s="359"/>
      <c r="J30" s="1393" t="s">
        <v>2036</v>
      </c>
      <c r="O30" s="664"/>
    </row>
    <row r="31" spans="2:15" outlineLevel="1">
      <c r="B31" s="664"/>
      <c r="E31" s="663" t="s">
        <v>3582</v>
      </c>
      <c r="G31" s="359">
        <f ca="1">-'5. Financials'!H211</f>
        <v>2080254.0981170845</v>
      </c>
      <c r="O31" s="664"/>
    </row>
    <row r="32" spans="2:15" outlineLevel="1">
      <c r="B32" s="664"/>
      <c r="E32" s="663" t="s">
        <v>1377</v>
      </c>
      <c r="G32" s="1229">
        <f ca="1">G26/G31</f>
        <v>0</v>
      </c>
      <c r="O32" s="664"/>
    </row>
    <row r="33" spans="2:15" outlineLevel="1">
      <c r="B33" s="664"/>
      <c r="O33" s="664"/>
    </row>
    <row r="34" spans="2:15">
      <c r="B34" s="664"/>
      <c r="D34" s="663" t="s">
        <v>1146</v>
      </c>
      <c r="O34" s="664"/>
    </row>
    <row r="35" spans="2:15">
      <c r="B35" s="664"/>
      <c r="O35" s="664"/>
    </row>
    <row r="36" spans="2:15">
      <c r="B36" s="664"/>
      <c r="E36" s="663" t="s">
        <v>1147</v>
      </c>
      <c r="G36" s="1281"/>
      <c r="O36" s="664"/>
    </row>
    <row r="37" spans="2:15">
      <c r="B37" s="664"/>
      <c r="E37" s="663" t="s">
        <v>1150</v>
      </c>
      <c r="G37" s="661">
        <f ca="1">IRR</f>
        <v>0.23353215518875942</v>
      </c>
      <c r="O37" s="664"/>
    </row>
    <row r="38" spans="2:15">
      <c r="B38" s="664"/>
      <c r="O38" s="664"/>
    </row>
    <row r="39" spans="2:15">
      <c r="B39" s="664"/>
      <c r="D39" s="1163"/>
      <c r="E39" s="1163"/>
      <c r="F39" s="1163"/>
      <c r="G39" s="1163"/>
      <c r="O39" s="664"/>
    </row>
    <row r="40" spans="2:15" outlineLevel="1">
      <c r="B40" s="664"/>
      <c r="O40" s="664"/>
    </row>
    <row r="41" spans="2:15" outlineLevel="1">
      <c r="B41" s="664"/>
      <c r="D41" s="1118" t="s">
        <v>3585</v>
      </c>
      <c r="E41" s="1118"/>
      <c r="F41" s="1118"/>
      <c r="G41" s="1162" t="s">
        <v>3586</v>
      </c>
      <c r="H41" s="1162" t="s">
        <v>3590</v>
      </c>
      <c r="I41" s="1162" t="s">
        <v>3591</v>
      </c>
      <c r="J41" s="1162" t="s">
        <v>3587</v>
      </c>
      <c r="O41" s="664"/>
    </row>
    <row r="42" spans="2:15" outlineLevel="1">
      <c r="B42" s="664"/>
      <c r="G42" s="366"/>
      <c r="H42" s="366"/>
      <c r="I42" s="366"/>
      <c r="J42" s="366"/>
      <c r="O42" s="664"/>
    </row>
    <row r="43" spans="2:15" outlineLevel="1">
      <c r="B43" s="664"/>
      <c r="E43" s="663" t="s">
        <v>3588</v>
      </c>
      <c r="G43" s="359">
        <f>G9</f>
        <v>3597774.2250508862</v>
      </c>
      <c r="H43" s="359">
        <v>0</v>
      </c>
      <c r="I43" s="359">
        <v>0</v>
      </c>
      <c r="J43" s="359">
        <v>0</v>
      </c>
      <c r="O43" s="664"/>
    </row>
    <row r="44" spans="2:15" outlineLevel="1">
      <c r="B44" s="664"/>
      <c r="E44" s="663" t="s">
        <v>3577</v>
      </c>
      <c r="G44" s="359">
        <f>G15-G11-G12</f>
        <v>-345960.58916728105</v>
      </c>
      <c r="H44" s="359">
        <f>G11</f>
        <v>2923538.1230826555</v>
      </c>
      <c r="I44" s="359">
        <f>G12</f>
        <v>0</v>
      </c>
      <c r="J44" s="359">
        <v>0</v>
      </c>
      <c r="O44" s="664"/>
    </row>
    <row r="45" spans="2:15" outlineLevel="1">
      <c r="B45" s="664"/>
      <c r="E45" s="663" t="s">
        <v>3589</v>
      </c>
      <c r="G45" s="359">
        <v>0</v>
      </c>
      <c r="H45" s="359">
        <v>0</v>
      </c>
      <c r="I45" s="359">
        <v>0</v>
      </c>
      <c r="J45" s="359">
        <f>G15</f>
        <v>2577577.5339153744</v>
      </c>
      <c r="O45" s="664"/>
    </row>
    <row r="46" spans="2:15" outlineLevel="1">
      <c r="B46" s="664"/>
      <c r="D46" s="1163"/>
      <c r="E46" s="1163"/>
      <c r="F46" s="1163"/>
      <c r="G46" s="660"/>
      <c r="H46" s="660"/>
      <c r="I46" s="660"/>
      <c r="J46" s="660"/>
      <c r="O46" s="664"/>
    </row>
    <row r="47" spans="2:15">
      <c r="B47" s="664"/>
      <c r="F47" s="667"/>
      <c r="G47" s="366"/>
      <c r="H47" s="366"/>
      <c r="I47" s="366"/>
      <c r="J47" s="366"/>
      <c r="O47" s="664"/>
    </row>
    <row r="48" spans="2:15">
      <c r="B48" s="664"/>
      <c r="D48" s="663" t="s">
        <v>2864</v>
      </c>
      <c r="F48" s="667"/>
      <c r="G48" s="366"/>
      <c r="H48" s="366"/>
      <c r="I48" s="366"/>
      <c r="J48" s="366"/>
      <c r="O48" s="664"/>
    </row>
    <row r="49" spans="2:15">
      <c r="B49" s="664"/>
      <c r="E49" s="1118"/>
      <c r="F49" s="1118"/>
      <c r="G49" s="1346">
        <f>F49+1</f>
        <v>1</v>
      </c>
      <c r="H49" s="1346">
        <f>G49+1</f>
        <v>2</v>
      </c>
      <c r="I49" s="1346">
        <f>H49+1</f>
        <v>3</v>
      </c>
      <c r="J49" s="1346">
        <f>I49+1</f>
        <v>4</v>
      </c>
      <c r="K49" s="1346">
        <f>J49+1</f>
        <v>5</v>
      </c>
      <c r="O49" s="664"/>
    </row>
    <row r="50" spans="2:15">
      <c r="B50" s="664"/>
      <c r="E50" s="667"/>
      <c r="F50" s="667"/>
      <c r="G50" s="1345"/>
      <c r="H50" s="1345"/>
      <c r="I50" s="1345"/>
      <c r="J50" s="1345"/>
      <c r="K50" s="1345"/>
      <c r="L50" s="1345"/>
      <c r="O50" s="664"/>
    </row>
    <row r="51" spans="2:15">
      <c r="B51" s="664"/>
      <c r="E51" s="663" t="s">
        <v>1886</v>
      </c>
      <c r="F51" s="667"/>
      <c r="G51" s="366"/>
      <c r="H51" s="366"/>
      <c r="I51" s="366"/>
      <c r="J51" s="366"/>
      <c r="K51" s="366"/>
      <c r="O51" s="664"/>
    </row>
    <row r="52" spans="2:15">
      <c r="B52" s="664"/>
      <c r="F52" s="667" t="s">
        <v>3529</v>
      </c>
      <c r="G52" s="366">
        <f>'6. Market'!J$66</f>
        <v>10920</v>
      </c>
      <c r="H52" s="366">
        <f>'6. Market'!K$66</f>
        <v>10920</v>
      </c>
      <c r="I52" s="366">
        <f>'6. Market'!L$66</f>
        <v>10920</v>
      </c>
      <c r="J52" s="366">
        <f>'6. Market'!M$66</f>
        <v>10920</v>
      </c>
      <c r="K52" s="366">
        <f>'6. Market'!N$66</f>
        <v>10920</v>
      </c>
      <c r="O52" s="664"/>
    </row>
    <row r="53" spans="2:15">
      <c r="B53" s="664"/>
      <c r="F53" s="667" t="s">
        <v>2169</v>
      </c>
      <c r="G53" s="366">
        <f>'6. Market'!J$69</f>
        <v>3705608.3993899566</v>
      </c>
      <c r="H53" s="366">
        <f>'6. Market'!K$69</f>
        <v>3726832.7061217725</v>
      </c>
      <c r="I53" s="366">
        <f>'6. Market'!L$69</f>
        <v>3754964.4654616164</v>
      </c>
      <c r="J53" s="366">
        <f>'6. Market'!M$69</f>
        <v>3783743.2552662762</v>
      </c>
      <c r="K53" s="366">
        <f>'6. Market'!N$69</f>
        <v>3863258.2119329274</v>
      </c>
      <c r="O53" s="664"/>
    </row>
    <row r="54" spans="2:15">
      <c r="B54" s="664"/>
      <c r="F54" s="667" t="s">
        <v>3528</v>
      </c>
      <c r="G54" s="366">
        <f>'6. Market'!J$96</f>
        <v>792827.34017040161</v>
      </c>
      <c r="H54" s="366">
        <f>'6. Market'!K$96</f>
        <v>749495.46391013777</v>
      </c>
      <c r="I54" s="366">
        <f>'6. Market'!L$96</f>
        <v>710632.4193114778</v>
      </c>
      <c r="J54" s="366">
        <f>'6. Market'!M$96</f>
        <v>670582.8996906383</v>
      </c>
      <c r="K54" s="366">
        <f>'6. Market'!N$96</f>
        <v>674236.10196823068</v>
      </c>
      <c r="O54" s="664"/>
    </row>
    <row r="55" spans="2:15">
      <c r="B55" s="664"/>
      <c r="E55" s="663" t="s">
        <v>1887</v>
      </c>
      <c r="F55" s="667"/>
      <c r="G55" s="366"/>
      <c r="H55" s="366"/>
      <c r="I55" s="366"/>
      <c r="J55" s="366"/>
      <c r="K55" s="366"/>
      <c r="O55" s="664"/>
    </row>
    <row r="56" spans="2:15">
      <c r="B56" s="664"/>
      <c r="F56" s="667" t="s">
        <v>3529</v>
      </c>
      <c r="G56" s="366">
        <f>'6. Market'!Q$66</f>
        <v>3109.4700000000003</v>
      </c>
      <c r="H56" s="366">
        <f>'6. Market'!R$66</f>
        <v>7594.4699999999993</v>
      </c>
      <c r="I56" s="366">
        <f>'6. Market'!S$66</f>
        <v>11069.456666666667</v>
      </c>
      <c r="J56" s="366">
        <f>'6. Market'!T$66</f>
        <v>13866.774999999998</v>
      </c>
      <c r="K56" s="366">
        <f>'6. Market'!U$66</f>
        <v>16158.025000000001</v>
      </c>
      <c r="O56" s="664"/>
    </row>
    <row r="57" spans="2:15">
      <c r="B57" s="664"/>
      <c r="F57" s="667" t="s">
        <v>2169</v>
      </c>
      <c r="G57" s="366">
        <f>'6. Market'!Q$69</f>
        <v>1082983.5756406127</v>
      </c>
      <c r="H57" s="366">
        <f>'6. Market'!R$69</f>
        <v>2532441.4687815127</v>
      </c>
      <c r="I57" s="366">
        <f>'6. Market'!S$69</f>
        <v>3637428.211604082</v>
      </c>
      <c r="J57" s="366">
        <f>'6. Market'!T$69</f>
        <v>4542117.8734707786</v>
      </c>
      <c r="K57" s="366">
        <f>'6. Market'!U$69</f>
        <v>5486033.1516347229</v>
      </c>
      <c r="O57" s="664"/>
    </row>
    <row r="58" spans="2:15">
      <c r="B58" s="664"/>
      <c r="F58" s="667" t="s">
        <v>3528</v>
      </c>
      <c r="G58" s="366">
        <f>'6. Market'!Q$96</f>
        <v>-271657.45335588488</v>
      </c>
      <c r="H58" s="366">
        <f>'6. Market'!R$96</f>
        <v>284528.50257573323</v>
      </c>
      <c r="I58" s="366">
        <f>'6. Market'!S$96</f>
        <v>594441.33280350966</v>
      </c>
      <c r="J58" s="366">
        <f>'6. Market'!T$96</f>
        <v>810412.12804351887</v>
      </c>
      <c r="K58" s="366">
        <f>'6. Market'!U$96</f>
        <v>1159853.0238484973</v>
      </c>
      <c r="O58" s="664"/>
    </row>
    <row r="59" spans="2:15">
      <c r="B59" s="664"/>
      <c r="F59" s="667"/>
      <c r="G59" s="366"/>
      <c r="H59" s="366"/>
      <c r="I59" s="366"/>
      <c r="J59" s="366"/>
      <c r="K59" s="366"/>
      <c r="O59" s="664"/>
    </row>
    <row r="60" spans="2:15">
      <c r="B60" s="664"/>
      <c r="E60" s="663" t="s">
        <v>1888</v>
      </c>
      <c r="F60" s="667"/>
      <c r="G60" s="366"/>
      <c r="H60" s="366"/>
      <c r="I60" s="366"/>
      <c r="J60" s="366"/>
      <c r="K60" s="366"/>
      <c r="O60" s="664"/>
    </row>
    <row r="61" spans="2:15">
      <c r="B61" s="664"/>
      <c r="F61" s="667" t="s">
        <v>3529</v>
      </c>
      <c r="G61" s="366">
        <f>'6. Market'!X$66</f>
        <v>1865.6819999999998</v>
      </c>
      <c r="H61" s="366">
        <f>'6. Market'!Y$66</f>
        <v>4556.6819999999998</v>
      </c>
      <c r="I61" s="366">
        <f>'6. Market'!Z$66</f>
        <v>6641.6739999999991</v>
      </c>
      <c r="J61" s="366">
        <f>'6. Market'!AA$66</f>
        <v>8320.0650000000005</v>
      </c>
      <c r="K61" s="366">
        <f>'6. Market'!AB$66</f>
        <v>9694.8150000000005</v>
      </c>
      <c r="O61" s="664"/>
    </row>
    <row r="62" spans="2:15">
      <c r="B62" s="664"/>
      <c r="F62" s="667" t="s">
        <v>2169</v>
      </c>
      <c r="G62" s="366">
        <f>'6. Market'!X$69</f>
        <v>649790.14538436767</v>
      </c>
      <c r="H62" s="366">
        <f>'6. Market'!Y$69</f>
        <v>1519464.8812689076</v>
      </c>
      <c r="I62" s="366">
        <f>'6. Market'!Z$69</f>
        <v>2182456.9269624492</v>
      </c>
      <c r="J62" s="366">
        <f>'6. Market'!AA$69</f>
        <v>2725270.7240824671</v>
      </c>
      <c r="K62" s="366">
        <f>'6. Market'!AB$69</f>
        <v>3291619.8909808332</v>
      </c>
      <c r="O62" s="664"/>
    </row>
    <row r="63" spans="2:15">
      <c r="B63" s="664"/>
      <c r="F63" s="667" t="s">
        <v>3528</v>
      </c>
      <c r="G63" s="366">
        <f>'6. Market'!X$96</f>
        <v>-162994.4720135309</v>
      </c>
      <c r="H63" s="366">
        <f>'6. Market'!Y$96</f>
        <v>170717.10154543992</v>
      </c>
      <c r="I63" s="366">
        <f>'6. Market'!Z$96</f>
        <v>356664.79968210577</v>
      </c>
      <c r="J63" s="366">
        <f>'6. Market'!AA$96</f>
        <v>486247.27682611137</v>
      </c>
      <c r="K63" s="366">
        <f>'6. Market'!AB$96</f>
        <v>695911.81430909852</v>
      </c>
      <c r="O63" s="664"/>
    </row>
    <row r="64" spans="2:15">
      <c r="B64" s="664"/>
      <c r="E64" s="663" t="s">
        <v>1889</v>
      </c>
      <c r="F64" s="667"/>
      <c r="G64" s="366"/>
      <c r="H64" s="366"/>
      <c r="I64" s="366"/>
      <c r="J64" s="366"/>
      <c r="K64" s="366"/>
      <c r="O64" s="664"/>
    </row>
    <row r="65" spans="2:15">
      <c r="B65" s="664"/>
      <c r="F65" s="667" t="s">
        <v>3529</v>
      </c>
      <c r="G65" s="366">
        <f>'6. Market'!AE$66</f>
        <v>0</v>
      </c>
      <c r="H65" s="366">
        <f>'6. Market'!AF$66</f>
        <v>0</v>
      </c>
      <c r="I65" s="366">
        <f>'6. Market'!AG$66</f>
        <v>0</v>
      </c>
      <c r="J65" s="366">
        <f>'6. Market'!AH$66</f>
        <v>0</v>
      </c>
      <c r="K65" s="366">
        <f>'6. Market'!AI$66</f>
        <v>0</v>
      </c>
      <c r="O65" s="664"/>
    </row>
    <row r="66" spans="2:15">
      <c r="B66" s="664"/>
      <c r="F66" s="667" t="s">
        <v>2169</v>
      </c>
      <c r="G66" s="366">
        <f>'6. Market'!AE$69</f>
        <v>0</v>
      </c>
      <c r="H66" s="366">
        <f>'6. Market'!AF$69</f>
        <v>0</v>
      </c>
      <c r="I66" s="366">
        <f>'6. Market'!AG$69</f>
        <v>0</v>
      </c>
      <c r="J66" s="366">
        <f>'6. Market'!AH$69</f>
        <v>0</v>
      </c>
      <c r="K66" s="366">
        <f>'6. Market'!AI$69</f>
        <v>0</v>
      </c>
      <c r="O66" s="664"/>
    </row>
    <row r="67" spans="2:15">
      <c r="B67" s="664"/>
      <c r="F67" s="667" t="s">
        <v>3528</v>
      </c>
      <c r="G67" s="366">
        <f>'6. Market'!AE$96</f>
        <v>0</v>
      </c>
      <c r="H67" s="366">
        <f>'6. Market'!AF$96</f>
        <v>0</v>
      </c>
      <c r="I67" s="366">
        <f>'6. Market'!AG$96</f>
        <v>0</v>
      </c>
      <c r="J67" s="366">
        <f>'6. Market'!AH$96</f>
        <v>0</v>
      </c>
      <c r="K67" s="366">
        <f>'6. Market'!AI$96</f>
        <v>0</v>
      </c>
      <c r="O67" s="664"/>
    </row>
    <row r="68" spans="2:15">
      <c r="B68" s="664"/>
      <c r="E68" s="663" t="s">
        <v>1149</v>
      </c>
      <c r="F68" s="667"/>
      <c r="G68" s="366"/>
      <c r="H68" s="366"/>
      <c r="I68" s="366"/>
      <c r="J68" s="366"/>
      <c r="K68" s="366"/>
      <c r="O68" s="664"/>
    </row>
    <row r="69" spans="2:15">
      <c r="B69" s="664"/>
      <c r="F69" s="667" t="s">
        <v>3529</v>
      </c>
      <c r="G69" s="366">
        <f>'6. Market'!AK$66</f>
        <v>0</v>
      </c>
      <c r="H69" s="366">
        <f>'6. Market'!AL$66</f>
        <v>10920</v>
      </c>
      <c r="I69" s="366">
        <f>'6. Market'!AM$66</f>
        <v>10920</v>
      </c>
      <c r="J69" s="366">
        <f>'6. Market'!AN$66</f>
        <v>10920</v>
      </c>
      <c r="K69" s="366">
        <f>'6. Market'!AO$66</f>
        <v>10920</v>
      </c>
      <c r="O69" s="664"/>
    </row>
    <row r="70" spans="2:15">
      <c r="B70" s="664"/>
      <c r="F70" s="667" t="s">
        <v>2169</v>
      </c>
      <c r="G70" s="366">
        <f>'6. Market'!AK$69</f>
        <v>0</v>
      </c>
      <c r="H70" s="366">
        <f>'6. Market'!AL$69</f>
        <v>3705608.3993899566</v>
      </c>
      <c r="I70" s="366">
        <f>'6. Market'!AM$69</f>
        <v>3726832.7061217725</v>
      </c>
      <c r="J70" s="366">
        <f>'6. Market'!AN$69</f>
        <v>3754964.4654616164</v>
      </c>
      <c r="K70" s="366">
        <f>'6. Market'!AO$69</f>
        <v>3783743.2552662762</v>
      </c>
      <c r="O70" s="664"/>
    </row>
    <row r="71" spans="2:15">
      <c r="B71" s="664"/>
      <c r="F71" s="667" t="s">
        <v>3528</v>
      </c>
      <c r="G71" s="366">
        <f>'6. Market'!AK$96</f>
        <v>0</v>
      </c>
      <c r="H71" s="366">
        <f>'6. Market'!AL$96</f>
        <v>792827.34017040161</v>
      </c>
      <c r="I71" s="366">
        <f>'6. Market'!AM$96</f>
        <v>749495.46391013777</v>
      </c>
      <c r="J71" s="366">
        <f>'6. Market'!AN$96</f>
        <v>710632.4193114778</v>
      </c>
      <c r="K71" s="366">
        <f>'6. Market'!AO$96</f>
        <v>670582.8996906383</v>
      </c>
      <c r="O71" s="664"/>
    </row>
    <row r="72" spans="2:15">
      <c r="B72" s="664"/>
      <c r="F72" s="667"/>
      <c r="G72" s="366"/>
      <c r="H72" s="366"/>
      <c r="I72" s="366"/>
      <c r="J72" s="366"/>
      <c r="K72" s="366"/>
      <c r="O72" s="664"/>
    </row>
    <row r="73" spans="2:15">
      <c r="B73" s="664"/>
      <c r="F73" s="667"/>
      <c r="G73" s="366"/>
      <c r="H73" s="366"/>
      <c r="I73" s="366"/>
      <c r="J73" s="366"/>
      <c r="K73" s="366"/>
      <c r="O73" s="664"/>
    </row>
    <row r="74" spans="2:15">
      <c r="B74" s="664"/>
      <c r="F74" s="667"/>
      <c r="G74" s="366"/>
      <c r="H74" s="366"/>
      <c r="I74" s="366"/>
      <c r="J74" s="366"/>
      <c r="K74" s="366"/>
      <c r="O74" s="664"/>
    </row>
    <row r="75" spans="2:15">
      <c r="B75" s="664"/>
      <c r="F75" s="667"/>
      <c r="G75" s="366"/>
      <c r="H75" s="366"/>
      <c r="I75" s="366"/>
      <c r="J75" s="366"/>
      <c r="K75" s="366"/>
      <c r="O75" s="664"/>
    </row>
    <row r="76" spans="2:15">
      <c r="B76" s="664"/>
      <c r="F76" s="667"/>
      <c r="G76" s="366"/>
      <c r="H76" s="366"/>
      <c r="I76" s="366"/>
      <c r="J76" s="366"/>
      <c r="K76" s="366"/>
      <c r="O76" s="664"/>
    </row>
    <row r="77" spans="2:15">
      <c r="B77" s="664"/>
      <c r="E77" s="1163"/>
      <c r="F77" s="1163"/>
      <c r="G77" s="660"/>
      <c r="H77" s="660"/>
      <c r="I77" s="660"/>
      <c r="J77" s="660"/>
      <c r="K77" s="660"/>
      <c r="O77" s="664"/>
    </row>
    <row r="78" spans="2:15">
      <c r="B78" s="664"/>
      <c r="O78" s="664"/>
    </row>
    <row r="79" spans="2:15">
      <c r="B79" s="664"/>
      <c r="C79" s="664"/>
      <c r="D79" s="664"/>
      <c r="E79" s="664"/>
      <c r="F79" s="664"/>
      <c r="G79" s="664"/>
      <c r="H79" s="664"/>
      <c r="I79" s="664"/>
      <c r="J79" s="664"/>
      <c r="K79" s="664"/>
      <c r="L79" s="664"/>
      <c r="M79" s="664"/>
      <c r="N79" s="664"/>
      <c r="O79" s="664"/>
    </row>
  </sheetData>
  <phoneticPr fontId="18" type="noConversion"/>
  <pageMargins left="0.75" right="0.75" top="1" bottom="1" header="0.5" footer="0.5"/>
  <headerFooter alignWithMargins="0"/>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193</vt:i4>
      </vt:variant>
    </vt:vector>
  </HeadingPairs>
  <TitlesOfParts>
    <vt:vector size="241" baseType="lpstr">
      <vt:lpstr>Hyperion Panel</vt:lpstr>
      <vt:lpstr>Upload</vt:lpstr>
      <vt:lpstr>Upload Detail</vt:lpstr>
      <vt:lpstr>Upload_Tx</vt:lpstr>
      <vt:lpstr>7.0 Levered Returns</vt:lpstr>
      <vt:lpstr>Zang format</vt:lpstr>
      <vt:lpstr>PtrMonthlyCF</vt:lpstr>
      <vt:lpstr>JV Pmnt Sched</vt:lpstr>
      <vt:lpstr>Txs</vt:lpstr>
      <vt:lpstr>PtrBS</vt:lpstr>
      <vt:lpstr>PtrIS</vt:lpstr>
      <vt:lpstr>PtrCF OUTPUT</vt:lpstr>
      <vt:lpstr>PtrCF</vt:lpstr>
      <vt:lpstr>Intro</vt:lpstr>
      <vt:lpstr>Process Flow</vt:lpstr>
      <vt:lpstr>Acronyms</vt:lpstr>
      <vt:lpstr>Finance Terms</vt:lpstr>
      <vt:lpstr>1Tab_Input</vt:lpstr>
      <vt:lpstr>1.0 Summary</vt:lpstr>
      <vt:lpstr>1.1 Parents</vt:lpstr>
      <vt:lpstr>1.2 OmniTot</vt:lpstr>
      <vt:lpstr>1.2 EssPL</vt:lpstr>
      <vt:lpstr>1.3 OmniBal</vt:lpstr>
      <vt:lpstr>1.3 EssBS</vt:lpstr>
      <vt:lpstr>2.0 Patients</vt:lpstr>
      <vt:lpstr>ESRD_CAGR</vt:lpstr>
      <vt:lpstr>2.1 Reimburse</vt:lpstr>
      <vt:lpstr>Sheet1</vt:lpstr>
      <vt:lpstr>2.2 Staffing</vt:lpstr>
      <vt:lpstr>2.3 Expenses</vt:lpstr>
      <vt:lpstr>P&amp;L Line Items</vt:lpstr>
      <vt:lpstr>Heritage Targets</vt:lpstr>
      <vt:lpstr>2.4 HHD</vt:lpstr>
      <vt:lpstr>3. CapEx</vt:lpstr>
      <vt:lpstr>Cap Ex Units</vt:lpstr>
      <vt:lpstr>Cap Ex Pricing</vt:lpstr>
      <vt:lpstr>4. Scenarios</vt:lpstr>
      <vt:lpstr>5. Financials</vt:lpstr>
      <vt:lpstr>6. Market</vt:lpstr>
      <vt:lpstr>VMM CoC</vt:lpstr>
      <vt:lpstr>SOR</vt:lpstr>
      <vt:lpstr>CON</vt:lpstr>
      <vt:lpstr>DVA RE by State</vt:lpstr>
      <vt:lpstr>RevPerTxCalc</vt:lpstr>
      <vt:lpstr>System</vt:lpstr>
      <vt:lpstr>BainData</vt:lpstr>
      <vt:lpstr>Timeline</vt:lpstr>
      <vt:lpstr>6.1 Chart</vt:lpstr>
      <vt:lpstr>'PtrCF OUTPUT'!BainData</vt:lpstr>
      <vt:lpstr>BainData</vt:lpstr>
      <vt:lpstr>'PtrCF OUTPUT'!BuildoutFees</vt:lpstr>
      <vt:lpstr>BuildoutFees</vt:lpstr>
      <vt:lpstr>'PtrCF OUTPUT'!BuildoutFFE</vt:lpstr>
      <vt:lpstr>BuildoutFFE</vt:lpstr>
      <vt:lpstr>'PtrCF OUTPUT'!BuildoutTI</vt:lpstr>
      <vt:lpstr>BuildoutTI</vt:lpstr>
      <vt:lpstr>'PtrCF OUTPUT'!BuildoutYear</vt:lpstr>
      <vt:lpstr>BuildoutYear</vt:lpstr>
      <vt:lpstr>'PtrCF OUTPUT'!ChooseBuyLease</vt:lpstr>
      <vt:lpstr>ChooseBuyLease</vt:lpstr>
      <vt:lpstr>'PtrCF OUTPUT'!ChooseCompPeriod</vt:lpstr>
      <vt:lpstr>ChooseCompPeriod</vt:lpstr>
      <vt:lpstr>ChooseCompPeriod2</vt:lpstr>
      <vt:lpstr>'PtrCF OUTPUT'!ChooseConstructionType</vt:lpstr>
      <vt:lpstr>ChooseConstructionType</vt:lpstr>
      <vt:lpstr>ChooseExistingNew</vt:lpstr>
      <vt:lpstr>ChooseFinishLevel</vt:lpstr>
      <vt:lpstr>'PtrCF OUTPUT'!ChooseMonth</vt:lpstr>
      <vt:lpstr>ChooseMonth</vt:lpstr>
      <vt:lpstr>'PtrCF OUTPUT'!ChooseOnOff</vt:lpstr>
      <vt:lpstr>ChooseOnOff</vt:lpstr>
      <vt:lpstr>'PtrCF OUTPUT'!ChooseOwnerPartner</vt:lpstr>
      <vt:lpstr>ChooseOwnerPartner</vt:lpstr>
      <vt:lpstr>'PtrCF OUTPUT'!ChooseProjectType</vt:lpstr>
      <vt:lpstr>ChooseProjectType</vt:lpstr>
      <vt:lpstr>'PtrCF OUTPUT'!ChooseYear</vt:lpstr>
      <vt:lpstr>ChooseYear</vt:lpstr>
      <vt:lpstr>'PtrCF OUTPUT'!ChooseYesNo</vt:lpstr>
      <vt:lpstr>ChooseYesNo</vt:lpstr>
      <vt:lpstr>City</vt:lpstr>
      <vt:lpstr>'PtrCF OUTPUT'!clawback</vt:lpstr>
      <vt:lpstr>clawback</vt:lpstr>
      <vt:lpstr>'PtrCF OUTPUT'!coc</vt:lpstr>
      <vt:lpstr>coc</vt:lpstr>
      <vt:lpstr>'PtrCF OUTPUT'!Counties</vt:lpstr>
      <vt:lpstr>Counties</vt:lpstr>
      <vt:lpstr>'PtrCF OUTPUT'!County</vt:lpstr>
      <vt:lpstr>County</vt:lpstr>
      <vt:lpstr>'PtrCF OUTPUT'!DeNovo_Tx</vt:lpstr>
      <vt:lpstr>DeNovo_Tx</vt:lpstr>
      <vt:lpstr>'PtrCF OUTPUT'!DevelopmentFee</vt:lpstr>
      <vt:lpstr>DevelopmentFee</vt:lpstr>
      <vt:lpstr>DevFeeBookAmortYears</vt:lpstr>
      <vt:lpstr>DevFeeTaxAmortYears</vt:lpstr>
      <vt:lpstr>'PtrCF OUTPUT'!Division</vt:lpstr>
      <vt:lpstr>Division</vt:lpstr>
      <vt:lpstr>'PtrCF OUTPUT'!DVAOwnership</vt:lpstr>
      <vt:lpstr>DVAOwnership</vt:lpstr>
      <vt:lpstr>'PtrCF OUTPUT'!endstation</vt:lpstr>
      <vt:lpstr>endstation</vt:lpstr>
      <vt:lpstr>'PtrCF OUTPUT'!ExitMultiple</vt:lpstr>
      <vt:lpstr>PtrMonthlyCF!ExitMultiple</vt:lpstr>
      <vt:lpstr>ExitMultiple</vt:lpstr>
      <vt:lpstr>'PtrCF OUTPUT'!Facility</vt:lpstr>
      <vt:lpstr>Facility</vt:lpstr>
      <vt:lpstr>'PtrCF OUTPUT'!ffe</vt:lpstr>
      <vt:lpstr>ffe</vt:lpstr>
      <vt:lpstr>'Upload Detail'!hemomiss</vt:lpstr>
      <vt:lpstr>hemomiss</vt:lpstr>
      <vt:lpstr>'PtrCF OUTPUT'!HHD_pshare</vt:lpstr>
      <vt:lpstr>HHD_pshare</vt:lpstr>
      <vt:lpstr>'PtrCF OUTPUT'!hhdmiss</vt:lpstr>
      <vt:lpstr>hhdmiss</vt:lpstr>
      <vt:lpstr>'PtrCF OUTPUT'!homemiss</vt:lpstr>
      <vt:lpstr>'Upload Detail'!homemiss</vt:lpstr>
      <vt:lpstr>homemiss</vt:lpstr>
      <vt:lpstr>'PtrCF OUTPUT'!IRR</vt:lpstr>
      <vt:lpstr>IRR</vt:lpstr>
      <vt:lpstr>'PtrCF OUTPUT'!IsolationStations</vt:lpstr>
      <vt:lpstr>IsolationStations</vt:lpstr>
      <vt:lpstr>'PtrCF OUTPUT'!JVShare</vt:lpstr>
      <vt:lpstr>JVShare</vt:lpstr>
      <vt:lpstr>mbbi</vt:lpstr>
      <vt:lpstr>mdafee</vt:lpstr>
      <vt:lpstr>'PtrCF OUTPUT'!MgtFee</vt:lpstr>
      <vt:lpstr>MgtFee</vt:lpstr>
      <vt:lpstr>PtrCF!ModelExpirationDate</vt:lpstr>
      <vt:lpstr>'PtrCF OUTPUT'!ModelExpirationDate</vt:lpstr>
      <vt:lpstr>PtrMonthlyCF!ModelExpirationDate</vt:lpstr>
      <vt:lpstr>ModelExpirationDate</vt:lpstr>
      <vt:lpstr>'Upload Detail'!month</vt:lpstr>
      <vt:lpstr>month</vt:lpstr>
      <vt:lpstr>'PtrCF OUTPUT'!NumberOfHHDParents</vt:lpstr>
      <vt:lpstr>NumberOfHHDParents</vt:lpstr>
      <vt:lpstr>ESRD_CAGR!NumberOfParents</vt:lpstr>
      <vt:lpstr>'PtrCF OUTPUT'!NumberOfParents</vt:lpstr>
      <vt:lpstr>NumberOfParents</vt:lpstr>
      <vt:lpstr>'PtrCF OUTPUT'!Openstation</vt:lpstr>
      <vt:lpstr>Openstation</vt:lpstr>
      <vt:lpstr>OVP</vt:lpstr>
      <vt:lpstr>'PtrCF OUTPUT'!P_After_Tx</vt:lpstr>
      <vt:lpstr>P_After_Tx</vt:lpstr>
      <vt:lpstr>'PtrCF OUTPUT'!PartnerExitMultiple</vt:lpstr>
      <vt:lpstr>PtrMonthlyCF!PartnerExitMultiple</vt:lpstr>
      <vt:lpstr>PartnerExitMultiple</vt:lpstr>
      <vt:lpstr>'PtrCF OUTPUT'!PartnerIRRPretax</vt:lpstr>
      <vt:lpstr>PtrMonthlyCF!PartnerIRRPretax</vt:lpstr>
      <vt:lpstr>PartnerIRRPretax</vt:lpstr>
      <vt:lpstr>'PtrCF OUTPUT'!PartnerOwnership</vt:lpstr>
      <vt:lpstr>PtrMonthlyCF!PartnerOwnership</vt:lpstr>
      <vt:lpstr>PartnerOwnership</vt:lpstr>
      <vt:lpstr>PM</vt:lpstr>
      <vt:lpstr>'JV Pmnt Sched'!Price</vt:lpstr>
      <vt:lpstr>Price</vt:lpstr>
      <vt:lpstr>'1.0 Summary'!Print_Area</vt:lpstr>
      <vt:lpstr>'1.1 Parents'!Print_Area</vt:lpstr>
      <vt:lpstr>'1.3 EssBS'!Print_Area</vt:lpstr>
      <vt:lpstr>'1.3 OmniBal'!Print_Area</vt:lpstr>
      <vt:lpstr>'1Tab_Input'!Print_Area</vt:lpstr>
      <vt:lpstr>'2.0 Patients'!Print_Area</vt:lpstr>
      <vt:lpstr>'2.1 Reimburse'!Print_Area</vt:lpstr>
      <vt:lpstr>'2.2 Staffing'!Print_Area</vt:lpstr>
      <vt:lpstr>'2.3 Expenses'!Print_Area</vt:lpstr>
      <vt:lpstr>'2.4 HHD'!Print_Area</vt:lpstr>
      <vt:lpstr>'3. CapEx'!Print_Area</vt:lpstr>
      <vt:lpstr>'5. Financials'!Print_Area</vt:lpstr>
      <vt:lpstr>'6. Market'!Print_Area</vt:lpstr>
      <vt:lpstr>'Cap Ex Pricing'!Print_Area</vt:lpstr>
      <vt:lpstr>'Cap Ex Units'!Print_Area</vt:lpstr>
      <vt:lpstr>'Heritage Targets'!Print_Area</vt:lpstr>
      <vt:lpstr>Intro!Print_Area</vt:lpstr>
      <vt:lpstr>PtrBS!Print_Area</vt:lpstr>
      <vt:lpstr>PtrCF!Print_Area</vt:lpstr>
      <vt:lpstr>'PtrCF OUTPUT'!Print_Area</vt:lpstr>
      <vt:lpstr>PtrIS!Print_Area</vt:lpstr>
      <vt:lpstr>PtrMonthlyCF!Print_Area</vt:lpstr>
      <vt:lpstr>SOR!Print_Area</vt:lpstr>
      <vt:lpstr>Txs!Print_Area</vt:lpstr>
      <vt:lpstr>'VMM CoC'!Print_Area</vt:lpstr>
      <vt:lpstr>'Zang format'!Print_Area</vt:lpstr>
      <vt:lpstr>'1.3 EssBS'!Print_Titles</vt:lpstr>
      <vt:lpstr>'1.3 OmniBal'!Print_Titles</vt:lpstr>
      <vt:lpstr>'2.0 Patients'!Print_Titles</vt:lpstr>
      <vt:lpstr>'2.2 Staffing'!Print_Titles</vt:lpstr>
      <vt:lpstr>'2.3 Expenses'!Print_Titles</vt:lpstr>
      <vt:lpstr>'3. CapEx'!Print_Titles</vt:lpstr>
      <vt:lpstr>'5. Financials'!Print_Titles</vt:lpstr>
      <vt:lpstr>'6. Market'!Print_Titles</vt:lpstr>
      <vt:lpstr>'Cap Ex Pricing'!Print_Titles</vt:lpstr>
      <vt:lpstr>'Cap Ex Units'!Print_Titles</vt:lpstr>
      <vt:lpstr>Txs!Print_Titles</vt:lpstr>
      <vt:lpstr>'PtrCF OUTPUT'!Project</vt:lpstr>
      <vt:lpstr>Project</vt:lpstr>
      <vt:lpstr>'PtrCF OUTPUT'!pshare</vt:lpstr>
      <vt:lpstr>pshare</vt:lpstr>
      <vt:lpstr>'PtrCF OUTPUT'!RD</vt:lpstr>
      <vt:lpstr>RD</vt:lpstr>
      <vt:lpstr>'PtrCF OUTPUT'!RecurringCapexPerStation</vt:lpstr>
      <vt:lpstr>RecurringCapexPerStation</vt:lpstr>
      <vt:lpstr>Region</vt:lpstr>
      <vt:lpstr>'JV Pmnt Sched'!SensitivityIncChrPts</vt:lpstr>
      <vt:lpstr>'PtrCF OUTPUT'!SensitivityIncChrPts</vt:lpstr>
      <vt:lpstr>SensitivityIncChrPts</vt:lpstr>
      <vt:lpstr>'JV Pmnt Sched'!SensitivityIncHHDPts</vt:lpstr>
      <vt:lpstr>'PtrCF OUTPUT'!SensitivityIncHHDPts</vt:lpstr>
      <vt:lpstr>SensitivityIncHHDPts</vt:lpstr>
      <vt:lpstr>'JV Pmnt Sched'!SensitivityIncHHDRevPerTx</vt:lpstr>
      <vt:lpstr>'PtrCF OUTPUT'!SensitivityIncHHDRevPerTx</vt:lpstr>
      <vt:lpstr>SensitivityIncHHDRevPerTx</vt:lpstr>
      <vt:lpstr>'JV Pmnt Sched'!SensitivityIncPDPts</vt:lpstr>
      <vt:lpstr>'PtrCF OUTPUT'!SensitivityIncPDPts</vt:lpstr>
      <vt:lpstr>SensitivityIncPDPts</vt:lpstr>
      <vt:lpstr>'JV Pmnt Sched'!SensitivityIncPDRevPerTx</vt:lpstr>
      <vt:lpstr>'PtrCF OUTPUT'!SensitivityIncPDRevPerTx</vt:lpstr>
      <vt:lpstr>SensitivityIncPDRevPerTx</vt:lpstr>
      <vt:lpstr>'JV Pmnt Sched'!SensitivityIncRevPerTx</vt:lpstr>
      <vt:lpstr>'PtrCF OUTPUT'!SensitivityIncRevPerTx</vt:lpstr>
      <vt:lpstr>SensitivityIncRevPerTx</vt:lpstr>
      <vt:lpstr>'PtrCF OUTPUT'!soft</vt:lpstr>
      <vt:lpstr>soft</vt:lpstr>
      <vt:lpstr>'PtrCF OUTPUT'!State</vt:lpstr>
      <vt:lpstr>State</vt:lpstr>
      <vt:lpstr>'PtrCF OUTPUT'!SurveyDelay</vt:lpstr>
      <vt:lpstr>SurveyDelay</vt:lpstr>
      <vt:lpstr>'PtrCF OUTPUT'!ti</vt:lpstr>
      <vt:lpstr>ti</vt:lpstr>
      <vt:lpstr>'PtrCF OUTPUT'!TICDuration</vt:lpstr>
      <vt:lpstr>TICDuration</vt:lpstr>
      <vt:lpstr>'PtrCF OUTPUT'!TICTerms</vt:lpstr>
      <vt:lpstr>TICTerms</vt:lpstr>
      <vt:lpstr>'PtrCF OUTPUT'!Type</vt:lpstr>
      <vt:lpstr>Type</vt:lpstr>
      <vt:lpstr>TypeNew</vt:lpstr>
      <vt:lpstr>'JV Pmnt Sched'!Units</vt:lpstr>
      <vt:lpstr>Units</vt:lpstr>
      <vt:lpstr>VMM_coc</vt:lpstr>
      <vt:lpstr>'PtrCF OUTPUT'!withfs</vt:lpstr>
      <vt:lpstr>withfs</vt:lpstr>
      <vt:lpstr>'PtrCF OUTPUT'!X_baseline_Tx</vt:lpstr>
      <vt:lpstr>X_baseline_Tx</vt:lpstr>
      <vt:lpstr>ZipCode</vt:lpstr>
    </vt:vector>
  </TitlesOfParts>
  <Company>DaVita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The DeNovo Model</dc:title>
  <dc:subject>Version 5.24.1</dc:subject>
  <dc:creator>David Barbetta, David Franklin</dc:creator>
  <dc:description>Changes since v5.13:_x000d_
Dev Fee amort'd &amp; applied to JV_x000d_
Parent ownership, Sensitivity Tbls_x000d_
Capex Price 3.3.08, Var Staff Prod. Ratio, _x000d_
Pmt Sched (JV)- Other, Pship IS-PICA (applied to JV), 6. Delayed Cash Collect, 5.6 Mgmt Fee corr, 5 &amp; 5.6-DVA IRR corr, Ptr CF Dev Fee corr</dc:description>
  <cp:lastModifiedBy>wapeters</cp:lastModifiedBy>
  <cp:lastPrinted>2012-11-15T15:52:48Z</cp:lastPrinted>
  <dcterms:created xsi:type="dcterms:W3CDTF">2000-08-16T21:20:47Z</dcterms:created>
  <dcterms:modified xsi:type="dcterms:W3CDTF">2014-06-26T20:43:27Z</dcterms:modified>
</cp:coreProperties>
</file>